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defaultThemeVersion="124226"/>
  <mc:AlternateContent xmlns:mc="http://schemas.openxmlformats.org/markup-compatibility/2006">
    <mc:Choice Requires="x15">
      <x15ac:absPath xmlns:x15ac="http://schemas.microsoft.com/office/spreadsheetml/2010/11/ac" url="Z:\CPL\COMISSÃO 017-S - JULHO.2021\4 - LICITAÇÕES 2022\CONCORRÊNCIA\PIÚMA\"/>
    </mc:Choice>
  </mc:AlternateContent>
  <xr:revisionPtr revIDLastSave="0" documentId="8_{09007E71-425F-4C70-8A9B-EFEB893AC20E}" xr6:coauthVersionLast="47" xr6:coauthVersionMax="47" xr10:uidLastSave="{00000000-0000-0000-0000-000000000000}"/>
  <bookViews>
    <workbookView xWindow="-120" yWindow="-120" windowWidth="29040" windowHeight="15840" firstSheet="5" activeTab="11" xr2:uid="{CE92EBE1-A5B5-4093-873E-ECDDAD594759}"/>
  </bookViews>
  <sheets>
    <sheet name="DER-RD" sheetId="8" state="hidden" r:id="rId1"/>
    <sheet name="DER-ED" sheetId="6" state="hidden" r:id="rId2"/>
    <sheet name="Resumo" sheetId="5" state="hidden" r:id="rId3"/>
    <sheet name="SINAPI" sheetId="12" state="hidden" r:id="rId4"/>
    <sheet name="Insumos" sheetId="2" state="hidden" r:id="rId5"/>
    <sheet name="Planilha - Orla" sheetId="9" r:id="rId6"/>
    <sheet name="Composições" sheetId="3" state="hidden" r:id="rId7"/>
    <sheet name="Mem - Orla" sheetId="11" r:id="rId8"/>
    <sheet name="Cron - Orla" sheetId="65" r:id="rId9"/>
    <sheet name="Comp. - Orla" sheetId="38" r:id="rId10"/>
    <sheet name="MAPA DE COT. - Orla" sheetId="43" r:id="rId11"/>
    <sheet name="CURVA ABC" sheetId="90" r:id="rId12"/>
    <sheet name="QUIOSQUE - MOD 01" sheetId="66" r:id="rId13"/>
    <sheet name="MEM QUIOSQUE - MOD 01" sheetId="67" r:id="rId14"/>
    <sheet name="CRON QUIOSQUE - MOD 01" sheetId="68" r:id="rId15"/>
    <sheet name="COMP. - Quiosque" sheetId="69" r:id="rId16"/>
    <sheet name="MAPA DE COT. - Quiosque" sheetId="70" r:id="rId17"/>
    <sheet name="BDI GERAL" sheetId="10" r:id="rId18"/>
  </sheets>
  <externalReferences>
    <externalReference r:id="rId19"/>
    <externalReference r:id="rId20"/>
    <externalReference r:id="rId21"/>
    <externalReference r:id="rId22"/>
    <externalReference r:id="rId23"/>
    <externalReference r:id="rId24"/>
  </externalReferences>
  <definedNames>
    <definedName name="_xlnm._FilterDatabase" localSheetId="7" hidden="1">'Mem - Orla'!$C$6:$H$8</definedName>
    <definedName name="_xlnm._FilterDatabase" localSheetId="13" hidden="1">'MEM QUIOSQUE - MOD 01'!$C$6:$H$6</definedName>
    <definedName name="_xlnm._FilterDatabase" localSheetId="12" hidden="1">'QUIOSQUE - MOD 01'!$A$8:$L$8</definedName>
    <definedName name="a" localSheetId="8">#REF!</definedName>
    <definedName name="a" localSheetId="14">#REF!</definedName>
    <definedName name="A" localSheetId="7">OFFSET(#REF!,1,0):OFFSET(#REF!,-1,0)</definedName>
    <definedName name="A" localSheetId="13">OFFSET(#REF!,1,0):OFFSET(#REF!,-1,0)</definedName>
    <definedName name="A" localSheetId="5">OFFSET(#REF!,1,0):OFFSET(#REF!,-1,0)</definedName>
    <definedName name="A" localSheetId="12">OFFSET(#REF!,1,0):OFFSET(#REF!,-1,0)</definedName>
    <definedName name="A">OFFSET(#REF!,1,0):OFFSET(#REF!,-1,0)</definedName>
    <definedName name="aa" localSheetId="17">OFFSET(#REF!,-1,0)</definedName>
    <definedName name="aa" localSheetId="9">OFFSET(#REF!,-1,0)</definedName>
    <definedName name="aa" localSheetId="10">OFFSET(#REF!,-1,0)</definedName>
    <definedName name="aa" localSheetId="16">OFFSET(#REF!,-1,0)</definedName>
    <definedName name="aa" localSheetId="5">OFFSET(#REF!,-1,0)</definedName>
    <definedName name="aa" localSheetId="12">OFFSET(#REF!,-1,0)</definedName>
    <definedName name="aa">OFFSET(#REF!,-1,0)</definedName>
    <definedName name="aaa" localSheetId="17">OFFSET(#REF!,1,0):OFFSET(#REF!,-1,0)</definedName>
    <definedName name="aaa" localSheetId="9">OFFSET(#REF!,1,0):OFFSET(#REF!,-1,0)</definedName>
    <definedName name="aaa" localSheetId="8">OFFSET(#REF!,1,0):OFFSET(#REF!,-1,0)</definedName>
    <definedName name="aaa" localSheetId="14">OFFSET(#REF!,1,0):OFFSET(#REF!,-1,0)</definedName>
    <definedName name="aaa" localSheetId="0">OFFSET(#REF!,1,0):OFFSET(#REF!,-1,0)</definedName>
    <definedName name="aaa" localSheetId="10">OFFSET(#REF!,1,0):OFFSET(#REF!,-1,0)</definedName>
    <definedName name="aaa" localSheetId="16">OFFSET(#REF!,1,0):OFFSET(#REF!,-1,0)</definedName>
    <definedName name="AAA" localSheetId="7">#REF!</definedName>
    <definedName name="AAA" localSheetId="13">#REF!</definedName>
    <definedName name="AAA" localSheetId="5">#REF!</definedName>
    <definedName name="AAA" localSheetId="12">#REF!</definedName>
    <definedName name="AAA">#REF!</definedName>
    <definedName name="_xlnm.Print_Area" localSheetId="17">'BDI GERAL'!$B$3:$F$36</definedName>
    <definedName name="_xlnm.Print_Area" localSheetId="9">'Comp. - Orla'!$B$1:$N$1568</definedName>
    <definedName name="_xlnm.Print_Area" localSheetId="15">'COMP. - Quiosque'!$B$2:$N$2927</definedName>
    <definedName name="_xlnm.Print_Area" localSheetId="6">Composições!$B:$G</definedName>
    <definedName name="_xlnm.Print_Area" localSheetId="8">'Cron - Orla'!$A$1:$T$34</definedName>
    <definedName name="_xlnm.Print_Area" localSheetId="14">'CRON QUIOSQUE - MOD 01'!$A$1:$P$34</definedName>
    <definedName name="_xlnm.Print_Area" localSheetId="10">'MAPA DE COT. - Orla'!$B$1:$H$155</definedName>
    <definedName name="_xlnm.Print_Area" localSheetId="16">'MAPA DE COT. - Quiosque'!$B$1:$J$386</definedName>
    <definedName name="_xlnm.Print_Area" localSheetId="7">'Mem - Orla'!$A$1:$H$150</definedName>
    <definedName name="_xlnm.Print_Area" localSheetId="13">'MEM QUIOSQUE - MOD 01'!$A$1:$H$239</definedName>
    <definedName name="_xlnm.Print_Area" localSheetId="5">'Planilha - Orla'!$A$1:$J$168</definedName>
    <definedName name="_xlnm.Print_Area" localSheetId="12">'QUIOSQUE - MOD 01'!$A$1:$J$189</definedName>
    <definedName name="B">COUNTIF(#REF!,"&lt;&gt;"&amp;"")</definedName>
    <definedName name="creaPLE" localSheetId="17">#REF!</definedName>
    <definedName name="creaPLE" localSheetId="9">#REF!</definedName>
    <definedName name="creaPLE" localSheetId="1">#REF!</definedName>
    <definedName name="creaPLE" localSheetId="0">#REF!</definedName>
    <definedName name="creaPLE" localSheetId="10">#REF!</definedName>
    <definedName name="creaPLE" localSheetId="16">#REF!</definedName>
    <definedName name="creaPLE" localSheetId="7">#REF!</definedName>
    <definedName name="creaPLE" localSheetId="13">#REF!</definedName>
    <definedName name="creaPLE" localSheetId="5">#REF!</definedName>
    <definedName name="creaPLE" localSheetId="12">#REF!</definedName>
    <definedName name="creaPLE">#REF!</definedName>
    <definedName name="deactivatedados.form1" localSheetId="17">IF(#REF!="","",VALUE(LEFT(#REF!,(FIND("-",#REF!,1))-1)))</definedName>
    <definedName name="deactivatedados.form1" localSheetId="9">IF(#REF!="","",VALUE(LEFT(#REF!,(FIND("-",#REF!,1))-1)))</definedName>
    <definedName name="deactivatedados.form1" localSheetId="15">IF(#REF!="","",VALUE(LEFT(#REF!,(FIND("-",#REF!,1))-1)))</definedName>
    <definedName name="deactivatedados.form1" localSheetId="14">IF(#REF!="","",VALUE(LEFT(#REF!,(FIND("-",#REF!,1))-1)))</definedName>
    <definedName name="deactivatedados.form1" localSheetId="1">IF(#REF!="","",VALUE(LEFT(#REF!,(FIND("-",#REF!,1))-1)))</definedName>
    <definedName name="deactivatedados.form1" localSheetId="0">IF(#REF!="","",VALUE(LEFT(#REF!,(FIND("-",#REF!,1))-1)))</definedName>
    <definedName name="deactivatedados.form1" localSheetId="10">IF(#REF!="","",VALUE(LEFT(#REF!,(FIND("-",#REF!,1))-1)))</definedName>
    <definedName name="deactivatedados.form1" localSheetId="16">IF(#REF!="","",VALUE(LEFT(#REF!,(FIND("-",#REF!,1))-1)))</definedName>
    <definedName name="deactivatedados.form1" localSheetId="7">IF(#REF!="","",VALUE(LEFT(#REF!,(FIND("-",#REF!,1))-1)))</definedName>
    <definedName name="deactivatedados.form1" localSheetId="13">IF(#REF!="","",VALUE(LEFT(#REF!,(FIND("-",#REF!,1))-1)))</definedName>
    <definedName name="deactivatedados.form1" localSheetId="5">IF(#REF!="","",VALUE(LEFT(#REF!,(FIND("-",#REF!,1))-1)))</definedName>
    <definedName name="deactivatedados.form1" localSheetId="12">IF(#REF!="","",VALUE(LEFT(#REF!,(FIND("-",#REF!,1))-1)))</definedName>
    <definedName name="deactivatedados.form1">IF(#REF!="","",VALUE(LEFT(#REF!,(FIND("-",#REF!,1))-1)))</definedName>
    <definedName name="Detalhamento.OpçõesExibição" localSheetId="17">#REF!</definedName>
    <definedName name="Detalhamento.OpçõesExibição" localSheetId="9">#REF!</definedName>
    <definedName name="Detalhamento.OpçõesExibição" localSheetId="1">#REF!</definedName>
    <definedName name="Detalhamento.OpçõesExibição" localSheetId="0">#REF!</definedName>
    <definedName name="Detalhamento.OpçõesExibição" localSheetId="10">#REF!</definedName>
    <definedName name="Detalhamento.OpçõesExibição" localSheetId="16">#REF!</definedName>
    <definedName name="Detalhamento.OpçõesExibição" localSheetId="7">#REF!</definedName>
    <definedName name="Detalhamento.OpçõesExibição" localSheetId="13">#REF!</definedName>
    <definedName name="Detalhamento.OpçõesExibição" localSheetId="5">#REF!</definedName>
    <definedName name="Detalhamento.OpçõesExibição" localSheetId="12">#REF!</definedName>
    <definedName name="Detalhamento.OpçõesExibição">#REF!</definedName>
    <definedName name="Detalhamento.OpçõesServiços" localSheetId="17">#REF!</definedName>
    <definedName name="Detalhamento.OpçõesServiços" localSheetId="9">#REF!</definedName>
    <definedName name="Detalhamento.OpçõesServiços" localSheetId="1">#REF!</definedName>
    <definedName name="Detalhamento.OpçõesServiços" localSheetId="0">#REF!</definedName>
    <definedName name="Detalhamento.OpçõesServiços" localSheetId="10">#REF!</definedName>
    <definedName name="Detalhamento.OpçõesServiços" localSheetId="16">#REF!</definedName>
    <definedName name="Detalhamento.OpçõesServiços" localSheetId="7">#REF!</definedName>
    <definedName name="Detalhamento.OpçõesServiços" localSheetId="13">#REF!</definedName>
    <definedName name="Detalhamento.OpçõesServiços" localSheetId="5">#REF!</definedName>
    <definedName name="Detalhamento.OpçõesServiços" localSheetId="12">#REF!</definedName>
    <definedName name="Detalhamento.OpçõesServiços">#REF!</definedName>
    <definedName name="Eventos" localSheetId="17">OFFSET(#REF!,1,0):OFFSET(#REF!,-1,0)</definedName>
    <definedName name="Eventos" localSheetId="9">OFFSET(#REF!,1,0):OFFSET(#REF!,-1,0)</definedName>
    <definedName name="Eventos" localSheetId="1">OFFSET(#REF!,1,0):OFFSET(#REF!,-1,0)</definedName>
    <definedName name="Eventos" localSheetId="0">OFFSET(#REF!,1,0):OFFSET(#REF!,-1,0)</definedName>
    <definedName name="Eventos" localSheetId="10">OFFSET(#REF!,1,0):OFFSET(#REF!,-1,0)</definedName>
    <definedName name="Eventos" localSheetId="16">OFFSET(#REF!,1,0):OFFSET(#REF!,-1,0)</definedName>
    <definedName name="Eventos" localSheetId="7">OFFSET(#REF!,1,0):OFFSET(#REF!,-1,0)</definedName>
    <definedName name="Eventos" localSheetId="13">OFFSET(#REF!,1,0):OFFSET(#REF!,-1,0)</definedName>
    <definedName name="Eventos" localSheetId="5">OFFSET(#REF!,1,0):OFFSET(#REF!,-1,0)</definedName>
    <definedName name="Eventos" localSheetId="12">OFFSET(#REF!,1,0):OFFSET(#REF!,-1,0)</definedName>
    <definedName name="Eventos">OFFSET(#REF!,1,0):OFFSET(#REF!,-1,0)</definedName>
    <definedName name="hoje">TODAY()</definedName>
    <definedName name="Import.Município" localSheetId="17">#REF!</definedName>
    <definedName name="Import.Município" localSheetId="9">#REF!</definedName>
    <definedName name="Import.Município" localSheetId="0">#REF!</definedName>
    <definedName name="Import.Município" localSheetId="10">#REF!</definedName>
    <definedName name="Import.Município" localSheetId="16">#REF!</definedName>
    <definedName name="Import.Município" localSheetId="7">#REF!</definedName>
    <definedName name="Import.Município" localSheetId="13">#REF!</definedName>
    <definedName name="Import.Município" localSheetId="5">#REF!</definedName>
    <definedName name="Import.Município" localSheetId="12">#REF!</definedName>
    <definedName name="Import.Município">#REF!</definedName>
    <definedName name="Import.numEventos" localSheetId="17">OFFSET(#REF!,1,0):OFFSET(#REF!,-1,0)</definedName>
    <definedName name="Import.numEventos" localSheetId="9">OFFSET(#REF!,1,0):OFFSET(#REF!,-1,0)</definedName>
    <definedName name="Import.numEventos" localSheetId="1">OFFSET(#REF!,1,0):OFFSET(#REF!,-1,0)</definedName>
    <definedName name="Import.numEventos" localSheetId="0">OFFSET(#REF!,1,0):OFFSET(#REF!,-1,0)</definedName>
    <definedName name="Import.numEventos" localSheetId="10">OFFSET(#REF!,1,0):OFFSET(#REF!,-1,0)</definedName>
    <definedName name="Import.numEventos" localSheetId="16">OFFSET(#REF!,1,0):OFFSET(#REF!,-1,0)</definedName>
    <definedName name="Import.numEventos" localSheetId="7">OFFSET(#REF!,1,0):OFFSET(#REF!,-1,0)</definedName>
    <definedName name="Import.numEventos" localSheetId="13">OFFSET(#REF!,1,0):OFFSET(#REF!,-1,0)</definedName>
    <definedName name="Import.numEventos" localSheetId="5">OFFSET(#REF!,1,0):OFFSET(#REF!,-1,0)</definedName>
    <definedName name="Import.numEventos" localSheetId="12">OFFSET(#REF!,1,0):OFFSET(#REF!,-1,0)</definedName>
    <definedName name="Import.numEventos">OFFSET(#REF!,1,0):OFFSET(#REF!,-1,0)</definedName>
    <definedName name="Import.PLE" localSheetId="17">OFFSET(#REF!,1,0):OFFSET(#REF!,-1,0)</definedName>
    <definedName name="Import.PLE" localSheetId="9">OFFSET(#REF!,1,0):OFFSET(#REF!,-1,0)</definedName>
    <definedName name="Import.PLE" localSheetId="1">OFFSET(#REF!,1,0):OFFSET(#REF!,-1,0)</definedName>
    <definedName name="Import.PLE" localSheetId="0">OFFSET(#REF!,1,0):OFFSET(#REF!,-1,0)</definedName>
    <definedName name="Import.PLE" localSheetId="10">OFFSET(#REF!,1,0):OFFSET(#REF!,-1,0)</definedName>
    <definedName name="Import.PLE" localSheetId="16">OFFSET(#REF!,1,0):OFFSET(#REF!,-1,0)</definedName>
    <definedName name="Import.PLE" localSheetId="7">OFFSET(#REF!,1,0):OFFSET(#REF!,-1,0)</definedName>
    <definedName name="Import.PLE" localSheetId="13">OFFSET(#REF!,1,0):OFFSET(#REF!,-1,0)</definedName>
    <definedName name="Import.PLE" localSheetId="5">OFFSET(#REF!,1,0):OFFSET(#REF!,-1,0)</definedName>
    <definedName name="Import.PLE" localSheetId="12">OFFSET(#REF!,1,0):OFFSET(#REF!,-1,0)</definedName>
    <definedName name="Import.PLE">OFFSET(#REF!,1,0):OFFSET(#REF!,-1,0)</definedName>
    <definedName name="Import.PLQ" localSheetId="17">OFFSET(#REF!,1,0):OFFSET(#REF!,-1,0)</definedName>
    <definedName name="Import.PLQ" localSheetId="9">OFFSET(#REF!,1,0):OFFSET(#REF!,-1,0)</definedName>
    <definedName name="Import.PLQ" localSheetId="1">OFFSET(#REF!,1,0):OFFSET(#REF!,-1,0)</definedName>
    <definedName name="Import.PLQ" localSheetId="0">OFFSET(#REF!,1,0):OFFSET(#REF!,-1,0)</definedName>
    <definedName name="Import.PLQ" localSheetId="10">OFFSET(#REF!,1,0):OFFSET(#REF!,-1,0)</definedName>
    <definedName name="Import.PLQ" localSheetId="16">OFFSET(#REF!,1,0):OFFSET(#REF!,-1,0)</definedName>
    <definedName name="Import.PLQ" localSheetId="7">OFFSET(#REF!,1,0):OFFSET(#REF!,-1,0)</definedName>
    <definedName name="Import.PLQ" localSheetId="13">OFFSET(#REF!,1,0):OFFSET(#REF!,-1,0)</definedName>
    <definedName name="Import.PLQ" localSheetId="5">OFFSET(#REF!,1,0):OFFSET(#REF!,-1,0)</definedName>
    <definedName name="Import.PLQ" localSheetId="12">OFFSET(#REF!,1,0):OFFSET(#REF!,-1,0)</definedName>
    <definedName name="Import.PLQ">OFFSET(#REF!,1,0):OFFSET(#REF!,-1,0)</definedName>
    <definedName name="LForçamento" localSheetId="17">OFFSET(#REF!,-1,0)</definedName>
    <definedName name="LForçamento" localSheetId="9">OFFSET(#REF!,-1,0)</definedName>
    <definedName name="LForçamento" localSheetId="1">OFFSET(#REF!,-1,0)</definedName>
    <definedName name="LForçamento" localSheetId="0">OFFSET(#REF!,-1,0)</definedName>
    <definedName name="LForçamento" localSheetId="10">OFFSET(#REF!,-1,0)</definedName>
    <definedName name="LForçamento" localSheetId="16">OFFSET(#REF!,-1,0)</definedName>
    <definedName name="LForçamento" localSheetId="7">OFFSET(#REF!,-1,0)</definedName>
    <definedName name="LForçamento" localSheetId="13">OFFSET(#REF!,-1,0)</definedName>
    <definedName name="LForçamento" localSheetId="5">OFFSET(#REF!,-1,0)</definedName>
    <definedName name="LForçamento" localSheetId="12">OFFSET(#REF!,-1,0)</definedName>
    <definedName name="LForçamento">OFFSET(#REF!,-1,0)</definedName>
    <definedName name="LIorçamento" localSheetId="17">OFFSET(#REF!,1,0)</definedName>
    <definedName name="LIorçamento" localSheetId="9">OFFSET(#REF!,1,0)</definedName>
    <definedName name="LIorçamento" localSheetId="1">OFFSET(#REF!,1,0)</definedName>
    <definedName name="LIorçamento" localSheetId="0">OFFSET(#REF!,1,0)</definedName>
    <definedName name="LIorçamento" localSheetId="10">OFFSET(#REF!,1,0)</definedName>
    <definedName name="LIorçamento" localSheetId="16">OFFSET(#REF!,1,0)</definedName>
    <definedName name="LIorçamento" localSheetId="7">OFFSET(#REF!,1,0)</definedName>
    <definedName name="LIorçamento" localSheetId="13">OFFSET(#REF!,1,0)</definedName>
    <definedName name="LIorçamento" localSheetId="5">OFFSET(#REF!,1,0)</definedName>
    <definedName name="LIorçamento" localSheetId="12">OFFSET(#REF!,1,0)</definedName>
    <definedName name="LIorçamento">OFFSET(#REF!,1,0)</definedName>
    <definedName name="mediçao" localSheetId="17">#REF!</definedName>
    <definedName name="mediçao" localSheetId="9">#REF!</definedName>
    <definedName name="mediçao" localSheetId="1">#REF!</definedName>
    <definedName name="mediçao" localSheetId="0">#REF!</definedName>
    <definedName name="mediçao" localSheetId="10">#REF!</definedName>
    <definedName name="mediçao" localSheetId="16">#REF!</definedName>
    <definedName name="mediçao" localSheetId="7">#REF!</definedName>
    <definedName name="mediçao" localSheetId="13">#REF!</definedName>
    <definedName name="mediçao" localSheetId="5">#REF!</definedName>
    <definedName name="mediçao" localSheetId="12">#REF!</definedName>
    <definedName name="mediçao">#REF!</definedName>
    <definedName name="numFrentes" localSheetId="0">COUNTIF(#REF!,"&lt;&gt;"&amp;"")</definedName>
    <definedName name="numFrentes" localSheetId="5">COUNTIF(#REF!,"&lt;&gt;"&amp;"")</definedName>
    <definedName name="numFrentes" localSheetId="12">COUNTIF(#REF!,"&lt;&gt;"&amp;"")</definedName>
    <definedName name="numFrentes">COUNTIF(#REF!,"&lt;&gt;"&amp;"")</definedName>
    <definedName name="PreçoServiçoPorFrente" localSheetId="17">OFFSET(#REF!,1,0):OFFSET(#REF!,-1,0)</definedName>
    <definedName name="PreçoServiçoPorFrente" localSheetId="9">OFFSET(#REF!,1,0):OFFSET(#REF!,-1,0)</definedName>
    <definedName name="PreçoServiçoPorFrente" localSheetId="0">OFFSET(#REF!,1,0):OFFSET(#REF!,-1,0)</definedName>
    <definedName name="PreçoServiçoPorFrente" localSheetId="10">OFFSET(#REF!,1,0):OFFSET(#REF!,-1,0)</definedName>
    <definedName name="PreçoServiçoPorFrente" localSheetId="16">OFFSET(#REF!,1,0):OFFSET(#REF!,-1,0)</definedName>
    <definedName name="PreçoServiçoPorFrente" localSheetId="7">OFFSET(#REF!,1,0):OFFSET(#REF!,-1,0)</definedName>
    <definedName name="PreçoServiçoPorFrente" localSheetId="13">OFFSET(#REF!,1,0):OFFSET(#REF!,-1,0)</definedName>
    <definedName name="PreçoServiçoPorFrente" localSheetId="5">OFFSET(#REF!,1,0):OFFSET(#REF!,-1,0)</definedName>
    <definedName name="PreçoServiçoPorFrente" localSheetId="12">OFFSET(#REF!,1,0):OFFSET(#REF!,-1,0)</definedName>
    <definedName name="PreçoServiçoPorFrente">OFFSET(#REF!,1,0):OFFSET(#REF!,-1,0)</definedName>
    <definedName name="respPLE" localSheetId="17">#REF!</definedName>
    <definedName name="respPLE" localSheetId="9">#REF!</definedName>
    <definedName name="respPLE" localSheetId="0">#REF!</definedName>
    <definedName name="respPLE" localSheetId="10">#REF!</definedName>
    <definedName name="respPLE" localSheetId="16">#REF!</definedName>
    <definedName name="respPLE" localSheetId="7">#REF!</definedName>
    <definedName name="respPLE" localSheetId="13">#REF!</definedName>
    <definedName name="respPLE" localSheetId="5">#REF!</definedName>
    <definedName name="respPLE" localSheetId="12">#REF!</definedName>
    <definedName name="respPLE">#REF!</definedName>
    <definedName name="TituloEventos" localSheetId="17">OFFSET(#REF!,1,0):OFFSET(#REF!,-1,0)</definedName>
    <definedName name="TituloEventos" localSheetId="9">OFFSET(#REF!,1,0):OFFSET(#REF!,-1,0)</definedName>
    <definedName name="TituloEventos" localSheetId="1">OFFSET(#REF!,1,0):OFFSET(#REF!,-1,0)</definedName>
    <definedName name="TituloEventos" localSheetId="0">OFFSET(#REF!,1,0):OFFSET(#REF!,-1,0)</definedName>
    <definedName name="TituloEventos" localSheetId="10">OFFSET(#REF!,1,0):OFFSET(#REF!,-1,0)</definedName>
    <definedName name="TituloEventos" localSheetId="16">OFFSET(#REF!,1,0):OFFSET(#REF!,-1,0)</definedName>
    <definedName name="TituloEventos" localSheetId="7">OFFSET(#REF!,1,0):OFFSET(#REF!,-1,0)</definedName>
    <definedName name="TituloEventos" localSheetId="13">OFFSET(#REF!,1,0):OFFSET(#REF!,-1,0)</definedName>
    <definedName name="TituloEventos" localSheetId="5">OFFSET(#REF!,1,0):OFFSET(#REF!,-1,0)</definedName>
    <definedName name="TituloEventos" localSheetId="12">OFFSET(#REF!,1,0):OFFSET(#REF!,-1,0)</definedName>
    <definedName name="TituloEventos">OFFSET(#REF!,1,0):OFFSET(#REF!,-1,0)</definedName>
    <definedName name="_xlnm.Print_Titles" localSheetId="11">'CURVA ABC'!$1:$5</definedName>
    <definedName name="_xlnm.Print_Titles" localSheetId="7">'Mem - Orla'!$1:$6</definedName>
    <definedName name="_xlnm.Print_Titles" localSheetId="13">'MEM QUIOSQUE - MOD 01'!$1:$6</definedName>
    <definedName name="_xlnm.Print_Titles" localSheetId="5">'Planilha - Orla'!$1:$5</definedName>
    <definedName name="_xlnm.Print_Titles" localSheetId="12">'QUIOSQUE - MOD 01'!$1:$6</definedName>
    <definedName name="_xlnm.Print_Titles" localSheetId="2">Resumo!$1:$6</definedName>
    <definedName name="Z_0BFCFBB8_3AFB_4667_81E3_25F9534C57D1_.wvu.FilterData" localSheetId="7" hidden="1">'Mem - Orla'!$C$6:$H$8</definedName>
    <definedName name="Z_0BFCFBB8_3AFB_4667_81E3_25F9534C57D1_.wvu.FilterData" localSheetId="13" hidden="1">'MEM QUIOSQUE - MOD 01'!$C$6:$H$6</definedName>
    <definedName name="Z_0BFCFBB8_3AFB_4667_81E3_25F9534C57D1_.wvu.PrintArea" localSheetId="7" hidden="1">'Mem - Orla'!$A$1:$H$10</definedName>
    <definedName name="Z_0BFCFBB8_3AFB_4667_81E3_25F9534C57D1_.wvu.PrintArea" localSheetId="13" hidden="1">'MEM QUIOSQUE - MOD 01'!$A$1:$H$6</definedName>
    <definedName name="Z_0BFCFBB8_3AFB_4667_81E3_25F9534C57D1_.wvu.PrintTitles" localSheetId="7" hidden="1">'Mem - Orla'!$1:$6</definedName>
    <definedName name="Z_0BFCFBB8_3AFB_4667_81E3_25F9534C57D1_.wvu.PrintTitles" localSheetId="13" hidden="1">'MEM QUIOSQUE - MOD 01'!$1:$6</definedName>
    <definedName name="Z_2D77BE65_6321_48A3_8211_7CCB9F30974C_.wvu.FilterData" localSheetId="7" hidden="1">'Mem - Orla'!$C$6:$H$8</definedName>
    <definedName name="Z_2D77BE65_6321_48A3_8211_7CCB9F30974C_.wvu.FilterData" localSheetId="13" hidden="1">'MEM QUIOSQUE - MOD 01'!$C$6:$H$6</definedName>
    <definedName name="Z_2D92F5E4_3249_43FF_8351_B67CE86041FA_.wvu.FilterData" localSheetId="7" hidden="1">'Mem - Orla'!$C$6:$H$8</definedName>
    <definedName name="Z_2D92F5E4_3249_43FF_8351_B67CE86041FA_.wvu.FilterData" localSheetId="13" hidden="1">'MEM QUIOSQUE - MOD 01'!$C$6:$H$6</definedName>
    <definedName name="Z_50485A1D_337C_4943_B6D8_745A318656B8_.wvu.FilterData" localSheetId="7" hidden="1">'Mem - Orla'!$C$6:$H$8</definedName>
    <definedName name="Z_50485A1D_337C_4943_B6D8_745A318656B8_.wvu.FilterData" localSheetId="13" hidden="1">'MEM QUIOSQUE - MOD 01'!$C$6:$H$6</definedName>
    <definedName name="Z_79D62EA3_7623_4F25_9E52_ACA28FE380D9_.wvu.FilterData" localSheetId="7" hidden="1">'Mem - Orla'!$C$6:$H$8</definedName>
    <definedName name="Z_79D62EA3_7623_4F25_9E52_ACA28FE380D9_.wvu.FilterData" localSheetId="13" hidden="1">'MEM QUIOSQUE - MOD 01'!$C$6:$H$6</definedName>
    <definedName name="Z_7A84EED4_525E_495C_9B20_CBD85FB13957_.wvu.FilterData" localSheetId="7" hidden="1">'Mem - Orla'!$C$6:$H$8</definedName>
    <definedName name="Z_7A84EED4_525E_495C_9B20_CBD85FB13957_.wvu.FilterData" localSheetId="13" hidden="1">'MEM QUIOSQUE - MOD 01'!$C$6:$H$6</definedName>
    <definedName name="Z_857161CA_7732_48AB_B10D_A0C019C1F756_.wvu.FilterData" localSheetId="7" hidden="1">'Mem - Orla'!$C$6:$H$8</definedName>
    <definedName name="Z_857161CA_7732_48AB_B10D_A0C019C1F756_.wvu.FilterData" localSheetId="13" hidden="1">'MEM QUIOSQUE - MOD 01'!$C$6:$H$6</definedName>
    <definedName name="Z_857161CA_7732_48AB_B10D_A0C019C1F756_.wvu.PrintArea" localSheetId="7" hidden="1">'Mem - Orla'!$A$1:$H$10</definedName>
    <definedName name="Z_857161CA_7732_48AB_B10D_A0C019C1F756_.wvu.PrintArea" localSheetId="13" hidden="1">'MEM QUIOSQUE - MOD 01'!$A$1:$H$6</definedName>
    <definedName name="Z_857161CA_7732_48AB_B10D_A0C019C1F756_.wvu.PrintTitles" localSheetId="7" hidden="1">'Mem - Orla'!$1:$6</definedName>
    <definedName name="Z_857161CA_7732_48AB_B10D_A0C019C1F756_.wvu.PrintTitles" localSheetId="13" hidden="1">'MEM QUIOSQUE - MOD 01'!$1:$6</definedName>
    <definedName name="Z_B1FE0650_AE12_4BD4_8B9C_B41821CCB556_.wvu.FilterData" localSheetId="7" hidden="1">'Mem - Orla'!$C$6:$H$8</definedName>
    <definedName name="Z_B1FE0650_AE12_4BD4_8B9C_B41821CCB556_.wvu.FilterData" localSheetId="13" hidden="1">'MEM QUIOSQUE - MOD 01'!$C$6:$H$6</definedName>
    <definedName name="Z_B1FE0650_AE12_4BD4_8B9C_B41821CCB556_.wvu.PrintArea" localSheetId="7" hidden="1">'Mem - Orla'!$A$1:$H$10</definedName>
    <definedName name="Z_B1FE0650_AE12_4BD4_8B9C_B41821CCB556_.wvu.PrintArea" localSheetId="13" hidden="1">'MEM QUIOSQUE - MOD 01'!$A$1:$H$6</definedName>
    <definedName name="Z_B1FE0650_AE12_4BD4_8B9C_B41821CCB556_.wvu.PrintTitles" localSheetId="7" hidden="1">'Mem - Orla'!$1:$6</definedName>
    <definedName name="Z_B1FE0650_AE12_4BD4_8B9C_B41821CCB556_.wvu.PrintTitles" localSheetId="13" hidden="1">'MEM QUIOSQUE - MOD 01'!$1:$6</definedName>
    <definedName name="Z_B48EDD01_34D6_47C2_A65B_E2909255EBD6_.wvu.FilterData" localSheetId="7" hidden="1">'Mem - Orla'!$C$6:$H$8</definedName>
    <definedName name="Z_B48EDD01_34D6_47C2_A65B_E2909255EBD6_.wvu.FilterData" localSheetId="13" hidden="1">'MEM QUIOSQUE - MOD 01'!$C$6:$H$6</definedName>
    <definedName name="Z_B48EDD01_34D6_47C2_A65B_E2909255EBD6_.wvu.PrintArea" localSheetId="7" hidden="1">'Mem - Orla'!$A$1:$H$10</definedName>
    <definedName name="Z_B48EDD01_34D6_47C2_A65B_E2909255EBD6_.wvu.PrintArea" localSheetId="13" hidden="1">'MEM QUIOSQUE - MOD 01'!$A$1:$H$6</definedName>
    <definedName name="Z_B48EDD01_34D6_47C2_A65B_E2909255EBD6_.wvu.PrintTitles" localSheetId="7" hidden="1">'Mem - Orla'!$1:$6</definedName>
    <definedName name="Z_B48EDD01_34D6_47C2_A65B_E2909255EBD6_.wvu.PrintTitles" localSheetId="13" hidden="1">'MEM QUIOSQUE - MOD 01'!$1:$6</definedName>
    <definedName name="Z_B7CCA577_B99D_44C4_87D7_7DD2C322BAB1_.wvu.FilterData" localSheetId="7" hidden="1">'Mem - Orla'!$C$6:$H$8</definedName>
    <definedName name="Z_B7CCA577_B99D_44C4_87D7_7DD2C322BAB1_.wvu.FilterData" localSheetId="13" hidden="1">'MEM QUIOSQUE - MOD 01'!$C$6:$H$6</definedName>
    <definedName name="Z_D2DFAA3C_1D2D_434D_8E22_AE15591B94B6_.wvu.FilterData" localSheetId="7" hidden="1">'Mem - Orla'!$C$6:$H$8</definedName>
    <definedName name="Z_D2DFAA3C_1D2D_434D_8E22_AE15591B94B6_.wvu.FilterData" localSheetId="13" hidden="1">'MEM QUIOSQUE - MOD 01'!$C$6:$H$6</definedName>
  </definedNames>
  <calcPr calcId="181029" fullPrecision="0"/>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K26" i="69" l="1"/>
  <c r="H10" i="70"/>
  <c r="F10" i="70"/>
  <c r="F9" i="70"/>
  <c r="H9" i="70" s="1"/>
  <c r="F8" i="70"/>
  <c r="H8" i="70" s="1"/>
  <c r="J4" i="70" l="1"/>
  <c r="K7" i="90" l="1"/>
  <c r="K8" i="90"/>
  <c r="K9" i="90"/>
  <c r="K10" i="90"/>
  <c r="K11" i="90"/>
  <c r="K12" i="90"/>
  <c r="K13" i="90"/>
  <c r="K14" i="90"/>
  <c r="K15" i="90"/>
  <c r="K16" i="90"/>
  <c r="K17" i="90"/>
  <c r="K18" i="90"/>
  <c r="K19" i="90"/>
  <c r="K20" i="90"/>
  <c r="K21" i="90"/>
  <c r="K22" i="90"/>
  <c r="K23" i="90"/>
  <c r="K24" i="90"/>
  <c r="K25" i="90"/>
  <c r="K26" i="90"/>
  <c r="K27" i="90"/>
  <c r="K28" i="90"/>
  <c r="K29" i="90"/>
  <c r="K30" i="90"/>
  <c r="K31" i="90"/>
  <c r="K32" i="90"/>
  <c r="K33" i="90"/>
  <c r="K34" i="90"/>
  <c r="K35" i="90"/>
  <c r="K36" i="90"/>
  <c r="K37" i="90"/>
  <c r="K38" i="90"/>
  <c r="K39" i="90"/>
  <c r="K40" i="90"/>
  <c r="K41" i="90"/>
  <c r="K42" i="90"/>
  <c r="K43" i="90"/>
  <c r="K44" i="90"/>
  <c r="K45" i="90"/>
  <c r="K46" i="90"/>
  <c r="K47" i="90"/>
  <c r="K48" i="90"/>
  <c r="K49" i="90"/>
  <c r="K50" i="90"/>
  <c r="K51" i="90"/>
  <c r="K52" i="90"/>
  <c r="K53" i="90"/>
  <c r="K54" i="90"/>
  <c r="K55" i="90"/>
  <c r="K56" i="90"/>
  <c r="K57" i="90"/>
  <c r="K58" i="90"/>
  <c r="K59" i="90"/>
  <c r="K60" i="90"/>
  <c r="K61" i="90"/>
  <c r="K62" i="90"/>
  <c r="K63" i="90"/>
  <c r="K64" i="90"/>
  <c r="K65" i="90"/>
  <c r="K66" i="90"/>
  <c r="K67" i="90"/>
  <c r="K68" i="90"/>
  <c r="K69" i="90"/>
  <c r="K70" i="90"/>
  <c r="K71" i="90"/>
  <c r="K72" i="90"/>
  <c r="K73" i="90"/>
  <c r="K74" i="90"/>
  <c r="K75" i="90"/>
  <c r="K76" i="90"/>
  <c r="K77" i="90"/>
  <c r="K78" i="90"/>
  <c r="K79" i="90"/>
  <c r="K80" i="90"/>
  <c r="K81" i="90"/>
  <c r="K82" i="90"/>
  <c r="K83" i="90"/>
  <c r="K84" i="90"/>
  <c r="K85" i="90"/>
  <c r="K86" i="90"/>
  <c r="K87" i="90"/>
  <c r="K88" i="90"/>
  <c r="K89" i="90"/>
  <c r="K90" i="90"/>
  <c r="K91" i="90"/>
  <c r="K92" i="90"/>
  <c r="K93" i="90"/>
  <c r="K94" i="90"/>
  <c r="K95" i="90"/>
  <c r="K96" i="90"/>
  <c r="K97" i="90"/>
  <c r="K98" i="90"/>
  <c r="K99" i="90"/>
  <c r="K100" i="90"/>
  <c r="K101" i="90"/>
  <c r="K102" i="90"/>
  <c r="K103" i="90"/>
  <c r="K104" i="90"/>
  <c r="K105" i="90"/>
  <c r="K106" i="90"/>
  <c r="K107" i="90"/>
  <c r="K108" i="90"/>
  <c r="K109" i="90"/>
  <c r="K110" i="90"/>
  <c r="K111" i="90"/>
  <c r="K112" i="90"/>
  <c r="K113" i="90"/>
  <c r="K114" i="90"/>
  <c r="K115" i="90"/>
  <c r="K116" i="90"/>
  <c r="K117" i="90"/>
  <c r="K118" i="90"/>
  <c r="K119" i="90"/>
  <c r="K120" i="90"/>
  <c r="K121" i="90"/>
  <c r="K122" i="90"/>
  <c r="K123" i="90"/>
  <c r="K124" i="90"/>
  <c r="K125" i="90"/>
  <c r="K126" i="90"/>
  <c r="K127" i="90"/>
  <c r="K128" i="90"/>
  <c r="K129" i="90"/>
  <c r="K130" i="90"/>
  <c r="K131" i="90"/>
  <c r="K132" i="90"/>
  <c r="K133" i="90"/>
  <c r="K134" i="90"/>
  <c r="K135" i="90"/>
  <c r="K136" i="90"/>
  <c r="K137" i="90"/>
  <c r="K138" i="90"/>
  <c r="K139" i="90"/>
  <c r="K140" i="90"/>
  <c r="K141" i="90"/>
  <c r="K142" i="90"/>
  <c r="K143" i="90"/>
  <c r="K144" i="90"/>
  <c r="K145" i="90"/>
  <c r="K146" i="90"/>
  <c r="K147" i="90"/>
  <c r="K148" i="90"/>
  <c r="K149" i="90"/>
  <c r="K150" i="90"/>
  <c r="K151" i="90"/>
  <c r="K152" i="90"/>
  <c r="K153" i="90"/>
  <c r="K154" i="90"/>
  <c r="K155" i="90"/>
  <c r="K156" i="90"/>
  <c r="K157" i="90"/>
  <c r="K158" i="90"/>
  <c r="K159" i="90"/>
  <c r="K160" i="90"/>
  <c r="K161" i="90"/>
  <c r="K162" i="90"/>
  <c r="K163" i="90"/>
  <c r="K164" i="90"/>
  <c r="K165" i="90"/>
  <c r="K166" i="90"/>
  <c r="K167" i="90"/>
  <c r="K168" i="90"/>
  <c r="K169" i="90"/>
  <c r="K170" i="90"/>
  <c r="K171" i="90"/>
  <c r="K172" i="90"/>
  <c r="K173" i="90"/>
  <c r="K174" i="90"/>
  <c r="K175" i="90"/>
  <c r="K176" i="90"/>
  <c r="K177" i="90"/>
  <c r="K178" i="90"/>
  <c r="K179" i="90"/>
  <c r="K180" i="90"/>
  <c r="K181" i="90"/>
  <c r="K182" i="90"/>
  <c r="K183" i="90"/>
  <c r="K184" i="90"/>
  <c r="K185" i="90"/>
  <c r="K186" i="90"/>
  <c r="K187" i="90"/>
  <c r="K188" i="90"/>
  <c r="K189" i="90"/>
  <c r="K190" i="90"/>
  <c r="K191" i="90"/>
  <c r="K192" i="90"/>
  <c r="K193" i="90"/>
  <c r="K194" i="90"/>
  <c r="K195" i="90"/>
  <c r="K196" i="90"/>
  <c r="K197" i="90"/>
  <c r="K198" i="90"/>
  <c r="K199" i="90"/>
  <c r="K200" i="90"/>
  <c r="K201" i="90"/>
  <c r="K202" i="90"/>
  <c r="K203" i="90"/>
  <c r="K204" i="90"/>
  <c r="K205" i="90"/>
  <c r="K206" i="90"/>
  <c r="K207" i="90"/>
  <c r="K208" i="90"/>
  <c r="K209" i="90"/>
  <c r="K210" i="90"/>
  <c r="K211" i="90"/>
  <c r="K212" i="90"/>
  <c r="K213" i="90"/>
  <c r="K214" i="90"/>
  <c r="K215" i="90"/>
  <c r="K216" i="90"/>
  <c r="K217" i="90"/>
  <c r="K218" i="90"/>
  <c r="K219" i="90"/>
  <c r="K220" i="90"/>
  <c r="K221" i="90"/>
  <c r="K222" i="90"/>
  <c r="K223" i="90"/>
  <c r="K224" i="90"/>
  <c r="K225" i="90"/>
  <c r="K226" i="90"/>
  <c r="K227" i="90"/>
  <c r="K228" i="90"/>
  <c r="K229" i="90"/>
  <c r="K230" i="90"/>
  <c r="K231" i="90"/>
  <c r="K232" i="90"/>
  <c r="K6" i="90"/>
  <c r="H233" i="90" l="1"/>
  <c r="I154" i="9"/>
  <c r="I148" i="9"/>
  <c r="I135" i="9"/>
  <c r="I127" i="9"/>
  <c r="I120" i="9"/>
  <c r="I97" i="9"/>
  <c r="I85" i="9"/>
  <c r="I77" i="9"/>
  <c r="I70" i="9"/>
  <c r="I55" i="9"/>
  <c r="I36" i="9"/>
  <c r="I27" i="9"/>
  <c r="I21" i="9"/>
  <c r="I6" i="9"/>
  <c r="I11" i="68"/>
  <c r="C25" i="68"/>
  <c r="C20" i="68"/>
  <c r="C19" i="68"/>
  <c r="C18" i="68"/>
  <c r="C14" i="68"/>
  <c r="C13" i="68"/>
  <c r="C12" i="68"/>
  <c r="C11" i="68"/>
  <c r="F97" i="67"/>
  <c r="F95" i="67"/>
  <c r="F84" i="67"/>
  <c r="F71" i="67"/>
  <c r="F61" i="67"/>
  <c r="F53" i="67"/>
  <c r="F27" i="67"/>
  <c r="F11" i="67"/>
  <c r="L11" i="66"/>
  <c r="L12" i="66"/>
  <c r="L16" i="66"/>
  <c r="L17" i="66"/>
  <c r="L47" i="66"/>
  <c r="L133" i="66"/>
  <c r="K220" i="67" l="1"/>
  <c r="K221" i="67"/>
  <c r="K222" i="67"/>
  <c r="K223" i="67"/>
  <c r="K224" i="67"/>
  <c r="K225" i="67"/>
  <c r="K226" i="67"/>
  <c r="K227" i="67"/>
  <c r="K228" i="67"/>
  <c r="K229" i="67"/>
  <c r="K230" i="67"/>
  <c r="K231" i="67"/>
  <c r="K232" i="67"/>
  <c r="K233" i="67"/>
  <c r="J226" i="67"/>
  <c r="J223" i="67"/>
  <c r="K214" i="67"/>
  <c r="K215" i="67"/>
  <c r="K216" i="67"/>
  <c r="K217" i="67"/>
  <c r="K218" i="67"/>
  <c r="K219" i="67"/>
  <c r="K211" i="67"/>
  <c r="K212" i="67"/>
  <c r="K213" i="67"/>
  <c r="K191" i="67"/>
  <c r="K192" i="67"/>
  <c r="K193" i="67"/>
  <c r="K194" i="67"/>
  <c r="K195" i="67"/>
  <c r="K196" i="67"/>
  <c r="K197" i="67"/>
  <c r="K198" i="67"/>
  <c r="K199" i="67"/>
  <c r="K200" i="67"/>
  <c r="K201" i="67"/>
  <c r="K202" i="67"/>
  <c r="K203" i="67"/>
  <c r="K204" i="67"/>
  <c r="K205" i="67"/>
  <c r="K206" i="67"/>
  <c r="K207" i="67"/>
  <c r="K208" i="67"/>
  <c r="K209" i="67"/>
  <c r="K210" i="67"/>
  <c r="K190" i="67"/>
  <c r="F187" i="67"/>
  <c r="F186" i="67"/>
  <c r="F185" i="67"/>
  <c r="F184" i="67"/>
  <c r="F183" i="67"/>
  <c r="F182" i="67"/>
  <c r="F181" i="67"/>
  <c r="K108" i="67"/>
  <c r="K109" i="67"/>
  <c r="K110" i="67"/>
  <c r="K111" i="67"/>
  <c r="K112" i="67"/>
  <c r="K113" i="67"/>
  <c r="K114" i="67"/>
  <c r="K115" i="67"/>
  <c r="K116" i="67"/>
  <c r="K117" i="67"/>
  <c r="K118" i="67"/>
  <c r="K119" i="67"/>
  <c r="K120" i="67"/>
  <c r="K121" i="67"/>
  <c r="K122" i="67"/>
  <c r="K123" i="67"/>
  <c r="K124" i="67"/>
  <c r="K125" i="67"/>
  <c r="K126" i="67"/>
  <c r="K127" i="67"/>
  <c r="K128" i="67"/>
  <c r="K129" i="67"/>
  <c r="K130" i="67"/>
  <c r="K131" i="67"/>
  <c r="K132" i="67"/>
  <c r="K133" i="67"/>
  <c r="K134" i="67"/>
  <c r="K135" i="67"/>
  <c r="K136" i="67"/>
  <c r="K137" i="67"/>
  <c r="K138" i="67"/>
  <c r="K139" i="67"/>
  <c r="K140" i="67"/>
  <c r="K141" i="67"/>
  <c r="K142" i="67"/>
  <c r="K143" i="67"/>
  <c r="K144" i="67"/>
  <c r="K145" i="67"/>
  <c r="K146" i="67"/>
  <c r="K147" i="67"/>
  <c r="K148" i="67"/>
  <c r="K149" i="67"/>
  <c r="K150" i="67"/>
  <c r="K151" i="67"/>
  <c r="K152" i="67"/>
  <c r="K153" i="67"/>
  <c r="K154" i="67"/>
  <c r="K155" i="67"/>
  <c r="K156" i="67"/>
  <c r="K157" i="67"/>
  <c r="K158" i="67"/>
  <c r="K159" i="67"/>
  <c r="K160" i="67"/>
  <c r="K161" i="67"/>
  <c r="K162" i="67"/>
  <c r="K163" i="67"/>
  <c r="K164" i="67"/>
  <c r="K165" i="67"/>
  <c r="K166" i="67"/>
  <c r="K167" i="67"/>
  <c r="K168" i="67"/>
  <c r="K169" i="67"/>
  <c r="K170" i="67"/>
  <c r="K171" i="67"/>
  <c r="K172" i="67"/>
  <c r="K173" i="67"/>
  <c r="K174" i="67"/>
  <c r="K175" i="67"/>
  <c r="K176" i="67"/>
  <c r="K177" i="67"/>
  <c r="K178" i="67"/>
  <c r="K107" i="67"/>
  <c r="J173" i="67"/>
  <c r="F104" i="67"/>
  <c r="K102" i="67"/>
  <c r="K101" i="67"/>
  <c r="F99" i="67"/>
  <c r="F90" i="67"/>
  <c r="F89" i="67"/>
  <c r="F88" i="67"/>
  <c r="F87" i="67"/>
  <c r="F85" i="67"/>
  <c r="F83" i="67"/>
  <c r="F82" i="67"/>
  <c r="F81" i="67"/>
  <c r="F80" i="67"/>
  <c r="F77" i="67"/>
  <c r="F76" i="67"/>
  <c r="F75" i="67"/>
  <c r="F74" i="67"/>
  <c r="F73" i="67"/>
  <c r="F72" i="67"/>
  <c r="F66" i="67"/>
  <c r="F69" i="67"/>
  <c r="F68" i="67"/>
  <c r="F67" i="67"/>
  <c r="K64" i="67"/>
  <c r="K63" i="67"/>
  <c r="K62" i="67"/>
  <c r="F60" i="67"/>
  <c r="F59" i="67"/>
  <c r="F58" i="67"/>
  <c r="K56" i="67"/>
  <c r="K55" i="67"/>
  <c r="K54" i="67"/>
  <c r="F51" i="67"/>
  <c r="F50" i="67"/>
  <c r="F49" i="67"/>
  <c r="J51" i="67"/>
  <c r="J50" i="67"/>
  <c r="J49" i="67"/>
  <c r="K44" i="67"/>
  <c r="K45" i="67"/>
  <c r="K46" i="67"/>
  <c r="K47" i="67"/>
  <c r="K43" i="67"/>
  <c r="F40" i="67"/>
  <c r="F39" i="67"/>
  <c r="F38" i="67"/>
  <c r="F37" i="67"/>
  <c r="F36" i="67"/>
  <c r="F33" i="67"/>
  <c r="F32" i="67"/>
  <c r="F25" i="67"/>
  <c r="F24" i="67"/>
  <c r="F23" i="67"/>
  <c r="F22" i="67"/>
  <c r="F21" i="67"/>
  <c r="F20" i="67"/>
  <c r="F17" i="67"/>
  <c r="F16" i="67"/>
  <c r="F15" i="67"/>
  <c r="F14" i="67"/>
  <c r="F13" i="67"/>
  <c r="F12" i="67"/>
  <c r="F9" i="67"/>
  <c r="K176" i="66"/>
  <c r="B25" i="65"/>
  <c r="A25" i="65"/>
  <c r="F115" i="11"/>
  <c r="F77" i="11"/>
  <c r="E171" i="66"/>
  <c r="D171" i="66"/>
  <c r="F378" i="70"/>
  <c r="F377" i="70"/>
  <c r="F376" i="70"/>
  <c r="H372" i="70" s="1"/>
  <c r="K2991" i="69" s="1"/>
  <c r="N2991" i="69" s="1"/>
  <c r="N2993" i="69" s="1"/>
  <c r="M3006" i="69"/>
  <c r="N3003" i="69"/>
  <c r="N2997" i="69"/>
  <c r="L2979" i="69"/>
  <c r="N2979" i="69" s="1"/>
  <c r="L2978" i="69"/>
  <c r="N2978" i="69" s="1"/>
  <c r="L2977" i="69"/>
  <c r="N2977" i="69" s="1"/>
  <c r="N2974" i="69"/>
  <c r="N435" i="69"/>
  <c r="N2980" i="69" l="1"/>
  <c r="N2983" i="69" s="1"/>
  <c r="N2984" i="69" s="1"/>
  <c r="N2986" i="69" s="1"/>
  <c r="N2988" i="69" s="1"/>
  <c r="N3005" i="69" s="1"/>
  <c r="F73" i="11"/>
  <c r="F72" i="11" s="1"/>
  <c r="F74" i="11"/>
  <c r="F68" i="11"/>
  <c r="F67" i="11"/>
  <c r="F66" i="11"/>
  <c r="F61" i="11"/>
  <c r="F73" i="9" s="1"/>
  <c r="H73" i="9"/>
  <c r="B61" i="11"/>
  <c r="C61" i="11"/>
  <c r="D61" i="11"/>
  <c r="E61" i="11"/>
  <c r="B55" i="11"/>
  <c r="E138" i="9"/>
  <c r="D138" i="9"/>
  <c r="M1557" i="38"/>
  <c r="N1553" i="38"/>
  <c r="N1554" i="38" s="1"/>
  <c r="N1550" i="38"/>
  <c r="N1543" i="38"/>
  <c r="N1545" i="38" s="1"/>
  <c r="L1531" i="38"/>
  <c r="N1531" i="38" s="1"/>
  <c r="L1530" i="38"/>
  <c r="N1530" i="38" s="1"/>
  <c r="N1526" i="38"/>
  <c r="N1525" i="38"/>
  <c r="N1524" i="38"/>
  <c r="N901" i="69"/>
  <c r="N900" i="69"/>
  <c r="N672" i="69"/>
  <c r="N671" i="69"/>
  <c r="N619" i="69"/>
  <c r="N618" i="69"/>
  <c r="N436" i="69"/>
  <c r="G171" i="66" l="1"/>
  <c r="N3006" i="69"/>
  <c r="N3007" i="69" s="1"/>
  <c r="N902" i="69"/>
  <c r="F65" i="11"/>
  <c r="I73" i="9"/>
  <c r="N1527" i="38"/>
  <c r="N1532" i="38"/>
  <c r="N574" i="69"/>
  <c r="N531" i="69"/>
  <c r="N434" i="69"/>
  <c r="N1286" i="38"/>
  <c r="N1285" i="38"/>
  <c r="N1284" i="38"/>
  <c r="N1283" i="38"/>
  <c r="N948" i="38"/>
  <c r="N907" i="38"/>
  <c r="N394" i="38"/>
  <c r="N393" i="38"/>
  <c r="N339" i="38"/>
  <c r="N338" i="38"/>
  <c r="N300" i="38"/>
  <c r="N299" i="38"/>
  <c r="N298" i="38"/>
  <c r="N297" i="38"/>
  <c r="N296" i="38"/>
  <c r="N295" i="38"/>
  <c r="N294" i="38"/>
  <c r="N293" i="38"/>
  <c r="N292" i="38"/>
  <c r="N291" i="38"/>
  <c r="N290" i="38"/>
  <c r="N289" i="38"/>
  <c r="N248" i="38"/>
  <c r="N247" i="38"/>
  <c r="N209" i="38"/>
  <c r="N208" i="38"/>
  <c r="N207" i="38"/>
  <c r="N206" i="38"/>
  <c r="N205" i="38"/>
  <c r="N204" i="38"/>
  <c r="N166" i="38"/>
  <c r="N165" i="38"/>
  <c r="N125" i="38"/>
  <c r="N46" i="38"/>
  <c r="N1535" i="38" l="1"/>
  <c r="N1536" i="38" s="1"/>
  <c r="N1538" i="38" s="1"/>
  <c r="N1540" i="38" s="1"/>
  <c r="N1556" i="38" s="1"/>
  <c r="N168" i="38"/>
  <c r="M329" i="69"/>
  <c r="N326" i="69"/>
  <c r="N320" i="69"/>
  <c r="N315" i="69"/>
  <c r="N314" i="69"/>
  <c r="N313" i="69"/>
  <c r="N312" i="69"/>
  <c r="N311" i="69"/>
  <c r="N310" i="69"/>
  <c r="K308" i="69"/>
  <c r="L296" i="69"/>
  <c r="N296" i="69" s="1"/>
  <c r="L295" i="69"/>
  <c r="N295" i="69" s="1"/>
  <c r="L294" i="69"/>
  <c r="N294" i="69" s="1"/>
  <c r="L293" i="69"/>
  <c r="N293" i="69" s="1"/>
  <c r="N288" i="69"/>
  <c r="N287" i="69"/>
  <c r="N286" i="69"/>
  <c r="N285" i="69"/>
  <c r="F51" i="9"/>
  <c r="B48" i="11"/>
  <c r="C48" i="11"/>
  <c r="E51" i="9"/>
  <c r="E48" i="11" s="1"/>
  <c r="D51" i="9"/>
  <c r="D48" i="11" s="1"/>
  <c r="M1515" i="38"/>
  <c r="N1512" i="38"/>
  <c r="M1506" i="38"/>
  <c r="N1506" i="38" s="1"/>
  <c r="N1508" i="38" s="1"/>
  <c r="N1503" i="38"/>
  <c r="N1494" i="38"/>
  <c r="L1489" i="38"/>
  <c r="N1489" i="38" s="1"/>
  <c r="L1488" i="38"/>
  <c r="N1488" i="38" s="1"/>
  <c r="N1484" i="38"/>
  <c r="N1483" i="38"/>
  <c r="G89" i="70"/>
  <c r="K646" i="69" s="1"/>
  <c r="N646" i="69" s="1"/>
  <c r="F60" i="11"/>
  <c r="F72" i="9" s="1"/>
  <c r="B60" i="11"/>
  <c r="C60" i="11"/>
  <c r="D72" i="9"/>
  <c r="D60" i="11" s="1"/>
  <c r="E72" i="9"/>
  <c r="E60" i="11" s="1"/>
  <c r="F59" i="11"/>
  <c r="F71" i="9" s="1"/>
  <c r="G138" i="9" l="1"/>
  <c r="N1557" i="38"/>
  <c r="N1558" i="38" s="1"/>
  <c r="N1485" i="38"/>
  <c r="N1490" i="38"/>
  <c r="N1496" i="38" s="1"/>
  <c r="N1498" i="38" s="1"/>
  <c r="N1514" i="38" s="1"/>
  <c r="N308" i="69"/>
  <c r="K309" i="69"/>
  <c r="N309" i="69" s="1"/>
  <c r="N290" i="69"/>
  <c r="N297" i="69"/>
  <c r="N300" i="69" s="1"/>
  <c r="N301" i="69" s="1"/>
  <c r="N303" i="69" s="1"/>
  <c r="N305" i="69" s="1"/>
  <c r="N316" i="69" l="1"/>
  <c r="N328" i="69" s="1"/>
  <c r="N1515" i="38"/>
  <c r="N1516" i="38" s="1"/>
  <c r="G51" i="9"/>
  <c r="H51" i="9" s="1"/>
  <c r="I51" i="9" s="1"/>
  <c r="H75" i="11"/>
  <c r="H71" i="11"/>
  <c r="F103" i="67"/>
  <c r="F57" i="66" s="1"/>
  <c r="L57" i="66" s="1"/>
  <c r="B103" i="67"/>
  <c r="C103" i="67"/>
  <c r="G57" i="66"/>
  <c r="H57" i="66" s="1"/>
  <c r="E57" i="66"/>
  <c r="E103" i="67" s="1"/>
  <c r="D57" i="66"/>
  <c r="D103" i="67" s="1"/>
  <c r="N329" i="69" l="1"/>
  <c r="N330" i="69" s="1"/>
  <c r="G37" i="66"/>
  <c r="I57" i="66"/>
  <c r="F116" i="11" l="1"/>
  <c r="B71" i="11"/>
  <c r="F43" i="11" l="1"/>
  <c r="F42" i="11"/>
  <c r="F41" i="11"/>
  <c r="F39" i="11"/>
  <c r="F8" i="11"/>
  <c r="F127" i="11"/>
  <c r="F38" i="11" l="1"/>
  <c r="F44" i="11" s="1"/>
  <c r="F142" i="11"/>
  <c r="F155" i="9" s="1"/>
  <c r="B142" i="11"/>
  <c r="C142" i="11"/>
  <c r="D141" i="11"/>
  <c r="A141" i="11"/>
  <c r="G155" i="9"/>
  <c r="H155" i="9" s="1"/>
  <c r="E155" i="9"/>
  <c r="E142" i="11" s="1"/>
  <c r="D155" i="9"/>
  <c r="D142" i="11" s="1"/>
  <c r="A155" i="9"/>
  <c r="A142" i="11" s="1"/>
  <c r="N1228" i="38"/>
  <c r="E99" i="9"/>
  <c r="D99" i="9"/>
  <c r="M1474" i="38"/>
  <c r="F145" i="43"/>
  <c r="F144" i="43"/>
  <c r="F143" i="43"/>
  <c r="H139" i="43" s="1"/>
  <c r="K1461" i="38" s="1"/>
  <c r="N1461" i="38" s="1"/>
  <c r="N1463" i="38" s="1"/>
  <c r="N1471" i="38"/>
  <c r="N1467" i="38"/>
  <c r="N1454" i="38"/>
  <c r="L1449" i="38"/>
  <c r="N1449" i="38" s="1"/>
  <c r="L1448" i="38"/>
  <c r="N1448" i="38" s="1"/>
  <c r="N1445" i="38"/>
  <c r="I155" i="9" l="1"/>
  <c r="N1450" i="38"/>
  <c r="N1456" i="38" s="1"/>
  <c r="N1458" i="38" s="1"/>
  <c r="N1473" i="38" s="1"/>
  <c r="C25" i="65" l="1"/>
  <c r="N1474" i="38"/>
  <c r="N1475" i="38" s="1"/>
  <c r="G99" i="9"/>
  <c r="F45" i="9"/>
  <c r="F46" i="9"/>
  <c r="F47" i="9"/>
  <c r="F49" i="9"/>
  <c r="B35" i="11"/>
  <c r="C35" i="11"/>
  <c r="D43" i="9"/>
  <c r="D35" i="11" s="1"/>
  <c r="E43" i="9"/>
  <c r="E35" i="11" s="1"/>
  <c r="G43" i="9"/>
  <c r="H43" i="9" s="1"/>
  <c r="E1432" i="8"/>
  <c r="G1432" i="8" s="1"/>
  <c r="B63" i="11"/>
  <c r="C63" i="11"/>
  <c r="A78" i="9"/>
  <c r="E78" i="9"/>
  <c r="E63" i="11" s="1"/>
  <c r="D78" i="9"/>
  <c r="D63" i="11" s="1"/>
  <c r="K25" i="65" l="1"/>
  <c r="M25" i="65"/>
  <c r="O25" i="65"/>
  <c r="Q25" i="65"/>
  <c r="S25" i="65"/>
  <c r="I25" i="65"/>
  <c r="A63" i="11"/>
  <c r="A79" i="9"/>
  <c r="A80" i="9" s="1"/>
  <c r="A81" i="9" s="1"/>
  <c r="D42" i="9"/>
  <c r="D34" i="11" s="1"/>
  <c r="E42" i="9"/>
  <c r="E34" i="11" s="1"/>
  <c r="B34" i="11"/>
  <c r="C34" i="11"/>
  <c r="F34" i="11"/>
  <c r="F42" i="9" l="1"/>
  <c r="F35" i="11"/>
  <c r="F43" i="9" s="1"/>
  <c r="F54" i="11" l="1"/>
  <c r="F51" i="11"/>
  <c r="E39" i="9"/>
  <c r="D39" i="9"/>
  <c r="H3" i="11"/>
  <c r="F120" i="11"/>
  <c r="B120" i="11"/>
  <c r="C120" i="11"/>
  <c r="E144" i="9"/>
  <c r="E120" i="11" s="1"/>
  <c r="D144" i="9"/>
  <c r="D120" i="11" s="1"/>
  <c r="M1435" i="38"/>
  <c r="N1432" i="38"/>
  <c r="N1428" i="38"/>
  <c r="N1422" i="38"/>
  <c r="N1421" i="38"/>
  <c r="N1420" i="38"/>
  <c r="N1413" i="38"/>
  <c r="L1408" i="38"/>
  <c r="N1408" i="38" s="1"/>
  <c r="L1407" i="38"/>
  <c r="N1407" i="38" s="1"/>
  <c r="N1404" i="38"/>
  <c r="F80" i="11"/>
  <c r="F79" i="11"/>
  <c r="F78" i="11"/>
  <c r="B77" i="11"/>
  <c r="C77" i="11"/>
  <c r="B78" i="11"/>
  <c r="C78" i="11"/>
  <c r="B79" i="11"/>
  <c r="C79" i="11"/>
  <c r="B80" i="11"/>
  <c r="C80" i="11"/>
  <c r="D91" i="9"/>
  <c r="D78" i="11" s="1"/>
  <c r="E91" i="9"/>
  <c r="E78" i="11" s="1"/>
  <c r="G91" i="9"/>
  <c r="H91" i="9" s="1"/>
  <c r="D92" i="9"/>
  <c r="D79" i="11" s="1"/>
  <c r="E92" i="9"/>
  <c r="E79" i="11" s="1"/>
  <c r="G92" i="9"/>
  <c r="H92" i="9" s="1"/>
  <c r="D93" i="9"/>
  <c r="D80" i="11" s="1"/>
  <c r="E93" i="9"/>
  <c r="E80" i="11" s="1"/>
  <c r="G93" i="9"/>
  <c r="H93" i="9" s="1"/>
  <c r="F17" i="9"/>
  <c r="C18" i="11"/>
  <c r="D17" i="9"/>
  <c r="D18" i="11" s="1"/>
  <c r="E17" i="9"/>
  <c r="E18" i="11" s="1"/>
  <c r="G17" i="9"/>
  <c r="H17" i="9" s="1"/>
  <c r="F174" i="66"/>
  <c r="L174" i="66" s="1"/>
  <c r="F167" i="66"/>
  <c r="L167" i="66" s="1"/>
  <c r="F168" i="66"/>
  <c r="L168" i="66" s="1"/>
  <c r="F169" i="66"/>
  <c r="L169" i="66" s="1"/>
  <c r="F170" i="66"/>
  <c r="L170" i="66" s="1"/>
  <c r="F171" i="66"/>
  <c r="L171" i="66" s="1"/>
  <c r="F138" i="66"/>
  <c r="L138" i="66" s="1"/>
  <c r="F139" i="66"/>
  <c r="L139" i="66" s="1"/>
  <c r="F140" i="66"/>
  <c r="L140" i="66" s="1"/>
  <c r="F141" i="66"/>
  <c r="L141" i="66" s="1"/>
  <c r="F142" i="66"/>
  <c r="L142" i="66" s="1"/>
  <c r="F143" i="66"/>
  <c r="L143" i="66" s="1"/>
  <c r="F144" i="66"/>
  <c r="L144" i="66" s="1"/>
  <c r="F145" i="66"/>
  <c r="L145" i="66" s="1"/>
  <c r="F146" i="66"/>
  <c r="L146" i="66" s="1"/>
  <c r="F147" i="66"/>
  <c r="L147" i="66" s="1"/>
  <c r="F148" i="66"/>
  <c r="L148" i="66" s="1"/>
  <c r="F149" i="66"/>
  <c r="L149" i="66" s="1"/>
  <c r="F150" i="66"/>
  <c r="L150" i="66" s="1"/>
  <c r="F151" i="66"/>
  <c r="L151" i="66" s="1"/>
  <c r="F152" i="66"/>
  <c r="L152" i="66" s="1"/>
  <c r="F153" i="66"/>
  <c r="L153" i="66" s="1"/>
  <c r="F154" i="66"/>
  <c r="L154" i="66" s="1"/>
  <c r="F155" i="66"/>
  <c r="L155" i="66" s="1"/>
  <c r="F156" i="66"/>
  <c r="L156" i="66" s="1"/>
  <c r="F157" i="66"/>
  <c r="L157" i="66" s="1"/>
  <c r="F137" i="66"/>
  <c r="L137" i="66" s="1"/>
  <c r="F135" i="66"/>
  <c r="L135" i="66" s="1"/>
  <c r="F126" i="66"/>
  <c r="L126" i="66" s="1"/>
  <c r="F128" i="66"/>
  <c r="L128" i="66" s="1"/>
  <c r="F129" i="66"/>
  <c r="L129" i="66" s="1"/>
  <c r="F130" i="66"/>
  <c r="L130" i="66" s="1"/>
  <c r="F131" i="66"/>
  <c r="L131" i="66" s="1"/>
  <c r="F132" i="66"/>
  <c r="L132" i="66" s="1"/>
  <c r="F125" i="66"/>
  <c r="L125" i="66" s="1"/>
  <c r="F96" i="66"/>
  <c r="L96" i="66" s="1"/>
  <c r="F97" i="66"/>
  <c r="L97" i="66" s="1"/>
  <c r="F98" i="66"/>
  <c r="L98" i="66" s="1"/>
  <c r="F99" i="66"/>
  <c r="L99" i="66" s="1"/>
  <c r="F100" i="66"/>
  <c r="L100" i="66" s="1"/>
  <c r="F101" i="66"/>
  <c r="L101" i="66" s="1"/>
  <c r="F102" i="66"/>
  <c r="L102" i="66" s="1"/>
  <c r="F103" i="66"/>
  <c r="L103" i="66" s="1"/>
  <c r="F104" i="66"/>
  <c r="L104" i="66" s="1"/>
  <c r="F105" i="66"/>
  <c r="L105" i="66" s="1"/>
  <c r="F106" i="66"/>
  <c r="L106" i="66" s="1"/>
  <c r="F107" i="66"/>
  <c r="L107" i="66" s="1"/>
  <c r="F108" i="66"/>
  <c r="L108" i="66" s="1"/>
  <c r="F109" i="66"/>
  <c r="L109" i="66" s="1"/>
  <c r="F110" i="66"/>
  <c r="L110" i="66" s="1"/>
  <c r="F111" i="66"/>
  <c r="L111" i="66" s="1"/>
  <c r="F112" i="66"/>
  <c r="L112" i="66" s="1"/>
  <c r="F113" i="66"/>
  <c r="L113" i="66" s="1"/>
  <c r="F114" i="66"/>
  <c r="L114" i="66" s="1"/>
  <c r="F115" i="66"/>
  <c r="L115" i="66" s="1"/>
  <c r="F116" i="66"/>
  <c r="L116" i="66" s="1"/>
  <c r="F117" i="66"/>
  <c r="L117" i="66" s="1"/>
  <c r="F118" i="66"/>
  <c r="L118" i="66" s="1"/>
  <c r="F119" i="66"/>
  <c r="L119" i="66" s="1"/>
  <c r="F120" i="66"/>
  <c r="L120" i="66" s="1"/>
  <c r="F121" i="66"/>
  <c r="L121" i="66" s="1"/>
  <c r="F122" i="66"/>
  <c r="L122" i="66" s="1"/>
  <c r="F123" i="66"/>
  <c r="L123" i="66" s="1"/>
  <c r="F95" i="66"/>
  <c r="L95" i="66" s="1"/>
  <c r="F66" i="66"/>
  <c r="L66" i="66" s="1"/>
  <c r="F67" i="66"/>
  <c r="L67" i="66" s="1"/>
  <c r="F68" i="66"/>
  <c r="L68" i="66" s="1"/>
  <c r="F69" i="66"/>
  <c r="L69" i="66" s="1"/>
  <c r="F70" i="66"/>
  <c r="L70" i="66" s="1"/>
  <c r="F71" i="66"/>
  <c r="L71" i="66" s="1"/>
  <c r="F72" i="66"/>
  <c r="L72" i="66" s="1"/>
  <c r="F73" i="66"/>
  <c r="L73" i="66" s="1"/>
  <c r="F74" i="66"/>
  <c r="L74" i="66" s="1"/>
  <c r="F75" i="66"/>
  <c r="L75" i="66" s="1"/>
  <c r="F76" i="66"/>
  <c r="L76" i="66" s="1"/>
  <c r="F77" i="66"/>
  <c r="L77" i="66" s="1"/>
  <c r="F78" i="66"/>
  <c r="L78" i="66" s="1"/>
  <c r="F79" i="66"/>
  <c r="L79" i="66" s="1"/>
  <c r="F80" i="66"/>
  <c r="L80" i="66" s="1"/>
  <c r="F81" i="66"/>
  <c r="L81" i="66" s="1"/>
  <c r="F82" i="66"/>
  <c r="L82" i="66" s="1"/>
  <c r="F83" i="66"/>
  <c r="L83" i="66" s="1"/>
  <c r="F84" i="66"/>
  <c r="L84" i="66" s="1"/>
  <c r="F85" i="66"/>
  <c r="L85" i="66" s="1"/>
  <c r="F86" i="66"/>
  <c r="L86" i="66" s="1"/>
  <c r="F87" i="66"/>
  <c r="L87" i="66" s="1"/>
  <c r="F88" i="66"/>
  <c r="L88" i="66" s="1"/>
  <c r="F89" i="66"/>
  <c r="L89" i="66" s="1"/>
  <c r="F90" i="66"/>
  <c r="L90" i="66" s="1"/>
  <c r="F91" i="66"/>
  <c r="L91" i="66" s="1"/>
  <c r="F92" i="66"/>
  <c r="L92" i="66" s="1"/>
  <c r="F93" i="66"/>
  <c r="L93" i="66" s="1"/>
  <c r="F65" i="66"/>
  <c r="L65" i="66" s="1"/>
  <c r="F62" i="66"/>
  <c r="L62" i="66" s="1"/>
  <c r="F63" i="66"/>
  <c r="L63" i="66" s="1"/>
  <c r="F61" i="66"/>
  <c r="L61" i="66" s="1"/>
  <c r="F55" i="66"/>
  <c r="L55" i="66" s="1"/>
  <c r="F45" i="66"/>
  <c r="L45" i="66" s="1"/>
  <c r="F43" i="66"/>
  <c r="L43" i="66" s="1"/>
  <c r="F42" i="67"/>
  <c r="F35" i="67"/>
  <c r="F31" i="67"/>
  <c r="F27" i="66" l="1"/>
  <c r="L27" i="66" s="1"/>
  <c r="F30" i="66"/>
  <c r="L30" i="66" s="1"/>
  <c r="F37" i="66"/>
  <c r="L37" i="66" s="1"/>
  <c r="F28" i="66"/>
  <c r="L28" i="66" s="1"/>
  <c r="F19" i="66"/>
  <c r="L19" i="66" s="1"/>
  <c r="F23" i="66"/>
  <c r="L23" i="66" s="1"/>
  <c r="F18" i="66"/>
  <c r="L18" i="66" s="1"/>
  <c r="F20" i="66"/>
  <c r="L20" i="66" s="1"/>
  <c r="F21" i="66"/>
  <c r="L21" i="66" s="1"/>
  <c r="F22" i="66"/>
  <c r="L22" i="66" s="1"/>
  <c r="F26" i="66"/>
  <c r="L26" i="66" s="1"/>
  <c r="F29" i="66"/>
  <c r="L29" i="66" s="1"/>
  <c r="F144" i="9"/>
  <c r="F91" i="9"/>
  <c r="I91" i="9" s="1"/>
  <c r="F92" i="9"/>
  <c r="I92" i="9" s="1"/>
  <c r="F93" i="9"/>
  <c r="I93" i="9" s="1"/>
  <c r="N1409" i="38"/>
  <c r="N1415" i="38" s="1"/>
  <c r="N1417" i="38" s="1"/>
  <c r="N1424" i="38"/>
  <c r="I17" i="9"/>
  <c r="N1434" i="38" l="1"/>
  <c r="G144" i="9" l="1"/>
  <c r="H144" i="9" s="1"/>
  <c r="I144" i="9" s="1"/>
  <c r="N1435" i="38"/>
  <c r="N1436" i="38" s="1"/>
  <c r="F117" i="9" l="1"/>
  <c r="C101" i="11"/>
  <c r="E117" i="9"/>
  <c r="E101" i="11" s="1"/>
  <c r="D117" i="9"/>
  <c r="D101" i="11" s="1"/>
  <c r="M1394" i="38"/>
  <c r="N1391" i="38"/>
  <c r="N1387" i="38"/>
  <c r="N1381" i="38"/>
  <c r="N1383" i="38" s="1"/>
  <c r="N1374" i="38"/>
  <c r="L1369" i="38"/>
  <c r="N1369" i="38" s="1"/>
  <c r="L1368" i="38"/>
  <c r="N1368" i="38" s="1"/>
  <c r="N1365" i="38"/>
  <c r="F116" i="9"/>
  <c r="C100" i="11"/>
  <c r="M1354" i="38"/>
  <c r="E116" i="9"/>
  <c r="E100" i="11" s="1"/>
  <c r="D116" i="9"/>
  <c r="D100" i="11" s="1"/>
  <c r="N1351" i="38"/>
  <c r="N1347" i="38"/>
  <c r="N1341" i="38"/>
  <c r="N1343" i="38" s="1"/>
  <c r="N1334" i="38"/>
  <c r="L1329" i="38"/>
  <c r="N1329" i="38" s="1"/>
  <c r="L1328" i="38"/>
  <c r="N1328" i="38" s="1"/>
  <c r="N1325" i="38"/>
  <c r="F97" i="11"/>
  <c r="F96" i="11"/>
  <c r="F95" i="11"/>
  <c r="F94" i="11"/>
  <c r="F83" i="11"/>
  <c r="M2964" i="69"/>
  <c r="M1257" i="69"/>
  <c r="M2925" i="69"/>
  <c r="M2881" i="69"/>
  <c r="M2838" i="69"/>
  <c r="M2796" i="69"/>
  <c r="M2754" i="69"/>
  <c r="M2711" i="69"/>
  <c r="M2668" i="69"/>
  <c r="M2624" i="69"/>
  <c r="M2581" i="69"/>
  <c r="M2539" i="69"/>
  <c r="M2495" i="69"/>
  <c r="M2451" i="69"/>
  <c r="M2407" i="69"/>
  <c r="M2362" i="69"/>
  <c r="M2318" i="69"/>
  <c r="M2274" i="69"/>
  <c r="M2230" i="69"/>
  <c r="M2185" i="69"/>
  <c r="M2141" i="69"/>
  <c r="M2097" i="69"/>
  <c r="M2053" i="69"/>
  <c r="M2012" i="69"/>
  <c r="M1971" i="69"/>
  <c r="M1930" i="69"/>
  <c r="M1888" i="69"/>
  <c r="M1846" i="69"/>
  <c r="M1804" i="69"/>
  <c r="M1762" i="69"/>
  <c r="M1720" i="69"/>
  <c r="M1678" i="69"/>
  <c r="M1636" i="69"/>
  <c r="M1594" i="69"/>
  <c r="M1552" i="69"/>
  <c r="M1510" i="69"/>
  <c r="M1469" i="69"/>
  <c r="M1427" i="69"/>
  <c r="M1384" i="69"/>
  <c r="M1343" i="69"/>
  <c r="M1300" i="69"/>
  <c r="M1218" i="69"/>
  <c r="M1179" i="69"/>
  <c r="M1140" i="69"/>
  <c r="M1101" i="69"/>
  <c r="M1062" i="69"/>
  <c r="M1023" i="69"/>
  <c r="M979" i="69"/>
  <c r="M933" i="69"/>
  <c r="M890" i="69"/>
  <c r="M848" i="69"/>
  <c r="M806" i="69"/>
  <c r="M764" i="69"/>
  <c r="M722" i="69"/>
  <c r="M661" i="69"/>
  <c r="M607" i="69"/>
  <c r="M563" i="69"/>
  <c r="M519" i="69"/>
  <c r="M472" i="69"/>
  <c r="M424" i="69"/>
  <c r="M380" i="69"/>
  <c r="M275" i="69"/>
  <c r="M225" i="69"/>
  <c r="M176" i="69"/>
  <c r="M133" i="69"/>
  <c r="M86" i="69"/>
  <c r="M40" i="69"/>
  <c r="N1330" i="38" l="1"/>
  <c r="N1336" i="38" s="1"/>
  <c r="N1338" i="38" s="1"/>
  <c r="N1353" i="38" s="1"/>
  <c r="N1370" i="38"/>
  <c r="N1376" i="38" s="1"/>
  <c r="N1378" i="38" s="1"/>
  <c r="N1393" i="38" s="1"/>
  <c r="G116" i="9" l="1"/>
  <c r="H116" i="9" s="1"/>
  <c r="I116" i="9" s="1"/>
  <c r="N1354" i="38"/>
  <c r="N1355" i="38" s="1"/>
  <c r="N1394" i="38"/>
  <c r="N1395" i="38" s="1"/>
  <c r="G117" i="9"/>
  <c r="H117" i="9" s="1"/>
  <c r="I117" i="9" s="1"/>
  <c r="B25" i="68"/>
  <c r="B24" i="68"/>
  <c r="B23" i="68"/>
  <c r="B22" i="68"/>
  <c r="B21" i="68"/>
  <c r="B20" i="68"/>
  <c r="B19" i="68"/>
  <c r="B18" i="68"/>
  <c r="B17" i="68"/>
  <c r="B16" i="68"/>
  <c r="B15" i="68"/>
  <c r="B14" i="68"/>
  <c r="B13" i="68"/>
  <c r="B12" i="68"/>
  <c r="B11" i="68"/>
  <c r="E170" i="66"/>
  <c r="D170" i="66"/>
  <c r="E169" i="66"/>
  <c r="D169" i="66"/>
  <c r="E168" i="66"/>
  <c r="D168" i="66"/>
  <c r="E167" i="66"/>
  <c r="D167" i="66"/>
  <c r="E166" i="66"/>
  <c r="D166" i="66"/>
  <c r="E163" i="66"/>
  <c r="D163" i="66"/>
  <c r="E159" i="66"/>
  <c r="D159" i="66"/>
  <c r="E158" i="66"/>
  <c r="D158" i="66"/>
  <c r="E155" i="66"/>
  <c r="D155" i="66"/>
  <c r="E154" i="66"/>
  <c r="D154" i="66"/>
  <c r="E153" i="66"/>
  <c r="D153" i="66"/>
  <c r="E152" i="66"/>
  <c r="D152" i="66"/>
  <c r="E151" i="66"/>
  <c r="D151" i="66"/>
  <c r="E150" i="66"/>
  <c r="D150" i="66"/>
  <c r="E149" i="66"/>
  <c r="D149" i="66"/>
  <c r="E148" i="66"/>
  <c r="D148" i="66"/>
  <c r="E145" i="66"/>
  <c r="D145" i="66"/>
  <c r="E144" i="66"/>
  <c r="D144" i="66"/>
  <c r="E143" i="66"/>
  <c r="D143" i="66"/>
  <c r="E142" i="66"/>
  <c r="D142" i="66"/>
  <c r="E141" i="66"/>
  <c r="D141" i="66"/>
  <c r="E140" i="66"/>
  <c r="D140" i="66"/>
  <c r="E139" i="66"/>
  <c r="D139" i="66"/>
  <c r="E135" i="66"/>
  <c r="D135" i="66"/>
  <c r="E134" i="66"/>
  <c r="D134" i="66"/>
  <c r="E129" i="66"/>
  <c r="D129" i="66"/>
  <c r="E128" i="66"/>
  <c r="D128" i="66"/>
  <c r="E126" i="66"/>
  <c r="D126" i="66"/>
  <c r="E123" i="66"/>
  <c r="D123" i="66"/>
  <c r="E117" i="66"/>
  <c r="D117" i="66"/>
  <c r="E116" i="66"/>
  <c r="D116" i="66"/>
  <c r="E115" i="66"/>
  <c r="D115" i="66"/>
  <c r="E114" i="66"/>
  <c r="D114" i="66"/>
  <c r="E113" i="66"/>
  <c r="D113" i="66"/>
  <c r="E108" i="66"/>
  <c r="D108" i="66"/>
  <c r="E107" i="66"/>
  <c r="D107" i="66"/>
  <c r="E106" i="66"/>
  <c r="D106" i="66"/>
  <c r="E105" i="66"/>
  <c r="D105" i="66"/>
  <c r="E104" i="66"/>
  <c r="D104" i="66"/>
  <c r="E103" i="66"/>
  <c r="D103" i="66"/>
  <c r="E102" i="66"/>
  <c r="D102" i="66"/>
  <c r="E87" i="66"/>
  <c r="D87" i="66"/>
  <c r="E85" i="66"/>
  <c r="D85" i="66"/>
  <c r="E84" i="66"/>
  <c r="D84" i="66"/>
  <c r="E81" i="66"/>
  <c r="D81" i="66"/>
  <c r="E80" i="66"/>
  <c r="D80" i="66"/>
  <c r="E79" i="66"/>
  <c r="D79" i="66"/>
  <c r="E78" i="66"/>
  <c r="D78" i="66"/>
  <c r="E77" i="66"/>
  <c r="D77" i="66"/>
  <c r="E76" i="66"/>
  <c r="D76" i="66"/>
  <c r="E74" i="66"/>
  <c r="D74" i="66"/>
  <c r="E73" i="66"/>
  <c r="D73" i="66"/>
  <c r="E72" i="66"/>
  <c r="D72" i="66"/>
  <c r="E71" i="66"/>
  <c r="D71" i="66"/>
  <c r="E70" i="66"/>
  <c r="D70" i="66"/>
  <c r="E56" i="66"/>
  <c r="D56" i="66"/>
  <c r="E52" i="66"/>
  <c r="D52" i="66"/>
  <c r="E49" i="66"/>
  <c r="D49" i="66"/>
  <c r="E46" i="66"/>
  <c r="D46" i="66"/>
  <c r="F46" i="66"/>
  <c r="L46" i="66" s="1"/>
  <c r="E45" i="66"/>
  <c r="D45" i="66"/>
  <c r="E43" i="66"/>
  <c r="D43" i="66"/>
  <c r="E42" i="66"/>
  <c r="D42" i="66"/>
  <c r="E41" i="66"/>
  <c r="D41" i="66"/>
  <c r="E37" i="66"/>
  <c r="D37" i="66"/>
  <c r="E36" i="66"/>
  <c r="D36" i="66"/>
  <c r="E26" i="66"/>
  <c r="D26" i="66"/>
  <c r="E19" i="66"/>
  <c r="D19" i="66"/>
  <c r="F10" i="66" l="1"/>
  <c r="L10" i="66" s="1"/>
  <c r="F317" i="70"/>
  <c r="F316" i="70"/>
  <c r="F315" i="70"/>
  <c r="F305" i="70"/>
  <c r="F304" i="70"/>
  <c r="F303" i="70"/>
  <c r="B233" i="67"/>
  <c r="C233" i="67"/>
  <c r="B227" i="67"/>
  <c r="C227" i="67"/>
  <c r="D227" i="67"/>
  <c r="E227" i="67"/>
  <c r="B228" i="67"/>
  <c r="C228" i="67"/>
  <c r="D228" i="67"/>
  <c r="E228" i="67"/>
  <c r="B229" i="67"/>
  <c r="C229" i="67"/>
  <c r="D229" i="67"/>
  <c r="E229" i="67"/>
  <c r="B230" i="67"/>
  <c r="C230" i="67"/>
  <c r="D230" i="67"/>
  <c r="E230" i="67"/>
  <c r="B231" i="67"/>
  <c r="C231" i="67"/>
  <c r="E226" i="67"/>
  <c r="B226" i="67"/>
  <c r="C226" i="67"/>
  <c r="D226" i="67"/>
  <c r="B222" i="67"/>
  <c r="C222" i="67"/>
  <c r="D222" i="67"/>
  <c r="E222" i="67"/>
  <c r="B215" i="67"/>
  <c r="C215" i="67"/>
  <c r="D215" i="67"/>
  <c r="E215" i="67"/>
  <c r="B190" i="67"/>
  <c r="C190" i="67"/>
  <c r="B191" i="67"/>
  <c r="C191" i="67"/>
  <c r="D191" i="67"/>
  <c r="E191" i="67"/>
  <c r="B192" i="67"/>
  <c r="C192" i="67"/>
  <c r="D192" i="67"/>
  <c r="E192" i="67"/>
  <c r="B193" i="67"/>
  <c r="C193" i="67"/>
  <c r="D193" i="67"/>
  <c r="E193" i="67"/>
  <c r="B194" i="67"/>
  <c r="C194" i="67"/>
  <c r="D194" i="67"/>
  <c r="E194" i="67"/>
  <c r="B195" i="67"/>
  <c r="C195" i="67"/>
  <c r="D195" i="67"/>
  <c r="E195" i="67"/>
  <c r="B196" i="67"/>
  <c r="C196" i="67"/>
  <c r="D196" i="67"/>
  <c r="E196" i="67"/>
  <c r="B197" i="67"/>
  <c r="C197" i="67"/>
  <c r="D197" i="67"/>
  <c r="E197" i="67"/>
  <c r="B198" i="67"/>
  <c r="C198" i="67"/>
  <c r="B199" i="67"/>
  <c r="C199" i="67"/>
  <c r="B200" i="67"/>
  <c r="C200" i="67"/>
  <c r="D200" i="67"/>
  <c r="E200" i="67"/>
  <c r="B201" i="67"/>
  <c r="C201" i="67"/>
  <c r="D201" i="67"/>
  <c r="E201" i="67"/>
  <c r="B202" i="67"/>
  <c r="C202" i="67"/>
  <c r="D202" i="67"/>
  <c r="E202" i="67"/>
  <c r="B203" i="67"/>
  <c r="C203" i="67"/>
  <c r="D203" i="67"/>
  <c r="E203" i="67"/>
  <c r="B204" i="67"/>
  <c r="C204" i="67"/>
  <c r="D204" i="67"/>
  <c r="E204" i="67"/>
  <c r="B205" i="67"/>
  <c r="C205" i="67"/>
  <c r="D205" i="67"/>
  <c r="E205" i="67"/>
  <c r="B206" i="67"/>
  <c r="C206" i="67"/>
  <c r="D206" i="67"/>
  <c r="E206" i="67"/>
  <c r="B207" i="67"/>
  <c r="C207" i="67"/>
  <c r="D207" i="67"/>
  <c r="E207" i="67"/>
  <c r="B208" i="67"/>
  <c r="C208" i="67"/>
  <c r="B209" i="67"/>
  <c r="C209" i="67"/>
  <c r="B210" i="67"/>
  <c r="C210" i="67"/>
  <c r="D210" i="67"/>
  <c r="E210" i="67"/>
  <c r="B189" i="67"/>
  <c r="C189" i="67"/>
  <c r="B187" i="67"/>
  <c r="C187" i="67"/>
  <c r="D187" i="67"/>
  <c r="E187" i="67"/>
  <c r="B180" i="67"/>
  <c r="C180" i="67"/>
  <c r="D180" i="67"/>
  <c r="E180" i="67"/>
  <c r="B172" i="67"/>
  <c r="C172" i="67"/>
  <c r="D172" i="67"/>
  <c r="E172" i="67"/>
  <c r="B173" i="67"/>
  <c r="C173" i="67"/>
  <c r="B174" i="67"/>
  <c r="C174" i="67"/>
  <c r="D174" i="67"/>
  <c r="E174" i="67"/>
  <c r="B175" i="67"/>
  <c r="C175" i="67"/>
  <c r="D175" i="67"/>
  <c r="E175" i="67"/>
  <c r="B176" i="67"/>
  <c r="C176" i="67"/>
  <c r="B177" i="67"/>
  <c r="C177" i="67"/>
  <c r="B178" i="67"/>
  <c r="C178" i="67"/>
  <c r="B171" i="67"/>
  <c r="C171" i="67"/>
  <c r="B142" i="67"/>
  <c r="C142" i="67"/>
  <c r="B143" i="67"/>
  <c r="C143" i="67"/>
  <c r="B144" i="67"/>
  <c r="C144" i="67"/>
  <c r="B145" i="67"/>
  <c r="C145" i="67"/>
  <c r="B146" i="67"/>
  <c r="C146" i="67"/>
  <c r="D146" i="67"/>
  <c r="E146" i="67"/>
  <c r="B147" i="67"/>
  <c r="C147" i="67"/>
  <c r="D147" i="67"/>
  <c r="E147" i="67"/>
  <c r="B148" i="67"/>
  <c r="C148" i="67"/>
  <c r="D148" i="67"/>
  <c r="E148" i="67"/>
  <c r="B149" i="67"/>
  <c r="C149" i="67"/>
  <c r="D149" i="67"/>
  <c r="E149" i="67"/>
  <c r="B150" i="67"/>
  <c r="C150" i="67"/>
  <c r="D150" i="67"/>
  <c r="E150" i="67"/>
  <c r="B151" i="67"/>
  <c r="C151" i="67"/>
  <c r="D151" i="67"/>
  <c r="E151" i="67"/>
  <c r="B152" i="67"/>
  <c r="C152" i="67"/>
  <c r="D152" i="67"/>
  <c r="E152" i="67"/>
  <c r="B153" i="67"/>
  <c r="C153" i="67"/>
  <c r="D153" i="67"/>
  <c r="E153" i="67"/>
  <c r="B154" i="67"/>
  <c r="C154" i="67"/>
  <c r="D154" i="67"/>
  <c r="E154" i="67"/>
  <c r="B155" i="67"/>
  <c r="C155" i="67"/>
  <c r="D155" i="67"/>
  <c r="E155" i="67"/>
  <c r="B156" i="67"/>
  <c r="C156" i="67"/>
  <c r="D156" i="67"/>
  <c r="E156" i="67"/>
  <c r="B157" i="67"/>
  <c r="C157" i="67"/>
  <c r="D157" i="67"/>
  <c r="E157" i="67"/>
  <c r="B158" i="67"/>
  <c r="C158" i="67"/>
  <c r="D158" i="67"/>
  <c r="E158" i="67"/>
  <c r="B159" i="67"/>
  <c r="C159" i="67"/>
  <c r="D159" i="67"/>
  <c r="E159" i="67"/>
  <c r="B160" i="67"/>
  <c r="C160" i="67"/>
  <c r="D160" i="67"/>
  <c r="E160" i="67"/>
  <c r="B161" i="67"/>
  <c r="C161" i="67"/>
  <c r="D161" i="67"/>
  <c r="E161" i="67"/>
  <c r="B162" i="67"/>
  <c r="C162" i="67"/>
  <c r="D162" i="67"/>
  <c r="E162" i="67"/>
  <c r="B163" i="67"/>
  <c r="C163" i="67"/>
  <c r="D163" i="67"/>
  <c r="E163" i="67"/>
  <c r="B164" i="67"/>
  <c r="C164" i="67"/>
  <c r="D164" i="67"/>
  <c r="E164" i="67"/>
  <c r="B165" i="67"/>
  <c r="C165" i="67"/>
  <c r="D165" i="67"/>
  <c r="E165" i="67"/>
  <c r="B166" i="67"/>
  <c r="C166" i="67"/>
  <c r="D166" i="67"/>
  <c r="E166" i="67"/>
  <c r="B167" i="67"/>
  <c r="C167" i="67"/>
  <c r="D167" i="67"/>
  <c r="E167" i="67"/>
  <c r="B168" i="67"/>
  <c r="C168" i="67"/>
  <c r="B169" i="67"/>
  <c r="C169" i="67"/>
  <c r="D169" i="67"/>
  <c r="E169" i="67"/>
  <c r="B141" i="67"/>
  <c r="C141" i="67"/>
  <c r="B112" i="67"/>
  <c r="C112" i="67"/>
  <c r="B113" i="67"/>
  <c r="C113" i="67"/>
  <c r="B114" i="67"/>
  <c r="C114" i="67"/>
  <c r="D114" i="67"/>
  <c r="E114" i="67"/>
  <c r="B115" i="67"/>
  <c r="C115" i="67"/>
  <c r="D115" i="67"/>
  <c r="E115" i="67"/>
  <c r="B116" i="67"/>
  <c r="C116" i="67"/>
  <c r="D116" i="67"/>
  <c r="E116" i="67"/>
  <c r="B117" i="67"/>
  <c r="C117" i="67"/>
  <c r="D117" i="67"/>
  <c r="E117" i="67"/>
  <c r="B118" i="67"/>
  <c r="C118" i="67"/>
  <c r="D118" i="67"/>
  <c r="E118" i="67"/>
  <c r="B119" i="67"/>
  <c r="C119" i="67"/>
  <c r="D119" i="67"/>
  <c r="E119" i="67"/>
  <c r="B120" i="67"/>
  <c r="C120" i="67"/>
  <c r="D120" i="67"/>
  <c r="E120" i="67"/>
  <c r="B121" i="67"/>
  <c r="C121" i="67"/>
  <c r="D121" i="67"/>
  <c r="E121" i="67"/>
  <c r="B122" i="67"/>
  <c r="C122" i="67"/>
  <c r="D122" i="67"/>
  <c r="E122" i="67"/>
  <c r="B123" i="67"/>
  <c r="C123" i="67"/>
  <c r="D123" i="67"/>
  <c r="E123" i="67"/>
  <c r="B124" i="67"/>
  <c r="C124" i="67"/>
  <c r="D124" i="67"/>
  <c r="E124" i="67"/>
  <c r="B125" i="67"/>
  <c r="C125" i="67"/>
  <c r="D125" i="67"/>
  <c r="E125" i="67"/>
  <c r="B126" i="67"/>
  <c r="C126" i="67"/>
  <c r="D126" i="67"/>
  <c r="E126" i="67"/>
  <c r="B127" i="67"/>
  <c r="C127" i="67"/>
  <c r="D127" i="67"/>
  <c r="E127" i="67"/>
  <c r="B128" i="67"/>
  <c r="C128" i="67"/>
  <c r="D128" i="67"/>
  <c r="E128" i="67"/>
  <c r="B129" i="67"/>
  <c r="C129" i="67"/>
  <c r="D129" i="67"/>
  <c r="E129" i="67"/>
  <c r="B130" i="67"/>
  <c r="C130" i="67"/>
  <c r="D130" i="67"/>
  <c r="E130" i="67"/>
  <c r="B131" i="67"/>
  <c r="C131" i="67"/>
  <c r="D131" i="67"/>
  <c r="E131" i="67"/>
  <c r="B132" i="67"/>
  <c r="C132" i="67"/>
  <c r="D132" i="67"/>
  <c r="E132" i="67"/>
  <c r="B133" i="67"/>
  <c r="C133" i="67"/>
  <c r="D133" i="67"/>
  <c r="E133" i="67"/>
  <c r="B134" i="67"/>
  <c r="C134" i="67"/>
  <c r="B135" i="67"/>
  <c r="C135" i="67"/>
  <c r="B136" i="67"/>
  <c r="C136" i="67"/>
  <c r="B137" i="67"/>
  <c r="C137" i="67"/>
  <c r="B138" i="67"/>
  <c r="C138" i="67"/>
  <c r="D138" i="67"/>
  <c r="E138" i="67"/>
  <c r="B139" i="67"/>
  <c r="C139" i="67"/>
  <c r="B111" i="67"/>
  <c r="C111" i="67"/>
  <c r="B108" i="67"/>
  <c r="C108" i="67"/>
  <c r="B109" i="67"/>
  <c r="C109" i="67"/>
  <c r="B107" i="67"/>
  <c r="C107" i="67"/>
  <c r="B100" i="67"/>
  <c r="C100" i="67"/>
  <c r="D100" i="67"/>
  <c r="E100" i="67"/>
  <c r="B99" i="67"/>
  <c r="C99" i="67"/>
  <c r="B97" i="67"/>
  <c r="C97" i="67"/>
  <c r="D97" i="67"/>
  <c r="E97" i="67"/>
  <c r="B95" i="67"/>
  <c r="C95" i="67"/>
  <c r="D95" i="67"/>
  <c r="E95" i="67"/>
  <c r="B93" i="67"/>
  <c r="C93" i="67"/>
  <c r="D93" i="67"/>
  <c r="E93" i="67"/>
  <c r="B92" i="67"/>
  <c r="C92" i="67"/>
  <c r="D92" i="67"/>
  <c r="E92" i="67"/>
  <c r="B88" i="67"/>
  <c r="C88" i="67"/>
  <c r="D88" i="67"/>
  <c r="E88" i="67"/>
  <c r="B89" i="67"/>
  <c r="C89" i="67"/>
  <c r="D89" i="67"/>
  <c r="E89" i="67"/>
  <c r="B90" i="67"/>
  <c r="C90" i="67"/>
  <c r="D90" i="67"/>
  <c r="E90" i="67"/>
  <c r="B87" i="67"/>
  <c r="C87" i="67"/>
  <c r="B84" i="67"/>
  <c r="C84" i="67"/>
  <c r="D84" i="67"/>
  <c r="E84" i="67"/>
  <c r="B85" i="67"/>
  <c r="C85" i="67"/>
  <c r="E85" i="67"/>
  <c r="B83" i="67"/>
  <c r="C83" i="67"/>
  <c r="B71" i="67"/>
  <c r="C71" i="67"/>
  <c r="B66" i="67"/>
  <c r="C66" i="67"/>
  <c r="B59" i="67"/>
  <c r="C59" i="67"/>
  <c r="B60" i="67"/>
  <c r="C60" i="67"/>
  <c r="B61" i="67"/>
  <c r="C61" i="67"/>
  <c r="B58" i="67"/>
  <c r="C58" i="67"/>
  <c r="B53" i="67"/>
  <c r="C53" i="67"/>
  <c r="D53" i="67"/>
  <c r="E53" i="67"/>
  <c r="B51" i="67"/>
  <c r="C51" i="67"/>
  <c r="B50" i="67"/>
  <c r="C50" i="67"/>
  <c r="B49" i="67"/>
  <c r="C49" i="67"/>
  <c r="B42" i="67"/>
  <c r="C42" i="67"/>
  <c r="B35" i="67"/>
  <c r="C35" i="67"/>
  <c r="D35" i="67"/>
  <c r="E35" i="67"/>
  <c r="B31" i="67"/>
  <c r="C31" i="67"/>
  <c r="B27" i="67"/>
  <c r="C27" i="67"/>
  <c r="B19" i="67"/>
  <c r="C19" i="67"/>
  <c r="B11" i="67"/>
  <c r="C11" i="67"/>
  <c r="B9" i="67"/>
  <c r="C9" i="67"/>
  <c r="D232" i="67"/>
  <c r="A232" i="67"/>
  <c r="D225" i="67"/>
  <c r="A225" i="67"/>
  <c r="D221" i="67"/>
  <c r="D220" i="67"/>
  <c r="A220" i="67"/>
  <c r="D188" i="67"/>
  <c r="A188" i="67"/>
  <c r="D179" i="67"/>
  <c r="D170" i="67"/>
  <c r="D140" i="67"/>
  <c r="D110" i="67"/>
  <c r="D106" i="67"/>
  <c r="D105" i="67"/>
  <c r="A105" i="67"/>
  <c r="D98" i="67"/>
  <c r="A98" i="67"/>
  <c r="D96" i="67"/>
  <c r="A96" i="67"/>
  <c r="D94" i="67"/>
  <c r="A94" i="67"/>
  <c r="D91" i="67"/>
  <c r="A91" i="67"/>
  <c r="D86" i="67"/>
  <c r="A86" i="67"/>
  <c r="D65" i="67"/>
  <c r="A65" i="67"/>
  <c r="D52" i="67"/>
  <c r="A52" i="67"/>
  <c r="D30" i="67"/>
  <c r="A30" i="67"/>
  <c r="D10" i="67"/>
  <c r="A10" i="67"/>
  <c r="D8" i="67"/>
  <c r="A8" i="67"/>
  <c r="D7" i="67"/>
  <c r="A7" i="67"/>
  <c r="E366" i="70"/>
  <c r="F366" i="70" s="1"/>
  <c r="E365" i="70"/>
  <c r="F365" i="70" s="1"/>
  <c r="E364" i="70"/>
  <c r="F364" i="70" s="1"/>
  <c r="F354" i="70"/>
  <c r="F353" i="70"/>
  <c r="F352" i="70"/>
  <c r="F342" i="70"/>
  <c r="F341" i="70"/>
  <c r="F340" i="70"/>
  <c r="E330" i="70"/>
  <c r="F330" i="70" s="1"/>
  <c r="E329" i="70"/>
  <c r="F329" i="70" s="1"/>
  <c r="E328" i="70"/>
  <c r="F328" i="70" s="1"/>
  <c r="F293" i="70"/>
  <c r="E292" i="70"/>
  <c r="F292" i="70" s="1"/>
  <c r="F291" i="70"/>
  <c r="F281" i="70"/>
  <c r="F280" i="70"/>
  <c r="E279" i="70"/>
  <c r="F279" i="70" s="1"/>
  <c r="F269" i="70"/>
  <c r="F268" i="70"/>
  <c r="F267" i="70"/>
  <c r="F257" i="70"/>
  <c r="F256" i="70"/>
  <c r="F255" i="70"/>
  <c r="F245" i="70"/>
  <c r="F244" i="70"/>
  <c r="F243" i="70"/>
  <c r="F231" i="70"/>
  <c r="F230" i="70"/>
  <c r="F229" i="70"/>
  <c r="F218" i="70"/>
  <c r="F217" i="70"/>
  <c r="F216" i="70"/>
  <c r="F205" i="70"/>
  <c r="F204" i="70"/>
  <c r="F203" i="70"/>
  <c r="E193" i="70"/>
  <c r="E192" i="70"/>
  <c r="G173" i="70"/>
  <c r="K833" i="69" s="1"/>
  <c r="N833" i="69" s="1"/>
  <c r="N834" i="69" s="1"/>
  <c r="G161" i="70"/>
  <c r="K791" i="69" s="1"/>
  <c r="N791" i="69" s="1"/>
  <c r="N792" i="69" s="1"/>
  <c r="G149" i="70"/>
  <c r="K749" i="69" s="1"/>
  <c r="G137" i="70"/>
  <c r="K592" i="69" s="1"/>
  <c r="N592" i="69" s="1"/>
  <c r="G125" i="70"/>
  <c r="K593" i="69" s="1"/>
  <c r="N593" i="69" s="1"/>
  <c r="E119" i="70"/>
  <c r="E118" i="70"/>
  <c r="E117" i="70"/>
  <c r="G101" i="70"/>
  <c r="K549" i="69" s="1"/>
  <c r="N549" i="69" s="1"/>
  <c r="E83" i="70"/>
  <c r="E82" i="70"/>
  <c r="E81" i="70"/>
  <c r="G64" i="70"/>
  <c r="K501" i="69" s="1"/>
  <c r="N501" i="69" s="1"/>
  <c r="F58" i="70"/>
  <c r="F57" i="70"/>
  <c r="F56" i="70"/>
  <c r="H39" i="70"/>
  <c r="K162" i="69" s="1"/>
  <c r="N162" i="69" s="1"/>
  <c r="N163" i="69" s="1"/>
  <c r="G27" i="70"/>
  <c r="K116" i="69" s="1"/>
  <c r="N116" i="69" s="1"/>
  <c r="G16" i="70"/>
  <c r="K70" i="69" s="1"/>
  <c r="N70" i="69" s="1"/>
  <c r="N2961" i="69"/>
  <c r="N2957" i="69"/>
  <c r="K2951" i="69"/>
  <c r="N2951" i="69" s="1"/>
  <c r="N2953" i="69" s="1"/>
  <c r="N2944" i="69"/>
  <c r="L2939" i="69"/>
  <c r="N2939" i="69" s="1"/>
  <c r="N2940" i="69" s="1"/>
  <c r="N2936" i="69"/>
  <c r="N2922" i="69"/>
  <c r="N2916" i="69"/>
  <c r="N2911" i="69"/>
  <c r="N2910" i="69"/>
  <c r="L2898" i="69"/>
  <c r="N2898" i="69" s="1"/>
  <c r="L2897" i="69"/>
  <c r="N2897" i="69" s="1"/>
  <c r="N2894" i="69"/>
  <c r="N2878" i="69"/>
  <c r="N2872" i="69"/>
  <c r="N2867" i="69"/>
  <c r="N2866" i="69"/>
  <c r="L2854" i="69"/>
  <c r="N2854" i="69" s="1"/>
  <c r="L2853" i="69"/>
  <c r="N2853" i="69" s="1"/>
  <c r="N2850" i="69"/>
  <c r="N2835" i="69"/>
  <c r="N2829" i="69"/>
  <c r="N2824" i="69"/>
  <c r="N2825" i="69" s="1"/>
  <c r="L2812" i="69"/>
  <c r="N2812" i="69" s="1"/>
  <c r="L2811" i="69"/>
  <c r="N2811" i="69" s="1"/>
  <c r="N2808" i="69"/>
  <c r="N2793" i="69"/>
  <c r="N2787" i="69"/>
  <c r="N2782" i="69"/>
  <c r="N2783" i="69" s="1"/>
  <c r="L2770" i="69"/>
  <c r="N2770" i="69" s="1"/>
  <c r="L2769" i="69"/>
  <c r="N2769" i="69" s="1"/>
  <c r="N2766" i="69"/>
  <c r="N2751" i="69"/>
  <c r="N2745" i="69"/>
  <c r="N2740" i="69"/>
  <c r="N2741" i="69" s="1"/>
  <c r="L2728" i="69"/>
  <c r="N2728" i="69" s="1"/>
  <c r="L2727" i="69"/>
  <c r="N2727" i="69" s="1"/>
  <c r="N2724" i="69"/>
  <c r="N2708" i="69"/>
  <c r="N2702" i="69"/>
  <c r="N2697" i="69"/>
  <c r="N2696" i="69"/>
  <c r="L2684" i="69"/>
  <c r="N2684" i="69" s="1"/>
  <c r="L2683" i="69"/>
  <c r="N2683" i="69" s="1"/>
  <c r="N2680" i="69"/>
  <c r="N2665" i="69"/>
  <c r="N2659" i="69"/>
  <c r="N2654" i="69"/>
  <c r="N2653" i="69"/>
  <c r="L2641" i="69"/>
  <c r="N2641" i="69" s="1"/>
  <c r="L2640" i="69"/>
  <c r="N2640" i="69" s="1"/>
  <c r="N2637" i="69"/>
  <c r="N2621" i="69"/>
  <c r="N2615" i="69"/>
  <c r="N2610" i="69"/>
  <c r="N2611" i="69" s="1"/>
  <c r="L2598" i="69"/>
  <c r="N2598" i="69" s="1"/>
  <c r="L2597" i="69"/>
  <c r="N2597" i="69" s="1"/>
  <c r="N2594" i="69"/>
  <c r="N2578" i="69"/>
  <c r="N2572" i="69"/>
  <c r="N2567" i="69"/>
  <c r="N2568" i="69" s="1"/>
  <c r="L2555" i="69"/>
  <c r="N2555" i="69" s="1"/>
  <c r="L2554" i="69"/>
  <c r="N2554" i="69" s="1"/>
  <c r="N2551" i="69"/>
  <c r="N2536" i="69"/>
  <c r="N2530" i="69"/>
  <c r="N2525" i="69"/>
  <c r="N2524" i="69"/>
  <c r="L2512" i="69"/>
  <c r="N2512" i="69" s="1"/>
  <c r="L2511" i="69"/>
  <c r="N2511" i="69" s="1"/>
  <c r="N2508" i="69"/>
  <c r="N2492" i="69"/>
  <c r="N2486" i="69"/>
  <c r="N2481" i="69"/>
  <c r="N2480" i="69"/>
  <c r="L2468" i="69"/>
  <c r="N2468" i="69" s="1"/>
  <c r="L2467" i="69"/>
  <c r="N2467" i="69" s="1"/>
  <c r="N2464" i="69"/>
  <c r="N2448" i="69"/>
  <c r="N2442" i="69"/>
  <c r="N2437" i="69"/>
  <c r="N2436" i="69"/>
  <c r="N2435" i="69"/>
  <c r="L2423" i="69"/>
  <c r="N2423" i="69" s="1"/>
  <c r="L2422" i="69"/>
  <c r="N2422" i="69" s="1"/>
  <c r="N2419" i="69"/>
  <c r="N2404" i="69"/>
  <c r="N2398" i="69"/>
  <c r="N2393" i="69"/>
  <c r="N2392" i="69"/>
  <c r="N2391" i="69"/>
  <c r="L2379" i="69"/>
  <c r="N2379" i="69" s="1"/>
  <c r="L2378" i="69"/>
  <c r="N2378" i="69" s="1"/>
  <c r="N2375" i="69"/>
  <c r="N2359" i="69"/>
  <c r="N2353" i="69"/>
  <c r="N2348" i="69"/>
  <c r="N2347" i="69"/>
  <c r="N2346" i="69"/>
  <c r="L2334" i="69"/>
  <c r="N2334" i="69" s="1"/>
  <c r="L2333" i="69"/>
  <c r="N2333" i="69" s="1"/>
  <c r="N2330" i="69"/>
  <c r="N2315" i="69"/>
  <c r="N2309" i="69"/>
  <c r="N2304" i="69"/>
  <c r="N2303" i="69"/>
  <c r="N2302" i="69"/>
  <c r="L2290" i="69"/>
  <c r="N2290" i="69" s="1"/>
  <c r="L2289" i="69"/>
  <c r="N2289" i="69" s="1"/>
  <c r="N2286" i="69"/>
  <c r="N2271" i="69"/>
  <c r="N2265" i="69"/>
  <c r="N2260" i="69"/>
  <c r="N2259" i="69"/>
  <c r="N2258" i="69"/>
  <c r="L2246" i="69"/>
  <c r="N2246" i="69" s="1"/>
  <c r="L2245" i="69"/>
  <c r="N2245" i="69" s="1"/>
  <c r="N2242" i="69"/>
  <c r="N2227" i="69"/>
  <c r="N2221" i="69"/>
  <c r="N2216" i="69"/>
  <c r="N2215" i="69"/>
  <c r="N2214" i="69"/>
  <c r="N2213" i="69"/>
  <c r="L2201" i="69"/>
  <c r="N2201" i="69" s="1"/>
  <c r="L2200" i="69"/>
  <c r="N2200" i="69" s="1"/>
  <c r="N2197" i="69"/>
  <c r="N2182" i="69"/>
  <c r="N2176" i="69"/>
  <c r="N2171" i="69"/>
  <c r="N2170" i="69"/>
  <c r="N2169" i="69"/>
  <c r="L2157" i="69"/>
  <c r="N2157" i="69" s="1"/>
  <c r="L2156" i="69"/>
  <c r="N2156" i="69" s="1"/>
  <c r="N2153" i="69"/>
  <c r="N2138" i="69"/>
  <c r="N2132" i="69"/>
  <c r="N2127" i="69"/>
  <c r="N2126" i="69"/>
  <c r="N2125" i="69"/>
  <c r="L2113" i="69"/>
  <c r="N2113" i="69" s="1"/>
  <c r="L2112" i="69"/>
  <c r="N2112" i="69" s="1"/>
  <c r="N2109" i="69"/>
  <c r="N2094" i="69"/>
  <c r="N2088" i="69"/>
  <c r="N2083" i="69"/>
  <c r="N2082" i="69"/>
  <c r="N2081" i="69"/>
  <c r="N2080" i="69"/>
  <c r="L2068" i="69"/>
  <c r="N2068" i="69" s="1"/>
  <c r="L2067" i="69"/>
  <c r="N2067" i="69" s="1"/>
  <c r="N2064" i="69"/>
  <c r="N2050" i="69"/>
  <c r="N2046" i="69"/>
  <c r="N2040" i="69"/>
  <c r="N2039" i="69"/>
  <c r="N2038" i="69"/>
  <c r="N2031" i="69"/>
  <c r="L2026" i="69"/>
  <c r="N2026" i="69" s="1"/>
  <c r="L2025" i="69"/>
  <c r="N2025" i="69" s="1"/>
  <c r="N2022" i="69"/>
  <c r="N2009" i="69"/>
  <c r="N2005" i="69"/>
  <c r="N1999" i="69"/>
  <c r="N1998" i="69"/>
  <c r="N1997" i="69"/>
  <c r="N1990" i="69"/>
  <c r="L1985" i="69"/>
  <c r="N1985" i="69" s="1"/>
  <c r="L1984" i="69"/>
  <c r="N1984" i="69" s="1"/>
  <c r="N1981" i="69"/>
  <c r="N1968" i="69"/>
  <c r="N1964" i="69"/>
  <c r="N1958" i="69"/>
  <c r="N1957" i="69"/>
  <c r="N1956" i="69"/>
  <c r="N1949" i="69"/>
  <c r="L1944" i="69"/>
  <c r="N1944" i="69" s="1"/>
  <c r="L1943" i="69"/>
  <c r="N1943" i="69" s="1"/>
  <c r="N1940" i="69"/>
  <c r="N1927" i="69"/>
  <c r="N1923" i="69"/>
  <c r="N1917" i="69"/>
  <c r="N1916" i="69"/>
  <c r="N1915" i="69"/>
  <c r="N1914" i="69"/>
  <c r="N1907" i="69"/>
  <c r="L1902" i="69"/>
  <c r="N1902" i="69" s="1"/>
  <c r="L1901" i="69"/>
  <c r="N1901" i="69" s="1"/>
  <c r="N1898" i="69"/>
  <c r="N1885" i="69"/>
  <c r="N1881" i="69"/>
  <c r="N1875" i="69"/>
  <c r="N1874" i="69"/>
  <c r="N1873" i="69"/>
  <c r="N1872" i="69"/>
  <c r="N1865" i="69"/>
  <c r="L1860" i="69"/>
  <c r="N1860" i="69" s="1"/>
  <c r="L1859" i="69"/>
  <c r="N1859" i="69" s="1"/>
  <c r="N1856" i="69"/>
  <c r="N1843" i="69"/>
  <c r="N1839" i="69"/>
  <c r="N1833" i="69"/>
  <c r="N1832" i="69"/>
  <c r="N1831" i="69"/>
  <c r="N1830" i="69"/>
  <c r="N1823" i="69"/>
  <c r="L1818" i="69"/>
  <c r="N1818" i="69" s="1"/>
  <c r="L1817" i="69"/>
  <c r="N1817" i="69" s="1"/>
  <c r="N1814" i="69"/>
  <c r="N1801" i="69"/>
  <c r="N1797" i="69"/>
  <c r="N1791" i="69"/>
  <c r="N1790" i="69"/>
  <c r="N1789" i="69"/>
  <c r="N1788" i="69"/>
  <c r="N1781" i="69"/>
  <c r="L1776" i="69"/>
  <c r="N1776" i="69" s="1"/>
  <c r="L1775" i="69"/>
  <c r="N1775" i="69" s="1"/>
  <c r="N1772" i="69"/>
  <c r="N1759" i="69"/>
  <c r="N1755" i="69"/>
  <c r="N1749" i="69"/>
  <c r="N1748" i="69"/>
  <c r="N1747" i="69"/>
  <c r="N1746" i="69"/>
  <c r="N1739" i="69"/>
  <c r="L1734" i="69"/>
  <c r="N1734" i="69" s="1"/>
  <c r="L1733" i="69"/>
  <c r="N1733" i="69" s="1"/>
  <c r="N1730" i="69"/>
  <c r="N1717" i="69"/>
  <c r="N1713" i="69"/>
  <c r="N1707" i="69"/>
  <c r="N1706" i="69"/>
  <c r="N1705" i="69"/>
  <c r="N1704" i="69"/>
  <c r="N1697" i="69"/>
  <c r="L1692" i="69"/>
  <c r="N1692" i="69" s="1"/>
  <c r="L1691" i="69"/>
  <c r="N1691" i="69" s="1"/>
  <c r="N1688" i="69"/>
  <c r="N1675" i="69"/>
  <c r="N1671" i="69"/>
  <c r="N1665" i="69"/>
  <c r="N1664" i="69"/>
  <c r="N1663" i="69"/>
  <c r="N1662" i="69"/>
  <c r="N1655" i="69"/>
  <c r="L1650" i="69"/>
  <c r="N1650" i="69" s="1"/>
  <c r="L1649" i="69"/>
  <c r="N1649" i="69" s="1"/>
  <c r="N1646" i="69"/>
  <c r="N1633" i="69"/>
  <c r="N1629" i="69"/>
  <c r="N1623" i="69"/>
  <c r="N1622" i="69"/>
  <c r="N1621" i="69"/>
  <c r="N1620" i="69"/>
  <c r="N1613" i="69"/>
  <c r="L1608" i="69"/>
  <c r="N1608" i="69" s="1"/>
  <c r="L1607" i="69"/>
  <c r="N1607" i="69" s="1"/>
  <c r="N1604" i="69"/>
  <c r="N1591" i="69"/>
  <c r="N1587" i="69"/>
  <c r="N1581" i="69"/>
  <c r="N1580" i="69"/>
  <c r="N1579" i="69"/>
  <c r="N1578" i="69"/>
  <c r="N1571" i="69"/>
  <c r="L1566" i="69"/>
  <c r="N1566" i="69" s="1"/>
  <c r="L1565" i="69"/>
  <c r="N1565" i="69" s="1"/>
  <c r="N1562" i="69"/>
  <c r="N1549" i="69"/>
  <c r="N1545" i="69"/>
  <c r="N1539" i="69"/>
  <c r="N1538" i="69"/>
  <c r="N1537" i="69"/>
  <c r="N1536" i="69"/>
  <c r="N1529" i="69"/>
  <c r="L1524" i="69"/>
  <c r="N1524" i="69" s="1"/>
  <c r="L1523" i="69"/>
  <c r="N1523" i="69" s="1"/>
  <c r="N1520" i="69"/>
  <c r="N1507" i="69"/>
  <c r="N1503" i="69"/>
  <c r="N1497" i="69"/>
  <c r="N1496" i="69"/>
  <c r="N1495" i="69"/>
  <c r="N1494" i="69"/>
  <c r="N1487" i="69"/>
  <c r="L1482" i="69"/>
  <c r="N1482" i="69" s="1"/>
  <c r="L1481" i="69"/>
  <c r="N1481" i="69" s="1"/>
  <c r="N1478" i="69"/>
  <c r="N1466" i="69"/>
  <c r="N1462" i="69"/>
  <c r="N1456" i="69"/>
  <c r="N1455" i="69"/>
  <c r="N1454" i="69"/>
  <c r="N1453" i="69"/>
  <c r="N1446" i="69"/>
  <c r="L1441" i="69"/>
  <c r="N1441" i="69" s="1"/>
  <c r="L1440" i="69"/>
  <c r="N1440" i="69" s="1"/>
  <c r="N1437" i="69"/>
  <c r="N1424" i="69"/>
  <c r="N1420" i="69"/>
  <c r="N1414" i="69"/>
  <c r="N1413" i="69"/>
  <c r="N1412" i="69"/>
  <c r="N1411" i="69"/>
  <c r="N1404" i="69"/>
  <c r="L1399" i="69"/>
  <c r="N1399" i="69" s="1"/>
  <c r="L1398" i="69"/>
  <c r="N1398" i="69" s="1"/>
  <c r="N1395" i="69"/>
  <c r="N1381" i="69"/>
  <c r="N1377" i="69"/>
  <c r="N1371" i="69"/>
  <c r="N1370" i="69"/>
  <c r="N1369" i="69"/>
  <c r="N1362" i="69"/>
  <c r="L1357" i="69"/>
  <c r="N1357" i="69" s="1"/>
  <c r="L1356" i="69"/>
  <c r="N1356" i="69" s="1"/>
  <c r="N1353" i="69"/>
  <c r="N1340" i="69"/>
  <c r="N1336" i="69"/>
  <c r="N1329" i="69"/>
  <c r="N1328" i="69"/>
  <c r="N1327" i="69"/>
  <c r="N1326" i="69"/>
  <c r="N1319" i="69"/>
  <c r="L1314" i="69"/>
  <c r="N1314" i="69" s="1"/>
  <c r="L1313" i="69"/>
  <c r="N1313" i="69" s="1"/>
  <c r="N1310" i="69"/>
  <c r="N1297" i="69"/>
  <c r="N1293" i="69"/>
  <c r="N1287" i="69"/>
  <c r="N1286" i="69"/>
  <c r="N1285" i="69"/>
  <c r="N1284" i="69"/>
  <c r="N1277" i="69"/>
  <c r="L1272" i="69"/>
  <c r="N1272" i="69" s="1"/>
  <c r="L1271" i="69"/>
  <c r="N1271" i="69" s="1"/>
  <c r="N1268" i="69"/>
  <c r="N1254" i="69"/>
  <c r="N1250" i="69"/>
  <c r="N1237" i="69"/>
  <c r="L1232" i="69"/>
  <c r="N1232" i="69" s="1"/>
  <c r="N1233" i="69" s="1"/>
  <c r="N1229" i="69"/>
  <c r="N1215" i="69"/>
  <c r="N1211" i="69"/>
  <c r="N1198" i="69"/>
  <c r="L1193" i="69"/>
  <c r="N1193" i="69" s="1"/>
  <c r="L1192" i="69"/>
  <c r="N1192" i="69" s="1"/>
  <c r="N1189" i="69"/>
  <c r="N1176" i="69"/>
  <c r="N1172" i="69"/>
  <c r="N1159" i="69"/>
  <c r="L1154" i="69"/>
  <c r="N1154" i="69" s="1"/>
  <c r="L1153" i="69"/>
  <c r="N1153" i="69" s="1"/>
  <c r="N1150" i="69"/>
  <c r="N1137" i="69"/>
  <c r="N1133" i="69"/>
  <c r="N1120" i="69"/>
  <c r="L1115" i="69"/>
  <c r="N1115" i="69" s="1"/>
  <c r="L1114" i="69"/>
  <c r="N1114" i="69" s="1"/>
  <c r="N1111" i="69"/>
  <c r="N1098" i="69"/>
  <c r="N1094" i="69"/>
  <c r="N1081" i="69"/>
  <c r="L1076" i="69"/>
  <c r="N1076" i="69" s="1"/>
  <c r="L1075" i="69"/>
  <c r="N1075" i="69" s="1"/>
  <c r="N1072" i="69"/>
  <c r="N1059" i="69"/>
  <c r="N1055" i="69"/>
  <c r="N1042" i="69"/>
  <c r="L1037" i="69"/>
  <c r="N1037" i="69" s="1"/>
  <c r="L1036" i="69"/>
  <c r="N1036" i="69" s="1"/>
  <c r="N1033" i="69"/>
  <c r="N1020" i="69"/>
  <c r="N1014" i="69"/>
  <c r="N1008" i="69"/>
  <c r="N1007" i="69"/>
  <c r="N1006" i="69"/>
  <c r="N1005" i="69"/>
  <c r="L993" i="69"/>
  <c r="N993" i="69" s="1"/>
  <c r="L992" i="69"/>
  <c r="N992" i="69" s="1"/>
  <c r="N989" i="69"/>
  <c r="N976" i="69"/>
  <c r="N970" i="69"/>
  <c r="N964" i="69"/>
  <c r="N963" i="69"/>
  <c r="N962" i="69"/>
  <c r="N961" i="69"/>
  <c r="L949" i="69"/>
  <c r="N949" i="69" s="1"/>
  <c r="L948" i="69"/>
  <c r="N948" i="69" s="1"/>
  <c r="N945" i="69"/>
  <c r="N930" i="69"/>
  <c r="N923" i="69"/>
  <c r="N922" i="69"/>
  <c r="N918" i="69"/>
  <c r="N917" i="69"/>
  <c r="N910" i="69"/>
  <c r="L905" i="69"/>
  <c r="N905" i="69" s="1"/>
  <c r="N906" i="69" s="1"/>
  <c r="N887" i="69"/>
  <c r="N880" i="69"/>
  <c r="N879" i="69"/>
  <c r="N875" i="69"/>
  <c r="N876" i="69" s="1"/>
  <c r="N868" i="69"/>
  <c r="L863" i="69"/>
  <c r="N863" i="69" s="1"/>
  <c r="L862" i="69"/>
  <c r="N862" i="69" s="1"/>
  <c r="N859" i="69"/>
  <c r="N845" i="69"/>
  <c r="N838" i="69"/>
  <c r="N837" i="69"/>
  <c r="L821" i="69"/>
  <c r="N821" i="69" s="1"/>
  <c r="L820" i="69"/>
  <c r="N820" i="69" s="1"/>
  <c r="N817" i="69"/>
  <c r="N803" i="69"/>
  <c r="N796" i="69"/>
  <c r="N795" i="69"/>
  <c r="L779" i="69"/>
  <c r="N779" i="69" s="1"/>
  <c r="L778" i="69"/>
  <c r="N778" i="69" s="1"/>
  <c r="N775" i="69"/>
  <c r="N761" i="69"/>
  <c r="N754" i="69"/>
  <c r="N753" i="69"/>
  <c r="N749" i="69"/>
  <c r="N750" i="69" s="1"/>
  <c r="L737" i="69"/>
  <c r="N737" i="69" s="1"/>
  <c r="L736" i="69"/>
  <c r="N736" i="69" s="1"/>
  <c r="N733" i="69"/>
  <c r="N719" i="69"/>
  <c r="N713" i="69"/>
  <c r="N708" i="69"/>
  <c r="N707" i="69"/>
  <c r="N706" i="69"/>
  <c r="N705" i="69"/>
  <c r="N704" i="69"/>
  <c r="N703" i="69"/>
  <c r="N702" i="69"/>
  <c r="N701" i="69"/>
  <c r="N700" i="69"/>
  <c r="N699" i="69"/>
  <c r="N698" i="69"/>
  <c r="N697" i="69"/>
  <c r="N696" i="69"/>
  <c r="N695" i="69"/>
  <c r="N694" i="69"/>
  <c r="N693" i="69"/>
  <c r="L681" i="69"/>
  <c r="N681" i="69" s="1"/>
  <c r="L680" i="69"/>
  <c r="N680" i="69" s="1"/>
  <c r="L679" i="69"/>
  <c r="N679" i="69" s="1"/>
  <c r="L678" i="69"/>
  <c r="N678" i="69" s="1"/>
  <c r="L677" i="69"/>
  <c r="N677" i="69" s="1"/>
  <c r="L676" i="69"/>
  <c r="N676" i="69" s="1"/>
  <c r="N673" i="69"/>
  <c r="N658" i="69"/>
  <c r="N652" i="69"/>
  <c r="N645" i="69"/>
  <c r="N644" i="69"/>
  <c r="N643" i="69"/>
  <c r="N642" i="69"/>
  <c r="N641" i="69"/>
  <c r="N640" i="69"/>
  <c r="L627" i="69"/>
  <c r="N627" i="69" s="1"/>
  <c r="L626" i="69"/>
  <c r="N626" i="69" s="1"/>
  <c r="L625" i="69"/>
  <c r="N625" i="69" s="1"/>
  <c r="L624" i="69"/>
  <c r="N624" i="69" s="1"/>
  <c r="N621" i="69"/>
  <c r="N604" i="69"/>
  <c r="N598" i="69"/>
  <c r="N591" i="69"/>
  <c r="L578" i="69"/>
  <c r="N578" i="69" s="1"/>
  <c r="L577" i="69"/>
  <c r="N577" i="69" s="1"/>
  <c r="N560" i="69"/>
  <c r="N554" i="69"/>
  <c r="N547" i="69"/>
  <c r="L535" i="69"/>
  <c r="N535" i="69" s="1"/>
  <c r="L534" i="69"/>
  <c r="N534" i="69" s="1"/>
  <c r="N516" i="69"/>
  <c r="N510" i="69"/>
  <c r="N505" i="69"/>
  <c r="N504" i="69"/>
  <c r="N503" i="69"/>
  <c r="N502" i="69"/>
  <c r="L489" i="69"/>
  <c r="N489" i="69" s="1"/>
  <c r="L488" i="69"/>
  <c r="N488" i="69" s="1"/>
  <c r="N485" i="69"/>
  <c r="N469" i="69"/>
  <c r="N463" i="69"/>
  <c r="N457" i="69"/>
  <c r="N456" i="69"/>
  <c r="N455" i="69"/>
  <c r="N454" i="69"/>
  <c r="L442" i="69"/>
  <c r="N442" i="69" s="1"/>
  <c r="L441" i="69"/>
  <c r="N441" i="69" s="1"/>
  <c r="N421" i="69"/>
  <c r="N415" i="69"/>
  <c r="N410" i="69"/>
  <c r="N409" i="69"/>
  <c r="L397" i="69"/>
  <c r="N397" i="69" s="1"/>
  <c r="L396" i="69"/>
  <c r="N396" i="69" s="1"/>
  <c r="N393" i="69"/>
  <c r="N377" i="69"/>
  <c r="N371" i="69"/>
  <c r="N365" i="69"/>
  <c r="N364" i="69"/>
  <c r="N363" i="69"/>
  <c r="N362" i="69"/>
  <c r="N361" i="69"/>
  <c r="N360" i="69"/>
  <c r="N359" i="69"/>
  <c r="L347" i="69"/>
  <c r="N347" i="69" s="1"/>
  <c r="L346" i="69"/>
  <c r="N346" i="69" s="1"/>
  <c r="L345" i="69"/>
  <c r="N345" i="69" s="1"/>
  <c r="L344" i="69"/>
  <c r="N344" i="69" s="1"/>
  <c r="N341" i="69"/>
  <c r="N272" i="69"/>
  <c r="N268" i="69"/>
  <c r="N262" i="69"/>
  <c r="N261" i="69"/>
  <c r="N260" i="69"/>
  <c r="N259" i="69"/>
  <c r="N258" i="69"/>
  <c r="N246" i="69"/>
  <c r="L241" i="69"/>
  <c r="N241" i="69" s="1"/>
  <c r="L240" i="69"/>
  <c r="N240" i="69" s="1"/>
  <c r="L239" i="69"/>
  <c r="N239" i="69" s="1"/>
  <c r="L238" i="69"/>
  <c r="N238" i="69" s="1"/>
  <c r="N235" i="69"/>
  <c r="N222" i="69"/>
  <c r="N216" i="69"/>
  <c r="N209" i="69"/>
  <c r="N208" i="69"/>
  <c r="N207" i="69"/>
  <c r="N206" i="69"/>
  <c r="N205" i="69"/>
  <c r="L193" i="69"/>
  <c r="N193" i="69" s="1"/>
  <c r="L192" i="69"/>
  <c r="N192" i="69" s="1"/>
  <c r="N189" i="69"/>
  <c r="N173" i="69"/>
  <c r="N167" i="69"/>
  <c r="L150" i="69"/>
  <c r="N150" i="69" s="1"/>
  <c r="L149" i="69"/>
  <c r="N149" i="69" s="1"/>
  <c r="N146" i="69"/>
  <c r="N130" i="69"/>
  <c r="N124" i="69"/>
  <c r="N119" i="69"/>
  <c r="N118" i="69"/>
  <c r="N117" i="69"/>
  <c r="L104" i="69"/>
  <c r="N104" i="69" s="1"/>
  <c r="L103" i="69"/>
  <c r="N103" i="69" s="1"/>
  <c r="N100" i="69"/>
  <c r="N83" i="69"/>
  <c r="N77" i="69"/>
  <c r="N71" i="69"/>
  <c r="L58" i="69"/>
  <c r="N58" i="69" s="1"/>
  <c r="L57" i="69"/>
  <c r="N57" i="69" s="1"/>
  <c r="N54" i="69"/>
  <c r="N37" i="69"/>
  <c r="N31" i="69"/>
  <c r="L14" i="69"/>
  <c r="N14" i="69" s="1"/>
  <c r="L13" i="69"/>
  <c r="N13" i="69" s="1"/>
  <c r="N10" i="69"/>
  <c r="A23" i="68"/>
  <c r="A22" i="68"/>
  <c r="A21" i="68"/>
  <c r="A20" i="68"/>
  <c r="A19" i="68"/>
  <c r="A18" i="68"/>
  <c r="A17" i="68"/>
  <c r="A16" i="68"/>
  <c r="A15" i="68"/>
  <c r="A14" i="68"/>
  <c r="A13" i="68"/>
  <c r="A12" i="68"/>
  <c r="A11" i="68"/>
  <c r="B9" i="68"/>
  <c r="C232" i="67"/>
  <c r="C225" i="67"/>
  <c r="F222" i="67"/>
  <c r="F215" i="67"/>
  <c r="F210" i="67"/>
  <c r="B106" i="67"/>
  <c r="A106" i="67"/>
  <c r="F100" i="67"/>
  <c r="H4" i="67"/>
  <c r="H3" i="67"/>
  <c r="C3" i="67"/>
  <c r="H2" i="67"/>
  <c r="C2" i="67"/>
  <c r="G174" i="66"/>
  <c r="H174" i="66" s="1"/>
  <c r="E174" i="66"/>
  <c r="D174" i="66"/>
  <c r="A174" i="66"/>
  <c r="H171" i="66"/>
  <c r="A166" i="66"/>
  <c r="A163" i="66"/>
  <c r="G157" i="66"/>
  <c r="H157" i="66" s="1"/>
  <c r="E157" i="66"/>
  <c r="D157" i="66"/>
  <c r="G156" i="66"/>
  <c r="H156" i="66" s="1"/>
  <c r="E156" i="66"/>
  <c r="D156" i="66"/>
  <c r="G147" i="66"/>
  <c r="H147" i="66" s="1"/>
  <c r="E147" i="66"/>
  <c r="D147" i="66"/>
  <c r="G146" i="66"/>
  <c r="H146" i="66" s="1"/>
  <c r="E146" i="66"/>
  <c r="D146" i="66"/>
  <c r="G138" i="66"/>
  <c r="H138" i="66" s="1"/>
  <c r="E138" i="66"/>
  <c r="D138" i="66"/>
  <c r="G137" i="66"/>
  <c r="H137" i="66" s="1"/>
  <c r="E137" i="66"/>
  <c r="D137" i="66"/>
  <c r="A137" i="66"/>
  <c r="G132" i="66"/>
  <c r="H132" i="66" s="1"/>
  <c r="E132" i="66"/>
  <c r="D132" i="66"/>
  <c r="G131" i="66"/>
  <c r="H131" i="66" s="1"/>
  <c r="I131" i="66" s="1"/>
  <c r="E131" i="66"/>
  <c r="D131" i="66"/>
  <c r="G130" i="66"/>
  <c r="H130" i="66" s="1"/>
  <c r="E130" i="66"/>
  <c r="D130" i="66"/>
  <c r="G127" i="66"/>
  <c r="H127" i="66" s="1"/>
  <c r="E127" i="66"/>
  <c r="D127" i="66"/>
  <c r="G125" i="66"/>
  <c r="H125" i="66" s="1"/>
  <c r="E125" i="66"/>
  <c r="D125" i="66"/>
  <c r="G122" i="66"/>
  <c r="H122" i="66" s="1"/>
  <c r="E122" i="66"/>
  <c r="D122" i="66"/>
  <c r="H121" i="66"/>
  <c r="H120" i="66"/>
  <c r="H119" i="66"/>
  <c r="I119" i="66" s="1"/>
  <c r="H118" i="66"/>
  <c r="I118" i="66" s="1"/>
  <c r="H112" i="66"/>
  <c r="I112" i="66" s="1"/>
  <c r="H111" i="66"/>
  <c r="H110" i="66"/>
  <c r="H109" i="66"/>
  <c r="H101" i="66"/>
  <c r="I101" i="66" s="1"/>
  <c r="H100" i="66"/>
  <c r="I100" i="66" s="1"/>
  <c r="G99" i="66"/>
  <c r="H99" i="66" s="1"/>
  <c r="E99" i="66"/>
  <c r="D99" i="66"/>
  <c r="G98" i="66"/>
  <c r="H98" i="66" s="1"/>
  <c r="E98" i="66"/>
  <c r="D98" i="66"/>
  <c r="G97" i="66"/>
  <c r="H97" i="66" s="1"/>
  <c r="E97" i="66"/>
  <c r="D97" i="66"/>
  <c r="G96" i="66"/>
  <c r="H96" i="66" s="1"/>
  <c r="E96" i="66"/>
  <c r="D96" i="66"/>
  <c r="G95" i="66"/>
  <c r="H95" i="66" s="1"/>
  <c r="I95" i="66" s="1"/>
  <c r="E95" i="66"/>
  <c r="D95" i="66"/>
  <c r="E94" i="66"/>
  <c r="G93" i="66"/>
  <c r="H93" i="66" s="1"/>
  <c r="I93" i="66" s="1"/>
  <c r="E93" i="66"/>
  <c r="D93" i="66"/>
  <c r="H92" i="66"/>
  <c r="I92" i="66" s="1"/>
  <c r="G91" i="66"/>
  <c r="H91" i="66" s="1"/>
  <c r="E91" i="66"/>
  <c r="D91" i="66"/>
  <c r="G90" i="66"/>
  <c r="H90" i="66" s="1"/>
  <c r="I90" i="66" s="1"/>
  <c r="E90" i="66"/>
  <c r="D90" i="66"/>
  <c r="G89" i="66"/>
  <c r="H89" i="66" s="1"/>
  <c r="E89" i="66"/>
  <c r="D89" i="66"/>
  <c r="G88" i="66"/>
  <c r="H88" i="66" s="1"/>
  <c r="E88" i="66"/>
  <c r="D88" i="66"/>
  <c r="H86" i="66"/>
  <c r="I86" i="66" s="1"/>
  <c r="H83" i="66"/>
  <c r="I83" i="66" s="1"/>
  <c r="H82" i="66"/>
  <c r="H75" i="66"/>
  <c r="H69" i="66"/>
  <c r="H68" i="66"/>
  <c r="I68" i="66" s="1"/>
  <c r="G67" i="66"/>
  <c r="H67" i="66" s="1"/>
  <c r="E67" i="66"/>
  <c r="D67" i="66"/>
  <c r="G66" i="66"/>
  <c r="H66" i="66" s="1"/>
  <c r="E66" i="66"/>
  <c r="D66" i="66"/>
  <c r="G65" i="66"/>
  <c r="H65" i="66" s="1"/>
  <c r="E65" i="66"/>
  <c r="D65" i="66"/>
  <c r="G63" i="66"/>
  <c r="H63" i="66" s="1"/>
  <c r="E63" i="66"/>
  <c r="D63" i="66"/>
  <c r="G62" i="66"/>
  <c r="H62" i="66" s="1"/>
  <c r="E62" i="66"/>
  <c r="D62" i="66"/>
  <c r="G61" i="66"/>
  <c r="H61" i="66" s="1"/>
  <c r="E61" i="66"/>
  <c r="D61" i="66"/>
  <c r="A61" i="66"/>
  <c r="G55" i="66"/>
  <c r="H55" i="66" s="1"/>
  <c r="I55" i="66" s="1"/>
  <c r="E55" i="66"/>
  <c r="D55" i="66"/>
  <c r="A55" i="66"/>
  <c r="A52" i="66"/>
  <c r="A49" i="66"/>
  <c r="A45" i="66"/>
  <c r="G40" i="66"/>
  <c r="H40" i="66" s="1"/>
  <c r="E40" i="66"/>
  <c r="D40" i="66"/>
  <c r="A40" i="66"/>
  <c r="D85" i="67"/>
  <c r="G35" i="66"/>
  <c r="H35" i="66" s="1"/>
  <c r="E35" i="66"/>
  <c r="D35" i="66"/>
  <c r="G34" i="66"/>
  <c r="H34" i="66" s="1"/>
  <c r="E34" i="66"/>
  <c r="D34" i="66"/>
  <c r="G33" i="66"/>
  <c r="H33" i="66" s="1"/>
  <c r="E33" i="66"/>
  <c r="D33" i="66"/>
  <c r="A33" i="66"/>
  <c r="G30" i="66"/>
  <c r="H30" i="66" s="1"/>
  <c r="E30" i="66"/>
  <c r="D30" i="66"/>
  <c r="G29" i="66"/>
  <c r="H29" i="66" s="1"/>
  <c r="E29" i="66"/>
  <c r="D29" i="66"/>
  <c r="G28" i="66"/>
  <c r="H28" i="66" s="1"/>
  <c r="I28" i="66" s="1"/>
  <c r="E28" i="66"/>
  <c r="D28" i="66"/>
  <c r="G27" i="66"/>
  <c r="H27" i="66" s="1"/>
  <c r="E27" i="66"/>
  <c r="D27" i="66"/>
  <c r="A26" i="66"/>
  <c r="G23" i="66"/>
  <c r="H23" i="66" s="1"/>
  <c r="E23" i="66"/>
  <c r="D23" i="66"/>
  <c r="G22" i="66"/>
  <c r="H22" i="66" s="1"/>
  <c r="E22" i="66"/>
  <c r="D22" i="66"/>
  <c r="G21" i="66"/>
  <c r="H21" i="66" s="1"/>
  <c r="I21" i="66" s="1"/>
  <c r="E21" i="66"/>
  <c r="D21" i="66"/>
  <c r="G20" i="66"/>
  <c r="H20" i="66" s="1"/>
  <c r="E20" i="66"/>
  <c r="D20" i="66"/>
  <c r="G18" i="66"/>
  <c r="H18" i="66" s="1"/>
  <c r="E18" i="66"/>
  <c r="D18" i="66"/>
  <c r="A18" i="66"/>
  <c r="G15" i="66"/>
  <c r="H15" i="66" s="1"/>
  <c r="E15" i="66"/>
  <c r="D15" i="66"/>
  <c r="G14" i="66"/>
  <c r="H14" i="66" s="1"/>
  <c r="E14" i="66"/>
  <c r="D14" i="66"/>
  <c r="G13" i="66"/>
  <c r="H13" i="66" s="1"/>
  <c r="E13" i="66"/>
  <c r="D13" i="66"/>
  <c r="A13" i="66"/>
  <c r="G10" i="66"/>
  <c r="H10" i="66" s="1"/>
  <c r="E10" i="66"/>
  <c r="D10" i="66"/>
  <c r="A10" i="66"/>
  <c r="N59" i="69" l="1"/>
  <c r="N438" i="69"/>
  <c r="N536" i="69"/>
  <c r="N539" i="69" s="1"/>
  <c r="N540" i="69" s="1"/>
  <c r="N2042" i="69"/>
  <c r="N2482" i="69"/>
  <c r="N1358" i="69"/>
  <c r="N1364" i="69" s="1"/>
  <c r="N1366" i="69" s="1"/>
  <c r="N881" i="69"/>
  <c r="N2855" i="69"/>
  <c r="N2858" i="69" s="1"/>
  <c r="N2859" i="69" s="1"/>
  <c r="N2861" i="69" s="1"/>
  <c r="N2863" i="69" s="1"/>
  <c r="N839" i="69"/>
  <c r="N2513" i="69"/>
  <c r="N2516" i="69" s="1"/>
  <c r="N2517" i="69" s="1"/>
  <c r="N15" i="69"/>
  <c r="N18" i="69" s="1"/>
  <c r="N19" i="69" s="1"/>
  <c r="N1038" i="69"/>
  <c r="N1044" i="69" s="1"/>
  <c r="N1046" i="69" s="1"/>
  <c r="N1960" i="69"/>
  <c r="N2813" i="69"/>
  <c r="N2816" i="69" s="1"/>
  <c r="N2817" i="69" s="1"/>
  <c r="N490" i="69"/>
  <c r="N493" i="69" s="1"/>
  <c r="N494" i="69" s="1"/>
  <c r="N2069" i="69"/>
  <c r="N2072" i="69" s="1"/>
  <c r="N2073" i="69" s="1"/>
  <c r="H311" i="70"/>
  <c r="K254" i="69" s="1"/>
  <c r="N254" i="69" s="1"/>
  <c r="N459" i="69"/>
  <c r="N1289" i="69"/>
  <c r="N194" i="69"/>
  <c r="N197" i="69" s="1"/>
  <c r="N198" i="69" s="1"/>
  <c r="N200" i="69" s="1"/>
  <c r="N202" i="69" s="1"/>
  <c r="N2172" i="69"/>
  <c r="N919" i="69"/>
  <c r="N2438" i="69"/>
  <c r="N797" i="69"/>
  <c r="N864" i="69"/>
  <c r="N870" i="69" s="1"/>
  <c r="N872" i="69" s="1"/>
  <c r="N1499" i="69"/>
  <c r="N1877" i="69"/>
  <c r="N994" i="69"/>
  <c r="N997" i="69" s="1"/>
  <c r="N998" i="69" s="1"/>
  <c r="N151" i="69"/>
  <c r="N154" i="69" s="1"/>
  <c r="N155" i="69" s="1"/>
  <c r="N1609" i="69"/>
  <c r="N1615" i="69" s="1"/>
  <c r="N1617" i="69" s="1"/>
  <c r="N2526" i="69"/>
  <c r="N2217" i="69"/>
  <c r="N2335" i="69"/>
  <c r="N2338" i="69" s="1"/>
  <c r="N2339" i="69" s="1"/>
  <c r="N2341" i="69" s="1"/>
  <c r="N2343" i="69" s="1"/>
  <c r="N2685" i="69"/>
  <c r="N2688" i="69" s="1"/>
  <c r="N2689" i="69" s="1"/>
  <c r="N398" i="69"/>
  <c r="N401" i="69" s="1"/>
  <c r="N402" i="69" s="1"/>
  <c r="N1583" i="69"/>
  <c r="N1625" i="69"/>
  <c r="N2261" i="69"/>
  <c r="N2698" i="69"/>
  <c r="N2912" i="69"/>
  <c r="N738" i="69"/>
  <c r="N741" i="69" s="1"/>
  <c r="N742" i="69" s="1"/>
  <c r="N965" i="69"/>
  <c r="N1009" i="69"/>
  <c r="N2394" i="69"/>
  <c r="N2771" i="69"/>
  <c r="N2774" i="69" s="1"/>
  <c r="N2775" i="69" s="1"/>
  <c r="N2777" i="69" s="1"/>
  <c r="N2779" i="69" s="1"/>
  <c r="N2795" i="69" s="1"/>
  <c r="N73" i="69"/>
  <c r="N1458" i="69"/>
  <c r="N1541" i="69"/>
  <c r="N1861" i="69"/>
  <c r="N1867" i="69" s="1"/>
  <c r="N1869" i="69" s="1"/>
  <c r="N2001" i="69"/>
  <c r="N2202" i="69"/>
  <c r="N2655" i="69"/>
  <c r="N120" i="69"/>
  <c r="N62" i="69"/>
  <c r="N63" i="69" s="1"/>
  <c r="N65" i="69" s="1"/>
  <c r="N67" i="69" s="1"/>
  <c r="N506" i="69"/>
  <c r="N1416" i="69"/>
  <c r="N2114" i="69"/>
  <c r="N2117" i="69" s="1"/>
  <c r="N2118" i="69" s="1"/>
  <c r="N709" i="69"/>
  <c r="N755" i="69"/>
  <c r="N1735" i="69"/>
  <c r="N1741" i="69" s="1"/>
  <c r="N1743" i="69" s="1"/>
  <c r="N2599" i="69"/>
  <c r="N2602" i="69" s="1"/>
  <c r="N2603" i="69" s="1"/>
  <c r="N2605" i="69" s="1"/>
  <c r="N2607" i="69" s="1"/>
  <c r="N2623" i="69" s="1"/>
  <c r="N2868" i="69"/>
  <c r="N2946" i="69"/>
  <c r="N2948" i="69" s="1"/>
  <c r="N2963" i="69" s="1"/>
  <c r="N2964" i="69" s="1"/>
  <c r="N2965" i="69" s="1"/>
  <c r="N822" i="69"/>
  <c r="N825" i="69" s="1"/>
  <c r="N826" i="69" s="1"/>
  <c r="N924" i="69"/>
  <c r="N1373" i="69"/>
  <c r="N1835" i="69"/>
  <c r="N1919" i="69"/>
  <c r="N2349" i="69"/>
  <c r="N2729" i="69"/>
  <c r="N2732" i="69" s="1"/>
  <c r="N2733" i="69" s="1"/>
  <c r="N411" i="69"/>
  <c r="N1793" i="69"/>
  <c r="N1709" i="69"/>
  <c r="N1751" i="69"/>
  <c r="N2084" i="69"/>
  <c r="N2128" i="69"/>
  <c r="N2556" i="69"/>
  <c r="N2559" i="69" s="1"/>
  <c r="N2560" i="69" s="1"/>
  <c r="N682" i="69"/>
  <c r="N685" i="69" s="1"/>
  <c r="N686" i="69" s="1"/>
  <c r="N1116" i="69"/>
  <c r="N1122" i="69" s="1"/>
  <c r="N1124" i="69" s="1"/>
  <c r="N1483" i="69"/>
  <c r="N1489" i="69" s="1"/>
  <c r="N1491" i="69" s="1"/>
  <c r="N2305" i="69"/>
  <c r="N2899" i="69"/>
  <c r="N2902" i="69" s="1"/>
  <c r="N2903" i="69" s="1"/>
  <c r="N2642" i="69"/>
  <c r="N2645" i="69" s="1"/>
  <c r="N2646" i="69" s="1"/>
  <c r="N2648" i="69" s="1"/>
  <c r="N2650" i="69" s="1"/>
  <c r="N2667" i="69" s="1"/>
  <c r="F19" i="67"/>
  <c r="F14" i="66"/>
  <c r="F127" i="66"/>
  <c r="F166" i="66"/>
  <c r="L166" i="66" s="1"/>
  <c r="F180" i="67"/>
  <c r="F56" i="66"/>
  <c r="L56" i="66" s="1"/>
  <c r="F28" i="67"/>
  <c r="F35" i="66"/>
  <c r="F36" i="66"/>
  <c r="L36" i="66" s="1"/>
  <c r="F40" i="66"/>
  <c r="F158" i="66"/>
  <c r="L158" i="66" s="1"/>
  <c r="F41" i="66"/>
  <c r="L41" i="66" s="1"/>
  <c r="F42" i="66"/>
  <c r="L42" i="66" s="1"/>
  <c r="F163" i="66"/>
  <c r="L163" i="66" s="1"/>
  <c r="F159" i="66"/>
  <c r="L159" i="66" s="1"/>
  <c r="F49" i="66"/>
  <c r="L49" i="66" s="1"/>
  <c r="A226" i="67"/>
  <c r="A222" i="67"/>
  <c r="A95" i="67"/>
  <c r="A66" i="67"/>
  <c r="A97" i="67"/>
  <c r="A27" i="66"/>
  <c r="A138" i="66"/>
  <c r="A41" i="66"/>
  <c r="A19" i="66"/>
  <c r="A9" i="67"/>
  <c r="A56" i="66"/>
  <c r="A92" i="67"/>
  <c r="A107" i="67"/>
  <c r="A14" i="66"/>
  <c r="A46" i="66"/>
  <c r="A233" i="67"/>
  <c r="D51" i="67"/>
  <c r="D60" i="67"/>
  <c r="E109" i="67"/>
  <c r="D139" i="67"/>
  <c r="D171" i="67"/>
  <c r="E198" i="67"/>
  <c r="E134" i="67"/>
  <c r="D83" i="67"/>
  <c r="D135" i="67"/>
  <c r="E139" i="67"/>
  <c r="D144" i="67"/>
  <c r="E171" i="67"/>
  <c r="D177" i="67"/>
  <c r="D190" i="67"/>
  <c r="D208" i="67"/>
  <c r="D198" i="67"/>
  <c r="D42" i="67"/>
  <c r="E83" i="67"/>
  <c r="D111" i="67"/>
  <c r="E135" i="67"/>
  <c r="E144" i="67"/>
  <c r="E177" i="67"/>
  <c r="E190" i="67"/>
  <c r="D199" i="67"/>
  <c r="E208" i="67"/>
  <c r="D109" i="67"/>
  <c r="E51" i="67"/>
  <c r="D19" i="67"/>
  <c r="E42" i="67"/>
  <c r="D61" i="67"/>
  <c r="E111" i="67"/>
  <c r="E199" i="67"/>
  <c r="E143" i="67"/>
  <c r="E19" i="67"/>
  <c r="D107" i="67"/>
  <c r="D136" i="67"/>
  <c r="D141" i="67"/>
  <c r="D145" i="67"/>
  <c r="D173" i="67"/>
  <c r="D178" i="67"/>
  <c r="D209" i="67"/>
  <c r="D49" i="67"/>
  <c r="D58" i="67"/>
  <c r="E107" i="67"/>
  <c r="D112" i="67"/>
  <c r="E136" i="67"/>
  <c r="E141" i="67"/>
  <c r="E145" i="67"/>
  <c r="E173" i="67"/>
  <c r="E178" i="67"/>
  <c r="E209" i="67"/>
  <c r="E11" i="67"/>
  <c r="E49" i="67"/>
  <c r="E112" i="67"/>
  <c r="E99" i="67"/>
  <c r="E61" i="67"/>
  <c r="D27" i="67"/>
  <c r="E58" i="67"/>
  <c r="E27" i="67"/>
  <c r="D66" i="67"/>
  <c r="D87" i="67"/>
  <c r="D108" i="67"/>
  <c r="D137" i="67"/>
  <c r="D142" i="67"/>
  <c r="E31" i="67"/>
  <c r="E60" i="67"/>
  <c r="D9" i="67"/>
  <c r="D59" i="67"/>
  <c r="E66" i="67"/>
  <c r="E87" i="67"/>
  <c r="E108" i="67"/>
  <c r="D113" i="67"/>
  <c r="E137" i="67"/>
  <c r="E142" i="67"/>
  <c r="D168" i="67"/>
  <c r="E71" i="67"/>
  <c r="D11" i="67"/>
  <c r="E9" i="67"/>
  <c r="D50" i="67"/>
  <c r="E59" i="67"/>
  <c r="E113" i="67"/>
  <c r="E168" i="67"/>
  <c r="D176" i="67"/>
  <c r="D233" i="67"/>
  <c r="E189" i="67"/>
  <c r="D31" i="67"/>
  <c r="E50" i="67"/>
  <c r="D71" i="67"/>
  <c r="D99" i="67"/>
  <c r="D134" i="67"/>
  <c r="D143" i="67"/>
  <c r="E176" i="67"/>
  <c r="D189" i="67"/>
  <c r="E233" i="67"/>
  <c r="A20" i="66"/>
  <c r="A35" i="67"/>
  <c r="A31" i="67"/>
  <c r="A167" i="66"/>
  <c r="A19" i="67"/>
  <c r="A189" i="67"/>
  <c r="A34" i="66"/>
  <c r="A53" i="67"/>
  <c r="A62" i="66"/>
  <c r="A87" i="67"/>
  <c r="A11" i="67"/>
  <c r="A99" i="67"/>
  <c r="I111" i="66"/>
  <c r="I69" i="66"/>
  <c r="I62" i="66"/>
  <c r="I82" i="66"/>
  <c r="I120" i="66"/>
  <c r="I67" i="66"/>
  <c r="I109" i="66"/>
  <c r="I121" i="66"/>
  <c r="I130" i="66"/>
  <c r="I110" i="66"/>
  <c r="E231" i="67"/>
  <c r="D231" i="67"/>
  <c r="I65" i="66"/>
  <c r="I97" i="66"/>
  <c r="I89" i="66"/>
  <c r="I27" i="66"/>
  <c r="I22" i="66"/>
  <c r="I30" i="66"/>
  <c r="I96" i="66"/>
  <c r="I137" i="66"/>
  <c r="I99" i="66"/>
  <c r="I88" i="66"/>
  <c r="I61" i="66"/>
  <c r="I20" i="66"/>
  <c r="I23" i="66"/>
  <c r="H299" i="70"/>
  <c r="K253" i="69" s="1"/>
  <c r="N253" i="69" s="1"/>
  <c r="H212" i="70"/>
  <c r="K1088" i="69" s="1"/>
  <c r="N1088" i="69" s="1"/>
  <c r="N1090" i="69" s="1"/>
  <c r="H251" i="70"/>
  <c r="K1205" i="69" s="1"/>
  <c r="N1205" i="69" s="1"/>
  <c r="N1207" i="69" s="1"/>
  <c r="H52" i="70"/>
  <c r="K548" i="69" s="1"/>
  <c r="N548" i="69" s="1"/>
  <c r="N550" i="69" s="1"/>
  <c r="H225" i="70"/>
  <c r="K1049" i="69" s="1"/>
  <c r="N1049" i="69" s="1"/>
  <c r="N1051" i="69" s="1"/>
  <c r="G187" i="70"/>
  <c r="K1330" i="69" s="1"/>
  <c r="N1330" i="69" s="1"/>
  <c r="N1332" i="69" s="1"/>
  <c r="H263" i="70"/>
  <c r="K255" i="69" s="1"/>
  <c r="N255" i="69" s="1"/>
  <c r="H239" i="70"/>
  <c r="K1127" i="69" s="1"/>
  <c r="N1127" i="69" s="1"/>
  <c r="N1129" i="69" s="1"/>
  <c r="H360" i="70"/>
  <c r="K210" i="69" s="1"/>
  <c r="N210" i="69" s="1"/>
  <c r="N212" i="69" s="1"/>
  <c r="H324" i="70"/>
  <c r="H275" i="70"/>
  <c r="K256" i="69" s="1"/>
  <c r="N256" i="69" s="1"/>
  <c r="H336" i="70"/>
  <c r="K590" i="69" s="1"/>
  <c r="N590" i="69" s="1"/>
  <c r="N594" i="69" s="1"/>
  <c r="H199" i="70"/>
  <c r="K1166" i="69" s="1"/>
  <c r="N1166" i="69" s="1"/>
  <c r="N1168" i="69" s="1"/>
  <c r="G113" i="70"/>
  <c r="H287" i="70"/>
  <c r="K257" i="69" s="1"/>
  <c r="N257" i="69" s="1"/>
  <c r="H348" i="70"/>
  <c r="K1244" i="69" s="1"/>
  <c r="N1244" i="69" s="1"/>
  <c r="N1246" i="69" s="1"/>
  <c r="G77" i="70"/>
  <c r="K639" i="69" s="1"/>
  <c r="N639" i="69" s="1"/>
  <c r="N648" i="69" s="1"/>
  <c r="I171" i="66"/>
  <c r="N26" i="69"/>
  <c r="N27" i="69" s="1"/>
  <c r="N242" i="69"/>
  <c r="N248" i="69" s="1"/>
  <c r="N250" i="69" s="1"/>
  <c r="N780" i="69"/>
  <c r="N783" i="69" s="1"/>
  <c r="N784" i="69" s="1"/>
  <c r="N786" i="69" s="1"/>
  <c r="N788" i="69" s="1"/>
  <c r="N1194" i="69"/>
  <c r="N1200" i="69" s="1"/>
  <c r="N1202" i="69" s="1"/>
  <c r="N1525" i="69"/>
  <c r="N1531" i="69" s="1"/>
  <c r="N1533" i="69" s="1"/>
  <c r="N1567" i="69"/>
  <c r="N1573" i="69" s="1"/>
  <c r="N1575" i="69" s="1"/>
  <c r="N2380" i="69"/>
  <c r="N2424" i="69"/>
  <c r="N2427" i="69" s="1"/>
  <c r="N2428" i="69" s="1"/>
  <c r="N744" i="69"/>
  <c r="N746" i="69" s="1"/>
  <c r="N367" i="69"/>
  <c r="N1155" i="69"/>
  <c r="N1161" i="69" s="1"/>
  <c r="N1163" i="69" s="1"/>
  <c r="N1651" i="69"/>
  <c r="N1657" i="69" s="1"/>
  <c r="N1659" i="69" s="1"/>
  <c r="N1693" i="69"/>
  <c r="N1699" i="69" s="1"/>
  <c r="N1701" i="69" s="1"/>
  <c r="N1719" i="69" s="1"/>
  <c r="N348" i="69"/>
  <c r="N443" i="69"/>
  <c r="N446" i="69" s="1"/>
  <c r="N447" i="69" s="1"/>
  <c r="N542" i="69"/>
  <c r="N544" i="69" s="1"/>
  <c r="N1000" i="69"/>
  <c r="N1002" i="69" s="1"/>
  <c r="N1315" i="69"/>
  <c r="N1321" i="69" s="1"/>
  <c r="N1323" i="69" s="1"/>
  <c r="N1777" i="69"/>
  <c r="N1783" i="69" s="1"/>
  <c r="N1785" i="69" s="1"/>
  <c r="N1819" i="69"/>
  <c r="N1825" i="69" s="1"/>
  <c r="N1827" i="69" s="1"/>
  <c r="N1845" i="69" s="1"/>
  <c r="N2247" i="69"/>
  <c r="N2291" i="69"/>
  <c r="N2294" i="69" s="1"/>
  <c r="N2295" i="69" s="1"/>
  <c r="N105" i="69"/>
  <c r="N108" i="69" s="1"/>
  <c r="N109" i="69" s="1"/>
  <c r="N628" i="69"/>
  <c r="N631" i="69" s="1"/>
  <c r="N632" i="69" s="1"/>
  <c r="N1077" i="69"/>
  <c r="N1083" i="69" s="1"/>
  <c r="N1085" i="69" s="1"/>
  <c r="N1273" i="69"/>
  <c r="N1279" i="69" s="1"/>
  <c r="N1281" i="69" s="1"/>
  <c r="N1299" i="69" s="1"/>
  <c r="N1667" i="69"/>
  <c r="N950" i="69"/>
  <c r="N1239" i="69"/>
  <c r="N1241" i="69" s="1"/>
  <c r="N579" i="69"/>
  <c r="N582" i="69" s="1"/>
  <c r="N583" i="69" s="1"/>
  <c r="N912" i="69"/>
  <c r="N914" i="69" s="1"/>
  <c r="N1400" i="69"/>
  <c r="N1406" i="69" s="1"/>
  <c r="N1408" i="69" s="1"/>
  <c r="N1442" i="69"/>
  <c r="N1448" i="69" s="1"/>
  <c r="N1450" i="69" s="1"/>
  <c r="N1903" i="69"/>
  <c r="N1909" i="69" s="1"/>
  <c r="N1911" i="69" s="1"/>
  <c r="N1945" i="69"/>
  <c r="N1951" i="69" s="1"/>
  <c r="N1953" i="69" s="1"/>
  <c r="N1970" i="69" s="1"/>
  <c r="N1986" i="69"/>
  <c r="N1992" i="69" s="1"/>
  <c r="N1994" i="69" s="1"/>
  <c r="N2011" i="69" s="1"/>
  <c r="N2027" i="69"/>
  <c r="N2033" i="69" s="1"/>
  <c r="N2035" i="69" s="1"/>
  <c r="N2052" i="69" s="1"/>
  <c r="N2158" i="69"/>
  <c r="N2161" i="69" s="1"/>
  <c r="N2162" i="69" s="1"/>
  <c r="N2205" i="69"/>
  <c r="N2206" i="69" s="1"/>
  <c r="N2208" i="69" s="1"/>
  <c r="N2210" i="69" s="1"/>
  <c r="N2469" i="69"/>
  <c r="I75" i="66"/>
  <c r="I146" i="66"/>
  <c r="I125" i="66"/>
  <c r="I18" i="66"/>
  <c r="I29" i="66"/>
  <c r="I91" i="66"/>
  <c r="I132" i="66"/>
  <c r="I147" i="66"/>
  <c r="I156" i="66"/>
  <c r="I66" i="66"/>
  <c r="I10" i="66"/>
  <c r="I98" i="66"/>
  <c r="I157" i="66"/>
  <c r="I174" i="66"/>
  <c r="I63" i="66"/>
  <c r="I122" i="66"/>
  <c r="I138" i="66"/>
  <c r="I40" i="66" l="1"/>
  <c r="L40" i="66"/>
  <c r="I127" i="66"/>
  <c r="L127" i="66"/>
  <c r="I14" i="66"/>
  <c r="L14" i="66"/>
  <c r="I35" i="66"/>
  <c r="L35" i="66"/>
  <c r="N828" i="69"/>
  <c r="N830" i="69" s="1"/>
  <c r="N847" i="69" s="1"/>
  <c r="A190" i="67"/>
  <c r="N2075" i="69"/>
  <c r="N2077" i="69" s="1"/>
  <c r="N2096" i="69"/>
  <c r="N1929" i="69"/>
  <c r="N1426" i="69"/>
  <c r="N2691" i="69"/>
  <c r="N2693" i="69" s="1"/>
  <c r="N2710" i="69" s="1"/>
  <c r="N1383" i="69"/>
  <c r="N932" i="69"/>
  <c r="A58" i="67"/>
  <c r="A88" i="67"/>
  <c r="A57" i="66"/>
  <c r="N2880" i="69"/>
  <c r="N2229" i="69"/>
  <c r="N496" i="69"/>
  <c r="N498" i="69" s="1"/>
  <c r="N518" i="69" s="1"/>
  <c r="N2735" i="69"/>
  <c r="N2737" i="69" s="1"/>
  <c r="N2753" i="69" s="1"/>
  <c r="N2905" i="69"/>
  <c r="N2907" i="69" s="1"/>
  <c r="N2924" i="69" s="1"/>
  <c r="N763" i="69"/>
  <c r="N404" i="69"/>
  <c r="N406" i="69" s="1"/>
  <c r="N423" i="69" s="1"/>
  <c r="N805" i="69"/>
  <c r="N21" i="69"/>
  <c r="N23" i="69" s="1"/>
  <c r="N39" i="69" s="1"/>
  <c r="G163" i="66" s="1"/>
  <c r="N2562" i="69"/>
  <c r="N2564" i="69" s="1"/>
  <c r="N2580" i="69" s="1"/>
  <c r="N889" i="69"/>
  <c r="N890" i="69" s="1"/>
  <c r="N891" i="69" s="1"/>
  <c r="N1803" i="69"/>
  <c r="N1509" i="69"/>
  <c r="N2819" i="69"/>
  <c r="N2821" i="69" s="1"/>
  <c r="N2837" i="69" s="1"/>
  <c r="N1551" i="69"/>
  <c r="N1217" i="69"/>
  <c r="N2519" i="69"/>
  <c r="N2521" i="69" s="1"/>
  <c r="N2538" i="69" s="1"/>
  <c r="N688" i="69"/>
  <c r="N690" i="69" s="1"/>
  <c r="N721" i="69" s="1"/>
  <c r="N1022" i="69"/>
  <c r="N264" i="69"/>
  <c r="N274" i="69" s="1"/>
  <c r="N1178" i="69"/>
  <c r="N1100" i="69"/>
  <c r="F134" i="66"/>
  <c r="L134" i="66" s="1"/>
  <c r="N1139" i="69"/>
  <c r="N1061" i="69"/>
  <c r="N1342" i="69"/>
  <c r="N85" i="69"/>
  <c r="N562" i="69"/>
  <c r="N1256" i="69"/>
  <c r="N157" i="69"/>
  <c r="N159" i="69" s="1"/>
  <c r="N175" i="69" s="1"/>
  <c r="N2430" i="69"/>
  <c r="N2432" i="69" s="1"/>
  <c r="N2450" i="69" s="1"/>
  <c r="N585" i="69"/>
  <c r="N587" i="69" s="1"/>
  <c r="N606" i="69" s="1"/>
  <c r="N2361" i="69"/>
  <c r="N1593" i="69"/>
  <c r="N1761" i="69"/>
  <c r="G79" i="66" s="1"/>
  <c r="H79" i="66" s="1"/>
  <c r="I79" i="66" s="1"/>
  <c r="N1887" i="69"/>
  <c r="N1468" i="69"/>
  <c r="G84" i="66"/>
  <c r="H84" i="66" s="1"/>
  <c r="I84" i="66" s="1"/>
  <c r="G140" i="66"/>
  <c r="H140" i="66" s="1"/>
  <c r="I140" i="66" s="1"/>
  <c r="G141" i="66"/>
  <c r="H141" i="66" s="1"/>
  <c r="I141" i="66" s="1"/>
  <c r="G78" i="66"/>
  <c r="H78" i="66" s="1"/>
  <c r="I78" i="66" s="1"/>
  <c r="G102" i="66"/>
  <c r="H102" i="66" s="1"/>
  <c r="I102" i="66" s="1"/>
  <c r="G41" i="66"/>
  <c r="H41" i="66" s="1"/>
  <c r="I41" i="66" s="1"/>
  <c r="G87" i="66"/>
  <c r="H87" i="66" s="1"/>
  <c r="I87" i="66" s="1"/>
  <c r="G26" i="66"/>
  <c r="H26" i="66" s="1"/>
  <c r="I26" i="66" s="1"/>
  <c r="I25" i="66" s="1"/>
  <c r="G150" i="66"/>
  <c r="H150" i="66" s="1"/>
  <c r="I150" i="66" s="1"/>
  <c r="G105" i="66"/>
  <c r="H105" i="66" s="1"/>
  <c r="I105" i="66" s="1"/>
  <c r="N634" i="69"/>
  <c r="N636" i="69" s="1"/>
  <c r="N660" i="69" s="1"/>
  <c r="N1635" i="69"/>
  <c r="G49" i="66"/>
  <c r="H49" i="66" s="1"/>
  <c r="I49" i="66" s="1"/>
  <c r="I48" i="66" s="1"/>
  <c r="G144" i="66"/>
  <c r="H144" i="66" s="1"/>
  <c r="I144" i="66" s="1"/>
  <c r="N2120" i="69"/>
  <c r="N2122" i="69" s="1"/>
  <c r="N2140" i="69" s="1"/>
  <c r="G104" i="66"/>
  <c r="H104" i="66" s="1"/>
  <c r="I104" i="66" s="1"/>
  <c r="G103" i="66"/>
  <c r="H103" i="66" s="1"/>
  <c r="I103" i="66" s="1"/>
  <c r="N1677" i="69"/>
  <c r="F33" i="66"/>
  <c r="F13" i="66"/>
  <c r="F34" i="66"/>
  <c r="A28" i="66"/>
  <c r="A100" i="67"/>
  <c r="A93" i="67"/>
  <c r="A15" i="66"/>
  <c r="A42" i="66"/>
  <c r="A139" i="66"/>
  <c r="A35" i="66"/>
  <c r="A71" i="67"/>
  <c r="A168" i="66"/>
  <c r="A227" i="67"/>
  <c r="A63" i="66"/>
  <c r="A108" i="67"/>
  <c r="A21" i="66"/>
  <c r="A42" i="67"/>
  <c r="N224" i="69"/>
  <c r="N2796" i="69"/>
  <c r="N2797" i="69" s="1"/>
  <c r="N1971" i="69"/>
  <c r="N1972" i="69" s="1"/>
  <c r="N2053" i="69"/>
  <c r="N2054" i="69" s="1"/>
  <c r="N1930" i="69"/>
  <c r="N1931" i="69" s="1"/>
  <c r="N2164" i="69"/>
  <c r="N2166" i="69" s="1"/>
  <c r="N2184" i="69" s="1"/>
  <c r="N1300" i="69"/>
  <c r="N1301" i="69" s="1"/>
  <c r="N2012" i="69"/>
  <c r="N2013" i="69" s="1"/>
  <c r="N2668" i="69"/>
  <c r="N2669" i="69" s="1"/>
  <c r="N764" i="69"/>
  <c r="N765" i="69" s="1"/>
  <c r="N1720" i="69"/>
  <c r="N1721" i="69" s="1"/>
  <c r="N953" i="69"/>
  <c r="N954" i="69" s="1"/>
  <c r="N956" i="69" s="1"/>
  <c r="N958" i="69" s="1"/>
  <c r="N978" i="69" s="1"/>
  <c r="N2297" i="69"/>
  <c r="N2299" i="69" s="1"/>
  <c r="N2317" i="69" s="1"/>
  <c r="N351" i="69"/>
  <c r="N352" i="69" s="1"/>
  <c r="N354" i="69" s="1"/>
  <c r="N356" i="69" s="1"/>
  <c r="N379" i="69" s="1"/>
  <c r="N1846" i="69"/>
  <c r="N1847" i="69" s="1"/>
  <c r="N1427" i="69"/>
  <c r="N1428" i="69" s="1"/>
  <c r="N2624" i="69"/>
  <c r="N2625" i="69" s="1"/>
  <c r="N2383" i="69"/>
  <c r="N2384" i="69" s="1"/>
  <c r="N2386" i="69" s="1"/>
  <c r="N2388" i="69" s="1"/>
  <c r="N2406" i="69" s="1"/>
  <c r="N933" i="69"/>
  <c r="N934" i="69" s="1"/>
  <c r="N111" i="69"/>
  <c r="N113" i="69" s="1"/>
  <c r="N132" i="69" s="1"/>
  <c r="N2472" i="69"/>
  <c r="N2473" i="69" s="1"/>
  <c r="N2475" i="69" s="1"/>
  <c r="N2477" i="69" s="1"/>
  <c r="N2494" i="69" s="1"/>
  <c r="N848" i="69"/>
  <c r="N849" i="69" s="1"/>
  <c r="N2097" i="69"/>
  <c r="N2098" i="69" s="1"/>
  <c r="N449" i="69"/>
  <c r="N451" i="69" s="1"/>
  <c r="N471" i="69" s="1"/>
  <c r="N2250" i="69"/>
  <c r="N2251" i="69" s="1"/>
  <c r="N2253" i="69" s="1"/>
  <c r="N2255" i="69" s="1"/>
  <c r="N2273" i="69" s="1"/>
  <c r="I9" i="66"/>
  <c r="I60" i="66"/>
  <c r="I173" i="66"/>
  <c r="I33" i="66" l="1"/>
  <c r="L33" i="66"/>
  <c r="I34" i="66"/>
  <c r="L34" i="66"/>
  <c r="I13" i="66"/>
  <c r="L13" i="66"/>
  <c r="G135" i="66"/>
  <c r="H135" i="66" s="1"/>
  <c r="I135" i="66" s="1"/>
  <c r="N1384" i="69"/>
  <c r="N1385" i="69" s="1"/>
  <c r="N1023" i="69"/>
  <c r="N1024" i="69" s="1"/>
  <c r="G36" i="66"/>
  <c r="H36" i="66" s="1"/>
  <c r="I36" i="66" s="1"/>
  <c r="N1804" i="69"/>
  <c r="N1805" i="69" s="1"/>
  <c r="G80" i="66"/>
  <c r="H80" i="66" s="1"/>
  <c r="I80" i="66" s="1"/>
  <c r="N2881" i="69"/>
  <c r="N2882" i="69" s="1"/>
  <c r="N2362" i="69"/>
  <c r="N2363" i="69" s="1"/>
  <c r="N2711" i="69"/>
  <c r="N2712" i="69" s="1"/>
  <c r="G52" i="66"/>
  <c r="H52" i="66" s="1"/>
  <c r="G145" i="66"/>
  <c r="H145" i="66" s="1"/>
  <c r="I145" i="66" s="1"/>
  <c r="N2754" i="69"/>
  <c r="N2755" i="69" s="1"/>
  <c r="G72" i="66"/>
  <c r="H72" i="66" s="1"/>
  <c r="I72" i="66" s="1"/>
  <c r="G158" i="66"/>
  <c r="H158" i="66" s="1"/>
  <c r="I158" i="66" s="1"/>
  <c r="G143" i="66"/>
  <c r="H143" i="66" s="1"/>
  <c r="I143" i="66" s="1"/>
  <c r="G142" i="66"/>
  <c r="H142" i="66" s="1"/>
  <c r="I142" i="66" s="1"/>
  <c r="G159" i="66"/>
  <c r="H159" i="66" s="1"/>
  <c r="I159" i="66" s="1"/>
  <c r="N2925" i="69"/>
  <c r="N2926" i="69" s="1"/>
  <c r="N1510" i="69"/>
  <c r="N1511" i="69" s="1"/>
  <c r="G117" i="66"/>
  <c r="H117" i="66" s="1"/>
  <c r="I117" i="66" s="1"/>
  <c r="N519" i="69"/>
  <c r="N520" i="69" s="1"/>
  <c r="N2230" i="69"/>
  <c r="N2231" i="69" s="1"/>
  <c r="A103" i="67"/>
  <c r="N1594" i="69"/>
  <c r="N1595" i="69" s="1"/>
  <c r="G129" i="66"/>
  <c r="H129" i="66" s="1"/>
  <c r="I129" i="66" s="1"/>
  <c r="N2838" i="69"/>
  <c r="N2839" i="69" s="1"/>
  <c r="G148" i="66"/>
  <c r="H148" i="66" s="1"/>
  <c r="I148" i="66" s="1"/>
  <c r="G139" i="66"/>
  <c r="H139" i="66" s="1"/>
  <c r="I139" i="66" s="1"/>
  <c r="N2581" i="69"/>
  <c r="N2582" i="69" s="1"/>
  <c r="G108" i="66"/>
  <c r="H108" i="66" s="1"/>
  <c r="I108" i="66" s="1"/>
  <c r="N806" i="69"/>
  <c r="N807" i="69" s="1"/>
  <c r="N424" i="69"/>
  <c r="N425" i="69" s="1"/>
  <c r="G149" i="66"/>
  <c r="H149" i="66" s="1"/>
  <c r="I149" i="66" s="1"/>
  <c r="G126" i="66"/>
  <c r="H126" i="66" s="1"/>
  <c r="I126" i="66" s="1"/>
  <c r="G19" i="66"/>
  <c r="H19" i="66" s="1"/>
  <c r="I19" i="66" s="1"/>
  <c r="I17" i="66" s="1"/>
  <c r="N2539" i="69"/>
  <c r="N2540" i="69" s="1"/>
  <c r="N1218" i="69"/>
  <c r="N1219" i="69" s="1"/>
  <c r="G73" i="66"/>
  <c r="H73" i="66" s="1"/>
  <c r="I73" i="66" s="1"/>
  <c r="G169" i="66"/>
  <c r="H169" i="66" s="1"/>
  <c r="I169" i="66" s="1"/>
  <c r="N1257" i="69"/>
  <c r="N1258" i="69" s="1"/>
  <c r="N1179" i="69"/>
  <c r="N1180" i="69" s="1"/>
  <c r="G154" i="66"/>
  <c r="H154" i="66" s="1"/>
  <c r="I154" i="66" s="1"/>
  <c r="N722" i="69"/>
  <c r="N723" i="69" s="1"/>
  <c r="N1552" i="69"/>
  <c r="N1553" i="69" s="1"/>
  <c r="G115" i="66"/>
  <c r="H115" i="66" s="1"/>
  <c r="I115" i="66" s="1"/>
  <c r="G155" i="66"/>
  <c r="H155" i="66" s="1"/>
  <c r="I155" i="66" s="1"/>
  <c r="N1469" i="69"/>
  <c r="N1470" i="69" s="1"/>
  <c r="G74" i="66"/>
  <c r="H74" i="66" s="1"/>
  <c r="I74" i="66" s="1"/>
  <c r="N2451" i="69"/>
  <c r="N2452" i="69" s="1"/>
  <c r="G123" i="66"/>
  <c r="H123" i="66" s="1"/>
  <c r="I123" i="66" s="1"/>
  <c r="N1888" i="69"/>
  <c r="N1889" i="69" s="1"/>
  <c r="G166" i="66"/>
  <c r="H166" i="66" s="1"/>
  <c r="I166" i="66" s="1"/>
  <c r="G85" i="66"/>
  <c r="H85" i="66" s="1"/>
  <c r="I85" i="66" s="1"/>
  <c r="N1101" i="69"/>
  <c r="N1102" i="69" s="1"/>
  <c r="G152" i="66"/>
  <c r="H152" i="66" s="1"/>
  <c r="I152" i="66" s="1"/>
  <c r="N1762" i="69"/>
  <c r="N1763" i="69" s="1"/>
  <c r="G71" i="66"/>
  <c r="H71" i="66" s="1"/>
  <c r="I71" i="66" s="1"/>
  <c r="N176" i="69"/>
  <c r="N177" i="69" s="1"/>
  <c r="G42" i="66"/>
  <c r="H42" i="66" s="1"/>
  <c r="I42" i="66" s="1"/>
  <c r="N1140" i="69"/>
  <c r="N1141" i="69" s="1"/>
  <c r="N563" i="69"/>
  <c r="N564" i="69" s="1"/>
  <c r="G151" i="66"/>
  <c r="H151" i="66" s="1"/>
  <c r="I151" i="66" s="1"/>
  <c r="N1062" i="69"/>
  <c r="N1063" i="69" s="1"/>
  <c r="G167" i="66"/>
  <c r="H167" i="66" s="1"/>
  <c r="I167" i="66" s="1"/>
  <c r="N607" i="69"/>
  <c r="N608" i="69" s="1"/>
  <c r="N661" i="69"/>
  <c r="N662" i="69" s="1"/>
  <c r="G153" i="66"/>
  <c r="H153" i="66" s="1"/>
  <c r="I153" i="66" s="1"/>
  <c r="N1343" i="69"/>
  <c r="N1344" i="69" s="1"/>
  <c r="G81" i="66"/>
  <c r="H81" i="66" s="1"/>
  <c r="I81" i="66" s="1"/>
  <c r="N86" i="69"/>
  <c r="N87" i="69" s="1"/>
  <c r="F15" i="66"/>
  <c r="G168" i="66"/>
  <c r="H168" i="66" s="1"/>
  <c r="I168" i="66" s="1"/>
  <c r="G116" i="66"/>
  <c r="H116" i="66" s="1"/>
  <c r="I116" i="66" s="1"/>
  <c r="K18" i="68"/>
  <c r="G134" i="66"/>
  <c r="H134" i="66" s="1"/>
  <c r="I134" i="66" s="1"/>
  <c r="I133" i="66" s="1"/>
  <c r="H163" i="66"/>
  <c r="I163" i="66" s="1"/>
  <c r="I161" i="66" s="1"/>
  <c r="C23" i="68" s="1"/>
  <c r="G77" i="66"/>
  <c r="H77" i="66" s="1"/>
  <c r="I77" i="66" s="1"/>
  <c r="G107" i="66"/>
  <c r="H107" i="66" s="1"/>
  <c r="I107" i="66" s="1"/>
  <c r="N225" i="69"/>
  <c r="N226" i="69" s="1"/>
  <c r="G46" i="66"/>
  <c r="H46" i="66" s="1"/>
  <c r="I46" i="66" s="1"/>
  <c r="N275" i="69"/>
  <c r="N276" i="69" s="1"/>
  <c r="G43" i="66"/>
  <c r="H43" i="66" s="1"/>
  <c r="I43" i="66" s="1"/>
  <c r="G45" i="66"/>
  <c r="H45" i="66" s="1"/>
  <c r="I45" i="66" s="1"/>
  <c r="G70" i="66"/>
  <c r="H70" i="66" s="1"/>
  <c r="I70" i="66" s="1"/>
  <c r="G76" i="66"/>
  <c r="H76" i="66" s="1"/>
  <c r="I76" i="66" s="1"/>
  <c r="N1636" i="69"/>
  <c r="N1637" i="69" s="1"/>
  <c r="G113" i="66"/>
  <c r="H113" i="66" s="1"/>
  <c r="I113" i="66" s="1"/>
  <c r="G56" i="66"/>
  <c r="H56" i="66" s="1"/>
  <c r="I56" i="66" s="1"/>
  <c r="I54" i="66" s="1"/>
  <c r="N40" i="69"/>
  <c r="N41" i="69" s="1"/>
  <c r="G106" i="66"/>
  <c r="H106" i="66" s="1"/>
  <c r="I106" i="66" s="1"/>
  <c r="N2141" i="69"/>
  <c r="N2142" i="69" s="1"/>
  <c r="G170" i="66"/>
  <c r="H170" i="66" s="1"/>
  <c r="I170" i="66" s="1"/>
  <c r="H37" i="66"/>
  <c r="I37" i="66" s="1"/>
  <c r="I32" i="66" s="1"/>
  <c r="C15" i="68" s="1"/>
  <c r="N1678" i="69"/>
  <c r="N1679" i="69" s="1"/>
  <c r="G128" i="66"/>
  <c r="H128" i="66" s="1"/>
  <c r="I128" i="66" s="1"/>
  <c r="G114" i="66"/>
  <c r="H114" i="66" s="1"/>
  <c r="I114" i="66" s="1"/>
  <c r="F52" i="66"/>
  <c r="A27" i="67"/>
  <c r="A140" i="66"/>
  <c r="A191" i="67"/>
  <c r="A43" i="66"/>
  <c r="A89" i="67"/>
  <c r="A29" i="66"/>
  <c r="A59" i="67"/>
  <c r="O14" i="68"/>
  <c r="A22" i="66"/>
  <c r="A49" i="67"/>
  <c r="A65" i="66"/>
  <c r="A109" i="67"/>
  <c r="A169" i="66"/>
  <c r="A228" i="67"/>
  <c r="A36" i="66"/>
  <c r="A83" i="67"/>
  <c r="N979" i="69"/>
  <c r="N980" i="69" s="1"/>
  <c r="N2274" i="69"/>
  <c r="N2275" i="69" s="1"/>
  <c r="N380" i="69"/>
  <c r="N381" i="69" s="1"/>
  <c r="N2185" i="69"/>
  <c r="N2186" i="69" s="1"/>
  <c r="N472" i="69"/>
  <c r="N473" i="69" s="1"/>
  <c r="N2318" i="69"/>
  <c r="N2319" i="69" s="1"/>
  <c r="N2407" i="69"/>
  <c r="N2408" i="69" s="1"/>
  <c r="N2495" i="69"/>
  <c r="N2496" i="69" s="1"/>
  <c r="N133" i="69"/>
  <c r="N134" i="69" s="1"/>
  <c r="I52" i="66" l="1"/>
  <c r="I51" i="66" s="1"/>
  <c r="L52" i="66"/>
  <c r="I15" i="66"/>
  <c r="I12" i="66" s="1"/>
  <c r="L15" i="66"/>
  <c r="M13" i="68"/>
  <c r="I124" i="66"/>
  <c r="I165" i="66"/>
  <c r="C24" i="68" s="1"/>
  <c r="I39" i="66"/>
  <c r="A170" i="66"/>
  <c r="M18" i="68"/>
  <c r="I94" i="66"/>
  <c r="O18" i="68"/>
  <c r="I18" i="68"/>
  <c r="I136" i="66"/>
  <c r="C22" i="68" s="1"/>
  <c r="I44" i="66"/>
  <c r="C17" i="68" s="1"/>
  <c r="I64" i="66"/>
  <c r="K15" i="68"/>
  <c r="A30" i="66"/>
  <c r="A60" i="67"/>
  <c r="A141" i="66"/>
  <c r="A192" i="67"/>
  <c r="A90" i="67"/>
  <c r="A66" i="66"/>
  <c r="A111" i="67"/>
  <c r="A23" i="66"/>
  <c r="A50" i="67"/>
  <c r="A229" i="67"/>
  <c r="A37" i="66"/>
  <c r="A84" i="67"/>
  <c r="K25" i="68"/>
  <c r="O25" i="68"/>
  <c r="I25" i="68"/>
  <c r="M25" i="68"/>
  <c r="O11" i="68"/>
  <c r="K11" i="68"/>
  <c r="M11" i="68"/>
  <c r="I14" i="68"/>
  <c r="M14" i="68"/>
  <c r="K14" i="68"/>
  <c r="C16" i="68" l="1"/>
  <c r="K16" i="68" s="1"/>
  <c r="O12" i="68"/>
  <c r="O13" i="68"/>
  <c r="I13" i="68"/>
  <c r="K13" i="68"/>
  <c r="I12" i="68"/>
  <c r="K12" i="68"/>
  <c r="M12" i="68"/>
  <c r="A171" i="66"/>
  <c r="I59" i="66"/>
  <c r="C21" i="68" s="1"/>
  <c r="K22" i="68"/>
  <c r="K24" i="68"/>
  <c r="I24" i="68"/>
  <c r="M24" i="68"/>
  <c r="M16" i="68"/>
  <c r="I16" i="68"/>
  <c r="M17" i="68"/>
  <c r="O24" i="68"/>
  <c r="O20" i="68"/>
  <c r="M20" i="68"/>
  <c r="I20" i="68"/>
  <c r="K20" i="68"/>
  <c r="I15" i="68"/>
  <c r="M15" i="68"/>
  <c r="O23" i="68"/>
  <c r="I23" i="68"/>
  <c r="M23" i="68"/>
  <c r="K23" i="68"/>
  <c r="O15" i="68"/>
  <c r="K19" i="68"/>
  <c r="O19" i="68"/>
  <c r="I19" i="68"/>
  <c r="M19" i="68"/>
  <c r="A51" i="67"/>
  <c r="A142" i="66"/>
  <c r="A193" i="67"/>
  <c r="A85" i="67"/>
  <c r="A61" i="67"/>
  <c r="A67" i="66"/>
  <c r="A112" i="67"/>
  <c r="O16" i="68" l="1"/>
  <c r="I176" i="66"/>
  <c r="L159" i="9" s="1"/>
  <c r="O21" i="68"/>
  <c r="I22" i="68"/>
  <c r="M22" i="68"/>
  <c r="O22" i="68"/>
  <c r="I17" i="68"/>
  <c r="K17" i="68"/>
  <c r="O17" i="68"/>
  <c r="A143" i="66"/>
  <c r="A194" i="67"/>
  <c r="A68" i="66"/>
  <c r="A113" i="67"/>
  <c r="A230" i="67"/>
  <c r="J173" i="66" l="1"/>
  <c r="I8" i="66"/>
  <c r="J57" i="66" s="1"/>
  <c r="J165" i="66"/>
  <c r="K21" i="68"/>
  <c r="K7" i="68" s="1"/>
  <c r="I21" i="68"/>
  <c r="I7" i="68" s="1"/>
  <c r="O7" i="68"/>
  <c r="M21" i="68"/>
  <c r="M7" i="68" s="1"/>
  <c r="C26" i="68"/>
  <c r="C10" i="68" s="1"/>
  <c r="D24" i="68" s="1"/>
  <c r="J122" i="66"/>
  <c r="J103" i="66"/>
  <c r="J168" i="66"/>
  <c r="J69" i="66"/>
  <c r="J146" i="66"/>
  <c r="J88" i="66"/>
  <c r="J67" i="66"/>
  <c r="J151" i="66"/>
  <c r="J166" i="66"/>
  <c r="J174" i="66"/>
  <c r="J81" i="66"/>
  <c r="J68" i="66"/>
  <c r="J62" i="66"/>
  <c r="J113" i="66"/>
  <c r="J27" i="66"/>
  <c r="J75" i="66"/>
  <c r="J10" i="66"/>
  <c r="J79" i="66"/>
  <c r="J63" i="66"/>
  <c r="J130" i="66"/>
  <c r="J61" i="66"/>
  <c r="J87" i="66"/>
  <c r="J137" i="66"/>
  <c r="J170" i="66"/>
  <c r="J128" i="66"/>
  <c r="J125" i="66"/>
  <c r="J89" i="66"/>
  <c r="J73" i="66"/>
  <c r="J110" i="66"/>
  <c r="J119" i="66"/>
  <c r="J77" i="66"/>
  <c r="J104" i="66"/>
  <c r="J59" i="66"/>
  <c r="J54" i="66"/>
  <c r="J117" i="66"/>
  <c r="J111" i="66"/>
  <c r="J30" i="66"/>
  <c r="J92" i="66"/>
  <c r="J66" i="66"/>
  <c r="J114" i="66"/>
  <c r="J70" i="66"/>
  <c r="J161" i="66"/>
  <c r="J28" i="66"/>
  <c r="J97" i="66"/>
  <c r="J45" i="66"/>
  <c r="A231" i="67"/>
  <c r="A144" i="66"/>
  <c r="A195" i="67"/>
  <c r="A69" i="66"/>
  <c r="A114" i="67"/>
  <c r="F61" i="9"/>
  <c r="C55" i="11"/>
  <c r="E61" i="9"/>
  <c r="E55" i="11" s="1"/>
  <c r="D61" i="9"/>
  <c r="D55" i="11" s="1"/>
  <c r="M1315" i="38"/>
  <c r="N1304" i="38"/>
  <c r="N1307" i="38"/>
  <c r="N1308" i="38" s="1"/>
  <c r="N1312" i="38"/>
  <c r="N1296" i="38"/>
  <c r="L1291" i="38"/>
  <c r="N1291" i="38" s="1"/>
  <c r="J98" i="66" l="1"/>
  <c r="J157" i="66"/>
  <c r="J76" i="66"/>
  <c r="J141" i="66"/>
  <c r="J65" i="66"/>
  <c r="J132" i="66"/>
  <c r="J158" i="66"/>
  <c r="J101" i="66"/>
  <c r="J37" i="66"/>
  <c r="J143" i="66"/>
  <c r="J48" i="66"/>
  <c r="J78" i="66"/>
  <c r="J108" i="66"/>
  <c r="J135" i="66"/>
  <c r="J131" i="66"/>
  <c r="J142" i="66"/>
  <c r="J90" i="66"/>
  <c r="J129" i="66"/>
  <c r="J51" i="66"/>
  <c r="J144" i="66"/>
  <c r="J150" i="66"/>
  <c r="J126" i="66"/>
  <c r="J20" i="66"/>
  <c r="J9" i="66"/>
  <c r="J121" i="66"/>
  <c r="J22" i="66"/>
  <c r="J17" i="66"/>
  <c r="J83" i="66"/>
  <c r="J42" i="66"/>
  <c r="J95" i="66"/>
  <c r="J140" i="66"/>
  <c r="J72" i="66"/>
  <c r="J23" i="66"/>
  <c r="J15" i="66"/>
  <c r="J102" i="66"/>
  <c r="J115" i="66"/>
  <c r="J154" i="66"/>
  <c r="J155" i="66"/>
  <c r="J109" i="66"/>
  <c r="J44" i="66"/>
  <c r="J167" i="66"/>
  <c r="J116" i="66"/>
  <c r="J163" i="66"/>
  <c r="J153" i="66"/>
  <c r="J169" i="66"/>
  <c r="J123" i="66"/>
  <c r="J91" i="66"/>
  <c r="J139" i="66"/>
  <c r="J56" i="66"/>
  <c r="J171" i="66"/>
  <c r="J74" i="66"/>
  <c r="J118" i="66"/>
  <c r="J134" i="66"/>
  <c r="J99" i="66"/>
  <c r="J29" i="66"/>
  <c r="J25" i="66"/>
  <c r="J35" i="66"/>
  <c r="J96" i="66"/>
  <c r="J32" i="66"/>
  <c r="J82" i="66"/>
  <c r="J84" i="66"/>
  <c r="J138" i="66"/>
  <c r="J85" i="66"/>
  <c r="J40" i="66"/>
  <c r="J149" i="66"/>
  <c r="J145" i="66"/>
  <c r="J100" i="66"/>
  <c r="J49" i="66"/>
  <c r="J93" i="66"/>
  <c r="J52" i="66"/>
  <c r="J18" i="66"/>
  <c r="J19" i="66"/>
  <c r="J55" i="66"/>
  <c r="J127" i="66"/>
  <c r="J136" i="66"/>
  <c r="J34" i="66"/>
  <c r="J120" i="66"/>
  <c r="J13" i="66"/>
  <c r="J112" i="66"/>
  <c r="J152" i="66"/>
  <c r="J33" i="66"/>
  <c r="J39" i="66"/>
  <c r="J26" i="66"/>
  <c r="J21" i="66"/>
  <c r="J156" i="66"/>
  <c r="J86" i="66"/>
  <c r="J43" i="66"/>
  <c r="J41" i="66"/>
  <c r="J80" i="66"/>
  <c r="J36" i="66"/>
  <c r="J148" i="66"/>
  <c r="J106" i="66"/>
  <c r="J14" i="66"/>
  <c r="J159" i="66"/>
  <c r="J12" i="66"/>
  <c r="J46" i="66"/>
  <c r="J105" i="66"/>
  <c r="J107" i="66"/>
  <c r="J147" i="66"/>
  <c r="J71" i="66"/>
  <c r="I10" i="68"/>
  <c r="J10" i="68" s="1"/>
  <c r="J26" i="68" s="1"/>
  <c r="D12" i="68"/>
  <c r="D25" i="68"/>
  <c r="D22" i="68"/>
  <c r="D19" i="68"/>
  <c r="D17" i="68"/>
  <c r="D23" i="68"/>
  <c r="D15" i="68"/>
  <c r="M10" i="68"/>
  <c r="M26" i="68" s="1"/>
  <c r="D11" i="68"/>
  <c r="D21" i="68"/>
  <c r="D13" i="68"/>
  <c r="O10" i="68"/>
  <c r="O26" i="68" s="1"/>
  <c r="D20" i="68"/>
  <c r="D18" i="68"/>
  <c r="K10" i="68"/>
  <c r="K26" i="68" s="1"/>
  <c r="D14" i="68"/>
  <c r="D16" i="68"/>
  <c r="I8" i="68"/>
  <c r="K8" i="68" s="1"/>
  <c r="M8" i="68" s="1"/>
  <c r="O8" i="68" s="1"/>
  <c r="A145" i="66"/>
  <c r="A196" i="67"/>
  <c r="N1288" i="38"/>
  <c r="A70" i="66"/>
  <c r="A115" i="67"/>
  <c r="N1292" i="38"/>
  <c r="I26" i="68" l="1"/>
  <c r="L10" i="68"/>
  <c r="L26" i="68" s="1"/>
  <c r="D10" i="68"/>
  <c r="D26" i="68"/>
  <c r="A146" i="66"/>
  <c r="A197" i="67"/>
  <c r="N1298" i="38"/>
  <c r="N1300" i="38" s="1"/>
  <c r="N1314" i="38" s="1"/>
  <c r="G61" i="9" s="1"/>
  <c r="H61" i="9" s="1"/>
  <c r="I61" i="9" s="1"/>
  <c r="A71" i="66"/>
  <c r="A116" i="67"/>
  <c r="E86" i="9"/>
  <c r="E71" i="11" s="1"/>
  <c r="D86" i="9"/>
  <c r="D71" i="11" s="1"/>
  <c r="M1274" i="38"/>
  <c r="N1271" i="38"/>
  <c r="N1262" i="38"/>
  <c r="N1264" i="38" s="1"/>
  <c r="N1255" i="38"/>
  <c r="L1250" i="38"/>
  <c r="N1250" i="38" s="1"/>
  <c r="L1249" i="38"/>
  <c r="N1249" i="38" s="1"/>
  <c r="N1246" i="38"/>
  <c r="C75" i="11"/>
  <c r="C76" i="11"/>
  <c r="C71" i="11"/>
  <c r="A86" i="9"/>
  <c r="F133" i="43"/>
  <c r="F131" i="43"/>
  <c r="F121" i="43"/>
  <c r="F120" i="43"/>
  <c r="F119" i="43"/>
  <c r="N926" i="38"/>
  <c r="N10" i="68" l="1"/>
  <c r="P10" i="68" s="1"/>
  <c r="P26" i="68" s="1"/>
  <c r="A87" i="9"/>
  <c r="A88" i="9" s="1"/>
  <c r="A89" i="9" s="1"/>
  <c r="A90" i="9" s="1"/>
  <c r="A91" i="9" s="1"/>
  <c r="A92" i="9" s="1"/>
  <c r="A93" i="9" s="1"/>
  <c r="A71" i="11"/>
  <c r="A147" i="66"/>
  <c r="A198" i="67"/>
  <c r="H115" i="43"/>
  <c r="K966" i="38" s="1"/>
  <c r="H127" i="43"/>
  <c r="K1006" i="38" s="1"/>
  <c r="A72" i="66"/>
  <c r="A117" i="67"/>
  <c r="N1251" i="38"/>
  <c r="N1257" i="38" s="1"/>
  <c r="N1259" i="38" s="1"/>
  <c r="N1273" i="38" s="1"/>
  <c r="N26" i="68" l="1"/>
  <c r="A148" i="66"/>
  <c r="A199" i="67"/>
  <c r="G86" i="9"/>
  <c r="H86" i="9" s="1"/>
  <c r="A73" i="66"/>
  <c r="A118" i="67"/>
  <c r="N1274" i="38"/>
  <c r="N1275" i="38" s="1"/>
  <c r="A77" i="11" l="1"/>
  <c r="A149" i="66"/>
  <c r="A200" i="67"/>
  <c r="A74" i="66"/>
  <c r="A119" i="67"/>
  <c r="E90" i="9"/>
  <c r="E77" i="11" s="1"/>
  <c r="D90" i="9"/>
  <c r="D77" i="11" s="1"/>
  <c r="F69" i="11"/>
  <c r="F126" i="11"/>
  <c r="F105" i="11"/>
  <c r="F57" i="11"/>
  <c r="F36" i="11"/>
  <c r="F44" i="9" s="1"/>
  <c r="F33" i="11"/>
  <c r="F32" i="11"/>
  <c r="F29" i="11"/>
  <c r="F24" i="11"/>
  <c r="F23" i="11"/>
  <c r="E71" i="9"/>
  <c r="D71" i="9"/>
  <c r="N1221" i="38"/>
  <c r="N1220" i="38"/>
  <c r="N1219" i="38"/>
  <c r="N1218" i="38"/>
  <c r="N1217" i="38"/>
  <c r="M1235" i="38"/>
  <c r="N1232" i="38"/>
  <c r="N1222" i="38"/>
  <c r="N1210" i="38"/>
  <c r="L1205" i="38"/>
  <c r="N1205" i="38" s="1"/>
  <c r="L1204" i="38"/>
  <c r="N1204" i="38" s="1"/>
  <c r="N1201" i="38"/>
  <c r="U19" i="65"/>
  <c r="B19" i="65"/>
  <c r="A19" i="65"/>
  <c r="A20" i="65"/>
  <c r="B20" i="65"/>
  <c r="U20" i="65"/>
  <c r="A21" i="65"/>
  <c r="B21" i="65"/>
  <c r="U21" i="65"/>
  <c r="A22" i="65"/>
  <c r="B22" i="65"/>
  <c r="U22" i="65"/>
  <c r="A23" i="65"/>
  <c r="B23" i="65"/>
  <c r="U23" i="65"/>
  <c r="A24" i="65"/>
  <c r="B24" i="65"/>
  <c r="U24" i="65"/>
  <c r="A18" i="65"/>
  <c r="A17" i="65"/>
  <c r="A16" i="65"/>
  <c r="A15" i="65"/>
  <c r="A14" i="65"/>
  <c r="A13" i="65"/>
  <c r="A12" i="65"/>
  <c r="A11" i="65"/>
  <c r="U12" i="65"/>
  <c r="U13" i="65"/>
  <c r="U14" i="65"/>
  <c r="U15" i="65"/>
  <c r="U16" i="65"/>
  <c r="U17" i="65"/>
  <c r="U18" i="65"/>
  <c r="U11" i="65"/>
  <c r="F52" i="11"/>
  <c r="F31" i="11"/>
  <c r="F39" i="9" s="1"/>
  <c r="F30" i="11"/>
  <c r="F25" i="11"/>
  <c r="F20" i="11"/>
  <c r="A78" i="11" l="1"/>
  <c r="A150" i="66"/>
  <c r="A201" i="67"/>
  <c r="F41" i="9"/>
  <c r="F40" i="9"/>
  <c r="F38" i="9"/>
  <c r="I43" i="9"/>
  <c r="F81" i="9"/>
  <c r="F47" i="11"/>
  <c r="N1224" i="38"/>
  <c r="F27" i="11"/>
  <c r="A75" i="66"/>
  <c r="A120" i="67"/>
  <c r="F87" i="9"/>
  <c r="F71" i="11"/>
  <c r="N1206" i="38"/>
  <c r="N1212" i="38" s="1"/>
  <c r="N1214" i="38" s="1"/>
  <c r="F109" i="43"/>
  <c r="F108" i="43"/>
  <c r="F107" i="43"/>
  <c r="E143" i="9"/>
  <c r="D143" i="9"/>
  <c r="F131" i="9"/>
  <c r="N869" i="38"/>
  <c r="L872" i="38"/>
  <c r="N872" i="38" s="1"/>
  <c r="L873" i="38"/>
  <c r="N873" i="38" s="1"/>
  <c r="N878" i="38"/>
  <c r="N891" i="38"/>
  <c r="N895" i="38"/>
  <c r="M898" i="38"/>
  <c r="N909" i="38"/>
  <c r="L912" i="38"/>
  <c r="N912" i="38" s="1"/>
  <c r="L913" i="38"/>
  <c r="N913" i="38" s="1"/>
  <c r="N918" i="38"/>
  <c r="N925" i="38"/>
  <c r="N928" i="38" s="1"/>
  <c r="N932" i="38"/>
  <c r="N936" i="38"/>
  <c r="M939" i="38"/>
  <c r="M1190" i="38"/>
  <c r="L1177" i="38"/>
  <c r="L1182" i="38" s="1"/>
  <c r="N1182" i="38" s="1"/>
  <c r="N1183" i="38" s="1"/>
  <c r="N1187" i="38"/>
  <c r="N1170" i="38"/>
  <c r="L1165" i="38"/>
  <c r="N1165" i="38" s="1"/>
  <c r="L1164" i="38"/>
  <c r="N1164" i="38" s="1"/>
  <c r="L1163" i="38"/>
  <c r="N1163" i="38" s="1"/>
  <c r="N1160" i="38"/>
  <c r="N1120" i="38"/>
  <c r="L1123" i="38"/>
  <c r="N1123" i="38" s="1"/>
  <c r="N1124" i="38" s="1"/>
  <c r="N1128" i="38"/>
  <c r="N1135" i="38"/>
  <c r="N1137" i="38" s="1"/>
  <c r="N1141" i="38"/>
  <c r="N1145" i="38"/>
  <c r="M1148" i="38"/>
  <c r="L1084" i="38"/>
  <c r="N1084" i="38" s="1"/>
  <c r="L1096" i="38"/>
  <c r="N1096" i="38" s="1"/>
  <c r="E131" i="9"/>
  <c r="E110" i="11" s="1"/>
  <c r="B110" i="11"/>
  <c r="C110" i="11"/>
  <c r="D131" i="9"/>
  <c r="D110" i="11" s="1"/>
  <c r="E130" i="9"/>
  <c r="D130" i="9"/>
  <c r="M1109" i="38"/>
  <c r="N1106" i="38"/>
  <c r="N1089" i="38"/>
  <c r="L1083" i="38"/>
  <c r="N1083" i="38" s="1"/>
  <c r="L1082" i="38"/>
  <c r="N1082" i="38" s="1"/>
  <c r="N1079" i="38"/>
  <c r="E115" i="9"/>
  <c r="D115" i="9"/>
  <c r="N1054" i="38"/>
  <c r="N1055" i="38"/>
  <c r="L1037" i="38"/>
  <c r="N1037" i="38" s="1"/>
  <c r="L1036" i="38"/>
  <c r="N1036" i="38" s="1"/>
  <c r="N1050" i="38"/>
  <c r="N1051" i="38"/>
  <c r="N1052" i="38"/>
  <c r="N1053" i="38"/>
  <c r="N1049" i="38"/>
  <c r="M1068" i="38"/>
  <c r="N1065" i="38"/>
  <c r="N1061" i="38"/>
  <c r="N1042" i="38"/>
  <c r="L1035" i="38"/>
  <c r="N1035" i="38" s="1"/>
  <c r="L1034" i="38"/>
  <c r="N1034" i="38" s="1"/>
  <c r="N1031" i="38"/>
  <c r="F76" i="11"/>
  <c r="F75" i="11"/>
  <c r="B75" i="11"/>
  <c r="B76" i="11"/>
  <c r="C65" i="11"/>
  <c r="C69" i="11"/>
  <c r="B65" i="11"/>
  <c r="B69" i="11"/>
  <c r="D70" i="11"/>
  <c r="A70" i="11"/>
  <c r="B18" i="65"/>
  <c r="B17" i="65"/>
  <c r="B16" i="65"/>
  <c r="B15" i="65"/>
  <c r="B14" i="65"/>
  <c r="B13" i="65"/>
  <c r="B12" i="65"/>
  <c r="B11" i="65"/>
  <c r="B9" i="65"/>
  <c r="M1020" i="38"/>
  <c r="M980" i="38"/>
  <c r="M857" i="38"/>
  <c r="M818" i="38"/>
  <c r="M779" i="38"/>
  <c r="M740" i="38"/>
  <c r="M701" i="38"/>
  <c r="M662" i="38"/>
  <c r="M623" i="38"/>
  <c r="M584" i="38"/>
  <c r="M544" i="38"/>
  <c r="M505" i="38"/>
  <c r="M464" i="38"/>
  <c r="M424" i="38"/>
  <c r="M384" i="38"/>
  <c r="M329" i="38"/>
  <c r="M280" i="38"/>
  <c r="M238" i="38"/>
  <c r="M195" i="38"/>
  <c r="M156" i="38"/>
  <c r="M116" i="38"/>
  <c r="M77" i="38"/>
  <c r="M37" i="38"/>
  <c r="A80" i="11" l="1"/>
  <c r="A79" i="11"/>
  <c r="A151" i="66"/>
  <c r="A202" i="67"/>
  <c r="F48" i="9"/>
  <c r="F50" i="9"/>
  <c r="F86" i="9"/>
  <c r="I86" i="9" s="1"/>
  <c r="F88" i="9"/>
  <c r="F89" i="9"/>
  <c r="A76" i="66"/>
  <c r="A121" i="67"/>
  <c r="N914" i="38"/>
  <c r="N920" i="38" s="1"/>
  <c r="N922" i="38" s="1"/>
  <c r="N938" i="38" s="1"/>
  <c r="A76" i="11"/>
  <c r="N1234" i="38"/>
  <c r="H103" i="43"/>
  <c r="K885" i="38" s="1"/>
  <c r="N885" i="38" s="1"/>
  <c r="N887" i="38" s="1"/>
  <c r="N874" i="38"/>
  <c r="N880" i="38" s="1"/>
  <c r="N882" i="38" s="1"/>
  <c r="N1166" i="38"/>
  <c r="N1172" i="38" s="1"/>
  <c r="N1174" i="38" s="1"/>
  <c r="N1177" i="38"/>
  <c r="N1179" i="38" s="1"/>
  <c r="N1130" i="38"/>
  <c r="N1132" i="38" s="1"/>
  <c r="N1147" i="38" s="1"/>
  <c r="L1101" i="38"/>
  <c r="N1101" i="38" s="1"/>
  <c r="N1102" i="38" s="1"/>
  <c r="A75" i="11"/>
  <c r="N1098" i="38"/>
  <c r="N1085" i="38"/>
  <c r="N1091" i="38" s="1"/>
  <c r="N1093" i="38" s="1"/>
  <c r="N1038" i="38"/>
  <c r="N1044" i="38" s="1"/>
  <c r="N1046" i="38" s="1"/>
  <c r="N1057" i="38"/>
  <c r="A152" i="66" l="1"/>
  <c r="A203" i="67"/>
  <c r="G71" i="9"/>
  <c r="F90" i="9"/>
  <c r="A77" i="66"/>
  <c r="A122" i="67"/>
  <c r="N897" i="38"/>
  <c r="N1067" i="38"/>
  <c r="N939" i="38"/>
  <c r="N940" i="38" s="1"/>
  <c r="N1189" i="38"/>
  <c r="N1148" i="38"/>
  <c r="N1149" i="38" s="1"/>
  <c r="G131" i="9"/>
  <c r="H131" i="9" s="1"/>
  <c r="I131" i="9" s="1"/>
  <c r="N1108" i="38"/>
  <c r="A153" i="66" l="1"/>
  <c r="A204" i="67"/>
  <c r="N898" i="38"/>
  <c r="N899" i="38" s="1"/>
  <c r="G115" i="9"/>
  <c r="G130" i="9"/>
  <c r="H130" i="9" s="1"/>
  <c r="A78" i="66"/>
  <c r="A123" i="67"/>
  <c r="N1190" i="38"/>
  <c r="N1191" i="38" s="1"/>
  <c r="G143" i="9"/>
  <c r="A154" i="66" l="1"/>
  <c r="A205" i="67"/>
  <c r="A79" i="66"/>
  <c r="A124" i="67"/>
  <c r="E142" i="9"/>
  <c r="D142" i="9"/>
  <c r="E141" i="9"/>
  <c r="D141" i="9"/>
  <c r="E140" i="9"/>
  <c r="D140" i="9"/>
  <c r="E129" i="9"/>
  <c r="D129" i="9"/>
  <c r="E128" i="9"/>
  <c r="D128" i="9"/>
  <c r="E108" i="9"/>
  <c r="D108" i="9"/>
  <c r="E107" i="9"/>
  <c r="D107" i="9"/>
  <c r="E106" i="9"/>
  <c r="D106" i="9"/>
  <c r="E105" i="9"/>
  <c r="D105" i="9"/>
  <c r="E104" i="9"/>
  <c r="D104" i="9"/>
  <c r="E103" i="9"/>
  <c r="D103" i="9"/>
  <c r="E102" i="9"/>
  <c r="D102" i="9"/>
  <c r="E100" i="9"/>
  <c r="D100" i="9"/>
  <c r="E98" i="9"/>
  <c r="D98" i="9"/>
  <c r="E81" i="9"/>
  <c r="D81" i="9"/>
  <c r="E88" i="9"/>
  <c r="E75" i="11" s="1"/>
  <c r="D88" i="9"/>
  <c r="D75" i="11" s="1"/>
  <c r="E87" i="9"/>
  <c r="D87" i="9"/>
  <c r="E79" i="9"/>
  <c r="D79" i="9"/>
  <c r="E59" i="9"/>
  <c r="D59" i="9"/>
  <c r="E50" i="9"/>
  <c r="D50" i="9"/>
  <c r="E49" i="9"/>
  <c r="D49" i="9"/>
  <c r="E45" i="9"/>
  <c r="D45" i="9"/>
  <c r="E38" i="9"/>
  <c r="D38" i="9"/>
  <c r="N1017" i="38"/>
  <c r="N1013" i="38"/>
  <c r="N1007" i="38"/>
  <c r="N1006" i="38"/>
  <c r="N999" i="38"/>
  <c r="L994" i="38"/>
  <c r="N994" i="38" s="1"/>
  <c r="L993" i="38"/>
  <c r="N993" i="38" s="1"/>
  <c r="N990" i="38"/>
  <c r="N977" i="38"/>
  <c r="N973" i="38"/>
  <c r="N967" i="38"/>
  <c r="N966" i="38"/>
  <c r="N959" i="38"/>
  <c r="L954" i="38"/>
  <c r="N954" i="38" s="1"/>
  <c r="L953" i="38"/>
  <c r="N953" i="38" s="1"/>
  <c r="N950" i="38"/>
  <c r="N854" i="38"/>
  <c r="N850" i="38"/>
  <c r="N844" i="38"/>
  <c r="N846" i="38" s="1"/>
  <c r="N837" i="38"/>
  <c r="L832" i="38"/>
  <c r="N832" i="38" s="1"/>
  <c r="L831" i="38"/>
  <c r="N831" i="38" s="1"/>
  <c r="N828" i="38"/>
  <c r="N815" i="38"/>
  <c r="N811" i="38"/>
  <c r="N798" i="38"/>
  <c r="L793" i="38"/>
  <c r="N793" i="38" s="1"/>
  <c r="L792" i="38"/>
  <c r="N792" i="38" s="1"/>
  <c r="N789" i="38"/>
  <c r="N776" i="38"/>
  <c r="N772" i="38"/>
  <c r="N759" i="38"/>
  <c r="L754" i="38"/>
  <c r="N754" i="38" s="1"/>
  <c r="L753" i="38"/>
  <c r="N753" i="38" s="1"/>
  <c r="N750" i="38"/>
  <c r="N737" i="38"/>
  <c r="N733" i="38"/>
  <c r="N720" i="38"/>
  <c r="L715" i="38"/>
  <c r="N715" i="38" s="1"/>
  <c r="L714" i="38"/>
  <c r="N714" i="38" s="1"/>
  <c r="N711" i="38"/>
  <c r="N698" i="38"/>
  <c r="N694" i="38"/>
  <c r="N681" i="38"/>
  <c r="L676" i="38"/>
  <c r="N676" i="38" s="1"/>
  <c r="L675" i="38"/>
  <c r="N675" i="38" s="1"/>
  <c r="N672" i="38"/>
  <c r="N659" i="38"/>
  <c r="N655" i="38"/>
  <c r="N642" i="38"/>
  <c r="L637" i="38"/>
  <c r="N637" i="38" s="1"/>
  <c r="L636" i="38"/>
  <c r="N636" i="38" s="1"/>
  <c r="N633" i="38"/>
  <c r="N620" i="38"/>
  <c r="N616" i="38"/>
  <c r="N603" i="38"/>
  <c r="L598" i="38"/>
  <c r="N598" i="38" s="1"/>
  <c r="L597" i="38"/>
  <c r="N597" i="38" s="1"/>
  <c r="N594" i="38"/>
  <c r="N581" i="38"/>
  <c r="N577" i="38"/>
  <c r="N571" i="38"/>
  <c r="N570" i="38"/>
  <c r="N563" i="38"/>
  <c r="L558" i="38"/>
  <c r="N558" i="38" s="1"/>
  <c r="L557" i="38"/>
  <c r="N557" i="38" s="1"/>
  <c r="N554" i="38"/>
  <c r="N541" i="38"/>
  <c r="N537" i="38"/>
  <c r="N524" i="38"/>
  <c r="L519" i="38"/>
  <c r="N519" i="38" s="1"/>
  <c r="L518" i="38"/>
  <c r="N518" i="38" s="1"/>
  <c r="N515" i="38"/>
  <c r="N502" i="38"/>
  <c r="N498" i="38"/>
  <c r="N492" i="38"/>
  <c r="N491" i="38"/>
  <c r="N490" i="38"/>
  <c r="N483" i="38"/>
  <c r="L478" i="38"/>
  <c r="N478" i="38" s="1"/>
  <c r="L477" i="38"/>
  <c r="N477" i="38" s="1"/>
  <c r="N474" i="38"/>
  <c r="N461" i="38"/>
  <c r="N457" i="38"/>
  <c r="N451" i="38"/>
  <c r="N450" i="38"/>
  <c r="N443" i="38"/>
  <c r="N438" i="38"/>
  <c r="L438" i="38"/>
  <c r="L437" i="38"/>
  <c r="N437" i="38" s="1"/>
  <c r="N434" i="38"/>
  <c r="N421" i="38"/>
  <c r="N417" i="38"/>
  <c r="N411" i="38"/>
  <c r="N413" i="38" s="1"/>
  <c r="N404" i="38"/>
  <c r="L399" i="38"/>
  <c r="N399" i="38" s="1"/>
  <c r="N400" i="38" s="1"/>
  <c r="N396" i="38"/>
  <c r="N381" i="38"/>
  <c r="N375" i="38"/>
  <c r="N374" i="38"/>
  <c r="N373" i="38"/>
  <c r="N372" i="38"/>
  <c r="N371" i="38"/>
  <c r="N366" i="38"/>
  <c r="N365" i="38"/>
  <c r="N364" i="38"/>
  <c r="N363" i="38"/>
  <c r="N362" i="38"/>
  <c r="N361" i="38"/>
  <c r="N360" i="38"/>
  <c r="N359" i="38"/>
  <c r="N358" i="38"/>
  <c r="N351" i="38"/>
  <c r="L346" i="38"/>
  <c r="N346" i="38" s="1"/>
  <c r="L345" i="38"/>
  <c r="N345" i="38" s="1"/>
  <c r="L344" i="38"/>
  <c r="N344" i="38" s="1"/>
  <c r="N326" i="38"/>
  <c r="N322" i="38"/>
  <c r="N318" i="38"/>
  <c r="N310" i="38"/>
  <c r="L305" i="38"/>
  <c r="N305" i="38" s="1"/>
  <c r="N306" i="38" s="1"/>
  <c r="N277" i="38"/>
  <c r="N271" i="38"/>
  <c r="N265" i="38"/>
  <c r="N267" i="38" s="1"/>
  <c r="N258" i="38"/>
  <c r="L253" i="38"/>
  <c r="N253" i="38" s="1"/>
  <c r="N254" i="38" s="1"/>
  <c r="N250" i="38"/>
  <c r="N235" i="38"/>
  <c r="N230" i="38"/>
  <c r="N231" i="38" s="1"/>
  <c r="N227" i="38"/>
  <c r="N219" i="38"/>
  <c r="L214" i="38"/>
  <c r="N214" i="38" s="1"/>
  <c r="N215" i="38" s="1"/>
  <c r="N211" i="38"/>
  <c r="N192" i="38"/>
  <c r="N188" i="38"/>
  <c r="N184" i="38"/>
  <c r="N176" i="38"/>
  <c r="N171" i="38"/>
  <c r="L171" i="38"/>
  <c r="N153" i="38"/>
  <c r="N149" i="38"/>
  <c r="N145" i="38"/>
  <c r="N137" i="38"/>
  <c r="L132" i="38"/>
  <c r="N132" i="38" s="1"/>
  <c r="L131" i="38"/>
  <c r="N131" i="38" s="1"/>
  <c r="L130" i="38"/>
  <c r="N130" i="38" s="1"/>
  <c r="N127" i="38"/>
  <c r="N113" i="38"/>
  <c r="N109" i="38"/>
  <c r="N105" i="38"/>
  <c r="N97" i="38"/>
  <c r="L92" i="38"/>
  <c r="N92" i="38" s="1"/>
  <c r="L91" i="38"/>
  <c r="N91" i="38" s="1"/>
  <c r="L90" i="38"/>
  <c r="N90" i="38" s="1"/>
  <c r="N87" i="38"/>
  <c r="N74" i="38"/>
  <c r="N68" i="38"/>
  <c r="N64" i="38"/>
  <c r="N56" i="38"/>
  <c r="L51" i="38"/>
  <c r="N51" i="38" s="1"/>
  <c r="N52" i="38" s="1"/>
  <c r="N48" i="38"/>
  <c r="F21" i="43"/>
  <c r="F20" i="43"/>
  <c r="F150" i="9"/>
  <c r="F140" i="9"/>
  <c r="F141" i="9"/>
  <c r="F142" i="9"/>
  <c r="F143" i="9"/>
  <c r="F99" i="9"/>
  <c r="F100" i="9"/>
  <c r="F101" i="9"/>
  <c r="F102" i="9"/>
  <c r="F103" i="9"/>
  <c r="F104" i="9"/>
  <c r="F105" i="9"/>
  <c r="F106" i="9"/>
  <c r="F107" i="9"/>
  <c r="F108" i="9"/>
  <c r="F109" i="9"/>
  <c r="F110" i="9"/>
  <c r="F111" i="9"/>
  <c r="F112" i="9"/>
  <c r="F113" i="9"/>
  <c r="F114" i="9"/>
  <c r="F115" i="9"/>
  <c r="F59" i="9"/>
  <c r="F8" i="9"/>
  <c r="F9" i="9"/>
  <c r="F10" i="9"/>
  <c r="F11" i="9"/>
  <c r="F12" i="9"/>
  <c r="F13" i="9"/>
  <c r="F14" i="9"/>
  <c r="F15" i="9"/>
  <c r="F16" i="9"/>
  <c r="B119" i="11"/>
  <c r="C119" i="11"/>
  <c r="E119" i="11"/>
  <c r="D119" i="11"/>
  <c r="D99" i="11"/>
  <c r="B98" i="11"/>
  <c r="C98" i="11"/>
  <c r="B99" i="11"/>
  <c r="C99" i="11"/>
  <c r="E99" i="11"/>
  <c r="G114" i="9"/>
  <c r="E114" i="9"/>
  <c r="E98" i="11" s="1"/>
  <c r="D114" i="9"/>
  <c r="D98" i="11" s="1"/>
  <c r="A71" i="9"/>
  <c r="A72" i="9" s="1"/>
  <c r="F66" i="9"/>
  <c r="F60" i="9"/>
  <c r="E1429" i="8"/>
  <c r="E1431" i="8"/>
  <c r="G1431" i="8" s="1"/>
  <c r="B54" i="11"/>
  <c r="C54" i="11"/>
  <c r="E60" i="9"/>
  <c r="E54" i="11" s="1"/>
  <c r="D60" i="9"/>
  <c r="D54" i="11" s="1"/>
  <c r="F57" i="9"/>
  <c r="F56" i="9"/>
  <c r="E56" i="9"/>
  <c r="D56" i="9"/>
  <c r="F58" i="9"/>
  <c r="F30" i="9"/>
  <c r="F23" i="9"/>
  <c r="B21" i="11"/>
  <c r="C21" i="11"/>
  <c r="G23" i="9"/>
  <c r="E23" i="9"/>
  <c r="E21" i="11" s="1"/>
  <c r="D23" i="9"/>
  <c r="D21" i="11" s="1"/>
  <c r="B9" i="11"/>
  <c r="B10" i="11"/>
  <c r="B11" i="11"/>
  <c r="B12" i="11"/>
  <c r="B13" i="11"/>
  <c r="B14" i="11"/>
  <c r="B15" i="11"/>
  <c r="B16" i="11"/>
  <c r="B17" i="11"/>
  <c r="C17" i="11"/>
  <c r="C12" i="11"/>
  <c r="C13" i="11"/>
  <c r="C14" i="11"/>
  <c r="C15" i="11"/>
  <c r="C16" i="11"/>
  <c r="C9" i="11"/>
  <c r="C10" i="11"/>
  <c r="C11" i="11"/>
  <c r="F7" i="9"/>
  <c r="C20" i="11"/>
  <c r="B20" i="11"/>
  <c r="C24" i="11"/>
  <c r="C25" i="11"/>
  <c r="C26" i="11"/>
  <c r="C27" i="11"/>
  <c r="C23" i="11"/>
  <c r="C104" i="11"/>
  <c r="C105" i="11"/>
  <c r="C103" i="11"/>
  <c r="B104" i="11"/>
  <c r="B105" i="11"/>
  <c r="B103" i="11"/>
  <c r="F129" i="9"/>
  <c r="F130" i="9"/>
  <c r="I130" i="9" s="1"/>
  <c r="F122" i="9"/>
  <c r="F123" i="9"/>
  <c r="F29" i="9"/>
  <c r="F31" i="9"/>
  <c r="F32" i="9"/>
  <c r="F19" i="43"/>
  <c r="F98" i="9"/>
  <c r="F114" i="11"/>
  <c r="F113" i="11"/>
  <c r="L10" i="38"/>
  <c r="N10" i="38" s="1"/>
  <c r="G60" i="9" l="1"/>
  <c r="A60" i="11"/>
  <c r="A73" i="9"/>
  <c r="A61" i="11" s="1"/>
  <c r="A155" i="66"/>
  <c r="A206" i="67"/>
  <c r="F137" i="9"/>
  <c r="F138" i="9"/>
  <c r="F139" i="9"/>
  <c r="A125" i="67"/>
  <c r="A80" i="66"/>
  <c r="A81" i="66"/>
  <c r="D69" i="11"/>
  <c r="E69" i="11"/>
  <c r="N1009" i="38"/>
  <c r="N599" i="38"/>
  <c r="N605" i="38" s="1"/>
  <c r="N607" i="38" s="1"/>
  <c r="N559" i="38"/>
  <c r="N565" i="38" s="1"/>
  <c r="N567" i="38" s="1"/>
  <c r="N677" i="38"/>
  <c r="N683" i="38" s="1"/>
  <c r="N685" i="38" s="1"/>
  <c r="N453" i="38"/>
  <c r="N573" i="38"/>
  <c r="N638" i="38"/>
  <c r="N644" i="38" s="1"/>
  <c r="N646" i="38" s="1"/>
  <c r="N133" i="38"/>
  <c r="N139" i="38" s="1"/>
  <c r="N141" i="38" s="1"/>
  <c r="N155" i="38" s="1"/>
  <c r="N969" i="38"/>
  <c r="N794" i="38"/>
  <c r="N800" i="38" s="1"/>
  <c r="N802" i="38" s="1"/>
  <c r="N260" i="38"/>
  <c r="N262" i="38" s="1"/>
  <c r="N279" i="38" s="1"/>
  <c r="N341" i="38"/>
  <c r="N406" i="38"/>
  <c r="N408" i="38" s="1"/>
  <c r="N423" i="38" s="1"/>
  <c r="N221" i="38"/>
  <c r="N223" i="38" s="1"/>
  <c r="N237" i="38" s="1"/>
  <c r="N520" i="38"/>
  <c r="N526" i="38" s="1"/>
  <c r="N528" i="38" s="1"/>
  <c r="N755" i="38"/>
  <c r="N761" i="38" s="1"/>
  <c r="N763" i="38" s="1"/>
  <c r="N995" i="38"/>
  <c r="N1001" i="38" s="1"/>
  <c r="N1003" i="38" s="1"/>
  <c r="N347" i="38"/>
  <c r="N377" i="38"/>
  <c r="N955" i="38"/>
  <c r="N961" i="38" s="1"/>
  <c r="N963" i="38" s="1"/>
  <c r="N439" i="38"/>
  <c r="N445" i="38" s="1"/>
  <c r="N447" i="38" s="1"/>
  <c r="N302" i="38"/>
  <c r="N312" i="38" s="1"/>
  <c r="N314" i="38" s="1"/>
  <c r="N328" i="38" s="1"/>
  <c r="N368" i="38"/>
  <c r="N494" i="38"/>
  <c r="N716" i="38"/>
  <c r="N722" i="38" s="1"/>
  <c r="N724" i="38" s="1"/>
  <c r="N833" i="38"/>
  <c r="N839" i="38" s="1"/>
  <c r="N841" i="38" s="1"/>
  <c r="N856" i="38" s="1"/>
  <c r="N172" i="38"/>
  <c r="N178" i="38" s="1"/>
  <c r="N180" i="38" s="1"/>
  <c r="N194" i="38" s="1"/>
  <c r="N479" i="38"/>
  <c r="N485" i="38" s="1"/>
  <c r="N487" i="38" s="1"/>
  <c r="N93" i="38"/>
  <c r="N99" i="38" s="1"/>
  <c r="N101" i="38" s="1"/>
  <c r="N115" i="38" s="1"/>
  <c r="N58" i="38"/>
  <c r="N60" i="38" s="1"/>
  <c r="N76" i="38" s="1"/>
  <c r="H15" i="43"/>
  <c r="K531" i="38" s="1"/>
  <c r="N531" i="38" s="1"/>
  <c r="N533" i="38" s="1"/>
  <c r="G101" i="9"/>
  <c r="E101" i="9"/>
  <c r="E85" i="11" s="1"/>
  <c r="D101" i="9"/>
  <c r="D85" i="11" s="1"/>
  <c r="E84" i="11"/>
  <c r="D84" i="11"/>
  <c r="C83" i="11"/>
  <c r="C84" i="11"/>
  <c r="C85" i="11"/>
  <c r="C86" i="11"/>
  <c r="C87" i="11"/>
  <c r="C88" i="11"/>
  <c r="C89" i="11"/>
  <c r="C90" i="11"/>
  <c r="C91" i="11"/>
  <c r="C92" i="11"/>
  <c r="C93" i="11"/>
  <c r="C94" i="11"/>
  <c r="C95" i="11"/>
  <c r="C96" i="11"/>
  <c r="C97" i="11"/>
  <c r="B83" i="11"/>
  <c r="B84" i="11"/>
  <c r="B85" i="11"/>
  <c r="B86" i="11"/>
  <c r="B87" i="11"/>
  <c r="B88" i="11"/>
  <c r="B89" i="11"/>
  <c r="B90" i="11"/>
  <c r="B91" i="11"/>
  <c r="B92" i="11"/>
  <c r="B93" i="11"/>
  <c r="B94" i="11"/>
  <c r="B95" i="11"/>
  <c r="B96" i="11"/>
  <c r="B97" i="11"/>
  <c r="C51" i="11"/>
  <c r="C52" i="11"/>
  <c r="C53" i="11"/>
  <c r="B51" i="11"/>
  <c r="B52" i="11"/>
  <c r="B53" i="11"/>
  <c r="C30" i="11"/>
  <c r="C31" i="11"/>
  <c r="C32" i="11"/>
  <c r="C33" i="11"/>
  <c r="C36" i="11"/>
  <c r="C37" i="11"/>
  <c r="C38" i="11"/>
  <c r="C44" i="11"/>
  <c r="C45" i="11"/>
  <c r="C46" i="11"/>
  <c r="C47" i="11"/>
  <c r="B30" i="11"/>
  <c r="B31" i="11"/>
  <c r="B32" i="11"/>
  <c r="B33" i="11"/>
  <c r="B36" i="11"/>
  <c r="B37" i="11"/>
  <c r="B38" i="11"/>
  <c r="B44" i="11"/>
  <c r="B45" i="11"/>
  <c r="B46" i="11"/>
  <c r="B47" i="11"/>
  <c r="B27" i="11"/>
  <c r="E86" i="11"/>
  <c r="D86" i="11"/>
  <c r="E92" i="11"/>
  <c r="D92" i="11"/>
  <c r="F97" i="43"/>
  <c r="F96" i="43"/>
  <c r="F95" i="43"/>
  <c r="E91" i="11"/>
  <c r="D91" i="11"/>
  <c r="E88" i="11"/>
  <c r="D88" i="11"/>
  <c r="F44" i="43"/>
  <c r="F45" i="43"/>
  <c r="F43" i="43"/>
  <c r="E90" i="11"/>
  <c r="D90" i="11"/>
  <c r="E89" i="11"/>
  <c r="D89" i="11"/>
  <c r="F57" i="43"/>
  <c r="F58" i="43"/>
  <c r="F56" i="43"/>
  <c r="F32" i="43"/>
  <c r="F33" i="43"/>
  <c r="F31" i="43"/>
  <c r="F9" i="43"/>
  <c r="F10" i="43"/>
  <c r="F8" i="43"/>
  <c r="F84" i="43"/>
  <c r="F83" i="43"/>
  <c r="F82" i="43"/>
  <c r="F71" i="43"/>
  <c r="F70" i="43"/>
  <c r="F69" i="43"/>
  <c r="A126" i="67" l="1"/>
  <c r="A156" i="66"/>
  <c r="A207" i="67"/>
  <c r="N329" i="38"/>
  <c r="N330" i="38" s="1"/>
  <c r="N156" i="38"/>
  <c r="N157" i="38" s="1"/>
  <c r="N77" i="38"/>
  <c r="N78" i="38" s="1"/>
  <c r="N116" i="38"/>
  <c r="N117" i="38" s="1"/>
  <c r="N195" i="38"/>
  <c r="N196" i="38" s="1"/>
  <c r="N238" i="38"/>
  <c r="N239" i="38" s="1"/>
  <c r="N424" i="38"/>
  <c r="N425" i="38" s="1"/>
  <c r="N857" i="38"/>
  <c r="N858" i="38" s="1"/>
  <c r="N280" i="38"/>
  <c r="N281" i="38" s="1"/>
  <c r="A82" i="66"/>
  <c r="A127" i="67"/>
  <c r="N1019" i="38"/>
  <c r="N543" i="38"/>
  <c r="N583" i="38"/>
  <c r="N463" i="38"/>
  <c r="N504" i="38"/>
  <c r="N979" i="38"/>
  <c r="G49" i="9"/>
  <c r="G38" i="9"/>
  <c r="N353" i="38"/>
  <c r="N355" i="38" s="1"/>
  <c r="N383" i="38" s="1"/>
  <c r="G79" i="9"/>
  <c r="G129" i="9"/>
  <c r="G88" i="9"/>
  <c r="G45" i="9"/>
  <c r="G128" i="9"/>
  <c r="G140" i="9"/>
  <c r="G59" i="9"/>
  <c r="G50" i="9"/>
  <c r="H39" i="43"/>
  <c r="K649" i="38" s="1"/>
  <c r="N649" i="38" s="1"/>
  <c r="N651" i="38" s="1"/>
  <c r="N661" i="38" s="1"/>
  <c r="H91" i="43"/>
  <c r="K805" i="38" s="1"/>
  <c r="N805" i="38" s="1"/>
  <c r="N807" i="38" s="1"/>
  <c r="N817" i="38" s="1"/>
  <c r="H78" i="43"/>
  <c r="K766" i="38" s="1"/>
  <c r="N766" i="38" s="1"/>
  <c r="N768" i="38" s="1"/>
  <c r="N778" i="38" s="1"/>
  <c r="H65" i="43"/>
  <c r="K727" i="38" s="1"/>
  <c r="N727" i="38" s="1"/>
  <c r="N729" i="38" s="1"/>
  <c r="N739" i="38" s="1"/>
  <c r="H27" i="43"/>
  <c r="K610" i="38" s="1"/>
  <c r="N610" i="38" s="1"/>
  <c r="N612" i="38" s="1"/>
  <c r="N622" i="38" s="1"/>
  <c r="H4" i="43"/>
  <c r="K22" i="38" s="1"/>
  <c r="H52" i="43"/>
  <c r="K688" i="38" s="1"/>
  <c r="N688" i="38" s="1"/>
  <c r="N690" i="38" s="1"/>
  <c r="N700" i="38" s="1"/>
  <c r="A157" i="66" l="1"/>
  <c r="A208" i="67"/>
  <c r="N384" i="38"/>
  <c r="N385" i="38" s="1"/>
  <c r="N701" i="38"/>
  <c r="N702" i="38" s="1"/>
  <c r="N464" i="38"/>
  <c r="N465" i="38" s="1"/>
  <c r="N1020" i="38"/>
  <c r="N1021" i="38" s="1"/>
  <c r="N980" i="38"/>
  <c r="N981" i="38" s="1"/>
  <c r="N584" i="38"/>
  <c r="N585" i="38" s="1"/>
  <c r="N544" i="38"/>
  <c r="N545" i="38" s="1"/>
  <c r="A83" i="66"/>
  <c r="A128" i="67"/>
  <c r="G141" i="9"/>
  <c r="G102" i="9"/>
  <c r="G100" i="9"/>
  <c r="G81" i="9"/>
  <c r="G142" i="9"/>
  <c r="N818" i="38"/>
  <c r="N819" i="38" s="1"/>
  <c r="G108" i="9"/>
  <c r="N623" i="38"/>
  <c r="N624" i="38" s="1"/>
  <c r="G103" i="9"/>
  <c r="N662" i="38"/>
  <c r="N663" i="38" s="1"/>
  <c r="G104" i="9"/>
  <c r="N740" i="38"/>
  <c r="N741" i="38" s="1"/>
  <c r="G106" i="9"/>
  <c r="N779" i="38"/>
  <c r="N780" i="38" s="1"/>
  <c r="G107" i="9"/>
  <c r="G105" i="9"/>
  <c r="N505" i="38"/>
  <c r="N506" i="38" s="1"/>
  <c r="G98" i="9"/>
  <c r="G87" i="9"/>
  <c r="E87" i="11"/>
  <c r="D87" i="11"/>
  <c r="E47" i="11"/>
  <c r="D47" i="11"/>
  <c r="E46" i="11"/>
  <c r="D46" i="11"/>
  <c r="E37" i="11"/>
  <c r="D37" i="11"/>
  <c r="E32" i="9"/>
  <c r="E27" i="11" s="1"/>
  <c r="D32" i="9"/>
  <c r="D27" i="11" s="1"/>
  <c r="N22" i="38"/>
  <c r="N24" i="38" s="1"/>
  <c r="N34" i="38"/>
  <c r="N28" i="38"/>
  <c r="N15" i="38"/>
  <c r="N11" i="38"/>
  <c r="N7" i="38"/>
  <c r="E31" i="11"/>
  <c r="D31" i="11"/>
  <c r="E123" i="9"/>
  <c r="E105" i="11" s="1"/>
  <c r="D123" i="9"/>
  <c r="D105" i="11" s="1"/>
  <c r="G113" i="9"/>
  <c r="E113" i="9"/>
  <c r="E97" i="11" s="1"/>
  <c r="D113" i="9"/>
  <c r="D97" i="11" s="1"/>
  <c r="G112" i="9"/>
  <c r="E112" i="9"/>
  <c r="E96" i="11" s="1"/>
  <c r="D112" i="9"/>
  <c r="D96" i="11" s="1"/>
  <c r="G111" i="9"/>
  <c r="E111" i="9"/>
  <c r="E95" i="11" s="1"/>
  <c r="D111" i="9"/>
  <c r="D95" i="11" s="1"/>
  <c r="G110" i="9"/>
  <c r="E110" i="9"/>
  <c r="E94" i="11" s="1"/>
  <c r="D110" i="9"/>
  <c r="D94" i="11" s="1"/>
  <c r="G109" i="9"/>
  <c r="E109" i="9"/>
  <c r="E93" i="11" s="1"/>
  <c r="D109" i="9"/>
  <c r="D93" i="11" s="1"/>
  <c r="E83" i="11"/>
  <c r="D83" i="11"/>
  <c r="G48" i="9"/>
  <c r="E48" i="9"/>
  <c r="E45" i="11" s="1"/>
  <c r="D48" i="9"/>
  <c r="D45" i="11" s="1"/>
  <c r="F22" i="9"/>
  <c r="D19" i="11"/>
  <c r="A19" i="11"/>
  <c r="E22" i="9"/>
  <c r="E20" i="11" s="1"/>
  <c r="D22" i="9"/>
  <c r="D20" i="11" s="1"/>
  <c r="A22" i="9"/>
  <c r="A23" i="9" s="1"/>
  <c r="A21" i="11" s="1"/>
  <c r="F128" i="9"/>
  <c r="B26" i="11"/>
  <c r="E31" i="9"/>
  <c r="E26" i="11" s="1"/>
  <c r="D31" i="9"/>
  <c r="D26" i="11" s="1"/>
  <c r="F149" i="9"/>
  <c r="F136" i="9"/>
  <c r="F121" i="9"/>
  <c r="F37" i="9"/>
  <c r="F28" i="9"/>
  <c r="C113" i="11"/>
  <c r="C114" i="11"/>
  <c r="C115" i="11"/>
  <c r="C116" i="11"/>
  <c r="C117" i="11"/>
  <c r="C118" i="11"/>
  <c r="B113" i="11"/>
  <c r="B114" i="11"/>
  <c r="B115" i="11"/>
  <c r="B116" i="11"/>
  <c r="B117" i="11"/>
  <c r="B118" i="11"/>
  <c r="D102" i="11"/>
  <c r="A102" i="11"/>
  <c r="C108" i="11"/>
  <c r="C109" i="11"/>
  <c r="B108" i="11"/>
  <c r="C72" i="11"/>
  <c r="B72" i="11"/>
  <c r="C59" i="11"/>
  <c r="B59" i="11"/>
  <c r="E122" i="9"/>
  <c r="E104" i="11" s="1"/>
  <c r="D122" i="9"/>
  <c r="D104" i="11" s="1"/>
  <c r="E121" i="9"/>
  <c r="E103" i="11" s="1"/>
  <c r="D121" i="9"/>
  <c r="D103" i="11" s="1"/>
  <c r="A121" i="9"/>
  <c r="A103" i="11" s="1"/>
  <c r="G137" i="9"/>
  <c r="E137" i="9"/>
  <c r="E113" i="11" s="1"/>
  <c r="D137" i="9"/>
  <c r="D113" i="11" s="1"/>
  <c r="E72" i="11"/>
  <c r="D72" i="11"/>
  <c r="E80" i="9"/>
  <c r="D80" i="9"/>
  <c r="E139" i="9"/>
  <c r="E115" i="11" s="1"/>
  <c r="D139" i="9"/>
  <c r="D115" i="11" s="1"/>
  <c r="E114" i="11"/>
  <c r="D114" i="11"/>
  <c r="A59" i="11"/>
  <c r="E44" i="9"/>
  <c r="E36" i="11" s="1"/>
  <c r="D44" i="9"/>
  <c r="D36" i="11" s="1"/>
  <c r="A37" i="9"/>
  <c r="A38" i="9" s="1"/>
  <c r="A30" i="11" s="1"/>
  <c r="A66" i="9"/>
  <c r="G66" i="9"/>
  <c r="E66" i="9"/>
  <c r="D66" i="9"/>
  <c r="E53" i="11"/>
  <c r="D53" i="11"/>
  <c r="G40" i="9"/>
  <c r="E40" i="9"/>
  <c r="E32" i="11" s="1"/>
  <c r="D40" i="9"/>
  <c r="D32" i="11" s="1"/>
  <c r="E30" i="11"/>
  <c r="D30" i="11"/>
  <c r="E89" i="9"/>
  <c r="E76" i="11" s="1"/>
  <c r="D89" i="9"/>
  <c r="D76" i="11" s="1"/>
  <c r="A158" i="66" l="1"/>
  <c r="A209" i="67"/>
  <c r="A84" i="66"/>
  <c r="A129" i="67"/>
  <c r="D65" i="11"/>
  <c r="E65" i="11"/>
  <c r="A20" i="11"/>
  <c r="N17" i="38"/>
  <c r="N19" i="38" s="1"/>
  <c r="N36" i="38" s="1"/>
  <c r="A39" i="9"/>
  <c r="A31" i="11" s="1"/>
  <c r="A122" i="9"/>
  <c r="A159" i="66" l="1"/>
  <c r="A210" i="67"/>
  <c r="A85" i="66"/>
  <c r="A130" i="67"/>
  <c r="G32" i="9"/>
  <c r="N37" i="38"/>
  <c r="N38" i="38" s="1"/>
  <c r="A104" i="11"/>
  <c r="A123" i="9"/>
  <c r="A215" i="67" l="1"/>
  <c r="A86" i="66"/>
  <c r="A131" i="67"/>
  <c r="A105" i="11"/>
  <c r="F2498" i="3"/>
  <c r="F2497" i="3"/>
  <c r="F2492" i="3"/>
  <c r="B2492" i="3"/>
  <c r="C2513" i="3"/>
  <c r="C2509" i="3"/>
  <c r="G2503" i="3"/>
  <c r="D2508" i="3" s="1"/>
  <c r="F2496" i="3"/>
  <c r="F2491" i="3"/>
  <c r="G2488" i="3"/>
  <c r="B2486" i="3"/>
  <c r="G2494" i="3" l="1"/>
  <c r="D2506" i="3" s="1"/>
  <c r="D2509" i="3" s="1"/>
  <c r="A87" i="66"/>
  <c r="A132" i="67"/>
  <c r="G2500" i="3"/>
  <c r="D2507" i="3" s="1"/>
  <c r="F2256" i="3"/>
  <c r="A88" i="66" l="1"/>
  <c r="A133" i="67"/>
  <c r="D2510" i="3"/>
  <c r="D2512" i="3" s="1"/>
  <c r="D2513" i="3" s="1"/>
  <c r="D2514" i="3" s="1"/>
  <c r="F2514" i="3" s="1"/>
  <c r="A89" i="66" l="1"/>
  <c r="A134" i="67"/>
  <c r="F2462" i="3"/>
  <c r="F2463" i="3"/>
  <c r="F2464" i="3"/>
  <c r="F2465" i="3"/>
  <c r="F2466" i="3"/>
  <c r="F2467" i="3"/>
  <c r="F2468" i="3"/>
  <c r="F2461" i="3"/>
  <c r="F2453" i="3"/>
  <c r="F2454" i="3"/>
  <c r="F2455" i="3"/>
  <c r="F2456" i="3"/>
  <c r="F2452" i="3"/>
  <c r="E2448" i="3"/>
  <c r="F2448" i="3" s="1"/>
  <c r="C2448" i="3"/>
  <c r="B2448" i="3"/>
  <c r="C2447" i="3"/>
  <c r="E2447" i="3"/>
  <c r="F2447" i="3" s="1"/>
  <c r="E2446" i="3"/>
  <c r="F2446" i="3" s="1"/>
  <c r="C2446" i="3"/>
  <c r="B2446" i="3"/>
  <c r="B2447" i="3"/>
  <c r="C2481" i="3"/>
  <c r="C2477" i="3"/>
  <c r="F2469" i="3"/>
  <c r="F2457" i="3"/>
  <c r="G2443" i="3"/>
  <c r="B2441" i="3"/>
  <c r="F2420" i="3"/>
  <c r="G2422" i="3" s="1"/>
  <c r="D2430" i="3" s="1"/>
  <c r="B2416" i="3"/>
  <c r="C2436" i="3"/>
  <c r="C2432" i="3"/>
  <c r="F2424" i="3"/>
  <c r="F2416" i="3"/>
  <c r="G2418" i="3" s="1"/>
  <c r="D2429" i="3" s="1"/>
  <c r="G2413" i="3"/>
  <c r="B2411" i="3"/>
  <c r="C2315" i="3"/>
  <c r="C2311" i="3"/>
  <c r="F2303" i="3"/>
  <c r="F2302" i="3"/>
  <c r="F2301" i="3"/>
  <c r="F2300" i="3"/>
  <c r="F2299" i="3"/>
  <c r="F2298" i="3"/>
  <c r="F2297" i="3"/>
  <c r="F2296" i="3"/>
  <c r="F2295" i="3"/>
  <c r="F2294" i="3"/>
  <c r="F2293" i="3"/>
  <c r="F2292" i="3"/>
  <c r="G2290" i="3"/>
  <c r="D2309" i="3" s="1"/>
  <c r="E2286" i="3"/>
  <c r="F2286" i="3" s="1"/>
  <c r="G2288" i="3" s="1"/>
  <c r="D2308" i="3" s="1"/>
  <c r="C2286" i="3"/>
  <c r="B2286" i="3"/>
  <c r="G2283" i="3"/>
  <c r="B2281" i="3"/>
  <c r="B2320" i="3"/>
  <c r="G2322" i="3"/>
  <c r="C2348" i="3"/>
  <c r="C2344" i="3"/>
  <c r="F2336" i="3"/>
  <c r="F2335" i="3"/>
  <c r="F2334" i="3"/>
  <c r="F2333" i="3"/>
  <c r="F2332" i="3"/>
  <c r="F2331" i="3"/>
  <c r="G2329" i="3"/>
  <c r="D2342" i="3" s="1"/>
  <c r="E2325" i="3"/>
  <c r="F2325" i="3" s="1"/>
  <c r="G2327" i="3" s="1"/>
  <c r="D2341" i="3" s="1"/>
  <c r="C2325" i="3"/>
  <c r="B2325" i="3"/>
  <c r="C2375" i="3"/>
  <c r="C2371" i="3"/>
  <c r="F2363" i="3"/>
  <c r="F2362" i="3"/>
  <c r="G2360" i="3"/>
  <c r="D2369" i="3" s="1"/>
  <c r="E2356" i="3"/>
  <c r="F2356" i="3" s="1"/>
  <c r="G2358" i="3" s="1"/>
  <c r="D2368" i="3" s="1"/>
  <c r="C2356" i="3"/>
  <c r="B2356" i="3"/>
  <c r="G2353" i="3"/>
  <c r="C2406" i="3"/>
  <c r="C2402" i="3"/>
  <c r="F2394" i="3"/>
  <c r="F2393" i="3"/>
  <c r="F2392" i="3"/>
  <c r="F2391" i="3"/>
  <c r="G2389" i="3"/>
  <c r="D2400" i="3" s="1"/>
  <c r="F2385" i="3"/>
  <c r="G2387" i="3" s="1"/>
  <c r="D2399" i="3" s="1"/>
  <c r="G2382" i="3"/>
  <c r="B2380" i="3"/>
  <c r="F2260" i="3"/>
  <c r="G2262" i="3" s="1"/>
  <c r="D2270" i="3" s="1"/>
  <c r="C2276" i="3"/>
  <c r="C2272" i="3"/>
  <c r="F2264" i="3"/>
  <c r="G2258" i="3"/>
  <c r="D2269" i="3" s="1"/>
  <c r="G2253" i="3"/>
  <c r="B2251" i="3"/>
  <c r="E109" i="11"/>
  <c r="D109" i="11"/>
  <c r="C127" i="11"/>
  <c r="B127" i="11"/>
  <c r="B109" i="11"/>
  <c r="D150" i="9"/>
  <c r="D127" i="11" s="1"/>
  <c r="E150" i="9"/>
  <c r="E127" i="11" s="1"/>
  <c r="A90" i="66" l="1"/>
  <c r="A135" i="67"/>
  <c r="G2305" i="3"/>
  <c r="G2471" i="3"/>
  <c r="D2476" i="3" s="1"/>
  <c r="G2459" i="3"/>
  <c r="D2475" i="3" s="1"/>
  <c r="G2450" i="3"/>
  <c r="D2474" i="3" s="1"/>
  <c r="D2477" i="3" s="1"/>
  <c r="D2310" i="3"/>
  <c r="G2426" i="3"/>
  <c r="D2431" i="3" s="1"/>
  <c r="D2432" i="3"/>
  <c r="D2311" i="3"/>
  <c r="G2338" i="3"/>
  <c r="D2343" i="3" s="1"/>
  <c r="D2344" i="3"/>
  <c r="G2396" i="3"/>
  <c r="D2401" i="3" s="1"/>
  <c r="G2365" i="3"/>
  <c r="D2370" i="3" s="1"/>
  <c r="D2371" i="3"/>
  <c r="D2402" i="3"/>
  <c r="G2266" i="3"/>
  <c r="D2271" i="3" s="1"/>
  <c r="D2272" i="3"/>
  <c r="B24" i="11"/>
  <c r="B25" i="11"/>
  <c r="A22" i="11"/>
  <c r="D22" i="11"/>
  <c r="B23" i="11"/>
  <c r="D29" i="9"/>
  <c r="D24" i="11" s="1"/>
  <c r="E29" i="9"/>
  <c r="E24" i="11" s="1"/>
  <c r="D30" i="9"/>
  <c r="D25" i="11" s="1"/>
  <c r="E30" i="9"/>
  <c r="E25" i="11" s="1"/>
  <c r="E28" i="9"/>
  <c r="E23" i="11" s="1"/>
  <c r="D28" i="9"/>
  <c r="D23" i="11" s="1"/>
  <c r="A28" i="9"/>
  <c r="A29" i="9" s="1"/>
  <c r="A30" i="9" s="1"/>
  <c r="A91" i="66" l="1"/>
  <c r="A136" i="67"/>
  <c r="A25" i="11"/>
  <c r="A31" i="9"/>
  <c r="A32" i="9" s="1"/>
  <c r="A27" i="11" s="1"/>
  <c r="D2478" i="3"/>
  <c r="D2480" i="3" s="1"/>
  <c r="D2312" i="3"/>
  <c r="D2314" i="3" s="1"/>
  <c r="D2433" i="3"/>
  <c r="D2435" i="3" s="1"/>
  <c r="D2345" i="3"/>
  <c r="D2347" i="3" s="1"/>
  <c r="D2403" i="3"/>
  <c r="D2405" i="3" s="1"/>
  <c r="D2372" i="3"/>
  <c r="D2374" i="3" s="1"/>
  <c r="D2273" i="3"/>
  <c r="D2275" i="3" s="1"/>
  <c r="A23" i="11"/>
  <c r="A24" i="11"/>
  <c r="G8" i="9"/>
  <c r="E8" i="9"/>
  <c r="E9" i="11" s="1"/>
  <c r="D8" i="9"/>
  <c r="D9" i="11" s="1"/>
  <c r="D136" i="9"/>
  <c r="D149" i="9"/>
  <c r="A92" i="66" l="1"/>
  <c r="A137" i="67"/>
  <c r="A26" i="11"/>
  <c r="D2481" i="3"/>
  <c r="D2482" i="3" s="1"/>
  <c r="F2482" i="3" s="1"/>
  <c r="D2315" i="3"/>
  <c r="D2316" i="3" s="1"/>
  <c r="F2316" i="3" s="1"/>
  <c r="D2436" i="3"/>
  <c r="D2437" i="3" s="1"/>
  <c r="F2437" i="3" s="1"/>
  <c r="D2348" i="3"/>
  <c r="D2349" i="3" s="1"/>
  <c r="F2349" i="3" s="1"/>
  <c r="D2406" i="3"/>
  <c r="D2407" i="3" s="1"/>
  <c r="F2407" i="3" s="1"/>
  <c r="D2375" i="3"/>
  <c r="D2376" i="3" s="1"/>
  <c r="D2276" i="3"/>
  <c r="D2277" i="3" s="1"/>
  <c r="F2277" i="3" s="1"/>
  <c r="D2234" i="3"/>
  <c r="F2234" i="3" s="1"/>
  <c r="F2233" i="3"/>
  <c r="O2227" i="3"/>
  <c r="A138" i="67" l="1"/>
  <c r="A93" i="66"/>
  <c r="A95" i="66"/>
  <c r="G2236" i="3"/>
  <c r="J2227" i="3"/>
  <c r="J2228" i="3"/>
  <c r="J2229" i="3"/>
  <c r="J2230" i="3"/>
  <c r="J2226" i="3"/>
  <c r="E2230" i="3"/>
  <c r="F2230" i="3" s="1"/>
  <c r="C2230" i="3"/>
  <c r="B2230" i="3"/>
  <c r="A139" i="67" l="1"/>
  <c r="A96" i="66"/>
  <c r="A141" i="67"/>
  <c r="D143" i="2"/>
  <c r="D142" i="2"/>
  <c r="E2222" i="3"/>
  <c r="F2222" i="3" s="1"/>
  <c r="C2222" i="3"/>
  <c r="B2222" i="3"/>
  <c r="C2246" i="3"/>
  <c r="C2242" i="3"/>
  <c r="D2241" i="3"/>
  <c r="E2229" i="3"/>
  <c r="F2229" i="3" s="1"/>
  <c r="C2229" i="3"/>
  <c r="B2229" i="3"/>
  <c r="E2228" i="3"/>
  <c r="F2228" i="3" s="1"/>
  <c r="C2228" i="3"/>
  <c r="B2228" i="3"/>
  <c r="E2227" i="3"/>
  <c r="F2227" i="3" s="1"/>
  <c r="C2227" i="3"/>
  <c r="B2227" i="3"/>
  <c r="E2226" i="3"/>
  <c r="F2226" i="3" s="1"/>
  <c r="C2226" i="3"/>
  <c r="B2226" i="3"/>
  <c r="E2221" i="3"/>
  <c r="F2221" i="3" s="1"/>
  <c r="C2221" i="3"/>
  <c r="B2221" i="3"/>
  <c r="G2218" i="3"/>
  <c r="B2216" i="3"/>
  <c r="A97" i="66" l="1"/>
  <c r="A142" i="67"/>
  <c r="G2224" i="3"/>
  <c r="D2239" i="3" s="1"/>
  <c r="D2242" i="3" s="1"/>
  <c r="G2231" i="3"/>
  <c r="D2240" i="3" s="1"/>
  <c r="D125" i="11"/>
  <c r="A125" i="11"/>
  <c r="D111" i="11"/>
  <c r="A111" i="11"/>
  <c r="B112" i="11"/>
  <c r="C112" i="11"/>
  <c r="B126" i="11"/>
  <c r="C126" i="11"/>
  <c r="D106" i="11"/>
  <c r="A106" i="11"/>
  <c r="B107" i="11"/>
  <c r="C107" i="11"/>
  <c r="C82" i="11"/>
  <c r="B82" i="11"/>
  <c r="D81" i="11"/>
  <c r="A81" i="11"/>
  <c r="C64" i="11"/>
  <c r="B64" i="11"/>
  <c r="D62" i="11"/>
  <c r="A62" i="11"/>
  <c r="D58" i="11"/>
  <c r="A58" i="11"/>
  <c r="C57" i="11"/>
  <c r="B57" i="11"/>
  <c r="D56" i="11"/>
  <c r="A56" i="11"/>
  <c r="C50" i="11"/>
  <c r="B50" i="11"/>
  <c r="D49" i="11"/>
  <c r="A49" i="11"/>
  <c r="A98" i="66" l="1"/>
  <c r="A143" i="67"/>
  <c r="D2243" i="3"/>
  <c r="D2245" i="3" s="1"/>
  <c r="B29" i="11"/>
  <c r="C29" i="11"/>
  <c r="D28" i="11"/>
  <c r="A28" i="11"/>
  <c r="C8" i="11"/>
  <c r="B8" i="11"/>
  <c r="D7" i="11"/>
  <c r="A7" i="11"/>
  <c r="C3" i="11"/>
  <c r="H4" i="11"/>
  <c r="A99" i="66" l="1"/>
  <c r="A144" i="67"/>
  <c r="D2246" i="3"/>
  <c r="D2247" i="3" s="1"/>
  <c r="F2247" i="3" s="1"/>
  <c r="E59" i="11"/>
  <c r="D59" i="11"/>
  <c r="A100" i="66" l="1"/>
  <c r="A145" i="67"/>
  <c r="A149" i="9"/>
  <c r="A150" i="9" s="1"/>
  <c r="A136" i="9"/>
  <c r="A128" i="9"/>
  <c r="A129" i="9" s="1"/>
  <c r="A98" i="9"/>
  <c r="A99" i="9" s="1"/>
  <c r="A100" i="9" s="1"/>
  <c r="A101" i="9" s="1"/>
  <c r="A102" i="9" s="1"/>
  <c r="A103" i="9" s="1"/>
  <c r="A104" i="9" s="1"/>
  <c r="A105" i="9" s="1"/>
  <c r="A106" i="9" s="1"/>
  <c r="A107" i="9" s="1"/>
  <c r="A108" i="9" s="1"/>
  <c r="A109" i="9" s="1"/>
  <c r="A110" i="9" s="1"/>
  <c r="A111" i="9" s="1"/>
  <c r="A112" i="9" s="1"/>
  <c r="A113" i="9" s="1"/>
  <c r="A114" i="9" s="1"/>
  <c r="A115" i="9" s="1"/>
  <c r="A116" i="9" s="1"/>
  <c r="A117" i="9" s="1"/>
  <c r="A64" i="11"/>
  <c r="A56" i="9"/>
  <c r="A101" i="66" l="1"/>
  <c r="A146" i="67"/>
  <c r="A83" i="11"/>
  <c r="A107" i="11"/>
  <c r="A137" i="9"/>
  <c r="A82" i="11"/>
  <c r="A112" i="11"/>
  <c r="A57" i="11"/>
  <c r="A57" i="9"/>
  <c r="A51" i="11" s="1"/>
  <c r="A50" i="11"/>
  <c r="A126" i="11"/>
  <c r="A102" i="66" l="1"/>
  <c r="A147" i="67"/>
  <c r="A85" i="11"/>
  <c r="A84" i="11"/>
  <c r="A138" i="9"/>
  <c r="A113" i="11"/>
  <c r="A130" i="9"/>
  <c r="A127" i="11"/>
  <c r="A29" i="11"/>
  <c r="A58" i="9"/>
  <c r="A59" i="9" s="1"/>
  <c r="A60" i="9" s="1"/>
  <c r="A7" i="9"/>
  <c r="A8" i="9" s="1"/>
  <c r="A9" i="11" s="1"/>
  <c r="A103" i="66" l="1"/>
  <c r="A148" i="67"/>
  <c r="A54" i="11"/>
  <c r="A61" i="9"/>
  <c r="A55" i="11" s="1"/>
  <c r="A131" i="9"/>
  <c r="A110" i="11" s="1"/>
  <c r="A65" i="11"/>
  <c r="A52" i="11"/>
  <c r="A108" i="11"/>
  <c r="A139" i="9"/>
  <c r="A114" i="11"/>
  <c r="A9" i="9"/>
  <c r="A10" i="11" s="1"/>
  <c r="H143" i="9"/>
  <c r="I143" i="9" s="1"/>
  <c r="A40" i="9"/>
  <c r="A32" i="11" s="1"/>
  <c r="A8" i="11"/>
  <c r="A69" i="11" l="1"/>
  <c r="A104" i="66"/>
  <c r="A149" i="67"/>
  <c r="H60" i="9"/>
  <c r="I60" i="9" s="1"/>
  <c r="H115" i="9"/>
  <c r="I115" i="9" s="1"/>
  <c r="H114" i="9"/>
  <c r="I114" i="9" s="1"/>
  <c r="H23" i="9"/>
  <c r="I23" i="9" s="1"/>
  <c r="A86" i="11"/>
  <c r="H98" i="9"/>
  <c r="I98" i="9" s="1"/>
  <c r="H101" i="9"/>
  <c r="I101" i="9" s="1"/>
  <c r="H102" i="9"/>
  <c r="I102" i="9" s="1"/>
  <c r="H104" i="9"/>
  <c r="I104" i="9" s="1"/>
  <c r="H105" i="9"/>
  <c r="I105" i="9" s="1"/>
  <c r="H106" i="9"/>
  <c r="I106" i="9" s="1"/>
  <c r="H107" i="9"/>
  <c r="I107" i="9" s="1"/>
  <c r="H108" i="9"/>
  <c r="I108" i="9" s="1"/>
  <c r="H100" i="9"/>
  <c r="I100" i="9" s="1"/>
  <c r="H103" i="9"/>
  <c r="I103" i="9" s="1"/>
  <c r="H49" i="9"/>
  <c r="I49" i="9" s="1"/>
  <c r="H50" i="9"/>
  <c r="I50" i="9" s="1"/>
  <c r="H32" i="9"/>
  <c r="I32" i="9" s="1"/>
  <c r="H111" i="9"/>
  <c r="I111" i="9" s="1"/>
  <c r="H110" i="9"/>
  <c r="I110" i="9" s="1"/>
  <c r="H109" i="9"/>
  <c r="I109" i="9" s="1"/>
  <c r="H112" i="9"/>
  <c r="I112" i="9" s="1"/>
  <c r="H113" i="9"/>
  <c r="I113" i="9" s="1"/>
  <c r="H99" i="9"/>
  <c r="I99" i="9" s="1"/>
  <c r="H45" i="9"/>
  <c r="I45" i="9" s="1"/>
  <c r="N1235" i="38" s="1"/>
  <c r="N1236" i="38" s="1"/>
  <c r="H48" i="9"/>
  <c r="I48" i="9" s="1"/>
  <c r="A109" i="11"/>
  <c r="A140" i="9"/>
  <c r="A115" i="11"/>
  <c r="A72" i="11"/>
  <c r="H137" i="9"/>
  <c r="I137" i="9" s="1"/>
  <c r="H87" i="9"/>
  <c r="I87" i="9" s="1"/>
  <c r="H88" i="9"/>
  <c r="I88" i="9" s="1"/>
  <c r="H81" i="9"/>
  <c r="I81" i="9" s="1"/>
  <c r="H66" i="9"/>
  <c r="I66" i="9" s="1"/>
  <c r="H40" i="9"/>
  <c r="I40" i="9" s="1"/>
  <c r="N1315" i="38"/>
  <c r="N1316" i="38" s="1"/>
  <c r="H8" i="9"/>
  <c r="I8" i="9" s="1"/>
  <c r="H2" i="11"/>
  <c r="A10" i="9"/>
  <c r="F9" i="5"/>
  <c r="B2183" i="3"/>
  <c r="C2211" i="3"/>
  <c r="C2207" i="3"/>
  <c r="C2178" i="3"/>
  <c r="C2174" i="3"/>
  <c r="C2142" i="3"/>
  <c r="C2138" i="3"/>
  <c r="B2147" i="3"/>
  <c r="B2114" i="3"/>
  <c r="I65" i="9" l="1"/>
  <c r="A105" i="66"/>
  <c r="A150" i="67"/>
  <c r="N1068" i="38"/>
  <c r="N1069" i="38" s="1"/>
  <c r="A11" i="11"/>
  <c r="A11" i="9"/>
  <c r="A53" i="11"/>
  <c r="A87" i="11"/>
  <c r="A141" i="9"/>
  <c r="A116" i="11"/>
  <c r="A41" i="9"/>
  <c r="A42" i="9" s="1"/>
  <c r="A43" i="9" s="1"/>
  <c r="C2109" i="3"/>
  <c r="C2105" i="3"/>
  <c r="B2077" i="3"/>
  <c r="B2035" i="3"/>
  <c r="B2004" i="3"/>
  <c r="B1973" i="3"/>
  <c r="B1942" i="3"/>
  <c r="C1968" i="3"/>
  <c r="C1964" i="3"/>
  <c r="C1999" i="3"/>
  <c r="C1995" i="3"/>
  <c r="C2030" i="3"/>
  <c r="C2026" i="3"/>
  <c r="C2072" i="3"/>
  <c r="C2068" i="3"/>
  <c r="C16" i="65" l="1"/>
  <c r="O16" i="65" s="1"/>
  <c r="I68" i="9"/>
  <c r="A44" i="9"/>
  <c r="A45" i="9" s="1"/>
  <c r="A46" i="9" s="1"/>
  <c r="A47" i="9" s="1"/>
  <c r="A48" i="9" s="1"/>
  <c r="A49" i="9" s="1"/>
  <c r="A50" i="9" s="1"/>
  <c r="A51" i="9" s="1"/>
  <c r="A48" i="11" s="1"/>
  <c r="A35" i="11"/>
  <c r="C20" i="65"/>
  <c r="I20" i="65" s="1"/>
  <c r="A34" i="11"/>
  <c r="A33" i="11"/>
  <c r="A106" i="66"/>
  <c r="A151" i="67"/>
  <c r="S16" i="65"/>
  <c r="Q16" i="65"/>
  <c r="M16" i="65"/>
  <c r="K16" i="65"/>
  <c r="I16" i="65"/>
  <c r="I118" i="9"/>
  <c r="A12" i="11"/>
  <c r="A12" i="9"/>
  <c r="A88" i="11"/>
  <c r="A142" i="9"/>
  <c r="A117" i="11"/>
  <c r="E298" i="3"/>
  <c r="E297" i="3"/>
  <c r="E296" i="3"/>
  <c r="E295" i="3"/>
  <c r="B290" i="3"/>
  <c r="B255" i="3"/>
  <c r="E263" i="3"/>
  <c r="E262" i="3"/>
  <c r="E261" i="3"/>
  <c r="E260" i="3"/>
  <c r="E226" i="3"/>
  <c r="E228" i="3"/>
  <c r="E227" i="3"/>
  <c r="E225" i="3"/>
  <c r="B220" i="3"/>
  <c r="D23" i="2"/>
  <c r="E220" i="3" s="1"/>
  <c r="F220" i="3" s="1"/>
  <c r="B57" i="3"/>
  <c r="B191" i="3"/>
  <c r="B190" i="3"/>
  <c r="B155" i="3"/>
  <c r="B154" i="3"/>
  <c r="B120" i="3"/>
  <c r="B119" i="3"/>
  <c r="B88" i="3"/>
  <c r="B87" i="3"/>
  <c r="E116" i="11"/>
  <c r="D116" i="11"/>
  <c r="E118" i="11"/>
  <c r="D118" i="11"/>
  <c r="E117" i="11"/>
  <c r="D117" i="11"/>
  <c r="E108" i="11"/>
  <c r="D108" i="11"/>
  <c r="E107" i="11"/>
  <c r="D107" i="11"/>
  <c r="E82" i="11"/>
  <c r="D82" i="11"/>
  <c r="D57" i="11"/>
  <c r="E57" i="11"/>
  <c r="Q20" i="65" l="1"/>
  <c r="S20" i="65"/>
  <c r="M20" i="65"/>
  <c r="O20" i="65"/>
  <c r="K20" i="65"/>
  <c r="A107" i="66"/>
  <c r="A152" i="67"/>
  <c r="E290" i="3"/>
  <c r="A118" i="11"/>
  <c r="A143" i="9"/>
  <c r="A13" i="9"/>
  <c r="A13" i="11"/>
  <c r="A89" i="11"/>
  <c r="E255" i="3"/>
  <c r="B774" i="3"/>
  <c r="A119" i="11" l="1"/>
  <c r="A144" i="9"/>
  <c r="A120" i="11" s="1"/>
  <c r="A108" i="66"/>
  <c r="A153" i="67"/>
  <c r="A14" i="9"/>
  <c r="A14" i="11"/>
  <c r="A36" i="11"/>
  <c r="A90" i="11"/>
  <c r="D100" i="2"/>
  <c r="E149" i="9"/>
  <c r="E126" i="11" s="1"/>
  <c r="D126" i="11"/>
  <c r="G136" i="9"/>
  <c r="H136" i="9" s="1"/>
  <c r="I136" i="9" s="1"/>
  <c r="E136" i="9"/>
  <c r="E112" i="11" s="1"/>
  <c r="D112" i="11"/>
  <c r="E64" i="11"/>
  <c r="D64" i="11"/>
  <c r="E58" i="9"/>
  <c r="E52" i="11" s="1"/>
  <c r="D58" i="9"/>
  <c r="D52" i="11" s="1"/>
  <c r="E57" i="9"/>
  <c r="E51" i="11" s="1"/>
  <c r="D57" i="9"/>
  <c r="D51" i="11" s="1"/>
  <c r="E1430" i="8"/>
  <c r="G1430" i="8" s="1"/>
  <c r="G1429" i="8"/>
  <c r="E50" i="11"/>
  <c r="D50" i="11"/>
  <c r="G7" i="9"/>
  <c r="H7" i="9" s="1"/>
  <c r="G9" i="9"/>
  <c r="H9" i="9" s="1"/>
  <c r="I9" i="9" s="1"/>
  <c r="G10" i="9"/>
  <c r="H10" i="9" s="1"/>
  <c r="I10" i="9" s="1"/>
  <c r="G11" i="9"/>
  <c r="H11" i="9" s="1"/>
  <c r="G12" i="9"/>
  <c r="H12" i="9" s="1"/>
  <c r="I12" i="9" s="1"/>
  <c r="G13" i="9"/>
  <c r="H13" i="9" s="1"/>
  <c r="I13" i="9" s="1"/>
  <c r="G14" i="9"/>
  <c r="H14" i="9" s="1"/>
  <c r="I14" i="9" s="1"/>
  <c r="G15" i="9"/>
  <c r="H15" i="9" s="1"/>
  <c r="I15" i="9" s="1"/>
  <c r="G16" i="9"/>
  <c r="H16" i="9" s="1"/>
  <c r="I16" i="9" s="1"/>
  <c r="G37" i="9"/>
  <c r="H37" i="9" s="1"/>
  <c r="I37" i="9" s="1"/>
  <c r="G41" i="9"/>
  <c r="H41" i="9" s="1"/>
  <c r="I41" i="9" s="1"/>
  <c r="E46" i="9"/>
  <c r="E38" i="11" s="1"/>
  <c r="D46" i="9"/>
  <c r="D38" i="11" s="1"/>
  <c r="E47" i="9"/>
  <c r="E44" i="11" s="1"/>
  <c r="D47" i="9"/>
  <c r="D44" i="11" s="1"/>
  <c r="E41" i="9"/>
  <c r="E33" i="11" s="1"/>
  <c r="D41" i="9"/>
  <c r="D33" i="11" s="1"/>
  <c r="E37" i="9"/>
  <c r="E29" i="11" s="1"/>
  <c r="D37" i="9"/>
  <c r="D29" i="11" s="1"/>
  <c r="D16" i="9"/>
  <c r="D17" i="11" s="1"/>
  <c r="E16" i="9"/>
  <c r="E17" i="11" s="1"/>
  <c r="D15" i="9"/>
  <c r="D16" i="11" s="1"/>
  <c r="E15" i="9"/>
  <c r="E16" i="11" s="1"/>
  <c r="D14" i="9"/>
  <c r="D15" i="11" s="1"/>
  <c r="E14" i="9"/>
  <c r="E15" i="11" s="1"/>
  <c r="D13" i="9"/>
  <c r="D14" i="11" s="1"/>
  <c r="E13" i="9"/>
  <c r="E14" i="11" s="1"/>
  <c r="D12" i="9"/>
  <c r="D13" i="11" s="1"/>
  <c r="E12" i="9"/>
  <c r="E13" i="11" s="1"/>
  <c r="D11" i="9"/>
  <c r="D12" i="11" s="1"/>
  <c r="E11" i="9"/>
  <c r="E12" i="11" s="1"/>
  <c r="D10" i="9"/>
  <c r="D11" i="11" s="1"/>
  <c r="E10" i="9"/>
  <c r="E11" i="11" s="1"/>
  <c r="D9" i="9"/>
  <c r="D10" i="11" s="1"/>
  <c r="E9" i="9"/>
  <c r="E10" i="11" s="1"/>
  <c r="D7" i="9"/>
  <c r="D8" i="11" s="1"/>
  <c r="E7" i="9"/>
  <c r="E8" i="11" s="1"/>
  <c r="G47" i="9" l="1"/>
  <c r="H47" i="9" s="1"/>
  <c r="A109" i="66"/>
  <c r="A154" i="67"/>
  <c r="A15" i="9"/>
  <c r="A15" i="11"/>
  <c r="A38" i="11"/>
  <c r="A91" i="11"/>
  <c r="G57" i="9"/>
  <c r="H57" i="9" s="1"/>
  <c r="I57" i="9" s="1"/>
  <c r="A110" i="66" l="1"/>
  <c r="A155" i="67"/>
  <c r="A16" i="9"/>
  <c r="A16" i="11"/>
  <c r="A37" i="11"/>
  <c r="A92" i="11"/>
  <c r="A44" i="11"/>
  <c r="A17" i="11" l="1"/>
  <c r="A17" i="9"/>
  <c r="A111" i="66"/>
  <c r="A156" i="67"/>
  <c r="A45" i="11"/>
  <c r="A93" i="11"/>
  <c r="I11" i="9"/>
  <c r="F8" i="5"/>
  <c r="A112" i="66" l="1"/>
  <c r="A157" i="67"/>
  <c r="A47" i="11"/>
  <c r="A94" i="11"/>
  <c r="I47" i="9"/>
  <c r="E3" i="8"/>
  <c r="G3" i="8" s="1"/>
  <c r="E4" i="8"/>
  <c r="G4" i="8" s="1"/>
  <c r="E5" i="8"/>
  <c r="G5" i="8" s="1"/>
  <c r="E6" i="8"/>
  <c r="G6" i="8" s="1"/>
  <c r="E7" i="8"/>
  <c r="G7" i="8" s="1"/>
  <c r="E8" i="8"/>
  <c r="G8" i="8" s="1"/>
  <c r="E9" i="8"/>
  <c r="G9" i="8" s="1"/>
  <c r="E10" i="8"/>
  <c r="G10" i="8" s="1"/>
  <c r="E11" i="8"/>
  <c r="G11" i="8" s="1"/>
  <c r="E12" i="8"/>
  <c r="G12" i="8" s="1"/>
  <c r="E13" i="8"/>
  <c r="G13" i="8" s="1"/>
  <c r="E14" i="8"/>
  <c r="G14" i="8" s="1"/>
  <c r="E15" i="8"/>
  <c r="G15" i="8" s="1"/>
  <c r="E16" i="8"/>
  <c r="G16" i="8" s="1"/>
  <c r="E17" i="8"/>
  <c r="G17" i="8" s="1"/>
  <c r="E18" i="8"/>
  <c r="G18" i="8" s="1"/>
  <c r="E19" i="8"/>
  <c r="G19" i="8" s="1"/>
  <c r="E20" i="8"/>
  <c r="G20" i="8" s="1"/>
  <c r="E21" i="8"/>
  <c r="G21" i="8" s="1"/>
  <c r="E22" i="8"/>
  <c r="G22" i="8" s="1"/>
  <c r="E23" i="8"/>
  <c r="G23" i="8" s="1"/>
  <c r="E24" i="8"/>
  <c r="G24" i="8" s="1"/>
  <c r="E25" i="8"/>
  <c r="G25" i="8" s="1"/>
  <c r="E26" i="8"/>
  <c r="G26" i="8" s="1"/>
  <c r="E27" i="8"/>
  <c r="G27" i="8" s="1"/>
  <c r="E28" i="8"/>
  <c r="G28" i="8" s="1"/>
  <c r="E29" i="8"/>
  <c r="G29" i="8" s="1"/>
  <c r="E30" i="8"/>
  <c r="G30" i="8" s="1"/>
  <c r="E31" i="8"/>
  <c r="G31" i="8" s="1"/>
  <c r="E32" i="8"/>
  <c r="G32" i="8" s="1"/>
  <c r="E33" i="8"/>
  <c r="G33" i="8" s="1"/>
  <c r="E34" i="8"/>
  <c r="G34" i="8" s="1"/>
  <c r="E35" i="8"/>
  <c r="G35" i="8" s="1"/>
  <c r="E36" i="8"/>
  <c r="G36" i="8" s="1"/>
  <c r="E37" i="8"/>
  <c r="G37" i="8" s="1"/>
  <c r="E38" i="8"/>
  <c r="G38" i="8" s="1"/>
  <c r="E39" i="8"/>
  <c r="G39" i="8" s="1"/>
  <c r="E40" i="8"/>
  <c r="G40" i="8" s="1"/>
  <c r="E41" i="8"/>
  <c r="G41" i="8" s="1"/>
  <c r="E42" i="8"/>
  <c r="G42" i="8" s="1"/>
  <c r="E43" i="8"/>
  <c r="G43" i="8" s="1"/>
  <c r="E44" i="8"/>
  <c r="G44" i="8" s="1"/>
  <c r="E45" i="8"/>
  <c r="G45" i="8" s="1"/>
  <c r="E46" i="8"/>
  <c r="G46" i="8" s="1"/>
  <c r="E47" i="8"/>
  <c r="G47" i="8" s="1"/>
  <c r="E48" i="8"/>
  <c r="G48" i="8" s="1"/>
  <c r="E49" i="8"/>
  <c r="G49" i="8" s="1"/>
  <c r="E50" i="8"/>
  <c r="G50" i="8" s="1"/>
  <c r="E51" i="8"/>
  <c r="G51" i="8" s="1"/>
  <c r="E52" i="8"/>
  <c r="G52" i="8" s="1"/>
  <c r="E53" i="8"/>
  <c r="G53" i="8" s="1"/>
  <c r="E54" i="8"/>
  <c r="G54" i="8" s="1"/>
  <c r="E55" i="8"/>
  <c r="G55" i="8" s="1"/>
  <c r="E56" i="8"/>
  <c r="G56" i="8" s="1"/>
  <c r="E57" i="8"/>
  <c r="G57" i="8" s="1"/>
  <c r="E58" i="8"/>
  <c r="G58" i="8" s="1"/>
  <c r="E59" i="8"/>
  <c r="G59" i="8" s="1"/>
  <c r="E60" i="8"/>
  <c r="G60" i="8" s="1"/>
  <c r="E61" i="8"/>
  <c r="G61" i="8" s="1"/>
  <c r="E62" i="8"/>
  <c r="G62" i="8" s="1"/>
  <c r="E63" i="8"/>
  <c r="G63" i="8" s="1"/>
  <c r="E64" i="8"/>
  <c r="G64" i="8" s="1"/>
  <c r="E65" i="8"/>
  <c r="G65" i="8" s="1"/>
  <c r="E66" i="8"/>
  <c r="G66" i="8" s="1"/>
  <c r="E67" i="8"/>
  <c r="G67" i="8" s="1"/>
  <c r="E68" i="8"/>
  <c r="G68" i="8" s="1"/>
  <c r="E69" i="8"/>
  <c r="G69" i="8" s="1"/>
  <c r="E70" i="8"/>
  <c r="G70" i="8" s="1"/>
  <c r="E71" i="8"/>
  <c r="G71" i="8" s="1"/>
  <c r="E72" i="8"/>
  <c r="G72" i="8" s="1"/>
  <c r="E73" i="8"/>
  <c r="G73" i="8" s="1"/>
  <c r="E74" i="8"/>
  <c r="G74" i="8" s="1"/>
  <c r="E75" i="8"/>
  <c r="G75" i="8" s="1"/>
  <c r="E76" i="8"/>
  <c r="G76" i="8" s="1"/>
  <c r="E77" i="8"/>
  <c r="G77" i="8" s="1"/>
  <c r="E78" i="8"/>
  <c r="G78" i="8" s="1"/>
  <c r="E79" i="8"/>
  <c r="G79" i="8" s="1"/>
  <c r="E80" i="8"/>
  <c r="G80" i="8" s="1"/>
  <c r="E81" i="8"/>
  <c r="G81" i="8" s="1"/>
  <c r="E82" i="8"/>
  <c r="G82" i="8" s="1"/>
  <c r="E83" i="8"/>
  <c r="G83" i="8" s="1"/>
  <c r="E84" i="8"/>
  <c r="G84" i="8" s="1"/>
  <c r="E85" i="8"/>
  <c r="G85" i="8" s="1"/>
  <c r="E86" i="8"/>
  <c r="G86" i="8" s="1"/>
  <c r="E87" i="8"/>
  <c r="G87" i="8" s="1"/>
  <c r="E88" i="8"/>
  <c r="G88" i="8" s="1"/>
  <c r="E89" i="8"/>
  <c r="G89" i="8" s="1"/>
  <c r="E90" i="8"/>
  <c r="G90" i="8" s="1"/>
  <c r="E91" i="8"/>
  <c r="G91" i="8" s="1"/>
  <c r="E92" i="8"/>
  <c r="G92" i="8" s="1"/>
  <c r="E93" i="8"/>
  <c r="G93" i="8" s="1"/>
  <c r="E94" i="8"/>
  <c r="G94" i="8" s="1"/>
  <c r="E95" i="8"/>
  <c r="G95" i="8" s="1"/>
  <c r="E96" i="8"/>
  <c r="G96" i="8" s="1"/>
  <c r="E97" i="8"/>
  <c r="G97" i="8" s="1"/>
  <c r="E98" i="8"/>
  <c r="G98" i="8" s="1"/>
  <c r="E99" i="8"/>
  <c r="G99" i="8" s="1"/>
  <c r="E100" i="8"/>
  <c r="G100" i="8" s="1"/>
  <c r="E101" i="8"/>
  <c r="G101" i="8" s="1"/>
  <c r="E102" i="8"/>
  <c r="G102" i="8" s="1"/>
  <c r="E103" i="8"/>
  <c r="G103" i="8" s="1"/>
  <c r="E104" i="8"/>
  <c r="G104" i="8" s="1"/>
  <c r="E105" i="8"/>
  <c r="G105" i="8" s="1"/>
  <c r="E106" i="8"/>
  <c r="G106" i="8" s="1"/>
  <c r="E107" i="8"/>
  <c r="G107" i="8" s="1"/>
  <c r="E108" i="8"/>
  <c r="G108" i="8" s="1"/>
  <c r="E109" i="8"/>
  <c r="G109" i="8" s="1"/>
  <c r="E110" i="8"/>
  <c r="G110" i="8" s="1"/>
  <c r="E111" i="8"/>
  <c r="G111" i="8" s="1"/>
  <c r="E112" i="8"/>
  <c r="G112" i="8" s="1"/>
  <c r="E113" i="8"/>
  <c r="G113" i="8" s="1"/>
  <c r="E114" i="8"/>
  <c r="G114" i="8" s="1"/>
  <c r="E115" i="8"/>
  <c r="G115" i="8" s="1"/>
  <c r="E116" i="8"/>
  <c r="G116" i="8" s="1"/>
  <c r="E117" i="8"/>
  <c r="G117" i="8" s="1"/>
  <c r="E118" i="8"/>
  <c r="G118" i="8" s="1"/>
  <c r="E119" i="8"/>
  <c r="G119" i="8" s="1"/>
  <c r="E120" i="8"/>
  <c r="G120" i="8" s="1"/>
  <c r="E121" i="8"/>
  <c r="G121" i="8" s="1"/>
  <c r="E122" i="8"/>
  <c r="G122" i="8" s="1"/>
  <c r="E123" i="8"/>
  <c r="G123" i="8" s="1"/>
  <c r="E124" i="8"/>
  <c r="G124" i="8" s="1"/>
  <c r="E125" i="8"/>
  <c r="G125" i="8" s="1"/>
  <c r="E126" i="8"/>
  <c r="G126" i="8" s="1"/>
  <c r="E127" i="8"/>
  <c r="G127" i="8" s="1"/>
  <c r="E128" i="8"/>
  <c r="G128" i="8" s="1"/>
  <c r="E129" i="8"/>
  <c r="G129" i="8" s="1"/>
  <c r="E130" i="8"/>
  <c r="G130" i="8" s="1"/>
  <c r="E131" i="8"/>
  <c r="G131" i="8" s="1"/>
  <c r="E132" i="8"/>
  <c r="G132" i="8" s="1"/>
  <c r="E133" i="8"/>
  <c r="G133" i="8" s="1"/>
  <c r="E134" i="8"/>
  <c r="G134" i="8" s="1"/>
  <c r="E135" i="8"/>
  <c r="G135" i="8" s="1"/>
  <c r="E136" i="8"/>
  <c r="G136" i="8" s="1"/>
  <c r="E137" i="8"/>
  <c r="G137" i="8" s="1"/>
  <c r="E138" i="8"/>
  <c r="G138" i="8" s="1"/>
  <c r="E139" i="8"/>
  <c r="G139" i="8" s="1"/>
  <c r="E140" i="8"/>
  <c r="G140" i="8" s="1"/>
  <c r="E141" i="8"/>
  <c r="G141" i="8" s="1"/>
  <c r="E142" i="8"/>
  <c r="G142" i="8" s="1"/>
  <c r="E143" i="8"/>
  <c r="G143" i="8" s="1"/>
  <c r="E144" i="8"/>
  <c r="G144" i="8" s="1"/>
  <c r="E145" i="8"/>
  <c r="G145" i="8" s="1"/>
  <c r="E146" i="8"/>
  <c r="G146" i="8" s="1"/>
  <c r="E147" i="8"/>
  <c r="G147" i="8" s="1"/>
  <c r="E148" i="8"/>
  <c r="G148" i="8" s="1"/>
  <c r="E149" i="8"/>
  <c r="G149" i="8" s="1"/>
  <c r="E150" i="8"/>
  <c r="G150" i="8" s="1"/>
  <c r="E151" i="8"/>
  <c r="G151" i="8" s="1"/>
  <c r="E152" i="8"/>
  <c r="G152" i="8" s="1"/>
  <c r="E153" i="8"/>
  <c r="G153" i="8" s="1"/>
  <c r="E154" i="8"/>
  <c r="G154" i="8" s="1"/>
  <c r="E155" i="8"/>
  <c r="G155" i="8" s="1"/>
  <c r="E156" i="8"/>
  <c r="G156" i="8" s="1"/>
  <c r="E157" i="8"/>
  <c r="G157" i="8" s="1"/>
  <c r="E158" i="8"/>
  <c r="G158" i="8" s="1"/>
  <c r="E159" i="8"/>
  <c r="G159" i="8" s="1"/>
  <c r="E160" i="8"/>
  <c r="G160" i="8" s="1"/>
  <c r="E161" i="8"/>
  <c r="G161" i="8" s="1"/>
  <c r="E162" i="8"/>
  <c r="G162" i="8" s="1"/>
  <c r="E163" i="8"/>
  <c r="G163" i="8" s="1"/>
  <c r="H79" i="9" s="1"/>
  <c r="E164" i="8"/>
  <c r="G164" i="8" s="1"/>
  <c r="E165" i="8"/>
  <c r="G165" i="8" s="1"/>
  <c r="E166" i="8"/>
  <c r="G166" i="8" s="1"/>
  <c r="E167" i="8"/>
  <c r="G167" i="8" s="1"/>
  <c r="E168" i="8"/>
  <c r="G168" i="8" s="1"/>
  <c r="E169" i="8"/>
  <c r="G169" i="8" s="1"/>
  <c r="E170" i="8"/>
  <c r="G170" i="8" s="1"/>
  <c r="E171" i="8"/>
  <c r="G171" i="8" s="1"/>
  <c r="E172" i="8"/>
  <c r="G172" i="8" s="1"/>
  <c r="E173" i="8"/>
  <c r="G173" i="8" s="1"/>
  <c r="E174" i="8"/>
  <c r="G174" i="8" s="1"/>
  <c r="E175" i="8"/>
  <c r="G175" i="8" s="1"/>
  <c r="E176" i="8"/>
  <c r="G176" i="8" s="1"/>
  <c r="E177" i="8"/>
  <c r="G177" i="8" s="1"/>
  <c r="E178" i="8"/>
  <c r="G178" i="8" s="1"/>
  <c r="E179" i="8"/>
  <c r="G179" i="8" s="1"/>
  <c r="E180" i="8"/>
  <c r="G180" i="8" s="1"/>
  <c r="E181" i="8"/>
  <c r="G181" i="8" s="1"/>
  <c r="E182" i="8"/>
  <c r="G182" i="8" s="1"/>
  <c r="E183" i="8"/>
  <c r="G183" i="8" s="1"/>
  <c r="E184" i="8"/>
  <c r="G184" i="8" s="1"/>
  <c r="E185" i="8"/>
  <c r="G185" i="8" s="1"/>
  <c r="E186" i="8"/>
  <c r="G186" i="8" s="1"/>
  <c r="E187" i="8"/>
  <c r="G187" i="8" s="1"/>
  <c r="E188" i="8"/>
  <c r="G188" i="8" s="1"/>
  <c r="E189" i="8"/>
  <c r="G189" i="8" s="1"/>
  <c r="E190" i="8"/>
  <c r="G190" i="8" s="1"/>
  <c r="E191" i="8"/>
  <c r="G191" i="8" s="1"/>
  <c r="E192" i="8"/>
  <c r="G192" i="8" s="1"/>
  <c r="E193" i="8"/>
  <c r="G193" i="8" s="1"/>
  <c r="E194" i="8"/>
  <c r="G194" i="8" s="1"/>
  <c r="E195" i="8"/>
  <c r="G195" i="8" s="1"/>
  <c r="E196" i="8"/>
  <c r="G196" i="8" s="1"/>
  <c r="E197" i="8"/>
  <c r="G197" i="8" s="1"/>
  <c r="E198" i="8"/>
  <c r="G198" i="8" s="1"/>
  <c r="E199" i="8"/>
  <c r="G199" i="8" s="1"/>
  <c r="E200" i="8"/>
  <c r="G200" i="8" s="1"/>
  <c r="E201" i="8"/>
  <c r="G201" i="8" s="1"/>
  <c r="E202" i="8"/>
  <c r="G202" i="8" s="1"/>
  <c r="E203" i="8"/>
  <c r="G203" i="8" s="1"/>
  <c r="E204" i="8"/>
  <c r="G204" i="8" s="1"/>
  <c r="E205" i="8"/>
  <c r="G205" i="8" s="1"/>
  <c r="E206" i="8"/>
  <c r="G206" i="8" s="1"/>
  <c r="E207" i="8"/>
  <c r="G207" i="8" s="1"/>
  <c r="E208" i="8"/>
  <c r="G208" i="8" s="1"/>
  <c r="E209" i="8"/>
  <c r="G209" i="8" s="1"/>
  <c r="E210" i="8"/>
  <c r="G210" i="8" s="1"/>
  <c r="E211" i="8"/>
  <c r="G211" i="8" s="1"/>
  <c r="E212" i="8"/>
  <c r="G212" i="8" s="1"/>
  <c r="E213" i="8"/>
  <c r="G213" i="8" s="1"/>
  <c r="E214" i="8"/>
  <c r="G214" i="8" s="1"/>
  <c r="E215" i="8"/>
  <c r="G215" i="8" s="1"/>
  <c r="E216" i="8"/>
  <c r="G216" i="8" s="1"/>
  <c r="E217" i="8"/>
  <c r="G217" i="8" s="1"/>
  <c r="E218" i="8"/>
  <c r="G218" i="8" s="1"/>
  <c r="E219" i="8"/>
  <c r="G219" i="8" s="1"/>
  <c r="E220" i="8"/>
  <c r="G220" i="8" s="1"/>
  <c r="E221" i="8"/>
  <c r="G221" i="8" s="1"/>
  <c r="E222" i="8"/>
  <c r="G222" i="8" s="1"/>
  <c r="E223" i="8"/>
  <c r="G223" i="8" s="1"/>
  <c r="E224" i="8"/>
  <c r="G224" i="8" s="1"/>
  <c r="E225" i="8"/>
  <c r="G225" i="8" s="1"/>
  <c r="E226" i="8"/>
  <c r="G226" i="8" s="1"/>
  <c r="E227" i="8"/>
  <c r="G227" i="8" s="1"/>
  <c r="E228" i="8"/>
  <c r="G228" i="8" s="1"/>
  <c r="E229" i="8"/>
  <c r="G229" i="8" s="1"/>
  <c r="E230" i="8"/>
  <c r="G230" i="8" s="1"/>
  <c r="E231" i="8"/>
  <c r="G231" i="8" s="1"/>
  <c r="E232" i="8"/>
  <c r="G232" i="8" s="1"/>
  <c r="E233" i="8"/>
  <c r="G233" i="8" s="1"/>
  <c r="E234" i="8"/>
  <c r="G234" i="8" s="1"/>
  <c r="E235" i="8"/>
  <c r="G235" i="8" s="1"/>
  <c r="E236" i="8"/>
  <c r="G236" i="8" s="1"/>
  <c r="E237" i="8"/>
  <c r="G237" i="8" s="1"/>
  <c r="E238" i="8"/>
  <c r="G238" i="8" s="1"/>
  <c r="E239" i="8"/>
  <c r="G239" i="8" s="1"/>
  <c r="E240" i="8"/>
  <c r="G240" i="8" s="1"/>
  <c r="E241" i="8"/>
  <c r="G241" i="8" s="1"/>
  <c r="E242" i="8"/>
  <c r="G242" i="8" s="1"/>
  <c r="E243" i="8"/>
  <c r="G243" i="8" s="1"/>
  <c r="E244" i="8"/>
  <c r="G244" i="8" s="1"/>
  <c r="E245" i="8"/>
  <c r="G245" i="8" s="1"/>
  <c r="E246" i="8"/>
  <c r="G246" i="8" s="1"/>
  <c r="E247" i="8"/>
  <c r="G247" i="8" s="1"/>
  <c r="E248" i="8"/>
  <c r="G248" i="8" s="1"/>
  <c r="E249" i="8"/>
  <c r="G249" i="8" s="1"/>
  <c r="E250" i="8"/>
  <c r="G250" i="8" s="1"/>
  <c r="E251" i="8"/>
  <c r="G251" i="8" s="1"/>
  <c r="E252" i="8"/>
  <c r="G252" i="8" s="1"/>
  <c r="E253" i="8"/>
  <c r="G253" i="8" s="1"/>
  <c r="E254" i="8"/>
  <c r="G254" i="8" s="1"/>
  <c r="E255" i="8"/>
  <c r="G255" i="8" s="1"/>
  <c r="E256" i="8"/>
  <c r="G256" i="8" s="1"/>
  <c r="E257" i="8"/>
  <c r="G257" i="8" s="1"/>
  <c r="E258" i="8"/>
  <c r="G258" i="8" s="1"/>
  <c r="E259" i="8"/>
  <c r="G259" i="8" s="1"/>
  <c r="E260" i="8"/>
  <c r="G260" i="8" s="1"/>
  <c r="E261" i="8"/>
  <c r="G261" i="8" s="1"/>
  <c r="E262" i="8"/>
  <c r="G262" i="8" s="1"/>
  <c r="E263" i="8"/>
  <c r="G263" i="8" s="1"/>
  <c r="E264" i="8"/>
  <c r="G264" i="8" s="1"/>
  <c r="E265" i="8"/>
  <c r="G265" i="8" s="1"/>
  <c r="E266" i="8"/>
  <c r="G266" i="8" s="1"/>
  <c r="E267" i="8"/>
  <c r="G267" i="8" s="1"/>
  <c r="E268" i="8"/>
  <c r="G268" i="8" s="1"/>
  <c r="E269" i="8"/>
  <c r="G269" i="8" s="1"/>
  <c r="E270" i="8"/>
  <c r="G270" i="8" s="1"/>
  <c r="E271" i="8"/>
  <c r="G271" i="8" s="1"/>
  <c r="E272" i="8"/>
  <c r="G272" i="8" s="1"/>
  <c r="E273" i="8"/>
  <c r="G273" i="8" s="1"/>
  <c r="E274" i="8"/>
  <c r="G274" i="8" s="1"/>
  <c r="E275" i="8"/>
  <c r="G275" i="8" s="1"/>
  <c r="E276" i="8"/>
  <c r="G276" i="8" s="1"/>
  <c r="E277" i="8"/>
  <c r="G277" i="8" s="1"/>
  <c r="E278" i="8"/>
  <c r="G278" i="8" s="1"/>
  <c r="E279" i="8"/>
  <c r="G279" i="8" s="1"/>
  <c r="E280" i="8"/>
  <c r="G280" i="8" s="1"/>
  <c r="E281" i="8"/>
  <c r="G281" i="8" s="1"/>
  <c r="E282" i="8"/>
  <c r="G282" i="8" s="1"/>
  <c r="E283" i="8"/>
  <c r="G283" i="8" s="1"/>
  <c r="E284" i="8"/>
  <c r="G284" i="8" s="1"/>
  <c r="E285" i="8"/>
  <c r="G285" i="8" s="1"/>
  <c r="E286" i="8"/>
  <c r="G286" i="8" s="1"/>
  <c r="E287" i="8"/>
  <c r="G287" i="8" s="1"/>
  <c r="E288" i="8"/>
  <c r="G288" i="8" s="1"/>
  <c r="E289" i="8"/>
  <c r="G289" i="8" s="1"/>
  <c r="E290" i="8"/>
  <c r="G290" i="8" s="1"/>
  <c r="E291" i="8"/>
  <c r="G291" i="8" s="1"/>
  <c r="E292" i="8"/>
  <c r="G292" i="8" s="1"/>
  <c r="E293" i="8"/>
  <c r="G293" i="8" s="1"/>
  <c r="E294" i="8"/>
  <c r="G294" i="8" s="1"/>
  <c r="E295" i="8"/>
  <c r="G295" i="8" s="1"/>
  <c r="E296" i="8"/>
  <c r="G296" i="8" s="1"/>
  <c r="E297" i="8"/>
  <c r="G297" i="8" s="1"/>
  <c r="E298" i="8"/>
  <c r="G298" i="8" s="1"/>
  <c r="E299" i="8"/>
  <c r="G299" i="8" s="1"/>
  <c r="E300" i="8"/>
  <c r="G300" i="8" s="1"/>
  <c r="E301" i="8"/>
  <c r="G301" i="8" s="1"/>
  <c r="E302" i="8"/>
  <c r="G302" i="8" s="1"/>
  <c r="E303" i="8"/>
  <c r="G303" i="8" s="1"/>
  <c r="E304" i="8"/>
  <c r="G304" i="8" s="1"/>
  <c r="E305" i="8"/>
  <c r="G305" i="8" s="1"/>
  <c r="E306" i="8"/>
  <c r="G306" i="8" s="1"/>
  <c r="E307" i="8"/>
  <c r="G307" i="8" s="1"/>
  <c r="E308" i="8"/>
  <c r="G308" i="8" s="1"/>
  <c r="E309" i="8"/>
  <c r="G309" i="8" s="1"/>
  <c r="E310" i="8"/>
  <c r="G310" i="8" s="1"/>
  <c r="E311" i="8"/>
  <c r="G311" i="8" s="1"/>
  <c r="E312" i="8"/>
  <c r="G312" i="8" s="1"/>
  <c r="E313" i="8"/>
  <c r="G313" i="8" s="1"/>
  <c r="E314" i="8"/>
  <c r="G314" i="8" s="1"/>
  <c r="E315" i="8"/>
  <c r="G315" i="8" s="1"/>
  <c r="E316" i="8"/>
  <c r="G316" i="8" s="1"/>
  <c r="E317" i="8"/>
  <c r="G317" i="8" s="1"/>
  <c r="E318" i="8"/>
  <c r="G318" i="8" s="1"/>
  <c r="E319" i="8"/>
  <c r="G319" i="8" s="1"/>
  <c r="E320" i="8"/>
  <c r="G320" i="8" s="1"/>
  <c r="E321" i="8"/>
  <c r="G321" i="8" s="1"/>
  <c r="E322" i="8"/>
  <c r="G322" i="8" s="1"/>
  <c r="E323" i="8"/>
  <c r="G323" i="8" s="1"/>
  <c r="E324" i="8"/>
  <c r="G324" i="8" s="1"/>
  <c r="E325" i="8"/>
  <c r="G325" i="8" s="1"/>
  <c r="E326" i="8"/>
  <c r="G326" i="8" s="1"/>
  <c r="E327" i="8"/>
  <c r="G327" i="8" s="1"/>
  <c r="E328" i="8"/>
  <c r="G328" i="8" s="1"/>
  <c r="E329" i="8"/>
  <c r="G329" i="8" s="1"/>
  <c r="E330" i="8"/>
  <c r="G330" i="8" s="1"/>
  <c r="E331" i="8"/>
  <c r="G331" i="8" s="1"/>
  <c r="E332" i="8"/>
  <c r="G332" i="8" s="1"/>
  <c r="E333" i="8"/>
  <c r="G333" i="8" s="1"/>
  <c r="E334" i="8"/>
  <c r="G334" i="8" s="1"/>
  <c r="E335" i="8"/>
  <c r="G335" i="8" s="1"/>
  <c r="E336" i="8"/>
  <c r="G336" i="8" s="1"/>
  <c r="E337" i="8"/>
  <c r="G337" i="8" s="1"/>
  <c r="E338" i="8"/>
  <c r="G338" i="8" s="1"/>
  <c r="E339" i="8"/>
  <c r="G339" i="8" s="1"/>
  <c r="E340" i="8"/>
  <c r="G340" i="8" s="1"/>
  <c r="E341" i="8"/>
  <c r="G341" i="8" s="1"/>
  <c r="E342" i="8"/>
  <c r="G342" i="8" s="1"/>
  <c r="E343" i="8"/>
  <c r="G343" i="8" s="1"/>
  <c r="E344" i="8"/>
  <c r="G344" i="8" s="1"/>
  <c r="E345" i="8"/>
  <c r="G345" i="8" s="1"/>
  <c r="E346" i="8"/>
  <c r="G346" i="8" s="1"/>
  <c r="E347" i="8"/>
  <c r="G347" i="8" s="1"/>
  <c r="E348" i="8"/>
  <c r="G348" i="8" s="1"/>
  <c r="E349" i="8"/>
  <c r="G349" i="8" s="1"/>
  <c r="E350" i="8"/>
  <c r="G350" i="8" s="1"/>
  <c r="E351" i="8"/>
  <c r="G351" i="8" s="1"/>
  <c r="E352" i="8"/>
  <c r="G352" i="8" s="1"/>
  <c r="E353" i="8"/>
  <c r="G353" i="8" s="1"/>
  <c r="E354" i="8"/>
  <c r="G354" i="8" s="1"/>
  <c r="E355" i="8"/>
  <c r="G355" i="8" s="1"/>
  <c r="E356" i="8"/>
  <c r="G356" i="8" s="1"/>
  <c r="E357" i="8"/>
  <c r="G357" i="8" s="1"/>
  <c r="E358" i="8"/>
  <c r="G358" i="8" s="1"/>
  <c r="E359" i="8"/>
  <c r="G359" i="8" s="1"/>
  <c r="E360" i="8"/>
  <c r="G360" i="8" s="1"/>
  <c r="E361" i="8"/>
  <c r="G361" i="8" s="1"/>
  <c r="E362" i="8"/>
  <c r="G362" i="8" s="1"/>
  <c r="E363" i="8"/>
  <c r="G363" i="8" s="1"/>
  <c r="E364" i="8"/>
  <c r="G364" i="8" s="1"/>
  <c r="E365" i="8"/>
  <c r="G365" i="8" s="1"/>
  <c r="E366" i="8"/>
  <c r="G366" i="8" s="1"/>
  <c r="E367" i="8"/>
  <c r="G367" i="8" s="1"/>
  <c r="E368" i="8"/>
  <c r="G368" i="8" s="1"/>
  <c r="E369" i="8"/>
  <c r="G369" i="8" s="1"/>
  <c r="E370" i="8"/>
  <c r="G370" i="8" s="1"/>
  <c r="E371" i="8"/>
  <c r="G371" i="8" s="1"/>
  <c r="E372" i="8"/>
  <c r="G372" i="8" s="1"/>
  <c r="E373" i="8"/>
  <c r="G373" i="8" s="1"/>
  <c r="E374" i="8"/>
  <c r="G374" i="8" s="1"/>
  <c r="E375" i="8"/>
  <c r="G375" i="8" s="1"/>
  <c r="E376" i="8"/>
  <c r="G376" i="8" s="1"/>
  <c r="E377" i="8"/>
  <c r="G377" i="8" s="1"/>
  <c r="E378" i="8"/>
  <c r="G378" i="8" s="1"/>
  <c r="E379" i="8"/>
  <c r="G379" i="8" s="1"/>
  <c r="E380" i="8"/>
  <c r="G380" i="8" s="1"/>
  <c r="E381" i="8"/>
  <c r="G381" i="8" s="1"/>
  <c r="E382" i="8"/>
  <c r="G382" i="8" s="1"/>
  <c r="E383" i="8"/>
  <c r="G383" i="8" s="1"/>
  <c r="E384" i="8"/>
  <c r="G384" i="8" s="1"/>
  <c r="E385" i="8"/>
  <c r="G385" i="8" s="1"/>
  <c r="E386" i="8"/>
  <c r="G386" i="8" s="1"/>
  <c r="E387" i="8"/>
  <c r="G387" i="8" s="1"/>
  <c r="E388" i="8"/>
  <c r="G388" i="8" s="1"/>
  <c r="E389" i="8"/>
  <c r="G389" i="8" s="1"/>
  <c r="E390" i="8"/>
  <c r="G390" i="8" s="1"/>
  <c r="E391" i="8"/>
  <c r="G391" i="8" s="1"/>
  <c r="E392" i="8"/>
  <c r="G392" i="8" s="1"/>
  <c r="E393" i="8"/>
  <c r="G393" i="8" s="1"/>
  <c r="E394" i="8"/>
  <c r="G394" i="8" s="1"/>
  <c r="E395" i="8"/>
  <c r="G395" i="8" s="1"/>
  <c r="E396" i="8"/>
  <c r="G396" i="8" s="1"/>
  <c r="E397" i="8"/>
  <c r="G397" i="8" s="1"/>
  <c r="E398" i="8"/>
  <c r="G398" i="8" s="1"/>
  <c r="E399" i="8"/>
  <c r="G399" i="8" s="1"/>
  <c r="E400" i="8"/>
  <c r="G400" i="8" s="1"/>
  <c r="E401" i="8"/>
  <c r="G401" i="8" s="1"/>
  <c r="E402" i="8"/>
  <c r="G402" i="8" s="1"/>
  <c r="E403" i="8"/>
  <c r="G403" i="8" s="1"/>
  <c r="E404" i="8"/>
  <c r="G404" i="8" s="1"/>
  <c r="E405" i="8"/>
  <c r="G405" i="8" s="1"/>
  <c r="E406" i="8"/>
  <c r="G406" i="8" s="1"/>
  <c r="E407" i="8"/>
  <c r="G407" i="8" s="1"/>
  <c r="E408" i="8"/>
  <c r="G408" i="8" s="1"/>
  <c r="E409" i="8"/>
  <c r="G409" i="8" s="1"/>
  <c r="E410" i="8"/>
  <c r="G410" i="8" s="1"/>
  <c r="E411" i="8"/>
  <c r="G411" i="8" s="1"/>
  <c r="E412" i="8"/>
  <c r="G412" i="8" s="1"/>
  <c r="E413" i="8"/>
  <c r="G413" i="8" s="1"/>
  <c r="E414" i="8"/>
  <c r="G414" i="8" s="1"/>
  <c r="E415" i="8"/>
  <c r="G415" i="8" s="1"/>
  <c r="E416" i="8"/>
  <c r="G416" i="8" s="1"/>
  <c r="E417" i="8"/>
  <c r="G417" i="8" s="1"/>
  <c r="E418" i="8"/>
  <c r="G418" i="8" s="1"/>
  <c r="E419" i="8"/>
  <c r="G419" i="8" s="1"/>
  <c r="E420" i="8"/>
  <c r="G420" i="8" s="1"/>
  <c r="E421" i="8"/>
  <c r="G421" i="8" s="1"/>
  <c r="E422" i="8"/>
  <c r="G422" i="8" s="1"/>
  <c r="E423" i="8"/>
  <c r="G423" i="8" s="1"/>
  <c r="E424" i="8"/>
  <c r="G424" i="8" s="1"/>
  <c r="E425" i="8"/>
  <c r="G425" i="8" s="1"/>
  <c r="E426" i="8"/>
  <c r="G426" i="8" s="1"/>
  <c r="E427" i="8"/>
  <c r="G427" i="8" s="1"/>
  <c r="E428" i="8"/>
  <c r="G428" i="8" s="1"/>
  <c r="E429" i="8"/>
  <c r="G429" i="8" s="1"/>
  <c r="E430" i="8"/>
  <c r="G430" i="8" s="1"/>
  <c r="E431" i="8"/>
  <c r="G431" i="8" s="1"/>
  <c r="E432" i="8"/>
  <c r="G432" i="8" s="1"/>
  <c r="E433" i="8"/>
  <c r="G433" i="8" s="1"/>
  <c r="E434" i="8"/>
  <c r="G434" i="8" s="1"/>
  <c r="E435" i="8"/>
  <c r="G435" i="8" s="1"/>
  <c r="E436" i="8"/>
  <c r="G436" i="8" s="1"/>
  <c r="E437" i="8"/>
  <c r="G437" i="8" s="1"/>
  <c r="E438" i="8"/>
  <c r="G438" i="8" s="1"/>
  <c r="E439" i="8"/>
  <c r="G439" i="8" s="1"/>
  <c r="E440" i="8"/>
  <c r="G440" i="8" s="1"/>
  <c r="E441" i="8"/>
  <c r="G441" i="8" s="1"/>
  <c r="E442" i="8"/>
  <c r="G442" i="8" s="1"/>
  <c r="E443" i="8"/>
  <c r="G443" i="8" s="1"/>
  <c r="E444" i="8"/>
  <c r="G444" i="8" s="1"/>
  <c r="E445" i="8"/>
  <c r="G445" i="8" s="1"/>
  <c r="E446" i="8"/>
  <c r="G446" i="8" s="1"/>
  <c r="E447" i="8"/>
  <c r="G447" i="8" s="1"/>
  <c r="E448" i="8"/>
  <c r="G448" i="8" s="1"/>
  <c r="E449" i="8"/>
  <c r="G449" i="8" s="1"/>
  <c r="E450" i="8"/>
  <c r="G450" i="8" s="1"/>
  <c r="E451" i="8"/>
  <c r="G451" i="8" s="1"/>
  <c r="E452" i="8"/>
  <c r="G452" i="8" s="1"/>
  <c r="E453" i="8"/>
  <c r="G453" i="8" s="1"/>
  <c r="E454" i="8"/>
  <c r="G454" i="8" s="1"/>
  <c r="E455" i="8"/>
  <c r="G455" i="8" s="1"/>
  <c r="E456" i="8"/>
  <c r="G456" i="8" s="1"/>
  <c r="E457" i="8"/>
  <c r="G457" i="8" s="1"/>
  <c r="E458" i="8"/>
  <c r="G458" i="8" s="1"/>
  <c r="E459" i="8"/>
  <c r="G459" i="8" s="1"/>
  <c r="E460" i="8"/>
  <c r="G460" i="8" s="1"/>
  <c r="E461" i="8"/>
  <c r="G461" i="8" s="1"/>
  <c r="E462" i="8"/>
  <c r="G462" i="8" s="1"/>
  <c r="E463" i="8"/>
  <c r="G463" i="8" s="1"/>
  <c r="E464" i="8"/>
  <c r="G464" i="8" s="1"/>
  <c r="E465" i="8"/>
  <c r="G465" i="8" s="1"/>
  <c r="E466" i="8"/>
  <c r="G466" i="8" s="1"/>
  <c r="E467" i="8"/>
  <c r="G467" i="8" s="1"/>
  <c r="E468" i="8"/>
  <c r="G468" i="8" s="1"/>
  <c r="E469" i="8"/>
  <c r="G469" i="8" s="1"/>
  <c r="E470" i="8"/>
  <c r="G470" i="8" s="1"/>
  <c r="E471" i="8"/>
  <c r="G471" i="8" s="1"/>
  <c r="E472" i="8"/>
  <c r="G472" i="8" s="1"/>
  <c r="E473" i="8"/>
  <c r="G473" i="8" s="1"/>
  <c r="E474" i="8"/>
  <c r="G474" i="8" s="1"/>
  <c r="E475" i="8"/>
  <c r="G475" i="8" s="1"/>
  <c r="E476" i="8"/>
  <c r="G476" i="8" s="1"/>
  <c r="E477" i="8"/>
  <c r="G477" i="8" s="1"/>
  <c r="E478" i="8"/>
  <c r="G478" i="8" s="1"/>
  <c r="E479" i="8"/>
  <c r="G479" i="8" s="1"/>
  <c r="E480" i="8"/>
  <c r="G480" i="8" s="1"/>
  <c r="E481" i="8"/>
  <c r="G481" i="8" s="1"/>
  <c r="E482" i="8"/>
  <c r="G482" i="8" s="1"/>
  <c r="E483" i="8"/>
  <c r="G483" i="8" s="1"/>
  <c r="E484" i="8"/>
  <c r="G484" i="8" s="1"/>
  <c r="E485" i="8"/>
  <c r="G485" i="8" s="1"/>
  <c r="E486" i="8"/>
  <c r="G486" i="8" s="1"/>
  <c r="E487" i="8"/>
  <c r="G487" i="8" s="1"/>
  <c r="E488" i="8"/>
  <c r="G488" i="8" s="1"/>
  <c r="E489" i="8"/>
  <c r="G489" i="8" s="1"/>
  <c r="E490" i="8"/>
  <c r="G490" i="8" s="1"/>
  <c r="E491" i="8"/>
  <c r="G491" i="8" s="1"/>
  <c r="E492" i="8"/>
  <c r="G492" i="8" s="1"/>
  <c r="E493" i="8"/>
  <c r="G493" i="8" s="1"/>
  <c r="E494" i="8"/>
  <c r="G494" i="8" s="1"/>
  <c r="E495" i="8"/>
  <c r="G495" i="8" s="1"/>
  <c r="E496" i="8"/>
  <c r="G496" i="8" s="1"/>
  <c r="E497" i="8"/>
  <c r="G497" i="8" s="1"/>
  <c r="E498" i="8"/>
  <c r="G498" i="8" s="1"/>
  <c r="E499" i="8"/>
  <c r="G499" i="8" s="1"/>
  <c r="E500" i="8"/>
  <c r="G500" i="8" s="1"/>
  <c r="E501" i="8"/>
  <c r="G501" i="8" s="1"/>
  <c r="E502" i="8"/>
  <c r="G502" i="8" s="1"/>
  <c r="E503" i="8"/>
  <c r="G503" i="8" s="1"/>
  <c r="E504" i="8"/>
  <c r="G504" i="8" s="1"/>
  <c r="E505" i="8"/>
  <c r="G505" i="8" s="1"/>
  <c r="E506" i="8"/>
  <c r="G506" i="8" s="1"/>
  <c r="E507" i="8"/>
  <c r="G507" i="8" s="1"/>
  <c r="E508" i="8"/>
  <c r="G508" i="8" s="1"/>
  <c r="E509" i="8"/>
  <c r="G509" i="8" s="1"/>
  <c r="E510" i="8"/>
  <c r="G510" i="8" s="1"/>
  <c r="E511" i="8"/>
  <c r="G511" i="8" s="1"/>
  <c r="E512" i="8"/>
  <c r="G512" i="8" s="1"/>
  <c r="E513" i="8"/>
  <c r="G513" i="8" s="1"/>
  <c r="E514" i="8"/>
  <c r="G514" i="8" s="1"/>
  <c r="E515" i="8"/>
  <c r="G515" i="8" s="1"/>
  <c r="E516" i="8"/>
  <c r="G516" i="8" s="1"/>
  <c r="E517" i="8"/>
  <c r="G517" i="8" s="1"/>
  <c r="E518" i="8"/>
  <c r="G518" i="8" s="1"/>
  <c r="E519" i="8"/>
  <c r="G519" i="8" s="1"/>
  <c r="E520" i="8"/>
  <c r="G520" i="8" s="1"/>
  <c r="E521" i="8"/>
  <c r="G521" i="8" s="1"/>
  <c r="E522" i="8"/>
  <c r="G522" i="8" s="1"/>
  <c r="E523" i="8"/>
  <c r="G523" i="8" s="1"/>
  <c r="E524" i="8"/>
  <c r="G524" i="8" s="1"/>
  <c r="E525" i="8"/>
  <c r="G525" i="8" s="1"/>
  <c r="E526" i="8"/>
  <c r="G526" i="8" s="1"/>
  <c r="E527" i="8"/>
  <c r="G527" i="8" s="1"/>
  <c r="E528" i="8"/>
  <c r="G528" i="8" s="1"/>
  <c r="E529" i="8"/>
  <c r="G529" i="8" s="1"/>
  <c r="E530" i="8"/>
  <c r="G530" i="8" s="1"/>
  <c r="E531" i="8"/>
  <c r="G531" i="8" s="1"/>
  <c r="E532" i="8"/>
  <c r="G532" i="8" s="1"/>
  <c r="E533" i="8"/>
  <c r="G533" i="8" s="1"/>
  <c r="E534" i="8"/>
  <c r="G534" i="8" s="1"/>
  <c r="E535" i="8"/>
  <c r="G535" i="8" s="1"/>
  <c r="E536" i="8"/>
  <c r="G536" i="8" s="1"/>
  <c r="E537" i="8"/>
  <c r="G537" i="8" s="1"/>
  <c r="E538" i="8"/>
  <c r="G538" i="8" s="1"/>
  <c r="E539" i="8"/>
  <c r="G539" i="8" s="1"/>
  <c r="E540" i="8"/>
  <c r="G540" i="8" s="1"/>
  <c r="E541" i="8"/>
  <c r="G541" i="8" s="1"/>
  <c r="E542" i="8"/>
  <c r="G542" i="8" s="1"/>
  <c r="E543" i="8"/>
  <c r="G543" i="8" s="1"/>
  <c r="E544" i="8"/>
  <c r="G544" i="8" s="1"/>
  <c r="E545" i="8"/>
  <c r="G545" i="8" s="1"/>
  <c r="E546" i="8"/>
  <c r="G546" i="8" s="1"/>
  <c r="E547" i="8"/>
  <c r="G547" i="8" s="1"/>
  <c r="E548" i="8"/>
  <c r="G548" i="8" s="1"/>
  <c r="E549" i="8"/>
  <c r="G549" i="8" s="1"/>
  <c r="E550" i="8"/>
  <c r="G550" i="8" s="1"/>
  <c r="E551" i="8"/>
  <c r="G551" i="8" s="1"/>
  <c r="E552" i="8"/>
  <c r="G552" i="8" s="1"/>
  <c r="E553" i="8"/>
  <c r="G553" i="8" s="1"/>
  <c r="E554" i="8"/>
  <c r="G554" i="8" s="1"/>
  <c r="E555" i="8"/>
  <c r="G555" i="8" s="1"/>
  <c r="E556" i="8"/>
  <c r="G556" i="8" s="1"/>
  <c r="E557" i="8"/>
  <c r="G557" i="8" s="1"/>
  <c r="E558" i="8"/>
  <c r="G558" i="8" s="1"/>
  <c r="E559" i="8"/>
  <c r="G559" i="8" s="1"/>
  <c r="E560" i="8"/>
  <c r="G560" i="8" s="1"/>
  <c r="E561" i="8"/>
  <c r="G561" i="8" s="1"/>
  <c r="E562" i="8"/>
  <c r="G562" i="8" s="1"/>
  <c r="E563" i="8"/>
  <c r="G563" i="8" s="1"/>
  <c r="E564" i="8"/>
  <c r="G564" i="8" s="1"/>
  <c r="E565" i="8"/>
  <c r="G565" i="8" s="1"/>
  <c r="E566" i="8"/>
  <c r="G566" i="8" s="1"/>
  <c r="E567" i="8"/>
  <c r="G567" i="8" s="1"/>
  <c r="E568" i="8"/>
  <c r="G568" i="8" s="1"/>
  <c r="E569" i="8"/>
  <c r="G569" i="8" s="1"/>
  <c r="E570" i="8"/>
  <c r="G570" i="8" s="1"/>
  <c r="E571" i="8"/>
  <c r="G571" i="8" s="1"/>
  <c r="E572" i="8"/>
  <c r="G572" i="8" s="1"/>
  <c r="E573" i="8"/>
  <c r="G573" i="8" s="1"/>
  <c r="E574" i="8"/>
  <c r="G574" i="8" s="1"/>
  <c r="E575" i="8"/>
  <c r="G575" i="8" s="1"/>
  <c r="E576" i="8"/>
  <c r="G576" i="8" s="1"/>
  <c r="E577" i="8"/>
  <c r="G577" i="8" s="1"/>
  <c r="E578" i="8"/>
  <c r="G578" i="8" s="1"/>
  <c r="E579" i="8"/>
  <c r="G579" i="8" s="1"/>
  <c r="E580" i="8"/>
  <c r="G580" i="8" s="1"/>
  <c r="E581" i="8"/>
  <c r="G581" i="8" s="1"/>
  <c r="E582" i="8"/>
  <c r="G582" i="8" s="1"/>
  <c r="E583" i="8"/>
  <c r="G583" i="8" s="1"/>
  <c r="E584" i="8"/>
  <c r="G584" i="8" s="1"/>
  <c r="E585" i="8"/>
  <c r="G585" i="8" s="1"/>
  <c r="H71" i="9" s="1"/>
  <c r="I71" i="9" s="1"/>
  <c r="E586" i="8"/>
  <c r="G586" i="8" s="1"/>
  <c r="E587" i="8"/>
  <c r="G587" i="8" s="1"/>
  <c r="E588" i="8"/>
  <c r="G588" i="8" s="1"/>
  <c r="E589" i="8"/>
  <c r="G589" i="8" s="1"/>
  <c r="E590" i="8"/>
  <c r="G590" i="8" s="1"/>
  <c r="E591" i="8"/>
  <c r="G591" i="8" s="1"/>
  <c r="E592" i="8"/>
  <c r="G592" i="8" s="1"/>
  <c r="E593" i="8"/>
  <c r="G593" i="8" s="1"/>
  <c r="E594" i="8"/>
  <c r="G594" i="8" s="1"/>
  <c r="E595" i="8"/>
  <c r="G595" i="8" s="1"/>
  <c r="E596" i="8"/>
  <c r="G596" i="8" s="1"/>
  <c r="E597" i="8"/>
  <c r="G597" i="8" s="1"/>
  <c r="E598" i="8"/>
  <c r="G598" i="8" s="1"/>
  <c r="E599" i="8"/>
  <c r="G599" i="8" s="1"/>
  <c r="E600" i="8"/>
  <c r="G600" i="8" s="1"/>
  <c r="E601" i="8"/>
  <c r="G601" i="8" s="1"/>
  <c r="E602" i="8"/>
  <c r="G602" i="8" s="1"/>
  <c r="E603" i="8"/>
  <c r="G603" i="8" s="1"/>
  <c r="E604" i="8"/>
  <c r="G604" i="8" s="1"/>
  <c r="E605" i="8"/>
  <c r="G605" i="8" s="1"/>
  <c r="E606" i="8"/>
  <c r="G606" i="8" s="1"/>
  <c r="E607" i="8"/>
  <c r="G607" i="8" s="1"/>
  <c r="E608" i="8"/>
  <c r="G608" i="8" s="1"/>
  <c r="E609" i="8"/>
  <c r="G609" i="8" s="1"/>
  <c r="E610" i="8"/>
  <c r="G610" i="8" s="1"/>
  <c r="E611" i="8"/>
  <c r="G611" i="8" s="1"/>
  <c r="E612" i="8"/>
  <c r="G612" i="8" s="1"/>
  <c r="E613" i="8"/>
  <c r="G613" i="8" s="1"/>
  <c r="E614" i="8"/>
  <c r="G614" i="8" s="1"/>
  <c r="E615" i="8"/>
  <c r="G615" i="8" s="1"/>
  <c r="E616" i="8"/>
  <c r="G616" i="8" s="1"/>
  <c r="E617" i="8"/>
  <c r="G617" i="8" s="1"/>
  <c r="E618" i="8"/>
  <c r="G618" i="8" s="1"/>
  <c r="E619" i="8"/>
  <c r="G619" i="8" s="1"/>
  <c r="E620" i="8"/>
  <c r="G620" i="8" s="1"/>
  <c r="E621" i="8"/>
  <c r="G621" i="8" s="1"/>
  <c r="E622" i="8"/>
  <c r="G622" i="8" s="1"/>
  <c r="E623" i="8"/>
  <c r="G623" i="8" s="1"/>
  <c r="E624" i="8"/>
  <c r="G624" i="8" s="1"/>
  <c r="E625" i="8"/>
  <c r="G625" i="8" s="1"/>
  <c r="E626" i="8"/>
  <c r="G626" i="8" s="1"/>
  <c r="E627" i="8"/>
  <c r="G627" i="8" s="1"/>
  <c r="E628" i="8"/>
  <c r="G628" i="8" s="1"/>
  <c r="E629" i="8"/>
  <c r="G629" i="8" s="1"/>
  <c r="E630" i="8"/>
  <c r="G630" i="8" s="1"/>
  <c r="E631" i="8"/>
  <c r="G631" i="8" s="1"/>
  <c r="E632" i="8"/>
  <c r="G632" i="8" s="1"/>
  <c r="E633" i="8"/>
  <c r="G633" i="8" s="1"/>
  <c r="E634" i="8"/>
  <c r="G634" i="8" s="1"/>
  <c r="E635" i="8"/>
  <c r="G635" i="8" s="1"/>
  <c r="E636" i="8"/>
  <c r="G636" i="8" s="1"/>
  <c r="E637" i="8"/>
  <c r="G637" i="8" s="1"/>
  <c r="E638" i="8"/>
  <c r="G638" i="8" s="1"/>
  <c r="E639" i="8"/>
  <c r="G639" i="8" s="1"/>
  <c r="E640" i="8"/>
  <c r="G640" i="8" s="1"/>
  <c r="E641" i="8"/>
  <c r="G641" i="8" s="1"/>
  <c r="E642" i="8"/>
  <c r="G642" i="8" s="1"/>
  <c r="E643" i="8"/>
  <c r="G643" i="8" s="1"/>
  <c r="E644" i="8"/>
  <c r="G644" i="8" s="1"/>
  <c r="E645" i="8"/>
  <c r="G645" i="8" s="1"/>
  <c r="E646" i="8"/>
  <c r="G646" i="8" s="1"/>
  <c r="E647" i="8"/>
  <c r="G647" i="8" s="1"/>
  <c r="E648" i="8"/>
  <c r="G648" i="8" s="1"/>
  <c r="E649" i="8"/>
  <c r="G649" i="8" s="1"/>
  <c r="E650" i="8"/>
  <c r="G650" i="8" s="1"/>
  <c r="E651" i="8"/>
  <c r="G651" i="8" s="1"/>
  <c r="E652" i="8"/>
  <c r="G652" i="8" s="1"/>
  <c r="E653" i="8"/>
  <c r="G653" i="8" s="1"/>
  <c r="E654" i="8"/>
  <c r="G654" i="8" s="1"/>
  <c r="E655" i="8"/>
  <c r="G655" i="8" s="1"/>
  <c r="E656" i="8"/>
  <c r="G656" i="8" s="1"/>
  <c r="E657" i="8"/>
  <c r="G657" i="8" s="1"/>
  <c r="E658" i="8"/>
  <c r="G658" i="8" s="1"/>
  <c r="E659" i="8"/>
  <c r="G659" i="8" s="1"/>
  <c r="E660" i="8"/>
  <c r="G660" i="8" s="1"/>
  <c r="E661" i="8"/>
  <c r="G661" i="8" s="1"/>
  <c r="E662" i="8"/>
  <c r="G662" i="8" s="1"/>
  <c r="E663" i="8"/>
  <c r="G663" i="8" s="1"/>
  <c r="E664" i="8"/>
  <c r="G664" i="8" s="1"/>
  <c r="E665" i="8"/>
  <c r="G665" i="8" s="1"/>
  <c r="E666" i="8"/>
  <c r="G666" i="8" s="1"/>
  <c r="E667" i="8"/>
  <c r="G667" i="8" s="1"/>
  <c r="E668" i="8"/>
  <c r="G668" i="8" s="1"/>
  <c r="E669" i="8"/>
  <c r="G669" i="8" s="1"/>
  <c r="E670" i="8"/>
  <c r="G670" i="8" s="1"/>
  <c r="E671" i="8"/>
  <c r="G671" i="8" s="1"/>
  <c r="E672" i="8"/>
  <c r="G672" i="8" s="1"/>
  <c r="E673" i="8"/>
  <c r="G673" i="8" s="1"/>
  <c r="E674" i="8"/>
  <c r="G674" i="8" s="1"/>
  <c r="E675" i="8"/>
  <c r="G675" i="8" s="1"/>
  <c r="E676" i="8"/>
  <c r="G676" i="8" s="1"/>
  <c r="E677" i="8"/>
  <c r="G677" i="8" s="1"/>
  <c r="E678" i="8"/>
  <c r="G678" i="8" s="1"/>
  <c r="E679" i="8"/>
  <c r="G679" i="8" s="1"/>
  <c r="E680" i="8"/>
  <c r="G680" i="8" s="1"/>
  <c r="E681" i="8"/>
  <c r="G681" i="8" s="1"/>
  <c r="E682" i="8"/>
  <c r="G682" i="8" s="1"/>
  <c r="E683" i="8"/>
  <c r="G683" i="8" s="1"/>
  <c r="E684" i="8"/>
  <c r="G684" i="8" s="1"/>
  <c r="E685" i="8"/>
  <c r="G685" i="8" s="1"/>
  <c r="E686" i="8"/>
  <c r="G686" i="8" s="1"/>
  <c r="E687" i="8"/>
  <c r="G687" i="8" s="1"/>
  <c r="E688" i="8"/>
  <c r="G688" i="8" s="1"/>
  <c r="E689" i="8"/>
  <c r="G689" i="8" s="1"/>
  <c r="E690" i="8"/>
  <c r="G690" i="8" s="1"/>
  <c r="E691" i="8"/>
  <c r="G691" i="8" s="1"/>
  <c r="E692" i="8"/>
  <c r="G692" i="8" s="1"/>
  <c r="E693" i="8"/>
  <c r="G693" i="8" s="1"/>
  <c r="E694" i="8"/>
  <c r="G694" i="8" s="1"/>
  <c r="E695" i="8"/>
  <c r="G695" i="8" s="1"/>
  <c r="E696" i="8"/>
  <c r="G696" i="8" s="1"/>
  <c r="E697" i="8"/>
  <c r="G697" i="8" s="1"/>
  <c r="E698" i="8"/>
  <c r="G698" i="8" s="1"/>
  <c r="E699" i="8"/>
  <c r="G699" i="8" s="1"/>
  <c r="E700" i="8"/>
  <c r="G700" i="8" s="1"/>
  <c r="E701" i="8"/>
  <c r="G701" i="8" s="1"/>
  <c r="E702" i="8"/>
  <c r="G702" i="8" s="1"/>
  <c r="E703" i="8"/>
  <c r="G703" i="8" s="1"/>
  <c r="E704" i="8"/>
  <c r="G704" i="8" s="1"/>
  <c r="E705" i="8"/>
  <c r="G705" i="8" s="1"/>
  <c r="E706" i="8"/>
  <c r="G706" i="8" s="1"/>
  <c r="E707" i="8"/>
  <c r="G707" i="8" s="1"/>
  <c r="E708" i="8"/>
  <c r="G708" i="8" s="1"/>
  <c r="E709" i="8"/>
  <c r="G709" i="8" s="1"/>
  <c r="E710" i="8"/>
  <c r="G710" i="8" s="1"/>
  <c r="E711" i="8"/>
  <c r="G711" i="8" s="1"/>
  <c r="E712" i="8"/>
  <c r="G712" i="8" s="1"/>
  <c r="E713" i="8"/>
  <c r="G713" i="8" s="1"/>
  <c r="E714" i="8"/>
  <c r="G714" i="8" s="1"/>
  <c r="E715" i="8"/>
  <c r="G715" i="8" s="1"/>
  <c r="E716" i="8"/>
  <c r="G716" i="8" s="1"/>
  <c r="E717" i="8"/>
  <c r="G717" i="8" s="1"/>
  <c r="E718" i="8"/>
  <c r="G718" i="8" s="1"/>
  <c r="E719" i="8"/>
  <c r="G719" i="8" s="1"/>
  <c r="E720" i="8"/>
  <c r="G720" i="8" s="1"/>
  <c r="E721" i="8"/>
  <c r="G721" i="8" s="1"/>
  <c r="E722" i="8"/>
  <c r="G722" i="8" s="1"/>
  <c r="E723" i="8"/>
  <c r="G723" i="8" s="1"/>
  <c r="E724" i="8"/>
  <c r="G724" i="8" s="1"/>
  <c r="E725" i="8"/>
  <c r="G725" i="8" s="1"/>
  <c r="E726" i="8"/>
  <c r="G726" i="8" s="1"/>
  <c r="E727" i="8"/>
  <c r="G727" i="8" s="1"/>
  <c r="E728" i="8"/>
  <c r="G728" i="8" s="1"/>
  <c r="E729" i="8"/>
  <c r="G729" i="8" s="1"/>
  <c r="E730" i="8"/>
  <c r="G730" i="8" s="1"/>
  <c r="E731" i="8"/>
  <c r="G731" i="8" s="1"/>
  <c r="E732" i="8"/>
  <c r="G732" i="8" s="1"/>
  <c r="E733" i="8"/>
  <c r="G733" i="8" s="1"/>
  <c r="E734" i="8"/>
  <c r="G734" i="8" s="1"/>
  <c r="E735" i="8"/>
  <c r="G735" i="8" s="1"/>
  <c r="E736" i="8"/>
  <c r="G736" i="8" s="1"/>
  <c r="E737" i="8"/>
  <c r="G737" i="8" s="1"/>
  <c r="E738" i="8"/>
  <c r="G738" i="8" s="1"/>
  <c r="E739" i="8"/>
  <c r="G739" i="8" s="1"/>
  <c r="E740" i="8"/>
  <c r="G740" i="8" s="1"/>
  <c r="E741" i="8"/>
  <c r="G741" i="8" s="1"/>
  <c r="E742" i="8"/>
  <c r="G742" i="8" s="1"/>
  <c r="E743" i="8"/>
  <c r="G743" i="8" s="1"/>
  <c r="E744" i="8"/>
  <c r="G744" i="8" s="1"/>
  <c r="E745" i="8"/>
  <c r="G745" i="8" s="1"/>
  <c r="E746" i="8"/>
  <c r="G746" i="8" s="1"/>
  <c r="E747" i="8"/>
  <c r="G747" i="8" s="1"/>
  <c r="E748" i="8"/>
  <c r="G748" i="8" s="1"/>
  <c r="E749" i="8"/>
  <c r="G749" i="8" s="1"/>
  <c r="E750" i="8"/>
  <c r="G750" i="8" s="1"/>
  <c r="E751" i="8"/>
  <c r="G751" i="8" s="1"/>
  <c r="E752" i="8"/>
  <c r="G752" i="8" s="1"/>
  <c r="E753" i="8"/>
  <c r="G753" i="8" s="1"/>
  <c r="E754" i="8"/>
  <c r="G754" i="8" s="1"/>
  <c r="E755" i="8"/>
  <c r="G755" i="8" s="1"/>
  <c r="E756" i="8"/>
  <c r="G756" i="8" s="1"/>
  <c r="E757" i="8"/>
  <c r="G757" i="8" s="1"/>
  <c r="E758" i="8"/>
  <c r="G758" i="8" s="1"/>
  <c r="E759" i="8"/>
  <c r="G759" i="8" s="1"/>
  <c r="E760" i="8"/>
  <c r="G760" i="8" s="1"/>
  <c r="E761" i="8"/>
  <c r="G761" i="8" s="1"/>
  <c r="E762" i="8"/>
  <c r="G762" i="8" s="1"/>
  <c r="E763" i="8"/>
  <c r="G763" i="8" s="1"/>
  <c r="E764" i="8"/>
  <c r="G764" i="8" s="1"/>
  <c r="E765" i="8"/>
  <c r="G765" i="8" s="1"/>
  <c r="E766" i="8"/>
  <c r="G766" i="8" s="1"/>
  <c r="E767" i="8"/>
  <c r="G767" i="8" s="1"/>
  <c r="E768" i="8"/>
  <c r="G768" i="8" s="1"/>
  <c r="E769" i="8"/>
  <c r="G769" i="8" s="1"/>
  <c r="E770" i="8"/>
  <c r="G770" i="8" s="1"/>
  <c r="E771" i="8"/>
  <c r="G771" i="8" s="1"/>
  <c r="E772" i="8"/>
  <c r="G772" i="8" s="1"/>
  <c r="E773" i="8"/>
  <c r="G773" i="8" s="1"/>
  <c r="E774" i="8"/>
  <c r="G774" i="8" s="1"/>
  <c r="E775" i="8"/>
  <c r="G775" i="8" s="1"/>
  <c r="E776" i="8"/>
  <c r="G776" i="8" s="1"/>
  <c r="E777" i="8"/>
  <c r="G777" i="8" s="1"/>
  <c r="E778" i="8"/>
  <c r="G778" i="8" s="1"/>
  <c r="E779" i="8"/>
  <c r="G779" i="8" s="1"/>
  <c r="E780" i="8"/>
  <c r="G780" i="8" s="1"/>
  <c r="E781" i="8"/>
  <c r="G781" i="8" s="1"/>
  <c r="E782" i="8"/>
  <c r="G782" i="8" s="1"/>
  <c r="E783" i="8"/>
  <c r="G783" i="8" s="1"/>
  <c r="E784" i="8"/>
  <c r="G784" i="8" s="1"/>
  <c r="E785" i="8"/>
  <c r="G785" i="8" s="1"/>
  <c r="E786" i="8"/>
  <c r="G786" i="8" s="1"/>
  <c r="E787" i="8"/>
  <c r="G787" i="8" s="1"/>
  <c r="E788" i="8"/>
  <c r="G788" i="8" s="1"/>
  <c r="E789" i="8"/>
  <c r="G789" i="8" s="1"/>
  <c r="E790" i="8"/>
  <c r="G790" i="8" s="1"/>
  <c r="E791" i="8"/>
  <c r="G791" i="8" s="1"/>
  <c r="E792" i="8"/>
  <c r="G792" i="8" s="1"/>
  <c r="E793" i="8"/>
  <c r="G793" i="8" s="1"/>
  <c r="E794" i="8"/>
  <c r="G794" i="8" s="1"/>
  <c r="E795" i="8"/>
  <c r="G795" i="8" s="1"/>
  <c r="E796" i="8"/>
  <c r="G796" i="8" s="1"/>
  <c r="E797" i="8"/>
  <c r="G797" i="8" s="1"/>
  <c r="E798" i="8"/>
  <c r="G798" i="8" s="1"/>
  <c r="E799" i="8"/>
  <c r="G799" i="8" s="1"/>
  <c r="E800" i="8"/>
  <c r="G800" i="8" s="1"/>
  <c r="E801" i="8"/>
  <c r="G801" i="8" s="1"/>
  <c r="E802" i="8"/>
  <c r="G802" i="8" s="1"/>
  <c r="E803" i="8"/>
  <c r="G803" i="8" s="1"/>
  <c r="E804" i="8"/>
  <c r="G804" i="8" s="1"/>
  <c r="E805" i="8"/>
  <c r="G805" i="8" s="1"/>
  <c r="E806" i="8"/>
  <c r="G806" i="8" s="1"/>
  <c r="E807" i="8"/>
  <c r="G807" i="8" s="1"/>
  <c r="E808" i="8"/>
  <c r="G808" i="8" s="1"/>
  <c r="E809" i="8"/>
  <c r="G809" i="8" s="1"/>
  <c r="E810" i="8"/>
  <c r="G810" i="8" s="1"/>
  <c r="E811" i="8"/>
  <c r="G811" i="8" s="1"/>
  <c r="E812" i="8"/>
  <c r="G812" i="8" s="1"/>
  <c r="E813" i="8"/>
  <c r="G813" i="8" s="1"/>
  <c r="E814" i="8"/>
  <c r="G814" i="8" s="1"/>
  <c r="E815" i="8"/>
  <c r="G815" i="8" s="1"/>
  <c r="E816" i="8"/>
  <c r="G816" i="8" s="1"/>
  <c r="E817" i="8"/>
  <c r="G817" i="8" s="1"/>
  <c r="E818" i="8"/>
  <c r="G818" i="8" s="1"/>
  <c r="E819" i="8"/>
  <c r="G819" i="8" s="1"/>
  <c r="E820" i="8"/>
  <c r="G820" i="8" s="1"/>
  <c r="E821" i="8"/>
  <c r="G821" i="8" s="1"/>
  <c r="E822" i="8"/>
  <c r="G822" i="8" s="1"/>
  <c r="E823" i="8"/>
  <c r="G823" i="8" s="1"/>
  <c r="E824" i="8"/>
  <c r="G824" i="8" s="1"/>
  <c r="E825" i="8"/>
  <c r="G825" i="8" s="1"/>
  <c r="E826" i="8"/>
  <c r="G826" i="8" s="1"/>
  <c r="E827" i="8"/>
  <c r="G827" i="8" s="1"/>
  <c r="E828" i="8"/>
  <c r="G828" i="8" s="1"/>
  <c r="E829" i="8"/>
  <c r="G829" i="8" s="1"/>
  <c r="E830" i="8"/>
  <c r="G830" i="8" s="1"/>
  <c r="E831" i="8"/>
  <c r="G831" i="8" s="1"/>
  <c r="E832" i="8"/>
  <c r="G832" i="8" s="1"/>
  <c r="E833" i="8"/>
  <c r="G833" i="8" s="1"/>
  <c r="E834" i="8"/>
  <c r="G834" i="8" s="1"/>
  <c r="E835" i="8"/>
  <c r="G835" i="8" s="1"/>
  <c r="E836" i="8"/>
  <c r="G836" i="8" s="1"/>
  <c r="E837" i="8"/>
  <c r="G837" i="8" s="1"/>
  <c r="E838" i="8"/>
  <c r="G838" i="8" s="1"/>
  <c r="E839" i="8"/>
  <c r="G839" i="8" s="1"/>
  <c r="E840" i="8"/>
  <c r="G840" i="8" s="1"/>
  <c r="E841" i="8"/>
  <c r="G841" i="8" s="1"/>
  <c r="E842" i="8"/>
  <c r="G842" i="8" s="1"/>
  <c r="E843" i="8"/>
  <c r="G843" i="8" s="1"/>
  <c r="E844" i="8"/>
  <c r="G844" i="8" s="1"/>
  <c r="E845" i="8"/>
  <c r="G845" i="8" s="1"/>
  <c r="E846" i="8"/>
  <c r="G846" i="8" s="1"/>
  <c r="E847" i="8"/>
  <c r="G847" i="8" s="1"/>
  <c r="E848" i="8"/>
  <c r="G848" i="8" s="1"/>
  <c r="E849" i="8"/>
  <c r="G849" i="8" s="1"/>
  <c r="E850" i="8"/>
  <c r="G850" i="8" s="1"/>
  <c r="E851" i="8"/>
  <c r="G851" i="8" s="1"/>
  <c r="E852" i="8"/>
  <c r="G852" i="8" s="1"/>
  <c r="E853" i="8"/>
  <c r="G853" i="8" s="1"/>
  <c r="E854" i="8"/>
  <c r="G854" i="8" s="1"/>
  <c r="E855" i="8"/>
  <c r="G855" i="8" s="1"/>
  <c r="E856" i="8"/>
  <c r="G856" i="8" s="1"/>
  <c r="E857" i="8"/>
  <c r="G857" i="8" s="1"/>
  <c r="E858" i="8"/>
  <c r="G858" i="8" s="1"/>
  <c r="E859" i="8"/>
  <c r="G859" i="8" s="1"/>
  <c r="E860" i="8"/>
  <c r="G860" i="8" s="1"/>
  <c r="E861" i="8"/>
  <c r="G861" i="8" s="1"/>
  <c r="E862" i="8"/>
  <c r="G862" i="8" s="1"/>
  <c r="E863" i="8"/>
  <c r="G863" i="8" s="1"/>
  <c r="E864" i="8"/>
  <c r="G864" i="8" s="1"/>
  <c r="E865" i="8"/>
  <c r="G865" i="8" s="1"/>
  <c r="E866" i="8"/>
  <c r="G866" i="8" s="1"/>
  <c r="E867" i="8"/>
  <c r="G867" i="8" s="1"/>
  <c r="E868" i="8"/>
  <c r="G868" i="8" s="1"/>
  <c r="E869" i="8"/>
  <c r="G869" i="8" s="1"/>
  <c r="E870" i="8"/>
  <c r="G870" i="8" s="1"/>
  <c r="E871" i="8"/>
  <c r="G871" i="8" s="1"/>
  <c r="E872" i="8"/>
  <c r="G872" i="8" s="1"/>
  <c r="E873" i="8"/>
  <c r="G873" i="8" s="1"/>
  <c r="E874" i="8"/>
  <c r="G874" i="8" s="1"/>
  <c r="E875" i="8"/>
  <c r="G875" i="8" s="1"/>
  <c r="E876" i="8"/>
  <c r="G876" i="8" s="1"/>
  <c r="E877" i="8"/>
  <c r="G877" i="8" s="1"/>
  <c r="E878" i="8"/>
  <c r="G878" i="8" s="1"/>
  <c r="E879" i="8"/>
  <c r="G879" i="8" s="1"/>
  <c r="E880" i="8"/>
  <c r="G880" i="8" s="1"/>
  <c r="E881" i="8"/>
  <c r="G881" i="8" s="1"/>
  <c r="E882" i="8"/>
  <c r="G882" i="8" s="1"/>
  <c r="E883" i="8"/>
  <c r="G883" i="8" s="1"/>
  <c r="E884" i="8"/>
  <c r="G884" i="8" s="1"/>
  <c r="E885" i="8"/>
  <c r="G885" i="8" s="1"/>
  <c r="E886" i="8"/>
  <c r="G886" i="8" s="1"/>
  <c r="E887" i="8"/>
  <c r="G887" i="8" s="1"/>
  <c r="E888" i="8"/>
  <c r="G888" i="8" s="1"/>
  <c r="E889" i="8"/>
  <c r="G889" i="8" s="1"/>
  <c r="E890" i="8"/>
  <c r="G890" i="8" s="1"/>
  <c r="E891" i="8"/>
  <c r="G891" i="8" s="1"/>
  <c r="E892" i="8"/>
  <c r="G892" i="8" s="1"/>
  <c r="E893" i="8"/>
  <c r="G893" i="8" s="1"/>
  <c r="E894" i="8"/>
  <c r="G894" i="8" s="1"/>
  <c r="E895" i="8"/>
  <c r="G895" i="8" s="1"/>
  <c r="E896" i="8"/>
  <c r="G896" i="8" s="1"/>
  <c r="E897" i="8"/>
  <c r="G897" i="8" s="1"/>
  <c r="E898" i="8"/>
  <c r="G898" i="8" s="1"/>
  <c r="E899" i="8"/>
  <c r="G899" i="8" s="1"/>
  <c r="E900" i="8"/>
  <c r="G900" i="8" s="1"/>
  <c r="E901" i="8"/>
  <c r="G901" i="8" s="1"/>
  <c r="E902" i="8"/>
  <c r="G902" i="8" s="1"/>
  <c r="E903" i="8"/>
  <c r="G903" i="8" s="1"/>
  <c r="E904" i="8"/>
  <c r="G904" i="8" s="1"/>
  <c r="E905" i="8"/>
  <c r="G905" i="8" s="1"/>
  <c r="E906" i="8"/>
  <c r="G906" i="8" s="1"/>
  <c r="E907" i="8"/>
  <c r="G907" i="8" s="1"/>
  <c r="E908" i="8"/>
  <c r="G908" i="8" s="1"/>
  <c r="E909" i="8"/>
  <c r="G909" i="8" s="1"/>
  <c r="E910" i="8"/>
  <c r="G910" i="8" s="1"/>
  <c r="E911" i="8"/>
  <c r="G911" i="8" s="1"/>
  <c r="E912" i="8"/>
  <c r="G912" i="8" s="1"/>
  <c r="E913" i="8"/>
  <c r="G913" i="8" s="1"/>
  <c r="E914" i="8"/>
  <c r="G914" i="8" s="1"/>
  <c r="E915" i="8"/>
  <c r="G915" i="8" s="1"/>
  <c r="E916" i="8"/>
  <c r="G916" i="8" s="1"/>
  <c r="E917" i="8"/>
  <c r="G917" i="8" s="1"/>
  <c r="E918" i="8"/>
  <c r="G918" i="8" s="1"/>
  <c r="E919" i="8"/>
  <c r="G919" i="8" s="1"/>
  <c r="E920" i="8"/>
  <c r="G920" i="8" s="1"/>
  <c r="E921" i="8"/>
  <c r="G921" i="8" s="1"/>
  <c r="E922" i="8"/>
  <c r="G922" i="8" s="1"/>
  <c r="E923" i="8"/>
  <c r="G923" i="8" s="1"/>
  <c r="E924" i="8"/>
  <c r="G924" i="8" s="1"/>
  <c r="E925" i="8"/>
  <c r="G925" i="8" s="1"/>
  <c r="E926" i="8"/>
  <c r="G926" i="8" s="1"/>
  <c r="E927" i="8"/>
  <c r="G927" i="8" s="1"/>
  <c r="E928" i="8"/>
  <c r="G928" i="8" s="1"/>
  <c r="E929" i="8"/>
  <c r="G929" i="8" s="1"/>
  <c r="E930" i="8"/>
  <c r="G930" i="8" s="1"/>
  <c r="E931" i="8"/>
  <c r="G931" i="8" s="1"/>
  <c r="E932" i="8"/>
  <c r="G932" i="8" s="1"/>
  <c r="E933" i="8"/>
  <c r="G933" i="8" s="1"/>
  <c r="E934" i="8"/>
  <c r="G934" i="8" s="1"/>
  <c r="E935" i="8"/>
  <c r="G935" i="8" s="1"/>
  <c r="E936" i="8"/>
  <c r="G936" i="8" s="1"/>
  <c r="E937" i="8"/>
  <c r="G937" i="8" s="1"/>
  <c r="E938" i="8"/>
  <c r="G938" i="8" s="1"/>
  <c r="E939" i="8"/>
  <c r="G939" i="8" s="1"/>
  <c r="E940" i="8"/>
  <c r="G940" i="8" s="1"/>
  <c r="E941" i="8"/>
  <c r="G941" i="8" s="1"/>
  <c r="E942" i="8"/>
  <c r="G942" i="8" s="1"/>
  <c r="E943" i="8"/>
  <c r="G943" i="8" s="1"/>
  <c r="E944" i="8"/>
  <c r="G944" i="8" s="1"/>
  <c r="E945" i="8"/>
  <c r="G945" i="8" s="1"/>
  <c r="E946" i="8"/>
  <c r="G946" i="8" s="1"/>
  <c r="E947" i="8"/>
  <c r="G947" i="8" s="1"/>
  <c r="E948" i="8"/>
  <c r="G948" i="8" s="1"/>
  <c r="E949" i="8"/>
  <c r="G949" i="8" s="1"/>
  <c r="E950" i="8"/>
  <c r="G950" i="8" s="1"/>
  <c r="E951" i="8"/>
  <c r="G951" i="8" s="1"/>
  <c r="E952" i="8"/>
  <c r="G952" i="8" s="1"/>
  <c r="E953" i="8"/>
  <c r="G953" i="8" s="1"/>
  <c r="E954" i="8"/>
  <c r="G954" i="8" s="1"/>
  <c r="E955" i="8"/>
  <c r="G955" i="8" s="1"/>
  <c r="E956" i="8"/>
  <c r="G956" i="8" s="1"/>
  <c r="E957" i="8"/>
  <c r="G957" i="8" s="1"/>
  <c r="E958" i="8"/>
  <c r="G958" i="8" s="1"/>
  <c r="E959" i="8"/>
  <c r="G959" i="8" s="1"/>
  <c r="E960" i="8"/>
  <c r="G960" i="8" s="1"/>
  <c r="E961" i="8"/>
  <c r="G961" i="8" s="1"/>
  <c r="E962" i="8"/>
  <c r="G962" i="8" s="1"/>
  <c r="E963" i="8"/>
  <c r="G963" i="8" s="1"/>
  <c r="E964" i="8"/>
  <c r="G964" i="8" s="1"/>
  <c r="E965" i="8"/>
  <c r="G965" i="8" s="1"/>
  <c r="E966" i="8"/>
  <c r="G966" i="8" s="1"/>
  <c r="E967" i="8"/>
  <c r="G967" i="8" s="1"/>
  <c r="E968" i="8"/>
  <c r="G968" i="8" s="1"/>
  <c r="E969" i="8"/>
  <c r="G969" i="8" s="1"/>
  <c r="E970" i="8"/>
  <c r="G970" i="8" s="1"/>
  <c r="E971" i="8"/>
  <c r="G971" i="8" s="1"/>
  <c r="E972" i="8"/>
  <c r="G972" i="8" s="1"/>
  <c r="E973" i="8"/>
  <c r="G973" i="8" s="1"/>
  <c r="E974" i="8"/>
  <c r="G974" i="8" s="1"/>
  <c r="E975" i="8"/>
  <c r="G975" i="8" s="1"/>
  <c r="E976" i="8"/>
  <c r="G976" i="8" s="1"/>
  <c r="H59" i="9" s="1"/>
  <c r="I59" i="9" s="1"/>
  <c r="E977" i="8"/>
  <c r="G977" i="8" s="1"/>
  <c r="E978" i="8"/>
  <c r="G978" i="8" s="1"/>
  <c r="E979" i="8"/>
  <c r="G979" i="8" s="1"/>
  <c r="E980" i="8"/>
  <c r="G980" i="8" s="1"/>
  <c r="E981" i="8"/>
  <c r="G981" i="8" s="1"/>
  <c r="E982" i="8"/>
  <c r="G982" i="8" s="1"/>
  <c r="E983" i="8"/>
  <c r="G983" i="8" s="1"/>
  <c r="E984" i="8"/>
  <c r="G984" i="8" s="1"/>
  <c r="E985" i="8"/>
  <c r="G985" i="8" s="1"/>
  <c r="E986" i="8"/>
  <c r="G986" i="8" s="1"/>
  <c r="E987" i="8"/>
  <c r="G987" i="8" s="1"/>
  <c r="E988" i="8"/>
  <c r="G988" i="8" s="1"/>
  <c r="E989" i="8"/>
  <c r="G989" i="8" s="1"/>
  <c r="E990" i="8"/>
  <c r="G990" i="8" s="1"/>
  <c r="E991" i="8"/>
  <c r="G991" i="8" s="1"/>
  <c r="E992" i="8"/>
  <c r="G992" i="8" s="1"/>
  <c r="E993" i="8"/>
  <c r="G993" i="8" s="1"/>
  <c r="E994" i="8"/>
  <c r="G994" i="8" s="1"/>
  <c r="E995" i="8"/>
  <c r="G995" i="8" s="1"/>
  <c r="E996" i="8"/>
  <c r="G996" i="8" s="1"/>
  <c r="E997" i="8"/>
  <c r="G997" i="8" s="1"/>
  <c r="E998" i="8"/>
  <c r="G998" i="8" s="1"/>
  <c r="E999" i="8"/>
  <c r="G999" i="8" s="1"/>
  <c r="E1000" i="8"/>
  <c r="G1000" i="8" s="1"/>
  <c r="E1001" i="8"/>
  <c r="G1001" i="8" s="1"/>
  <c r="E1002" i="8"/>
  <c r="G1002" i="8" s="1"/>
  <c r="E1003" i="8"/>
  <c r="G1003" i="8" s="1"/>
  <c r="E1004" i="8"/>
  <c r="G1004" i="8" s="1"/>
  <c r="E1005" i="8"/>
  <c r="G1005" i="8" s="1"/>
  <c r="E1006" i="8"/>
  <c r="G1006" i="8" s="1"/>
  <c r="E1007" i="8"/>
  <c r="G1007" i="8" s="1"/>
  <c r="E1008" i="8"/>
  <c r="G1008" i="8" s="1"/>
  <c r="E1009" i="8"/>
  <c r="G1009" i="8" s="1"/>
  <c r="E1010" i="8"/>
  <c r="G1010" i="8" s="1"/>
  <c r="E1011" i="8"/>
  <c r="G1011" i="8" s="1"/>
  <c r="E1012" i="8"/>
  <c r="G1012" i="8" s="1"/>
  <c r="E1013" i="8"/>
  <c r="G1013" i="8" s="1"/>
  <c r="E1014" i="8"/>
  <c r="G1014" i="8" s="1"/>
  <c r="E1015" i="8"/>
  <c r="G1015" i="8" s="1"/>
  <c r="E1016" i="8"/>
  <c r="G1016" i="8" s="1"/>
  <c r="E1017" i="8"/>
  <c r="G1017" i="8" s="1"/>
  <c r="E1018" i="8"/>
  <c r="G1018" i="8" s="1"/>
  <c r="E1019" i="8"/>
  <c r="G1019" i="8" s="1"/>
  <c r="E1020" i="8"/>
  <c r="G1020" i="8" s="1"/>
  <c r="E1021" i="8"/>
  <c r="G1021" i="8" s="1"/>
  <c r="E1022" i="8"/>
  <c r="G1022" i="8" s="1"/>
  <c r="E1023" i="8"/>
  <c r="G1023" i="8" s="1"/>
  <c r="E1024" i="8"/>
  <c r="G1024" i="8" s="1"/>
  <c r="E1025" i="8"/>
  <c r="G1025" i="8" s="1"/>
  <c r="E1026" i="8"/>
  <c r="G1026" i="8" s="1"/>
  <c r="E1027" i="8"/>
  <c r="G1027" i="8" s="1"/>
  <c r="E1028" i="8"/>
  <c r="G1028" i="8" s="1"/>
  <c r="E1029" i="8"/>
  <c r="G1029" i="8" s="1"/>
  <c r="E1030" i="8"/>
  <c r="G1030" i="8" s="1"/>
  <c r="E1031" i="8"/>
  <c r="G1031" i="8" s="1"/>
  <c r="E1032" i="8"/>
  <c r="G1032" i="8" s="1"/>
  <c r="E1033" i="8"/>
  <c r="G1033" i="8" s="1"/>
  <c r="E1034" i="8"/>
  <c r="G1034" i="8" s="1"/>
  <c r="E1035" i="8"/>
  <c r="G1035" i="8" s="1"/>
  <c r="E1036" i="8"/>
  <c r="G1036" i="8" s="1"/>
  <c r="E1037" i="8"/>
  <c r="G1037" i="8" s="1"/>
  <c r="E1038" i="8"/>
  <c r="G1038" i="8" s="1"/>
  <c r="E1039" i="8"/>
  <c r="G1039" i="8" s="1"/>
  <c r="E1040" i="8"/>
  <c r="G1040" i="8" s="1"/>
  <c r="E1041" i="8"/>
  <c r="G1041" i="8" s="1"/>
  <c r="E1042" i="8"/>
  <c r="G1042" i="8" s="1"/>
  <c r="E1043" i="8"/>
  <c r="G1043" i="8" s="1"/>
  <c r="E1044" i="8"/>
  <c r="G1044" i="8" s="1"/>
  <c r="E1045" i="8"/>
  <c r="G1045" i="8" s="1"/>
  <c r="E1046" i="8"/>
  <c r="G1046" i="8" s="1"/>
  <c r="E1047" i="8"/>
  <c r="G1047" i="8" s="1"/>
  <c r="E1048" i="8"/>
  <c r="G1048" i="8" s="1"/>
  <c r="E1049" i="8"/>
  <c r="G1049" i="8" s="1"/>
  <c r="E1050" i="8"/>
  <c r="G1050" i="8" s="1"/>
  <c r="E1051" i="8"/>
  <c r="G1051" i="8" s="1"/>
  <c r="E1052" i="8"/>
  <c r="G1052" i="8" s="1"/>
  <c r="E1053" i="8"/>
  <c r="G1053" i="8" s="1"/>
  <c r="E1054" i="8"/>
  <c r="G1054" i="8" s="1"/>
  <c r="E1055" i="8"/>
  <c r="G1055" i="8" s="1"/>
  <c r="E1056" i="8"/>
  <c r="G1056" i="8" s="1"/>
  <c r="E1057" i="8"/>
  <c r="G1057" i="8" s="1"/>
  <c r="E1058" i="8"/>
  <c r="G1058" i="8" s="1"/>
  <c r="E1059" i="8"/>
  <c r="G1059" i="8" s="1"/>
  <c r="E1060" i="8"/>
  <c r="G1060" i="8" s="1"/>
  <c r="E1061" i="8"/>
  <c r="G1061" i="8" s="1"/>
  <c r="E1062" i="8"/>
  <c r="G1062" i="8" s="1"/>
  <c r="E1063" i="8"/>
  <c r="G1063" i="8" s="1"/>
  <c r="E1064" i="8"/>
  <c r="G1064" i="8" s="1"/>
  <c r="E1065" i="8"/>
  <c r="G1065" i="8" s="1"/>
  <c r="E1066" i="8"/>
  <c r="G1066" i="8" s="1"/>
  <c r="E1067" i="8"/>
  <c r="G1067" i="8" s="1"/>
  <c r="E1068" i="8"/>
  <c r="G1068" i="8" s="1"/>
  <c r="E1069" i="8"/>
  <c r="G1069" i="8" s="1"/>
  <c r="E1070" i="8"/>
  <c r="G1070" i="8" s="1"/>
  <c r="E1071" i="8"/>
  <c r="G1071" i="8" s="1"/>
  <c r="E1072" i="8"/>
  <c r="G1072" i="8" s="1"/>
  <c r="E1073" i="8"/>
  <c r="G1073" i="8" s="1"/>
  <c r="E1074" i="8"/>
  <c r="G1074" i="8" s="1"/>
  <c r="E1075" i="8"/>
  <c r="G1075" i="8" s="1"/>
  <c r="E1076" i="8"/>
  <c r="G1076" i="8" s="1"/>
  <c r="E1077" i="8"/>
  <c r="G1077" i="8" s="1"/>
  <c r="E1078" i="8"/>
  <c r="G1078" i="8" s="1"/>
  <c r="E1079" i="8"/>
  <c r="G1079" i="8" s="1"/>
  <c r="E1080" i="8"/>
  <c r="G1080" i="8" s="1"/>
  <c r="E1081" i="8"/>
  <c r="G1081" i="8" s="1"/>
  <c r="E1082" i="8"/>
  <c r="G1082" i="8" s="1"/>
  <c r="E1083" i="8"/>
  <c r="G1083" i="8" s="1"/>
  <c r="E1084" i="8"/>
  <c r="G1084" i="8" s="1"/>
  <c r="E1085" i="8"/>
  <c r="G1085" i="8" s="1"/>
  <c r="E1086" i="8"/>
  <c r="G1086" i="8" s="1"/>
  <c r="E1087" i="8"/>
  <c r="G1087" i="8" s="1"/>
  <c r="E1088" i="8"/>
  <c r="G1088" i="8" s="1"/>
  <c r="E1089" i="8"/>
  <c r="G1089" i="8" s="1"/>
  <c r="E1090" i="8"/>
  <c r="G1090" i="8" s="1"/>
  <c r="E1091" i="8"/>
  <c r="G1091" i="8" s="1"/>
  <c r="E1092" i="8"/>
  <c r="G1092" i="8" s="1"/>
  <c r="E1093" i="8"/>
  <c r="G1093" i="8" s="1"/>
  <c r="E1094" i="8"/>
  <c r="G1094" i="8" s="1"/>
  <c r="E1095" i="8"/>
  <c r="G1095" i="8" s="1"/>
  <c r="E1096" i="8"/>
  <c r="G1096" i="8" s="1"/>
  <c r="E1097" i="8"/>
  <c r="G1097" i="8" s="1"/>
  <c r="E1098" i="8"/>
  <c r="G1098" i="8" s="1"/>
  <c r="E1099" i="8"/>
  <c r="G1099" i="8" s="1"/>
  <c r="E1100" i="8"/>
  <c r="G1100" i="8" s="1"/>
  <c r="E1101" i="8"/>
  <c r="G1101" i="8" s="1"/>
  <c r="E1102" i="8"/>
  <c r="G1102" i="8" s="1"/>
  <c r="E1103" i="8"/>
  <c r="G1103" i="8" s="1"/>
  <c r="E1104" i="8"/>
  <c r="G1104" i="8" s="1"/>
  <c r="E1105" i="8"/>
  <c r="G1105" i="8" s="1"/>
  <c r="E1106" i="8"/>
  <c r="G1106" i="8" s="1"/>
  <c r="E1107" i="8"/>
  <c r="G1107" i="8" s="1"/>
  <c r="E1108" i="8"/>
  <c r="G1108" i="8" s="1"/>
  <c r="E1109" i="8"/>
  <c r="G1109" i="8" s="1"/>
  <c r="E1110" i="8"/>
  <c r="G1110" i="8" s="1"/>
  <c r="E1111" i="8"/>
  <c r="G1111" i="8" s="1"/>
  <c r="E1112" i="8"/>
  <c r="G1112" i="8" s="1"/>
  <c r="E1113" i="8"/>
  <c r="G1113" i="8" s="1"/>
  <c r="E1114" i="8"/>
  <c r="G1114" i="8" s="1"/>
  <c r="E1115" i="8"/>
  <c r="G1115" i="8" s="1"/>
  <c r="E1116" i="8"/>
  <c r="G1116" i="8" s="1"/>
  <c r="E1117" i="8"/>
  <c r="G1117" i="8" s="1"/>
  <c r="E1118" i="8"/>
  <c r="G1118" i="8" s="1"/>
  <c r="E1119" i="8"/>
  <c r="G1119" i="8" s="1"/>
  <c r="E1120" i="8"/>
  <c r="G1120" i="8" s="1"/>
  <c r="E1121" i="8"/>
  <c r="G1121" i="8" s="1"/>
  <c r="E1122" i="8"/>
  <c r="G1122" i="8" s="1"/>
  <c r="E1123" i="8"/>
  <c r="G1123" i="8" s="1"/>
  <c r="E1124" i="8"/>
  <c r="G1124" i="8" s="1"/>
  <c r="E1125" i="8"/>
  <c r="G1125" i="8" s="1"/>
  <c r="E1126" i="8"/>
  <c r="G1126" i="8" s="1"/>
  <c r="E1127" i="8"/>
  <c r="G1127" i="8" s="1"/>
  <c r="E1128" i="8"/>
  <c r="G1128" i="8" s="1"/>
  <c r="E1129" i="8"/>
  <c r="G1129" i="8" s="1"/>
  <c r="E1130" i="8"/>
  <c r="G1130" i="8" s="1"/>
  <c r="E1131" i="8"/>
  <c r="G1131" i="8" s="1"/>
  <c r="E1132" i="8"/>
  <c r="G1132" i="8" s="1"/>
  <c r="E1133" i="8"/>
  <c r="G1133" i="8" s="1"/>
  <c r="E1134" i="8"/>
  <c r="G1134" i="8" s="1"/>
  <c r="E1135" i="8"/>
  <c r="G1135" i="8" s="1"/>
  <c r="E1136" i="8"/>
  <c r="G1136" i="8" s="1"/>
  <c r="E1137" i="8"/>
  <c r="G1137" i="8" s="1"/>
  <c r="E1138" i="8"/>
  <c r="G1138" i="8" s="1"/>
  <c r="E1139" i="8"/>
  <c r="G1139" i="8" s="1"/>
  <c r="E1140" i="8"/>
  <c r="G1140" i="8" s="1"/>
  <c r="E1141" i="8"/>
  <c r="G1141" i="8" s="1"/>
  <c r="E1142" i="8"/>
  <c r="G1142" i="8" s="1"/>
  <c r="E1143" i="8"/>
  <c r="G1143" i="8" s="1"/>
  <c r="E1144" i="8"/>
  <c r="G1144" i="8" s="1"/>
  <c r="E1145" i="8"/>
  <c r="G1145" i="8" s="1"/>
  <c r="E1146" i="8"/>
  <c r="G1146" i="8" s="1"/>
  <c r="E1147" i="8"/>
  <c r="G1147" i="8" s="1"/>
  <c r="E1148" i="8"/>
  <c r="G1148" i="8" s="1"/>
  <c r="E1149" i="8"/>
  <c r="G1149" i="8" s="1"/>
  <c r="E1150" i="8"/>
  <c r="G1150" i="8" s="1"/>
  <c r="E1151" i="8"/>
  <c r="G1151" i="8" s="1"/>
  <c r="E1152" i="8"/>
  <c r="G1152" i="8" s="1"/>
  <c r="E1153" i="8"/>
  <c r="G1153" i="8" s="1"/>
  <c r="E1154" i="8"/>
  <c r="G1154" i="8" s="1"/>
  <c r="E1155" i="8"/>
  <c r="G1155" i="8" s="1"/>
  <c r="E1156" i="8"/>
  <c r="G1156" i="8" s="1"/>
  <c r="E1157" i="8"/>
  <c r="G1157" i="8" s="1"/>
  <c r="E1158" i="8"/>
  <c r="G1158" i="8" s="1"/>
  <c r="E1159" i="8"/>
  <c r="G1159" i="8" s="1"/>
  <c r="E1160" i="8"/>
  <c r="G1160" i="8" s="1"/>
  <c r="E1161" i="8"/>
  <c r="G1161" i="8" s="1"/>
  <c r="E1162" i="8"/>
  <c r="G1162" i="8" s="1"/>
  <c r="E1163" i="8"/>
  <c r="G1163" i="8" s="1"/>
  <c r="E1164" i="8"/>
  <c r="G1164" i="8" s="1"/>
  <c r="E1165" i="8"/>
  <c r="G1165" i="8" s="1"/>
  <c r="E1166" i="8"/>
  <c r="G1166" i="8" s="1"/>
  <c r="E1167" i="8"/>
  <c r="G1167" i="8" s="1"/>
  <c r="E1168" i="8"/>
  <c r="G1168" i="8" s="1"/>
  <c r="E1169" i="8"/>
  <c r="G1169" i="8" s="1"/>
  <c r="E1170" i="8"/>
  <c r="G1170" i="8" s="1"/>
  <c r="E1171" i="8"/>
  <c r="G1171" i="8" s="1"/>
  <c r="E1172" i="8"/>
  <c r="G1172" i="8" s="1"/>
  <c r="E1173" i="8"/>
  <c r="G1173" i="8" s="1"/>
  <c r="E1174" i="8"/>
  <c r="G1174" i="8" s="1"/>
  <c r="E1175" i="8"/>
  <c r="G1175" i="8" s="1"/>
  <c r="E1176" i="8"/>
  <c r="G1176" i="8" s="1"/>
  <c r="E1177" i="8"/>
  <c r="G1177" i="8" s="1"/>
  <c r="E1178" i="8"/>
  <c r="G1178" i="8" s="1"/>
  <c r="E1179" i="8"/>
  <c r="G1179" i="8" s="1"/>
  <c r="E1180" i="8"/>
  <c r="G1180" i="8" s="1"/>
  <c r="E1181" i="8"/>
  <c r="G1181" i="8" s="1"/>
  <c r="E1182" i="8"/>
  <c r="G1182" i="8" s="1"/>
  <c r="E1183" i="8"/>
  <c r="G1183" i="8" s="1"/>
  <c r="E1184" i="8"/>
  <c r="G1184" i="8" s="1"/>
  <c r="E1185" i="8"/>
  <c r="G1185" i="8" s="1"/>
  <c r="E1186" i="8"/>
  <c r="G1186" i="8" s="1"/>
  <c r="E1187" i="8"/>
  <c r="G1187" i="8" s="1"/>
  <c r="E1188" i="8"/>
  <c r="G1188" i="8" s="1"/>
  <c r="E1189" i="8"/>
  <c r="G1189" i="8" s="1"/>
  <c r="E1190" i="8"/>
  <c r="G1190" i="8" s="1"/>
  <c r="E1191" i="8"/>
  <c r="G1191" i="8" s="1"/>
  <c r="E1192" i="8"/>
  <c r="G1192" i="8" s="1"/>
  <c r="E1193" i="8"/>
  <c r="G1193" i="8" s="1"/>
  <c r="E1194" i="8"/>
  <c r="G1194" i="8" s="1"/>
  <c r="E1195" i="8"/>
  <c r="G1195" i="8" s="1"/>
  <c r="E1196" i="8"/>
  <c r="G1196" i="8" s="1"/>
  <c r="E1197" i="8"/>
  <c r="G1197" i="8" s="1"/>
  <c r="E1198" i="8"/>
  <c r="G1198" i="8" s="1"/>
  <c r="E1199" i="8"/>
  <c r="G1199" i="8" s="1"/>
  <c r="E1200" i="8"/>
  <c r="G1200" i="8" s="1"/>
  <c r="E1201" i="8"/>
  <c r="G1201" i="8" s="1"/>
  <c r="E1202" i="8"/>
  <c r="G1202" i="8" s="1"/>
  <c r="E1203" i="8"/>
  <c r="G1203" i="8" s="1"/>
  <c r="E1204" i="8"/>
  <c r="G1204" i="8" s="1"/>
  <c r="E1205" i="8"/>
  <c r="G1205" i="8" s="1"/>
  <c r="E1206" i="8"/>
  <c r="G1206" i="8" s="1"/>
  <c r="E1207" i="8"/>
  <c r="G1207" i="8" s="1"/>
  <c r="E1208" i="8"/>
  <c r="G1208" i="8" s="1"/>
  <c r="E1209" i="8"/>
  <c r="G1209" i="8" s="1"/>
  <c r="E1210" i="8"/>
  <c r="G1210" i="8" s="1"/>
  <c r="E1211" i="8"/>
  <c r="G1211" i="8" s="1"/>
  <c r="E1212" i="8"/>
  <c r="G1212" i="8" s="1"/>
  <c r="E1213" i="8"/>
  <c r="G1213" i="8" s="1"/>
  <c r="E1214" i="8"/>
  <c r="G1214" i="8" s="1"/>
  <c r="E1215" i="8"/>
  <c r="G1215" i="8" s="1"/>
  <c r="E1216" i="8"/>
  <c r="G1216" i="8" s="1"/>
  <c r="E1217" i="8"/>
  <c r="G1217" i="8" s="1"/>
  <c r="E1218" i="8"/>
  <c r="G1218" i="8" s="1"/>
  <c r="E1219" i="8"/>
  <c r="G1219" i="8" s="1"/>
  <c r="E1220" i="8"/>
  <c r="G1220" i="8" s="1"/>
  <c r="E1221" i="8"/>
  <c r="G1221" i="8" s="1"/>
  <c r="E1222" i="8"/>
  <c r="G1222" i="8" s="1"/>
  <c r="E1223" i="8"/>
  <c r="G1223" i="8" s="1"/>
  <c r="E1224" i="8"/>
  <c r="G1224" i="8" s="1"/>
  <c r="E1225" i="8"/>
  <c r="G1225" i="8" s="1"/>
  <c r="E1226" i="8"/>
  <c r="G1226" i="8" s="1"/>
  <c r="E1227" i="8"/>
  <c r="G1227" i="8" s="1"/>
  <c r="E1228" i="8"/>
  <c r="G1228" i="8" s="1"/>
  <c r="E1229" i="8"/>
  <c r="G1229" i="8" s="1"/>
  <c r="E1230" i="8"/>
  <c r="G1230" i="8" s="1"/>
  <c r="E1231" i="8"/>
  <c r="G1231" i="8" s="1"/>
  <c r="E1232" i="8"/>
  <c r="G1232" i="8" s="1"/>
  <c r="E1233" i="8"/>
  <c r="G1233" i="8" s="1"/>
  <c r="E1234" i="8"/>
  <c r="G1234" i="8" s="1"/>
  <c r="E1235" i="8"/>
  <c r="G1235" i="8" s="1"/>
  <c r="E1236" i="8"/>
  <c r="G1236" i="8" s="1"/>
  <c r="E1237" i="8"/>
  <c r="G1237" i="8" s="1"/>
  <c r="E1238" i="8"/>
  <c r="G1238" i="8" s="1"/>
  <c r="E1239" i="8"/>
  <c r="G1239" i="8" s="1"/>
  <c r="E1240" i="8"/>
  <c r="G1240" i="8" s="1"/>
  <c r="E1241" i="8"/>
  <c r="G1241" i="8" s="1"/>
  <c r="E1242" i="8"/>
  <c r="G1242" i="8" s="1"/>
  <c r="E1243" i="8"/>
  <c r="G1243" i="8" s="1"/>
  <c r="E1244" i="8"/>
  <c r="G1244" i="8" s="1"/>
  <c r="E1245" i="8"/>
  <c r="G1245" i="8" s="1"/>
  <c r="E1246" i="8"/>
  <c r="G1246" i="8" s="1"/>
  <c r="E1247" i="8"/>
  <c r="G1247" i="8" s="1"/>
  <c r="E1248" i="8"/>
  <c r="G1248" i="8" s="1"/>
  <c r="E1249" i="8"/>
  <c r="G1249" i="8" s="1"/>
  <c r="E1250" i="8"/>
  <c r="G1250" i="8" s="1"/>
  <c r="E1251" i="8"/>
  <c r="G1251" i="8" s="1"/>
  <c r="E1252" i="8"/>
  <c r="G1252" i="8" s="1"/>
  <c r="E1253" i="8"/>
  <c r="G1253" i="8" s="1"/>
  <c r="E1254" i="8"/>
  <c r="G1254" i="8" s="1"/>
  <c r="E1255" i="8"/>
  <c r="G1255" i="8" s="1"/>
  <c r="E1256" i="8"/>
  <c r="G1256" i="8" s="1"/>
  <c r="E1257" i="8"/>
  <c r="G1257" i="8" s="1"/>
  <c r="E1258" i="8"/>
  <c r="G1258" i="8" s="1"/>
  <c r="E1259" i="8"/>
  <c r="G1259" i="8" s="1"/>
  <c r="E1260" i="8"/>
  <c r="G1260" i="8" s="1"/>
  <c r="E1261" i="8"/>
  <c r="G1261" i="8" s="1"/>
  <c r="E1262" i="8"/>
  <c r="G1262" i="8" s="1"/>
  <c r="E1263" i="8"/>
  <c r="G1263" i="8" s="1"/>
  <c r="E1264" i="8"/>
  <c r="G1264" i="8" s="1"/>
  <c r="E1265" i="8"/>
  <c r="G1265" i="8" s="1"/>
  <c r="E1266" i="8"/>
  <c r="G1266" i="8" s="1"/>
  <c r="E1267" i="8"/>
  <c r="G1267" i="8" s="1"/>
  <c r="E1268" i="8"/>
  <c r="G1268" i="8" s="1"/>
  <c r="E1269" i="8"/>
  <c r="G1269" i="8" s="1"/>
  <c r="E1270" i="8"/>
  <c r="G1270" i="8" s="1"/>
  <c r="E1271" i="8"/>
  <c r="G1271" i="8" s="1"/>
  <c r="E1272" i="8"/>
  <c r="G1272" i="8" s="1"/>
  <c r="E1273" i="8"/>
  <c r="G1273" i="8" s="1"/>
  <c r="E1274" i="8"/>
  <c r="G1274" i="8" s="1"/>
  <c r="E1275" i="8"/>
  <c r="G1275" i="8" s="1"/>
  <c r="E1276" i="8"/>
  <c r="G1276" i="8" s="1"/>
  <c r="E1277" i="8"/>
  <c r="G1277" i="8" s="1"/>
  <c r="E1278" i="8"/>
  <c r="G1278" i="8" s="1"/>
  <c r="E1279" i="8"/>
  <c r="G1279" i="8" s="1"/>
  <c r="E1280" i="8"/>
  <c r="G1280" i="8" s="1"/>
  <c r="E1281" i="8"/>
  <c r="G1281" i="8" s="1"/>
  <c r="E1282" i="8"/>
  <c r="G1282" i="8" s="1"/>
  <c r="E1283" i="8"/>
  <c r="G1283" i="8" s="1"/>
  <c r="E1284" i="8"/>
  <c r="G1284" i="8" s="1"/>
  <c r="E1285" i="8"/>
  <c r="G1285" i="8" s="1"/>
  <c r="E1286" i="8"/>
  <c r="G1286" i="8" s="1"/>
  <c r="E1287" i="8"/>
  <c r="G1287" i="8" s="1"/>
  <c r="E1288" i="8"/>
  <c r="G1288" i="8" s="1"/>
  <c r="E1289" i="8"/>
  <c r="G1289" i="8" s="1"/>
  <c r="E1290" i="8"/>
  <c r="G1290" i="8" s="1"/>
  <c r="E1291" i="8"/>
  <c r="G1291" i="8" s="1"/>
  <c r="E1292" i="8"/>
  <c r="G1292" i="8" s="1"/>
  <c r="E1293" i="8"/>
  <c r="G1293" i="8" s="1"/>
  <c r="E1294" i="8"/>
  <c r="G1294" i="8" s="1"/>
  <c r="E1295" i="8"/>
  <c r="G1295" i="8" s="1"/>
  <c r="E1296" i="8"/>
  <c r="G1296" i="8" s="1"/>
  <c r="E1297" i="8"/>
  <c r="G1297" i="8" s="1"/>
  <c r="E1298" i="8"/>
  <c r="G1298" i="8" s="1"/>
  <c r="E1299" i="8"/>
  <c r="G1299" i="8" s="1"/>
  <c r="E1300" i="8"/>
  <c r="G1300" i="8" s="1"/>
  <c r="E1301" i="8"/>
  <c r="G1301" i="8" s="1"/>
  <c r="E1302" i="8"/>
  <c r="G1302" i="8" s="1"/>
  <c r="E1303" i="8"/>
  <c r="G1303" i="8" s="1"/>
  <c r="E1304" i="8"/>
  <c r="G1304" i="8" s="1"/>
  <c r="E1305" i="8"/>
  <c r="G1305" i="8" s="1"/>
  <c r="E1306" i="8"/>
  <c r="G1306" i="8" s="1"/>
  <c r="E1307" i="8"/>
  <c r="G1307" i="8" s="1"/>
  <c r="E1308" i="8"/>
  <c r="G1308" i="8" s="1"/>
  <c r="E1309" i="8"/>
  <c r="G1309" i="8" s="1"/>
  <c r="E1310" i="8"/>
  <c r="G1310" i="8" s="1"/>
  <c r="E1311" i="8"/>
  <c r="G1311" i="8" s="1"/>
  <c r="E1312" i="8"/>
  <c r="G1312" i="8" s="1"/>
  <c r="E1313" i="8"/>
  <c r="G1313" i="8" s="1"/>
  <c r="E1314" i="8"/>
  <c r="G1314" i="8" s="1"/>
  <c r="E1315" i="8"/>
  <c r="G1315" i="8" s="1"/>
  <c r="E1316" i="8"/>
  <c r="G1316" i="8" s="1"/>
  <c r="E1317" i="8"/>
  <c r="G1317" i="8" s="1"/>
  <c r="E1318" i="8"/>
  <c r="G1318" i="8" s="1"/>
  <c r="E1319" i="8"/>
  <c r="G1319" i="8" s="1"/>
  <c r="E1320" i="8"/>
  <c r="G1320" i="8" s="1"/>
  <c r="E1321" i="8"/>
  <c r="G1321" i="8" s="1"/>
  <c r="E1322" i="8"/>
  <c r="G1322" i="8" s="1"/>
  <c r="E1323" i="8"/>
  <c r="G1323" i="8" s="1"/>
  <c r="E1324" i="8"/>
  <c r="G1324" i="8" s="1"/>
  <c r="E1325" i="8"/>
  <c r="G1325" i="8" s="1"/>
  <c r="E1326" i="8"/>
  <c r="G1326" i="8" s="1"/>
  <c r="E1327" i="8"/>
  <c r="G1327" i="8" s="1"/>
  <c r="E1328" i="8"/>
  <c r="G1328" i="8" s="1"/>
  <c r="E1329" i="8"/>
  <c r="G1329" i="8" s="1"/>
  <c r="E1330" i="8"/>
  <c r="G1330" i="8" s="1"/>
  <c r="E1331" i="8"/>
  <c r="G1331" i="8" s="1"/>
  <c r="E1332" i="8"/>
  <c r="G1332" i="8" s="1"/>
  <c r="E1333" i="8"/>
  <c r="G1333" i="8" s="1"/>
  <c r="E1334" i="8"/>
  <c r="G1334" i="8" s="1"/>
  <c r="E1335" i="8"/>
  <c r="G1335" i="8" s="1"/>
  <c r="E1336" i="8"/>
  <c r="G1336" i="8" s="1"/>
  <c r="E1337" i="8"/>
  <c r="G1337" i="8" s="1"/>
  <c r="E1338" i="8"/>
  <c r="G1338" i="8" s="1"/>
  <c r="E1339" i="8"/>
  <c r="G1339" i="8" s="1"/>
  <c r="E1340" i="8"/>
  <c r="G1340" i="8" s="1"/>
  <c r="E1341" i="8"/>
  <c r="G1341" i="8" s="1"/>
  <c r="E1342" i="8"/>
  <c r="G1342" i="8" s="1"/>
  <c r="E1343" i="8"/>
  <c r="G1343" i="8" s="1"/>
  <c r="E1344" i="8"/>
  <c r="G1344" i="8" s="1"/>
  <c r="E1345" i="8"/>
  <c r="G1345" i="8" s="1"/>
  <c r="E1346" i="8"/>
  <c r="G1346" i="8" s="1"/>
  <c r="E1347" i="8"/>
  <c r="G1347" i="8" s="1"/>
  <c r="E1348" i="8"/>
  <c r="G1348" i="8" s="1"/>
  <c r="E1349" i="8"/>
  <c r="G1349" i="8" s="1"/>
  <c r="E1350" i="8"/>
  <c r="G1350" i="8" s="1"/>
  <c r="E1351" i="8"/>
  <c r="G1351" i="8" s="1"/>
  <c r="E1352" i="8"/>
  <c r="G1352" i="8" s="1"/>
  <c r="E1353" i="8"/>
  <c r="G1353" i="8" s="1"/>
  <c r="E1354" i="8"/>
  <c r="G1354" i="8" s="1"/>
  <c r="E1355" i="8"/>
  <c r="G1355" i="8" s="1"/>
  <c r="E1356" i="8"/>
  <c r="G1356" i="8" s="1"/>
  <c r="E1357" i="8"/>
  <c r="G1357" i="8" s="1"/>
  <c r="E1358" i="8"/>
  <c r="G1358" i="8" s="1"/>
  <c r="E1359" i="8"/>
  <c r="G1359" i="8" s="1"/>
  <c r="E1360" i="8"/>
  <c r="G1360" i="8" s="1"/>
  <c r="E1361" i="8"/>
  <c r="G1361" i="8" s="1"/>
  <c r="E1362" i="8"/>
  <c r="G1362" i="8" s="1"/>
  <c r="E1363" i="8"/>
  <c r="G1363" i="8" s="1"/>
  <c r="E1364" i="8"/>
  <c r="G1364" i="8" s="1"/>
  <c r="E1365" i="8"/>
  <c r="G1365" i="8" s="1"/>
  <c r="E1366" i="8"/>
  <c r="G1366" i="8" s="1"/>
  <c r="E1367" i="8"/>
  <c r="G1367" i="8" s="1"/>
  <c r="E1368" i="8"/>
  <c r="G1368" i="8" s="1"/>
  <c r="E1369" i="8"/>
  <c r="G1369" i="8" s="1"/>
  <c r="E1370" i="8"/>
  <c r="G1370" i="8" s="1"/>
  <c r="E1371" i="8"/>
  <c r="G1371" i="8" s="1"/>
  <c r="E1372" i="8"/>
  <c r="G1372" i="8" s="1"/>
  <c r="E1373" i="8"/>
  <c r="G1373" i="8" s="1"/>
  <c r="E1374" i="8"/>
  <c r="G1374" i="8" s="1"/>
  <c r="E1375" i="8"/>
  <c r="G1375" i="8" s="1"/>
  <c r="E1376" i="8"/>
  <c r="G1376" i="8" s="1"/>
  <c r="E1377" i="8"/>
  <c r="G1377" i="8" s="1"/>
  <c r="E1378" i="8"/>
  <c r="G1378" i="8" s="1"/>
  <c r="E1379" i="8"/>
  <c r="G1379" i="8" s="1"/>
  <c r="E1380" i="8"/>
  <c r="G1380" i="8" s="1"/>
  <c r="E1381" i="8"/>
  <c r="G1381" i="8" s="1"/>
  <c r="E1382" i="8"/>
  <c r="G1382" i="8" s="1"/>
  <c r="E1383" i="8"/>
  <c r="G1383" i="8" s="1"/>
  <c r="E1384" i="8"/>
  <c r="G1384" i="8" s="1"/>
  <c r="E1385" i="8"/>
  <c r="G1385" i="8" s="1"/>
  <c r="E1386" i="8"/>
  <c r="G1386" i="8" s="1"/>
  <c r="E1387" i="8"/>
  <c r="G1387" i="8" s="1"/>
  <c r="E1388" i="8"/>
  <c r="G1388" i="8" s="1"/>
  <c r="E1389" i="8"/>
  <c r="G1389" i="8" s="1"/>
  <c r="E1390" i="8"/>
  <c r="G1390" i="8" s="1"/>
  <c r="E1391" i="8"/>
  <c r="G1391" i="8" s="1"/>
  <c r="E1392" i="8"/>
  <c r="G1392" i="8" s="1"/>
  <c r="E1393" i="8"/>
  <c r="G1393" i="8" s="1"/>
  <c r="E1394" i="8"/>
  <c r="G1394" i="8" s="1"/>
  <c r="E1395" i="8"/>
  <c r="G1395" i="8" s="1"/>
  <c r="E1396" i="8"/>
  <c r="G1396" i="8" s="1"/>
  <c r="E1397" i="8"/>
  <c r="G1397" i="8" s="1"/>
  <c r="E1398" i="8"/>
  <c r="G1398" i="8" s="1"/>
  <c r="E1399" i="8"/>
  <c r="G1399" i="8" s="1"/>
  <c r="E1400" i="8"/>
  <c r="G1400" i="8" s="1"/>
  <c r="E1401" i="8"/>
  <c r="G1401" i="8" s="1"/>
  <c r="E1402" i="8"/>
  <c r="G1402" i="8" s="1"/>
  <c r="E1403" i="8"/>
  <c r="G1403" i="8" s="1"/>
  <c r="E1404" i="8"/>
  <c r="G1404" i="8" s="1"/>
  <c r="E1405" i="8"/>
  <c r="G1405" i="8" s="1"/>
  <c r="E1406" i="8"/>
  <c r="G1406" i="8" s="1"/>
  <c r="E1407" i="8"/>
  <c r="G1407" i="8" s="1"/>
  <c r="E1408" i="8"/>
  <c r="G1408" i="8" s="1"/>
  <c r="E1409" i="8"/>
  <c r="G1409" i="8" s="1"/>
  <c r="E1410" i="8"/>
  <c r="G1410" i="8" s="1"/>
  <c r="E1411" i="8"/>
  <c r="G1411" i="8" s="1"/>
  <c r="E1412" i="8"/>
  <c r="G1412" i="8" s="1"/>
  <c r="E1413" i="8"/>
  <c r="G1413" i="8" s="1"/>
  <c r="E1414" i="8"/>
  <c r="G1414" i="8" s="1"/>
  <c r="E1415" i="8"/>
  <c r="G1415" i="8" s="1"/>
  <c r="E1416" i="8"/>
  <c r="G1416" i="8" s="1"/>
  <c r="E1417" i="8"/>
  <c r="G1417" i="8" s="1"/>
  <c r="E1418" i="8"/>
  <c r="G1418" i="8" s="1"/>
  <c r="E1419" i="8"/>
  <c r="G1419" i="8" s="1"/>
  <c r="E1420" i="8"/>
  <c r="G1420" i="8" s="1"/>
  <c r="E1421" i="8"/>
  <c r="G1421" i="8" s="1"/>
  <c r="E1422" i="8"/>
  <c r="G1422" i="8" s="1"/>
  <c r="E1423" i="8"/>
  <c r="G1423" i="8" s="1"/>
  <c r="E1424" i="8"/>
  <c r="G1424" i="8" s="1"/>
  <c r="E1425" i="8"/>
  <c r="G1425" i="8" s="1"/>
  <c r="E1426" i="8"/>
  <c r="G1426" i="8" s="1"/>
  <c r="E1427" i="8"/>
  <c r="G1427" i="8" s="1"/>
  <c r="E1428" i="8"/>
  <c r="G1428" i="8" s="1"/>
  <c r="E2" i="8"/>
  <c r="G2" i="8" s="1"/>
  <c r="G30" i="9" l="1"/>
  <c r="H30" i="9" s="1"/>
  <c r="I30" i="9" s="1"/>
  <c r="G123" i="9"/>
  <c r="H123" i="9" s="1"/>
  <c r="I123" i="9" s="1"/>
  <c r="G122" i="9"/>
  <c r="H122" i="9" s="1"/>
  <c r="I122" i="9" s="1"/>
  <c r="G39" i="9"/>
  <c r="H39" i="9" s="1"/>
  <c r="I39" i="9" s="1"/>
  <c r="G139" i="9"/>
  <c r="H139" i="9" s="1"/>
  <c r="I139" i="9" s="1"/>
  <c r="G72" i="9"/>
  <c r="H72" i="9" s="1"/>
  <c r="I72" i="9" s="1"/>
  <c r="G46" i="9"/>
  <c r="H46" i="9" s="1"/>
  <c r="I46" i="9" s="1"/>
  <c r="G149" i="9"/>
  <c r="H149" i="9" s="1"/>
  <c r="I149" i="9" s="1"/>
  <c r="G78" i="9"/>
  <c r="H78" i="9" s="1"/>
  <c r="G121" i="9"/>
  <c r="H121" i="9" s="1"/>
  <c r="I121" i="9" s="1"/>
  <c r="G80" i="9"/>
  <c r="H80" i="9" s="1"/>
  <c r="G22" i="9"/>
  <c r="H22" i="9" s="1"/>
  <c r="I22" i="9" s="1"/>
  <c r="G42" i="9"/>
  <c r="H42" i="9" s="1"/>
  <c r="I42" i="9" s="1"/>
  <c r="G56" i="9"/>
  <c r="H56" i="9" s="1"/>
  <c r="I56" i="9" s="1"/>
  <c r="G29" i="9"/>
  <c r="H29" i="9" s="1"/>
  <c r="I29" i="9" s="1"/>
  <c r="G28" i="9"/>
  <c r="H28" i="9" s="1"/>
  <c r="I28" i="9" s="1"/>
  <c r="G89" i="9"/>
  <c r="H89" i="9" s="1"/>
  <c r="I89" i="9" s="1"/>
  <c r="G31" i="9"/>
  <c r="H31" i="9" s="1"/>
  <c r="I31" i="9" s="1"/>
  <c r="G58" i="9"/>
  <c r="H58" i="9" s="1"/>
  <c r="I58" i="9" s="1"/>
  <c r="H138" i="9"/>
  <c r="I138" i="9" s="1"/>
  <c r="G90" i="9"/>
  <c r="H90" i="9" s="1"/>
  <c r="I90" i="9" s="1"/>
  <c r="G44" i="9"/>
  <c r="H44" i="9" s="1"/>
  <c r="I44" i="9" s="1"/>
  <c r="G150" i="9"/>
  <c r="H150" i="9" s="1"/>
  <c r="I150" i="9" s="1"/>
  <c r="A113" i="66"/>
  <c r="A158" i="67"/>
  <c r="A46" i="11"/>
  <c r="A95" i="11"/>
  <c r="E1622" i="3"/>
  <c r="C1622" i="3"/>
  <c r="B1622" i="3"/>
  <c r="E1591" i="3"/>
  <c r="C1591" i="3"/>
  <c r="B1591" i="3"/>
  <c r="E1681" i="3"/>
  <c r="F1681" i="3" s="1"/>
  <c r="C1681" i="3"/>
  <c r="B1681" i="3"/>
  <c r="E1652" i="3"/>
  <c r="C1652" i="3"/>
  <c r="B1652" i="3"/>
  <c r="E1859" i="3"/>
  <c r="C1859" i="3"/>
  <c r="B1859" i="3"/>
  <c r="E1829" i="3"/>
  <c r="C1829" i="3"/>
  <c r="B1829" i="3"/>
  <c r="E1799" i="3"/>
  <c r="C1799" i="3"/>
  <c r="B1799" i="3"/>
  <c r="E1560" i="3"/>
  <c r="C1560" i="3"/>
  <c r="B1560" i="3"/>
  <c r="E1769" i="3"/>
  <c r="E1739" i="3"/>
  <c r="C1769" i="3"/>
  <c r="B1769" i="3"/>
  <c r="C1739" i="3"/>
  <c r="B1739" i="3"/>
  <c r="E1466" i="3"/>
  <c r="F1466" i="3" s="1"/>
  <c r="C1466" i="3"/>
  <c r="B1466" i="3"/>
  <c r="E1465" i="3"/>
  <c r="F1465" i="3" s="1"/>
  <c r="C1465" i="3"/>
  <c r="B1465" i="3"/>
  <c r="E1499" i="3"/>
  <c r="F1499" i="3" s="1"/>
  <c r="E1498" i="3"/>
  <c r="C1499" i="3"/>
  <c r="B1499" i="3"/>
  <c r="C1498" i="3"/>
  <c r="B1498" i="3"/>
  <c r="E1369" i="3"/>
  <c r="C1369" i="3"/>
  <c r="B1369" i="3"/>
  <c r="F520" i="3"/>
  <c r="F519" i="3"/>
  <c r="G2201" i="3"/>
  <c r="D2206" i="3" s="1"/>
  <c r="E2195" i="3"/>
  <c r="F2195" i="3" s="1"/>
  <c r="C2195" i="3"/>
  <c r="B2195" i="3"/>
  <c r="E2194" i="3"/>
  <c r="F2194" i="3" s="1"/>
  <c r="C2194" i="3"/>
  <c r="B2194" i="3"/>
  <c r="E2193" i="3"/>
  <c r="F2193" i="3" s="1"/>
  <c r="C2193" i="3"/>
  <c r="B2193" i="3"/>
  <c r="E2192" i="3"/>
  <c r="F2192" i="3" s="1"/>
  <c r="C2192" i="3"/>
  <c r="B2192" i="3"/>
  <c r="E2188" i="3"/>
  <c r="F2188" i="3" s="1"/>
  <c r="G2190" i="3" s="1"/>
  <c r="D2204" i="3" s="1"/>
  <c r="C2188" i="3"/>
  <c r="B2188" i="3"/>
  <c r="G2185" i="3"/>
  <c r="E996" i="3"/>
  <c r="C996" i="3"/>
  <c r="B996" i="3"/>
  <c r="I75" i="9" l="1"/>
  <c r="C17" i="65"/>
  <c r="Q17" i="65" s="1"/>
  <c r="I25" i="9"/>
  <c r="C12" i="65"/>
  <c r="I12" i="65" s="1"/>
  <c r="C19" i="65"/>
  <c r="Q19" i="65" s="1"/>
  <c r="I95" i="9"/>
  <c r="A114" i="66"/>
  <c r="A159" i="67"/>
  <c r="I125" i="9"/>
  <c r="C21" i="65"/>
  <c r="I34" i="9"/>
  <c r="C13" i="65"/>
  <c r="I152" i="9"/>
  <c r="I63" i="9"/>
  <c r="C15" i="65"/>
  <c r="F19" i="5"/>
  <c r="A96" i="11"/>
  <c r="F11" i="5"/>
  <c r="G2197" i="3"/>
  <c r="D2205" i="3" s="1"/>
  <c r="D2207" i="3"/>
  <c r="C1922" i="3"/>
  <c r="B1922" i="3"/>
  <c r="C1921" i="3"/>
  <c r="B1921" i="3"/>
  <c r="E1922" i="3"/>
  <c r="E1921" i="3"/>
  <c r="E1918" i="3"/>
  <c r="F1918" i="3" s="1"/>
  <c r="C1918" i="3"/>
  <c r="B1918" i="3"/>
  <c r="E1917" i="3"/>
  <c r="F1917" i="3" s="1"/>
  <c r="C1917" i="3"/>
  <c r="B1917" i="3"/>
  <c r="E1710" i="3"/>
  <c r="F1710" i="3" s="1"/>
  <c r="C1710" i="3"/>
  <c r="B1710" i="3"/>
  <c r="E1707" i="3"/>
  <c r="F1707" i="3" s="1"/>
  <c r="C1707" i="3"/>
  <c r="B1707" i="3"/>
  <c r="E1706" i="3"/>
  <c r="F1706" i="3" s="1"/>
  <c r="C1706" i="3"/>
  <c r="B1706" i="3"/>
  <c r="E1198" i="3"/>
  <c r="E1197" i="3"/>
  <c r="C1198" i="3"/>
  <c r="B1198" i="3"/>
  <c r="C1197" i="3"/>
  <c r="B1197" i="3"/>
  <c r="C1196" i="3"/>
  <c r="B1196" i="3"/>
  <c r="C24" i="65" l="1"/>
  <c r="K24" i="65" s="1"/>
  <c r="K17" i="65"/>
  <c r="O17" i="65"/>
  <c r="K12" i="65"/>
  <c r="O12" i="65"/>
  <c r="Q12" i="65"/>
  <c r="S17" i="65"/>
  <c r="M12" i="65"/>
  <c r="I17" i="65"/>
  <c r="S12" i="65"/>
  <c r="M17" i="65"/>
  <c r="O19" i="65"/>
  <c r="K19" i="65"/>
  <c r="M19" i="65"/>
  <c r="I24" i="65"/>
  <c r="O24" i="65"/>
  <c r="A115" i="66"/>
  <c r="A160" i="67"/>
  <c r="K15" i="65"/>
  <c r="I15" i="65"/>
  <c r="O15" i="65"/>
  <c r="S15" i="65"/>
  <c r="Q15" i="65"/>
  <c r="M15" i="65"/>
  <c r="S21" i="65"/>
  <c r="I21" i="65"/>
  <c r="Q21" i="65"/>
  <c r="K21" i="65"/>
  <c r="M21" i="65"/>
  <c r="O21" i="65"/>
  <c r="K13" i="65"/>
  <c r="I13" i="65"/>
  <c r="O13" i="65"/>
  <c r="S13" i="65"/>
  <c r="Q13" i="65"/>
  <c r="M13" i="65"/>
  <c r="A97" i="11"/>
  <c r="D2208" i="3"/>
  <c r="D2210" i="3" s="1"/>
  <c r="E1128" i="3"/>
  <c r="C1128" i="3"/>
  <c r="B1128" i="3"/>
  <c r="E1095" i="3"/>
  <c r="C1095" i="3"/>
  <c r="B1095" i="3"/>
  <c r="E1062" i="3"/>
  <c r="C1062" i="3"/>
  <c r="B1062" i="3"/>
  <c r="E902" i="3"/>
  <c r="C902" i="3"/>
  <c r="B902" i="3"/>
  <c r="E869" i="3"/>
  <c r="E868" i="3"/>
  <c r="C869" i="3"/>
  <c r="B869" i="3"/>
  <c r="C868" i="3"/>
  <c r="B868" i="3"/>
  <c r="E518" i="3"/>
  <c r="C518" i="3"/>
  <c r="B518" i="3"/>
  <c r="E514" i="3"/>
  <c r="F514" i="3" s="1"/>
  <c r="C514" i="3"/>
  <c r="B514" i="3"/>
  <c r="E513" i="3"/>
  <c r="F513" i="3" s="1"/>
  <c r="C513" i="3"/>
  <c r="B513" i="3"/>
  <c r="E487" i="3"/>
  <c r="C488" i="3"/>
  <c r="B488" i="3"/>
  <c r="C487" i="3"/>
  <c r="B487" i="3"/>
  <c r="C486" i="3"/>
  <c r="B486" i="3"/>
  <c r="E456" i="3"/>
  <c r="C457" i="3"/>
  <c r="B457" i="3"/>
  <c r="C456" i="3"/>
  <c r="B456" i="3"/>
  <c r="C455" i="3"/>
  <c r="B455" i="3"/>
  <c r="E425" i="3"/>
  <c r="C426" i="3"/>
  <c r="B426" i="3"/>
  <c r="C425" i="3"/>
  <c r="B425" i="3"/>
  <c r="C424" i="3"/>
  <c r="B424" i="3"/>
  <c r="E1196" i="3"/>
  <c r="E457" i="3"/>
  <c r="E486" i="3"/>
  <c r="E2160" i="3"/>
  <c r="F2160" i="3" s="1"/>
  <c r="C2160" i="3"/>
  <c r="B2160" i="3"/>
  <c r="E2159" i="3"/>
  <c r="F2159" i="3" s="1"/>
  <c r="C2159" i="3"/>
  <c r="B2159" i="3"/>
  <c r="E2158" i="3"/>
  <c r="F2158" i="3" s="1"/>
  <c r="C2158" i="3"/>
  <c r="B2158" i="3"/>
  <c r="G2168" i="3"/>
  <c r="D2173" i="3" s="1"/>
  <c r="E2161" i="3"/>
  <c r="F2161" i="3" s="1"/>
  <c r="C2161" i="3"/>
  <c r="B2161" i="3"/>
  <c r="E2157" i="3"/>
  <c r="F2157" i="3" s="1"/>
  <c r="C2157" i="3"/>
  <c r="B2157" i="3"/>
  <c r="E2153" i="3"/>
  <c r="F2153" i="3" s="1"/>
  <c r="C2153" i="3"/>
  <c r="B2153" i="3"/>
  <c r="E2152" i="3"/>
  <c r="F2152" i="3" s="1"/>
  <c r="G2155" i="3" s="1"/>
  <c r="D2171" i="3" s="1"/>
  <c r="C2152" i="3"/>
  <c r="B2152" i="3"/>
  <c r="G2149" i="3"/>
  <c r="G2132" i="3"/>
  <c r="D2137" i="3" s="1"/>
  <c r="E2126" i="3"/>
  <c r="F2126" i="3" s="1"/>
  <c r="C2126" i="3"/>
  <c r="B2126" i="3"/>
  <c r="E2125" i="3"/>
  <c r="F2125" i="3" s="1"/>
  <c r="C2125" i="3"/>
  <c r="B2125" i="3"/>
  <c r="E2124" i="3"/>
  <c r="F2124" i="3" s="1"/>
  <c r="C2124" i="3"/>
  <c r="B2124" i="3"/>
  <c r="E2120" i="3"/>
  <c r="F2120" i="3" s="1"/>
  <c r="C2120" i="3"/>
  <c r="B2120" i="3"/>
  <c r="E2119" i="3"/>
  <c r="F2119" i="3" s="1"/>
  <c r="G2122" i="3" s="1"/>
  <c r="D2135" i="3" s="1"/>
  <c r="C2119" i="3"/>
  <c r="B2119" i="3"/>
  <c r="G2116" i="3"/>
  <c r="E2094" i="3"/>
  <c r="F2094" i="3" s="1"/>
  <c r="C2094" i="3"/>
  <c r="B2094" i="3"/>
  <c r="G2099" i="3"/>
  <c r="D2104" i="3" s="1"/>
  <c r="E2093" i="3"/>
  <c r="F2093" i="3" s="1"/>
  <c r="C2093" i="3"/>
  <c r="B2093" i="3"/>
  <c r="E2092" i="3"/>
  <c r="F2092" i="3" s="1"/>
  <c r="C2092" i="3"/>
  <c r="B2092" i="3"/>
  <c r="E2091" i="3"/>
  <c r="F2091" i="3" s="1"/>
  <c r="C2091" i="3"/>
  <c r="B2091" i="3"/>
  <c r="E2090" i="3"/>
  <c r="F2090" i="3" s="1"/>
  <c r="C2090" i="3"/>
  <c r="B2090" i="3"/>
  <c r="E2089" i="3"/>
  <c r="F2089" i="3" s="1"/>
  <c r="C2089" i="3"/>
  <c r="B2089" i="3"/>
  <c r="E2088" i="3"/>
  <c r="F2088" i="3" s="1"/>
  <c r="C2088" i="3"/>
  <c r="B2088" i="3"/>
  <c r="E2087" i="3"/>
  <c r="F2087" i="3" s="1"/>
  <c r="C2087" i="3"/>
  <c r="B2087" i="3"/>
  <c r="E2083" i="3"/>
  <c r="F2083" i="3" s="1"/>
  <c r="C2083" i="3"/>
  <c r="B2083" i="3"/>
  <c r="E2082" i="3"/>
  <c r="F2082" i="3" s="1"/>
  <c r="G2085" i="3" s="1"/>
  <c r="D2102" i="3" s="1"/>
  <c r="C2082" i="3"/>
  <c r="B2082" i="3"/>
  <c r="G2079" i="3"/>
  <c r="E2056" i="3"/>
  <c r="F2056" i="3" s="1"/>
  <c r="C2056" i="3"/>
  <c r="B2056" i="3"/>
  <c r="E2055" i="3"/>
  <c r="F2055" i="3" s="1"/>
  <c r="C2055" i="3"/>
  <c r="B2055" i="3"/>
  <c r="E2054" i="3"/>
  <c r="F2054" i="3" s="1"/>
  <c r="C2054" i="3"/>
  <c r="B2054" i="3"/>
  <c r="E2053" i="3"/>
  <c r="F2053" i="3" s="1"/>
  <c r="C2053" i="3"/>
  <c r="B2053" i="3"/>
  <c r="E2052" i="3"/>
  <c r="F2052" i="3" s="1"/>
  <c r="C2052" i="3"/>
  <c r="B2052" i="3"/>
  <c r="E2051" i="3"/>
  <c r="F2051" i="3" s="1"/>
  <c r="C2051" i="3"/>
  <c r="B2051" i="3"/>
  <c r="E2050" i="3"/>
  <c r="F2050" i="3" s="1"/>
  <c r="C2050" i="3"/>
  <c r="B2050" i="3"/>
  <c r="E2049" i="3"/>
  <c r="F2049" i="3" s="1"/>
  <c r="C2049" i="3"/>
  <c r="B2049" i="3"/>
  <c r="E2048" i="3"/>
  <c r="F2048" i="3" s="1"/>
  <c r="C2048" i="3"/>
  <c r="B2048" i="3"/>
  <c r="E2047" i="3"/>
  <c r="F2047" i="3" s="1"/>
  <c r="C2047" i="3"/>
  <c r="B2047" i="3"/>
  <c r="E2046" i="3"/>
  <c r="F2046" i="3" s="1"/>
  <c r="C2046" i="3"/>
  <c r="B2046" i="3"/>
  <c r="E2045" i="3"/>
  <c r="F2045" i="3" s="1"/>
  <c r="C2045" i="3"/>
  <c r="B2045" i="3"/>
  <c r="G2062" i="3"/>
  <c r="D2067" i="3" s="1"/>
  <c r="E2041" i="3"/>
  <c r="F2041" i="3" s="1"/>
  <c r="C2041" i="3"/>
  <c r="B2041" i="3"/>
  <c r="E2040" i="3"/>
  <c r="F2040" i="3" s="1"/>
  <c r="G2043" i="3" s="1"/>
  <c r="D2065" i="3" s="1"/>
  <c r="C2040" i="3"/>
  <c r="B2040" i="3"/>
  <c r="G2037" i="3"/>
  <c r="E1163" i="3"/>
  <c r="F1163" i="3" s="1"/>
  <c r="C1163" i="3"/>
  <c r="B1163" i="3"/>
  <c r="D1433" i="3"/>
  <c r="D1432" i="3"/>
  <c r="E1433" i="3"/>
  <c r="C1433" i="3"/>
  <c r="B1433" i="3"/>
  <c r="E1432" i="3"/>
  <c r="C1432" i="3"/>
  <c r="B1432" i="3"/>
  <c r="E1431" i="3"/>
  <c r="D1431" i="3"/>
  <c r="C1431" i="3"/>
  <c r="B1431" i="3"/>
  <c r="E1427" i="3"/>
  <c r="F1427" i="3" s="1"/>
  <c r="C1427" i="3"/>
  <c r="B1427" i="3"/>
  <c r="E1426" i="3"/>
  <c r="F1426" i="3" s="1"/>
  <c r="C1426" i="3"/>
  <c r="B1426" i="3"/>
  <c r="D934" i="3"/>
  <c r="E934" i="3"/>
  <c r="C934" i="3"/>
  <c r="B934" i="3"/>
  <c r="E933" i="3"/>
  <c r="D933" i="3"/>
  <c r="C933" i="3"/>
  <c r="B933" i="3"/>
  <c r="E929" i="3"/>
  <c r="F929" i="3" s="1"/>
  <c r="C929" i="3"/>
  <c r="B929" i="3"/>
  <c r="E928" i="3"/>
  <c r="F928" i="3" s="1"/>
  <c r="C928" i="3"/>
  <c r="B928" i="3"/>
  <c r="F870" i="3"/>
  <c r="D711" i="3"/>
  <c r="D679" i="3"/>
  <c r="D647" i="3"/>
  <c r="Q24" i="65" l="1"/>
  <c r="M24" i="65"/>
  <c r="S24" i="65"/>
  <c r="A116" i="66"/>
  <c r="A161" i="67"/>
  <c r="A99" i="11"/>
  <c r="A98" i="11"/>
  <c r="D2211" i="3"/>
  <c r="D2212" i="3" s="1"/>
  <c r="F2212" i="3" s="1"/>
  <c r="E424" i="3"/>
  <c r="E426" i="3"/>
  <c r="E488" i="3"/>
  <c r="E455" i="3"/>
  <c r="G2058" i="3"/>
  <c r="D2066" i="3" s="1"/>
  <c r="G2164" i="3"/>
  <c r="D2172" i="3" s="1"/>
  <c r="D2174" i="3"/>
  <c r="G2128" i="3"/>
  <c r="D2136" i="3" s="1"/>
  <c r="D2138" i="3"/>
  <c r="G2095" i="3"/>
  <c r="D2103" i="3" s="1"/>
  <c r="D2105" i="3"/>
  <c r="D2068" i="3"/>
  <c r="F1433" i="3"/>
  <c r="G1429" i="3"/>
  <c r="F1431" i="3"/>
  <c r="F1432" i="3"/>
  <c r="F933" i="3"/>
  <c r="F934" i="3"/>
  <c r="G931" i="3"/>
  <c r="E2014" i="3"/>
  <c r="F2014" i="3" s="1"/>
  <c r="G2016" i="3" s="1"/>
  <c r="D2024" i="3" s="1"/>
  <c r="C2014" i="3"/>
  <c r="B2014" i="3"/>
  <c r="E1956" i="3"/>
  <c r="F1956" i="3" s="1"/>
  <c r="G1958" i="3" s="1"/>
  <c r="D1963" i="3" s="1"/>
  <c r="C1956" i="3"/>
  <c r="B1956" i="3"/>
  <c r="E2010" i="3"/>
  <c r="F2010" i="3" s="1"/>
  <c r="C2010" i="3"/>
  <c r="B2010" i="3"/>
  <c r="E1952" i="3"/>
  <c r="C1952" i="3"/>
  <c r="B1952" i="3"/>
  <c r="E1983" i="3"/>
  <c r="F1983" i="3" s="1"/>
  <c r="C1983" i="3"/>
  <c r="B1983" i="3"/>
  <c r="E395" i="3"/>
  <c r="C395" i="3"/>
  <c r="B395" i="3"/>
  <c r="F290" i="3"/>
  <c r="C315" i="3"/>
  <c r="C280" i="3"/>
  <c r="F255" i="3"/>
  <c r="C245" i="3"/>
  <c r="J156" i="3"/>
  <c r="K153" i="3"/>
  <c r="K93" i="3"/>
  <c r="L90" i="3"/>
  <c r="C68" i="3"/>
  <c r="C64" i="3"/>
  <c r="E57" i="3"/>
  <c r="F57" i="3" s="1"/>
  <c r="C57" i="3"/>
  <c r="E56" i="3"/>
  <c r="F56" i="3" s="1"/>
  <c r="C56" i="3"/>
  <c r="B56" i="3"/>
  <c r="G54" i="3"/>
  <c r="D62" i="3" s="1"/>
  <c r="E44" i="3"/>
  <c r="F44" i="3" s="1"/>
  <c r="C44" i="3"/>
  <c r="B44" i="3"/>
  <c r="E43" i="3"/>
  <c r="F43" i="3" s="1"/>
  <c r="C43" i="3"/>
  <c r="B43" i="3"/>
  <c r="G40" i="3"/>
  <c r="B38" i="3"/>
  <c r="G5" i="3"/>
  <c r="E2018" i="3"/>
  <c r="F2018" i="3" s="1"/>
  <c r="G2020" i="3" s="1"/>
  <c r="D2025" i="3" s="1"/>
  <c r="C2018" i="3"/>
  <c r="B2018" i="3"/>
  <c r="E2009" i="3"/>
  <c r="F2009" i="3" s="1"/>
  <c r="G2012" i="3" s="1"/>
  <c r="D2023" i="3" s="1"/>
  <c r="D2026" i="3" s="1"/>
  <c r="C2009" i="3"/>
  <c r="B2009" i="3"/>
  <c r="C1984" i="3"/>
  <c r="B1984" i="3"/>
  <c r="E1984" i="3"/>
  <c r="F1984" i="3" s="1"/>
  <c r="E1979" i="3"/>
  <c r="F1979" i="3" s="1"/>
  <c r="E1978" i="3"/>
  <c r="F1978" i="3" s="1"/>
  <c r="C1979" i="3"/>
  <c r="B1979" i="3"/>
  <c r="C1978" i="3"/>
  <c r="B1978" i="3"/>
  <c r="E1953" i="3"/>
  <c r="F1953" i="3" s="1"/>
  <c r="G1954" i="3" s="1"/>
  <c r="D1962" i="3" s="1"/>
  <c r="C1953" i="3"/>
  <c r="B1953" i="3"/>
  <c r="E1948" i="3"/>
  <c r="F1948" i="3" s="1"/>
  <c r="C1948" i="3"/>
  <c r="B1948" i="3"/>
  <c r="E1947" i="3"/>
  <c r="F1947" i="3" s="1"/>
  <c r="C1947" i="3"/>
  <c r="B1947" i="3"/>
  <c r="G2006" i="3"/>
  <c r="C1937" i="3"/>
  <c r="C1933" i="3"/>
  <c r="G1927" i="3"/>
  <c r="D1932" i="3" s="1"/>
  <c r="F1922" i="3"/>
  <c r="F1921" i="3"/>
  <c r="G1919" i="3"/>
  <c r="D1930" i="3" s="1"/>
  <c r="G1914" i="3"/>
  <c r="B1912" i="3"/>
  <c r="C1725" i="3"/>
  <c r="C1721" i="3"/>
  <c r="G1715" i="3"/>
  <c r="D1720" i="3" s="1"/>
  <c r="G1708" i="3"/>
  <c r="D1718" i="3" s="1"/>
  <c r="G1703" i="3"/>
  <c r="B1701" i="3"/>
  <c r="G1975" i="3"/>
  <c r="G1944" i="3"/>
  <c r="D1892" i="3"/>
  <c r="D1890" i="3"/>
  <c r="D1889" i="3"/>
  <c r="F1889" i="3" s="1"/>
  <c r="D1891" i="3"/>
  <c r="G1882" i="3"/>
  <c r="G1852" i="3"/>
  <c r="G1822" i="3"/>
  <c r="G1792" i="3"/>
  <c r="G1762" i="3"/>
  <c r="G1732" i="3"/>
  <c r="G1674" i="3"/>
  <c r="G1645" i="3"/>
  <c r="G1614" i="3"/>
  <c r="G1583" i="3"/>
  <c r="G1552" i="3"/>
  <c r="A117" i="66" l="1"/>
  <c r="A162" i="67"/>
  <c r="D2069" i="3"/>
  <c r="D2071" i="3" s="1"/>
  <c r="D2139" i="3"/>
  <c r="D2141" i="3" s="1"/>
  <c r="D2175" i="3"/>
  <c r="D2177" i="3" s="1"/>
  <c r="D2106" i="3"/>
  <c r="D2108" i="3" s="1"/>
  <c r="G46" i="3"/>
  <c r="D61" i="3" s="1"/>
  <c r="D64" i="3" s="1"/>
  <c r="G58" i="3"/>
  <c r="D63" i="3" s="1"/>
  <c r="G1712" i="3"/>
  <c r="D1719" i="3" s="1"/>
  <c r="G1924" i="3"/>
  <c r="D1931" i="3" s="1"/>
  <c r="G1950" i="3"/>
  <c r="D1961" i="3" s="1"/>
  <c r="D1964" i="3" s="1"/>
  <c r="G1985" i="3"/>
  <c r="D1993" i="3" s="1"/>
  <c r="G1981" i="3"/>
  <c r="D1992" i="3" s="1"/>
  <c r="D2027" i="3"/>
  <c r="D2029" i="3" s="1"/>
  <c r="D1933" i="3"/>
  <c r="D1721" i="3"/>
  <c r="A118" i="66" l="1"/>
  <c r="A163" i="67"/>
  <c r="D2178" i="3"/>
  <c r="D2179" i="3" s="1"/>
  <c r="F2179" i="3" s="1"/>
  <c r="D2142" i="3"/>
  <c r="D2143" i="3" s="1"/>
  <c r="F2143" i="3" s="1"/>
  <c r="D2109" i="3"/>
  <c r="D2110" i="3" s="1"/>
  <c r="F2110" i="3" s="1"/>
  <c r="D2072" i="3"/>
  <c r="D2073" i="3" s="1"/>
  <c r="F2073" i="3" s="1"/>
  <c r="D2030" i="3"/>
  <c r="D2031" i="3" s="1"/>
  <c r="F2031" i="3" s="1"/>
  <c r="D65" i="3"/>
  <c r="D67" i="3" s="1"/>
  <c r="D1934" i="3"/>
  <c r="D1936" i="3" s="1"/>
  <c r="D1965" i="3"/>
  <c r="D1967" i="3" s="1"/>
  <c r="D1722" i="3"/>
  <c r="D1724" i="3" s="1"/>
  <c r="D1995" i="3"/>
  <c r="D1996" i="3" s="1"/>
  <c r="D1998" i="3" s="1"/>
  <c r="A119" i="66" l="1"/>
  <c r="A164" i="67"/>
  <c r="D1999" i="3"/>
  <c r="D2000" i="3" s="1"/>
  <c r="F2000" i="3" s="1"/>
  <c r="D1725" i="3"/>
  <c r="D1726" i="3" s="1"/>
  <c r="F1726" i="3" s="1"/>
  <c r="D1937" i="3"/>
  <c r="D1938" i="3" s="1"/>
  <c r="F1938" i="3" s="1"/>
  <c r="H140" i="9"/>
  <c r="I140" i="9" s="1"/>
  <c r="D1968" i="3"/>
  <c r="D1969" i="3" s="1"/>
  <c r="F1969" i="3" s="1"/>
  <c r="D68" i="3"/>
  <c r="D69" i="3" s="1"/>
  <c r="F69" i="3" s="1"/>
  <c r="C1448" i="3"/>
  <c r="C1444" i="3"/>
  <c r="G1438" i="3"/>
  <c r="D1443" i="3" s="1"/>
  <c r="G1423" i="3"/>
  <c r="B1421" i="3"/>
  <c r="F1369" i="3"/>
  <c r="C1385" i="3"/>
  <c r="C1381" i="3"/>
  <c r="G1375" i="3"/>
  <c r="D1380" i="3" s="1"/>
  <c r="E1368" i="3"/>
  <c r="F1368" i="3" s="1"/>
  <c r="C1368" i="3"/>
  <c r="B1368" i="3"/>
  <c r="E1367" i="3"/>
  <c r="F1367" i="3" s="1"/>
  <c r="C1367" i="3"/>
  <c r="B1367" i="3"/>
  <c r="E1366" i="3"/>
  <c r="F1366" i="3" s="1"/>
  <c r="C1366" i="3"/>
  <c r="B1366" i="3"/>
  <c r="E1362" i="3"/>
  <c r="F1362" i="3" s="1"/>
  <c r="C1362" i="3"/>
  <c r="B1362" i="3"/>
  <c r="E1361" i="3"/>
  <c r="F1361" i="3" s="1"/>
  <c r="C1361" i="3"/>
  <c r="B1361" i="3"/>
  <c r="G1358" i="3"/>
  <c r="B1356" i="3"/>
  <c r="G1289" i="3"/>
  <c r="G1255" i="3"/>
  <c r="G1221" i="3"/>
  <c r="A120" i="66" l="1"/>
  <c r="A165" i="67"/>
  <c r="H141" i="9"/>
  <c r="I141" i="9" s="1"/>
  <c r="H142" i="9"/>
  <c r="I142" i="9" s="1"/>
  <c r="G1364" i="3"/>
  <c r="D1378" i="3" s="1"/>
  <c r="D1381" i="3" s="1"/>
  <c r="D1441" i="3"/>
  <c r="G1371" i="3"/>
  <c r="D1379" i="3" s="1"/>
  <c r="G1188" i="3"/>
  <c r="G1153" i="3"/>
  <c r="G1118" i="3"/>
  <c r="G1085" i="3"/>
  <c r="G1052" i="3"/>
  <c r="A121" i="66" l="1"/>
  <c r="A166" i="67"/>
  <c r="G1434" i="3"/>
  <c r="D1442" i="3" s="1"/>
  <c r="D1444" i="3"/>
  <c r="D1382" i="3"/>
  <c r="D1384" i="3" s="1"/>
  <c r="E875" i="3"/>
  <c r="F875" i="3" s="1"/>
  <c r="C875" i="3"/>
  <c r="B875" i="3"/>
  <c r="C23" i="65" l="1"/>
  <c r="I23" i="65" s="1"/>
  <c r="A122" i="66"/>
  <c r="A167" i="67"/>
  <c r="I146" i="9"/>
  <c r="F18" i="5"/>
  <c r="D1385" i="3"/>
  <c r="D1386" i="3" s="1"/>
  <c r="F1386" i="3" s="1"/>
  <c r="D1445" i="3"/>
  <c r="D1447" i="3" s="1"/>
  <c r="Q23" i="65" l="1"/>
  <c r="S23" i="65"/>
  <c r="O23" i="65"/>
  <c r="M23" i="65"/>
  <c r="K23" i="65"/>
  <c r="A168" i="67"/>
  <c r="A123" i="66"/>
  <c r="A125" i="66"/>
  <c r="D1448" i="3"/>
  <c r="D1449" i="3" s="1"/>
  <c r="F1449" i="3" s="1"/>
  <c r="A169" i="67" l="1"/>
  <c r="A126" i="66"/>
  <c r="A171" i="67"/>
  <c r="E1030" i="3"/>
  <c r="F1030" i="3" s="1"/>
  <c r="C1030" i="3"/>
  <c r="B1030" i="3"/>
  <c r="E1029" i="3"/>
  <c r="F1029" i="3" s="1"/>
  <c r="C1029" i="3"/>
  <c r="B1029" i="3"/>
  <c r="E1028" i="3"/>
  <c r="F1028" i="3" s="1"/>
  <c r="C1028" i="3"/>
  <c r="B1028" i="3"/>
  <c r="E1027" i="3"/>
  <c r="F1027" i="3" s="1"/>
  <c r="C1027" i="3"/>
  <c r="B1027" i="3"/>
  <c r="E1023" i="3"/>
  <c r="F1023" i="3" s="1"/>
  <c r="C1023" i="3"/>
  <c r="B1023" i="3"/>
  <c r="E1022" i="3"/>
  <c r="F1022" i="3" s="1"/>
  <c r="C1022" i="3"/>
  <c r="B1022" i="3"/>
  <c r="C1045" i="3"/>
  <c r="C1041" i="3"/>
  <c r="G1035" i="3"/>
  <c r="D1040" i="3" s="1"/>
  <c r="G1019" i="3"/>
  <c r="B1017" i="3"/>
  <c r="A127" i="66" l="1"/>
  <c r="A172" i="67"/>
  <c r="G1025" i="3"/>
  <c r="D1038" i="3" s="1"/>
  <c r="D1041" i="3" s="1"/>
  <c r="G1031" i="3"/>
  <c r="D1039" i="3" s="1"/>
  <c r="C981" i="3"/>
  <c r="C977" i="3"/>
  <c r="G971" i="3"/>
  <c r="D976" i="3" s="1"/>
  <c r="E964" i="3"/>
  <c r="F964" i="3" s="1"/>
  <c r="C964" i="3"/>
  <c r="B964" i="3"/>
  <c r="E959" i="3"/>
  <c r="F959" i="3" s="1"/>
  <c r="G962" i="3" s="1"/>
  <c r="D974" i="3" s="1"/>
  <c r="C959" i="3"/>
  <c r="B959" i="3"/>
  <c r="G956" i="3"/>
  <c r="B954" i="3"/>
  <c r="C949" i="3"/>
  <c r="C945" i="3"/>
  <c r="G939" i="3"/>
  <c r="D944" i="3" s="1"/>
  <c r="G925" i="3"/>
  <c r="B923" i="3"/>
  <c r="G894" i="3"/>
  <c r="C918" i="3"/>
  <c r="C914" i="3"/>
  <c r="G908" i="3"/>
  <c r="D913" i="3" s="1"/>
  <c r="F902" i="3"/>
  <c r="G904" i="3" s="1"/>
  <c r="D912" i="3" s="1"/>
  <c r="E898" i="3"/>
  <c r="F898" i="3" s="1"/>
  <c r="C898" i="3"/>
  <c r="B898" i="3"/>
  <c r="E897" i="3"/>
  <c r="F897" i="3" s="1"/>
  <c r="C897" i="3"/>
  <c r="B897" i="3"/>
  <c r="B892" i="3"/>
  <c r="D872" i="3"/>
  <c r="F872" i="3" s="1"/>
  <c r="D871" i="3"/>
  <c r="F871" i="3" s="1"/>
  <c r="F869" i="3"/>
  <c r="F868" i="3"/>
  <c r="E865" i="3"/>
  <c r="F865" i="3" s="1"/>
  <c r="C865" i="3"/>
  <c r="B865" i="3"/>
  <c r="E864" i="3"/>
  <c r="F864" i="3" s="1"/>
  <c r="C864" i="3"/>
  <c r="B864" i="3"/>
  <c r="C886" i="3"/>
  <c r="C882" i="3"/>
  <c r="G876" i="3"/>
  <c r="D881" i="3" s="1"/>
  <c r="G861" i="3"/>
  <c r="B859" i="3"/>
  <c r="D838" i="3"/>
  <c r="F838" i="3" s="1"/>
  <c r="D837" i="3"/>
  <c r="C854" i="3"/>
  <c r="C850" i="3"/>
  <c r="G844" i="3"/>
  <c r="D849" i="3" s="1"/>
  <c r="G829" i="3"/>
  <c r="B827" i="3"/>
  <c r="C822" i="3"/>
  <c r="C818" i="3"/>
  <c r="G812" i="3"/>
  <c r="D817" i="3" s="1"/>
  <c r="E806" i="3"/>
  <c r="F806" i="3" s="1"/>
  <c r="G808" i="3" s="1"/>
  <c r="D816" i="3" s="1"/>
  <c r="C806" i="3"/>
  <c r="B806" i="3"/>
  <c r="E802" i="3"/>
  <c r="F802" i="3" s="1"/>
  <c r="C802" i="3"/>
  <c r="B802" i="3"/>
  <c r="E801" i="3"/>
  <c r="F801" i="3" s="1"/>
  <c r="C801" i="3"/>
  <c r="B801" i="3"/>
  <c r="G798" i="3"/>
  <c r="B796" i="3"/>
  <c r="E775" i="3"/>
  <c r="F775" i="3" s="1"/>
  <c r="C775" i="3"/>
  <c r="B775" i="3"/>
  <c r="C791" i="3"/>
  <c r="C787" i="3"/>
  <c r="G781" i="3"/>
  <c r="D786" i="3" s="1"/>
  <c r="E774" i="3"/>
  <c r="F774" i="3" s="1"/>
  <c r="C774" i="3"/>
  <c r="E770" i="3"/>
  <c r="F770" i="3" s="1"/>
  <c r="C770" i="3"/>
  <c r="B770" i="3"/>
  <c r="E769" i="3"/>
  <c r="F769" i="3" s="1"/>
  <c r="C769" i="3"/>
  <c r="B769" i="3"/>
  <c r="G766" i="3"/>
  <c r="B764" i="3"/>
  <c r="G735" i="3"/>
  <c r="C759" i="3"/>
  <c r="C755" i="3"/>
  <c r="G749" i="3"/>
  <c r="D754" i="3" s="1"/>
  <c r="E743" i="3"/>
  <c r="F743" i="3" s="1"/>
  <c r="G745" i="3" s="1"/>
  <c r="D753" i="3" s="1"/>
  <c r="C743" i="3"/>
  <c r="B743" i="3"/>
  <c r="E739" i="3"/>
  <c r="F739" i="3" s="1"/>
  <c r="C739" i="3"/>
  <c r="B739" i="3"/>
  <c r="E738" i="3"/>
  <c r="F738" i="3" s="1"/>
  <c r="C738" i="3"/>
  <c r="B738" i="3"/>
  <c r="B733" i="3"/>
  <c r="D649" i="3"/>
  <c r="D648" i="3"/>
  <c r="E649" i="3"/>
  <c r="C649" i="3"/>
  <c r="B649" i="3"/>
  <c r="E648" i="3"/>
  <c r="C648" i="3"/>
  <c r="B648" i="3"/>
  <c r="C728" i="3"/>
  <c r="C724" i="3"/>
  <c r="G718" i="3"/>
  <c r="D723" i="3" s="1"/>
  <c r="E711" i="3"/>
  <c r="F711" i="3" s="1"/>
  <c r="C711" i="3"/>
  <c r="B711" i="3"/>
  <c r="E707" i="3"/>
  <c r="F707" i="3" s="1"/>
  <c r="C707" i="3"/>
  <c r="B707" i="3"/>
  <c r="E706" i="3"/>
  <c r="F706" i="3" s="1"/>
  <c r="C706" i="3"/>
  <c r="B706" i="3"/>
  <c r="G703" i="3"/>
  <c r="B701" i="3"/>
  <c r="D680" i="3"/>
  <c r="F680" i="3" s="1"/>
  <c r="C696" i="3"/>
  <c r="C692" i="3"/>
  <c r="G686" i="3"/>
  <c r="D691" i="3" s="1"/>
  <c r="E679" i="3"/>
  <c r="F679" i="3" s="1"/>
  <c r="C679" i="3"/>
  <c r="B679" i="3"/>
  <c r="E675" i="3"/>
  <c r="F675" i="3" s="1"/>
  <c r="C675" i="3"/>
  <c r="B675" i="3"/>
  <c r="E674" i="3"/>
  <c r="F674" i="3" s="1"/>
  <c r="C674" i="3"/>
  <c r="B674" i="3"/>
  <c r="G671" i="3"/>
  <c r="B669" i="3"/>
  <c r="C664" i="3"/>
  <c r="C660" i="3"/>
  <c r="G654" i="3"/>
  <c r="D659" i="3" s="1"/>
  <c r="E647" i="3"/>
  <c r="F647" i="3" s="1"/>
  <c r="C647" i="3"/>
  <c r="B647" i="3"/>
  <c r="E643" i="3"/>
  <c r="F643" i="3" s="1"/>
  <c r="C643" i="3"/>
  <c r="B643" i="3"/>
  <c r="E642" i="3"/>
  <c r="F642" i="3" s="1"/>
  <c r="C642" i="3"/>
  <c r="B642" i="3"/>
  <c r="G639" i="3"/>
  <c r="B637" i="3"/>
  <c r="C632" i="3"/>
  <c r="C628" i="3"/>
  <c r="G622" i="3"/>
  <c r="D627" i="3" s="1"/>
  <c r="E615" i="3"/>
  <c r="F615" i="3" s="1"/>
  <c r="G618" i="3" s="1"/>
  <c r="D626" i="3" s="1"/>
  <c r="C615" i="3"/>
  <c r="B615" i="3"/>
  <c r="E611" i="3"/>
  <c r="F611" i="3" s="1"/>
  <c r="C611" i="3"/>
  <c r="B611" i="3"/>
  <c r="E610" i="3"/>
  <c r="F610" i="3" s="1"/>
  <c r="C610" i="3"/>
  <c r="B610" i="3"/>
  <c r="G607" i="3"/>
  <c r="B605" i="3"/>
  <c r="C600" i="3"/>
  <c r="C596" i="3"/>
  <c r="G590" i="3"/>
  <c r="D595" i="3" s="1"/>
  <c r="E583" i="3"/>
  <c r="F583" i="3" s="1"/>
  <c r="G586" i="3" s="1"/>
  <c r="D594" i="3" s="1"/>
  <c r="C583" i="3"/>
  <c r="B583" i="3"/>
  <c r="E579" i="3"/>
  <c r="F579" i="3" s="1"/>
  <c r="C579" i="3"/>
  <c r="B579" i="3"/>
  <c r="E578" i="3"/>
  <c r="F578" i="3" s="1"/>
  <c r="C578" i="3"/>
  <c r="B578" i="3"/>
  <c r="G575" i="3"/>
  <c r="B573" i="3"/>
  <c r="C568" i="3"/>
  <c r="C564" i="3"/>
  <c r="G558" i="3"/>
  <c r="D563" i="3" s="1"/>
  <c r="E551" i="3"/>
  <c r="F551" i="3" s="1"/>
  <c r="C551" i="3"/>
  <c r="B551" i="3"/>
  <c r="E547" i="3"/>
  <c r="F547" i="3" s="1"/>
  <c r="C547" i="3"/>
  <c r="B547" i="3"/>
  <c r="E546" i="3"/>
  <c r="F546" i="3" s="1"/>
  <c r="C546" i="3"/>
  <c r="B546" i="3"/>
  <c r="G543" i="3"/>
  <c r="B541" i="3"/>
  <c r="C311" i="3"/>
  <c r="G305" i="3"/>
  <c r="D310" i="3" s="1"/>
  <c r="F298" i="3"/>
  <c r="F297" i="3"/>
  <c r="F296" i="3"/>
  <c r="F295" i="3"/>
  <c r="G293" i="3"/>
  <c r="D308" i="3" s="1"/>
  <c r="G287" i="3"/>
  <c r="B285" i="3"/>
  <c r="C276" i="3"/>
  <c r="G270" i="3"/>
  <c r="D275" i="3" s="1"/>
  <c r="F263" i="3"/>
  <c r="F262" i="3"/>
  <c r="F261" i="3"/>
  <c r="F260" i="3"/>
  <c r="G258" i="3"/>
  <c r="D273" i="3" s="1"/>
  <c r="G252" i="3"/>
  <c r="B250" i="3"/>
  <c r="D225" i="3"/>
  <c r="F225" i="3" s="1"/>
  <c r="F228" i="3"/>
  <c r="F227" i="3"/>
  <c r="C241" i="3"/>
  <c r="G235" i="3"/>
  <c r="D240" i="3" s="1"/>
  <c r="F226" i="3"/>
  <c r="G223" i="3"/>
  <c r="D238" i="3" s="1"/>
  <c r="G217" i="3"/>
  <c r="B215" i="3"/>
  <c r="C210" i="3"/>
  <c r="C206" i="3"/>
  <c r="G200" i="3"/>
  <c r="D205" i="3" s="1"/>
  <c r="E191" i="3"/>
  <c r="F191" i="3" s="1"/>
  <c r="C191" i="3"/>
  <c r="E190" i="3"/>
  <c r="F190" i="3" s="1"/>
  <c r="C190" i="3"/>
  <c r="E186" i="3"/>
  <c r="F186" i="3" s="1"/>
  <c r="C186" i="3"/>
  <c r="B186" i="3"/>
  <c r="E185" i="3"/>
  <c r="F185" i="3" s="1"/>
  <c r="C185" i="3"/>
  <c r="B185" i="3"/>
  <c r="G182" i="3"/>
  <c r="B180" i="3"/>
  <c r="C174" i="3"/>
  <c r="C170" i="3"/>
  <c r="G164" i="3"/>
  <c r="D169" i="3" s="1"/>
  <c r="E155" i="3"/>
  <c r="F155" i="3" s="1"/>
  <c r="C155" i="3"/>
  <c r="E154" i="3"/>
  <c r="F154" i="3" s="1"/>
  <c r="C154" i="3"/>
  <c r="E150" i="3"/>
  <c r="F150" i="3" s="1"/>
  <c r="C150" i="3"/>
  <c r="B150" i="3"/>
  <c r="E149" i="3"/>
  <c r="F149" i="3" s="1"/>
  <c r="C149" i="3"/>
  <c r="B149" i="3"/>
  <c r="G146" i="3"/>
  <c r="B144" i="3"/>
  <c r="E120" i="3"/>
  <c r="E119" i="3"/>
  <c r="C120" i="3"/>
  <c r="C119" i="3"/>
  <c r="E88" i="3"/>
  <c r="C88" i="3"/>
  <c r="E87" i="3"/>
  <c r="C87" i="3"/>
  <c r="A128" i="66" l="1"/>
  <c r="A173" i="67"/>
  <c r="D1042" i="3"/>
  <c r="D1044" i="3" s="1"/>
  <c r="G967" i="3"/>
  <c r="D975" i="3" s="1"/>
  <c r="D977" i="3"/>
  <c r="G935" i="3"/>
  <c r="D943" i="3" s="1"/>
  <c r="D942" i="3"/>
  <c r="G900" i="3"/>
  <c r="D911" i="3" s="1"/>
  <c r="G804" i="3"/>
  <c r="D815" i="3" s="1"/>
  <c r="D818" i="3" s="1"/>
  <c r="D819" i="3" s="1"/>
  <c r="D821" i="3" s="1"/>
  <c r="G266" i="3"/>
  <c r="D274" i="3" s="1"/>
  <c r="G873" i="3"/>
  <c r="D880" i="3" s="1"/>
  <c r="G866" i="3"/>
  <c r="D879" i="3" s="1"/>
  <c r="F837" i="3"/>
  <c r="G777" i="3"/>
  <c r="D785" i="3" s="1"/>
  <c r="G772" i="3"/>
  <c r="D784" i="3" s="1"/>
  <c r="D787" i="3" s="1"/>
  <c r="G677" i="3"/>
  <c r="D689" i="3" s="1"/>
  <c r="D692" i="3" s="1"/>
  <c r="F649" i="3"/>
  <c r="G741" i="3"/>
  <c r="D752" i="3" s="1"/>
  <c r="F648" i="3"/>
  <c r="G709" i="3"/>
  <c r="D721" i="3" s="1"/>
  <c r="D724" i="3" s="1"/>
  <c r="G682" i="3"/>
  <c r="D690" i="3" s="1"/>
  <c r="G714" i="3"/>
  <c r="D722" i="3" s="1"/>
  <c r="G613" i="3"/>
  <c r="D625" i="3" s="1"/>
  <c r="D628" i="3" s="1"/>
  <c r="G645" i="3"/>
  <c r="D657" i="3" s="1"/>
  <c r="G549" i="3"/>
  <c r="D561" i="3" s="1"/>
  <c r="D564" i="3" s="1"/>
  <c r="G581" i="3"/>
  <c r="D593" i="3" s="1"/>
  <c r="D596" i="3" s="1"/>
  <c r="D597" i="3" s="1"/>
  <c r="D599" i="3" s="1"/>
  <c r="G554" i="3"/>
  <c r="D562" i="3" s="1"/>
  <c r="G301" i="3"/>
  <c r="D309" i="3" s="1"/>
  <c r="D311" i="3"/>
  <c r="D276" i="3"/>
  <c r="G160" i="3"/>
  <c r="D168" i="3" s="1"/>
  <c r="G196" i="3"/>
  <c r="D204" i="3" s="1"/>
  <c r="G231" i="3"/>
  <c r="D239" i="3" s="1"/>
  <c r="D241" i="3"/>
  <c r="G188" i="3"/>
  <c r="D203" i="3" s="1"/>
  <c r="G152" i="3"/>
  <c r="D167" i="3" s="1"/>
  <c r="D170" i="3" s="1"/>
  <c r="B8" i="3"/>
  <c r="E21" i="3"/>
  <c r="F21" i="3" s="1"/>
  <c r="C21" i="3"/>
  <c r="B21" i="3"/>
  <c r="A129" i="66" l="1"/>
  <c r="A174" i="67"/>
  <c r="D1045" i="3"/>
  <c r="D1046" i="3" s="1"/>
  <c r="F1046" i="3" s="1"/>
  <c r="G835" i="3"/>
  <c r="D847" i="3" s="1"/>
  <c r="D850" i="3" s="1"/>
  <c r="D277" i="3"/>
  <c r="D279" i="3" s="1"/>
  <c r="D978" i="3"/>
  <c r="D980" i="3" s="1"/>
  <c r="D945" i="3"/>
  <c r="D946" i="3" s="1"/>
  <c r="D948" i="3" s="1"/>
  <c r="D914" i="3"/>
  <c r="D915" i="3" s="1"/>
  <c r="D917" i="3" s="1"/>
  <c r="G840" i="3"/>
  <c r="D848" i="3" s="1"/>
  <c r="D882" i="3"/>
  <c r="D883" i="3" s="1"/>
  <c r="D885" i="3" s="1"/>
  <c r="D822" i="3"/>
  <c r="D823" i="3" s="1"/>
  <c r="D788" i="3"/>
  <c r="D790" i="3" s="1"/>
  <c r="G650" i="3"/>
  <c r="D658" i="3" s="1"/>
  <c r="D755" i="3"/>
  <c r="D756" i="3" s="1"/>
  <c r="D758" i="3" s="1"/>
  <c r="D725" i="3"/>
  <c r="D727" i="3" s="1"/>
  <c r="D693" i="3"/>
  <c r="D695" i="3" s="1"/>
  <c r="D629" i="3"/>
  <c r="D631" i="3" s="1"/>
  <c r="D660" i="3"/>
  <c r="D565" i="3"/>
  <c r="D567" i="3" s="1"/>
  <c r="D600" i="3"/>
  <c r="D601" i="3" s="1"/>
  <c r="D312" i="3"/>
  <c r="D314" i="3" s="1"/>
  <c r="D171" i="3"/>
  <c r="D173" i="3" s="1"/>
  <c r="D242" i="3"/>
  <c r="D244" i="3" s="1"/>
  <c r="D206" i="3"/>
  <c r="D207" i="3" s="1"/>
  <c r="D209" i="3" s="1"/>
  <c r="G23" i="3"/>
  <c r="D360" i="3"/>
  <c r="F360" i="3" s="1"/>
  <c r="D362" i="3"/>
  <c r="D361" i="3"/>
  <c r="F359" i="3"/>
  <c r="D329" i="3"/>
  <c r="F329" i="3" s="1"/>
  <c r="D331" i="3"/>
  <c r="D330" i="3"/>
  <c r="A130" i="66" l="1"/>
  <c r="A175" i="67"/>
  <c r="D280" i="3"/>
  <c r="D281" i="3" s="1"/>
  <c r="F281" i="3" s="1"/>
  <c r="D315" i="3"/>
  <c r="D316" i="3" s="1"/>
  <c r="F316" i="3" s="1"/>
  <c r="D245" i="3"/>
  <c r="D246" i="3" s="1"/>
  <c r="F246" i="3" s="1"/>
  <c r="D728" i="3"/>
  <c r="D729" i="3" s="1"/>
  <c r="F729" i="3" s="1"/>
  <c r="D568" i="3"/>
  <c r="D569" i="3" s="1"/>
  <c r="F569" i="3" s="1"/>
  <c r="D696" i="3"/>
  <c r="D697" i="3" s="1"/>
  <c r="F697" i="3" s="1"/>
  <c r="D791" i="3"/>
  <c r="D792" i="3" s="1"/>
  <c r="F792" i="3" s="1"/>
  <c r="D981" i="3"/>
  <c r="D982" i="3" s="1"/>
  <c r="F982" i="3" s="1"/>
  <c r="D174" i="3"/>
  <c r="D175" i="3" s="1"/>
  <c r="F175" i="3" s="1"/>
  <c r="D851" i="3"/>
  <c r="D853" i="3" s="1"/>
  <c r="D949" i="3"/>
  <c r="D950" i="3" s="1"/>
  <c r="D918" i="3"/>
  <c r="D919" i="3" s="1"/>
  <c r="D886" i="3"/>
  <c r="D887" i="3" s="1"/>
  <c r="F823" i="3"/>
  <c r="D661" i="3"/>
  <c r="D663" i="3" s="1"/>
  <c r="D759" i="3"/>
  <c r="D760" i="3" s="1"/>
  <c r="D632" i="3"/>
  <c r="D633" i="3" s="1"/>
  <c r="F601" i="3"/>
  <c r="D210" i="3"/>
  <c r="D211" i="3" s="1"/>
  <c r="E1529" i="3"/>
  <c r="C1529" i="3"/>
  <c r="B1529" i="3"/>
  <c r="E1400" i="3"/>
  <c r="C1400" i="3"/>
  <c r="B1400" i="3"/>
  <c r="E1335" i="3"/>
  <c r="C1335" i="3"/>
  <c r="B1335" i="3"/>
  <c r="E1301" i="3"/>
  <c r="C1301" i="3"/>
  <c r="B1301" i="3"/>
  <c r="E1266" i="3"/>
  <c r="C1266" i="3"/>
  <c r="B1266" i="3"/>
  <c r="E1232" i="3"/>
  <c r="F1232" i="3" s="1"/>
  <c r="C1232" i="3"/>
  <c r="B1232" i="3"/>
  <c r="A131" i="66" l="1"/>
  <c r="A176" i="67"/>
  <c r="D854" i="3"/>
  <c r="D855" i="3" s="1"/>
  <c r="F855" i="3" s="1"/>
  <c r="D664" i="3"/>
  <c r="D665" i="3" s="1"/>
  <c r="F665" i="3" s="1"/>
  <c r="F950" i="3"/>
  <c r="F919" i="3"/>
  <c r="F887" i="3"/>
  <c r="F760" i="3"/>
  <c r="F633" i="3"/>
  <c r="F211" i="3"/>
  <c r="A132" i="66" l="1"/>
  <c r="A177" i="67"/>
  <c r="F1891" i="3"/>
  <c r="F1890" i="3"/>
  <c r="C1907" i="3"/>
  <c r="C1903" i="3"/>
  <c r="G1897" i="3"/>
  <c r="D1902" i="3" s="1"/>
  <c r="G1887" i="3"/>
  <c r="D1900" i="3" s="1"/>
  <c r="B1880" i="3"/>
  <c r="C1875" i="3"/>
  <c r="C1871" i="3"/>
  <c r="G1865" i="3"/>
  <c r="D1870" i="3" s="1"/>
  <c r="F1859" i="3"/>
  <c r="E1855" i="3"/>
  <c r="F1855" i="3" s="1"/>
  <c r="G1857" i="3" s="1"/>
  <c r="D1868" i="3" s="1"/>
  <c r="C1855" i="3"/>
  <c r="B1855" i="3"/>
  <c r="B1850" i="3"/>
  <c r="C1845" i="3"/>
  <c r="C1841" i="3"/>
  <c r="G1835" i="3"/>
  <c r="D1840" i="3" s="1"/>
  <c r="F1829" i="3"/>
  <c r="G1831" i="3" s="1"/>
  <c r="D1839" i="3" s="1"/>
  <c r="E1825" i="3"/>
  <c r="F1825" i="3" s="1"/>
  <c r="G1827" i="3" s="1"/>
  <c r="D1838" i="3" s="1"/>
  <c r="C1825" i="3"/>
  <c r="B1825" i="3"/>
  <c r="B1820" i="3"/>
  <c r="C1815" i="3"/>
  <c r="C1811" i="3"/>
  <c r="G1805" i="3"/>
  <c r="D1810" i="3" s="1"/>
  <c r="F1799" i="3"/>
  <c r="G1801" i="3" s="1"/>
  <c r="D1809" i="3" s="1"/>
  <c r="E1795" i="3"/>
  <c r="F1795" i="3" s="1"/>
  <c r="G1797" i="3" s="1"/>
  <c r="D1808" i="3" s="1"/>
  <c r="C1795" i="3"/>
  <c r="B1795" i="3"/>
  <c r="B1790" i="3"/>
  <c r="C1785" i="3"/>
  <c r="C1781" i="3"/>
  <c r="G1775" i="3"/>
  <c r="D1780" i="3" s="1"/>
  <c r="F1769" i="3"/>
  <c r="E1765" i="3"/>
  <c r="F1765" i="3" s="1"/>
  <c r="G1767" i="3" s="1"/>
  <c r="D1778" i="3" s="1"/>
  <c r="C1765" i="3"/>
  <c r="B1765" i="3"/>
  <c r="B1760" i="3"/>
  <c r="C1755" i="3"/>
  <c r="C1751" i="3"/>
  <c r="G1745" i="3"/>
  <c r="D1750" i="3" s="1"/>
  <c r="F1739" i="3"/>
  <c r="G1741" i="3" s="1"/>
  <c r="D1749" i="3" s="1"/>
  <c r="E1735" i="3"/>
  <c r="F1735" i="3" s="1"/>
  <c r="G1737" i="3" s="1"/>
  <c r="D1748" i="3" s="1"/>
  <c r="C1735" i="3"/>
  <c r="B1735" i="3"/>
  <c r="B1730" i="3"/>
  <c r="C1696" i="3"/>
  <c r="C1692" i="3"/>
  <c r="G1686" i="3"/>
  <c r="D1691" i="3" s="1"/>
  <c r="G1683" i="3"/>
  <c r="D1690" i="3" s="1"/>
  <c r="E1677" i="3"/>
  <c r="F1677" i="3" s="1"/>
  <c r="G1679" i="3" s="1"/>
  <c r="D1689" i="3" s="1"/>
  <c r="C1677" i="3"/>
  <c r="B1677" i="3"/>
  <c r="B1672" i="3"/>
  <c r="C1667" i="3"/>
  <c r="C1663" i="3"/>
  <c r="G1657" i="3"/>
  <c r="D1662" i="3" s="1"/>
  <c r="F1652" i="3"/>
  <c r="G1654" i="3" s="1"/>
  <c r="D1661" i="3" s="1"/>
  <c r="E1648" i="3"/>
  <c r="F1648" i="3" s="1"/>
  <c r="G1650" i="3" s="1"/>
  <c r="D1660" i="3" s="1"/>
  <c r="C1648" i="3"/>
  <c r="B1648" i="3"/>
  <c r="B1643" i="3"/>
  <c r="C1638" i="3"/>
  <c r="C1634" i="3"/>
  <c r="G1628" i="3"/>
  <c r="D1633" i="3" s="1"/>
  <c r="F1622" i="3"/>
  <c r="G1624" i="3" s="1"/>
  <c r="D1632" i="3" s="1"/>
  <c r="E1618" i="3"/>
  <c r="F1618" i="3" s="1"/>
  <c r="C1618" i="3"/>
  <c r="B1618" i="3"/>
  <c r="E1617" i="3"/>
  <c r="F1617" i="3" s="1"/>
  <c r="C1617" i="3"/>
  <c r="B1617" i="3"/>
  <c r="B1612" i="3"/>
  <c r="C1607" i="3"/>
  <c r="C1603" i="3"/>
  <c r="G1597" i="3"/>
  <c r="D1602" i="3" s="1"/>
  <c r="F1591" i="3"/>
  <c r="G1593" i="3" s="1"/>
  <c r="D1601" i="3" s="1"/>
  <c r="E1587" i="3"/>
  <c r="F1587" i="3" s="1"/>
  <c r="C1587" i="3"/>
  <c r="B1587" i="3"/>
  <c r="E1586" i="3"/>
  <c r="F1586" i="3" s="1"/>
  <c r="C1586" i="3"/>
  <c r="B1586" i="3"/>
  <c r="B1581" i="3"/>
  <c r="E1556" i="3"/>
  <c r="F1556" i="3" s="1"/>
  <c r="C1556" i="3"/>
  <c r="B1556" i="3"/>
  <c r="E1555" i="3"/>
  <c r="F1555" i="3" s="1"/>
  <c r="C1555" i="3"/>
  <c r="B1555" i="3"/>
  <c r="C1576" i="3"/>
  <c r="C1572" i="3"/>
  <c r="G1566" i="3"/>
  <c r="D1571" i="3" s="1"/>
  <c r="F1560" i="3"/>
  <c r="G1562" i="3" s="1"/>
  <c r="D1570" i="3" s="1"/>
  <c r="B1550" i="3"/>
  <c r="F120" i="3"/>
  <c r="F88" i="3"/>
  <c r="C1545" i="3"/>
  <c r="C1541" i="3"/>
  <c r="G1535" i="3"/>
  <c r="D1540" i="3" s="1"/>
  <c r="F1529" i="3"/>
  <c r="G1531" i="3" s="1"/>
  <c r="D1539" i="3" s="1"/>
  <c r="E1525" i="3"/>
  <c r="F1525" i="3" s="1"/>
  <c r="C1525" i="3"/>
  <c r="B1525" i="3"/>
  <c r="E1524" i="3"/>
  <c r="F1524" i="3" s="1"/>
  <c r="C1524" i="3"/>
  <c r="B1524" i="3"/>
  <c r="G1521" i="3"/>
  <c r="B1519" i="3"/>
  <c r="C1514" i="3"/>
  <c r="C1510" i="3"/>
  <c r="G1504" i="3"/>
  <c r="D1509" i="3" s="1"/>
  <c r="F1498" i="3"/>
  <c r="E1497" i="3"/>
  <c r="F1497" i="3" s="1"/>
  <c r="C1497" i="3"/>
  <c r="B1497" i="3"/>
  <c r="E1496" i="3"/>
  <c r="F1496" i="3" s="1"/>
  <c r="C1496" i="3"/>
  <c r="B1496" i="3"/>
  <c r="E1492" i="3"/>
  <c r="F1492" i="3" s="1"/>
  <c r="C1492" i="3"/>
  <c r="B1492" i="3"/>
  <c r="E1491" i="3"/>
  <c r="F1491" i="3" s="1"/>
  <c r="C1491" i="3"/>
  <c r="B1491" i="3"/>
  <c r="G1488" i="3"/>
  <c r="B1486" i="3"/>
  <c r="A134" i="66" l="1"/>
  <c r="A178" i="67"/>
  <c r="F15" i="5"/>
  <c r="G1771" i="3"/>
  <c r="D1779" i="3" s="1"/>
  <c r="G1861" i="3"/>
  <c r="D1869" i="3" s="1"/>
  <c r="G1500" i="3"/>
  <c r="D1508" i="3" s="1"/>
  <c r="D1903" i="3"/>
  <c r="G1589" i="3"/>
  <c r="D1600" i="3" s="1"/>
  <c r="D1603" i="3" s="1"/>
  <c r="D1604" i="3" s="1"/>
  <c r="D1606" i="3" s="1"/>
  <c r="D1871" i="3"/>
  <c r="D1841" i="3"/>
  <c r="D1842" i="3" s="1"/>
  <c r="D1844" i="3" s="1"/>
  <c r="D1811" i="3"/>
  <c r="D1812" i="3" s="1"/>
  <c r="D1814" i="3" s="1"/>
  <c r="D1781" i="3"/>
  <c r="D1751" i="3"/>
  <c r="D1752" i="3" s="1"/>
  <c r="D1754" i="3" s="1"/>
  <c r="D1692" i="3"/>
  <c r="D1693" i="3" s="1"/>
  <c r="D1695" i="3" s="1"/>
  <c r="D1663" i="3"/>
  <c r="D1664" i="3" s="1"/>
  <c r="D1666" i="3" s="1"/>
  <c r="G1620" i="3"/>
  <c r="D1631" i="3" s="1"/>
  <c r="G1558" i="3"/>
  <c r="D1569" i="3" s="1"/>
  <c r="D1572" i="3" s="1"/>
  <c r="D1573" i="3" s="1"/>
  <c r="D1575" i="3" s="1"/>
  <c r="G1527" i="3"/>
  <c r="D1538" i="3" s="1"/>
  <c r="D1541" i="3" s="1"/>
  <c r="D1542" i="3" s="1"/>
  <c r="D1544" i="3" s="1"/>
  <c r="G1494" i="3"/>
  <c r="D1507" i="3" s="1"/>
  <c r="D1510" i="3" s="1"/>
  <c r="E1464" i="3"/>
  <c r="F1464" i="3" s="1"/>
  <c r="C1464" i="3"/>
  <c r="B1464" i="3"/>
  <c r="C1481" i="3"/>
  <c r="C1477" i="3"/>
  <c r="G1471" i="3"/>
  <c r="D1476" i="3" s="1"/>
  <c r="E1463" i="3"/>
  <c r="F1463" i="3" s="1"/>
  <c r="C1463" i="3"/>
  <c r="B1463" i="3"/>
  <c r="E1459" i="3"/>
  <c r="F1459" i="3" s="1"/>
  <c r="C1459" i="3"/>
  <c r="B1459" i="3"/>
  <c r="E1458" i="3"/>
  <c r="F1458" i="3" s="1"/>
  <c r="C1458" i="3"/>
  <c r="B1458" i="3"/>
  <c r="G1455" i="3"/>
  <c r="B1453" i="3"/>
  <c r="C1416" i="3"/>
  <c r="C1412" i="3"/>
  <c r="G1406" i="3"/>
  <c r="D1411" i="3" s="1"/>
  <c r="F1400" i="3"/>
  <c r="E1396" i="3"/>
  <c r="F1396" i="3" s="1"/>
  <c r="C1396" i="3"/>
  <c r="B1396" i="3"/>
  <c r="E1395" i="3"/>
  <c r="F1395" i="3" s="1"/>
  <c r="C1395" i="3"/>
  <c r="B1395" i="3"/>
  <c r="G1392" i="3"/>
  <c r="B1390" i="3"/>
  <c r="C1351" i="3"/>
  <c r="C1347" i="3"/>
  <c r="G1341" i="3"/>
  <c r="D1346" i="3" s="1"/>
  <c r="F1335" i="3"/>
  <c r="E1334" i="3"/>
  <c r="F1334" i="3" s="1"/>
  <c r="C1334" i="3"/>
  <c r="B1334" i="3"/>
  <c r="E1333" i="3"/>
  <c r="F1333" i="3" s="1"/>
  <c r="C1333" i="3"/>
  <c r="B1333" i="3"/>
  <c r="E1332" i="3"/>
  <c r="F1332" i="3" s="1"/>
  <c r="C1332" i="3"/>
  <c r="B1332" i="3"/>
  <c r="E1328" i="3"/>
  <c r="F1328" i="3" s="1"/>
  <c r="C1328" i="3"/>
  <c r="B1328" i="3"/>
  <c r="E1327" i="3"/>
  <c r="F1327" i="3" s="1"/>
  <c r="C1327" i="3"/>
  <c r="B1327" i="3"/>
  <c r="G1324" i="3"/>
  <c r="B1322" i="3"/>
  <c r="E1300" i="3"/>
  <c r="F1300" i="3" s="1"/>
  <c r="C1300" i="3"/>
  <c r="B1300" i="3"/>
  <c r="C1317" i="3"/>
  <c r="C1313" i="3"/>
  <c r="G1307" i="3"/>
  <c r="D1312" i="3" s="1"/>
  <c r="F1301" i="3"/>
  <c r="E1299" i="3"/>
  <c r="F1299" i="3" s="1"/>
  <c r="C1299" i="3"/>
  <c r="B1299" i="3"/>
  <c r="E1298" i="3"/>
  <c r="F1298" i="3" s="1"/>
  <c r="C1298" i="3"/>
  <c r="B1298" i="3"/>
  <c r="E1297" i="3"/>
  <c r="F1297" i="3" s="1"/>
  <c r="C1297" i="3"/>
  <c r="B1297" i="3"/>
  <c r="E1293" i="3"/>
  <c r="F1293" i="3" s="1"/>
  <c r="C1293" i="3"/>
  <c r="B1293" i="3"/>
  <c r="E1292" i="3"/>
  <c r="F1292" i="3" s="1"/>
  <c r="C1292" i="3"/>
  <c r="B1292" i="3"/>
  <c r="B1287" i="3"/>
  <c r="C1282" i="3"/>
  <c r="C1278" i="3"/>
  <c r="G1272" i="3"/>
  <c r="D1277" i="3" s="1"/>
  <c r="F1266" i="3"/>
  <c r="E1265" i="3"/>
  <c r="F1265" i="3" s="1"/>
  <c r="C1265" i="3"/>
  <c r="B1265" i="3"/>
  <c r="E1264" i="3"/>
  <c r="F1264" i="3" s="1"/>
  <c r="C1264" i="3"/>
  <c r="B1264" i="3"/>
  <c r="E1263" i="3"/>
  <c r="F1263" i="3" s="1"/>
  <c r="C1263" i="3"/>
  <c r="B1263" i="3"/>
  <c r="E1259" i="3"/>
  <c r="F1259" i="3" s="1"/>
  <c r="C1259" i="3"/>
  <c r="B1259" i="3"/>
  <c r="E1258" i="3"/>
  <c r="F1258" i="3" s="1"/>
  <c r="C1258" i="3"/>
  <c r="B1258" i="3"/>
  <c r="B1253" i="3"/>
  <c r="E1231" i="3"/>
  <c r="F1231" i="3" s="1"/>
  <c r="C1231" i="3"/>
  <c r="B1231" i="3"/>
  <c r="E1230" i="3"/>
  <c r="F1230" i="3" s="1"/>
  <c r="C1230" i="3"/>
  <c r="B1230" i="3"/>
  <c r="E1229" i="3"/>
  <c r="F1229" i="3" s="1"/>
  <c r="C1229" i="3"/>
  <c r="B1229" i="3"/>
  <c r="C1248" i="3"/>
  <c r="C1244" i="3"/>
  <c r="G1238" i="3"/>
  <c r="D1243" i="3" s="1"/>
  <c r="E1225" i="3"/>
  <c r="F1225" i="3" s="1"/>
  <c r="C1225" i="3"/>
  <c r="B1225" i="3"/>
  <c r="E1224" i="3"/>
  <c r="F1224" i="3" s="1"/>
  <c r="C1224" i="3"/>
  <c r="B1224" i="3"/>
  <c r="B1219" i="3"/>
  <c r="C1214" i="3"/>
  <c r="C1210" i="3"/>
  <c r="G1204" i="3"/>
  <c r="D1209" i="3" s="1"/>
  <c r="F1198" i="3"/>
  <c r="F1197" i="3"/>
  <c r="F1196" i="3"/>
  <c r="E1192" i="3"/>
  <c r="F1192" i="3" s="1"/>
  <c r="C1192" i="3"/>
  <c r="B1192" i="3"/>
  <c r="E1191" i="3"/>
  <c r="F1191" i="3" s="1"/>
  <c r="C1191" i="3"/>
  <c r="B1191" i="3"/>
  <c r="B1186" i="3"/>
  <c r="A135" i="66" l="1"/>
  <c r="A180" i="67"/>
  <c r="H128" i="9"/>
  <c r="I128" i="9" s="1"/>
  <c r="D1782" i="3"/>
  <c r="D1784" i="3" s="1"/>
  <c r="D1872" i="3"/>
  <c r="D1874" i="3" s="1"/>
  <c r="G1268" i="3"/>
  <c r="D1276" i="3" s="1"/>
  <c r="D1511" i="3"/>
  <c r="D1513" i="3" s="1"/>
  <c r="G1303" i="3"/>
  <c r="D1311" i="3" s="1"/>
  <c r="G1330" i="3"/>
  <c r="D1344" i="3" s="1"/>
  <c r="D1347" i="3" s="1"/>
  <c r="G1337" i="3"/>
  <c r="D1345" i="3" s="1"/>
  <c r="D1845" i="3"/>
  <c r="D1846" i="3" s="1"/>
  <c r="D1815" i="3"/>
  <c r="D1816" i="3" s="1"/>
  <c r="D1755" i="3"/>
  <c r="D1756" i="3" s="1"/>
  <c r="D1696" i="3"/>
  <c r="D1697" i="3" s="1"/>
  <c r="D1667" i="3"/>
  <c r="D1668" i="3" s="1"/>
  <c r="D1634" i="3"/>
  <c r="D1635" i="3" s="1"/>
  <c r="D1637" i="3" s="1"/>
  <c r="D1607" i="3"/>
  <c r="D1608" i="3" s="1"/>
  <c r="D1576" i="3"/>
  <c r="D1577" i="3" s="1"/>
  <c r="D1545" i="3"/>
  <c r="D1546" i="3" s="1"/>
  <c r="G1467" i="3"/>
  <c r="D1475" i="3" s="1"/>
  <c r="G1461" i="3"/>
  <c r="D1474" i="3" s="1"/>
  <c r="D1477" i="3" s="1"/>
  <c r="G1398" i="3"/>
  <c r="D1409" i="3" s="1"/>
  <c r="D1412" i="3" s="1"/>
  <c r="G1402" i="3"/>
  <c r="D1410" i="3" s="1"/>
  <c r="G1261" i="3"/>
  <c r="D1275" i="3" s="1"/>
  <c r="D1278" i="3" s="1"/>
  <c r="G1295" i="3"/>
  <c r="D1310" i="3" s="1"/>
  <c r="D1313" i="3" s="1"/>
  <c r="G1234" i="3"/>
  <c r="D1242" i="3" s="1"/>
  <c r="G1227" i="3"/>
  <c r="D1241" i="3" s="1"/>
  <c r="D1244" i="3" s="1"/>
  <c r="G1200" i="3"/>
  <c r="D1208" i="3" s="1"/>
  <c r="G1194" i="3"/>
  <c r="D1207" i="3" s="1"/>
  <c r="D1210" i="3" s="1"/>
  <c r="A187" i="67" l="1"/>
  <c r="D1875" i="3"/>
  <c r="D1876" i="3" s="1"/>
  <c r="F1876" i="3" s="1"/>
  <c r="D1514" i="3"/>
  <c r="D1515" i="3" s="1"/>
  <c r="F1515" i="3" s="1"/>
  <c r="D1785" i="3"/>
  <c r="D1786" i="3" s="1"/>
  <c r="F1786" i="3" s="1"/>
  <c r="H129" i="9"/>
  <c r="I129" i="9" s="1"/>
  <c r="F1756" i="3"/>
  <c r="F1846" i="3"/>
  <c r="F1546" i="3"/>
  <c r="F1608" i="3"/>
  <c r="F1697" i="3"/>
  <c r="F1816" i="3"/>
  <c r="F1577" i="3"/>
  <c r="F1668" i="3"/>
  <c r="D1638" i="3"/>
  <c r="D1639" i="3" s="1"/>
  <c r="D1478" i="3"/>
  <c r="D1480" i="3" s="1"/>
  <c r="D1413" i="3"/>
  <c r="D1415" i="3" s="1"/>
  <c r="D1348" i="3"/>
  <c r="D1350" i="3" s="1"/>
  <c r="D1314" i="3"/>
  <c r="D1316" i="3" s="1"/>
  <c r="D1279" i="3"/>
  <c r="D1281" i="3" s="1"/>
  <c r="D1245" i="3"/>
  <c r="D1247" i="3" s="1"/>
  <c r="D1211" i="3"/>
  <c r="D1213" i="3" s="1"/>
  <c r="C1181" i="3"/>
  <c r="C1177" i="3"/>
  <c r="G1171" i="3"/>
  <c r="D1176" i="3" s="1"/>
  <c r="E1162" i="3"/>
  <c r="F1162" i="3" s="1"/>
  <c r="C1162" i="3"/>
  <c r="B1162" i="3"/>
  <c r="E1161" i="3"/>
  <c r="F1161" i="3" s="1"/>
  <c r="C1161" i="3"/>
  <c r="B1161" i="3"/>
  <c r="E1157" i="3"/>
  <c r="F1157" i="3" s="1"/>
  <c r="C1157" i="3"/>
  <c r="B1157" i="3"/>
  <c r="E1156" i="3"/>
  <c r="F1156" i="3" s="1"/>
  <c r="C1156" i="3"/>
  <c r="B1156" i="3"/>
  <c r="B1151" i="3"/>
  <c r="C1146" i="3"/>
  <c r="C1142" i="3"/>
  <c r="G1136" i="3"/>
  <c r="D1141" i="3" s="1"/>
  <c r="F1128" i="3"/>
  <c r="E1127" i="3"/>
  <c r="F1127" i="3" s="1"/>
  <c r="C1127" i="3"/>
  <c r="B1127" i="3"/>
  <c r="E1126" i="3"/>
  <c r="F1126" i="3" s="1"/>
  <c r="C1126" i="3"/>
  <c r="B1126" i="3"/>
  <c r="E1122" i="3"/>
  <c r="F1122" i="3" s="1"/>
  <c r="C1122" i="3"/>
  <c r="B1122" i="3"/>
  <c r="E1121" i="3"/>
  <c r="F1121" i="3" s="1"/>
  <c r="C1121" i="3"/>
  <c r="B1121" i="3"/>
  <c r="B1116" i="3"/>
  <c r="C1111" i="3"/>
  <c r="C1107" i="3"/>
  <c r="G1101" i="3"/>
  <c r="D1106" i="3" s="1"/>
  <c r="F1095" i="3"/>
  <c r="E1094" i="3"/>
  <c r="F1094" i="3" s="1"/>
  <c r="C1094" i="3"/>
  <c r="B1094" i="3"/>
  <c r="E1093" i="3"/>
  <c r="F1093" i="3" s="1"/>
  <c r="C1093" i="3"/>
  <c r="B1093" i="3"/>
  <c r="E1089" i="3"/>
  <c r="F1089" i="3" s="1"/>
  <c r="C1089" i="3"/>
  <c r="B1089" i="3"/>
  <c r="E1088" i="3"/>
  <c r="F1088" i="3" s="1"/>
  <c r="C1088" i="3"/>
  <c r="B1088" i="3"/>
  <c r="B1083" i="3"/>
  <c r="F1062" i="3"/>
  <c r="C1078" i="3"/>
  <c r="C1074" i="3"/>
  <c r="G1068" i="3"/>
  <c r="D1073" i="3" s="1"/>
  <c r="E1061" i="3"/>
  <c r="F1061" i="3" s="1"/>
  <c r="C1061" i="3"/>
  <c r="B1061" i="3"/>
  <c r="E1060" i="3"/>
  <c r="F1060" i="3" s="1"/>
  <c r="C1060" i="3"/>
  <c r="B1060" i="3"/>
  <c r="E1056" i="3"/>
  <c r="F1056" i="3" s="1"/>
  <c r="C1056" i="3"/>
  <c r="B1056" i="3"/>
  <c r="E1055" i="3"/>
  <c r="F1055" i="3" s="1"/>
  <c r="C1055" i="3"/>
  <c r="B1055" i="3"/>
  <c r="B1050" i="3"/>
  <c r="C1012" i="3"/>
  <c r="C1008" i="3"/>
  <c r="G1002" i="3"/>
  <c r="D1007" i="3" s="1"/>
  <c r="F996" i="3"/>
  <c r="G988" i="3"/>
  <c r="B986" i="3"/>
  <c r="D1416" i="3" l="1"/>
  <c r="D1417" i="3" s="1"/>
  <c r="F1417" i="3" s="1"/>
  <c r="D1481" i="3"/>
  <c r="D1482" i="3" s="1"/>
  <c r="F1482" i="3" s="1"/>
  <c r="D1214" i="3"/>
  <c r="D1215" i="3" s="1"/>
  <c r="F1215" i="3" s="1"/>
  <c r="D1248" i="3"/>
  <c r="D1249" i="3" s="1"/>
  <c r="F1249" i="3" s="1"/>
  <c r="D1282" i="3"/>
  <c r="D1283" i="3" s="1"/>
  <c r="F1283" i="3" s="1"/>
  <c r="D1351" i="3"/>
  <c r="D1352" i="3" s="1"/>
  <c r="F1352" i="3" s="1"/>
  <c r="D1317" i="3"/>
  <c r="D1318" i="3" s="1"/>
  <c r="F1318" i="3" s="1"/>
  <c r="F1639" i="3"/>
  <c r="G1159" i="3"/>
  <c r="D1174" i="3" s="1"/>
  <c r="D1177" i="3" s="1"/>
  <c r="G1097" i="3"/>
  <c r="D1105" i="3" s="1"/>
  <c r="G994" i="3"/>
  <c r="D1005" i="3" s="1"/>
  <c r="D1008" i="3" s="1"/>
  <c r="G1124" i="3"/>
  <c r="D1139" i="3" s="1"/>
  <c r="D1142" i="3" s="1"/>
  <c r="G1132" i="3"/>
  <c r="D1140" i="3" s="1"/>
  <c r="G1167" i="3"/>
  <c r="D1175" i="3" s="1"/>
  <c r="G1091" i="3"/>
  <c r="D1104" i="3" s="1"/>
  <c r="D1107" i="3" s="1"/>
  <c r="G1064" i="3"/>
  <c r="D1072" i="3" s="1"/>
  <c r="G1058" i="3"/>
  <c r="D1071" i="3" s="1"/>
  <c r="D1074" i="3" s="1"/>
  <c r="G998" i="3"/>
  <c r="D1006" i="3" s="1"/>
  <c r="C22" i="65" l="1"/>
  <c r="Q22" i="65" s="1"/>
  <c r="I133" i="9"/>
  <c r="D1108" i="3"/>
  <c r="D1110" i="3" s="1"/>
  <c r="D1178" i="3"/>
  <c r="D1180" i="3" s="1"/>
  <c r="D1143" i="3"/>
  <c r="D1145" i="3" s="1"/>
  <c r="D1009" i="3"/>
  <c r="D1011" i="3" s="1"/>
  <c r="D1075" i="3"/>
  <c r="D1077" i="3" s="1"/>
  <c r="F395" i="3"/>
  <c r="E388" i="3"/>
  <c r="F388" i="3" s="1"/>
  <c r="C388" i="3"/>
  <c r="B388" i="3"/>
  <c r="E387" i="3"/>
  <c r="F387" i="3" s="1"/>
  <c r="C387" i="3"/>
  <c r="B387" i="3"/>
  <c r="C410" i="3"/>
  <c r="C406" i="3"/>
  <c r="G400" i="3"/>
  <c r="D405" i="3" s="1"/>
  <c r="F394" i="3"/>
  <c r="F393" i="3"/>
  <c r="F392" i="3"/>
  <c r="G384" i="3"/>
  <c r="B382" i="3"/>
  <c r="F362" i="3"/>
  <c r="F361" i="3"/>
  <c r="F331" i="3"/>
  <c r="F330" i="3"/>
  <c r="F328" i="3"/>
  <c r="F119" i="3"/>
  <c r="G125" i="3" s="1"/>
  <c r="D133" i="3" s="1"/>
  <c r="E115" i="3"/>
  <c r="F115" i="3" s="1"/>
  <c r="C115" i="3"/>
  <c r="B115" i="3"/>
  <c r="E114" i="3"/>
  <c r="F114" i="3" s="1"/>
  <c r="C114" i="3"/>
  <c r="B114" i="3"/>
  <c r="F87" i="3"/>
  <c r="G90" i="3" s="1"/>
  <c r="C536" i="3"/>
  <c r="C532" i="3"/>
  <c r="G526" i="3"/>
  <c r="D531" i="3" s="1"/>
  <c r="F518" i="3"/>
  <c r="G522" i="3" s="1"/>
  <c r="G510" i="3"/>
  <c r="B508" i="3"/>
  <c r="C503" i="3"/>
  <c r="C499" i="3"/>
  <c r="G493" i="3"/>
  <c r="D498" i="3" s="1"/>
  <c r="F488" i="3"/>
  <c r="F487" i="3"/>
  <c r="F486" i="3"/>
  <c r="E483" i="3"/>
  <c r="F483" i="3" s="1"/>
  <c r="C483" i="3"/>
  <c r="B483" i="3"/>
  <c r="E482" i="3"/>
  <c r="F482" i="3" s="1"/>
  <c r="C482" i="3"/>
  <c r="B482" i="3"/>
  <c r="G479" i="3"/>
  <c r="B477" i="3"/>
  <c r="C472" i="3"/>
  <c r="C468" i="3"/>
  <c r="G462" i="3"/>
  <c r="D467" i="3" s="1"/>
  <c r="F457" i="3"/>
  <c r="F456" i="3"/>
  <c r="F455" i="3"/>
  <c r="E452" i="3"/>
  <c r="F452" i="3" s="1"/>
  <c r="C452" i="3"/>
  <c r="B452" i="3"/>
  <c r="E451" i="3"/>
  <c r="F451" i="3" s="1"/>
  <c r="C451" i="3"/>
  <c r="B451" i="3"/>
  <c r="G448" i="3"/>
  <c r="B446" i="3"/>
  <c r="F426" i="3"/>
  <c r="F425" i="3"/>
  <c r="F424" i="3"/>
  <c r="C441" i="3"/>
  <c r="C437" i="3"/>
  <c r="G431" i="3"/>
  <c r="D436" i="3" s="1"/>
  <c r="E421" i="3"/>
  <c r="F421" i="3" s="1"/>
  <c r="C421" i="3"/>
  <c r="B421" i="3"/>
  <c r="E420" i="3"/>
  <c r="F420" i="3" s="1"/>
  <c r="C420" i="3"/>
  <c r="B420" i="3"/>
  <c r="G417" i="3"/>
  <c r="B415" i="3"/>
  <c r="C377" i="3"/>
  <c r="C373" i="3"/>
  <c r="G367" i="3"/>
  <c r="D372" i="3" s="1"/>
  <c r="G353" i="3"/>
  <c r="B351" i="3"/>
  <c r="C346" i="3"/>
  <c r="C342" i="3"/>
  <c r="G336" i="3"/>
  <c r="D341" i="3" s="1"/>
  <c r="G322" i="3"/>
  <c r="B320" i="3"/>
  <c r="C139" i="3"/>
  <c r="C135" i="3"/>
  <c r="G129" i="3"/>
  <c r="D134" i="3" s="1"/>
  <c r="G111" i="3"/>
  <c r="B109" i="3"/>
  <c r="C104" i="3"/>
  <c r="C100" i="3"/>
  <c r="G94" i="3"/>
  <c r="D99" i="3" s="1"/>
  <c r="E83" i="3"/>
  <c r="F83" i="3" s="1"/>
  <c r="C83" i="3"/>
  <c r="B83" i="3"/>
  <c r="E82" i="3"/>
  <c r="F82" i="3" s="1"/>
  <c r="C82" i="3"/>
  <c r="B82" i="3"/>
  <c r="G79" i="3"/>
  <c r="B77" i="3"/>
  <c r="E8" i="3"/>
  <c r="F8" i="3" s="1"/>
  <c r="C8" i="3"/>
  <c r="C33" i="3"/>
  <c r="C29" i="3"/>
  <c r="D28" i="3"/>
  <c r="G19" i="3"/>
  <c r="D27" i="3" s="1"/>
  <c r="B3" i="3"/>
  <c r="M22" i="65" l="1"/>
  <c r="K22" i="65"/>
  <c r="O22" i="65"/>
  <c r="S22" i="65"/>
  <c r="I22" i="65"/>
  <c r="D1078" i="3"/>
  <c r="D1079" i="3" s="1"/>
  <c r="F1079" i="3" s="1"/>
  <c r="D1012" i="3"/>
  <c r="D1013" i="3" s="1"/>
  <c r="F1013" i="3" s="1"/>
  <c r="D1146" i="3"/>
  <c r="D1147" i="3" s="1"/>
  <c r="F1147" i="3" s="1"/>
  <c r="D1181" i="3"/>
  <c r="D1182" i="3" s="1"/>
  <c r="F1182" i="3" s="1"/>
  <c r="D1111" i="3"/>
  <c r="D1112" i="3" s="1"/>
  <c r="F1112" i="3" s="1"/>
  <c r="G396" i="3"/>
  <c r="D404" i="3" s="1"/>
  <c r="G85" i="3"/>
  <c r="D97" i="3" s="1"/>
  <c r="G428" i="3"/>
  <c r="D435" i="3" s="1"/>
  <c r="G390" i="3"/>
  <c r="D403" i="3" s="1"/>
  <c r="D406" i="3" s="1"/>
  <c r="D98" i="3"/>
  <c r="G459" i="3"/>
  <c r="D466" i="3" s="1"/>
  <c r="G363" i="3"/>
  <c r="D371" i="3" s="1"/>
  <c r="G332" i="3"/>
  <c r="D340" i="3" s="1"/>
  <c r="G326" i="3"/>
  <c r="D339" i="3" s="1"/>
  <c r="D342" i="3" s="1"/>
  <c r="G357" i="3"/>
  <c r="D370" i="3" s="1"/>
  <c r="D373" i="3" s="1"/>
  <c r="G490" i="3"/>
  <c r="D497" i="3" s="1"/>
  <c r="D530" i="3"/>
  <c r="G516" i="3"/>
  <c r="D529" i="3" s="1"/>
  <c r="G484" i="3"/>
  <c r="D496" i="3" s="1"/>
  <c r="D499" i="3" s="1"/>
  <c r="G453" i="3"/>
  <c r="D465" i="3" s="1"/>
  <c r="G422" i="3"/>
  <c r="D434" i="3" s="1"/>
  <c r="G117" i="3"/>
  <c r="D132" i="3" s="1"/>
  <c r="G11" i="3"/>
  <c r="D26" i="3" s="1"/>
  <c r="D29" i="3" s="1"/>
  <c r="D30" i="3" s="1"/>
  <c r="D32" i="3" s="1"/>
  <c r="H38" i="9" s="1"/>
  <c r="I38" i="9" s="1"/>
  <c r="D374" i="3" l="1"/>
  <c r="D376" i="3" s="1"/>
  <c r="D500" i="3"/>
  <c r="D502" i="3" s="1"/>
  <c r="D407" i="3"/>
  <c r="D409" i="3" s="1"/>
  <c r="D343" i="3"/>
  <c r="D345" i="3" s="1"/>
  <c r="D532" i="3"/>
  <c r="D533" i="3" s="1"/>
  <c r="D535" i="3" s="1"/>
  <c r="D468" i="3"/>
  <c r="D469" i="3" s="1"/>
  <c r="D471" i="3" s="1"/>
  <c r="D437" i="3"/>
  <c r="D438" i="3" s="1"/>
  <c r="D440" i="3" s="1"/>
  <c r="D135" i="3"/>
  <c r="D136" i="3" s="1"/>
  <c r="D138" i="3" s="1"/>
  <c r="D100" i="3"/>
  <c r="D101" i="3" s="1"/>
  <c r="D103" i="3" s="1"/>
  <c r="D33" i="3"/>
  <c r="D34" i="3" s="1"/>
  <c r="C14" i="65" l="1"/>
  <c r="S14" i="65" s="1"/>
  <c r="I53" i="9"/>
  <c r="N1109" i="38"/>
  <c r="N1110" i="38" s="1"/>
  <c r="F10" i="5"/>
  <c r="D346" i="3"/>
  <c r="D347" i="3" s="1"/>
  <c r="F347" i="3" s="1"/>
  <c r="D377" i="3"/>
  <c r="D378" i="3" s="1"/>
  <c r="F378" i="3" s="1"/>
  <c r="F16" i="5"/>
  <c r="E1892" i="3"/>
  <c r="F1892" i="3" s="1"/>
  <c r="G1893" i="3" s="1"/>
  <c r="D1901" i="3" s="1"/>
  <c r="D1904" i="3" s="1"/>
  <c r="D1906" i="3" s="1"/>
  <c r="D503" i="3"/>
  <c r="D504" i="3" s="1"/>
  <c r="F504" i="3" s="1"/>
  <c r="F12" i="5"/>
  <c r="D410" i="3"/>
  <c r="D411" i="3" s="1"/>
  <c r="F34" i="3"/>
  <c r="D536" i="3"/>
  <c r="D537" i="3" s="1"/>
  <c r="D472" i="3"/>
  <c r="D473" i="3" s="1"/>
  <c r="D441" i="3"/>
  <c r="D442" i="3" s="1"/>
  <c r="D139" i="3"/>
  <c r="D140" i="3" s="1"/>
  <c r="D104" i="3"/>
  <c r="D105" i="3" s="1"/>
  <c r="I14" i="65" l="1"/>
  <c r="O14" i="65"/>
  <c r="K14" i="65"/>
  <c r="M14" i="65"/>
  <c r="Q14" i="65"/>
  <c r="D1907" i="3"/>
  <c r="D1908" i="3" s="1"/>
  <c r="F1908" i="3" s="1"/>
  <c r="F411" i="3"/>
  <c r="F140" i="3"/>
  <c r="F537" i="3"/>
  <c r="F105" i="3"/>
  <c r="F473" i="3"/>
  <c r="F442" i="3"/>
  <c r="F13" i="5" l="1"/>
  <c r="F17" i="5" l="1"/>
  <c r="F21" i="5"/>
  <c r="I7" i="9"/>
  <c r="I19" i="9" l="1"/>
  <c r="C11" i="65"/>
  <c r="I11" i="65" l="1"/>
  <c r="S11" i="65"/>
  <c r="Q11" i="65"/>
  <c r="O11" i="65"/>
  <c r="K11" i="65"/>
  <c r="M11" i="65"/>
  <c r="I157" i="9" l="1"/>
  <c r="F80" i="9"/>
  <c r="I80" i="9" s="1"/>
  <c r="F63" i="11"/>
  <c r="F78" i="9" s="1"/>
  <c r="I78" i="9" s="1"/>
  <c r="F64" i="11"/>
  <c r="F79" i="9" s="1"/>
  <c r="I79" i="9" s="1"/>
  <c r="F14" i="5" l="1"/>
  <c r="C18" i="65"/>
  <c r="C26" i="65" s="1"/>
  <c r="I83" i="9"/>
  <c r="I159" i="9" s="1"/>
  <c r="J109" i="9" l="1"/>
  <c r="J65" i="9"/>
  <c r="J44" i="9"/>
  <c r="J103" i="9"/>
  <c r="J127" i="9"/>
  <c r="J47" i="9"/>
  <c r="J51" i="9"/>
  <c r="J121" i="9"/>
  <c r="J87" i="9"/>
  <c r="J48" i="9"/>
  <c r="J101" i="9"/>
  <c r="J120" i="9"/>
  <c r="J139" i="9"/>
  <c r="J86" i="9"/>
  <c r="J98" i="9"/>
  <c r="J85" i="9"/>
  <c r="J117" i="9"/>
  <c r="J91" i="9"/>
  <c r="J90" i="9"/>
  <c r="J27" i="9"/>
  <c r="J88" i="9"/>
  <c r="J150" i="9"/>
  <c r="J105" i="9"/>
  <c r="J73" i="9"/>
  <c r="J46" i="9"/>
  <c r="J41" i="9"/>
  <c r="J154" i="9"/>
  <c r="J70" i="9"/>
  <c r="J43" i="9"/>
  <c r="J61" i="9"/>
  <c r="J108" i="9"/>
  <c r="J137" i="9"/>
  <c r="J99" i="9"/>
  <c r="J32" i="9"/>
  <c r="J39" i="9"/>
  <c r="J123" i="9"/>
  <c r="J111" i="9"/>
  <c r="J116" i="9"/>
  <c r="J9" i="9"/>
  <c r="J21" i="9"/>
  <c r="J29" i="9"/>
  <c r="J55" i="9"/>
  <c r="J136" i="9"/>
  <c r="J128" i="9"/>
  <c r="J149" i="9"/>
  <c r="J14" i="9"/>
  <c r="J97" i="9"/>
  <c r="J10" i="9"/>
  <c r="J66" i="9"/>
  <c r="J144" i="9"/>
  <c r="J23" i="9"/>
  <c r="J114" i="9"/>
  <c r="J104" i="9"/>
  <c r="J112" i="9"/>
  <c r="J130" i="9"/>
  <c r="J100" i="9"/>
  <c r="J6" i="9"/>
  <c r="J49" i="9"/>
  <c r="J155" i="9"/>
  <c r="J28" i="9"/>
  <c r="J15" i="9"/>
  <c r="J110" i="9"/>
  <c r="J8" i="9"/>
  <c r="J45" i="9"/>
  <c r="J38" i="9"/>
  <c r="J36" i="9"/>
  <c r="J122" i="9"/>
  <c r="C10" i="65"/>
  <c r="J89" i="9"/>
  <c r="J12" i="9"/>
  <c r="J60" i="9"/>
  <c r="J131" i="9"/>
  <c r="J50" i="9"/>
  <c r="J142" i="9"/>
  <c r="J59" i="9"/>
  <c r="J58" i="9"/>
  <c r="J56" i="9"/>
  <c r="J138" i="9"/>
  <c r="J92" i="9"/>
  <c r="J13" i="9"/>
  <c r="J71" i="9"/>
  <c r="J72" i="9"/>
  <c r="J148" i="9"/>
  <c r="J57" i="9"/>
  <c r="J37" i="9"/>
  <c r="J102" i="9"/>
  <c r="J81" i="9"/>
  <c r="J106" i="9"/>
  <c r="J113" i="9"/>
  <c r="J7" i="9"/>
  <c r="J93" i="9"/>
  <c r="J107" i="9"/>
  <c r="J135" i="9"/>
  <c r="J42" i="9"/>
  <c r="J11" i="9"/>
  <c r="J141" i="9"/>
  <c r="J143" i="9"/>
  <c r="J140" i="9"/>
  <c r="J30" i="9"/>
  <c r="J40" i="9"/>
  <c r="J129" i="9"/>
  <c r="J31" i="9"/>
  <c r="J115" i="9"/>
  <c r="J22" i="9"/>
  <c r="J17" i="9"/>
  <c r="J16" i="9"/>
  <c r="J80" i="9"/>
  <c r="J79" i="9"/>
  <c r="J78" i="9"/>
  <c r="J77" i="9"/>
  <c r="M18" i="65"/>
  <c r="M7" i="65" s="1"/>
  <c r="S18" i="65"/>
  <c r="S7" i="65" s="1"/>
  <c r="O18" i="65"/>
  <c r="O7" i="65" s="1"/>
  <c r="Q18" i="65"/>
  <c r="Q7" i="65" s="1"/>
  <c r="K18" i="65"/>
  <c r="K7" i="65" s="1"/>
  <c r="I18" i="65"/>
  <c r="I7" i="65" s="1"/>
  <c r="D18" i="65" l="1"/>
  <c r="D25" i="65"/>
  <c r="I8" i="65"/>
  <c r="K8" i="65" s="1"/>
  <c r="M8" i="65" s="1"/>
  <c r="O8" i="65" s="1"/>
  <c r="Q8" i="65" s="1"/>
  <c r="I10" i="65"/>
  <c r="Q10" i="65"/>
  <c r="O10" i="65"/>
  <c r="M10" i="65"/>
  <c r="K10" i="65"/>
  <c r="D24" i="65"/>
  <c r="D17" i="65"/>
  <c r="D13" i="65"/>
  <c r="D14" i="65"/>
  <c r="D20" i="65"/>
  <c r="S8" i="65"/>
  <c r="D19" i="65"/>
  <c r="D11" i="65"/>
  <c r="D16" i="65"/>
  <c r="D23" i="65"/>
  <c r="U7" i="65"/>
  <c r="D12" i="65"/>
  <c r="D15" i="65"/>
  <c r="D21" i="65"/>
  <c r="D22" i="65"/>
  <c r="S10" i="65"/>
  <c r="D26" i="65" l="1"/>
  <c r="M26" i="65"/>
  <c r="D10" i="65"/>
  <c r="O26" i="65"/>
  <c r="Q26" i="65"/>
  <c r="K26" i="65"/>
  <c r="S26" i="65"/>
  <c r="I26" i="65"/>
  <c r="J10" i="65"/>
  <c r="J26" i="65" s="1"/>
  <c r="L10" i="65" l="1"/>
  <c r="L26" i="65" s="1"/>
  <c r="N10" i="65" l="1"/>
  <c r="N26" i="65" s="1"/>
  <c r="P10" i="65" l="1"/>
  <c r="P26" i="65"/>
  <c r="R10" i="65"/>
  <c r="R26" i="65" l="1"/>
  <c r="T10" i="65"/>
  <c r="T26" i="65" s="1"/>
</calcChain>
</file>

<file path=xl/sharedStrings.xml><?xml version="1.0" encoding="utf-8"?>
<sst xmlns="http://schemas.openxmlformats.org/spreadsheetml/2006/main" count="52944" uniqueCount="26127">
  <si>
    <t>Código</t>
  </si>
  <si>
    <t>Descrição</t>
  </si>
  <si>
    <t>Und.</t>
  </si>
  <si>
    <t>V. Unit.</t>
  </si>
  <si>
    <t>SERVIÇOS PRELIMINARES</t>
  </si>
  <si>
    <t>m2</t>
  </si>
  <si>
    <t>m3</t>
  </si>
  <si>
    <t>m</t>
  </si>
  <si>
    <t>und</t>
  </si>
  <si>
    <t>LOCAÇÃO</t>
  </si>
  <si>
    <t>Locação de obra com gabarito de madeira</t>
  </si>
  <si>
    <t>MOVIMENTO DE TERRA</t>
  </si>
  <si>
    <t>Escavação manual em material de 1a. categoria, até 1.50 m de profundidade</t>
  </si>
  <si>
    <t>Apiloamento do fundo de vala com maço de 30 a 60kg</t>
  </si>
  <si>
    <t>Reaterro apiloado de cavas de fundação, em camadas de 20 cm</t>
  </si>
  <si>
    <t>INFRA-ESTRUTURA (FUNDAÇÃO)</t>
  </si>
  <si>
    <t>Fôrma de tábua de madeira de 2.5 x 30.0 cm para fundações, levando-se em conta a utilização 5 vezes (incluido o material, corte, montagem, escoramento e desforma)</t>
  </si>
  <si>
    <t>Fornecimento, preparo e aplicação de concreto magro com consumo mínimo de cimento de 250 kg/m3 (brita 1 e 2) - (5% de perdas já incluído no custo)</t>
  </si>
  <si>
    <t>Fornecimento, preparo e aplicação de concreto Fck=25 MPa (brita 1 e 2) - (5% de perdas já incluído no custo)</t>
  </si>
  <si>
    <t>Fornecimento, dobragem e colocação em fôrma, de armadura CA-50 A média, diâmetro de 6.3 a 10.0 mm</t>
  </si>
  <si>
    <t>kg</t>
  </si>
  <si>
    <t>Fornecimento, dobragem e colocação em fôrma, de armadura CA-60 B fina, diâmetro de 4.0 a 7.0mm</t>
  </si>
  <si>
    <t>SUPER-ESTRUTURA</t>
  </si>
  <si>
    <t>Forma de chapas madeira compensada resinada, esp. 12mm, levando-se em conta a utilização 3 vezes, reforçadas com sarrafos de madeira de 2.5 x 10.0cm (incl material, corte, montagem, escoras em eucalipto e desforma)</t>
  </si>
  <si>
    <t>DIVERSOS</t>
  </si>
  <si>
    <t>PAREDES E PAINÉIS</t>
  </si>
  <si>
    <t>Verga/contraverga reta de concreto armado 10 x 5 cm, Fck = 15 MPa, inclusive forma, armação e desforma</t>
  </si>
  <si>
    <t>Alvenaria de blocos de concreto 9x19x39cm, c/ resist. mínimo a compres. 2.5 MPa, assent. c/ arg. de cimento, cal hidratada CH1 e areia no traço 1:0.5:8 esp. das juntas 10mm e esp. das paredes, s/ rev. 9cm</t>
  </si>
  <si>
    <t>Alvenaria de blocos de concreto 14x19x39cm, c/ resist. mínimo a compres. 2.5 MPa, assent. c/ arg. de cimento, cal hidratada CH1 e areia no traço 1:0.5:8 esp. das juntas 10mm e esp. das paredes, s/ rev. 14cm</t>
  </si>
  <si>
    <t>ESQUADRIAS METÁLICAS</t>
  </si>
  <si>
    <t>Janela tipo maxim-ar para vidro em alumínio anodizado natural, linha 25, completa, incl. puxador com tranca, caixilho, alizar e contramarco, exclusive vidro</t>
  </si>
  <si>
    <t>Porta de abrir tipo veneziana em alumínio anodizado, linha 25, completa, incl. puxador com tranca, caixilho, alizar e contramarco</t>
  </si>
  <si>
    <t>VIDROS E ESPELHOS</t>
  </si>
  <si>
    <t>Vidro plano transparente liso, com 4 mm de espessura</t>
  </si>
  <si>
    <t>COBERTURA</t>
  </si>
  <si>
    <t>IMPERMEABILIZAÇÃO</t>
  </si>
  <si>
    <t>Pintura impermeabilizante com igolflex ou equivalente a 3 demãos</t>
  </si>
  <si>
    <t>Índice de imperm.c/ manta asfáltica atendendo NBR 9952, asfalto polimerizado esp.3mm, reforç.c/ filme int. polietileno, regul. base c/ arg.1:4 esp.mín.15mm, proteção mec. arg.1:4 esp.20mm e juntas dilat.</t>
  </si>
  <si>
    <t>TETOS E FORROS</t>
  </si>
  <si>
    <t>Forro de gesso acabamento tipo liso</t>
  </si>
  <si>
    <t>REVESTIMENTO DE PAREDES</t>
  </si>
  <si>
    <t>Chapisco de argamassa de cimento e areia média ou grossa lavada, no traço 1:3, espessura 5 mm</t>
  </si>
  <si>
    <t>Emboço de argamassa de cimento, cal hidratada CH1 e areia média ou grossa lavada no traço 1:0.5:6, espessura 20 mm</t>
  </si>
  <si>
    <t>PISOS INTERNOS E EXTERNOS</t>
  </si>
  <si>
    <t>INSTALAÇÕES HIDRO-SANITÁRIAS</t>
  </si>
  <si>
    <t>ENTRADA DE ÁGUA</t>
  </si>
  <si>
    <t>TUBULAÇÃO DE LIGAÇÃO DE CAIXAS</t>
  </si>
  <si>
    <t>Tubo PVC rígido para esgoto no diâmetro de 100mm incluindo escavação e aterro com areia</t>
  </si>
  <si>
    <t>CAIXAS EMPREGANDO ARGAMASSA DE CIMENTO, CAL E AREIA</t>
  </si>
  <si>
    <t>Caixa de inspeção em alv. bloco concreto 9x19x39cm, dim. 60x60cm e Hmáx=1m, c/ tampa de ferro fundido 40x40cm, lastro de concreto esp.10cm, revest. interno c/ chapisco e reboco impermeabiliz, incl. escavação, reaterro e enchimento</t>
  </si>
  <si>
    <t>Caixa de areia em alv. de bloco de concreto 9x19x39, dim. 60x60cm e Hmáx=1m, c/ tampa em ferro fundido, lastro de concreto esp. 10cm, revest. int. c/ chapisco e reboco impermeabilizado, incl. escavação e reaterro</t>
  </si>
  <si>
    <t>Caixa de gordura em alv. bloco 9x19x39cm, dim. 60x60cm e Hmáx=1.0m, c/ tampa de ferro fundido, lastro concr. esp. 10cm, revest. intern. c/ chapisco e reboco impermeab., escavação, reaterro e parede int. em concreto</t>
  </si>
  <si>
    <t>Torneira de bóia de PVC, diâm. 3/4" (20mm)</t>
  </si>
  <si>
    <t>Conjunto caixa termoplástica para Medidor Padrão ESCELSA Monofáfico com tampa transparente em policarbonato P-980-009 inclusive caixa para disjuntor monof P-940-003 Padrão Escelsa</t>
  </si>
  <si>
    <t>Eletroduto de PVC rígido roscável, diâm. 2" (60mm), inclusive conexões</t>
  </si>
  <si>
    <t>Eletroduto PEAD, cor preta, diam. 2", marca ref. Kanaflex ou equivalente</t>
  </si>
  <si>
    <t>FIOS E CABOS</t>
  </si>
  <si>
    <t>Fio de cobre termoplástico, com isolamento para 750V, seção de 2.5 mm2</t>
  </si>
  <si>
    <t>Haste de terra tipo COPPERWELD - 5/8" x 2.40m</t>
  </si>
  <si>
    <t>APARELHOS HIDRO-SANITÁRIOS</t>
  </si>
  <si>
    <t>BANCADAS</t>
  </si>
  <si>
    <t>TORNEIRAS, REGISTROS, VÁLVULAS E METAIS</t>
  </si>
  <si>
    <t>Cuba de aço inox n° 1(dim.460x300x150)mm, marcas de referência Franke, Strake, tramontina, inclusive válvula de metal 31/2" e sifão cromado 1 x 1/2", excl. torneira</t>
  </si>
  <si>
    <t>APARELHOS ELÉTRICOS</t>
  </si>
  <si>
    <t>Interruptor de uma tecla simples 10A/250V, com placa 4x2"</t>
  </si>
  <si>
    <t>PINTURA</t>
  </si>
  <si>
    <t>SOBRE PAREDES E FORROS</t>
  </si>
  <si>
    <t>Emassamento de paredes e forros, com duas demãos de massa acrílica, marcas de referência Suvinil, Coral ou Metalatex</t>
  </si>
  <si>
    <t>Pintura com tinta acrílica, marcas de referência Suvinil, Coral ou Metalatex, inclusive selador acrílico, em paredes e forros, a três demãos</t>
  </si>
  <si>
    <t>SERVIÇOS COMPLEMENTARES EXTERNOS</t>
  </si>
  <si>
    <t>PAISAGISMO</t>
  </si>
  <si>
    <t>TRATAMENTO, CONSERVAÇÃO E LIMPEZA</t>
  </si>
  <si>
    <t>Preço Prod.</t>
  </si>
  <si>
    <t>INSUMOS DE MAO DE OBRA</t>
  </si>
  <si>
    <t>MAO DE OBRA (SALARIOS)</t>
  </si>
  <si>
    <t>H</t>
  </si>
  <si>
    <t>M3</t>
  </si>
  <si>
    <t>KG</t>
  </si>
  <si>
    <t>AREIA LAVADA MEDIA</t>
  </si>
  <si>
    <t>CIMENTO BRANCO NAO ESTRUTURAL</t>
  </si>
  <si>
    <t>CIMENTO COLANTE INDUSTRIALIZADO AC I</t>
  </si>
  <si>
    <t>REJUNTE PRE-FABRICADA</t>
  </si>
  <si>
    <t>M</t>
  </si>
  <si>
    <t>UN</t>
  </si>
  <si>
    <t>ARAME GALVANIZADO N.14 BWG</t>
  </si>
  <si>
    <t>L</t>
  </si>
  <si>
    <t>TERRA VEGETAL</t>
  </si>
  <si>
    <t>CAIXA PASSAG. CH 18 C/TAMPA PARAF. 200X200X100MM</t>
  </si>
  <si>
    <t>FITA ISOLANTE NR 33 - 19MM X 20M</t>
  </si>
  <si>
    <t>ADAPTADOR PVC SOLDAVEL PARA REGISTRO 32MM X 1"</t>
  </si>
  <si>
    <t>FITA DE VEDACAO 18MM X 50M</t>
  </si>
  <si>
    <t>ADESIVO PARA TUBO DE PVC RIGIDO</t>
  </si>
  <si>
    <t>SOLUCAO LIMPADORA PARA PVC RIGIDO</t>
  </si>
  <si>
    <t>INSUMOS - EQUIPAMENTOS (EQUIPAMENTOS NOVOS)</t>
  </si>
  <si>
    <t>CAMINHAO CARR MBENZ L1620/51 C/GUIND. 6T X M(E434)</t>
  </si>
  <si>
    <t>CAMINHAO TANQUE MB L1620/51 6.000 L (1.0) E406</t>
  </si>
  <si>
    <t>CARREG. DE PNEUS CASE W-20 1,33M3 (1.0) (E016)</t>
  </si>
  <si>
    <t>INSUMOS SINAPI</t>
  </si>
  <si>
    <t xml:space="preserve"> </t>
  </si>
  <si>
    <t>Torneira de parede cromada, marcas de referência Fabrimar (linha prática, ref.1157) , Deca ou Docol</t>
  </si>
  <si>
    <t>Regularização de base p/ revestimento cerâmico, com argamassa de cimento e areia no traço 1:5, espessura 3cm</t>
  </si>
  <si>
    <t>Espelho para banheiros espessura 4 mm, incluindo chapa compensada 10 mm, moldura de alumínio em perfil L 3/4", fixado com parafusos cromados</t>
  </si>
  <si>
    <t>Chapisco com argamassa de cimento e areia média ou grossa lavada no traço 1:3, espessura 5 mm</t>
  </si>
  <si>
    <t>Reboco tipo paulista de argamassa de cimento, cal hidratada CH1 e areia lavada traço 1:0.5:6, espessura 25 mm</t>
  </si>
  <si>
    <t>LOUÇAS</t>
  </si>
  <si>
    <t>Lavatório de Canto ref. L101 DECA ou equivalente, inclusive válvula, sifão e engates cromados, exclusive torneira</t>
  </si>
  <si>
    <t>Bacia sifonada de louça branca para portadores de necessidades especiais, Vogue Plus Conforto - Linha Conforto, mod P51, incl. assento com abertura frontal, ref.AP52,marca de ref. Deca ou equivalente</t>
  </si>
  <si>
    <t>Torneira para lavatório linha anti-vandalismo, marcas de referência Fabrimar, Deca ou Docol</t>
  </si>
  <si>
    <t>Ducha manual Acqua jet , linha Aquarius, com registro ref.C 2195, marcas de referência Fabrimar, Deca ou Docol</t>
  </si>
  <si>
    <t>Barra de apoio de aço inox polido, L= 90 cm e ∅=4cm, instalada a 75 cm do piso</t>
  </si>
  <si>
    <t>Ítem</t>
  </si>
  <si>
    <t>Quant.</t>
  </si>
  <si>
    <t>V. Total</t>
  </si>
  <si>
    <t>PLANILHA ORÇAMENTÁRIA</t>
  </si>
  <si>
    <t>Obra:</t>
  </si>
  <si>
    <t>Local:</t>
  </si>
  <si>
    <t>Data Base:</t>
  </si>
  <si>
    <t>LS:</t>
  </si>
  <si>
    <t>BDI:</t>
  </si>
  <si>
    <t>1.1</t>
  </si>
  <si>
    <t>INSTALAÇÃO DO CANTEIRO DE OBRA</t>
  </si>
  <si>
    <t>Barracão para escritório com sanitário área de 14.50 m2, de chapa de compens. 12mm e pontalete 8x8cm, piso cimentado e cobertura de telha de fibroc. 6mm, incl. ponto de luz e cx. de inspeção, conf. projeto (1 utilização)</t>
  </si>
  <si>
    <t>Barracão para almoxarifado área de 10.90m2, de chapa de compensado de 12mm e pontalete 8x8cm, piso cimentado e cobertura de telhas de fibrocimento de 6mm, incl. ponto de luz, conf. projeto (1 utilização)</t>
  </si>
  <si>
    <t>Barracão para depósito de cimento área de 10.90m2, de chapa de compensado 12mm e pontaletes 8x8cm, piso cimentado e cobertura de telhas de fibrocimento de 6mm, inclusive ponto de luz, conf. projeto (1 utilização)</t>
  </si>
  <si>
    <t>Refeitório com paredes de chapa de compens. 12mm e pontaletes 8x8cm, piso ciment. e cob. de telhas fibroc. 6mm, incl. ponto de luz e cx. de inspeção (cons. 1.21 m2/func./turno), conf. projeto (1 utilização)</t>
  </si>
  <si>
    <t>Unidade de sanitário e vestiário p/ até 20 func. área de 18.15m2, paredes de chapa compens. 12mm e pontalete 8x8cm, piso cimentado, cobert. telha fibroc. 6mm, incl. instalação de luz e cx. de inspeção, conf. projeto (1 utilização)</t>
  </si>
  <si>
    <t>Rede de água com padrão de entrada d'água diâm. 3/4", conf. espec. CESAN, incl. tubos e conexões para alimentação, distribuição, extravasor e limpeza, cons. o padrão a 25m, conf. projeto (1 utilização)</t>
  </si>
  <si>
    <t>Rede de luz, incl. padrão entrada de energia trifás., cabo de ligação até barracões, quadro de distrib., disj. e chave de força (quando necessário), cons. 20m entre padrão entrada e QDG, conf. projeto (1 utilização)</t>
  </si>
  <si>
    <t>Rede de esgoto, contendo fossa e filtro, inclusive tubos e conexões de ligação entre caixas, considerando distância de 25m, conforme projeto (1 utilização)</t>
  </si>
  <si>
    <t>1.2</t>
  </si>
  <si>
    <t>ADMINISTRAÇÃO DA OBRA</t>
  </si>
  <si>
    <t>COMPOSIÇÃO DO PREÇO UNITÁRIO</t>
  </si>
  <si>
    <t>DESCRIÇÃO DO SERVIÇO</t>
  </si>
  <si>
    <t>CÓDIGO</t>
  </si>
  <si>
    <t>UNIDADE</t>
  </si>
  <si>
    <t>DATA BASE</t>
  </si>
  <si>
    <t xml:space="preserve">BDI = </t>
  </si>
  <si>
    <t>LS =</t>
  </si>
  <si>
    <t>D. Base</t>
  </si>
  <si>
    <t>1- MÃO DE OBRA</t>
  </si>
  <si>
    <t>UNID.</t>
  </si>
  <si>
    <t>COEF.</t>
  </si>
  <si>
    <t xml:space="preserve"> PREÇO UNITÁRIO </t>
  </si>
  <si>
    <t>TOTAL PARCIAL</t>
  </si>
  <si>
    <t xml:space="preserve"> TOTAL A </t>
  </si>
  <si>
    <t>TOTAL A</t>
  </si>
  <si>
    <t>2- MATERIAIS</t>
  </si>
  <si>
    <t xml:space="preserve"> TOTAL B </t>
  </si>
  <si>
    <t>TOTAL B</t>
  </si>
  <si>
    <t>3- EQUIPAMENTOS</t>
  </si>
  <si>
    <t xml:space="preserve"> TOTAL C </t>
  </si>
  <si>
    <t>TOTAL C</t>
  </si>
  <si>
    <t>4- RESUMO - DISCRIMINAÇÃO</t>
  </si>
  <si>
    <t>TAXA</t>
  </si>
  <si>
    <t>VALORES</t>
  </si>
  <si>
    <t xml:space="preserve"> 5 - OBSERVAÇÃO </t>
  </si>
  <si>
    <t>MÃO-DE OBRA - (TOTAL A)</t>
  </si>
  <si>
    <t>MATERIAIS - (TOTAL B)</t>
  </si>
  <si>
    <t>EQUIPAMENTOS - (TOTAL C)</t>
  </si>
  <si>
    <t>ENC. SOCIAIS - (S/ TOTAL A) %</t>
  </si>
  <si>
    <t>SUB TOTAL</t>
  </si>
  <si>
    <t>EVENTUAIS (SUB TOTAL) %</t>
  </si>
  <si>
    <t xml:space="preserve">          -   </t>
  </si>
  <si>
    <t xml:space="preserve"> PREÇO UNITÁRIO ADOTADO </t>
  </si>
  <si>
    <t>TOTAL</t>
  </si>
  <si>
    <t>BDI (S/ TOTAL) %</t>
  </si>
  <si>
    <t>PREÇO UNITÁRIO CALCULADO</t>
  </si>
  <si>
    <t>ms</t>
  </si>
  <si>
    <t>Composição 03</t>
  </si>
  <si>
    <t>Composição 04</t>
  </si>
  <si>
    <t>h</t>
  </si>
  <si>
    <t>Retirada de meio-fio de concreto</t>
  </si>
  <si>
    <t>Remoção de árvores existentes</t>
  </si>
  <si>
    <t>DEMOLIÇÕES E RETIRADAS</t>
  </si>
  <si>
    <t>TERRAPLENAGEM</t>
  </si>
  <si>
    <t>DER</t>
  </si>
  <si>
    <t>Compactação de aterros 100% PN em Vias Urbanas</t>
  </si>
  <si>
    <t>OBRAS DE ARTE CORRENTES E DRENAGEM</t>
  </si>
  <si>
    <t>Composição 05</t>
  </si>
  <si>
    <t>Composição 06</t>
  </si>
  <si>
    <t>Fornecimento e assentamento de tubos corrugados PEAD diâmetro 0,30m Classe N-12 WT</t>
  </si>
  <si>
    <t>Fornecimento e execução de muro de arrimo em concreto ciclópico, h=2,50m conforme projeto</t>
  </si>
  <si>
    <t>Composição 07</t>
  </si>
  <si>
    <t>Composição 08</t>
  </si>
  <si>
    <t>Fornecimento e assentamento de tubos corrugados PEAD diâmetro 0,375m Classe N-12 WT</t>
  </si>
  <si>
    <t>PAVIMENTAÇÃO</t>
  </si>
  <si>
    <t>Composição 10</t>
  </si>
  <si>
    <t>Composição 11</t>
  </si>
  <si>
    <t>Composição 12</t>
  </si>
  <si>
    <t>Argamassa colante Gail para piso externo</t>
  </si>
  <si>
    <t>Rejunte cimentício Gail para piso externo</t>
  </si>
  <si>
    <t>Composição 13</t>
  </si>
  <si>
    <t>Composição 14</t>
  </si>
  <si>
    <t>INSTALAÇÃO ELÉTRICA</t>
  </si>
  <si>
    <t>Cabeçote de entrada 2"</t>
  </si>
  <si>
    <t>Composição 15</t>
  </si>
  <si>
    <t>Composição 16</t>
  </si>
  <si>
    <t>Composição 17</t>
  </si>
  <si>
    <t>Composição 18</t>
  </si>
  <si>
    <t>EQUIPAMENTOS URBANOS</t>
  </si>
  <si>
    <t>Buxinho ("Buxus Sempervirens")</t>
  </si>
  <si>
    <t>Composição 19</t>
  </si>
  <si>
    <t>Revestimento de muro de arrimo com caco de pedra Miracema ou granito rústico</t>
  </si>
  <si>
    <t>Composição 20</t>
  </si>
  <si>
    <r>
      <t>Revestimento em pastilha de porcelana Coleção Mediterranée, PEI 2, Cerâmica JATOBÁ,  Código</t>
    </r>
    <r>
      <rPr>
        <b/>
        <sz val="10"/>
        <color theme="1"/>
        <rFont val="Arial"/>
        <family val="2"/>
      </rPr>
      <t xml:space="preserve"> </t>
    </r>
    <r>
      <rPr>
        <sz val="10"/>
        <color theme="1"/>
        <rFont val="Arial"/>
        <family val="2"/>
      </rPr>
      <t>JD 4102  Pérola Oceânica - 2,5 x 2,5cm</t>
    </r>
  </si>
  <si>
    <t>Soleira em granito Branco Siena, acabamento polido e impermeabilizado</t>
  </si>
  <si>
    <t>Peitoril em granito Branco Siena, acabamento polido e impermeabilizado</t>
  </si>
  <si>
    <t>Rodapé em granito Branco Siena h=10cm</t>
  </si>
  <si>
    <t>Bancada e rodabanca em granito Branco Siena, acabamento polido e impermeabilizado, conforme detalhes em projeto</t>
  </si>
  <si>
    <t>Balcão de Atendimento em granito Branco Siena, acabamento polido e impermeabilizado, conforme detalhes em projeto</t>
  </si>
  <si>
    <t>Composição 22</t>
  </si>
  <si>
    <t>Composição 23</t>
  </si>
  <si>
    <t>Composição 24</t>
  </si>
  <si>
    <t>Composição 25</t>
  </si>
  <si>
    <t>Composição 26</t>
  </si>
  <si>
    <t>Composição 27</t>
  </si>
  <si>
    <t>Composição 28</t>
  </si>
  <si>
    <t>Composição 29</t>
  </si>
  <si>
    <t>Composição 31</t>
  </si>
  <si>
    <t>Composição 32</t>
  </si>
  <si>
    <t>Argamassa pré fabricada Gail para assentamento de piso industrial</t>
  </si>
  <si>
    <t>Rejunte aluminoso Gail (anti-fungo e anti-mofo)</t>
  </si>
  <si>
    <t>Composição 33</t>
  </si>
  <si>
    <t>Ralo hemisférico tipo abacaxi</t>
  </si>
  <si>
    <t>RALO SEMI-ESFERICO FOFO TP ABACAXI D = 100MM P/ LAJES, CALHAS ETC</t>
  </si>
  <si>
    <t>Composição 34</t>
  </si>
  <si>
    <t>Composição 35</t>
  </si>
  <si>
    <t>Composição 36</t>
  </si>
  <si>
    <t>Composição 37</t>
  </si>
  <si>
    <t>Composição 38</t>
  </si>
  <si>
    <t>Composição 39</t>
  </si>
  <si>
    <t>Registro de gaveta com canopla cromada, diam. 20mm (3/4"), marcas de referência Fabrimar, Deca ou Docol</t>
  </si>
  <si>
    <t>Vidro temperado esp.:8mm (Cortina de vidro para fechamento do quiosque principal)</t>
  </si>
  <si>
    <t>Bicicletário de Chão para 05 bicicletas AL-43, fixado no chão. Produto com acabamento Galvanizado a Fogo. Fabricante: Altmayer Sport ou equivalente</t>
  </si>
  <si>
    <t>Lixeiras Ciclo Capacidade 50 litros, fixada no chão, em tubo estrutural e chapa perfurada em aço. Produto com acabamento em pintura eletrostática. Fabricante: Nomen Design Mobiliário Urbano ou equivalente</t>
  </si>
  <si>
    <t>Composição 42</t>
  </si>
  <si>
    <t>Composição 43</t>
  </si>
  <si>
    <t>Composição 44</t>
  </si>
  <si>
    <t>Composição 45</t>
  </si>
  <si>
    <t>Composição 46</t>
  </si>
  <si>
    <t>Composição 47</t>
  </si>
  <si>
    <t>Composição 48</t>
  </si>
  <si>
    <t>Composição 49</t>
  </si>
  <si>
    <t>Composição 50</t>
  </si>
  <si>
    <t>Composição 51</t>
  </si>
  <si>
    <t>Composição 52</t>
  </si>
  <si>
    <t>Composição 53</t>
  </si>
  <si>
    <t>Composição 54</t>
  </si>
  <si>
    <t>Composição 55</t>
  </si>
  <si>
    <t>Composição 56</t>
  </si>
  <si>
    <t>Composição 57</t>
  </si>
  <si>
    <t>Composição 58</t>
  </si>
  <si>
    <t>Lixeira de coleta seletiva com 4 cestos. Fabricante: Nomen Design Mobiliário Urbano ou equivalente</t>
  </si>
  <si>
    <t>Site do fabricante</t>
  </si>
  <si>
    <t>Ombrelone giratório Max Quadrado c/floreira - madeira maciça - 2,0x2,0 m. Tamanho da Floreira 1,00 x 0,55 x 0,48 m. Fabricante: Xmar ou equivalente</t>
  </si>
  <si>
    <t>Ombrelone com haste central central fixa inteira (sem emendas)- madeira maciça –redondo. Diametro de 2 metros. Fabricante: Xmar ou equivalente.</t>
  </si>
  <si>
    <t>Cachepot Floreira Perobinha Madeira de Demolição Natural - Tamanho da Floreira 0,50x 0,50 x 0,50 m. Fabricante: Estilonobre produtos sustentaveis ou equivalente</t>
  </si>
  <si>
    <t>Jogo de mesa e cadeira dobrável em madeira 1,20x0,70m - 1 mesa + 4 cadeiras. Fabricante: Espaço Boêmio ou equivalente</t>
  </si>
  <si>
    <t>Jogo dobrável de madeira 0,70x0,70m - 1 mesa + 4 cadeiras. Fabricante: Espaço Boêmio ou equivalente</t>
  </si>
  <si>
    <t>Fornecimento, preparo e aplicação de concreto Fck=20 MPa (brita 1 e 2) - (5% de perdas já incluído no custo)</t>
  </si>
  <si>
    <t>Fôrma de chapa compensada resinada 12mm, levando-se em conta a utilização 3 vezes (incluido o material, corte, montagem, escoramento e desfôrma)</t>
  </si>
  <si>
    <t>Composição 59</t>
  </si>
  <si>
    <t>Composição 60</t>
  </si>
  <si>
    <t>Composição 61</t>
  </si>
  <si>
    <t>Composição 62</t>
  </si>
  <si>
    <t>Composição 63</t>
  </si>
  <si>
    <t>Composição 64</t>
  </si>
  <si>
    <t>Composição 65</t>
  </si>
  <si>
    <t>Guarapari Jardins Ltda - (27) 3361-5272</t>
  </si>
  <si>
    <t>Palmeira Rabo de Raposa ("Wodyetia Bifurcata") - (2,00m tronco)</t>
  </si>
  <si>
    <t>Preço</t>
  </si>
  <si>
    <t>Preço Improd.</t>
  </si>
  <si>
    <t>Urbanização da Orla de Piúma - Município de Piúma / ES</t>
  </si>
  <si>
    <t>Urbanização da Orla de Piúma</t>
  </si>
  <si>
    <t>Piúma - ES</t>
  </si>
  <si>
    <t>Nº</t>
  </si>
  <si>
    <t>TOTAL GERAL PARA URBANIZAÇÃO DA PRAIA DE PIÚMA</t>
  </si>
  <si>
    <t>INSUMOS ORSE</t>
  </si>
  <si>
    <t>Fornecimento e execução de muro de arrimo em concreto, h=4,00m conforme projeto</t>
  </si>
  <si>
    <t>Fornecimento e aplicação de concreto USINADO Fck=20 MPa - considerando lançamento MANUAL para INFRA-ESTRUTURA (5% de perdas já incluído no custo)</t>
  </si>
  <si>
    <t>Fornecimento, dobragem e colocação em fôrma, de armadura CA-50 A grossa, diâmetro de 12.5 a 25.0mm</t>
  </si>
  <si>
    <t>Chapim em granito Branco Siena larg.=15cm</t>
  </si>
  <si>
    <t>Chapim em granito Branco Siena larg.=35cm</t>
  </si>
  <si>
    <t>Cobertura em telhas tipo Tégula Plana cor Marfim Palha, inclusive cumeeira</t>
  </si>
  <si>
    <t>t</t>
  </si>
  <si>
    <t>Espalhamento de material de 1ª categoria com motoniveladora</t>
  </si>
  <si>
    <t>m³</t>
  </si>
  <si>
    <t>m²</t>
  </si>
  <si>
    <t>Caixa ralo em blocos pré-moldados e grelha articulada em FFA em Vias Urbanas</t>
  </si>
  <si>
    <t>Carga de material de 1ª categoria em Vias Urbanas</t>
  </si>
  <si>
    <t>Escavação e carga de material de 1ª categoria com escavadeira em Vias Urbanas</t>
  </si>
  <si>
    <t>Reaterro com areia, tudo incluído, em Vias Urbanas</t>
  </si>
  <si>
    <t>Revestimento em filete de pedra São Tomé</t>
  </si>
  <si>
    <r>
      <t>Revestimento em pastilha de porcelana Coleção Mediterranée,  Cerâmica JATOBÁ,  Código</t>
    </r>
    <r>
      <rPr>
        <b/>
        <sz val="10"/>
        <color theme="1"/>
        <rFont val="Arial"/>
        <family val="2"/>
      </rPr>
      <t xml:space="preserve"> do Conjunto </t>
    </r>
    <r>
      <rPr>
        <sz val="10"/>
        <color theme="1"/>
        <rFont val="Arial"/>
        <family val="2"/>
      </rPr>
      <t>JD 8410 Miscelania Azul - 2,5 x 2,5cm</t>
    </r>
  </si>
  <si>
    <t>CONJ CX MEDIDOR POLIFASICO P-980-005+CX DISJ P-940-003</t>
  </si>
  <si>
    <t>Demolição de edificação existente (hora de máquina - pá carregadeira) - (Demolição de quiosques existentes (1,5 h/und))</t>
  </si>
  <si>
    <t>Composição 09</t>
  </si>
  <si>
    <t>Tubo corrugado parede dupla PEAD, d= 600mm (24"), p/sistemas drenagem, Tigre-ADS N-12 ou similar</t>
  </si>
  <si>
    <t>Tubo corrugado parede dupla PEAD, d= 450mm (18"), p/sistemas drenagem, Tigre-ADS N-12 ou similar</t>
  </si>
  <si>
    <t>Tubo corrugado parede dupla PEAD, d= 375mm (15"), p/sistemas drenagem, Tigre-ADS N-12 ou similar</t>
  </si>
  <si>
    <t>Tubo corrugado parede dupla PEAD, d= 300mm (12"), p/sistemas drenagem, Tigre-ADS N-12 ou similar</t>
  </si>
  <si>
    <t>Meio fio de concreto MFC 01, inclusive caiação</t>
  </si>
  <si>
    <t>Meio fio de concreto MFC 02, inclusive caiação</t>
  </si>
  <si>
    <t>Meio fio de concreto MFC 03, inclusive caiação</t>
  </si>
  <si>
    <t>Meio fio de concreto MFC 04, inclusive caiação</t>
  </si>
  <si>
    <t>Meio fio de concreto MFC 05, inclusive caiação</t>
  </si>
  <si>
    <t>Caiação de meio fios, sarjetas, etc</t>
  </si>
  <si>
    <t>Concreto estrutural fck = 15,0 MPa, tudo incluído</t>
  </si>
  <si>
    <t>Escavação manual em mat. 1ª cat. H= 0,00 a 1,50m</t>
  </si>
  <si>
    <t>Forma especial de madeira para meio fio, inclusive fornecimento e transporte das madeiras</t>
  </si>
  <si>
    <t>Sub-base de brita 1, inclusive fornecimento, exclusive transporte da brita em Vias Urbanas</t>
  </si>
  <si>
    <t>Base de brita 1, inclusive fornecimento, exclusive transporte da brita em Vias Urbanas</t>
  </si>
  <si>
    <t>Pintura de ligação inclusive fornecimento e transporte comercial do material betuminoso em Vias Urbanas</t>
  </si>
  <si>
    <t>CBUQ (camada pronta - binder) inclusive fornecimento e transporte comercial do CAP, exclusive transporte da massa</t>
  </si>
  <si>
    <t>CBUQ (camada pronta - capa) inclusive fornecimento e transporte comercial do CAP, exclusive transporte da massa</t>
  </si>
  <si>
    <t>Execução de lastro de brita nº 02 sob passeios e ciclovias, incl. escavação</t>
  </si>
  <si>
    <t>Fornecimento e assentamento de ladrilho hidráulico ranhurado, vermelho, dim. 20x20 cm, esp. 1.5cm, assentado com pasta de cimento colante, exclusive regularização e lastro</t>
  </si>
  <si>
    <t>Fornecimento e plantio de grama em placas tipo esmeralda, inclusive fornecimento de terra vegetal</t>
  </si>
  <si>
    <t>OBRAS DE ARTE ESPECIAIS</t>
  </si>
  <si>
    <t>Fornecimento e assentamento de piso em Placa Extrudada Gail - Linha Arq. Natural  - Amêndoa Flash Dimensão: 240X116X9 Características: Placa cerâmica extrudada, não esmaltada, monoqueima, com garras cônicas (prismáticas) de fixação, antiderrapante.</t>
  </si>
  <si>
    <t>Fornecimento e assentamento de piso em Placa Extrudada Gail - Linha Arq. Natural Nude Dimensão: 240X116X9 Características: Placa cerâmica extrudada, não esmaltada, monoqueima, com garras cônicas (prismáticas) de fixação, antiderrapante.</t>
  </si>
  <si>
    <t>Fornecimento e assentamento de piso em Placa Extrudada Gail - Linha Arq. Natural Castor Flash Dimensão: 240X116X9 Características: Placa cerâmica extrudada, não esmaltada, monoqueima, com garras cônicas (prismáticas) de fixação, antiderrapante.</t>
  </si>
  <si>
    <t>Composição 21</t>
  </si>
  <si>
    <t xml:space="preserve">Caixa  para inst. de proteção e comando dos circuitos de iluminação,  em chapa metálica tratada  e pintura anti-corrosiva , com tampa de abrir e fecho cadeado, Dim: 50x50x12cm, incluindo  instalação </t>
  </si>
  <si>
    <t xml:space="preserve">Caixa  para inst. de Equipamentos  Wi-Fi ( não inclusos) ,  em chapa metálica tratada  e pintura anti-corrosiva , com tampa  parafusada e dispositivo para lacre, Dim: 20x20x12cm, incluindo  instalação </t>
  </si>
  <si>
    <t>Deck em madeira de lei tratada conforme projeto</t>
  </si>
  <si>
    <t>Caixa para medidor POLIFÁSICO ,  marca TAF ou similar , com alojamento para disjuntor , padrão EDP-ESCELSA, inclusive instalação</t>
  </si>
  <si>
    <t>190417-Iopes</t>
  </si>
  <si>
    <t>Pintura com tinta esmalte sintético, marcas de referência Suvinil, Coral ou Metalatex, a duas demãos, inclusive fundo anticorrosivo a uma demão, em metal</t>
  </si>
  <si>
    <t xml:space="preserve">Tubo de Ferro Galvanizado Pesado, diam. 3/4" , para pontalete do mastro para instalação de antenas e equip Wi-Fi, inclusive conexões,  soldagem e instalação </t>
  </si>
  <si>
    <t xml:space="preserve">Tubo de Ferro Galvanizado Pesado, diam. 2" , para mastro para instalação de antenas e equip Wi-Fi, inclusive conexões,  pintura anticorrosiva e instalação </t>
  </si>
  <si>
    <t>Cabo de cobre nú, seção de 25.0 mm2</t>
  </si>
  <si>
    <t>Relé Fotoelétrico  220V , 1000W, 50/60Hz , incluindo Soquete e base metálica com alça para fixação no mastro</t>
  </si>
  <si>
    <t xml:space="preserve">Chave Contatora Bifásica/Trifásica , contatos  NA ,  bobina 220V - 50/60Hz - cap. 30A </t>
  </si>
  <si>
    <t>SOQUETE DE PORCELANA BASE E27, PARA USO AO TEMPO, PARA LAMPADAS</t>
  </si>
  <si>
    <t>CHAVE ELETRICA TRIPOLAR BLINDADA DE 30 A / 250 V</t>
  </si>
  <si>
    <t>Mureta de medição utilizando arg. cimento, cal e areia, dimensões 1500x2200x400mm, revestido com chapisco e reboco, inclusive pintura emassamento, pintura acrílica a três demãos e cobertura em telha cerâmica</t>
  </si>
  <si>
    <t>Portão Anti-vandalismo,  montado com moldura em cantoneira galvanizada de 1x1/4" , e  fechamento em tela  galvanizada  tipo ondulada  , arame nº12 e malha de 1", inclusive gonzos e fecho p/ cadeado, pintada com tinta anti-corrosiva, medindo 1,70x1,90m, inclusive chumbamento</t>
  </si>
  <si>
    <t>190417-IOPES</t>
  </si>
  <si>
    <t>Luminária  Ornamental de Embutir no Piso,  Tipo NIX  LED GG-15 - potencia 5,7W , 337ml, drive incorporado  450mA, tensão 127/220V, grau de proteção IP67 , conjunto óptico e alojamento para drive , marca Tecnowatt.</t>
  </si>
  <si>
    <t>Fornecimento, preparo e aplicação de concreto Fck=15 MPa (brita 1 e 2) - (5% de perdas já incluído no custo)</t>
  </si>
  <si>
    <t>Poste Ornamental  Reto , com Base e Chumbadores, em  ferro galvanizado e pintura anti-corrosiva,  altura 4,0m,  marca P&amp;I ou similar , inclusive Luminária  Ornamental de Topo de poste,  Tipo HEKA-LS  LED GG-15 - potencia 80W , 6700ml, drive incorporado  530mA, tensão 127/220V, grau de proteção IP66 , conjunto óptico IP44 no alojamento para drive, marca Tecnowatt.</t>
  </si>
  <si>
    <t>Caixa de aterramento de concreto simples, nas dimensões de 30x30x25cm, com revest. int. em chapisco e reboco, tampa de concreto esp.5cm e lastro de brita esp. 5 cm, incl. haste 5/8"x2400mm</t>
  </si>
  <si>
    <t>Fio ou cabo de cobre termoplástico, com isolamento para 750V, seção de 4.0 mm2</t>
  </si>
  <si>
    <t>Padrão de entrada d' água com cavalete de PVC para hidrômetro com diâmetro de 3/4" - padrão 1C da CESAN. Instalado em vão de muro protegido com gradeamento. Inclusive base de concreto magro, tubulação, conexões e registro. Conferir detalhe.</t>
  </si>
  <si>
    <t>Lastro regularizado de concreto não estrutural, espessura de 8 cm</t>
  </si>
  <si>
    <t>INSUMOS MERCADO</t>
  </si>
  <si>
    <t>Composição 40</t>
  </si>
  <si>
    <t>Composição 41</t>
  </si>
  <si>
    <t>Emídio Pais</t>
  </si>
  <si>
    <t>Revestimento cerâmico Linha Industrial Gressit, 24X24cm, cor cinza claro, PEI 5, ref.: 6024 com rejunte anti-fungo e anti-mofo 4mm, Quartzolit Weber ou similar</t>
  </si>
  <si>
    <t>Caixa de passagem de alvenaria de blocos de concreto 9x19x39cm, dimensões de 50x50x50cm, com revestimento interno em chapisco e reboco, tampa de concreto esp.5cm e lastro de brita 5 cm</t>
  </si>
  <si>
    <t>Caixa de passagem 300x300x120mm, chapa 18, com tampa parafusada</t>
  </si>
  <si>
    <t>Eletroduto de Ferro Galvanizado Pesado, diam. 2" , inclusive conexões (18 curvas, 45 luvas)</t>
  </si>
  <si>
    <t>Eletroduto de Ferro Galvanizado Pesado, diam. 2" , inclusive conexões (139 luvas)</t>
  </si>
  <si>
    <t>Eletroduto de Ferro Galvanizado Pesado, diam. 2" , inclusive conexões (8 luvas, 02 curvas)</t>
  </si>
  <si>
    <t>Eletroduto de PVC rígido roscável, diâm. 1" (32mm), inclusive conexões</t>
  </si>
  <si>
    <t>Eletroduto de PVC rígido roscável, diâm. 3/4" (25mm), inclusive conexões</t>
  </si>
  <si>
    <t>Fio de cobre termoplástico, com isolamento para 750V, seção de 1.5 mm2</t>
  </si>
  <si>
    <t>Cabo de cobre termoplástico, com isolamento para 1000V, seção de 2.5 mm2</t>
  </si>
  <si>
    <t>Interruptor de duas teclas simples 10A/250V, com placa 4x2"</t>
  </si>
  <si>
    <t>pt</t>
  </si>
  <si>
    <t>Caixa para telefone padrão TELEMAR, dim. 1070 x 520 x 500 mm, com tampa de ferro tipo R2, assentada com argamassa de cimento, cal e areia</t>
  </si>
  <si>
    <t>Caixa de passagem 200x200x100mm, chapa 18, com tampa parafusada</t>
  </si>
  <si>
    <t>Tomada para telefone com conector RJ 11</t>
  </si>
  <si>
    <t>Barrilete, inclusive tubulação, conexões e registros da limpeza, extravasor e suspiro</t>
  </si>
  <si>
    <t>Prumada de água fria</t>
  </si>
  <si>
    <t>Prumada de água pluvial</t>
  </si>
  <si>
    <t>Registro de pressão com canopla cromada diam. 20mm (3/4"), marcas de referência Fabrimar, Deca ou Docol</t>
  </si>
  <si>
    <t>PONTOS HIDRO-SANITÁRIOS</t>
  </si>
  <si>
    <t>Ponto de água fria (lavatório, tanque, pia de cozinha, etc...)</t>
  </si>
  <si>
    <t>Ponto com registro de pressão (chuveiro, caixa de descarga, etc...)</t>
  </si>
  <si>
    <t>Ponto para esgoto primário (vaso sanitário)</t>
  </si>
  <si>
    <t>Ponto para esgoto secundário (pia, lavatório, mictório, tanque, bidê, etc...)</t>
  </si>
  <si>
    <t>Ponto para caixa sifonada, inclusive caixa sifonada pvc 150x150x50mm com grelha em aço inox</t>
  </si>
  <si>
    <t>SINALIZAÇÃO</t>
  </si>
  <si>
    <t>Sinalização vertical com chapa revestida em película, inclusive suporte em madeira</t>
  </si>
  <si>
    <t>Proteção em madeira para coletor 1000 litros conforme projeto</t>
  </si>
  <si>
    <t xml:space="preserve">Canteiro para árvores em estrutura de concreto revestida com caco de pedra Miracema ou granito rústico. Dim.: 0,60 x 0,60 m </t>
  </si>
  <si>
    <t>Pergolado em madeira conforme projeto (dim.: 9,84 x 3,00m), inclusive bancos</t>
  </si>
  <si>
    <t>MÓDULO QUIOSQUES / BANHEIROS (X16)</t>
  </si>
  <si>
    <t>TOTAL GERAL</t>
  </si>
  <si>
    <t>Arborização para paisagismo ( mudas viveiro de espera) com altura maior que 1,50m ) - (Ipê Branco - 132 und, Ipê Amarelo - 294 und, Ipê Rosa - 83 und, Quaresmeira Roxa - 56 und)</t>
  </si>
  <si>
    <t>Palmeira Rabo de Raposa ("Wodyetia Bifurcata") e Palmeira Imperial</t>
  </si>
  <si>
    <t>Composição 66</t>
  </si>
  <si>
    <t>Engenheiro Junior (Leis Sociais = 72,68%)</t>
  </si>
  <si>
    <t>Tecnico Segundo Grau -A-(Leis Sociais = 72,68%)</t>
  </si>
  <si>
    <t>Vigia (Leis Sociais = 72,68%)</t>
  </si>
  <si>
    <t>GOVERNO DO ESTADO DO ESPÍRITO SANTO</t>
  </si>
  <si>
    <t>Secretaria de Estado de Mobilidade e Infraestrutura - SEMOBI</t>
  </si>
  <si>
    <t>Departamento de Edificações e de Rodovias do Estado do Espírito Santo - DER-ES</t>
  </si>
  <si>
    <t>Tabela de Custos Unitários Referenciais para Licitações de Obras Públicas</t>
  </si>
  <si>
    <r>
      <t>Tabela:</t>
    </r>
    <r>
      <rPr>
        <sz val="11"/>
        <color theme="1"/>
        <rFont val="Calibri"/>
        <family val="2"/>
        <scheme val="minor"/>
      </rPr>
      <t> 1082001 - TABELA CUSTOS LABOR/CT-UFES PADRÃO DER MAIO/2021(LS=157,27; BDI=0%)</t>
    </r>
  </si>
  <si>
    <r>
      <t>Órgão:</t>
    </r>
    <r>
      <rPr>
        <sz val="11"/>
        <color theme="1"/>
        <rFont val="Calibri"/>
        <family val="2"/>
        <scheme val="minor"/>
      </rPr>
      <t> DEPARTAMENTO DE EDIFICAÇÕES E DE RODOVIAS DO ESTADO DO ESPÍRITO SANTO</t>
    </r>
  </si>
  <si>
    <r>
      <t>Leis Sociais:</t>
    </r>
    <r>
      <rPr>
        <sz val="11"/>
        <color theme="1"/>
        <rFont val="Calibri"/>
        <family val="2"/>
        <scheme val="minor"/>
      </rPr>
      <t> 157,27 %</t>
    </r>
  </si>
  <si>
    <r>
      <t>BDI:</t>
    </r>
    <r>
      <rPr>
        <sz val="11"/>
        <color theme="1"/>
        <rFont val="Calibri"/>
        <family val="2"/>
        <scheme val="minor"/>
      </rPr>
      <t> 0 %</t>
    </r>
  </si>
  <si>
    <t>AJUDANTE (AJUDANTE PRATICO - SINDUSCON)</t>
  </si>
  <si>
    <t>AZULEJISTA (OFICIAL - SINDUSCON)</t>
  </si>
  <si>
    <t>CARPINTEIRO (OFICIAL - SINDUSCON)</t>
  </si>
  <si>
    <t>ELETRICISTA (OFICIAL - SINDUSCON)</t>
  </si>
  <si>
    <t>ENCANADOR - (OFICIAL - SINDUSCON)</t>
  </si>
  <si>
    <t>GRANITEIRO/MARMORISTA (OFICIAL - SINDUSCON)</t>
  </si>
  <si>
    <t>LADRILHISTA - (OFICIAL - SINDUSCON)</t>
  </si>
  <si>
    <t>PASTILHEIRO - (OFICIAL - SINDUSCON)</t>
  </si>
  <si>
    <t>PEDREIRO - (OFICIAL - SINDUSCON)</t>
  </si>
  <si>
    <t>SERVENTE (AUXILIAR DE OBRAS - SINDUSCON)</t>
  </si>
  <si>
    <t>TELHADISTA - (OFICIAL - SINDUSCON)</t>
  </si>
  <si>
    <t>CAL HIDRATADO P/ ARGAMASSA CH III</t>
  </si>
  <si>
    <t>CIMENTO PORTLAND CP III - 40</t>
  </si>
  <si>
    <t>ARGAMASSA FINA PRE FABRICADA P/ ASSENT E REJUNTE DE PASTILHAS</t>
  </si>
  <si>
    <t>QUADRO DIST EMBUTIR MET C/ BARRAMENTO TRIFASICO 18 CIRC - 100A C/ TRINCO</t>
  </si>
  <si>
    <t>ELETRODUTO DE PVC RIGIDO 3/4" - ROSCAVEL SEM LUVA</t>
  </si>
  <si>
    <t>BUCHA DE ALUMINIO FUNDIDO 3/4" C/ ROSCA BSP- WETZEL OU EQUIVALENTE</t>
  </si>
  <si>
    <t>ARRUELA DE ALUMINIO FUNDIDO 3/4" - WETZEL OU EQUIVALENTE</t>
  </si>
  <si>
    <t>TUBO DE PVC SOLDAVEL MARROM 32MM (AGUA FRIA) - TIGRE, AMANCO OU EQUIVALENTE</t>
  </si>
  <si>
    <t>TUBO DE PVC SOLDAVEL MARROM 40MM (AGUA FRIA) - TIGRE, AMANCO OU EQUIVALENTE</t>
  </si>
  <si>
    <t>TUBO DE PVC SOLDAVEL MARROM 50MM (AGUA FRIA) - TIGRE, AMANCO OU EQUIVALENTE</t>
  </si>
  <si>
    <t>TUBO DE PVC SOLDAVEL MARROM 60MM (AGUA FRIA) - TIGRE, AMANCO OU EQUIVALENTE</t>
  </si>
  <si>
    <t>TUBO DE PVC SOLDAVEL MARROM 75MM (AGUA FRIA) - TIGRE, AMANCO OU EQUIVALENTE</t>
  </si>
  <si>
    <t>TUBO DE ESGOTO PRIMARIO DE PVC BRANCO SERIE NORMAL (4") - 100MM - TIGRE, AMANCO OU EQUIVALENTE</t>
  </si>
  <si>
    <t>REGISTRO DE GAVETA BRUTO 25MM - 1"</t>
  </si>
  <si>
    <t>REGISTRO DE GAVETA BRUTO 32MM - 1.1/4"</t>
  </si>
  <si>
    <t>REGISTRO DE GAVETA BRUTO 50MM - 2"</t>
  </si>
  <si>
    <t>REGISTRO DE GAVETA BRUTO 65MM - 2.1/2"</t>
  </si>
  <si>
    <t>REGISTRO DE GAVETA CROMADO 3/4" COM CANOPLA</t>
  </si>
  <si>
    <t>REGISTRO DE GAVETA CROMADO 1" COM CANOPLA</t>
  </si>
  <si>
    <t xml:space="preserve"> BARRA DE APOIO RETA, EM ACO INOX POLIDO, COMPRIMENTO 90 CM, DIAMETRO MINIMO 3 CM</t>
  </si>
  <si>
    <t>Pasta lubrificante para tubos e conexoes com junta elastica(uso em pvc, aco, polietileno e outros) ( de *400* g)</t>
  </si>
  <si>
    <t xml:space="preserve">Caiação de meio fios, sarjetas, etc </t>
  </si>
  <si>
    <t>87378-SINAPI</t>
  </si>
  <si>
    <t>ARGAMASSA TRAÇO 1:4 (EM VOLUME DE CIMENTO E AREIA GROSSA ÚMIDA) PARA CHAPISCO CONVENCIONAL, PREPARO MANUAL. AF_08/2019</t>
  </si>
  <si>
    <t>PEDRA GRANITICA, SERRADA, TIPO MIRACEMA, MADEIRA, PADUANA, RACHINHA, SANTA ISABEL OU OUTRAS SIMILARES, *11,5 X *23 CM, E= *1,0 A *2,0 CM</t>
  </si>
  <si>
    <t xml:space="preserve"> MUDA DE ARBUSTO, BUXINHO, H= *50* M </t>
  </si>
  <si>
    <t>Merc-03</t>
  </si>
  <si>
    <t xml:space="preserve"> MUDA DE ARVORE ORNAMENTAL, OITI/AROEIRA SALSA/ANGICO/IPE/JACARANDA OU EQUIVALENTE DA REGIAO, H= *2* M</t>
  </si>
  <si>
    <t>Regularização e compactação do sub-leito (100% P.I.) H = 0,20 m</t>
  </si>
  <si>
    <t>Placa Extrudada Gail - Linha Arquitetura Natural - Amêndoa Dimensão: 240X116X12 mm Características: Placa cerâmica extrudada, não esmaltada, monoqueima, com garras cônicas (prismáticas) de fixação, antiderrapante.  Ref. 1077-1230</t>
  </si>
  <si>
    <r>
      <t>Placa Extrudada Gail - Linha Arquitetura Natural Bege</t>
    </r>
    <r>
      <rPr>
        <b/>
        <sz val="10"/>
        <color theme="1"/>
        <rFont val="Arial"/>
        <family val="2"/>
      </rPr>
      <t xml:space="preserve"> </t>
    </r>
    <r>
      <rPr>
        <sz val="10"/>
        <color theme="1"/>
        <rFont val="Arial"/>
        <family val="2"/>
      </rPr>
      <t>Dimensão: 240X116X12 mm Características: Placa cerâmica extrudada, não esmaltada, monoqueima, com garras cônicas (prismáticas) de fixação, antiderrapante. Ref. 1077-1000</t>
    </r>
  </si>
  <si>
    <t>Placa Extrudada Gail - Linha Arquitetura Natural Castor Dimensão: 240X116X12 mm Características: Placa cerâmica extrudada, não esmaltada, monoqueima, com garras cônicas (prismáticas) de fixação, antiderrapante. Ref. 1077-1400</t>
  </si>
  <si>
    <t>Revestimento cerâmico Linha Industrial Gressit, 240X240x9mm, cor cinza claro, PEI 5, ref.: 6039-1015</t>
  </si>
  <si>
    <t>Mini-Disjuntor bipolar 32 A, curva C - 5KA 220/127VCA (NBR IEC 60947-2), Ref. Siemens, GE, Schneider ou equivalente</t>
  </si>
  <si>
    <t>Mini-Disjuntor bipolar 50 A, curva C - 5KA 220/127VCA (NBR IEC 60947-2), Ref. Siemens, GE, Schneider ou equivalente</t>
  </si>
  <si>
    <t>Mini-Disjuntor monopolar 10 A, curva C - 5KA 220/127VCA (NBR IEC 60947-2), Ref. Siemens, GE, Schneider ou equivalente</t>
  </si>
  <si>
    <t>Cabo de cobre termoplástico, com isolamento para 1000V, seção de 10 mm2</t>
  </si>
  <si>
    <t>Fita isolante em rolo de 19mm x 20 m, número 33 Scoth ou equivalente</t>
  </si>
  <si>
    <t>Envelopamento de concreto simples com consumo mínimo de cimento de 250kg/m3, inclusive escavação para profundidade mínima do eletroduto de 50cm, de 60 x 30 cm, para 3 eletrodutos</t>
  </si>
  <si>
    <t>Cabo de cobre termoplástico, com isolamento para 1000V, seção de 16 mm2</t>
  </si>
  <si>
    <t>Eletroduto em ferro galvanizado pesado sem costura 2" x 3m</t>
  </si>
  <si>
    <t xml:space="preserve"> CURVA 90 GRAUS DE FERRO GALVANIZADO, COM ROSCA BSP MACHO/FEMEA, DE 2"</t>
  </si>
  <si>
    <t>LUVA DE FERRO GALVANIZADO, COM ROSCA BSP, DE 2"</t>
  </si>
  <si>
    <t>CABECOTE PARA ENTRADA DE LINHA DE ALIMENTACAO PARA ELETRODUTO, EM LIGA DE ALUMINIO COM ACABAMENTO ANTI CORROSIVO, COM FIXACAO POR ENCAIXE LISO DE 360 GRAUS, DE 2"</t>
  </si>
  <si>
    <t xml:space="preserve">RELE FOTOELETRICO INTERNO E EXTERNO BIVOLT 1000 W, DE CONECTOR, SEM BASE </t>
  </si>
  <si>
    <t>Portão de ferro de abrir em barra chata, chapa e tubo, inclusive chumbamento</t>
  </si>
  <si>
    <t>Fita Isolante NR 33 - Rolo 20 m</t>
  </si>
  <si>
    <t>Luminária  Ornamental de Topo de poste,  Tipo HEKA-LS  LED GG-15 - potencia 80W , 6700ml, drive incorporado  530mA, tensão 127/220V, grau de proteção IP66 , conjunto óptico IP44 no alojamento para drive, marca Tecnowatt ou similar</t>
  </si>
  <si>
    <t>Luminária  Ornamental de Embutir no Piso,  Tipo NIX  LED GG-15 - potencia 5,7W , 337ml, drive incorporado  450mA, tensão 127/220V, grau de proteção IP67 , conjunto óptico e alojamento para drive , marca Tecnowatt ou similar</t>
  </si>
  <si>
    <t>Und</t>
  </si>
  <si>
    <t>Merc-04</t>
  </si>
  <si>
    <t>Merc-05</t>
  </si>
  <si>
    <t>Merc-06</t>
  </si>
  <si>
    <t>Merc-07</t>
  </si>
  <si>
    <t>Merc-08</t>
  </si>
  <si>
    <t>Merc-09</t>
  </si>
  <si>
    <t>Merc-10</t>
  </si>
  <si>
    <t>Merc-11</t>
  </si>
  <si>
    <t>Merc-12</t>
  </si>
  <si>
    <t>Merc-13</t>
  </si>
  <si>
    <t>Merc-14</t>
  </si>
  <si>
    <t>Merc-15</t>
  </si>
  <si>
    <t>Merc-16</t>
  </si>
  <si>
    <t>Merc-17</t>
  </si>
  <si>
    <t>Mini-Disjuntor monopolar 25 A, curva C - 5KA 220/127VCA (NBR IEC 60947-2), Ref. Siemens, GE, Schneider ou equivalente</t>
  </si>
  <si>
    <t>Mini-Disjuntor monopolar 50 A, curva C - 5KA 220/127VCA (NBR IEC 60947-2), Ref. Siemens, GE, Schneider ou equivalente</t>
  </si>
  <si>
    <t>Luminária tipo globo de plástico 9x4", inclusive plafonier</t>
  </si>
  <si>
    <t>Merc-18</t>
  </si>
  <si>
    <t>Merc-19</t>
  </si>
  <si>
    <t>Merc-20</t>
  </si>
  <si>
    <t>Merc-21</t>
  </si>
  <si>
    <t>Merc-22</t>
  </si>
  <si>
    <t>Composição 67</t>
  </si>
  <si>
    <t>Composição 68</t>
  </si>
  <si>
    <t>Composição 69</t>
  </si>
  <si>
    <t>Composição 70</t>
  </si>
  <si>
    <t>CAIXA DE PASSAGEM, EM PVC, DE 4" X 4", PARA ELETRODUTO</t>
  </si>
  <si>
    <t>Ponto de telefone, incluindo caixa 4"x4" PVC ref. Tigreflex ou equivalente e eletroduto</t>
  </si>
  <si>
    <t>Merc-23</t>
  </si>
  <si>
    <t>Merc-25</t>
  </si>
  <si>
    <t>Merc-26</t>
  </si>
  <si>
    <t>Merc-27</t>
  </si>
  <si>
    <t>Merc-28</t>
  </si>
  <si>
    <t>Cotação Gail</t>
  </si>
  <si>
    <t>Merc-29</t>
  </si>
  <si>
    <t>Merc-30</t>
  </si>
  <si>
    <t>Merc-31</t>
  </si>
  <si>
    <t>Merc-32</t>
  </si>
  <si>
    <t>Merc-33</t>
  </si>
  <si>
    <t>Merc-34</t>
  </si>
  <si>
    <t>Merc-35</t>
  </si>
  <si>
    <t>Considerado 10% para frete</t>
  </si>
  <si>
    <t>Representante Tecnowatt</t>
  </si>
  <si>
    <t>Poste PRFV 4,2m - 50 daN -Topo Ø76 mm - Redução  Ø 60mm - Acabamento liso - Flangeado - Pintado na  cor BRANCA - SEÇÃO ÚNICA 
PIF-4,2-50-76-R60 ou similar</t>
  </si>
  <si>
    <t>Representante Jatobá</t>
  </si>
  <si>
    <t>Revestimento Amadeirado Incepa PP Arbol Carvalho 20 x 120 cm retificado ABS áspero</t>
  </si>
  <si>
    <t>Representante Gail</t>
  </si>
  <si>
    <t>Revestimento do deck em perfis e barrotes Ecoblock, inclusive cavilhas do mesmo material e frete</t>
  </si>
  <si>
    <t>Painel ripado para proteção das lixeiras com pilares e travessas em perfis Ecoblock, inclusive cavilhas do mesmo material e frete</t>
  </si>
  <si>
    <t>Bancos em perfis Ecoblock, inclusive cavilhas do mesmo material e frete</t>
  </si>
  <si>
    <t>Pergolado em perfis Ecoblock, inclusive cavilhas do mesmo material e frete</t>
  </si>
  <si>
    <t>Considerado 10% para frete e 5% de perdas</t>
  </si>
  <si>
    <t>Metazil</t>
  </si>
  <si>
    <t>Revestimento colorido para ciclovias</t>
  </si>
  <si>
    <t>Composição 71</t>
  </si>
  <si>
    <t>Execução de lastro de brita nº 02 sob deck, esp = 10cm</t>
  </si>
  <si>
    <t>Fornecimento e instalação de vidro temperado 8mm para fechamento do quiosque principal (cortina de vidro), inclusive estrutura em alumínio e roldanas blindadas</t>
  </si>
  <si>
    <t>Repiso Sport 200 Regularizador Acrílico - barrica 50 kg</t>
  </si>
  <si>
    <t>Repiso Via  Vermelho - barrica 50 kg</t>
  </si>
  <si>
    <t>Repiso Sport 100 Tinta Amarelo</t>
  </si>
  <si>
    <t>Repiso Sport 100 Tinta Branco</t>
  </si>
  <si>
    <t>Repiso - Tecnologia em Superfícies</t>
  </si>
  <si>
    <t>Telha de concreto, plana, 10,4un/m² ( Tégula ou similar)</t>
  </si>
  <si>
    <t>Cumeeira para telha de concreto, para 2 aguas de telhado, cor cinza, rendimento de *3* telhas/m</t>
  </si>
  <si>
    <t>Soleira em granito branco Siena, polido, l = 15 cm, e = 2cm</t>
  </si>
  <si>
    <t>Peitoril/chapim em granito branco siena, polido, l = 15cm, e = 2cm</t>
  </si>
  <si>
    <t>Granito branco Siena e= 2cm, para bancadas</t>
  </si>
  <si>
    <t>Rodopia em granito branco Siena, L=20cm, e=2cm</t>
  </si>
  <si>
    <t>Ombrelone Super Premium Lateral Giratório Quadrado 2,00 x 2,00 m com Floreira Creme.  Dimensão da floreira: 0,71 x 0,70 x 0,41 m  Fabricante: Ombrelone &amp; Ombrelones</t>
  </si>
  <si>
    <t>Ombrelone com haste central redondo Ø 2,10 m, cor creme, inclusive base. Fabricante Ombrelone $ Ombrelones</t>
  </si>
  <si>
    <t>Merc-36</t>
  </si>
  <si>
    <t>Bicicletário de Chão para 05 bicicletas AL-43, fixado no chão.  Fabricante: Altmayer Sport ou equivalente</t>
  </si>
  <si>
    <t>Cachepot rústico para plantas Jatobá 0,45 x 0,45 x 0,45 m</t>
  </si>
  <si>
    <t>Merc-37</t>
  </si>
  <si>
    <t>Coletor com carga traseira de lixo de 120 litros - (container de lixo) - C-120   Fab.: Contemar Ambiental ou equivalente</t>
  </si>
  <si>
    <t>Coletor com carga traseira de lixo de 1000 litros - (container de lixo) C-1000 . Fab.: Contemar Ambiental ou equivalente</t>
  </si>
  <si>
    <t>Item</t>
  </si>
  <si>
    <t>Total do Item 1</t>
  </si>
  <si>
    <t>Total do Item 3</t>
  </si>
  <si>
    <t>Total do Item 4</t>
  </si>
  <si>
    <t>Total do Item 5</t>
  </si>
  <si>
    <t>Total do Item 6</t>
  </si>
  <si>
    <t>Total do Item 7</t>
  </si>
  <si>
    <t>Total do Item 8</t>
  </si>
  <si>
    <t>Total do Item 10</t>
  </si>
  <si>
    <t>Total do Item 11</t>
  </si>
  <si>
    <t>Planilha Orçamentária</t>
  </si>
  <si>
    <r>
      <t>Leis Sociais:</t>
    </r>
    <r>
      <rPr>
        <sz val="11"/>
        <color theme="1"/>
        <rFont val="Calibri"/>
        <family val="2"/>
        <scheme val="minor"/>
      </rPr>
      <t> 157,27</t>
    </r>
  </si>
  <si>
    <r>
      <t>Orgão Cliente:</t>
    </r>
    <r>
      <rPr>
        <sz val="11"/>
        <color theme="1"/>
        <rFont val="Calibri"/>
        <family val="2"/>
        <scheme val="minor"/>
      </rPr>
      <t> DEPARTAMENTO DE EDIFICAÇÕES E DE RODOVIAS DO ESTADO DO ESPÍRITO SANTO</t>
    </r>
  </si>
  <si>
    <r>
      <t>BDI:</t>
    </r>
    <r>
      <rPr>
        <sz val="11"/>
        <color theme="1"/>
        <rFont val="Calibri"/>
        <family val="2"/>
        <scheme val="minor"/>
      </rPr>
      <t> 0</t>
    </r>
  </si>
  <si>
    <r>
      <t>Local:</t>
    </r>
    <r>
      <rPr>
        <sz val="11"/>
        <color theme="1"/>
        <rFont val="Calibri"/>
        <family val="2"/>
        <scheme val="minor"/>
      </rPr>
      <t> </t>
    </r>
  </si>
  <si>
    <t>Especificação do Serviço</t>
  </si>
  <si>
    <t>Preço Unitário</t>
  </si>
  <si>
    <t>Preço Total</t>
  </si>
  <si>
    <t>'01</t>
  </si>
  <si>
    <t>'0102</t>
  </si>
  <si>
    <t>010201</t>
  </si>
  <si>
    <t>Demolição de piso cimentado inclusive lastro de concreto</t>
  </si>
  <si>
    <t>010202</t>
  </si>
  <si>
    <t>Demolição de piso revestido com cerâmica</t>
  </si>
  <si>
    <t>010203</t>
  </si>
  <si>
    <t>Demolição de piso revestido com cerâmica inclusive lastro de concreto</t>
  </si>
  <si>
    <t>010204</t>
  </si>
  <si>
    <t>Demolição de piso revestido com tacos de madeira</t>
  </si>
  <si>
    <t>010205</t>
  </si>
  <si>
    <t>Demolição de piso de tábuas</t>
  </si>
  <si>
    <t>010206</t>
  </si>
  <si>
    <t>Demolição de revestimento com azulejos</t>
  </si>
  <si>
    <t>010207</t>
  </si>
  <si>
    <t>Demolição de revestimento com lambris de madeira</t>
  </si>
  <si>
    <t>010208</t>
  </si>
  <si>
    <t>Retirada de revestimento antigo em reboco</t>
  </si>
  <si>
    <t>010209</t>
  </si>
  <si>
    <t>Demolição de alvenaria</t>
  </si>
  <si>
    <t>010210</t>
  </si>
  <si>
    <t>Demolição manual de concreto simples (EMOP 05.001.001)</t>
  </si>
  <si>
    <t>010212</t>
  </si>
  <si>
    <t>Retirada manual de pavimento em paralelepípedos, incluindo empilhamento para reaproveitamento</t>
  </si>
  <si>
    <t>010213</t>
  </si>
  <si>
    <t>Retirada manual de blocos pré-moldados de concreto (Blokret), inclusive empilhamento para reaproveitamento</t>
  </si>
  <si>
    <t>010214</t>
  </si>
  <si>
    <t>Retirada de portas e janelas de madeira, inclusive batentes</t>
  </si>
  <si>
    <t>010215</t>
  </si>
  <si>
    <t>Retirada de esquadrias metálicas</t>
  </si>
  <si>
    <t>010216</t>
  </si>
  <si>
    <t>010218</t>
  </si>
  <si>
    <t>Remoção de pintura antiga a óleo ou esmalte</t>
  </si>
  <si>
    <t>010219</t>
  </si>
  <si>
    <t>Demolição manual de concreto armado (EMOP 05.001.033)</t>
  </si>
  <si>
    <t>010220</t>
  </si>
  <si>
    <t>Demolição de piso cimentado, exclusive lastro de concreto</t>
  </si>
  <si>
    <t>010221</t>
  </si>
  <si>
    <t>Retirada de bandeira de porta</t>
  </si>
  <si>
    <t>010222</t>
  </si>
  <si>
    <t>Demolição de elementos vazados cerâmicos ou de concreto</t>
  </si>
  <si>
    <t>010223</t>
  </si>
  <si>
    <t>Retirada de aparelhos sanitários</t>
  </si>
  <si>
    <t>010224</t>
  </si>
  <si>
    <t>Retirada de grades, gradis, alambrados, cercas e portões</t>
  </si>
  <si>
    <t>010225</t>
  </si>
  <si>
    <t>Retirada de bancada de pia</t>
  </si>
  <si>
    <t>010226</t>
  </si>
  <si>
    <t>Retirada de tanque de cimento</t>
  </si>
  <si>
    <t>010227</t>
  </si>
  <si>
    <t>Retirada de caixa d'água de fibrocimento, inclusive tubulação de ligação</t>
  </si>
  <si>
    <t>010228</t>
  </si>
  <si>
    <t>Demolição de forro de madeira, sem reaproveitamento</t>
  </si>
  <si>
    <t>010229</t>
  </si>
  <si>
    <t>Retirada de poste de aço de 4 a 6 m</t>
  </si>
  <si>
    <t>010230</t>
  </si>
  <si>
    <t>Retirada de pintura antiga a base de PVA</t>
  </si>
  <si>
    <t>010234</t>
  </si>
  <si>
    <t>Demolição de laje pré-moldada de concreto</t>
  </si>
  <si>
    <t>010238</t>
  </si>
  <si>
    <t>Apicoamento de superfície com revestimento em argamassa</t>
  </si>
  <si>
    <t>010239</t>
  </si>
  <si>
    <t>Retirada de divisórias com reaproveitamento</t>
  </si>
  <si>
    <t>010240</t>
  </si>
  <si>
    <t>Retirada de pontos elétricos (luminárias, interruptores e tomadas)</t>
  </si>
  <si>
    <t>010242</t>
  </si>
  <si>
    <t>Retirada de vidros quebrados</t>
  </si>
  <si>
    <t>010244</t>
  </si>
  <si>
    <t>Retirada de rodapé em argamassa de cimento e areia</t>
  </si>
  <si>
    <t>010246</t>
  </si>
  <si>
    <t>Lixamento de parede com pintura antiga PVA para recebimento de nova camada de tinta</t>
  </si>
  <si>
    <t>010253</t>
  </si>
  <si>
    <t>Remoção de engradamento de madeira de cobertura para reaproveitamento</t>
  </si>
  <si>
    <t>010254</t>
  </si>
  <si>
    <t>Remoção de telhas cerâmica, tipo francesa, inclusive cumeeira</t>
  </si>
  <si>
    <t>010255</t>
  </si>
  <si>
    <t>Remoção de telhas cerâmicas, tipo colonial, inclusive cumeeiras</t>
  </si>
  <si>
    <t>010256</t>
  </si>
  <si>
    <t>Remoção de telha ondulada de fibrocimento, inclusive cumeeira</t>
  </si>
  <si>
    <t>010259</t>
  </si>
  <si>
    <t>Retirada de rodapé de madeira ou cerâmica</t>
  </si>
  <si>
    <t>010264</t>
  </si>
  <si>
    <t>Demolição de piso granilite</t>
  </si>
  <si>
    <t>010271</t>
  </si>
  <si>
    <t>Retirada de caixas/quadros elétricos</t>
  </si>
  <si>
    <t>010279</t>
  </si>
  <si>
    <t>Retirada de quadro de giz (1.29 x 3.95m)</t>
  </si>
  <si>
    <t>010280</t>
  </si>
  <si>
    <t>Remoção de cobertura em telha metálica, exclusive estrutura</t>
  </si>
  <si>
    <t>010286</t>
  </si>
  <si>
    <t>Demolição de divisória de granito</t>
  </si>
  <si>
    <t>010292</t>
  </si>
  <si>
    <t>Retirada de alizar de madeira</t>
  </si>
  <si>
    <t>0103</t>
  </si>
  <si>
    <t>010315</t>
  </si>
  <si>
    <t>Retirada de cobertura em telhas Canalete 49</t>
  </si>
  <si>
    <t>010317</t>
  </si>
  <si>
    <t>Demolição de alvenaria, com reaproveitamento</t>
  </si>
  <si>
    <t>010318</t>
  </si>
  <si>
    <t>Remoção de forro em eucatex, sem aproveitamento do material</t>
  </si>
  <si>
    <t>010319</t>
  </si>
  <si>
    <t>Remoção de pintura antiga a base de óleo ou esmalte sobre esquadrias</t>
  </si>
  <si>
    <t>010320</t>
  </si>
  <si>
    <t>Remoção de revestimento de pisos com forração textil</t>
  </si>
  <si>
    <t>010323</t>
  </si>
  <si>
    <t>Retirada de torneiras e registros</t>
  </si>
  <si>
    <t>010324</t>
  </si>
  <si>
    <t>Retirada de cobertura em telha canalete 90</t>
  </si>
  <si>
    <t>010325</t>
  </si>
  <si>
    <t>Demolição de estrutura de madeira para telhado</t>
  </si>
  <si>
    <t>010326</t>
  </si>
  <si>
    <t>Retirada de estrutura em madeira do telhado</t>
  </si>
  <si>
    <t>010327</t>
  </si>
  <si>
    <t>Retirada de marco de madeira</t>
  </si>
  <si>
    <t>010329</t>
  </si>
  <si>
    <t>Retirada de disjuntor</t>
  </si>
  <si>
    <t>010331</t>
  </si>
  <si>
    <t>Demolição de piso, soleira, peitoris e escadas em mármore ou granito, exclusive regularização</t>
  </si>
  <si>
    <t>010332</t>
  </si>
  <si>
    <t>Retirada de roda parede em madeira</t>
  </si>
  <si>
    <t>010333</t>
  </si>
  <si>
    <t>Retirada de piso de borracha</t>
  </si>
  <si>
    <t>0104</t>
  </si>
  <si>
    <t>LIMPEZA DO TERRENO</t>
  </si>
  <si>
    <t>010401</t>
  </si>
  <si>
    <t>Corte de capoeira fina, a foice (manual)</t>
  </si>
  <si>
    <t>010402</t>
  </si>
  <si>
    <t>Raspagem e limpeza do terreno (manual)</t>
  </si>
  <si>
    <t>010403</t>
  </si>
  <si>
    <t>Corte e destocamento de árvores com diâmetro de até 15 cm</t>
  </si>
  <si>
    <t>010404</t>
  </si>
  <si>
    <t>Corte e destocamento de árvores com diâmetro superior a 30 cm</t>
  </si>
  <si>
    <t>0105</t>
  </si>
  <si>
    <t>010501</t>
  </si>
  <si>
    <t>010512</t>
  </si>
  <si>
    <t>Equipe topográfica para serviços simples de locação e nivelamento (incluindo equipamento, transporte e profissionais nivel médio)</t>
  </si>
  <si>
    <t>mês</t>
  </si>
  <si>
    <t>02</t>
  </si>
  <si>
    <t>INSTALAÇÃO DO CANTEIRO DE OBRAS</t>
  </si>
  <si>
    <t>0203</t>
  </si>
  <si>
    <t>TAPUMES, BARRACÕES E COBERTURAS</t>
  </si>
  <si>
    <t>020305</t>
  </si>
  <si>
    <t>020339</t>
  </si>
  <si>
    <t>Locação de andaime metálico para trabalho em fachada de edifíco (aluguel de 1 m² por 1 mês) inclusive frete, montagem e desmontagem</t>
  </si>
  <si>
    <t>020343</t>
  </si>
  <si>
    <t>Aluguel mensal container para escritório, sem banheiro, dim. 6.00x2.40m, incl. porta, 2 janelas, abert p/ ar cond., 2 pt iluminação, 2 tomadas elét. e 1 tomada telef. Isolamento térmico (teto e paredes), piso em comp. Naval, cert. NR18, incl. laudo descontaminação.</t>
  </si>
  <si>
    <t>020344</t>
  </si>
  <si>
    <t>Mobilização e desmobilização de conteiner locado para barracão de obra</t>
  </si>
  <si>
    <t>020346</t>
  </si>
  <si>
    <t>Locação de andaime metálico para fachada - tipo torre (aluguel mensal)</t>
  </si>
  <si>
    <t>020348</t>
  </si>
  <si>
    <t>Fornecimento e instalação de proteção para andaime fachadeiro considerando plataforma, rodapé e guarda-corpo em madeira, inclusive entelamento, conforme NR-18 (medido por m2 de fachada)</t>
  </si>
  <si>
    <t>020350</t>
  </si>
  <si>
    <t>Tapume Telha Metálica Ondulada em aço galvalume 0,50mm Branca h=2,20m, incl. montagem estr. mad. 8"x8", c/adesivo "DER-ES" 60x60cm a cada 10m, incl. faixas pint. esmalte sint. cores azul c/ h=30cm e rosa c/ h=10cm (Reaproveitamento 2x)</t>
  </si>
  <si>
    <t>020351</t>
  </si>
  <si>
    <t>Tapume madeira compensada resinada e= 12mm h=2,20m, estr. c/ mad reflorest., incl mont, pintura esmalte sint, adesivo "DER-ES" 60x60cm a cada 10m e faixas c/ pintura esmalte sintético nas cores azul c/ h=30cm e rosa c/ h=10cm</t>
  </si>
  <si>
    <t>020352</t>
  </si>
  <si>
    <t>Aluguel mensal container para escritório, dim. 6.00x2.40m, c/ banheiro (vaso+lavat+chuveiro e básc), incl. porta, 2 janelas, abert p/ ar cond., 2 pt iluminação, 2 tom. elét. e 1 tom.telef. Isolam.térmico(teto e paredes), piso em comp. Naval, cert. NR18, incl. laudo descontaminação.</t>
  </si>
  <si>
    <t>020353</t>
  </si>
  <si>
    <t>Aluguel mensal container para refeitorio, incl. porta, 2 janelas, abert p/ ar cond., 2 pt iluminação, 2 tomadas elét. e 1 tomada telef. Isolamento térmico (paredes e teto), piso em comp. Naval pintado, cert. NR18, incl. laudo descontaminação.</t>
  </si>
  <si>
    <t>020354</t>
  </si>
  <si>
    <t>Aluguel mensal container para vestiário, incl. porta, venezianas de circulação, 1 pt iluminação, Isolamento térmico (teto), piso em comp. Naval pintado, cert. NR18, incl. laudo descontaminação.</t>
  </si>
  <si>
    <t>020355</t>
  </si>
  <si>
    <t>Aluguel mensal container sanitário, incl porta, básc, 2 ptos luz, 1 pto aterram., 3vasos, 3lavatórios, calha mictório, 6 chuveiros (1 eletrico), torn.,registros, piso comp. Naval pintado, cert NR18 e laudo descontaminação</t>
  </si>
  <si>
    <t>020356</t>
  </si>
  <si>
    <t>Aluguel mensal container para almoxarifado, incl. porta, 2 janelas, 1 pt iluminação, Isolamento térmico (teto), piso em comp. Naval pintado, cert. NR18, incl. laudo descontaminação.</t>
  </si>
  <si>
    <t>0207</t>
  </si>
  <si>
    <t>INSTALAÇÃO DO CANTEIRO DE OBRAS (UTILIZAÇÃO 1 VEZ), PROJETO PADRÃO LABOR - NR.18 (OBRAS COM PRAZO DE EXECUÇÃO SUPERIOR A 12 MESES)</t>
  </si>
  <si>
    <t>020701</t>
  </si>
  <si>
    <t>020702</t>
  </si>
  <si>
    <t>020703</t>
  </si>
  <si>
    <t>020704</t>
  </si>
  <si>
    <t>020705</t>
  </si>
  <si>
    <t>020706</t>
  </si>
  <si>
    <t>Unidade de sanitário e vestiário de 20 a 40 func. área 25.40m2, paredes de chapa compens. 12mm e pontalete 8x8cm, piso cimentado, cobert. telha fibroc. 6mm, incl. inst. de luz e cx. de inspeção, conf. projeto (1 utilização)</t>
  </si>
  <si>
    <t>020707</t>
  </si>
  <si>
    <t>Unidade de sanitário e vestiário de 40 a 60 func. área 33.90m2, paredes de chapa compens. 12mm e pontalete 8x8cm, piso cimentado, cobert. telha fibroc. 6mm, incl. inst. de luz e cx. de inspeção, conf. projeto (1 utilização)</t>
  </si>
  <si>
    <t>020708</t>
  </si>
  <si>
    <t>Galpão para serraria e carpintaria área 12.00m2, em peça de madeira 8x8cm e contraventamento de 5x7cm, cobertura de telha de fibroc. de 6mm, inclusive ponto e cabo de alimentação da máquina, conf. projeto (1 utilização)</t>
  </si>
  <si>
    <t>020709</t>
  </si>
  <si>
    <t>Galpão para corte e armação com área de 6.00m2, em peças de madeira 8x8cm e contraventamento de 5x7cm, cobertura de telhas de fibroc. de 6mm, inclusive ponto e cabo de alimentação da máquina, conf. projeto (1 utilização)</t>
  </si>
  <si>
    <t>020710</t>
  </si>
  <si>
    <t>Reservatório de poliestileno de 500L, incl. suporte em madeira de 7x12cm e 5x7cm, elevado de 4m, conf. projeto (1 utilização)</t>
  </si>
  <si>
    <t>020711</t>
  </si>
  <si>
    <t>Reservatório de poliestileno de 1000 L, incl. suporte em madeira de 7x12cm e 8x7cm, elevado de 4m, conf. projeto (1 utilização)</t>
  </si>
  <si>
    <t>020712</t>
  </si>
  <si>
    <t>020713</t>
  </si>
  <si>
    <t>020714</t>
  </si>
  <si>
    <t>0208</t>
  </si>
  <si>
    <t>INSTALAÇÃO DO CANTEIRO DE OBRAS (UTILIZAÇÃO 2 VEZES), PROJETO PADRÃO LABOR - NR.18 (OBRAS COM PRAZO DE EXECUÇÃO DE 6 A 12 MESES)</t>
  </si>
  <si>
    <t>020801</t>
  </si>
  <si>
    <t>Barracão para escritório com sanitário área 14.50m2, de chapa de compens. 12mm e pontalete 8x8cm, piso cimentado e cobertura de telha de fibroc. 6mm, incl. ponto de luz e cx. de inspeção, conf. projeto (2 utilizações)</t>
  </si>
  <si>
    <t>020802</t>
  </si>
  <si>
    <t>Barracão para almoxarifado área de 10.90m2, de chapa de compensado 12mm e pontaletes 8x8cm, piso cimentado e cobertura de telha de fibrocimento de 6mm, inclusive ponto de luz, conf. projeto (2 utilizações)</t>
  </si>
  <si>
    <t>020803</t>
  </si>
  <si>
    <t>Barracão para depósito de cimento área de 10.90m2, de chapa de compensado 12mm e pontaletes 8x8cm, piso cimentado e cobertura de telhas de fibrocimento de 6mm, inclusive ponto de luz, conf. projeto (2 utilizações)</t>
  </si>
  <si>
    <t>020804</t>
  </si>
  <si>
    <t>Refeitório com paredes de chapa de compens. 12mm e pontaletes 8x8cm, piso ciment. e cobert. de telhas fibroc. 6mm, incl. ponto de luz e cx. de inspeção (cons. 1.21m2/func./turno), conf. projeto (2 utilização)</t>
  </si>
  <si>
    <t>020805</t>
  </si>
  <si>
    <t>Unidade de sanitário e vestiário para até 20 func. área 18.15m2, paredes de chapa compens. 12mm e pontalete 8x8cm, piso cimentado, cobert. telha fibroc. 6mm, incl. inst. de luz e cx. de inspeção, conf. projeto (2 utilizações)</t>
  </si>
  <si>
    <t>020806</t>
  </si>
  <si>
    <t>Unidade de sanitário e vestiário de 20 a 40 func. área 25.40m2, paredes de chapa compens. 12mm e pontalete 8x8cm, piso cimentado, cobert. telha fibroc. 6mm, incl. inst. de luz e cx. de inspeção, conf. projeto (2 utilizações)</t>
  </si>
  <si>
    <t>020807</t>
  </si>
  <si>
    <t>Unidade de sanitário e vestiário de 40 a 60 func. área 33.90m2, paredes de chapa compens. 12mm e pontalete 8x8cm, piso cimentado, cobert. telha fibroc. 6mm, incl. inst. de luz e cx. de inspeção, conf. projeto (2 utilizações)</t>
  </si>
  <si>
    <t>020808</t>
  </si>
  <si>
    <t>Galpão para serraria e carpintaria área 12.00m2, em peças de madeira 8x8cm e contraventamento de 5x7cm, cobertura de telhas de fibroc. de 6mm, inclusive ponto e cabo de alimentação da máquina, conf. projeto (2 utilizações)</t>
  </si>
  <si>
    <t>020809</t>
  </si>
  <si>
    <t>Galpão para corte e armação com área de 6.00m2, de peças de madeira 8x8cm e contraventamento de 5x7cm, cobertura de telhas de fibroc. de 6mm, inclusive ponto e cabo de alimentação da máquina, conf. projeto (2 utilizações)</t>
  </si>
  <si>
    <t>020810</t>
  </si>
  <si>
    <t>Reservatório de poliestileno de 500 L, incl. suporte em madeira de 7x12cm e 5x7cm, elevado de 4m, conforme projeto (2 utilizações)</t>
  </si>
  <si>
    <t>020811</t>
  </si>
  <si>
    <t>Reservatório de poliestileno de 1000 L, inclusive suporte em madeira de 7x12cm e 5x7cm, elevado de 4m, conforme projeto (2 utilizações)</t>
  </si>
  <si>
    <t>020812</t>
  </si>
  <si>
    <t>Rede de água, com padrão de entrada d'água diâm. 3/4", conf. espec. CESAN, incl. tubos e conexões para alimentação, distribuição, extravasor e limpeza, cons. o padrão a 25m, conf. projeto (2 utilizações)</t>
  </si>
  <si>
    <t>03</t>
  </si>
  <si>
    <t>0301</t>
  </si>
  <si>
    <t>ESCAVAÇÕES</t>
  </si>
  <si>
    <t>030101</t>
  </si>
  <si>
    <t>030102</t>
  </si>
  <si>
    <t>Escavação manual em material de 2a. categoria, até 1.50 m de profundidade</t>
  </si>
  <si>
    <t>030103</t>
  </si>
  <si>
    <t>Escavação mecânica em material de 1a. categoria</t>
  </si>
  <si>
    <t>030104</t>
  </si>
  <si>
    <t>Escavação mecânica em material de 2a. categoria</t>
  </si>
  <si>
    <t>030119</t>
  </si>
  <si>
    <t>0302</t>
  </si>
  <si>
    <t>REATERRO E COMPACTAÇÃO</t>
  </si>
  <si>
    <t>030201</t>
  </si>
  <si>
    <t>030202</t>
  </si>
  <si>
    <t>Material para aterro - areia limpa (fornecimento já considerado 15% de empolamento)</t>
  </si>
  <si>
    <t>030203</t>
  </si>
  <si>
    <t>Lastro de brita 3 e 4, apiloado manualmente</t>
  </si>
  <si>
    <t>030204</t>
  </si>
  <si>
    <t>Lastro de areia</t>
  </si>
  <si>
    <t>030206</t>
  </si>
  <si>
    <t>Aterro manual para regularização do terreno em areia, inclusive adensamento hidráulico e fornecimento do material (máximo de 100m3)</t>
  </si>
  <si>
    <t>030208</t>
  </si>
  <si>
    <t>Aterro manual para regularização do terreno em argila, inclusive adensamento manual e fornecimento do material (máximo de 100m3)</t>
  </si>
  <si>
    <t>030209</t>
  </si>
  <si>
    <t>Aterro com areia em áreas de calçada, inclusive fornecimento e adensamento</t>
  </si>
  <si>
    <t>030210</t>
  </si>
  <si>
    <t>Aterro compactado utilizando compactador de placa vibratória com reaproveitamento do material</t>
  </si>
  <si>
    <t>030211</t>
  </si>
  <si>
    <t>Reaterro de valas, exclusive compactação</t>
  </si>
  <si>
    <t>0303</t>
  </si>
  <si>
    <t>TRANSPORTES</t>
  </si>
  <si>
    <t>030304</t>
  </si>
  <si>
    <t>Índice de preço para remoção de entulho decorrente da execução de obras (Classe A CONAMA - NBR 10.004 - Classe II-B), incluindo aluguel da caçamba, carga, transporte e descarga em área licenciada</t>
  </si>
  <si>
    <t>030305</t>
  </si>
  <si>
    <t>Transporte de material encosta acima, serviço inteiramente manual, a 10m de distância, considerados ao longo da encosta, inclusive carga e descarga (txdam)</t>
  </si>
  <si>
    <t>030306</t>
  </si>
  <si>
    <t>Transporte de material encosta abaixo, serviço inteiramente manual, a 10m de distância, considerados ao longo da encosta, inclusive carga e descarga (txdam)</t>
  </si>
  <si>
    <t>04</t>
  </si>
  <si>
    <t>ESTRUTURAS</t>
  </si>
  <si>
    <t>0402</t>
  </si>
  <si>
    <t>040202</t>
  </si>
  <si>
    <t>Fornecimento, preparo e aplicação de concreto ciclópico Fck=15MPa com 30% de pedra de mão</t>
  </si>
  <si>
    <t>040206</t>
  </si>
  <si>
    <t>040224</t>
  </si>
  <si>
    <t>Fornecimento, preparo e aplicação de concreto Fck = 30 MPa (com brita 1 e 2) - (5% de perdas já incluído no custo)</t>
  </si>
  <si>
    <t>040231</t>
  </si>
  <si>
    <t>040233</t>
  </si>
  <si>
    <t>040235</t>
  </si>
  <si>
    <t>040237</t>
  </si>
  <si>
    <t>040238</t>
  </si>
  <si>
    <t>040239</t>
  </si>
  <si>
    <t>040240</t>
  </si>
  <si>
    <t>Fornecimento e aplicação de concreto USINADO Fck=25 MPa - considerando lançamento MANUAL para INFRA-ESTRUTURA (5% de perdas já incluído no custo)</t>
  </si>
  <si>
    <t>040243</t>
  </si>
  <si>
    <t>040245</t>
  </si>
  <si>
    <t>Fornecimento, dobragem e colocação em fôrma, de armadura CA-50 A grossa diâmetro de 12.5 a 25.0 mm (1/2 a 1")</t>
  </si>
  <si>
    <t>040246</t>
  </si>
  <si>
    <t>040249</t>
  </si>
  <si>
    <t>Fôrma de tábua de madeira de 2.5x30.0cm, levando-se em conta utilização 1 vez (incluindo o material, corte, montagem, escoramento e desforma)</t>
  </si>
  <si>
    <t>040250</t>
  </si>
  <si>
    <t>Fôrma de tábua de madeira de 2.5x30.0cm, levando-se em conta utilização 3 vezes (incluindo o material, corte, montagem, escoramento e desforma)</t>
  </si>
  <si>
    <t>040253</t>
  </si>
  <si>
    <t>Fornecimento e aplicação de concreto USINADO Fck=30 MPa - considerando lançamento MANUAL para INFRA-ESTRUTURA (5% de perdas já incluído no custo)</t>
  </si>
  <si>
    <t>0403</t>
  </si>
  <si>
    <t>040315</t>
  </si>
  <si>
    <t>040320</t>
  </si>
  <si>
    <t>040322</t>
  </si>
  <si>
    <t>040324</t>
  </si>
  <si>
    <t>040328</t>
  </si>
  <si>
    <t>040329</t>
  </si>
  <si>
    <t>Fornecimento e aplicação de concreto USINADO Fck=20 MPa - considerando BOMBEAMENTO (5% de perdas já incluído no custo) (6% de taxa p/concr.bombeavel)</t>
  </si>
  <si>
    <t>040330</t>
  </si>
  <si>
    <t>Fornecimento e aplicação de concreto USINADO Fck=25 MPa - considerando BOMBEAMENTO (5% de perdas já incluído no custo) (6% de taxa p/concr.bombeavel)</t>
  </si>
  <si>
    <t>040331</t>
  </si>
  <si>
    <t>Fornecimento e aplicação de concreto USINADO Fck=30 MPa - considerando BOMBEAMENTO (5% de perdas já incluído no custo) (6% de taxa p/ concr. bombeavel)</t>
  </si>
  <si>
    <t>040332</t>
  </si>
  <si>
    <t>040333</t>
  </si>
  <si>
    <t>040337</t>
  </si>
  <si>
    <t>Fôrma em chapa de madeira compensada plastificada 12mm para estrutura em geral, 5 reaproveitamentos, reforçada com sarrafos de madeira 2.5x10cm (incl material, corte, montagem, escoras em eucalipto e desforma)</t>
  </si>
  <si>
    <t>040339</t>
  </si>
  <si>
    <t>0404</t>
  </si>
  <si>
    <t>ESTRUTURAS DE CONCRETO APARENTE</t>
  </si>
  <si>
    <t>040405</t>
  </si>
  <si>
    <t>Fôrma com chapa compensada plastificada esp. 12mm, utização 5 vezes</t>
  </si>
  <si>
    <t>0406</t>
  </si>
  <si>
    <t>LAJES PRÉ-MOLDADAS</t>
  </si>
  <si>
    <t>040601</t>
  </si>
  <si>
    <t>Laje pré-fabricada treliçada para forro simples revestido, vão até 3.5m, capeamento 2cm, esp. 10cm, Fck = 150Kg/cm2</t>
  </si>
  <si>
    <t>040602</t>
  </si>
  <si>
    <t>Laje pré-fabricada treliçada, sobrecarga 300 Kg/m2, vão de 3.5m a 4.3m, capeamento 4cm, esp. 12cm, Fck = 150 Kg/cm2</t>
  </si>
  <si>
    <t>0407</t>
  </si>
  <si>
    <t>040705</t>
  </si>
  <si>
    <t>Execução de junta de dilatação 2 x 2 cm considerando 1cm de aplicação de isopor e 1cm de aplicação de mastique elástico do tipo sikaflex 1a ou equivalente</t>
  </si>
  <si>
    <t>0408</t>
  </si>
  <si>
    <t>RECUPERAÇÃO DE ESTRUTURAS</t>
  </si>
  <si>
    <t>040801</t>
  </si>
  <si>
    <t>Remoção cuidadosa do concreto afetado, através de escarificação</t>
  </si>
  <si>
    <t>040802</t>
  </si>
  <si>
    <t>Remoção cuidadosa do concreto afetado, através de escarificação (considerando esp. escarificada de 5cm)</t>
  </si>
  <si>
    <t>040803</t>
  </si>
  <si>
    <t>Preparação do substrato para reparo em estrutura de concreto por apicoamento manual da superfície</t>
  </si>
  <si>
    <t>040806</t>
  </si>
  <si>
    <t>Limpeza de aço com lixamento e escovamento com escova de aço, até a completa remoção de partículas soltas, materiais indesejáveis e corrosão</t>
  </si>
  <si>
    <t>040807</t>
  </si>
  <si>
    <t>Aplicação de Sika Top 108 Armatec ou equivalente, nas ferragens a serem recuperadas</t>
  </si>
  <si>
    <t>040808</t>
  </si>
  <si>
    <t>Retirada de ferragem corroída</t>
  </si>
  <si>
    <t>040809</t>
  </si>
  <si>
    <t>Recomposição de concreto danificado, com utilização de argamassa Sika Grout ou equivalente (considerando esp. 5cm)</t>
  </si>
  <si>
    <t>040810</t>
  </si>
  <si>
    <t>Recomposição de concreto danificado, com utilização de argamassa Sika Grout ou equivalente</t>
  </si>
  <si>
    <t>040813</t>
  </si>
  <si>
    <t>Impermeabilização de estrutura com Sika Top 107 ou equivalente</t>
  </si>
  <si>
    <t>040816</t>
  </si>
  <si>
    <t>Aplicação de Oxiprimer ou equivalente, nas ferragens a serem recuperadas</t>
  </si>
  <si>
    <t>040817</t>
  </si>
  <si>
    <t>Fornecimento e lançamento de concreto para grouteamento com adição de pedrisco (50% em peso), utilizando Sikagrout ou produto equivalente, exclusive forma</t>
  </si>
  <si>
    <t>040818</t>
  </si>
  <si>
    <t>Revestimento externo com argamassa corretiva tipo Sika Monotop 622 BR ou equivalente, esp. 5mm</t>
  </si>
  <si>
    <t>0409</t>
  </si>
  <si>
    <t>MURO DE ARRIMO (Conc. ciclópico 15MPa c/ 30% de pedra de mão, c/ forn., preparo e aplicação de concreto, forma de tábua pinho-reap.5 vezes, exclusive escav. e reaterro) seções tipicas nas seguintes dimensões:</t>
  </si>
  <si>
    <t>040901</t>
  </si>
  <si>
    <t>Muro de arrimo em Conc. ciclópico 15MPa c/ 30% de pedra de mão, c/ forn., preparo e aplicação de concreto, forma de tábua pinho-reap.5 vezes, exclusive escav. e reaterro, seções tipicas nas dimensões:b=0.40m; B=0.70m e H=1.00m</t>
  </si>
  <si>
    <t>040902</t>
  </si>
  <si>
    <t>Muro de arrimo em Conc. ciclópico 15MPa c/ 30% de pedra de mão, c/ forn., preparo e aplicação de concreto, forma de tábua pinho-reap.5 vezes, exclusive escav. e reaterro, seções tipicas nas dimensões:b=0.40m; B=0.90m e H=1,50m</t>
  </si>
  <si>
    <t>040903</t>
  </si>
  <si>
    <t>Muro de arrimo em Conc. ciclópico 15MPa c/ 30% de pedra de mão, c/ forn., preparo e aplicação de concreto, forma de tábua pinho-reap.5 vezes, exclusive escav. e reaterro, seções tipicas nas dimensões:b=0.40m; B=1.05m e H=2.00m</t>
  </si>
  <si>
    <t>040904</t>
  </si>
  <si>
    <t>Muro de arrimo em Conc. ciclópico 15MPa c/ 30% de pedra de mão, c/ forn., preparo e aplicação de concreto, forma de tábua pinho-reap.5 vezes, exclusive escav. e reaterro, seções tipicas nas dimensões:b=0.40m; B=1.23 e H=2.50m</t>
  </si>
  <si>
    <t>05</t>
  </si>
  <si>
    <t>0501</t>
  </si>
  <si>
    <t>ALVENARIA DE VEDAÇÃO</t>
  </si>
  <si>
    <t>050112</t>
  </si>
  <si>
    <t>Cobogó de concreto 40 x 40 x 10 cm, tipo reto, assentados com argamassa de cimento e areia no traço 1:3, espessura das juntas 15 mm</t>
  </si>
  <si>
    <t>050115</t>
  </si>
  <si>
    <t>Alvenaria em bloco de pedra argamassada com cimento e areia no traço 1:3</t>
  </si>
  <si>
    <t>050122</t>
  </si>
  <si>
    <t>Cobogó de concreto tipo cruzeta de 20 x 20 x 10 cm, assentado com argamassa de cimento, cal hidratada e areia no traço1:0,5:5, espessura das juntas de 10mm e espessura de parede 10cm</t>
  </si>
  <si>
    <t>0502</t>
  </si>
  <si>
    <t>PLACAS E PAINÉIS DIVISÓRIOS</t>
  </si>
  <si>
    <t>050202</t>
  </si>
  <si>
    <t>Fornecimento e instalação de divisórias novas com acabamento de chapa de fibra de madeira, sistema de montagem simplificado, espessura de 35mm e miolo em colméia no padrão painel/painel</t>
  </si>
  <si>
    <t>050203</t>
  </si>
  <si>
    <t>Fornecimento e instalação de porta para divisória de 80 X 210 cm incluindo dobradiças e fechadura interna</t>
  </si>
  <si>
    <t>050205</t>
  </si>
  <si>
    <t>Divisória de granito com 3 cm de espessura, assentada com argamassa de cimento e areia no traço 1:3, na cor cinza</t>
  </si>
  <si>
    <t>050206</t>
  </si>
  <si>
    <t>Divisória de granito cinza andorinha com 3 cm de espessura, fixada com cantoneira de ferro cromado</t>
  </si>
  <si>
    <t>050208</t>
  </si>
  <si>
    <t>Assentamento de divisória de mármore ou granito com 3 cm de espessura, empregando argamassa de cimento e areia no traço 1:3, exclusive fornecimento da divisória</t>
  </si>
  <si>
    <t>0503</t>
  </si>
  <si>
    <t>VERGAS/CONTRAVERGA</t>
  </si>
  <si>
    <t>050301</t>
  </si>
  <si>
    <t>050303</t>
  </si>
  <si>
    <t>Verga/contraverga curva de concreto armado 10 x 5 cm, Fck = 15 MPa, inclusive forma, armação e desforma</t>
  </si>
  <si>
    <t>0505</t>
  </si>
  <si>
    <t>ALVENARIA ESTRUTURAL</t>
  </si>
  <si>
    <t>050501</t>
  </si>
  <si>
    <t>Alvenaria de blocos de concreto estrut. (14x19x39cm) cheios, c/ resist. mín. compr. 15MPa, assentados c/ arg. de cimento e areia no traço 1:4, esp. juntas 10mm e esp. da parede s/ revest. 14cm</t>
  </si>
  <si>
    <t>050502</t>
  </si>
  <si>
    <t>Alvenaria de blocos de concreto estrut. (19x19x39cm) cheios, c/ resist. mín. compr. 15MPa, assentados c/ arg. cimento e areia no traço 1:4, esp. juntas de 10mm e esp. da parede s/ revest. 19cm</t>
  </si>
  <si>
    <t>050503</t>
  </si>
  <si>
    <t>Alvenaria de blocos de concreto estrut. (9x19x39cm) cheios, com resistência mín. compr. 15MPa, assentados c/ arg. de cimento e areia no traço 1:4, esp. juntas 10mm e esp. da parede s/ revest. 9cm</t>
  </si>
  <si>
    <t>0506</t>
  </si>
  <si>
    <t>ALVENARIA DE VEDAÇÃO EMPREGANDO ARGAMASSA DE CIMENTO, CAL E AREIA</t>
  </si>
  <si>
    <t>050601</t>
  </si>
  <si>
    <t>050602</t>
  </si>
  <si>
    <t>050603</t>
  </si>
  <si>
    <t>Alvenaria de blocos de concreto 19x19x39cm, c/ resist. mínimo a compres. 2.5 MPa, assent. c/ arg. de cimento, cal hidratada CH1 e areia no traço 1:0.5:8 esp. das juntas 10mm e esp. das paredes, s/ rev. 19cm</t>
  </si>
  <si>
    <t>050605</t>
  </si>
  <si>
    <t>Alvenaria de blocos cerâmicos 10 furos 10x20x20cm, assentados c/argamassa de cimento, cal hidratada CH1 e areia traço 1:0,5:8, juntas 12mm e esp. das paredes s/revestimento, 10cm (bloco comprado na praça de Vitória, posto obra)</t>
  </si>
  <si>
    <t>050606</t>
  </si>
  <si>
    <t>Alvenaria de blocos cerâmicos 10 furos 10x20x20cm, assentados c/argamassa de cimento, cal hidratada CH1 e areia traço 1:0,5:8, esp. das juntas 12mm e esp. das paredes s/revestimento, 10cm (bloco comprado na fábrica, posto obra)</t>
  </si>
  <si>
    <t>050607</t>
  </si>
  <si>
    <t>Alvenaria de blocos cerâmicos 10 furos 10x20x20cm, assentados c/argamassa de cimento, cal hidratada CH1 e areia traço 1:0.5:8, juntas 12mm e espessura das paredes, s/ revestimento, 20cm(bloco comprado praça de Vitória, posto obra)</t>
  </si>
  <si>
    <t>050608</t>
  </si>
  <si>
    <t>Alvenaria de blocos cerâmicos 10 furos 10x20x20cm, assentados c/argamassa de cimento, cal hidratada CH1 e areia traço 1:0,5:8, juntas 12mm e espessura das paredes, s/revestimento, 20cm (bloco comprado fábrica,posto obra)</t>
  </si>
  <si>
    <t>06</t>
  </si>
  <si>
    <t>ESQUADRIAS DE MADEIRA</t>
  </si>
  <si>
    <t>0601</t>
  </si>
  <si>
    <t>MARCOS E ALIZARES</t>
  </si>
  <si>
    <t>060101</t>
  </si>
  <si>
    <t>Marco de madeira de lei de 1ª (Peroba, Ipê, Angelim Pedra ou equivalente) com 15x3 cm de batente, nas dimensões de 0.60 x 2.10 m</t>
  </si>
  <si>
    <t>060102</t>
  </si>
  <si>
    <t>Marco de madeira de lei de 1ª (Peroba, Ipê, Angelim Pedra ou equivalente) com 15x3 cm de batente, nas dimensões de 0.70 x 2.10 m</t>
  </si>
  <si>
    <t>060103</t>
  </si>
  <si>
    <t>Marco de madeira de lei de 1ª (Peroba, Ipê, Angelim Pedra ou equivalente) com 15x3 cm de batente, nas dimensões de 0.80 x 2.10 m</t>
  </si>
  <si>
    <t>060107</t>
  </si>
  <si>
    <t>Alizar de madeira de lei de 1ª (Peroba, Ipê, Angelim Pedra ou equivalente) de 5 x 1,5 cm</t>
  </si>
  <si>
    <t>060108</t>
  </si>
  <si>
    <t>Marco de madeira de lei de 1ª (Peroba, Ipê, Angelim Pedra ou equivalente) com 15 x 3 cm de batente, nas dimensões de 0.90 x 2.10 m</t>
  </si>
  <si>
    <t>060110</t>
  </si>
  <si>
    <t>Marco de madeira de lei de 1ª (Peroba, Ipê, Angelim Pedra ou equivalente)com 15 x 3 cm de batente</t>
  </si>
  <si>
    <t>060112</t>
  </si>
  <si>
    <t>Caixilho em madeira de lei de 1ª (Peroba, Ipê, Angelim Pedra ou equivalente) de 9 x 3 cm para janela</t>
  </si>
  <si>
    <t>060113</t>
  </si>
  <si>
    <t>Alizar de madeira de lei de 1ª (Peroba, Ipê, Angelim Pedra ou equivalente) 7 x 1,5 cm</t>
  </si>
  <si>
    <t>0611</t>
  </si>
  <si>
    <t>FERRAGENS</t>
  </si>
  <si>
    <t>061101</t>
  </si>
  <si>
    <t>Targeta fio redondo 3" para travamento de portas, ref. IMAB, STAN, ALIANÇA ou equivalente</t>
  </si>
  <si>
    <t>061102</t>
  </si>
  <si>
    <t>Fechadura com maçaneta tipo alavanca e chave tipo yale, ref. IMAB, STAN, ALIANÇA ou equivalente</t>
  </si>
  <si>
    <t>061103</t>
  </si>
  <si>
    <t>Fechadura com maçaneta tipo alavanca e chave comum para porta interna, ref. IMAB, STAN, ALIANÇA ou equivalente</t>
  </si>
  <si>
    <t>061104</t>
  </si>
  <si>
    <t>Targeta tipo livre/ocupado, ref. IMAB, STAN, ALIANÇA ou equivalente</t>
  </si>
  <si>
    <t>061106</t>
  </si>
  <si>
    <t>Fechadura com maçaneta tipo bola e chave tipo yale, ref. IMAB, STAN, ALIANÇA ou equivalente</t>
  </si>
  <si>
    <t>061107</t>
  </si>
  <si>
    <t>Fechadura de sobrepor, tipo caixão, com chave comum, ref. IMAB, STAN, ALIANÇA ou equivalente</t>
  </si>
  <si>
    <t>061108</t>
  </si>
  <si>
    <t>Fechadura com maçaneta tipo alavanca e chave tipo banheiro, ref. IMAB, STAN, ALIANÇA ou equivalente</t>
  </si>
  <si>
    <t>061112</t>
  </si>
  <si>
    <t>Dobradiça de latão cromado de 3 x 2 1/2", incl. parafusos, ref. IMAB, STAN, ALIANÇA ou equivalente</t>
  </si>
  <si>
    <t>0613</t>
  </si>
  <si>
    <t>PORTA EM MADEIRA DE LEI TIPO ANGELIM PEDRA OU EQUIV.C/ENCHIMENTO EM MADEIRA 1A.QUALIDADE ESP. 30MM P/ PINTURA, INCLUSIVE ALIZARES, DOBRADIÇAS E FECHADURA EXTERNA, EXCLUSIVE MARCO</t>
  </si>
  <si>
    <t>061301</t>
  </si>
  <si>
    <t>Porta em madeira de lei tipo angelim pedra ou equiv.c/enchimento em madeira 1a.qualidade esp. 30mm p/ pintura, inclusive alizares, dobradiças e fechadura externa em latão cromado LaFonte ou equiv., exclusive marco, nas dim.:0.60 x 2.10 m</t>
  </si>
  <si>
    <t>061302</t>
  </si>
  <si>
    <t>Porta em madeira de lei tipo angelim pedra ou equiv.c/enchimento em madeira 1a.qualidade esp. 30mm p/ pintura, inclusive alizares, dobradiças e fechadura externa em latão cromado LaFonte ou equiv., exclusive marco, nas dim.: 0.70 x 2.10 m</t>
  </si>
  <si>
    <t>061303</t>
  </si>
  <si>
    <t>Porta em madeira de lei tipo angelim pedra ou equiv.c/enchimento em madeira 1a.qualidade esp. 30mm p/ pintura, inclusive alizares, dobradiças e fechadura externa em latão cromado LaFonte ou equiv., exclusive marco, nas dim.: 0.80 x 2.10 m</t>
  </si>
  <si>
    <t>061304</t>
  </si>
  <si>
    <t>Porta em madeira de lei tipo angelim pedra ou equiv.c/enchimento em madeira 1a.qualidade esp. 30mm p/ pintura, inclusive alizares, dobradiças e fechadura externa em latão cromado LaFonte ou equiv., exclusive marco, nas dim.: 0.90 x 2.10 m</t>
  </si>
  <si>
    <t>0614</t>
  </si>
  <si>
    <t>PORTA EM MADEIRA DE LEI TIPO ANGELIM PEDRA/EQUIV, ESP. 30MM C/ ACAB. LISO P/ PINTURA, INCL. FECHADURA TIPO "LIVRE/OCUPADO" E FERRAGENS P/ FIXAÇÃO EM GRANITO, EXCLUSIVE MARCO</t>
  </si>
  <si>
    <t>061401</t>
  </si>
  <si>
    <t>Porta em madeira de lei tipo angelim pedra ou equiv.c/enchimento em madeira 1a.qualidade esp. 30mm p/ pintura, incl. fechadura tipo "livre/ocupado" em latão cromado Lafonte ou equiv. e ferragens p/ fixação em granito, excl. marco, nas dimensões: 0.60 x 1.80 m</t>
  </si>
  <si>
    <t>061402</t>
  </si>
  <si>
    <t>Porta em madeira de lei tipo angelim pedra ou equiv.c/enchimento em madeira 1a.qualidade esp. 30mm p/ pintura, incl. fechadura tipo "livre/ocupado" em latão cromado Lafonte ou equiv. e ferragens p/ fixação em granito, excl. marco, nas dimensões: 0.80 x 1.80 m</t>
  </si>
  <si>
    <t>061403</t>
  </si>
  <si>
    <t>Porta em madeira de lei tipo angelim pedra ou equiv.c/enchimento em madeira 1a.qualidade esp. 30mm p/ pintura, incl. fechadura tipo "livre/ocupado" em latão cromado Lafonte ou equiv. e ferragens p/ fixação em granito, excl. marco, nas dimensões: 0.60 x 1.60 m</t>
  </si>
  <si>
    <t>061404</t>
  </si>
  <si>
    <t>Porta em madeira de lei tipo angelim pedra ou equiv.c/enchimento em madeira 1a.qualidade esp. 30mm p/ pintura, incl. fechadura tipo "livre/ocupado" em latão cromado Lafonte ou equiv. e ferragens p/ fixação em granito, excl. marco, nas dimensões: 0.80 x 1.60 m</t>
  </si>
  <si>
    <t>0617</t>
  </si>
  <si>
    <t>PORTA EM VENEZIANA, EM MADEIRA DE LEI, ESP. 30MM, INCL. DOBRADIÇAS, EXCLUSIVE ALIZAR, MARCO E FECHADURA</t>
  </si>
  <si>
    <t>061701</t>
  </si>
  <si>
    <t>Porta em veneziana, em madeira de lei, esp. 30mm, incl. dobradiças, excl. alizar, marco e fechadura, nas dimensões: 0.60 x 2.10 m</t>
  </si>
  <si>
    <t>061702</t>
  </si>
  <si>
    <t>Porta em veneziana, em madeira de lei, esp. 30mm, incl. dobradiças, excl. alizar, marco e fechadura, nas dimensões: 0.70 x 2.10 m</t>
  </si>
  <si>
    <t>061703</t>
  </si>
  <si>
    <t>Porta em veneziana, em madeira de lei, esp. 30mm, incl. dobradiças, excl. alizar, marco e fechadura, nas dimensões: 0.80 x 2.10 m</t>
  </si>
  <si>
    <t>0619</t>
  </si>
  <si>
    <t>PORTA EM MADEIRA DE LEI TIPO ANGELIM PEDRA OU EQUIV. C/ ENCHIMENTO EM MADEIRA DE 1ª QUALIDADE ESP 30MM, COM VISOR DE VIDRO, INCL. ALIZARES, DOBRADIÇAS E FECHADURAS EXT EM LATÃO CROMADO LAFONTE/EQUIV , EXCL. MARCO, NAS DIMENSÕES:</t>
  </si>
  <si>
    <t>061901</t>
  </si>
  <si>
    <t>Porta em madeira de Lei tipo Angelim Pedra ou equiv. c/ enchimento em madeira de 1ª qualidade esp. 30mm, com visor de vidro, inclusive alizares, dobradiças e fechaduras externas em latão cromado La Fonte/equiv. exclusive marco, nas dimensões: 0.70 x 2.10 m</t>
  </si>
  <si>
    <t>061902</t>
  </si>
  <si>
    <t>Porta em madeira de Lei tipo Angelim Pedra ou equiv. c/ enchimento em madeira de 1ª qualidade esp. 30mm, com visor de vidro, inclusive alizares, dobradiças e fechaduras externas em latão cromado La Fonte/equiv. exclusive marco, nas dimensões: 0.80 x 2.10 m</t>
  </si>
  <si>
    <t>061903</t>
  </si>
  <si>
    <t>Porta em madeira de Lei tipo Angelim Pedra ou equiv. c/ enchimento em madeira de 1ª qualidade esp. 30mm, com visor de vidro, inclusive alizares, dobradiças e fechaduras externas em latão cromado La Fonte/equiv. exclusive marco, nas dimensões: 0.90 x 2.10 m</t>
  </si>
  <si>
    <t>0622</t>
  </si>
  <si>
    <t>REVISÕES E REPAROS</t>
  </si>
  <si>
    <t>062201</t>
  </si>
  <si>
    <t>Substituição de fechadura com maçaneta tipo alavanca e chave yale</t>
  </si>
  <si>
    <t>062202</t>
  </si>
  <si>
    <t>Substituição de fechadura com maçaneta tipo alavanca e chave tipo comum</t>
  </si>
  <si>
    <t>062203</t>
  </si>
  <si>
    <t>Substituição de fechadura com maçaneta tipo bola e chave tipo yale</t>
  </si>
  <si>
    <t>062204</t>
  </si>
  <si>
    <t>Recolocação de folha de porta em madeira de 1 folha, excl. ferragens, marcos e alizares</t>
  </si>
  <si>
    <t>062205</t>
  </si>
  <si>
    <t>Substituição de targeta tipo livre/ocupado</t>
  </si>
  <si>
    <t>062206</t>
  </si>
  <si>
    <t>Substituição de targeta de fio redondo 2"</t>
  </si>
  <si>
    <t>062207</t>
  </si>
  <si>
    <t>Substituição de dobradiça 3 x 2 1/2"</t>
  </si>
  <si>
    <t>062208</t>
  </si>
  <si>
    <t>Reparo na porta com plaina, incl. retirada e recolocação de folha de porta</t>
  </si>
  <si>
    <t>062211</t>
  </si>
  <si>
    <t>Recolocação de alizar em madeira, excl. alizar</t>
  </si>
  <si>
    <t>062212</t>
  </si>
  <si>
    <t>Recolocação de marco em madeira, excl. marco</t>
  </si>
  <si>
    <t>0623</t>
  </si>
  <si>
    <t>PORTA EM MADEIRA DE LEI COM ENCHIMENTO EM MADEIRA DE 1ª QUALIDADE, ESP. 30MM, PARA PINTURA, INCL. ALIZARES, DOBRADIÇAS, FECHADURA TIPO "LIVRE/OCUPADO" EXCLUSIVE MARCO</t>
  </si>
  <si>
    <t>062301</t>
  </si>
  <si>
    <t>Porta em madeira de lei com enchimento em madeira de 1ª qualidade, esp. 30mm, para pintura, incl. alizares, dobradiças, fechadura tipo "livre/ocupado" em latão cromado La Fonte ou equiv., excl. marco, nas dimensões: 0.60 x 1.60 m</t>
  </si>
  <si>
    <t>062302</t>
  </si>
  <si>
    <t>Porta em madeira de lei com enchimento em madeira de 1ª qualidade, esp. 30mm, para pintura, incl. alizares, dobradiças, fechadura tipo "livre/ocupado" em latão cromado La Fonte ou equiv., excl. marco, nas dimensões: 0.80 x 1.60 m</t>
  </si>
  <si>
    <t>0625</t>
  </si>
  <si>
    <t>PORTA EM MADEIRA DE LEI TIPO ANGELIM PEDRA OU EQUIV.,ESP. 35 MM, MACIÇA C/ FRISO P/ VERNIZ, PADRÃO SEDU, COM VISOR, INCLUSIVE ALIZARES, DOBRADIÇAS E FECHADURA DE BOLA EXTERNA, EXCLUSIVE MARCO</t>
  </si>
  <si>
    <t>062501</t>
  </si>
  <si>
    <t>Porta em madeira de lei tipo angelim pedra ou equiv.,esp. 35 mm, maciça c/ friso p/ verniz, padrão SEDU, com visor, inclusive alizares, dobradiças e fechadura de bola ext. em latão cromado LaFonte ou equiv., excl. marco, dimensões: 0.60 x 2.10 m</t>
  </si>
  <si>
    <t>062502</t>
  </si>
  <si>
    <t>Porta em madeira de lei tipo angelim pedra ou equiv.,esp. 35 mm, maciça c/ friso p/ verniz, padrão SEDU, com visor, inclusive alizares, dobradiças e fechadura de bola ext. em latão cromado LaFonte ou equiv., excl. marco, dimensões: 0.70 x 2.10 m</t>
  </si>
  <si>
    <t>062503</t>
  </si>
  <si>
    <t>Porta em madeira de lei tipo angelim pedra ou equiv.,esp. 35 mm, maciça c/ friso p/ verniz, padrão SEDU, com visor, inclusive alizares, dobradiças e fechadura de bola ext. em latão cromado LaFonte ou equiv., excl. marco, dimensões: 0.80 x 2.10 m</t>
  </si>
  <si>
    <t>062504</t>
  </si>
  <si>
    <t>Porta em madeira de lei tipo angelim pedra ou equiv.,esp. 35 mm, maciça c/ friso p/ verniz, padrão SEDU, com visor, inclusive alizares, dobradiças e fechadura de bola ext. em latão cromado LaFonte ou equiv., excl. marco, dimensões: 0.90 x 2.10 m</t>
  </si>
  <si>
    <t>062505</t>
  </si>
  <si>
    <t>Porta em madeira de lei tipo angelim pedra ou equiv.,esp. 35 mm, maciça c/ friso p/ verniz, padrão SEDU, com visor, inclusive alizares, dobradiças e fechadura de bola ext. em latão cromado LaFonte ou equiv., excl. marco, dimensões: 1.60 x 2.10 m (duas folhas)</t>
  </si>
  <si>
    <t>07</t>
  </si>
  <si>
    <t>0711</t>
  </si>
  <si>
    <t>GRADES E PORTÕES</t>
  </si>
  <si>
    <t>071101</t>
  </si>
  <si>
    <t>Tela de proteção de arame galvanizado 1/2" fio 12, com quadro em tubo de ferro galvanizado 1 1/2" e cantoneira de ferro 1/2" x 1/2" x1/8", conforme detalhe em projeto</t>
  </si>
  <si>
    <t>071103</t>
  </si>
  <si>
    <t>Grade de tela tipo mosquiteiro de arame galvanizado #18, fio 32, inclusive, requadro em cantoneira de ferro 1/8"x1/2"x1/2"</t>
  </si>
  <si>
    <t>071104</t>
  </si>
  <si>
    <t>Portão de ferro de abrir em barra chata, inclusive chumbamento</t>
  </si>
  <si>
    <t>071105</t>
  </si>
  <si>
    <t>Grade de ferro em barra chata, inclusive chumbamento</t>
  </si>
  <si>
    <t>071106</t>
  </si>
  <si>
    <t>Portão de ferro de correr em barra chata, inclusive chumbamento</t>
  </si>
  <si>
    <t>071107</t>
  </si>
  <si>
    <t>0717</t>
  </si>
  <si>
    <t>ESQUADRIAS METÁLICAS (M2)</t>
  </si>
  <si>
    <t>071701</t>
  </si>
  <si>
    <t>Janela de correr para vidro em alumínio anodizado cor natural, linha 25, completa, incl. puxador com tranca, alizar, caixilho e contramarco, exclusive vidro</t>
  </si>
  <si>
    <t>071702</t>
  </si>
  <si>
    <t>Báscula para vidro em alumínio anodizado cor natural, linha 25, completa, com tranca, caixilho, alizar e contramarco, exclusive vidro</t>
  </si>
  <si>
    <t>071703</t>
  </si>
  <si>
    <t>071704</t>
  </si>
  <si>
    <t>071706</t>
  </si>
  <si>
    <t>Guichê/gradil em perfil L 1" e perfil T 3/4" em ferro, inclusive pintura em esmalte sintético, marca de referência SUVINIL</t>
  </si>
  <si>
    <t>0718</t>
  </si>
  <si>
    <t>071801</t>
  </si>
  <si>
    <t>Escovamento com escova de aço em esquadrias de ferro</t>
  </si>
  <si>
    <t>08</t>
  </si>
  <si>
    <t>0801</t>
  </si>
  <si>
    <t>VIDROS PARA ESQUADRIAS</t>
  </si>
  <si>
    <t>080102</t>
  </si>
  <si>
    <t>080103</t>
  </si>
  <si>
    <t>Vidro fantasia mini-boreal, com 4 mm de espessura</t>
  </si>
  <si>
    <t>080107</t>
  </si>
  <si>
    <t>Vidro aramado esp. 6mm, colocado</t>
  </si>
  <si>
    <t>0802</t>
  </si>
  <si>
    <t>ESPELHOS</t>
  </si>
  <si>
    <t>080201</t>
  </si>
  <si>
    <t>080202</t>
  </si>
  <si>
    <t>Espelho espessura 4 mm, incluindo chapa compensada 6mm, moldura de peça de madeira 7x2.5cm fixada com parafuso e bucha conforme detalhe em projeto</t>
  </si>
  <si>
    <t>080203</t>
  </si>
  <si>
    <t>Espelho prata esp. 4 mm sobre caixa de compensado colado revestido com fórmica e fixado com parafuso cromado e bucha, dim. 1,80 x 0,40m, conforme detalhe em projeto</t>
  </si>
  <si>
    <t>09</t>
  </si>
  <si>
    <t>0901</t>
  </si>
  <si>
    <t>ESTRUTURA PARA TELHADO</t>
  </si>
  <si>
    <t>090101</t>
  </si>
  <si>
    <t>Estrutura de madeira de lei tipo Paraju, peroba mica, angelim pedra ou equivalente para telhado de telha cerâmica tipo capa e canal, com pontaletes, terças, caibros e ripas, inclusive tratamento com cupinicida, exclusive telhas</t>
  </si>
  <si>
    <t>090102</t>
  </si>
  <si>
    <t>Estrutura de madeira de lei tipo Paraju, peroba mica, angelim pedra ou equivalente para telhado de telha ondulada de fibrocimento esp. 6mm, com pontaletes e caibros, inclusive tratamento com cupinicida, exclusive telhas</t>
  </si>
  <si>
    <t>090103</t>
  </si>
  <si>
    <t>Estrutura de madeira de lei tipo Paraju ou equivalente para cobertura de telha de fibrocimento canalete 49/90, inclusive tratamento com cupinicida, exclusive telhas</t>
  </si>
  <si>
    <t>090104</t>
  </si>
  <si>
    <t>Estrutura de madeira de lei tipo Paraju, peroba mica, angelim pedra ou equivalente para telhado de telhas cerâmicas tipo capa e canal c/ tesouras, pilares, vigas, terças, caibros e ripas, incl. trat. c/cupinicida, exclusive telhas</t>
  </si>
  <si>
    <t>090105</t>
  </si>
  <si>
    <t>Estrutura de madeira de lei Paraju, peroba mica, angelim pedra ou equivalente para telhado de telha cerâmica tipo francesa, com pontaletes, terças, caibros e ripas, inclusive tratamento com cupunicida, exclusive telhas</t>
  </si>
  <si>
    <t>0902</t>
  </si>
  <si>
    <t>TELHADO</t>
  </si>
  <si>
    <t>090202</t>
  </si>
  <si>
    <t>Cobertura nova de telhas onduladas de fibrocimento 6.0mm, inclusive cumeeiras e acessórios de fixação</t>
  </si>
  <si>
    <t>090203</t>
  </si>
  <si>
    <t>Cobertura nova de telhas onduladas de fibrocimento 8.0mm, inclusive cumeeiras e acessórios de fixação</t>
  </si>
  <si>
    <t>090206</t>
  </si>
  <si>
    <t>Cobertura nova de telhas de alumínio trapezoidal, H = 8 cm, esp. 0.5mm, inclusive acessórios de fixação</t>
  </si>
  <si>
    <t>090211</t>
  </si>
  <si>
    <t>Cobertura nova de telhas cerâmicas tipo capa e canal inclusive cumeeira (telhas compradas na praça de Vitória, posto obra) (área de projeção horizontal; incl. 35%)</t>
  </si>
  <si>
    <t>090212</t>
  </si>
  <si>
    <t>Cobertura nova de telhas cerâmicas tipo capa e canal inclusive cumeeiras (telhas compradas na fábrica, posto obra)</t>
  </si>
  <si>
    <t>090215</t>
  </si>
  <si>
    <t>Cumeeira para cobertura em telha cerâmica tipo capa e canal</t>
  </si>
  <si>
    <t>090216</t>
  </si>
  <si>
    <t>Cumeeira para cobertura em telhas onduladas de fibrocimento 6.0mm</t>
  </si>
  <si>
    <t>090219</t>
  </si>
  <si>
    <t>Cobertura em telha ondulada de alumínio, esp. 0.5mm, inclusive acessórios de fixação</t>
  </si>
  <si>
    <t>090228</t>
  </si>
  <si>
    <t>Telha em aço galvalume trapezoidal 40, e=0.50mm, pintura cor branca nas duas faces, inclusive acessório de fixação Ref. Santo André, Eternit, Metform ou equivalente</t>
  </si>
  <si>
    <t>0903</t>
  </si>
  <si>
    <t>RUFOS E CALHAS</t>
  </si>
  <si>
    <t>090301</t>
  </si>
  <si>
    <t>Rufo de concreto armado Fck=15 MPa, nas dimensões de 30x5 cm, moldado "in loco"</t>
  </si>
  <si>
    <t>090302</t>
  </si>
  <si>
    <t>Rufo de chapa metálica nº 26 com largura de 30 cm</t>
  </si>
  <si>
    <t>090305</t>
  </si>
  <si>
    <t>Calha de concreto armado Fck=15 MPa em "U" nas dimensões de 38 x 56 cm conforme detalhes em projeto</t>
  </si>
  <si>
    <t>090312</t>
  </si>
  <si>
    <t>Calha em chapa galvanizada com largura de 40 cm</t>
  </si>
  <si>
    <t>090314</t>
  </si>
  <si>
    <t>Rufo de chapa de alumínio esp. 0.5mm, largura de 30cm</t>
  </si>
  <si>
    <t>0904</t>
  </si>
  <si>
    <t>PLATIBANDA</t>
  </si>
  <si>
    <t>090403</t>
  </si>
  <si>
    <t>Platibanda de alvenaria de bloco cerâmico 10x20x20cm, assentado com argamassa de cimento, cal hidratada CH1 e areia no traço 1:0,5:8, amarrada com pilaretes em conc. arm. a cada 2m (H=1.0m), excl. revest.</t>
  </si>
  <si>
    <t>0905</t>
  </si>
  <si>
    <t>090501</t>
  </si>
  <si>
    <t>Recolocação de engradamento de madeira para telhado com telha cerâmica, com pontaletes, terças, caibros e ripas, exclusive fornecimento</t>
  </si>
  <si>
    <t>090502</t>
  </si>
  <si>
    <t>Recolocação de estrutura de madeira para telhado com telha ondulada de fibrocimento ou telha ecológica tipo onduline, com pontaletes e caibros, exclusive fornecimento</t>
  </si>
  <si>
    <t>090506</t>
  </si>
  <si>
    <t>Recolocação de telha ondulada de fibrocimento 6mm, excl. cumeeira</t>
  </si>
  <si>
    <t>090509</t>
  </si>
  <si>
    <t>Remoção, lavagem com escova de aço e recolocação de telhas cerâmicas</t>
  </si>
  <si>
    <t>090511</t>
  </si>
  <si>
    <t>Tratamento em estrutura de madeira com cupinicida</t>
  </si>
  <si>
    <t>090512</t>
  </si>
  <si>
    <t>Limpeza de calhas e coletores (serviço realizado por servente)</t>
  </si>
  <si>
    <t>10</t>
  </si>
  <si>
    <t>1001</t>
  </si>
  <si>
    <t>IMPERMEABILIZAÇÃO DE CAIXAS DE ÁGUA</t>
  </si>
  <si>
    <t>100102</t>
  </si>
  <si>
    <t>Impermeabilização nas seguintes etapas: chapisco traço 1:2 c/ sika 1 ou equivalente, revest. duplo c/ argamassa de cimento e areia traço 1:3 c/ sika 1 ou equivalente, em 2x15 mm e acab. argamassa 1:1</t>
  </si>
  <si>
    <t>100105</t>
  </si>
  <si>
    <t>Índice de imperm.c/ manta asfáltica atendendo NBR 9952, asfalto polimérico, esp.4mm reforç.c/ filme int.em polietileno, regul.base c/ arg.1:4 esp.mín.15mm, proteção mec. arg. 1:4 esp.20mm e juntas dilat.</t>
  </si>
  <si>
    <t>1002</t>
  </si>
  <si>
    <t>IMPERMEABILIZAÇÃO CALHAS, LAJES DESCOBERTAS, BALDRAMES, PAREDES E JARDINEIRAS</t>
  </si>
  <si>
    <t>100202</t>
  </si>
  <si>
    <t>Impermeabilização com argamassa de igol 2 - marca de referência Sika</t>
  </si>
  <si>
    <t>100203</t>
  </si>
  <si>
    <t>100204</t>
  </si>
  <si>
    <t>Impermeabilização, empregando argamassa de cimento e areia sem peneirar no traço 1:3 com aditivo impermeabilizado tipo sika 1 ou equivalente, espessura de 2 cm</t>
  </si>
  <si>
    <t>100208</t>
  </si>
  <si>
    <t>1003</t>
  </si>
  <si>
    <t>IMPERMEABILIZAÇÃO DE FOSSAS E FILTROS</t>
  </si>
  <si>
    <t>100301</t>
  </si>
  <si>
    <t>Impermeabilização nas seguintes etapas: chapisco traço 1:2 c/ sika 1 prop. 1:10 ou equiv., revest. duplo c/ argamassa de cimento e areia traço 1:3 c/ sika 1 prop. 1:12 ou equivalente, esp. 2x15 mm e acab. argamassa 1:2</t>
  </si>
  <si>
    <t>11</t>
  </si>
  <si>
    <t>1101</t>
  </si>
  <si>
    <t>REVESTIMENTO COM ARGAMASSA</t>
  </si>
  <si>
    <t>110101</t>
  </si>
  <si>
    <t>1102</t>
  </si>
  <si>
    <t>REBAIXAMENTOS</t>
  </si>
  <si>
    <t>110201</t>
  </si>
  <si>
    <t>110210</t>
  </si>
  <si>
    <t>Forro PVC branco L = 20 cm, frisado, colocado</t>
  </si>
  <si>
    <t>1103</t>
  </si>
  <si>
    <t>REVESTIMENTO EMPREGANDO ARGAMASSA DE CIMENTO, CAL E AREIA</t>
  </si>
  <si>
    <t>110301</t>
  </si>
  <si>
    <t>Emboço de argamassa de cimento, cal hidratada CH1 e areia lavada traço 1:0.5:6, espessura 20 mm</t>
  </si>
  <si>
    <t>110302</t>
  </si>
  <si>
    <t>1104</t>
  </si>
  <si>
    <t>110401</t>
  </si>
  <si>
    <t>Recolocação de forro de madeira, com aproveitamento do material</t>
  </si>
  <si>
    <t>12</t>
  </si>
  <si>
    <t>1201</t>
  </si>
  <si>
    <t>120101</t>
  </si>
  <si>
    <t>1202</t>
  </si>
  <si>
    <t>ACABAMENTOS</t>
  </si>
  <si>
    <t>120201</t>
  </si>
  <si>
    <t>Azulejo branco 15 x 15 cm, juntas a prumo, assentado com argamassa de cimento colante, inclusive rejuntamento com cimento branco, marcas de referência Eliane, Cecrisa ou Portobello</t>
  </si>
  <si>
    <t>120205</t>
  </si>
  <si>
    <t>Roda-parede de madeira de lei tipo Paraju ou equivalente, de 10 x 2.5cm, fixado com parafuso e bucha plástica n° 8</t>
  </si>
  <si>
    <t>120207</t>
  </si>
  <si>
    <t>Roda-parede de madeira de lei tipo Paraju ou equivalente, de 20 X 1.5cm fixado com parafuso e bucha plástica n° 7</t>
  </si>
  <si>
    <t>120208</t>
  </si>
  <si>
    <t>Acabamento de alumínio com perfil de canto para arremate das paredes</t>
  </si>
  <si>
    <t>120216</t>
  </si>
  <si>
    <t>Acabamento de perfil "U" em alumínio anodizado fosco 1/2"</t>
  </si>
  <si>
    <t>120220</t>
  </si>
  <si>
    <t>Cerâmica 10 x 10 cm, marcas de referência Eliane, Cecrisa ou Portobello, nas cores branco ou areia, com rejunte esp. 0.5 cm, empregando argamassa colante</t>
  </si>
  <si>
    <t>120221</t>
  </si>
  <si>
    <t>Pastilha cerâmica branca 5 x 5 cm, assentada com argamassa de cimento colante e rejunte pré-fabricado, marcas de referência Atlas, Jatobá, NGK ou equivalentwe</t>
  </si>
  <si>
    <t>120224</t>
  </si>
  <si>
    <t>Assentamento de revestimento cerâmico com cimento colante, excl. rejuntamento e cerâmica</t>
  </si>
  <si>
    <t>120227</t>
  </si>
  <si>
    <t>Roda parede em granito cinza andorinha 7x2cm, com acabamento abaulado nos dois lados</t>
  </si>
  <si>
    <t>120232</t>
  </si>
  <si>
    <t>Cerâmica 10 x 10 cm, ref Camburi branco Eliane, Cecrisa ou Portobello, empregando argamassa colante, inclusive rejuntamento junta plus cinza claro esp. 3 mm</t>
  </si>
  <si>
    <t>1203</t>
  </si>
  <si>
    <t>120301</t>
  </si>
  <si>
    <t>120302</t>
  </si>
  <si>
    <t>Reboco de argamassa de cimento, cal hidratada CH1 e areia média ou grossa lavada no traço 1:0.5:6, espessura 5mm</t>
  </si>
  <si>
    <t>120303</t>
  </si>
  <si>
    <t>Reboco tipo paulista de argamassa de cimento, cal hidratada CH1 e areia média ou grossa lavada no traço 1:0.5:6, espessura 25 mm</t>
  </si>
  <si>
    <t>120304</t>
  </si>
  <si>
    <t>Reboco de argamassa de cimento, cal hidratada CH1 e areia média ou grossa lavada no traço 1:0.5:6, com impermeabilizante para revestimentos (caixas, fossas, filtros, cisternas, etc...)</t>
  </si>
  <si>
    <t>120308</t>
  </si>
  <si>
    <t>Chapisco de argamassa de cimento e areia média ou grossa lavada no traço 1:3, espessura 5mm, com utilização de impermeabilizante</t>
  </si>
  <si>
    <t>13</t>
  </si>
  <si>
    <t>1301</t>
  </si>
  <si>
    <t>LASTRO DE CONTRAPISO</t>
  </si>
  <si>
    <t>130103</t>
  </si>
  <si>
    <t>130104</t>
  </si>
  <si>
    <t>Regularização de base p/ revestimento cerâmico, com argamassa de cimento e areia no traço 1:5, espessura 5cm</t>
  </si>
  <si>
    <t>130109</t>
  </si>
  <si>
    <t>Lastro regularizado e impermeabilizado de concreto não estrutural, espessura de 8 cm</t>
  </si>
  <si>
    <t>130110</t>
  </si>
  <si>
    <t>130111</t>
  </si>
  <si>
    <t>Lastro impermeabilizado de concreto não estrutural, espessura de 6 cm</t>
  </si>
  <si>
    <t>130112</t>
  </si>
  <si>
    <t>Lastro de concreto não estrutural, espessura de 6 cm</t>
  </si>
  <si>
    <t>130113</t>
  </si>
  <si>
    <t>Lastro impermeabilizado de concreto não estrutural, espessura de 8cm</t>
  </si>
  <si>
    <t>1302</t>
  </si>
  <si>
    <t>130202</t>
  </si>
  <si>
    <t>Piso cimentado liso com 1.5 cm de espessura, de argamassa de cimento e areia no traço 1:3 e juntas plásticas em quadros de 1 m</t>
  </si>
  <si>
    <t>130205</t>
  </si>
  <si>
    <t>Piso de tábuas corridas de Peroba de 15cm sobre caibros de 5x6cm espaçados de 50cm, fixados com argamassa de cimento e areia no traço 1:5</t>
  </si>
  <si>
    <t>130208</t>
  </si>
  <si>
    <t>Junta plástica 17 x 3 mm, para pisos corridos, inclusive fornecimento e colocação</t>
  </si>
  <si>
    <t>130209</t>
  </si>
  <si>
    <t>Piso de cimentado camurçado executado com argamassa de cimento e areia no traço 1:3, esp. 3.0cm</t>
  </si>
  <si>
    <t>130210</t>
  </si>
  <si>
    <t>Piso cimentado liso com 1.5 cm de espessura, em argamassa de cimento e areia no traço 1:3 e juntas plásticas em quadros de 1 m colorido com corante tipo Xadrez ou equivalente</t>
  </si>
  <si>
    <t>130211</t>
  </si>
  <si>
    <t>Fornecimento e instalação de Piso Paviflex dim. 30x30cm, esp. 2mm linha Chroma Concept ref. Fademac ou equivalente</t>
  </si>
  <si>
    <t>130219</t>
  </si>
  <si>
    <t>Piso cerâmico 45x45cm, PEI 5, Cargo Plus Gray, marcas de referência Eliane, Cecrisa ou Portobello, assentado com argamassa de cimento colante, inclusive rejuntamento</t>
  </si>
  <si>
    <t>130222</t>
  </si>
  <si>
    <t>Revestimento de piso com placas de borracha plurigoma preto pastilhado ou equivalente, inclusive arremate</t>
  </si>
  <si>
    <t>130223</t>
  </si>
  <si>
    <t>Assentamento de piso cerâmico, com utilização de cimento colante, excl. rejuntamento e cerâmica</t>
  </si>
  <si>
    <t>130225</t>
  </si>
  <si>
    <t>Rejuntamento de piso cerâmico, usando cimento branco, para juntas de no máximo 3mm de espessura</t>
  </si>
  <si>
    <t>130226</t>
  </si>
  <si>
    <t>Rejuntamento empregando argamassa para rejunte, esp. 5mm</t>
  </si>
  <si>
    <t>130228</t>
  </si>
  <si>
    <t>Assentamento e rejuntamento de piso em porcelanato (dimensões superiores a 30x30cm) utilizando dupla colagem de argamassa colante para porcelanato tipo ACIII, exclusive fornecimento do porcelanato e do rejunte</t>
  </si>
  <si>
    <t>130230</t>
  </si>
  <si>
    <t>Piso argamassa alta resistência tipo granilite ou equiv de qualidade comprovada, esp de 10mm, com juntas plástica em quadros de 1m, na cor natural, com acabamento anti-derrapante mecanizado, inclusive regularização e=3.0cm</t>
  </si>
  <si>
    <t>130231</t>
  </si>
  <si>
    <t>Piso argamassa alta resistência tipo granilite ou equiv de qualidade comprovada, esp de 10mm, com juntas plástica em quadros de 1m, na cor natural, com acabamento polido mecanizado, inclusive regularização e=3.0cm</t>
  </si>
  <si>
    <t>130232</t>
  </si>
  <si>
    <t>Porcelanato polido, acabamento brilhante, dim. 50x50cm, ref. de cor PANNA PLUS PO Eliane/equiv, utilizando dupla colagem de argamassa colante para porcelanato tipo ACIII e rejunte 1mm para porcelanato</t>
  </si>
  <si>
    <t>130233</t>
  </si>
  <si>
    <t>Porcelanato polido, acabamento acetinado, dim. 60x60cm, ref. de cor CIMENTO CINZA BOLD Potobello/equiv, utilizando dupla colagem de argamassa colante para porcelanato tipo ACIII e rejunte 1mm para porcelanato</t>
  </si>
  <si>
    <t>130234</t>
  </si>
  <si>
    <t>Porcelanato natural, acabamento acetinado, dim. 60x60cm, ref. PLATINA NA Eliane/equiv, utilizando dupla colagem de argamassa colante para porcelanato tipo ACIII e rejunte 1mm para porcelanato</t>
  </si>
  <si>
    <t>130236</t>
  </si>
  <si>
    <t>Piso cerâmico esmaltado, PEI 5, acabamento semibrilho, dim. 45x45cm, ref. de cor CARGO PLUS WHITE Eliane/equiv. assentado com argamassa de cimento colante, inclusive rejuntamento</t>
  </si>
  <si>
    <t>130237</t>
  </si>
  <si>
    <t>Assentamento e rejuntamento de piso em porcelanato (dimensões superiores a 30x30cm) utilizando dupla colagem de argamassa colante para porcelanato tipo ACII/ACIII, exclusive fornecimento do porcelanato e do rejunte</t>
  </si>
  <si>
    <t>1303</t>
  </si>
  <si>
    <t>DEGRAUS, RODAPÉS, SOLEIRAS E PEITORIS</t>
  </si>
  <si>
    <t>130301</t>
  </si>
  <si>
    <t>Rodapé de argamassa de cimento e areia no traço 1:3, altura de 7 cm e espessura de 2 cm</t>
  </si>
  <si>
    <t>130303</t>
  </si>
  <si>
    <t>Rodapé de cerâmica PEI-3, assentado com argamassa de cimento cola h = 7.0 cm, inclusive rejuntamento com cimento branco</t>
  </si>
  <si>
    <t>130304</t>
  </si>
  <si>
    <t>Rodapé de madeira de lei 7.0 x 1.5 cm, fixado com parafuso e bucha plástica n° 7</t>
  </si>
  <si>
    <t>130307</t>
  </si>
  <si>
    <t>Peitoril de mármore branco com largura 40 cm e esp. 3cm</t>
  </si>
  <si>
    <t>130308</t>
  </si>
  <si>
    <t>Soleira de granito esp. 2 cm e largura de 15 cm</t>
  </si>
  <si>
    <t>130311</t>
  </si>
  <si>
    <t>Soleira de granito cinza, espessura 3 cm e largura de 3 cm, conforme detalhe em projeto</t>
  </si>
  <si>
    <t>130315</t>
  </si>
  <si>
    <t>Rodapé de mármore ou granito, assentado com argamassa de cimento, cal hidratada CH1 e areia no traço 1:0,5:8, incl. rejuntamento com cimento branco, h=7cm</t>
  </si>
  <si>
    <t>130317</t>
  </si>
  <si>
    <t>Peitoril de granito cinza polido, 15 cm, esp. 3cm</t>
  </si>
  <si>
    <t>130320</t>
  </si>
  <si>
    <t>Rodapé em cerâmica PEI-3, h = 7cm, assentado com argamassa de cimento, cal e areia, incl. rejuntamento com cimento branco</t>
  </si>
  <si>
    <t>130321</t>
  </si>
  <si>
    <t>Rodapé de granito cinza esp. 2cm, h=7cm, assentado com argamassa de cimento, cal hidratada CH1 e areia no traço 1:0,5:8, incl. rejuntamento com cimento branco</t>
  </si>
  <si>
    <t>130322</t>
  </si>
  <si>
    <t>Rodapé de argamassa de alta resistência tipo granilite ou equivalente de qualidade comprovada, altura de 10 cm e espessura de 10 mm, com cantos boleados, executado com cimento e granitina grana N.1, inclusive polimento</t>
  </si>
  <si>
    <t>130323</t>
  </si>
  <si>
    <t>Soleira de argamassa de alta resistência tipo granilite ou equivalente de qualidade comprovada, largura de 15cm, executado com cimento e granitina grana N.1</t>
  </si>
  <si>
    <t>1304</t>
  </si>
  <si>
    <t>130403</t>
  </si>
  <si>
    <t>Recomposição de piso cimentado, com argamassa de cimento e areia no traço 1:3, com 2 cm de espessura, incl. lastro</t>
  </si>
  <si>
    <t>14</t>
  </si>
  <si>
    <t>1401</t>
  </si>
  <si>
    <t>SUMIDOUROS, FOSSAS SÉPTICAS E FILTROS ANAERÓBIOS</t>
  </si>
  <si>
    <t>140102</t>
  </si>
  <si>
    <t>Fossa séptica de anéis pré-moldados de concreto, diâmetro 1.20 m, altura útil de 1.70m, completa, incluindo tampa c/visita de 60cm, concreto p/fundo esp.10 cm, e tubo para ligação ao filtro</t>
  </si>
  <si>
    <t>140103</t>
  </si>
  <si>
    <t>Filtro anaeróbio de anéis pré-moldados de concreto, diâmetro de 1.20m, altura útil de 1.80m, completo, incl. tampa c/visita de 60 cm, concreto p/fundo esp.10cm e tubulação de saída de esgoto</t>
  </si>
  <si>
    <t>140108</t>
  </si>
  <si>
    <t>Fossa séptica de anéis pré-moldados de concreto, diâmetro 2.00 m, Hútil 2.0m completa, incluindo tampa c/visita de 60cm, concreto p/ fundo esp.10 cm, tubo de limpeza e escavação, conf. detalhe em projeto</t>
  </si>
  <si>
    <t>140109</t>
  </si>
  <si>
    <t>Filtro anaeróbio de anéis pré-moldados de concreto, diâm. 2.0m, Hútil 2.0m, compl., incl. tampa c/visita 60cm, concreto p/ fundo esp. 10cm, escavação, brita 4 e tubulação de saída esgoto 150mm, conf. proj.</t>
  </si>
  <si>
    <t>1402</t>
  </si>
  <si>
    <t>140201</t>
  </si>
  <si>
    <t>140207</t>
  </si>
  <si>
    <t>Padrão de entrada d'água com caixa termoplástica para hidrômetro de 3/4" - padrão 1B da CESAN. Instalado embutido na alvenaria. Inclusive tubulação, conexões, registro, tubo camisa e caixa com tampa transparente. Conferir detalhe.</t>
  </si>
  <si>
    <t>140208</t>
  </si>
  <si>
    <t>Padrão entrada d'água com caixa enterrada para hidrômetro com diâmetro de 1" - padrão 2B da CESAN. Caixa em alvenaria 60x80x40cm e com tampa articulada de ferro fundido, registro e conexões para instalação de hidrômetro. Conferir detalhe</t>
  </si>
  <si>
    <t>140209</t>
  </si>
  <si>
    <t>Mureta p/ cavalete (Padrão 1B - CESAN) de alv. blocos cerâmicos 10x20x20cm deitados, dimensões 0.80x1.0x0.20m, para instalação de caixa termoplastica, incl revest. em reboco e lastro concreto esp.10cm, exclusive caixa e cavalete</t>
  </si>
  <si>
    <t>1407</t>
  </si>
  <si>
    <t>140701</t>
  </si>
  <si>
    <t>140702</t>
  </si>
  <si>
    <t>140703</t>
  </si>
  <si>
    <t>Ponto de torneira de jardim (para praças)</t>
  </si>
  <si>
    <t>140704</t>
  </si>
  <si>
    <t>Ponto de válvula de descarga, inclusive válvula (sem acabamento)</t>
  </si>
  <si>
    <t>140705</t>
  </si>
  <si>
    <t>140706</t>
  </si>
  <si>
    <t>140707</t>
  </si>
  <si>
    <t>Ponto para caixa sifonada, inclusive caixa sifonada pvc 150x150x50mm com grelha em pvc</t>
  </si>
  <si>
    <t>140708</t>
  </si>
  <si>
    <t>Ponto para ralo sifonado, inclusive ralo sifonado 100 x 40 mm c/ grelha em pvc</t>
  </si>
  <si>
    <t>140709</t>
  </si>
  <si>
    <t>Ponto para ralo seco, inclusive ralo pvc 10 cm com grelha em pvc</t>
  </si>
  <si>
    <t>140710</t>
  </si>
  <si>
    <t>140711</t>
  </si>
  <si>
    <t>Ponto para ralo sifonado, inclusive ralo sifonado 100 x 40 mm c/ grelha em açõ inox</t>
  </si>
  <si>
    <t>140712</t>
  </si>
  <si>
    <t>Ponto de válvula de descarga, inclusive válvula e acabamento anti-vandalismo cromado referência Docol, Fabrimar e Deca</t>
  </si>
  <si>
    <t>140713</t>
  </si>
  <si>
    <t>Ponto de válvula de descarga, inclusive válvula de descarga de 50mm (1 1/2"), com acabamento para válvula de descarga Benefit, marca de referência Docol ou equivalente Mod. 00184906</t>
  </si>
  <si>
    <t>140714</t>
  </si>
  <si>
    <t>Ponto p/ válvula (mictório) inclusive válvula com acabamento marca de referência Pressmatic Docol, Mod. 17015106 e tubo de ligação p/mictório antivandalismo Pressmatic Mod. 00132606 marca de ref. Docol ou equivalente</t>
  </si>
  <si>
    <t>1409</t>
  </si>
  <si>
    <t>140901</t>
  </si>
  <si>
    <t>Tubos de concreto simples C1, diâmetro 200 mm, com rejuntamento de argamassa de cimento, cal hidratada e areia no traço 1:2:6, incluindo escavação e berço, conf. normas e especificações.</t>
  </si>
  <si>
    <t>140902</t>
  </si>
  <si>
    <t>Tubos de concreto simples C1, diâmetro 300 mm, com rejuntamento de argamassa de cimento, cal hidratada e areia no traço 1:2:6, incluindo escavação e berço, conforme normas e especificações.</t>
  </si>
  <si>
    <t>140903</t>
  </si>
  <si>
    <t>140904</t>
  </si>
  <si>
    <t>Tubo PVC rígido para esgoto no diâmetro de 150mm incluindo escavação e aterro com areia</t>
  </si>
  <si>
    <t>140905</t>
  </si>
  <si>
    <t>Tubo PVC rígido para esgoto no diâmetro de 200mm incluindo escavação e aterro com areia</t>
  </si>
  <si>
    <t>140906</t>
  </si>
  <si>
    <t>Tubo PVC rígido para esgoto no diâmetro de 75 mm incluindo escavação e aterro com areia</t>
  </si>
  <si>
    <t>1411</t>
  </si>
  <si>
    <t>Caixas de inspeção de alv. blocos concreto 9x19x39cm, dim, 60x60cm e Hmáx = 1m, com tampa de conc. esp. 5cm, lastro de conc. esp. 10cm, revest intern. c/ chapisco e reboco impermeabilizado, incl. escavação, reaterro e enchimento</t>
  </si>
  <si>
    <t>141102</t>
  </si>
  <si>
    <t>Caixa de areia de alvenaria de blocos de concreto 9x19x39cm, dim. 60x60cm e Hmáx=1m, c/ tampa em concreto esp. 5cm, lastro concreto esp. 10cm, revestida intern. c/ chapisco e reboco impermeabilizante, incl. escavação e reaterro</t>
  </si>
  <si>
    <t>141103</t>
  </si>
  <si>
    <t>Caixa sifonada especial de alv. bloco conc.9x19x39cm, dim 60x60cm e Hmáx=1m, c/ tampa em concreto esp.5cm, lastro conc.esp.10cm, revest. intern. c/chap. e reb. impermeab. escav, reaterro e curva curta c/ visita e plug em pvc 100mm</t>
  </si>
  <si>
    <t>141104</t>
  </si>
  <si>
    <t>Caixa de gordura de alv. bloco concreto 9x19x39cm, dim.60x60cm e Hmáx=1m, com tampa em concreto esp.5cm, lastro concreto esp.10cm, revestida intern. c/ chapisco e reboco impermeab, escavação, reaterro e parede interna em concreto</t>
  </si>
  <si>
    <t>141105</t>
  </si>
  <si>
    <t>Caixa retentora de matéria sólida de alv. bloco conc.9x19x39cm, dim 60x60cm e Hmáx=1m, c/ tampa conc. esp.5cm, lastro conc. esp.10cm, revest. internamente c/ chap, reb. impermeab., escavação, reaterro e parede int. em concreto</t>
  </si>
  <si>
    <t>141106</t>
  </si>
  <si>
    <t>Caixas de inspeção de alv. blocos concreto 9x19x39cm, dim.100x60cm e Hmáx = 1m, com tampa de conc. esp. 5cm, lastro de conc. esp. 10cm, revest intern. c/ chapisco e reboco impermeabilizado, incl. escavação, reaterro e enchimento</t>
  </si>
  <si>
    <t>141107</t>
  </si>
  <si>
    <t>Caixa de gordura simples de alv. bloco concr.9x19x39cm, dim.80x60cm e Hmáx=1m, com tampa em concr.esp.5cm, lastro concr.esp.10cm, revestida intern. c/ chapisco e reboco impermeab, escavação, reaterro e parede interna em concr.</t>
  </si>
  <si>
    <t>141108</t>
  </si>
  <si>
    <t>Caixa de gordura especial de alv. bloco concr. 9x19x39cm, dim.60x60cm e Hmáx=1m, com tampa em concr.esp.5cm, lastro concr.esp.10cm, revestida intern. c/ chapisco e reboco impermeab, escavação, reaterro e parede interna em concr.</t>
  </si>
  <si>
    <t>141109</t>
  </si>
  <si>
    <t>Grelha largura 20 cm de ferro redondo de 1/2" a cada 3 cm, contorno com barra de ferro de 3/4" x 1/8" e caixilho de cantoneira de 1" x 3/16"</t>
  </si>
  <si>
    <t>141110</t>
  </si>
  <si>
    <t>141111</t>
  </si>
  <si>
    <t>141112</t>
  </si>
  <si>
    <t>Caixa sifonada especial em alv. bloco concr. 9x19x39cm, dim. 60x60cm e Hmáx=1m. c/ tampa em ferro fundido, lastro conc. esp.10cm, revest. int. c/ chap. e reboco imperm., incl. esc, reaterro e curva curta c/ visita e plug pvc 100mm</t>
  </si>
  <si>
    <t>141113</t>
  </si>
  <si>
    <t>141114</t>
  </si>
  <si>
    <t>Caixa retentora de mat. sólida em alv. bloco conc.9x19x39cm, dim.60x60cm e Hmáx=1m, c/ tampa de ferro fund., lastro conc. esp.10cm, revest. int. c/ chap. e reb. impermeab., esc. reaterro e parede int. em concreto</t>
  </si>
  <si>
    <t>1412</t>
  </si>
  <si>
    <t>REDE DE ÁGUA FRIA - TUBOS METÁLICOS</t>
  </si>
  <si>
    <t>141210</t>
  </si>
  <si>
    <t>Tubo de aço galvanizado, inclusive conexões, diâm. 15mm (1/2")</t>
  </si>
  <si>
    <t>141211</t>
  </si>
  <si>
    <t>Tubo de aço galvanizado, inclusive conexões, diâm. 20mm (3/4")</t>
  </si>
  <si>
    <t>141212</t>
  </si>
  <si>
    <t>Tubo de aço galvanizado, inclusive conexões, diâm. 25mm (1")</t>
  </si>
  <si>
    <t>141213</t>
  </si>
  <si>
    <t>Tubo de aço galvanizado, inclusive conexões, diâm. 32mm (11/4")</t>
  </si>
  <si>
    <t>141214</t>
  </si>
  <si>
    <t>Tubo de aço galvanizado, inclusive conexões, diâm. 40mm (11/2")</t>
  </si>
  <si>
    <t>141215</t>
  </si>
  <si>
    <t>Tubo de aço galvanizado, inclusive conexões, diâm. 50mm (2")</t>
  </si>
  <si>
    <t>141216</t>
  </si>
  <si>
    <t>Tubo de aço galvanizado, inclusive conexões, diâm. 65mm (21/2")</t>
  </si>
  <si>
    <t>141217</t>
  </si>
  <si>
    <t>Tubo de aço galvanizado, inclusive conexões, diâm. 80mm (3")</t>
  </si>
  <si>
    <t>141218</t>
  </si>
  <si>
    <t>Tubo de aço galvanizado, inclusive conexões, diâm. 100mm(4")</t>
  </si>
  <si>
    <t>1414</t>
  </si>
  <si>
    <t>REDE DE ÁGUA FRIA - TUBOS SOLDÁVEIS DE PVC</t>
  </si>
  <si>
    <t>141409</t>
  </si>
  <si>
    <t>Tubo de PVC rígido soldável marrom, diâm. 20mm (1/2"), inclusive conexões</t>
  </si>
  <si>
    <t>141410</t>
  </si>
  <si>
    <t>Tubo de PVC rígido soldável marrom, diâm. 25mm (3/4"), inclusive conexões</t>
  </si>
  <si>
    <t>141411</t>
  </si>
  <si>
    <t>Tubo de PVC rigido soldável marrom, diâm. 32mm (1"), inclusive conexões</t>
  </si>
  <si>
    <t>141412</t>
  </si>
  <si>
    <t>Tubo de PVC rígido soldável marrom, diâm. 40mm (11/4"), inclusive conexões</t>
  </si>
  <si>
    <t>141413</t>
  </si>
  <si>
    <t>Tubo de PVC rígido soldável marrom, diâm. 50mm (11/2"), inclusive conexões</t>
  </si>
  <si>
    <t>141414</t>
  </si>
  <si>
    <t>Tubo de PVC rígido soldável marrom, diâm. 60mm (2"), inclusive conexões</t>
  </si>
  <si>
    <t>141415</t>
  </si>
  <si>
    <t>Tubo de PVC rígido soldável marrom, diâm. 75mm (21/2"), inclusive conexões</t>
  </si>
  <si>
    <t>141416</t>
  </si>
  <si>
    <t>Tubo de PVC rígido soldável marrom, diâm. 85mm (3"), inclusive conexões</t>
  </si>
  <si>
    <t>1415</t>
  </si>
  <si>
    <t>REDE DE ÁGUA FRIA - CONEXÕES SOLDÁVEIS DE PVC</t>
  </si>
  <si>
    <t>141522</t>
  </si>
  <si>
    <t>Adaptador de PVC soldável com flanges livres para caixa d'água, diâmetro 25mm (3/4")</t>
  </si>
  <si>
    <t>141524</t>
  </si>
  <si>
    <t>Adaptador de PVC soldável com flanges livres para caixa d'água, diâmetro 40mm (1 1/4")</t>
  </si>
  <si>
    <t>141525</t>
  </si>
  <si>
    <t>Adaptador de PVC soldável com flanges livres para caixa d'água, diâmetro 50mm (1 1/2")</t>
  </si>
  <si>
    <t>141526</t>
  </si>
  <si>
    <t>Adaptador de PVC soldável com flanges livres para caixa d'água, diâmetro 60mm (2")</t>
  </si>
  <si>
    <t>141527</t>
  </si>
  <si>
    <t>Adaptador de PVC soldável com flanges livres para caixa d'água, diâmetro 75mm (2 1/2")</t>
  </si>
  <si>
    <t>141529</t>
  </si>
  <si>
    <t>Adaptador de PVC soldável para registro, diâmetro 32mm x 1"</t>
  </si>
  <si>
    <t>1419</t>
  </si>
  <si>
    <t>REDE DE ESGOTO - TUBOS DE PVC</t>
  </si>
  <si>
    <t>141906</t>
  </si>
  <si>
    <t>Tubo de PVC rígido soldável branco, para esgoto, diâmetro 40mm (1 1/2"), inclusive conexões</t>
  </si>
  <si>
    <t>141907</t>
  </si>
  <si>
    <t>Tubo de PVC rígido soldável branco, para esgoto, diâmetro 50mm (2"), inclusive conexões</t>
  </si>
  <si>
    <t>141908</t>
  </si>
  <si>
    <t>Tubo de PVC rígido soldável branco, para esgoto, diâmetro 75mm (3"), inclusive conexões</t>
  </si>
  <si>
    <t>141909</t>
  </si>
  <si>
    <t>Tubo de PVC rígido soldável branco, para esgoto, diâmetro 100mm (4"), inclusive conexões</t>
  </si>
  <si>
    <t>141910</t>
  </si>
  <si>
    <t>Tubo de PVC rígido soldável branco, para esgoto, diâmetro 150mm (6"), inclusive conexões</t>
  </si>
  <si>
    <t>1421</t>
  </si>
  <si>
    <t>CAIXAS DE PVC / EQUIPAMENTOS</t>
  </si>
  <si>
    <t>142103</t>
  </si>
  <si>
    <t>Reparo para válvula de descarga, completo</t>
  </si>
  <si>
    <t>142104</t>
  </si>
  <si>
    <t>Sifão em PVC para pia de cozinha ou lavatório 1x11/2"</t>
  </si>
  <si>
    <t>142106</t>
  </si>
  <si>
    <t>Sifão em PVC para tanque 2"</t>
  </si>
  <si>
    <t>142107</t>
  </si>
  <si>
    <t>Ralo sifonado em PVC 100x100mm, com grelha PVC</t>
  </si>
  <si>
    <t>142109</t>
  </si>
  <si>
    <t>Ralo seco em PVC 100x100mm, com grelha em PVC</t>
  </si>
  <si>
    <t>142111</t>
  </si>
  <si>
    <t>Caixa sifonada em PVC, diâm. 150mm, com grelha e porta grelha quadrados, em aço inox</t>
  </si>
  <si>
    <t>142112</t>
  </si>
  <si>
    <t>Caixa seca em PVC, diâm. 100mm, com grelha e porta grelha quadrados, em aço inox</t>
  </si>
  <si>
    <t>142114</t>
  </si>
  <si>
    <t>Tampa para caixa sifonada, em PVC, de 150x150mm</t>
  </si>
  <si>
    <t>142115</t>
  </si>
  <si>
    <t>Tampa para caixa sifonada, em aço inox, de 150x150mm</t>
  </si>
  <si>
    <t>142116</t>
  </si>
  <si>
    <t>Tampa para ralo, em PVC, de 100x100mm</t>
  </si>
  <si>
    <t>142117</t>
  </si>
  <si>
    <t>Tampa para ralo, em aço inox, de 100x100mm</t>
  </si>
  <si>
    <t>142118</t>
  </si>
  <si>
    <t>Engate flexível de PVC para lavatório</t>
  </si>
  <si>
    <t>142119</t>
  </si>
  <si>
    <t>142120</t>
  </si>
  <si>
    <t>Torneira de bóia de PVC, diâm. 1" (25mm)</t>
  </si>
  <si>
    <t>142121</t>
  </si>
  <si>
    <t>Torneira de bóia de PVC, diâm. 11/4" (32mm)</t>
  </si>
  <si>
    <t>142122</t>
  </si>
  <si>
    <t>Automático de bóia, duas funções 25A</t>
  </si>
  <si>
    <t>142123</t>
  </si>
  <si>
    <t>Adaptador de PVC com flanges livres para caixa d'água de 20mmx1/2"</t>
  </si>
  <si>
    <t>142124</t>
  </si>
  <si>
    <t>Adaptador de PVC com flanges livres para caixa d'água de 25mmx3/4"</t>
  </si>
  <si>
    <t>142125</t>
  </si>
  <si>
    <t>Adaptador de PVC com flanges livres para caixa d'água de 32mmx1"</t>
  </si>
  <si>
    <t>1422</t>
  </si>
  <si>
    <t>ABERTURA E FECHAMENTO DE RASGOS (inclusive preparo e aplicação de argamassa)</t>
  </si>
  <si>
    <t>142201</t>
  </si>
  <si>
    <t>Abertura e fechamento de rasgos em alvenaria, para passagem de tubulações, diâm. 1/2" a 1"</t>
  </si>
  <si>
    <t>142202</t>
  </si>
  <si>
    <t>Abertura e fechamento de rasgos em alvenaria, para passagem de tubulações, diâm. 11/4" a 2"</t>
  </si>
  <si>
    <t>142203</t>
  </si>
  <si>
    <t>Abertura e fechamento de rasgos em alvenaria, para passagem de tubulações, diâm. 21/2 a 4"</t>
  </si>
  <si>
    <t>142204</t>
  </si>
  <si>
    <t>Abertura e fechamento de rasgos em concreto, para passagem de tubulações, diâm. 1/2" a 1"</t>
  </si>
  <si>
    <t>142205</t>
  </si>
  <si>
    <t>Abertura e fechamento de rasgos em concreto, para passagem de tubulações, diâm. 11/4" a 2"</t>
  </si>
  <si>
    <t>142206</t>
  </si>
  <si>
    <t>Abertura e fechamento de rasgos em concreto, para passagem de tubulações, diâm. 2 1/2"a 4"</t>
  </si>
  <si>
    <t>1423</t>
  </si>
  <si>
    <t>142301</t>
  </si>
  <si>
    <t>Revisões e reparos em torneiras e registros</t>
  </si>
  <si>
    <t>142302</t>
  </si>
  <si>
    <t>Revisões e reparos em caixas de descarga</t>
  </si>
  <si>
    <t>142303</t>
  </si>
  <si>
    <t>Revisões e reparos em torneiras de bóia</t>
  </si>
  <si>
    <t>142304</t>
  </si>
  <si>
    <t>Fornecimento de durepox para reparos (250g)</t>
  </si>
  <si>
    <t>15</t>
  </si>
  <si>
    <t>INSTALAÇÕES ELÉTRICAS</t>
  </si>
  <si>
    <t>1501</t>
  </si>
  <si>
    <t>PADRÃO DE ENTRADA</t>
  </si>
  <si>
    <t>150122</t>
  </si>
  <si>
    <t>Mureta de medição utilizando arg. cimento, cal e areia, dimensões 1100x2000x200mm, com pilares e cintas, revestido com chapisco e reboco, inclusive pintura emassamento e pintura acrílica a três demãos, exclusive cobertura</t>
  </si>
  <si>
    <t>150123</t>
  </si>
  <si>
    <t>1503</t>
  </si>
  <si>
    <t>QUADRO DE DISTRIBUIÇÃO</t>
  </si>
  <si>
    <t>150302</t>
  </si>
  <si>
    <t>Quadro de distribuição em PVC para 06 circuitos, inclusive 4 disjuntores monopolares de 15A</t>
  </si>
  <si>
    <t>150306</t>
  </si>
  <si>
    <t>Quadro de distribuição de energia em PVC, de embutir, com 12 divisões modulares com barramento</t>
  </si>
  <si>
    <t>150307</t>
  </si>
  <si>
    <t>Quadro de distribuição de energia, de embutir, com 18 divisões modulares, com barramento</t>
  </si>
  <si>
    <t>150308</t>
  </si>
  <si>
    <t>Quadro de distribuição de energia, de embutir, com 24 divisões modulares, com barramento</t>
  </si>
  <si>
    <t>150309</t>
  </si>
  <si>
    <t>Quadro de distribuição de energia, de embutir, com 32 divisões modulares, com barramento</t>
  </si>
  <si>
    <t>150310</t>
  </si>
  <si>
    <t>Caixa de distribuição 20x20x15 cm</t>
  </si>
  <si>
    <t>150311</t>
  </si>
  <si>
    <t>Quadro de distribuição de energia, de embutir, com 12 divisões modulares, sem barramento</t>
  </si>
  <si>
    <t>150312</t>
  </si>
  <si>
    <t>Quadro de distribuição de energia, de embutir, com 3 divisões modulares, sem barramento</t>
  </si>
  <si>
    <t>150313</t>
  </si>
  <si>
    <t>Quadro de distribuição de energia, de embutir, com 6 divisões modulares, com barramento trifásico 100A</t>
  </si>
  <si>
    <t>150315</t>
  </si>
  <si>
    <t>Quadro distrib. energia, embutido ou semi embutido, capac. p/ 34 disj. DIN, c/barram trif. 150A barra. neutro e terra, fab. em chapa de aço 12 USG com porta, espelho, trinco com fechad ch yale, Ref. QDETG II-34DIN-CEMAR ou equiv.</t>
  </si>
  <si>
    <t>150316</t>
  </si>
  <si>
    <t>Quadro distrib. energia, embutido ou semi embutido, capac. p/ 44 disj. DIN, c/barram trif. 150A barra. neutro e terra, fab. em chapa de aço 12 USG com porta, espelho, trinco com fechad ch yale, Ref. QDETG II-44DIN-CEMAR ou equiv.</t>
  </si>
  <si>
    <t>150317</t>
  </si>
  <si>
    <t>Quadro distrib. energia, embutido ou semi embutido, capac. p/ 56 disj. DIN, c/barram trif. 225A barra. neutro e terra, fab. em chapa de aço 12 USG com porta, espelho, trinco com fechad ch</t>
  </si>
  <si>
    <t>1506</t>
  </si>
  <si>
    <t>CAIXAS DE PASSAGEM</t>
  </si>
  <si>
    <t>150609</t>
  </si>
  <si>
    <t>Caixa para medidor polifásico carga até 41000W inclusive caixa para disjuntor polifásico até 100A</t>
  </si>
  <si>
    <t>150610</t>
  </si>
  <si>
    <t>150612</t>
  </si>
  <si>
    <t>Caixa de passagem 100x100x80mm, chapa 18, com tampa parafusada</t>
  </si>
  <si>
    <t>150614</t>
  </si>
  <si>
    <t>Caixa de passagem de alvenaria de blocos de concreto 9x19x39cm, dimensões de 30x30x50cm, com revestimento interno em chapisco e reboco, tampa de concreto esp.5cm e lastro de brita 5 cm</t>
  </si>
  <si>
    <t>150615</t>
  </si>
  <si>
    <t>Caixa de passagem de alvenaria de blocos de concreto 9x19x39cm, dimensões de 40x40x50cm, com revestimento interno em chapisco e reboco, tampa de concreto esp.5cm e lastro de brita 5 cm</t>
  </si>
  <si>
    <t>150616</t>
  </si>
  <si>
    <t>150626</t>
  </si>
  <si>
    <t>150628</t>
  </si>
  <si>
    <t>Caixa de embutir marca de referência Tigreflex, 4x2"</t>
  </si>
  <si>
    <t>150629</t>
  </si>
  <si>
    <t>Caixa de embutir marca de referência Tigreflex, 4x4"</t>
  </si>
  <si>
    <t>150632</t>
  </si>
  <si>
    <t>Caixa de passagem 150x150x80mm, chapa 18, com tampa parafusada</t>
  </si>
  <si>
    <t>150633</t>
  </si>
  <si>
    <t>150634</t>
  </si>
  <si>
    <t>150635</t>
  </si>
  <si>
    <t>Caixa de passagem 400x400x120mm, chapa 18, com tampa parafusada</t>
  </si>
  <si>
    <t>150636</t>
  </si>
  <si>
    <t>Caixa sextavada em PVC de 3x3x1 1/2", marca de referência Tigreflex</t>
  </si>
  <si>
    <t>1507</t>
  </si>
  <si>
    <t>ENVELOPAMENTO DE ELETRODUTOS</t>
  </si>
  <si>
    <t>150701</t>
  </si>
  <si>
    <t>Envelopamento de concreto simples com consumo mínimo de cimento de 250kg/m3, inclusive escavação para profundidade mínima do eletroduto de 50 cm, de 25 x 25 cm, para 1 eletroduto</t>
  </si>
  <si>
    <t>150702</t>
  </si>
  <si>
    <t>Envelopamento de concreto simples com consumo mínimo de cimento de 250kg/m3, inclusive escavação para profundidade mínima do eletroduto de 50 cm, de 25 x 30 cm, para 2 eletrodutos</t>
  </si>
  <si>
    <t>150703</t>
  </si>
  <si>
    <t>150704</t>
  </si>
  <si>
    <t>Envelopamento de concreto simples com consumo mínimo de cimento de 250kg/m3, inclusive escavação para profundidade mínima do eletroduto de 50cm, de 45 x 45 cm, para 3 eletrodutos</t>
  </si>
  <si>
    <t>1508</t>
  </si>
  <si>
    <t>INSTALAÇÕES APARENTES</t>
  </si>
  <si>
    <t>150801</t>
  </si>
  <si>
    <t>Eletroduto aparente de PVC rígido roscável diâmetro 3/4", inclusive abraçadeira de fixação</t>
  </si>
  <si>
    <t>150802</t>
  </si>
  <si>
    <t>Caixa de ligação de alumínio silício, tipo CONDULETES,sem rosca, no formato B, inclusive tampa com vedação, diâmetro 3/4"</t>
  </si>
  <si>
    <t>150803</t>
  </si>
  <si>
    <t>Caixa de ligação de alumínio silício, tipo CONDULETES, sem rosca, no formato T, inclusive tampa com vedação, diâmetro 3/4"</t>
  </si>
  <si>
    <t>150804</t>
  </si>
  <si>
    <t>Caixa de ligação de alumínio silício, tipo CONDULETES, sem rosca, no formato LR, inclusive tampa com vedação, diâmetro 3/4"</t>
  </si>
  <si>
    <t>150805</t>
  </si>
  <si>
    <t>Caixa de ligação de alumínio silício, tipo CONDULETES, sem rosca, no formato X, inclusive tampa com vedação, diâmetro 3/4"</t>
  </si>
  <si>
    <t>150806</t>
  </si>
  <si>
    <t>Eletroduto aparente de PVC rígido roscável diâmetro 1", inclusive abraçadeira de fixação</t>
  </si>
  <si>
    <t>150807</t>
  </si>
  <si>
    <t>Canaleta sistema X da Pial ou equivalente, inclusive conexões</t>
  </si>
  <si>
    <t>150835</t>
  </si>
  <si>
    <t>Eletrocalha perfurada em chapa de aço galvanizado nº16, 150x50mm, sem tampa</t>
  </si>
  <si>
    <t>150836</t>
  </si>
  <si>
    <t>Eletrocalha perfurada em chapa de aço galvanizado nº16, 200x100mm, sem tampa</t>
  </si>
  <si>
    <t>150837</t>
  </si>
  <si>
    <t>Eletrocalha perfurada em chapa de aço galvanizado nº16, 300x100mm, sem tampa</t>
  </si>
  <si>
    <t>150838</t>
  </si>
  <si>
    <t>Eletrocalha perfurada em chapa de aço galvanizado nº16, 400x100mm, sem tampa</t>
  </si>
  <si>
    <t>150843</t>
  </si>
  <si>
    <t>Redução concêntrica para eletrocalha perfurada, tipo "U", 200x150mm, aba 100</t>
  </si>
  <si>
    <t>150844</t>
  </si>
  <si>
    <t>Redução concêntrica para eletrocalha perfurada, tipo "U", 300x150mm, aba 100</t>
  </si>
  <si>
    <t>150845</t>
  </si>
  <si>
    <t>Redução concêntrica para eletrocalha perfurada, tipo "U", 400x150mm, aba 100</t>
  </si>
  <si>
    <t>150850</t>
  </si>
  <si>
    <t>Saída horizontal para eletroduto de 3/4"</t>
  </si>
  <si>
    <t>150851</t>
  </si>
  <si>
    <t>Saída horizontal para eletroduto de 1"</t>
  </si>
  <si>
    <t>150852</t>
  </si>
  <si>
    <t>Saída horizontal para eletroduto de 2"</t>
  </si>
  <si>
    <t>150860</t>
  </si>
  <si>
    <t>Tampa de encaixe para eletrocalha em chapa de aço galvanizada 18, dim. 150mm</t>
  </si>
  <si>
    <t>150861</t>
  </si>
  <si>
    <t>Tampa de encaixe para eletrocalha em chapa de aço galvanizada 18, dim. 200mm</t>
  </si>
  <si>
    <t>150862</t>
  </si>
  <si>
    <t>Tampa de encaixe para eletrocalha em chapa de aço galvanizada 18, dim. 300mm</t>
  </si>
  <si>
    <t>150863</t>
  </si>
  <si>
    <t>Tampa de encaixe para eletrocalha em chapa de aço galvanizada 18, dim. 400mm</t>
  </si>
  <si>
    <t>150866</t>
  </si>
  <si>
    <t>Junção simples para eletrocalha metálica 200x100mm, galvanizada, ref. Mega MG 2760 ou equivalente</t>
  </si>
  <si>
    <t>150867</t>
  </si>
  <si>
    <t>Junção simples para eletrocalha metálica 300x100mm, galvanizada, ref. Mega MG 2760 ou equivalente</t>
  </si>
  <si>
    <t>150870</t>
  </si>
  <si>
    <t>TÊ horizontal 90º para eletrocalha metálica 200x100mm, galvanizada, ref. MEGA MG 2570 ou equivalente</t>
  </si>
  <si>
    <t>150871</t>
  </si>
  <si>
    <t>TÊ horizontal 90º para eletrocalha metálica 300x100mm, galvanizada, ref. MEGA MG 2570 ou equivalente</t>
  </si>
  <si>
    <t>150875</t>
  </si>
  <si>
    <t>Curva horizontal 90º para eletrocalha metálica, 200x100mm, galvanizada, ref. MEGA MG 2510</t>
  </si>
  <si>
    <t>150876</t>
  </si>
  <si>
    <t>Curva horizontal 90º para eletrocalha metálica, 300x100mm, galvanizada, ref. MEGA MG 2510</t>
  </si>
  <si>
    <t>150880</t>
  </si>
  <si>
    <t>Suporte de fixação de eletroduto no teto, através de fita metálica perfurada (Walsiwa) ou equiv (1,30m), cursor (1 und), h=60cm, suporte "Y" (1 und), parafuso e bucha S8 (1 und)</t>
  </si>
  <si>
    <t>150881</t>
  </si>
  <si>
    <t>Suporte de fixação de eletrocalha de 200x100mm, na parede, através de suporte tipo mão francesa simples (1 und), parafuso e bucha S8 (2und)</t>
  </si>
  <si>
    <t>150882</t>
  </si>
  <si>
    <t>Suporte de fixação de eletrocalha de 300x100mm, na parede, através de suporte tipo mão francesa reforçada (1 und), parafuso e bucha S8 (2 und)</t>
  </si>
  <si>
    <t>150883</t>
  </si>
  <si>
    <t>Suporte de fixação de eletrocalha de 400x100mm, na parede, através de suporte tipo mão francesa reforçada (1 und), parafuso e bucha S8 (2 und)</t>
  </si>
  <si>
    <t>150884</t>
  </si>
  <si>
    <t>Suporte de fixação de eletrocalha de 200x100mm, no teto, através de gancho vertical (1 und), porca sextavada e arruela 1/4" (4 und), vergalhão rosca total 1/4" (h=60cm), cantoneira ZZ (1 und) e parafuso e bucha S8 (2 und)</t>
  </si>
  <si>
    <t>150885</t>
  </si>
  <si>
    <t>Suporte de fixação de eletrocalha de 300x100mm, no teto, através de suporte angular (1 und), porca sextavada e arruela 1/4' (4 und) , vergalhão com rosca total 1/4" (h=60cm), cantoneira ZZ (2 und) e parafuso e bucha S8 (2 und)</t>
  </si>
  <si>
    <t>150886</t>
  </si>
  <si>
    <t>Suporte de fixação de eletrocalha de 400x100mm, no teto, através de suporte angular (1 und), porca sextavada e arruela 1/4' (4 und), vergalhão rosca total 1/4" (h=60cm), cantoneira ZZ (2 und) e parafuso e bucha S8 (2 und)</t>
  </si>
  <si>
    <t>1509</t>
  </si>
  <si>
    <t>COMPOSIÇÕES INTERMEDIÁRIAS P/ ELETRICA</t>
  </si>
  <si>
    <t>150906</t>
  </si>
  <si>
    <t>Arame galvanizado 12 BWG (0.048 kg/m)</t>
  </si>
  <si>
    <t>150910</t>
  </si>
  <si>
    <t>Cabeçote de alumínio de 3/4"</t>
  </si>
  <si>
    <t>150916</t>
  </si>
  <si>
    <t>Canaleta sistema X Pial ou equivalente, inclusive conecções, 20x10x2200 mm, cod. 30801</t>
  </si>
  <si>
    <t>150918</t>
  </si>
  <si>
    <t>150932</t>
  </si>
  <si>
    <t>Receptáculo (bocal) de louça para lâmpada incandescente</t>
  </si>
  <si>
    <t>150934</t>
  </si>
  <si>
    <t>Lâmpada fluorescente 40 W</t>
  </si>
  <si>
    <t>150937</t>
  </si>
  <si>
    <t>Arame de aço 14 BWG para guia</t>
  </si>
  <si>
    <t>150964</t>
  </si>
  <si>
    <t>Lâmpada fluorescente de 20W</t>
  </si>
  <si>
    <t>150967</t>
  </si>
  <si>
    <t>Soquete para lâmpada fluorescente</t>
  </si>
  <si>
    <t>1510</t>
  </si>
  <si>
    <t>CAIXAS DE PASSAGEM EMPREGANDO ARGAMASSA DE CIMENTO, CAL E AREIA</t>
  </si>
  <si>
    <t>151001</t>
  </si>
  <si>
    <t>Caixa de passagem de alvenaria de blocos cerâmicos 10 furos 10x20x20cm dimensões de 25x25x25cm, com revestimento interno em chapisco e reboco, tampa de concreto esp.5cm e lastro de brita 5 cm</t>
  </si>
  <si>
    <t>151002</t>
  </si>
  <si>
    <t>Caixa de passagem de alvenaria de blocos cerâmicos 10 furos 10x20x20cm dimensões de 50x50x50cm, com revestimento interno em chapisco e reboco, tampa de concreto esp.5cm e lastro de brita 5 cm</t>
  </si>
  <si>
    <t>151003</t>
  </si>
  <si>
    <t>Caixa de passagem de alvenaria de blocos cerâmicos 10 furos 10x20x20cm, dimensão de 30x30x30cm, com revestimento interno em chapisco e reboco, tampa de concreto esp. 5cm e lastro de brita 5cm</t>
  </si>
  <si>
    <t>151004</t>
  </si>
  <si>
    <t>@(CANCELADA-UTILIZAR SERVIÇO 151002) - Caixa de passagem de alvenaria de blocos cerâmicos 10 furos 10x20x20cm, dimensão de 50x50x50cm, com revestimento interno em chapisco e reboco, tampa de concreto esp. 5cm e lastro de brita 5cm</t>
  </si>
  <si>
    <t>151015</t>
  </si>
  <si>
    <t>Caixa de inspeção de alvenaria de blocos cerâmicos 10 furos 10x20x20cm dimensões de 30x30x60cm, com revestimento interno em chapisco e reboco, tampa de concreto esp.5cm e lastro de brita 5 cm</t>
  </si>
  <si>
    <t>151016</t>
  </si>
  <si>
    <t>Caixa de passagem de alvenaria de blocos de concreto 9x19x39cm, dimensões de 80x80x80m, com revestimento interno em chapisco e reboco tampa de concreto esp. 5cm e lastro de brita 5cm</t>
  </si>
  <si>
    <t>151017</t>
  </si>
  <si>
    <t>Caixa de passagem de alvenaria de blocos de concreto 9x19x39cm, dimensões de 1.00x1.00x1.00m, com revestimento interno em chapisco e reboco tampa de concreto esp. 5cm e lastro de brita 5cm</t>
  </si>
  <si>
    <t>1511</t>
  </si>
  <si>
    <t>ELETRODUTOS E CONEXÕES</t>
  </si>
  <si>
    <t>151125</t>
  </si>
  <si>
    <t>Eletroduto de PVC rígido roscável, diâm. 1/2" (20mm), inclusive conexões</t>
  </si>
  <si>
    <t>151126</t>
  </si>
  <si>
    <t>151127</t>
  </si>
  <si>
    <t>151128</t>
  </si>
  <si>
    <t>Eletroduto de PVC rígido roscável, diâm. 1 1/4" (40mm), inclusive conexões</t>
  </si>
  <si>
    <t>151129</t>
  </si>
  <si>
    <t>Eletroduto de PVC rígido roscável, diâm. 1 1/2" (50mm), inclusive conexões</t>
  </si>
  <si>
    <t>151130</t>
  </si>
  <si>
    <t>151131</t>
  </si>
  <si>
    <t>Eletroduto de PVC rígido roscável, diâm. 3" (85mm), inclusive conexões</t>
  </si>
  <si>
    <t>151132</t>
  </si>
  <si>
    <t>Eletroduto flexível corrugado 3/4" , marca de referência TIGRE</t>
  </si>
  <si>
    <t>151133</t>
  </si>
  <si>
    <t>Eletroduto flexível corrugado 1", marca de referência TIGRE</t>
  </si>
  <si>
    <t>151135</t>
  </si>
  <si>
    <t>Eletroduto de PVC rígido roscável, diâm. 4" (110mm), inclusive conexões</t>
  </si>
  <si>
    <t>151136</t>
  </si>
  <si>
    <t>Eletroduto de PVC rígido roscável, diâm. 6" (164mm), inclusive conexões</t>
  </si>
  <si>
    <t>151137</t>
  </si>
  <si>
    <t>Eletroduto PEAD, cor preta, diam. 1.1/2", marca ref. Kanaflex ou equivalente</t>
  </si>
  <si>
    <t>151138</t>
  </si>
  <si>
    <t>Eletroduto PEAD, cor preta, diam. 1.1/4", marca ref. Kanaflex ou equivalente</t>
  </si>
  <si>
    <t>151139</t>
  </si>
  <si>
    <t>151140</t>
  </si>
  <si>
    <t>Eletroduto PEAD, cor preta, diam. 3", marca ref. Kanaflex ou equivalente</t>
  </si>
  <si>
    <t>151141</t>
  </si>
  <si>
    <t>Eletroduto PEAD, cor preta, diam. 4", marca ref. Kanaflex ou equivalente</t>
  </si>
  <si>
    <t>151142</t>
  </si>
  <si>
    <t>Eletroduto PEAD, cor preta, diam. 6", marca ref. Kanaflex ou equivalente</t>
  </si>
  <si>
    <t>1513</t>
  </si>
  <si>
    <t>CHAVES, FUSIVEIS E DISJUNTORES</t>
  </si>
  <si>
    <t>151301</t>
  </si>
  <si>
    <t>Mini-Disjuntor monopolar 16 A, curva C - 5KA 220/127VCA (NBR IEC 60947-2), Ref. Siemens, GE, Schneider ou equivalente</t>
  </si>
  <si>
    <t>151302</t>
  </si>
  <si>
    <t>Mini-Disjuntor monopolar 20 A, curva C - 5KA 220/127VCA (NBR IEC 60947-2), Ref. Siemens, GE, Schneider ou equivalente</t>
  </si>
  <si>
    <t>151303</t>
  </si>
  <si>
    <t>151304</t>
  </si>
  <si>
    <t>Mini-Disjuntor monopolar 32 A, curva C - 5KA 220/127VCA (NBR IEC 60947-2), Ref. Siemens, GE, Schneider ou equivalente</t>
  </si>
  <si>
    <t>151305</t>
  </si>
  <si>
    <t>Mini-Disjuntor monopolar 40 A, curva C - 5KA 220/127VCA (NBR IEC 60947-2), Ref. Siemens, GE, Schneider ou equivalente</t>
  </si>
  <si>
    <t>151306</t>
  </si>
  <si>
    <t>Mini-Disjuntor bipolar 16 A, curva C - 5KA 220/127VCA (NBR IEC 60947-2), Ref. Siemens, GE, Schneider ou equivalente</t>
  </si>
  <si>
    <t>151307</t>
  </si>
  <si>
    <t>Mini-Disjuntor bipolar 20 A, curva C - 5KA 220/127VCA (NBR IEC 60947-2), Ref. Siemens, GE, Schneider ou equivalente</t>
  </si>
  <si>
    <t>151308</t>
  </si>
  <si>
    <t>151309</t>
  </si>
  <si>
    <t>Mini-Disjuntor tripolar 16 A, curva C - 5KA 220/127VCA (NBR IEC 60947-2), Ref. Siemens, GE, Schneider ou equivalente</t>
  </si>
  <si>
    <t>151310</t>
  </si>
  <si>
    <t>Mini-Disjuntor tripolar 40 A, curva C - 5KA 220/127VCA (NBR IEC 60947-2), Ref. Siemens, GE, Schneider ou equivalente</t>
  </si>
  <si>
    <t>151311</t>
  </si>
  <si>
    <t>Mini-Disjuntor tripolar 50 A, curva C - 5KA 220/127VCA (NBR IEC 60947-2), Ref. Siemens, GE, Schneider ou equivalente</t>
  </si>
  <si>
    <t>151313</t>
  </si>
  <si>
    <t>Mini-Disjuntor tripolar 90 A, curva C - 5KA 220/127VCA (NBR IEC 60947-2), Ref. Siemens, GE, Schneider ou equivalente</t>
  </si>
  <si>
    <t>151314</t>
  </si>
  <si>
    <t>Disjuntor Compacto em caixa moldada tripolar 100 A, curva C - 15KA 240VCA (NBR IEC 60947-2), Ref. Siemens, GE, Schneider ou equivalente</t>
  </si>
  <si>
    <t>151315</t>
  </si>
  <si>
    <t>Chave blindada 600V / 160A, com terminais para cabo 70 mm2</t>
  </si>
  <si>
    <t>151316</t>
  </si>
  <si>
    <t>Mini-Disjuntor tripolar 70 A, curva C - 5KA 220/127VCA (NBR IEC 60947-2), Ref. Siemens, GE, Schneider ou equivalente</t>
  </si>
  <si>
    <t>151317</t>
  </si>
  <si>
    <t>151318</t>
  </si>
  <si>
    <t>Mini-Disjuntor monopolar 63 A, curva C - 5KA 220/127VCA (NBR IEC 60947-2), Ref. Siemens, GE, Schneider ou equivalente</t>
  </si>
  <si>
    <t>151319</t>
  </si>
  <si>
    <t>Mini-Disjuntor monopolar 70 A, curva C - 5KA 220/127VCA (NBR IEC 60947-2), Ref. Siemens, GE, Schneider ou equivalente</t>
  </si>
  <si>
    <t>151320</t>
  </si>
  <si>
    <t>Mini-Disjuntor monopolar 80 A, curva C - 10KA 240VCA (NBR IEC 60947-2), Ref. Siemens, GE, Schneider ou equivalente</t>
  </si>
  <si>
    <t>151321</t>
  </si>
  <si>
    <t>Mini-Disjuntor bipolar 25 A, curva C - 5KA 220/127VCA (NBR IEC 60947-2), Ref. Siemens, GE, Schneider ou equivalente</t>
  </si>
  <si>
    <t>151322</t>
  </si>
  <si>
    <t>151323</t>
  </si>
  <si>
    <t>Mini-Disjuntor bipolar 40 A, curva C - 5KA 220/127VCA (NBR IEC 60947-2), Ref. Siemens, GE, Schneider ou equivalente</t>
  </si>
  <si>
    <t>151324</t>
  </si>
  <si>
    <t>Mini-Disjuntor bipolar 63 A, curva C - 5KA 220/127VCA (NBR IEC 60947-2), Ref. Siemens, GE, Schneider ou equivalente</t>
  </si>
  <si>
    <t>151325</t>
  </si>
  <si>
    <t>Mini-Disjuntor bipolar 70 A, curva C - 5KA 220/127VCA (NBR IEC 60947-2), Ref. Siemens, GE, Schneider ou equivalente</t>
  </si>
  <si>
    <t>151326</t>
  </si>
  <si>
    <t>Mini-Disjuntor bipolar 80 A, curva C - 5KA 240VCA (NBR IEC 60947-2), Ref. Siemens, GE, Schneider ou equivalente</t>
  </si>
  <si>
    <t>151327</t>
  </si>
  <si>
    <t>Mini-Disjuntor tripolar 20 A, curva C - 5KA 220/127VCA (NBR IEC 60947-2), Ref. Siemens, GE, Schneider ou equivalente</t>
  </si>
  <si>
    <t>151328</t>
  </si>
  <si>
    <t>Mini-Disjuntor tripolar 25 A, curva C - 5KA 220/127VCA (NBR IEC 60947-2), Ref. Siemens, GE, Schneider ou equivalente</t>
  </si>
  <si>
    <t>151329</t>
  </si>
  <si>
    <t>Mini-Disjuntor tripolar 32 A, curva C - 5KA 220/127VCA (NBR IEC 60947-2), Ref. Siemens, GE, Schneider ou equivalente</t>
  </si>
  <si>
    <t>151330</t>
  </si>
  <si>
    <t>Mini-Disjuntor tripolar 63 A, curva C - 5KA 220/127VCA (NBR IEC 60947-2), Ref. Siemens, GE, Schneider ou equivalente</t>
  </si>
  <si>
    <t>151331</t>
  </si>
  <si>
    <t>Mini-Disjuntor tripolar 80 A, curva C - 5KA 240VCA (NBR IEC 60947-2), Ref. Siemens, GE, Schneider ou equivalente</t>
  </si>
  <si>
    <t>151332</t>
  </si>
  <si>
    <t>Disjuntor caixa moldada termomagnético tripolar 125 A</t>
  </si>
  <si>
    <t>151333</t>
  </si>
  <si>
    <t>Disjuntor Compacto em caixa moldada tripolar 175 A, 50KA 220/240V / 25KA 380/415V (NBR IEC 60947-2), Ref. Siemens, GE, Schneider ou equivalente</t>
  </si>
  <si>
    <t>151334</t>
  </si>
  <si>
    <t>Disjuntor Compacto em caixa moldada tripolar 200 A, 50KA 220/240V / 25KA 380/415V 20KA/440V (NBR IEC 60947-2), Ref. Siemens, GE, Schneider ou equivalente</t>
  </si>
  <si>
    <t>151335</t>
  </si>
  <si>
    <t>Disjuntor Compacto em caixa moldada tripolar 400 A, 65KA 220/240V / 36KA 380/415V 35KA 440/460V 25KA 600V (NBR IEC 60947-2), Ref. Siemens, GE, Schneider ou equivalente</t>
  </si>
  <si>
    <t>151336</t>
  </si>
  <si>
    <t>Disjuntor DR bipolar 16A a 25A, corrente nominal 30 mA</t>
  </si>
  <si>
    <t>151337</t>
  </si>
  <si>
    <t>Dispositivo de proteção contra surto (DPS) bipolar, tensão nominal máxima 275VCA, corente de surto máxima 40KA.</t>
  </si>
  <si>
    <t>151338</t>
  </si>
  <si>
    <t>151339</t>
  </si>
  <si>
    <t>Mini-Disjuntor tripolar 125 A, curva C - 15KA 240VCA (NBR IEC 60947-2), Ref. Siemens, GE, Schneider ou equivalente</t>
  </si>
  <si>
    <t>151340</t>
  </si>
  <si>
    <t>Chave blindada tripolar 600V/125A</t>
  </si>
  <si>
    <t>151341</t>
  </si>
  <si>
    <t>Chave blindada tripolar 600V/200A</t>
  </si>
  <si>
    <t>151342</t>
  </si>
  <si>
    <t>Chave blindada tripolar 600V/400A</t>
  </si>
  <si>
    <t>151343</t>
  </si>
  <si>
    <t>Chave blindada tripolar 600V/800A</t>
  </si>
  <si>
    <t>151344</t>
  </si>
  <si>
    <t>Fusivel NH 100A, tamanho 01</t>
  </si>
  <si>
    <t>151345</t>
  </si>
  <si>
    <t>Fusive NH 160A, tamanho 01</t>
  </si>
  <si>
    <t>151346</t>
  </si>
  <si>
    <t>Fusive NH 250A, tamanho 02</t>
  </si>
  <si>
    <t>151347</t>
  </si>
  <si>
    <t>Fusive NH 300A, tamanho 02</t>
  </si>
  <si>
    <t>151348</t>
  </si>
  <si>
    <t>Fusive NH 355A, tamanho 02</t>
  </si>
  <si>
    <t>151349</t>
  </si>
  <si>
    <t>Fusive NH 125A, tamanho 01</t>
  </si>
  <si>
    <t>151350</t>
  </si>
  <si>
    <t>Interruptor Diferencial DR 16A a 25A, 30mA, 2 módulos</t>
  </si>
  <si>
    <t>151351</t>
  </si>
  <si>
    <t>Interruptor Diferencial DR 30A a 40A, 30mA, 2 módulos</t>
  </si>
  <si>
    <t>1514</t>
  </si>
  <si>
    <t>151401</t>
  </si>
  <si>
    <t>151402</t>
  </si>
  <si>
    <t>151403</t>
  </si>
  <si>
    <t>151404</t>
  </si>
  <si>
    <t>Fio ou cabo de cobre termoplástico, com isolamento para 750V, seção de 6.0 mm2</t>
  </si>
  <si>
    <t>151405</t>
  </si>
  <si>
    <t>Fio ou cabo de cobre termoplástico, com isolamento para 750V, seção de 10.0 mm2</t>
  </si>
  <si>
    <t>151406</t>
  </si>
  <si>
    <t>Fio ou cabo de cobre termoplástico, com isolamento para 750V, seção de 16.0 mm2</t>
  </si>
  <si>
    <t>151407</t>
  </si>
  <si>
    <t>Cabo de cobre termoplástico, com isolamento para 750V, seção de 25.0 mm2</t>
  </si>
  <si>
    <t>151413</t>
  </si>
  <si>
    <t>151414</t>
  </si>
  <si>
    <t>Cabo de cobre nú, seção de 10.0 mm2</t>
  </si>
  <si>
    <t>151417</t>
  </si>
  <si>
    <t>151418</t>
  </si>
  <si>
    <t>Cabo de cobre termoplástico, com isolamento para 1000V, seção de 4.0 mm2</t>
  </si>
  <si>
    <t>151419</t>
  </si>
  <si>
    <t>Cabo de cobre termoplástico, com isolamento para 1000V, seção de 6 mm2</t>
  </si>
  <si>
    <t>151420</t>
  </si>
  <si>
    <t>151421</t>
  </si>
  <si>
    <t>151422</t>
  </si>
  <si>
    <t>Cabo de cobre termoplástico, com isolamento para 1000V, seção de 25.0 mm2</t>
  </si>
  <si>
    <t>151423</t>
  </si>
  <si>
    <t>Cabo de cobre termoplástico, com isolamento para 1000V, seção de 35.0 mm2</t>
  </si>
  <si>
    <t>151425</t>
  </si>
  <si>
    <t>Cabo de cobre termoplástico, com isolamento para 1000V, seção de 50 mm2</t>
  </si>
  <si>
    <t>151426</t>
  </si>
  <si>
    <t>Cabo de cobre termoplástico, com isolamento para 1000V, seção de 95.0 mm2</t>
  </si>
  <si>
    <t>151427</t>
  </si>
  <si>
    <t>Cabo de cobre termoplástico, com isolamento para 1000V, seção de 120.0 mm2</t>
  </si>
  <si>
    <t>151428</t>
  </si>
  <si>
    <t>Cabo de cobre termoplástico, com isolamento para 1000V, seção de 300.0 mm2</t>
  </si>
  <si>
    <t>151429</t>
  </si>
  <si>
    <t>Cabo de cobre termoplástico, com isolamento para 1000V, seção de 70,0mm2</t>
  </si>
  <si>
    <t>151430</t>
  </si>
  <si>
    <t>Cabo de cobre termoplástico, com isolamento para 1000V, seção de 150,0mm2</t>
  </si>
  <si>
    <t>151431</t>
  </si>
  <si>
    <t>Cabo de cobre termoplástico, com isolamento para 1000V, seção de 185,0mm2</t>
  </si>
  <si>
    <t>151432</t>
  </si>
  <si>
    <t>Cabo de cobre termoplástico, com isolamento para 1000V, seção de 240,0mm2</t>
  </si>
  <si>
    <t>151433</t>
  </si>
  <si>
    <t>Cabo de cobre termoplástico, com isolamento para 15KV, seção de 25,0mm2</t>
  </si>
  <si>
    <t>151434</t>
  </si>
  <si>
    <t>Cabo de cobre termoplástico, com isolamento para 15KV, seção de 35,0mm2</t>
  </si>
  <si>
    <t>151438</t>
  </si>
  <si>
    <t>Fio ou cabo paralelo de cobre, com isolamento para 1000V, seção de 2 x 2.5 mm2</t>
  </si>
  <si>
    <t>151439</t>
  </si>
  <si>
    <t>Cabo paralelo PP de cobre, com isolamento para 1000V, seção 3x2,5mm2</t>
  </si>
  <si>
    <t>151440</t>
  </si>
  <si>
    <t>Cabo paralelo PP de cobre, com isolamento para 1000V, seção 3x4,0mm2</t>
  </si>
  <si>
    <t>1515</t>
  </si>
  <si>
    <t>SERVIÇOS DIVERSOS</t>
  </si>
  <si>
    <t>151503</t>
  </si>
  <si>
    <t>Cabeçote de alumínio de 1 1/4"</t>
  </si>
  <si>
    <t>151504</t>
  </si>
  <si>
    <t>Cabeçote de alumínio de 1 1/2"</t>
  </si>
  <si>
    <t>151506</t>
  </si>
  <si>
    <t>151507</t>
  </si>
  <si>
    <t>Sapatilha</t>
  </si>
  <si>
    <t>151508</t>
  </si>
  <si>
    <t>Bucha e arruela de alumínio fundido diâmetro 20mm (3/4")</t>
  </si>
  <si>
    <t>151509</t>
  </si>
  <si>
    <t>Bucha e arruela de alumínio fundido diâmetro 25mm (1")</t>
  </si>
  <si>
    <t>151510</t>
  </si>
  <si>
    <t>Bucha e arruela de alumínio fundido diâmetro 40mm (1 1/2")</t>
  </si>
  <si>
    <t>151511</t>
  </si>
  <si>
    <t>Bucha e arruela de alumínio fundido diâmetro 80mm (3")</t>
  </si>
  <si>
    <t>151512</t>
  </si>
  <si>
    <t>Automático de bóia, 2 funções 25A</t>
  </si>
  <si>
    <t>151513</t>
  </si>
  <si>
    <t>Parafuso de máquina de ferro galvanizado diâmetro 16mm</t>
  </si>
  <si>
    <t>1516</t>
  </si>
  <si>
    <t>151601</t>
  </si>
  <si>
    <t>Abertura e fechamento de rasgos em alvenaria, para passagem de eletrodutos diâm. 1/2" a 1"</t>
  </si>
  <si>
    <t>151602</t>
  </si>
  <si>
    <t>Abertura e fechamento de rasgos em alvenaria, para passagem de eletroduto diâm. 1 1/4"a 2"</t>
  </si>
  <si>
    <t>151603</t>
  </si>
  <si>
    <t>Abertura e fechamento de rasgos em alvenaria, para passagem de eletroduto diâm. 2 1/2" a 4"</t>
  </si>
  <si>
    <t>151604</t>
  </si>
  <si>
    <t>Abertura e fechamento de rasgos em concreto, para passagem de eletroduto diâm. 1/2" a 1"</t>
  </si>
  <si>
    <t>151605</t>
  </si>
  <si>
    <t>Abertura e fechamento de rasgos em concreto, para passagem de eletroduto diâm. 1 1/4" a 2"</t>
  </si>
  <si>
    <t>151606</t>
  </si>
  <si>
    <t>Abertura e fechamento de rasgos em concreto, para passagem de eletroduto diâm. 2 1/2" a 4"</t>
  </si>
  <si>
    <t>1517</t>
  </si>
  <si>
    <t>PADRAO DE ENTRADA DE ENERGIA - NORTEC-01 - ESCELSA</t>
  </si>
  <si>
    <t>151701</t>
  </si>
  <si>
    <t>Padrão de entrada de energia elétrica, monofásico, entrada aérea, a 2 fios, carga instalada em muro de 3500 até 9000W - 220/127V</t>
  </si>
  <si>
    <t>151702</t>
  </si>
  <si>
    <t>Padrão de entrada de energia elétrica, bifásico, entrada aérea, a 3 fios, carga instalada em muro de 9001 até 15000W - 220/127V</t>
  </si>
  <si>
    <t>151703</t>
  </si>
  <si>
    <t>Padrão de entrada de energia elétrica, trifásico, entrada aérea, a 4 fios, carga instalada em muro de 15001 até 26000W - 220/127V</t>
  </si>
  <si>
    <t>151704</t>
  </si>
  <si>
    <t>Padrão de entrada de energia elétrica, trifásico, entrada aérea, a 4 fios, carga instalada em muro de 26001 até 34000W - 220/127V</t>
  </si>
  <si>
    <t>151705</t>
  </si>
  <si>
    <t>Padrão de entrada de energia elétrica, trifásico, entrada aérea, a 4 fios, carga instalada em muro de 34001 até 41000W - 220/127V</t>
  </si>
  <si>
    <t>151706</t>
  </si>
  <si>
    <t>Padrão de entrada de energia elétrica, trifásico, entrada aérea, a 4 fios, carga instalada em muro de 41001 até 47000W - 220/127V</t>
  </si>
  <si>
    <t>151707</t>
  </si>
  <si>
    <t>Padrão de entrada de energia elétrica, trifásico, entrada subterrânea, a 4 fios, carga instalada em muro de 41001 até 47000W - 220/127V, exclusive derivação de ramal de entrada subterrânea</t>
  </si>
  <si>
    <t>151708</t>
  </si>
  <si>
    <t>Padrão de entrada de energia elétrica, trifásico, entrada aérea, a 4 fios, carga instalada em muro de 47001 até 57000W - 220/127V</t>
  </si>
  <si>
    <t>151709</t>
  </si>
  <si>
    <t>Padrão de entrada de energia elétrica, trifásico, entrada subterrânea, a 4 fios, carga instalada em muro de 47001 até 57000W - 220/127V, exclusive derivação de ramal de entrada subterrânea</t>
  </si>
  <si>
    <t>151710</t>
  </si>
  <si>
    <t>Padrão de entrada de energia elétrica, trifásico, entrada aérea, a 4 fios, carga instalada em muro de 57001 até 75000W - 220/127V</t>
  </si>
  <si>
    <t>151711</t>
  </si>
  <si>
    <t>Padrão de entrada de energia elétrica, trifásico, entrada subterrânea, a 4 fios, carga instalada em muro de 57001 até 75000W - 220/127V, exclusive derivação de ramal de entrada subterrânea</t>
  </si>
  <si>
    <t>151712</t>
  </si>
  <si>
    <t>Subestação ext. aérea trifás. 75KVA, completa, c/ quadros de medição, transf. a óleo, chave geral tripolar, poste e acessórios, conf. NOR-TEC-01 da Escelsa, incl. mureta rev. c/ arg. cimento, cal hidrat. CH1 e areia traço 1:0.5:6</t>
  </si>
  <si>
    <t>151713</t>
  </si>
  <si>
    <t>Subestação ext. aérea trifás. 112.5KVA, completa, c/ quadros de medição, transf. a óleo, chave geral trip., poste e acessórios, conf. NOR-TEC-01 da Escelsa, incl. mureta rev. c/ arg. cimento, cal hidrat. CH1 e areia traço 1:0.5:6</t>
  </si>
  <si>
    <t>151714</t>
  </si>
  <si>
    <t>Subestação ext. aérea trifás. 150KVA, completa, c/ quadros de medição, transf. a óleo, chave geral trip., poste e acessórios, conf. NOR-TEC-01 da Escelsa, incl. mureta rev. c/ arg. cimento, cal hidrat. CH1 e areia traço 1:0.5:6</t>
  </si>
  <si>
    <t>151715</t>
  </si>
  <si>
    <t>Subestação ext. aérea trifás. 225KVA, completa, c/ quadros de medição, transf. a óleo, chave geral trip., poste e acessórios, conf. NOR-TEC-01 da Escelsa, incl. mureta rev. c/ arg. cimento, cal hidrat. CH1 e areia traço 1:0.5:6</t>
  </si>
  <si>
    <t>1518</t>
  </si>
  <si>
    <t>PONTOS ELETRICOS REVISAO NR-10</t>
  </si>
  <si>
    <t>151801</t>
  </si>
  <si>
    <t>Ponto padrão de luz no teto - considerando eletroduto PVC rígido de 3/4" inclusive conexões (4.5m), fio isolado PVC de 2.5mm2 (16.2m) e caixa PVC 4x4" (1 und)</t>
  </si>
  <si>
    <t>151802</t>
  </si>
  <si>
    <t>Ponto padrão de luz na parede - considerando eletroduto PVC rígido de 3/4" inclusive conexões (4.5m), fio isolado PVC de 2.5mm2 (16.2m) e caixa pvc 4x2" (1 und)</t>
  </si>
  <si>
    <t>151803</t>
  </si>
  <si>
    <t>Ponto padrão de tomada 2 pólos mais terra - considerando eletroduto PVC rígido de 3/4" inclusive conexões (5.0m), fio isolado PVC de 2.5mm2 (16.5m) e caixa pvc 4x2" (1 und)</t>
  </si>
  <si>
    <t>151805</t>
  </si>
  <si>
    <t>Ponto padrão de tomada para chuveiro elétrico - considerando eletroduto PVC rígido de 3/4" inclusive conexões (9.0m), fio isolado PVC de 6.0mm2 (32.5m) e caixa PVC 4x2" (1 und)</t>
  </si>
  <si>
    <t>151806</t>
  </si>
  <si>
    <t>Ponto padrão de tomada para ar refrigerado - considerando eletroduto PVC rígido de 3/4" inclusive conexões (6.0m), fio isolado PVC de 4.0mm2 (21.6m) e caixa PVC 4x2" (1 und)</t>
  </si>
  <si>
    <t>151807</t>
  </si>
  <si>
    <t>Ponto padrão de ventilador no teto - considerando eletroduto PVC rígido de 3/4" inclusive conexões (4.5m), fio isolado PVC de 2.5mm2 (21.6m) e caixa PVC 4x4" (1 und)</t>
  </si>
  <si>
    <t>151809</t>
  </si>
  <si>
    <t>Ponto padrão de interruptor de 2 teclas simples - considerando eletroduto PVC rígido de 3/4" inclusive conexões (3.3m), fio isolado PVC de 2.5mm2 (17.2m) e caixa PVC 4x2" (1 und)</t>
  </si>
  <si>
    <t>151810</t>
  </si>
  <si>
    <t>Ponto padrão de interruptor de 1 tecla paralelo - considerando eletroduto PVC rígido de 3/4" inclusive conexões (8.5m), fio isolado PVC de 2.5mm2 (28.8m) e caixa PVC 4x2" (1 und)</t>
  </si>
  <si>
    <t>151811</t>
  </si>
  <si>
    <t>Ponto padrão de interruptor de 1 tecla simples e 1 tomada dois pólos mais terra 10A/250V - considerando eletroduto PVC rígido de 3/4" inclusive conexões (4.5m), fio isolado PVC de 2.5mm2 (19.4m) e caixa PVC 4x2" (1 und)</t>
  </si>
  <si>
    <t>151812</t>
  </si>
  <si>
    <t>Ponto padrão de interruptor de 2 teclas simples e 1 tomada dois pólos mais terra 10A/250V - considerando eletroduto PVC rígido de 3/4" inclusive conexões (4.5m), fio isolado PVC de 2.5mm2 (22.9m) e caixa PVC 4x2" (1 und)</t>
  </si>
  <si>
    <t>151813</t>
  </si>
  <si>
    <t>Ponto padrão de campainha - considerando eletroduto PVC rígido de 3/4" inclusive conexões (5.0m), fio isolado PVC de 2.5mm2 (12.0m) e caixa PVC 4x2" (1 und)</t>
  </si>
  <si>
    <t>151814</t>
  </si>
  <si>
    <t>Ponto padrão de poste para iluminação externa - considerando eletroduto PVC rígido de 3/4" inclusive conexões (7.7m) e fio isolado PVC de 2.5mm2 (25.2.0m)</t>
  </si>
  <si>
    <t>151815</t>
  </si>
  <si>
    <t>Ponto padrão de interruptor para ventilador - considerando eletroduto PVC rígido de 3/4" inclusive conexões (3.3m), fio isolado PVC de 2.5mm2 (12.0m) e caixa PVC 4x2" (1 und)</t>
  </si>
  <si>
    <t>151816</t>
  </si>
  <si>
    <t>Ponto padrão de interruptor de 3 teclas simples - considerando eletroduto PVC rígido de 3/4" inclusive conexões (4.5m), fio isolado PVC de 2.5mm2 (25.8m) e caixa PVC 4x2" (1 und)</t>
  </si>
  <si>
    <t>151817</t>
  </si>
  <si>
    <t>Ponto padrão de tomada de piso - considerando eletroduto PVC rígido de 3/4" inclusive conexões (5.0m), fio isolado PVC de 2.5mm2 (18.0m) e caixa alumínio silício 4x4" (1 und)</t>
  </si>
  <si>
    <t>151819</t>
  </si>
  <si>
    <t>Ponto de antena de TV - considerando eletroduto PVC rígido de 3/4" inclusive conexões (3.0m), cabo coaxial 67 Ohms (4.5m) e caixa PVC 4x2" (1 und)</t>
  </si>
  <si>
    <t>151820</t>
  </si>
  <si>
    <t>Ponto padrão de interruptor de 1 tecla intermediário - considerando eletroduto PVC rígido de 3/4" inclusive conexões (3.3m), fio isolado PVC de 2.5mm2 (15.8m) e caixa PVC 4x2" (1 und)</t>
  </si>
  <si>
    <t>1519</t>
  </si>
  <si>
    <t>QUADROS DE DISTRIBUIÇÃO COM BARRAMENTO, TRINCO E FECHADURA</t>
  </si>
  <si>
    <t>151901</t>
  </si>
  <si>
    <t>Quadro distrib. energia, embutido ou semi embutido, capac. p/ 16 disj. DIN, c/barram trif. 100A barra. neutro e terra, fab. em chapa de aço 12 USG com porta, espelho, trinco com fechad ch yale, Ref. QDTN II-16DIN-CEMAR ou equiv.</t>
  </si>
  <si>
    <t>151902</t>
  </si>
  <si>
    <t>Quadro distrib. energia, embutido ou semi embutido, capac. p/ 28 disj. DIN, c/barram trif. 100A barra. neutro e terra, fab. em chapa de aço 12 USG com porta, espelho, trinco com fechad ch yale, Ref. QDTN II-28DIN-CEMAR ou equiv.</t>
  </si>
  <si>
    <t>151903</t>
  </si>
  <si>
    <t>Quadro distrib. energia, embutido ou semi embutido, capac. p/ 34 disj. DIN, c/barram trif. 100A barra. neutro e terra, fab. em chapa de aço 12 USG com porta, espelho, trinco com fechad ch yale, Ref. QDTN II-34DIN-CEMAR ou equiv</t>
  </si>
  <si>
    <t>151904</t>
  </si>
  <si>
    <t>Quadro distrib. energia, embutido ou semi embutido, capac. p/ 44 disj. DIN, c/barram trif. 100A barra. neutro e terra, fab. em chapa de aço 12 USG com porta, espelho, trinco com fechad ch yale, Ref. QDTN II-44DIN-CEMAR ou equiv</t>
  </si>
  <si>
    <t>151905</t>
  </si>
  <si>
    <t>Quadro distrib. energia, embutido ou semi embutido, capac. p/ 54 disj. DIN, c/barram trif. 100A barra. neutro e terra, fab. em chapa de aço 12 USG com porta, espelho, trinco com fechad ch yale, Ref. QDTN II-54DIN-CEMAR</t>
  </si>
  <si>
    <t>1520</t>
  </si>
  <si>
    <t>TERMINAIS, CONECTORES E ABRAÇADEIRAS</t>
  </si>
  <si>
    <t>152001</t>
  </si>
  <si>
    <t>Terminal para ligação de cabo a barra até 4.0mm2</t>
  </si>
  <si>
    <t>152002</t>
  </si>
  <si>
    <t>Terminal para ligação de cabo a barra de 6.0 mm2</t>
  </si>
  <si>
    <t>152003</t>
  </si>
  <si>
    <t>Terminal para ligação de cabo a barra de 10.0 mm2</t>
  </si>
  <si>
    <t>152004</t>
  </si>
  <si>
    <t>Terminal para ligação de cabo a barra de 16.0 mm2</t>
  </si>
  <si>
    <t>152005</t>
  </si>
  <si>
    <t>Terminal para ligação de cabo a barra de 25.0 mm2</t>
  </si>
  <si>
    <t>152006</t>
  </si>
  <si>
    <t>Terminal para ligação de cabo a barra de 35.0 mm2</t>
  </si>
  <si>
    <t>152007</t>
  </si>
  <si>
    <t>Terminal para ligação de cabo a barra de 50.0 mm2</t>
  </si>
  <si>
    <t>152010</t>
  </si>
  <si>
    <t>Terminal para ligação de cabo a barra de 70 mm2</t>
  </si>
  <si>
    <t>152011</t>
  </si>
  <si>
    <t>Terminal para ligação de cabo a barra de 95 mm2</t>
  </si>
  <si>
    <t>152012</t>
  </si>
  <si>
    <t>Terminal para ligação de cabo a barra de 120 mm2</t>
  </si>
  <si>
    <t>152013</t>
  </si>
  <si>
    <t>Terminal para ligação de cabo a barra de 150 mm2</t>
  </si>
  <si>
    <t>152014</t>
  </si>
  <si>
    <t>Terminal para ligação de cabo a barra de 185 mm2</t>
  </si>
  <si>
    <t>152015</t>
  </si>
  <si>
    <t>Terminal para ligação de cabo a barra de 240 mm2</t>
  </si>
  <si>
    <t>152016</t>
  </si>
  <si>
    <t>Terminal para ligação de cabo a barra de 300 mm2</t>
  </si>
  <si>
    <t>152025</t>
  </si>
  <si>
    <t>Terminal para ligação de cabo a barra duplo de 185 mm2</t>
  </si>
  <si>
    <t>152026</t>
  </si>
  <si>
    <t>Terminal para ligação de cabo a barra duplo de 240 mm2</t>
  </si>
  <si>
    <t>152027</t>
  </si>
  <si>
    <t>Terminal para ligação de cabo a barra duplo de 300 mm2</t>
  </si>
  <si>
    <t>152030</t>
  </si>
  <si>
    <t>Conector split bolt para cabo de 4.0 mm2</t>
  </si>
  <si>
    <t>152031</t>
  </si>
  <si>
    <t>Conector split bolt para cabo de 35.0 mm2</t>
  </si>
  <si>
    <t>152033</t>
  </si>
  <si>
    <t>Conector porcelana 3 polos para cabos de #4,0mm2</t>
  </si>
  <si>
    <t>152034</t>
  </si>
  <si>
    <t>Conector porcelana 3 polos para cabo de #6,0mm2</t>
  </si>
  <si>
    <t>152035</t>
  </si>
  <si>
    <t>Conector porcelana 3 polos para cabos de #10,0mm2</t>
  </si>
  <si>
    <t>152040</t>
  </si>
  <si>
    <t>Prensa cabos para eletroduto 1/2"</t>
  </si>
  <si>
    <t>152041</t>
  </si>
  <si>
    <t>Prensa cabos para eletroduto 3/4"</t>
  </si>
  <si>
    <t>152042</t>
  </si>
  <si>
    <t>Prensa cabos para eletroduto de 1"</t>
  </si>
  <si>
    <t>16</t>
  </si>
  <si>
    <t>OUTRAS INSTALAÇÕES</t>
  </si>
  <si>
    <t>1601</t>
  </si>
  <si>
    <t>INSTALAÇÃO DE TELEFONE</t>
  </si>
  <si>
    <t>160105</t>
  </si>
  <si>
    <t>Caixa de telefone em chapa de aço padrão TELEBRAS N. 6, 1200x1200x150 mm, com fundo de madeira</t>
  </si>
  <si>
    <t>160106</t>
  </si>
  <si>
    <t>Aterramento com haste de terra 5/8"x2.40m, cabo de cobre nú 6mm2 em caixa de concreto de dimensões internas de 30x30x30cm</t>
  </si>
  <si>
    <t>160108</t>
  </si>
  <si>
    <t>Caixa de telefone em chapa de aço padrão TELEBRAS do tipo CIE-2 200x200x120mm</t>
  </si>
  <si>
    <t>160110</t>
  </si>
  <si>
    <t>Caixa de telefone em chapa de aço padrão TELEBRAS do tipo CIE-4 600x600x120 mm</t>
  </si>
  <si>
    <t>160111</t>
  </si>
  <si>
    <t>160115</t>
  </si>
  <si>
    <t>Cabo telefônico CI, diâmetro do condutor 50mm, 30 pares</t>
  </si>
  <si>
    <t>160120</t>
  </si>
  <si>
    <t>1602</t>
  </si>
  <si>
    <t>INSTALAÇÃO DE GÁS</t>
  </si>
  <si>
    <t>160207</t>
  </si>
  <si>
    <t>Abrigo de gás para 2 cilindros 45 Kg, exec. em alv. bloco conc cheio,dim 1,50x0.85x2.10m, inclusive cilindros e rede interna do abrigo compreendendo tubos e válvulas de esfera que interligam os cilindros</t>
  </si>
  <si>
    <t>160208</t>
  </si>
  <si>
    <t>Abrigo de gás para 4 cilindros 45Kg , exec. em alv bloco concreto, dim.4.05x0,85x2.10m, inclusive cilindros e rede interna do abrigo compreendendo tubos e válvulas de esfera que interligam os cilindros</t>
  </si>
  <si>
    <t>1603</t>
  </si>
  <si>
    <t>INSTALAÇÃO DE PÁRA-RAIO</t>
  </si>
  <si>
    <t>160303</t>
  </si>
  <si>
    <t>Aterramento com haste terra 5/8" x 2.40, cabo de cobre nu 6mm2, inclusive caixa de concreto 30 x 30 cm</t>
  </si>
  <si>
    <t>160304</t>
  </si>
  <si>
    <t>Pára-raios tipo franklim incluindo base de fixação, conjunto de contraventagem c/abraçadeira p/3 estais em tubo e demais acessórios c/exceção do cabo de cobre de descida e suportes isoladores</t>
  </si>
  <si>
    <t>160305</t>
  </si>
  <si>
    <t>Condutor de cobre nú, seção de 35mm2, inclusive suportes isoladores e acessórios de fixação, conforme projeto</t>
  </si>
  <si>
    <t>160308</t>
  </si>
  <si>
    <t>Cabo condutor de cobre eletrolítico nu, tempera meio dura, encordoamento classe 2, para aterramento, diam. 50mm2</t>
  </si>
  <si>
    <t>160309</t>
  </si>
  <si>
    <t>Terminal aéreo em latão (minicaptor), com conector e fixação horizontal 250mm x 10mm, ref. TEL-2024, inclusive vedação dos furos com poliuretano ref. TEL 5905, marca de ref. Termotécnica ou equivalente</t>
  </si>
  <si>
    <t>160310</t>
  </si>
  <si>
    <t>Conector de medição em latão com 2 parafusos para cabos de 16 a 50 mm2, ref. TEL-562, Termotécnica ou equivalente</t>
  </si>
  <si>
    <t>160311</t>
  </si>
  <si>
    <t>160312</t>
  </si>
  <si>
    <t>Kit completo para solda Exotérmica (Molde HCL 5/8" Ref: TEL905611 / Cartucho n° 115 Ref: TEL 909115 / Alicate Z 201 Ref: TEL 998201), marca de referência Termotécnica ou equivalente</t>
  </si>
  <si>
    <t>160313</t>
  </si>
  <si>
    <t>Fixador universal latão estanhado p/ cabos 16 a 70 mm2 ref. 5024, incl. parafuso sextavado M6x45mm, arruela lisa 1/4", bucha nº8, vedação dos furos c/ poliuretano ref. 5905, marca de ref. Termotécnica ou equivalente</t>
  </si>
  <si>
    <t>160314</t>
  </si>
  <si>
    <t>Mastro simples 3mx1.1/2", uma descida, incl. base de fixação, captor, conj.de contraventagem c/abraçadeira p/3 estais em tubo e demais acessórios, excl. cabo de cobre de descida e suportes isoladores, ref.Termotécnica ou equiv.</t>
  </si>
  <si>
    <t>160315</t>
  </si>
  <si>
    <t>Mastro telescópico 5mx2", uma descida, incl. base de fixação, captor, conj.de contraventagem c/abraçadeira p/3 estais em tubo e demais acessórios excl. cabo de cobre de descida e suportes isoladores, ref. Termotécnica ou equiv.</t>
  </si>
  <si>
    <t>160316</t>
  </si>
  <si>
    <t>Caixa de inspeção em PVC, diâmetro 300 mm, ref TEL-552, marca de referência Termotécnica ou equivalente, inclusive escavação e reaterro</t>
  </si>
  <si>
    <t>160317</t>
  </si>
  <si>
    <t>Cabo de cobre nú 50mm2, ref. TEL 5750, marca de referência Termotécnica ou equivalente</t>
  </si>
  <si>
    <t>160318</t>
  </si>
  <si>
    <t>Cabo de cobre nú 35mm2, ref. TEL 5735, marca de referência Termotécnica ou equivalente</t>
  </si>
  <si>
    <t>160319</t>
  </si>
  <si>
    <t>Presilha de latão ref. 744, inclusive parafuso fenda DN 4,2x32mm e bucha nylon DN 6mm e vedação dos furos com poliuretano ref. 5905, marca de ref. Termotécnica ou equivalente</t>
  </si>
  <si>
    <t>160321</t>
  </si>
  <si>
    <t>Tampa reforçada em ferro fundido com escotilha TEL 536, inclusive assentamento, marca de referência Termotécnica ou equivalente</t>
  </si>
  <si>
    <t>160322</t>
  </si>
  <si>
    <t>Abraçadeira tipo "D" com cunha, diâmetro 1", ref. TEL-095, marca de referência Termotécnica ou equivalente</t>
  </si>
  <si>
    <t>160323</t>
  </si>
  <si>
    <t>Tampão para eletroduto 1", ref. TEL-5533, marca de referência Termotécnica ou equivalente</t>
  </si>
  <si>
    <t>160324</t>
  </si>
  <si>
    <t>Caixa de equalização de potenciais para uso interno e externo com cinco (5) terminais para aterramento (BEP), em polipropileno, ref. TEL-902, marca de referência Termotécnica ou equivalente</t>
  </si>
  <si>
    <t>160325</t>
  </si>
  <si>
    <t>Caixa de equalização de potenciais para uso interno e externo com nove (9) terminais para aterramento (BEP), em aço, com flange inferior e vedação na porta, ref. TEL-903, marca de referência Termotécnica ou equivalente</t>
  </si>
  <si>
    <t>160326</t>
  </si>
  <si>
    <t>Barra chata em alumínio 7/8"x1/8" (70mm²), com furos diâmetro 7 mm ref. TEL-771, marca de referência Termotécnica ou equivalente</t>
  </si>
  <si>
    <t>160327</t>
  </si>
  <si>
    <t>Barra chata em aço galvanizado a fogo 7/8"x1/8" (70mm²), com furos diâm. 7mm ref. TEL-761, marca de referência Termotécnica ou equivalente</t>
  </si>
  <si>
    <t>160328</t>
  </si>
  <si>
    <t>Terminal estanhado de 1 compressão 1 furo, 35mm², ref. TEL-5135, marca de referência Termotécnica ou equivalente</t>
  </si>
  <si>
    <t>160329</t>
  </si>
  <si>
    <t>Curva 90º de barra chata em alumínio 7/8"x1/8"x300mm, 70mm², ref. TEL-778, marca de referência Termotécnica ou equivalente</t>
  </si>
  <si>
    <t>160330</t>
  </si>
  <si>
    <t>Fixador ômega em latão ref. 733, inclusive parafuso fenda DN 4,2x32mm, bucha nylon DN 6mm e vedação dos furos com poliuretano ref. 5905, marca de ref. Termotécnica ou equivalente</t>
  </si>
  <si>
    <t>160331</t>
  </si>
  <si>
    <t>Cordoalha flexível 25x100 mm, com dois furos, diâmetro 11 mm, ref. TEL-5701, marca de referência Termotécnica ou equivalente</t>
  </si>
  <si>
    <t>160332</t>
  </si>
  <si>
    <t>Fita perfurada em latão niquelado 20mm x 0,8mm, para equalização de potenciais, ref. TEL-750, marca de referência Termotécnica ou equivalente</t>
  </si>
  <si>
    <t>160333</t>
  </si>
  <si>
    <t>Cabo de cobre nú 50 mm2, ref. TEL-5750, marca de referência Termotécnica ou equivalente, inclusive abertura e fechamento de vala para cabo dimensões 50x20cm</t>
  </si>
  <si>
    <t>160334</t>
  </si>
  <si>
    <t>Terminal estanhado de 1 compressão 1 furo, 50mm², ref. TEL-5150, marca de referência Termotécnica ou equivalente</t>
  </si>
  <si>
    <t>160335</t>
  </si>
  <si>
    <t>Chapa perfurada(tela casa da moeda) BELINOX, largura 245 mm, espessura 1.5mm, ref. TEL-754, marca de referência Termotécnica ou equivalente</t>
  </si>
  <si>
    <t>1606</t>
  </si>
  <si>
    <t>INSTALAÇÃO DE INCÊNDIO</t>
  </si>
  <si>
    <t>160602</t>
  </si>
  <si>
    <t>Hidrante de parede, com abrigo em chapa, 60x90x17cm, com suporte e mangueira 20m 63mm, adaptador rosca fêmea e engate rápido, esguicho em latão regulavel, registro globo angular 45º/ 63mm</t>
  </si>
  <si>
    <t>160603</t>
  </si>
  <si>
    <t>Hidrante de recalque no passeio em caixa metálica de 40x60x40cm, incl. registro globo angular 90º de 63mm, adaptador p/ engate rápido e tampa c/ corrente</t>
  </si>
  <si>
    <t>160604</t>
  </si>
  <si>
    <t>Extintor de incêndio de água pressurizada capacidade 2A (10L), inclusive suporte para fixação e EXCLUSIVE placa sinalizadora em PVC Fotoluminescente</t>
  </si>
  <si>
    <t>160605</t>
  </si>
  <si>
    <t>Extintor de incêndio portátil de pó químico ABC com capacidade 2A-20B:C (6 kg), inclusive suporte para fixação, EXCLUSIVE placa sinalizadora em PVC fotoluminescente</t>
  </si>
  <si>
    <t>160606</t>
  </si>
  <si>
    <t>Extintor de incêndio de gás carbônico CO2 5 B:C (6 Kg), inclusive suporte para fixação, EXCLUSIVE placa sinalizadora em PVC fotoluminescente</t>
  </si>
  <si>
    <t>160607</t>
  </si>
  <si>
    <t>Extintor de incêndio portátil de pó químico ABC com capacidade 2A-20B:C (4 kg), inclusive suporte para fixação, EXCLUSIVE placa sinalizadora em PVC fotoluminescente</t>
  </si>
  <si>
    <t>160608</t>
  </si>
  <si>
    <t>Ponto para seta indicativa de saída, incl. seta em acrílico, com fonte alimentadora própria que assegure um funcionamento mínimo de 1h, para quando ocorrer falta de energia elétrica na rede pública, conforme projeto</t>
  </si>
  <si>
    <t>160612</t>
  </si>
  <si>
    <t>Placa de sinalização de segurança CODIGO 14 - 315/158(NBR 13.434); CÓDIGO S3(NT 14/2010-ES) ("SAIDA DE EMERGÊNCIA" - seta vertical)</t>
  </si>
  <si>
    <t>160613</t>
  </si>
  <si>
    <t>Ponto para iluminação de emergência completo, inclusive bloco autônomo de iluminação 2x9W com tomada universal</t>
  </si>
  <si>
    <t>160625</t>
  </si>
  <si>
    <t>Abrigo para hidrante de recalque no passeio em caixa de alvenaria 60x40cm em bloco de concreto inclusive registro de recalque ø 65 mm (2 1/2") e tampa de ferro fundido 40x40cm com inscrição incêndio</t>
  </si>
  <si>
    <t>160663</t>
  </si>
  <si>
    <t>Fornecimento e instalação de Bateria selada 12V - 60 AH, para centrais de alarme / iluminação de emergência</t>
  </si>
  <si>
    <t>160665</t>
  </si>
  <si>
    <t>Fornecimento e instalação de porta corta-fogo para saída de emergência Dim.: 100x210x5cm, conforme ABNT NBR 11742P, classe P-90, incl. marco, 3 pares de dobradiçaas c/mola, barra anti-panico, pintura esmalte sintetico cor vermelha</t>
  </si>
  <si>
    <t>160671</t>
  </si>
  <si>
    <t>Hidrante de parede, com abrigo em chapa, 80x90x17cm, com suporte e mangueiras 2 x 15m 63mm, adaptador rosca fêmea e engate rápido, esguicho em latão regulavel, registro globo angular 45º/ 63mm</t>
  </si>
  <si>
    <t>160673</t>
  </si>
  <si>
    <t>Fornecimento e instalação de Central de alarme de incêndio endereçável, capacidade até: 256 endereços, 4 laços com bateria Ref. Walmonof, Abafire, Deltafire ou equivalente</t>
  </si>
  <si>
    <t>160674</t>
  </si>
  <si>
    <t>Fornecimento e instalação de Acionador manual de alarme de incêndio endereçavel, tipo quebra vidro</t>
  </si>
  <si>
    <t>160675</t>
  </si>
  <si>
    <t>Fornecimento e instalação de Detector de fumaça óptico endereçavel Bivolt 12/24V para parede ou teto</t>
  </si>
  <si>
    <t>160676</t>
  </si>
  <si>
    <t>Fornecimento e instalação de Sirene eletronica média tipo corneta</t>
  </si>
  <si>
    <t>1607</t>
  </si>
  <si>
    <t>DEPÓSITO DE GÁS</t>
  </si>
  <si>
    <t>160702</t>
  </si>
  <si>
    <t>Chapisco com argamassa de cimento e areia média ou grossa sem peneirar no traço 1:3, espessura 5 mm</t>
  </si>
  <si>
    <t>160704</t>
  </si>
  <si>
    <t>Fornecimento, preparo e aplicação de concreto armado Fck=15 MPa, inclusive forma, armação e desforma para lajes maciças</t>
  </si>
  <si>
    <t>160707</t>
  </si>
  <si>
    <t>Pintura com tinta látex PVA Suvinil, Coral ou Metalatex, inclusive selador em paredes internas e forros a três demãos</t>
  </si>
  <si>
    <t>160708</t>
  </si>
  <si>
    <t>Pintura com tinta acrílica Suvinil, Coral ou Metalatex, inclusive selador acrílico, em paredes externas a três demãos</t>
  </si>
  <si>
    <t>160709</t>
  </si>
  <si>
    <t>Estrado de madeira de lei tipo Paraju ou equivalente conforme detalhe em projeto</t>
  </si>
  <si>
    <t>160710</t>
  </si>
  <si>
    <t>Alvenaria de blocos de concreto 9x19x39 c/ resist. min comp. 2.5MPa, assentado c/ argamassa de cimento, cal hidratada CH1 e areia traço 1:0,5:8, esp.juntas 10mm e esp. paredes, sem revestimento, 9cm</t>
  </si>
  <si>
    <t>160711</t>
  </si>
  <si>
    <t>Reboco tipo paulista com argamassa de cimento, cal hidratada CH1 e areia no traço 1:0,5:6, espessura 25mm</t>
  </si>
  <si>
    <t>160712</t>
  </si>
  <si>
    <t>Tela em arame galvanizado de 1"e fio 10 para ventilação de casa de gás, chumbada com argamassa de cimento, cal e areia</t>
  </si>
  <si>
    <t>160713</t>
  </si>
  <si>
    <t>Porta de correr de chapa galvanizada nº 14 - pintura com esmalte sintetico acetinado sobre zarcão, com tela quebra chama em malha 2 a 5mm</t>
  </si>
  <si>
    <t>160714</t>
  </si>
  <si>
    <t>Lastro regularizado e impermeabilizado de concreto não estrutural, esp. de 8cm</t>
  </si>
  <si>
    <t>160715</t>
  </si>
  <si>
    <t>Indice de imperm.c/ manta asfáltica atendendo à norma 9952, asfalto polimerizado esp.3mm, reforçada com fio int. polietileno, reg. base com arg. 1:4 esp min 15mm, proteção mecânica arg. 1:4 esp. 20mm e juntas dilat.</t>
  </si>
  <si>
    <t>160716</t>
  </si>
  <si>
    <t>Fornecimento, preparo e aplicação de concreto Fck = 15MPa (brita 1 e 2) - (5% de perdas)</t>
  </si>
  <si>
    <t>160718</t>
  </si>
  <si>
    <t>Pintura com tinta esmalte sintético Suvinil, Coral ou Metalatex a duas demãos, inclusive fundo anti corrosivo a uma demão, em metal</t>
  </si>
  <si>
    <t>1608</t>
  </si>
  <si>
    <t>160806</t>
  </si>
  <si>
    <t>Espelho 4" x 2" com conector RJ 45 fêmea CAT. 5e</t>
  </si>
  <si>
    <t>160807</t>
  </si>
  <si>
    <t>Conector RJ 45 macho</t>
  </si>
  <si>
    <t>160808</t>
  </si>
  <si>
    <t>Fornecimento e instalação de Cabo de rede par trançado 4 pares Categoria 5e</t>
  </si>
  <si>
    <t>17</t>
  </si>
  <si>
    <t>1701</t>
  </si>
  <si>
    <t>170101</t>
  </si>
  <si>
    <t>Lavatório de louça branca com coluna, marcas de referência Deca, Celite ou Ideal Standard, inclusive sifão, válvula e engates cromados, exclusive torneira.</t>
  </si>
  <si>
    <t>170107</t>
  </si>
  <si>
    <t>Mictório de louça branca, marcas de referência Deca, Celite ou Ideal Standard, inclusive engates cromados</t>
  </si>
  <si>
    <t>170110</t>
  </si>
  <si>
    <t>Cabide de louça branca com 2 ganchos, marcas de referência Deca, Celite ou Ideal Standard</t>
  </si>
  <si>
    <t>170114</t>
  </si>
  <si>
    <t>Bacia sifonada infantil de louça branca, marcas de referência Deca, Celite ou Ideal Standard, inclusive tampa e acessórios</t>
  </si>
  <si>
    <t>170115</t>
  </si>
  <si>
    <t>Cuba louça de embutir redonda, 30cm, L-41, completa, marcas de referência Deca, Celite ou Ideal Standard, incl. válvula e sifão, exclusive torneira</t>
  </si>
  <si>
    <t>170116</t>
  </si>
  <si>
    <t>Vaso sanitário padrão popular completo com acessórios para ligação, marcas de referência Deca, Celite ou Ideal Standard, inclusive assento plástico</t>
  </si>
  <si>
    <t>170117</t>
  </si>
  <si>
    <t>Lavatório de louça branca, padrão popular, marcas de referência Deca, Celite ou Ideal Standard, inclusive acessórios em PVC, exceto torneira</t>
  </si>
  <si>
    <t>170119</t>
  </si>
  <si>
    <t>Cabide de louça branca com um gancho, marcas de referência Deca, Celite ou Ideal Standard</t>
  </si>
  <si>
    <t>170120</t>
  </si>
  <si>
    <t>Lavatório com coluna padrão popular, marcas de referência Deca, Celite ou Ideal Standard, inclusive acessórios em PVC, exceto aparelho misturador</t>
  </si>
  <si>
    <t>170121</t>
  </si>
  <si>
    <t>Recolocação de vaso sanitário, inclusive fornecimento de acessórios (parafusos de fixação anel de vedação, bolsa e tubo de ligação, etc), exclusive fornecimento do vaso e tampa</t>
  </si>
  <si>
    <t>170122</t>
  </si>
  <si>
    <t>Recolocação de lavatório sanitário, com acessórios em metal (engate, sifão, válvula), exclusive fornecimento do mesmo</t>
  </si>
  <si>
    <t>170123</t>
  </si>
  <si>
    <t>Recolocação de lavatório sanitário, com acessórios em PVC (engate, sifão e válvula), exclusive fornecimento do mesmo</t>
  </si>
  <si>
    <t>170124</t>
  </si>
  <si>
    <t>170126</t>
  </si>
  <si>
    <t>Bacia sifonada de louça branca sem abertura frontal para portadores de necessidades especiais, Vogue Plus Conforto - Linha Conforto, mod P510, incl. assento poliester, ref.AP51,marca de ref. Deca ou equivalente, sem abertura frontal</t>
  </si>
  <si>
    <t>170128</t>
  </si>
  <si>
    <t>Lavatório de louça branca com coluna suspensa, linha Vogue Plus Confort para portadores de necessidades especiais, marca de referencia DECA, Celite ou Ideal Standart, inclusive valvula, sifão e engates, exclusive torneira</t>
  </si>
  <si>
    <t>170129</t>
  </si>
  <si>
    <t>Bacia sifonada de louça branca com caixa acoplada, inclusive acessórios</t>
  </si>
  <si>
    <t>170130</t>
  </si>
  <si>
    <t>Lavatório de louça branca com coluna, Ravena L91 + C9 inclusive sifão, válvula e engates cromados, exclusive torneira</t>
  </si>
  <si>
    <t>170131</t>
  </si>
  <si>
    <t>Lavatório de louça branca com coluna suspensa - ref L51 + CS 1v, cor branca, inclusive sifão, válvula e engates cromados, exclusive torneira, para PNE</t>
  </si>
  <si>
    <t>170132</t>
  </si>
  <si>
    <t>Lavátorio de canto Coleção Master - ref. L76 marca de ref. Deca ou equivalente, inclusive válvula, sifão e engates cromados, exclusive torneira,para PNE</t>
  </si>
  <si>
    <t>170133</t>
  </si>
  <si>
    <t>Cuba louça branca oval, de embutir, Mod. L37, marca de ref. Deca incl. válvula e sifão, exclusive torneira.</t>
  </si>
  <si>
    <t>170134</t>
  </si>
  <si>
    <t>Bacia convencional em louça branca ref. Linha Ravena P9 Deca ou equiv., inclusive tubo de ligação, acessórios de fixação e assento plástico</t>
  </si>
  <si>
    <t>170135</t>
  </si>
  <si>
    <t>170136</t>
  </si>
  <si>
    <t>Bacia sanitária de louça branca, com caixa acoplada duplo acionamento, marca de ref. Deca Linha Ravena ou equivalente, inclusive assento plástico e acessórios de fixação</t>
  </si>
  <si>
    <t>1702</t>
  </si>
  <si>
    <t>170205</t>
  </si>
  <si>
    <t>Bancada de mármore esp. 3cm</t>
  </si>
  <si>
    <t>170220</t>
  </si>
  <si>
    <t>Bancada de granito com espessura de 2 cm</t>
  </si>
  <si>
    <t>170221</t>
  </si>
  <si>
    <t>Laje armada espessura de 3cm p/ enchimento de fundo de bancada inox</t>
  </si>
  <si>
    <t>170222</t>
  </si>
  <si>
    <t>Bancada e tanque para panelões em granito cinza andorinha, esp. 2cm, dim. 0.80x1.10m, base de concreto e apoio em alvenaria, frontão h=10cm, incl. válvula e sifão, exclusive torneira, conf. det. projeto</t>
  </si>
  <si>
    <t>1703</t>
  </si>
  <si>
    <t>170304</t>
  </si>
  <si>
    <t>Torneira pressão cromada diâm. 1/2" para lavatório, marcas de referência Fabrimar, Deca ou Docol</t>
  </si>
  <si>
    <t>170306</t>
  </si>
  <si>
    <t>Torneira para tanque, marcas de referência Fabrimar, Deca ou Docol.</t>
  </si>
  <si>
    <t>170309</t>
  </si>
  <si>
    <t>Torneira para jardim de 3/4" marcas de referência Fabrimar, Deca ou Docol</t>
  </si>
  <si>
    <t>170310</t>
  </si>
  <si>
    <t>Torneira pressão cromada diam. 3/4" para uso geral, marcas de referência Fabrimar, Deca ou Docol</t>
  </si>
  <si>
    <t>170311</t>
  </si>
  <si>
    <t>Torneira pressão em PVC para pia diam. 1/2", marcas de referência Astra, Cipla ou Akros</t>
  </si>
  <si>
    <t>170313</t>
  </si>
  <si>
    <t>Torneira pressão cromada, diam. 1/2" para tanque, marcas de referência Fabrimar, Deca ou Docol</t>
  </si>
  <si>
    <t>170315</t>
  </si>
  <si>
    <t>Torneira pressão cromada diam. 1/2" para pia, marcas de referência Fabrimar, Deca ou Docol</t>
  </si>
  <si>
    <t>170316</t>
  </si>
  <si>
    <t>Registro de pressão com canopla cromada diam. 15mm (1/2"), marcas de referência Fabrimar, Deca ou Docol</t>
  </si>
  <si>
    <t>170317</t>
  </si>
  <si>
    <t>170318</t>
  </si>
  <si>
    <t>Registro de pressão bruto, diam. 15mm (1/2")</t>
  </si>
  <si>
    <t>170319</t>
  </si>
  <si>
    <t>Registro de gaveta bruto diam. 15mm (1/2")</t>
  </si>
  <si>
    <t>170320</t>
  </si>
  <si>
    <t>Registro de gaveta bruto diam. 20mm (3/4")</t>
  </si>
  <si>
    <t>170321</t>
  </si>
  <si>
    <t>Registro de gaveta bruto diam. 25mm (1")</t>
  </si>
  <si>
    <t>170322</t>
  </si>
  <si>
    <t>Registro de gaveta bruto diam. 32mm (11/4")</t>
  </si>
  <si>
    <t>170323</t>
  </si>
  <si>
    <t>Registro de gaveta bruto diam. 40mm (11/2")</t>
  </si>
  <si>
    <t>170324</t>
  </si>
  <si>
    <t>Registro de gaveta bruto diam. 50mm (2")</t>
  </si>
  <si>
    <t>170325</t>
  </si>
  <si>
    <t>Registro de gaveta bruto diam. 65mm (21/2")</t>
  </si>
  <si>
    <t>170326</t>
  </si>
  <si>
    <t>Registro de gaveta bruto diam. 80mm (3")</t>
  </si>
  <si>
    <t>170327</t>
  </si>
  <si>
    <t>Registro de gaveta com canopla cromada diam. 15mm (1/2"), marcas de referência Fabrimar, Deca ou Docol</t>
  </si>
  <si>
    <t>170328</t>
  </si>
  <si>
    <t>170329</t>
  </si>
  <si>
    <t>Registro de gaveta com canopla cromada diam. 25mm (1"), marcas de referência Fabrimar, Deca ou Docol</t>
  </si>
  <si>
    <t>170330</t>
  </si>
  <si>
    <t>Registro de gaveta com canopla cromada diam 32mm (11/4"), marcas de referência Fabrimar, Deca ou Docol</t>
  </si>
  <si>
    <t>170331</t>
  </si>
  <si>
    <t>Registro de gaveta com canopla cromada, diam. 40mm (11/2"), marcas de referência Fabrimar, Deca ou Docol</t>
  </si>
  <si>
    <t>170332</t>
  </si>
  <si>
    <t>Válvula de retenção horizontal ou vertical diam. 15mm (1/2")</t>
  </si>
  <si>
    <t>170333</t>
  </si>
  <si>
    <t>Válvula de retenção horizontal ou vertical diam. 20mm (3/4")</t>
  </si>
  <si>
    <t>170334</t>
  </si>
  <si>
    <t>Válvula de retenção horizontal ou vertical diam. 25mm (1")</t>
  </si>
  <si>
    <t>170335</t>
  </si>
  <si>
    <t>Válvula de retenção horizontal ou vertical, diam. 32mm (11/4")</t>
  </si>
  <si>
    <t>170336</t>
  </si>
  <si>
    <t>Válvula de retenção horizontal ou vertical diam. 40mm (11/2")</t>
  </si>
  <si>
    <t>170337</t>
  </si>
  <si>
    <t>Válvula de retenção horizontal ou vertical diam. 50mm (2")</t>
  </si>
  <si>
    <t>170338</t>
  </si>
  <si>
    <t>Válvula de retenção horizontal ou vertical diam. 65mm (21/2")</t>
  </si>
  <si>
    <t>170339</t>
  </si>
  <si>
    <t>Válvula de retenção horizontal ou vertical, diam. 80mm (3")</t>
  </si>
  <si>
    <t>170345</t>
  </si>
  <si>
    <t>Válvula de descarga com canopla cromada de 32mm (11/4"), marcas de referência Fabrimar, Deca ou Docol</t>
  </si>
  <si>
    <t>170346</t>
  </si>
  <si>
    <t>Válvula de descarga com canopla cromada de 40mm (11/2"), marcas de referência Fabrimar, Deca ou Docol</t>
  </si>
  <si>
    <t>170347</t>
  </si>
  <si>
    <t>Válvula de PVC para lavatório, marcas de referência Astra, Cipla ou Akros</t>
  </si>
  <si>
    <t>170348</t>
  </si>
  <si>
    <t>Válvula de PVC para tanque, marcas de referência Astra, Cipla ou Akros</t>
  </si>
  <si>
    <t>170349</t>
  </si>
  <si>
    <t>Canopla para válvula de descarga, marcas de referência Fabrimar, Deca ou Docol</t>
  </si>
  <si>
    <t>170350</t>
  </si>
  <si>
    <t>Parafuso de fixação para lavatório ou vaso, inclusive colocação</t>
  </si>
  <si>
    <t>170351</t>
  </si>
  <si>
    <t>170352</t>
  </si>
  <si>
    <t>Válvula de Descarga com acabamento anti-vandalismo, marcas de referência Fabrimar, Deca ou Docol</t>
  </si>
  <si>
    <t>170353</t>
  </si>
  <si>
    <t>170354</t>
  </si>
  <si>
    <t>Chuveiro completo, linha anti-vandalismo, marcas de referência Fabrimar, Deca ou Docol</t>
  </si>
  <si>
    <t>170357</t>
  </si>
  <si>
    <t>Chuveiro com desviador flexivel e ducha manual, mod. 1975C ref. Deca ou equivalente</t>
  </si>
  <si>
    <t>1705</t>
  </si>
  <si>
    <t>OUTROS APARELHOS</t>
  </si>
  <si>
    <t>170502</t>
  </si>
  <si>
    <t>Caixa de descarga plástica de sobrepor 6/9 litros, ref. ASTRA, AKROS ou equivalente</t>
  </si>
  <si>
    <t>170506</t>
  </si>
  <si>
    <t>Reservatório de polietileno de 500 L, inclusive adaptadores com flanges de PVC e torneira de bóia de 3/4"</t>
  </si>
  <si>
    <t>170507</t>
  </si>
  <si>
    <t>Lavatório de aço inox, liga AISI 304, N° 18, marcas de referência Fisher, Metalpress ou Mekal, inclusive apoio de concreto, argamassa de apoio e assentamento, válvula e sifão cromados, exclusive torneira, conf. projeto</t>
  </si>
  <si>
    <t>170508</t>
  </si>
  <si>
    <t>Escovário de aço inox, liga AISI 304, N° 18, marcas de referência Fischer, Metalpress ou Mekal, inclusive apoio de concreto, argamassa de apoio e assentamento, válvula e sifão cromados, exclusive torneira, conf. projeto</t>
  </si>
  <si>
    <t>170509</t>
  </si>
  <si>
    <t>Tanque de aço inox nº 2, marcas de referência Fisher, Metalpress ou Mekal, inclusive válvula de metal e sifão</t>
  </si>
  <si>
    <t>170510</t>
  </si>
  <si>
    <t>Bebedouro de aço inox, marcas de referência Fisher, Metalpress ou Mekal, inclusive válvula, sifão cromado e torneiras, exclusive alvenaria, dim. 0.45x2.75 m, conforme detalhe em projeto</t>
  </si>
  <si>
    <t>170511</t>
  </si>
  <si>
    <t>Mictório coletivo de aço inox, liga AISI-304 n.18, marcas de referência Fisher, Metalpress ou Mekal, dimensões 1.80x0.30m, com tubo espargidor</t>
  </si>
  <si>
    <t>170512</t>
  </si>
  <si>
    <t>170514</t>
  </si>
  <si>
    <t>Tanque simples de aço inox Fischer, mod. TQ1-S AISI 304, ou equivalente nas marcas Metalpress ou Mekal, inclusive válvula de metal 1 1/4" e sifão cromado 2", excl. torneira</t>
  </si>
  <si>
    <t>170515</t>
  </si>
  <si>
    <t>Cuba p/ panelões de aço inox 80x60x40 cm, marcas de referência Fisher, Metalpress ou Mekal, inclusive válvula metal 1 1/4" e sifão cromado 1 x 1 1/2", excl. torneira</t>
  </si>
  <si>
    <t>170516</t>
  </si>
  <si>
    <t>Tanque duplo de aço inox AISI 304, marcas de referência Fisher (mod TQI-D) Metalpress ou Mekal, inclusive válvulas de metal 1 1/4" e sifão cromado 2", excl. torneiras</t>
  </si>
  <si>
    <t>170519</t>
  </si>
  <si>
    <t>170524</t>
  </si>
  <si>
    <t>Cabide simples de um gancho, linha Versailles, ref. 08, acabamento cromado, da Moldenox, Docol ou Deca</t>
  </si>
  <si>
    <t>170528</t>
  </si>
  <si>
    <t>Reservatório de polietileno de 5.000 L, inclusive peça de madeira 6 x 16 cm para apoio, exclusive flanges e torneira de bóia</t>
  </si>
  <si>
    <t>170530</t>
  </si>
  <si>
    <t>Cuba em aço inox nº 02(dim.560x340x150)mm, marcas de referência Franke, Strake, tramontina, inclusive válvula de metal 31/2" e sifão cromado 1 x 1/2", excl. torneira</t>
  </si>
  <si>
    <t>170533</t>
  </si>
  <si>
    <t>Pia em aço inox com 01 cuba nº 1, dimensões de 0.60 x 1.50m, inclusive válvula tipo americana, exclusive sifão</t>
  </si>
  <si>
    <t>170534</t>
  </si>
  <si>
    <t>Pia em aço inox com 02 cubas nº 1, dimensões 0.60 x 2.50, inclusive válvula tipo americana, exclusive sifão</t>
  </si>
  <si>
    <t>170535</t>
  </si>
  <si>
    <t>Pia em aço inox com 01 cuba nº 1, dimensões de 0.60 x 1.80m, inclusive válvula americana, exclusive sifão</t>
  </si>
  <si>
    <t>170536</t>
  </si>
  <si>
    <t>Pia em aço inox com 02 cubas nº 2, dimensões de 0.60 x 2.10m, inclusive válvula americana, exclusive sifão</t>
  </si>
  <si>
    <t>170537</t>
  </si>
  <si>
    <t>Assento plástico para vaso sanitário, marcas de referência Deca, Celite ou Ideal Standard</t>
  </si>
  <si>
    <t>170538</t>
  </si>
  <si>
    <t>Chuveiro frio de PVC, marcas de referência Atlas, Cipla ou Akros</t>
  </si>
  <si>
    <t>170539</t>
  </si>
  <si>
    <t>Reservatório de polietileno de 500l, inclusive peça de madeira 6x16cm para apoio, exclusive flanges e torneira de bóia</t>
  </si>
  <si>
    <t>170540</t>
  </si>
  <si>
    <t>Reservatório de polietileno de 1000l, inclusive peça de madeira 6x16cm para apoio, exclusive flanges e torneira de bóia</t>
  </si>
  <si>
    <t>170541</t>
  </si>
  <si>
    <t>Filtro curto AP200, marca de referência Aqualar, inclusive refil(vela)</t>
  </si>
  <si>
    <t>170545</t>
  </si>
  <si>
    <t>Mictório de aço inox, marcas de referência Fisher, Metalpress ou Mekal, com 30 cm de largura e comp. variável, inclusive válvula tipo americana, engate flexível cromado, válvula de descarga, sifão cromado e conjunto de fixação</t>
  </si>
  <si>
    <t>170546</t>
  </si>
  <si>
    <t>Tanque em mármore sintético com 2 bojos, inclusive válvula e sifão em PVC</t>
  </si>
  <si>
    <t>170547</t>
  </si>
  <si>
    <t>Reservatório de polietileno de 310l, inclusive peça de madeira 6 x 16 cm p/ apoio, exclusive flange e torneira de bóia</t>
  </si>
  <si>
    <t>170548</t>
  </si>
  <si>
    <t>Reservatório de polietileno de 1500l, inclusive peça 6x16cm para apoio, exclusive flanges e torneira de bóia</t>
  </si>
  <si>
    <t>170549</t>
  </si>
  <si>
    <t>Reservatório de polietileno de 3000 litros, inclusive peça de apoio de 6x16 cm, exclusive flanges e torneira de bóia</t>
  </si>
  <si>
    <t>170550</t>
  </si>
  <si>
    <t>Reservatório de polietileno de 2000L, inclusive peça de apoio 6x16 cm, exclusive flanges e torneira de bóia</t>
  </si>
  <si>
    <t>170555</t>
  </si>
  <si>
    <t>Tanque de mármore sintético com um bojo, inclusive válvula e sifão em PVC</t>
  </si>
  <si>
    <t>170557</t>
  </si>
  <si>
    <t>Bebedouro em aço inox coletivo, marcas de referência Fisher, Metalpress ou Mekal, inclusive base de apoio em concreto e fechamento em alvenaria revestida com azulejo, inclusive válvula e sifão, exclusive torneiras</t>
  </si>
  <si>
    <t>170561</t>
  </si>
  <si>
    <t>Reservatório de polietileno de 15.000l, inclusive peça de madeira 5 x 16cm para apoio, exclusive flanges e torneiras de boia</t>
  </si>
  <si>
    <t>170562</t>
  </si>
  <si>
    <t>Bebebedouro elétrico de pressão para portadores de necessidades especiais IBBL BDF300 ou equivalente</t>
  </si>
  <si>
    <t>18</t>
  </si>
  <si>
    <t>1801</t>
  </si>
  <si>
    <t>LUMINÁRIAS</t>
  </si>
  <si>
    <t>180101</t>
  </si>
  <si>
    <t>Luminária p/ duas lâmpadas fluorescentes 20W, completa, c/ reator duplo-127V partida rápida e alto fator de potência, soquete antivibratório e lâmpada fluorescente 20W-127V</t>
  </si>
  <si>
    <t>180102</t>
  </si>
  <si>
    <t>Luminária p/ duas lâmpadas fluorescentes 40W, completa, c/ reator duplo-127V partida rápida e alto fator de potência, soquete antivibratório e lâmpada fluorescente 40W-127V</t>
  </si>
  <si>
    <t>180107</t>
  </si>
  <si>
    <t>Luminária industrial a prova de tempo, 45 graus, wetzel ou equivalente, inclusive lampada mista 160W</t>
  </si>
  <si>
    <t>180108</t>
  </si>
  <si>
    <t>Luminária para uma lâmpada fluorescente 20W, completa, c/ reator simples-127V partida rápida alto fator de potência, soquete antivibratório e lâmpada fluorescente 20W-127V</t>
  </si>
  <si>
    <t>180109</t>
  </si>
  <si>
    <t>Luminária para uma lâmpada fluorescente 40W, completa, c/ reator simples-127V partida rápida alto fator de potência, soquete antivibratório e lâmpada fluorescente 40W-127V</t>
  </si>
  <si>
    <t>180110</t>
  </si>
  <si>
    <t>Arandela com lâmpada incandescente de 100W</t>
  </si>
  <si>
    <t>180115</t>
  </si>
  <si>
    <t>1802</t>
  </si>
  <si>
    <t>INTERRUPTORES E TOMADAS</t>
  </si>
  <si>
    <t>180201</t>
  </si>
  <si>
    <t>Tomada padrão brasileiro linha branca, NBR 14136 2 polos + terra 10A/250V, com placa 4x2"</t>
  </si>
  <si>
    <t>180202</t>
  </si>
  <si>
    <t>Tomada padrão brasileiro linha branca, NBR 14136 2 polos + terra 20A/250V, com placa 4x2"</t>
  </si>
  <si>
    <t>180204</t>
  </si>
  <si>
    <t>180205</t>
  </si>
  <si>
    <t>180206</t>
  </si>
  <si>
    <t>Interruptor de uma tecla paralelo 10A/250V, com placa 4x2"</t>
  </si>
  <si>
    <t>180207</t>
  </si>
  <si>
    <t>Interruptor de uma tecla simples 10A/250V e uma tomada 3 polos 10A/250V, padrão brasileiro, NBR 14136, linha branca, com placa 4x2"</t>
  </si>
  <si>
    <t>180208</t>
  </si>
  <si>
    <t>Interruptor de duas teclas simples 10A/250V e uma tomada 3 polos universal 10A/250V, com placa 4x2"</t>
  </si>
  <si>
    <t>180209</t>
  </si>
  <si>
    <t>Interruptor pulsador de campainha 10A/250V, com placa 4x2"</t>
  </si>
  <si>
    <t>180210</t>
  </si>
  <si>
    <t>Tomada de 3 polos 20A/250V, com placa 4x2"</t>
  </si>
  <si>
    <t>180211</t>
  </si>
  <si>
    <t>Interruptor de três teclas simples 10 A/250 V e duas teclas simples 10A/250V, com placa 4x4"</t>
  </si>
  <si>
    <t>180212</t>
  </si>
  <si>
    <t>Interruptor de três teclas simples 10A/250V, c/ placa 4x2"</t>
  </si>
  <si>
    <t>180217</t>
  </si>
  <si>
    <t>Espelho para caixa estampada 4 x 2"</t>
  </si>
  <si>
    <t>180218</t>
  </si>
  <si>
    <t>Espelho para caixa estampada 4 x 4"</t>
  </si>
  <si>
    <t>180220</t>
  </si>
  <si>
    <t>Tomada coaxial 75 ohms para TV</t>
  </si>
  <si>
    <t>1803</t>
  </si>
  <si>
    <t>BOMBAS</t>
  </si>
  <si>
    <t>180301</t>
  </si>
  <si>
    <t>Bomba centrífuga trifásica 5CV, modelo 620 Dancor, ou equivalente</t>
  </si>
  <si>
    <t>180302</t>
  </si>
  <si>
    <t>Bomba centrífuga monofásica 1/2 CV</t>
  </si>
  <si>
    <t>180303</t>
  </si>
  <si>
    <t>Bomba centrífuga monofásica 3/4 CV</t>
  </si>
  <si>
    <t>180304</t>
  </si>
  <si>
    <t>Bomba centrifuga trifásica 2CV</t>
  </si>
  <si>
    <t>180305</t>
  </si>
  <si>
    <t>Bomba elétrica centrífuga monofásica 1 CV</t>
  </si>
  <si>
    <t>1804</t>
  </si>
  <si>
    <t>POSTES</t>
  </si>
  <si>
    <t>180405</t>
  </si>
  <si>
    <t>Poste circular de concreto 11 m padrão ESCELSA, incl. luminária tipo 1 pétala mod. BETA II c/1 lâmpada VS 400W, reator alto fator de potência 400W/220V e relé fotoelétrico, Tecnowatt ou equivalente</t>
  </si>
  <si>
    <t>180408</t>
  </si>
  <si>
    <t>Poste circular de concreto 11m padrão ESCELSA, incl. 3 projetores PL 400 MA c/ lâmpada VM 400W, reator tipo externo 400 W /220V alto fator de potência, Tecnowatt ou equivalente.</t>
  </si>
  <si>
    <t>1807</t>
  </si>
  <si>
    <t>VENTILADORES</t>
  </si>
  <si>
    <t>180702</t>
  </si>
  <si>
    <t>Ventilador de teto base madeira sem alojamento para luminária, ref. Tron ou equivalente, com comando de interruptor simples, sem dimer para regulagem de velocidade</t>
  </si>
  <si>
    <t>1808</t>
  </si>
  <si>
    <t>180803</t>
  </si>
  <si>
    <t>Campainha tipo timbre Pial, cod. 412.77 ou equivalente</t>
  </si>
  <si>
    <t>180804</t>
  </si>
  <si>
    <t>Campainha tipo prato Pial, cod. 414.18</t>
  </si>
  <si>
    <t>180809</t>
  </si>
  <si>
    <t>Chuveiro elétrico tipo ducha Lorenzet ou Corona</t>
  </si>
  <si>
    <t>1810</t>
  </si>
  <si>
    <t>LUMINARIAS PARA LÂMPADAS LED</t>
  </si>
  <si>
    <t>181001</t>
  </si>
  <si>
    <t>Luminaria sobrepor compl., corpo ch. aço pintada branca, refletor, aletas parabólicas alum.alta pureza e refletância inclusive 2 lâmpadas LED T8 9W temp. de cor 5000k c/ 60cm - Ref. CS216AL-N - AMES, 663 - LUMAVI OU EQUIVALENTE</t>
  </si>
  <si>
    <t>181002</t>
  </si>
  <si>
    <t>Luminaria sobrepor compl., corpo ch. aço pintada branca, refletor aletas parabólicas alum.alta pureza e refletância inclusive 2 lâmpadas LED T8 20W temp. de cor 5000k bivolt c/ 1,20m - Ref. CS232AL-N - AMES, 664 - LUMAVI OU EQUIVALENTE</t>
  </si>
  <si>
    <t>181003</t>
  </si>
  <si>
    <t>Luminaria embutir compl., corpo ch. aço pintada branca, refletor aletas parabólicas alum.alta pureza e refletância inclusive 2 lâmpadas LED T8 9W temp. de cor 5000k c/ 60cm - REF. CE216AL-N - AMES, 901 - LUMAVI OU EQUIVALENTE</t>
  </si>
  <si>
    <t>181004</t>
  </si>
  <si>
    <t>Luminaria embutir compl., corpo ch. aço pintada branca, refletor, aletas parabólicas alum.alta pureza e refletância inclusive 2 lâmpadas LED T8 18W temp. de cor 5000k c/ 1,20m - Ref. CE232AL-N - AMES, 900 - LUMAVI -LDEF 2X32W - LUMILUZ OU EQUIVALENTE</t>
  </si>
  <si>
    <t>181005</t>
  </si>
  <si>
    <t>Luminária sobrepor compl., corpo ch. aço pintada branca, refletor,aletas parabólicas alum.alta pureza e refletância inclusive 4 lâmpadas LED T8 9W temp. de cor 5000k bivolt c/ 60cm - CS416AL-N - AMES, 665 - LUMAVI OU EQUIVALENTE</t>
  </si>
  <si>
    <t>181007</t>
  </si>
  <si>
    <t>Luminária embutir compl., corpo ch. aço pintada branca, refletor,aletas parabólicas alum.alta pureza e refletância nclusive 4 lâmpadas LED T8 9W temp. de cor 5000k - Ref.CE416AL-N - AMES, 6026 - LUMAVI OU EQUIVALENTE</t>
  </si>
  <si>
    <t>19</t>
  </si>
  <si>
    <t>1901</t>
  </si>
  <si>
    <t>190101</t>
  </si>
  <si>
    <t>Emassamento de paredes e forros, com duas demãos de massa à base de PVA, marcas de referência Suvinil, Coral ou Metalatex</t>
  </si>
  <si>
    <t>190102</t>
  </si>
  <si>
    <t>Emassamento de paredes e forros, com duas demãos de massa à base de óleo, marcas de referência Suvinil, Coral ou Metalatex</t>
  </si>
  <si>
    <t>190103</t>
  </si>
  <si>
    <t>190104</t>
  </si>
  <si>
    <t>Pintura com tinta látex PVA, marcas de referência Suvinil, Coral ou Metalatex, inclusive selador em paredes e forros, a três demãos</t>
  </si>
  <si>
    <t>190105</t>
  </si>
  <si>
    <t>Pintura com tinta esmalte sintético, marcas de referência Suvinil, Coral ou Metalatex, inclusive selador acrílico, em paredes a três demãos</t>
  </si>
  <si>
    <t>190106</t>
  </si>
  <si>
    <t>190107</t>
  </si>
  <si>
    <t>Pintura com nata de cimento sobre superfície áspera a três demãos</t>
  </si>
  <si>
    <t>190108</t>
  </si>
  <si>
    <t>Pintura a cal a três demãos, em paredes internas ou externas</t>
  </si>
  <si>
    <t>190109</t>
  </si>
  <si>
    <t>Pintura de letra em parede dim. 20x30cm com tinta látex acrílica, marcas de referência Suvinil, Coral ou Metalatex</t>
  </si>
  <si>
    <t>190114</t>
  </si>
  <si>
    <t>Selador acrílico a uma demão, marcas de referência Suvinil, Coral ou Metalatex</t>
  </si>
  <si>
    <t>190115</t>
  </si>
  <si>
    <t>Pintura com tinta látex PVA, marcas de referência Suvinil, Coral ou Metalatex, inclusive selador, em paredes e forros, a duas demãos</t>
  </si>
  <si>
    <t>190116</t>
  </si>
  <si>
    <t>Pintura com tinta esmalte sintético, marcas de referência Suvinil, Coral e Metalatex, inclusive selador acrílico, em paredes, a duas demãos</t>
  </si>
  <si>
    <t>190117</t>
  </si>
  <si>
    <t>Pintura com tinta acrílica, marcas de referência Suvinil, Coral e Metalatex, inclusive selador acrílico, em paredes e forros, a duas demãos</t>
  </si>
  <si>
    <t>190121</t>
  </si>
  <si>
    <t>Liquido selador para tinta PVA, a uma demão, marcas de referência Suvinil, Coral ou Metalatex</t>
  </si>
  <si>
    <t>1902</t>
  </si>
  <si>
    <t>SOBRE CONCRETO OU BLOCOS CERÂMICOS APARENTES</t>
  </si>
  <si>
    <t>190201</t>
  </si>
  <si>
    <t>Pintura com verniz acrílico, marcas de referência Suvinil, Coral ou Metalatex, sobre concreto ou blocos aparentes, a duas demãos</t>
  </si>
  <si>
    <t>190202</t>
  </si>
  <si>
    <t>Pintura à base de silicone, marcas de referência Suvinil, Coral ou Metalatex, sobre paredes de blocos cerâmicos ou concreto, a uma demão</t>
  </si>
  <si>
    <t>190203</t>
  </si>
  <si>
    <t>Pintura com tinta acrílica, marcas de referência Suvinil, Coral ou Metalatex, inclusive selador acrílico, sobre concreto ou blocos de concreto, a três demãos</t>
  </si>
  <si>
    <t>190204</t>
  </si>
  <si>
    <t>Pintura com tinta acrílica, marcas de referência Suvinil, Coral ou Metalatex, inclusive selador acrílico, em cobogós de concreto, a duas demãos</t>
  </si>
  <si>
    <t>190205</t>
  </si>
  <si>
    <t>Caiação de meio-fio, a três demãos</t>
  </si>
  <si>
    <t>190211</t>
  </si>
  <si>
    <t>Pintura com tinta PVA, sobre concreto ou bloco de concreto, a duas demãos, marcas de referência Suvinil, Coral ou Metalatex</t>
  </si>
  <si>
    <t>1903</t>
  </si>
  <si>
    <t>SOBRE MADEIRA</t>
  </si>
  <si>
    <t>190301</t>
  </si>
  <si>
    <t>Emassamento de esquadrias de madeira, com duas demãos de massa à base de óleo, marcas de referência Suvinil, Coral ou Metalatex</t>
  </si>
  <si>
    <t>190302</t>
  </si>
  <si>
    <t>Pintura com tinta esmalte sintético, marcas de referência Suvinil, Coral ou Metalatex, inclusive fundo branco nivelador, em madeira, a duas demãos</t>
  </si>
  <si>
    <t>190303</t>
  </si>
  <si>
    <t>Pintura com verniz brilhante, linha Premium, marcas de referência Suvinil, Coral ou Metalatex, em madeira, a três demãos</t>
  </si>
  <si>
    <t>190306</t>
  </si>
  <si>
    <t>Pintura com verniz filtro solar fosco, linha Premium, em madeira, a três demãos, marcas de referência Suvinil, Coral ou Metalatex</t>
  </si>
  <si>
    <t>1904</t>
  </si>
  <si>
    <t>SOBRE METAL</t>
  </si>
  <si>
    <t>190417</t>
  </si>
  <si>
    <t>190418</t>
  </si>
  <si>
    <t>Pintura de superfície metálica com uma demão de primer Epoxi e duas demãos de tinta à base de Epoxi</t>
  </si>
  <si>
    <t>1905</t>
  </si>
  <si>
    <t>SOBRE ELEMENTOS ESPECIAIS</t>
  </si>
  <si>
    <t>190501</t>
  </si>
  <si>
    <t>Pintura de letras em chapas de ferro, dimensões 20x30cm, com tinta óleo ou esmalte, a duas demãos, marcas de referência Suvinil, Coral ou Metalatex</t>
  </si>
  <si>
    <t>1906</t>
  </si>
  <si>
    <t>SOBRE PISOS</t>
  </si>
  <si>
    <t>190601</t>
  </si>
  <si>
    <t>Pintura à base de epoxi, marcas de referência Suvinil, Coral ou Metalatex, em faixas com largura de 5 cm, para demarcação de quadra de esportes</t>
  </si>
  <si>
    <t>190602</t>
  </si>
  <si>
    <t>Pintura com tinta à base de resinas acrílicas, marcas de referência Suvinil, Coral ou Metalatex, sobre piso de concreto, a duas demãos</t>
  </si>
  <si>
    <t>190603</t>
  </si>
  <si>
    <t>Pintura sobre pisos, marcas de referência Novacor, Coral ou Suvinil, a duas demãos, Linha Premium</t>
  </si>
  <si>
    <t>190604</t>
  </si>
  <si>
    <t>Pintura à base de epoxi, marcas de referência Suvinil, Coral ou Metalatex, em faixas com largura de 8 cm, para demarcação de quadra de esportes</t>
  </si>
  <si>
    <t>190605</t>
  </si>
  <si>
    <t>Aplicação de tinta epóxi de alta espessura semibrilhante sobre piso de concreto a três demãos, inclusive selador epóxi a uma demão - Ref. Intergard 2005 e 2001 - Internacional ou equivalente</t>
  </si>
  <si>
    <t>20</t>
  </si>
  <si>
    <t>2001</t>
  </si>
  <si>
    <t>MUROS E FECHAMENTOS</t>
  </si>
  <si>
    <t>200101</t>
  </si>
  <si>
    <t>Alambrado c/ tela losangular de arame fio 12 malha 2" revest. em PVC com tubo de ferro galvanizado vertical de 2 1/2" e horizontal de 1" incl. portão, pintados com esmalte sobre fundo anticorrosivo</t>
  </si>
  <si>
    <t>200104</t>
  </si>
  <si>
    <t>Cerca de madeira com ripas de 7 x 2 cm, altura de 1.50 m e caibro de 8 x 8 cm em madeira de lei espaçados a cada 2.0 m</t>
  </si>
  <si>
    <t>200105</t>
  </si>
  <si>
    <t>Cerca com tela fio 16 malha losangular de 2", fixadas c/ grampos em pontaletes de madeira de lei 8x8cm espaçados de 1.5m, com bases concretadas e com três fios tensores de arame galvanizado n.12</t>
  </si>
  <si>
    <t>200107</t>
  </si>
  <si>
    <t>Cerca com cinco fios de arame liso n. 12 fixados com grampos em pontaletes de madeira de lei de 8 x 8cm a cada 2.0 m e altura livre de 1.6 m</t>
  </si>
  <si>
    <t>200108</t>
  </si>
  <si>
    <t>Muro de arrimo de concreto ciclópico com aterro na parte posterior, inclusive forma de madeira e dreno de brita</t>
  </si>
  <si>
    <t>200120</t>
  </si>
  <si>
    <t>Cerca H=2.30cm, c/tela losang. arame fio 12 malha 2" revest. em PVC com mourão curvo de concreto H=3,20m, secção T, fixado emsolo, a cada 3m, c/3 fios de arame farpado na parte curva, incl 3 fios tensores, chumbadores e sapata de 40x40x50cm</t>
  </si>
  <si>
    <t>200124</t>
  </si>
  <si>
    <t>Muro de alvenaria de blocos cerâmicos 10x20x20cm, c/ pilares a cada 2 m, esp. 10cm e h=2.5m, revestido com chapisco, reboco e pintura acrílica a 2 demãos, incl. pilares, cintas e sapatas, empregando arg. cimento cal e areia</t>
  </si>
  <si>
    <t>200128</t>
  </si>
  <si>
    <t>Alambrado sobre muro existente, executado em tela fio 12 malha 3", com 02 fios tensores, fixados em tubos de FG 11/2" colocados a cada 3m (h do alambrado =1,5m), inlcusive chumbamento no muro</t>
  </si>
  <si>
    <t>200129</t>
  </si>
  <si>
    <t>Cerca com mourão de concreto reto H=2.5, base quadrada 10x10cm, fixado em solo a cada 3.0m, com 10 fios de arame galvanizado liso nº 10</t>
  </si>
  <si>
    <t>200130</t>
  </si>
  <si>
    <t>Gradil H = 1.90m padrão SEDU em tudo de FG 2" e barra chata de 11/2"x1/4", para fixação sobre mureta conforme projeto, exclusive a mureta.</t>
  </si>
  <si>
    <t>200131</t>
  </si>
  <si>
    <t>Gradil H = 1.90m padrão SEDU em tubo de FG 31/2" e barra chata de 2"x1/4" para fixação sobre mureta conforme projeto, exclusive a mureta.</t>
  </si>
  <si>
    <t>2002</t>
  </si>
  <si>
    <t>200202</t>
  </si>
  <si>
    <t>Meio-fio de concreto pré-moldado com dimensões de 15x12x30x100 cm , rejuntados com argamassa de cimento e areia no traço 1:3</t>
  </si>
  <si>
    <t>200206</t>
  </si>
  <si>
    <t>Blocos pré-moldados de concreto tipo pavi-s ou equivalente, espessura de 8 cm e resistência a compressão mínima de 35MPa, assentados sobre colchão de pó de pedra na espessura de 10 cm</t>
  </si>
  <si>
    <t>200209</t>
  </si>
  <si>
    <t>Passeio de cimentado camurçado com argamassa de cimento e areia no traço 1:3 esp. 1.5cm, e lastro de concreto com 8cm de espessura, inclusive preparo de caixa</t>
  </si>
  <si>
    <t>200214</t>
  </si>
  <si>
    <t>Blocos pré-moldados de concreto tipo pavi-s ou equivalente, espessura 10 cm e resistência a compressão mínima de 35MPa, assentados sobre colchão de pó de pedra na espessura de 10 cm</t>
  </si>
  <si>
    <t>200223</t>
  </si>
  <si>
    <t>200229</t>
  </si>
  <si>
    <t>Meio-fio de concreto moldado in-loco com formas de chapa compensada resinada 6mm, nas dimensões 10 x 30 cm, incl. escavação, reaterro e bota-fora</t>
  </si>
  <si>
    <t>200237</t>
  </si>
  <si>
    <t>Blocos pré-moldados de concreto tipo pavi-s ou equivalente, espessura de 6 cm e resistência a compressão mínima de 35MPa, assentados sobre colchão de pó de pedra na espessura de 10 cm</t>
  </si>
  <si>
    <t>200243</t>
  </si>
  <si>
    <t>Canaleta no piso em concreto simples com dimensões internas de 20 x 10 cm e grelha em ferro diam. 1/2" a cada 3 cm fixados em cantoneira de 3/4" x 1/8" apoiada sobre requadro em cantoneira de 1" x 3/16"</t>
  </si>
  <si>
    <t>200253</t>
  </si>
  <si>
    <t>Fornecimento e assentamento de ladrilho hidráulico pastilhado, vermelho, dim. 20x20 cm, esp. 1.5cm, assentado com pasta de cimento colante, exclusive regularização e lastro</t>
  </si>
  <si>
    <t>200254</t>
  </si>
  <si>
    <t>2003</t>
  </si>
  <si>
    <t>200303</t>
  </si>
  <si>
    <t>Fornecimento de grama tipo esmeralda em placas com espessura de 0.06 m, exclusive plantio</t>
  </si>
  <si>
    <t>200305</t>
  </si>
  <si>
    <t>Fornecimento e espalhamento de areia média lavada</t>
  </si>
  <si>
    <t>200306</t>
  </si>
  <si>
    <t>Fornecimento e espalhamento de brita 1 ou 2</t>
  </si>
  <si>
    <t>200307</t>
  </si>
  <si>
    <t>Fornecimento e espalhamento de terra vegetal</t>
  </si>
  <si>
    <t>200323</t>
  </si>
  <si>
    <t>Fornecimento e espalhamento de pó de pedra</t>
  </si>
  <si>
    <t>200326</t>
  </si>
  <si>
    <t>2004</t>
  </si>
  <si>
    <t>200401</t>
  </si>
  <si>
    <t>Limpeza geral da obra (edificação)</t>
  </si>
  <si>
    <t>200402</t>
  </si>
  <si>
    <t>Limpeza geral de obras (quadras, praças e jardins)</t>
  </si>
  <si>
    <t>200404</t>
  </si>
  <si>
    <t>Limpeza de pisos e revestimentos cerâmicos</t>
  </si>
  <si>
    <t>2005</t>
  </si>
  <si>
    <t>DIVERSOS EXTERNOS</t>
  </si>
  <si>
    <t>200511</t>
  </si>
  <si>
    <t>Banco de concreto aparente com tampo de 40x40x5 cm e base de 20x20x36 cm para mesa de jogos, conforme detalhe em projeto</t>
  </si>
  <si>
    <t>200512</t>
  </si>
  <si>
    <t>Mesa de concreto aparente com tampo de 60x60x5 cm, base de 30x30x75 cm e tabuleiro 40x40cm embutido no concreto, feito com pastilhas de mármore branco e granito preto de 5x5x2cm conf. projeto</t>
  </si>
  <si>
    <t>200513</t>
  </si>
  <si>
    <t>Escada tipo marinheiro de tubo de ferro 1" e 3/4", com h=4.20m, para acesso a caixa d'água, inclusive pintura em esmalte sintético, conforme detalhe em projeto</t>
  </si>
  <si>
    <t>200562</t>
  </si>
  <si>
    <t>Caixa pré-moldada de concreto para aparelho de ar condicionado de 18.000 BTU</t>
  </si>
  <si>
    <t>200563</t>
  </si>
  <si>
    <t>Banco de concreto armado aparente com apoios de alvenaria assentada com argamassa de cimento, cal e areia, largura de 0,50m e espessura de 0,05m</t>
  </si>
  <si>
    <t>200572</t>
  </si>
  <si>
    <t>Poço c/ anéis pré-moldados diam. 1.5m e profundidade de 7m, inclusive fornecimento</t>
  </si>
  <si>
    <t>200573</t>
  </si>
  <si>
    <t>Bicicletário em tubo de ferro galvanizado 1" e ferro liso 1/2", inclusive pintura, conforme projeto padrão SEDU</t>
  </si>
  <si>
    <t>200576</t>
  </si>
  <si>
    <t>Placa para inauguração de obra em alumínio polido e=4mm, dimensões 40 x 50 cm, gravação em baixo relevo, inclusive pintura e fixação</t>
  </si>
  <si>
    <t>2007</t>
  </si>
  <si>
    <t>QUADRA DE ESPORTES (Ver nota 9 da planilha)</t>
  </si>
  <si>
    <t>200702</t>
  </si>
  <si>
    <t>Piso quadra poliesp. fck=25MPa, esp.=10 cm, armado c/ tela Q138, concret camada única bombeável c/ brita n. 1, acab. sup. c/ rotoalisador, juntas c/ corte serra diamant. preench. c/ mastique, base 5cm solo brita 30% e resina endur</t>
  </si>
  <si>
    <t>200703</t>
  </si>
  <si>
    <t>Pintura à base de epoxi, marcas de referência Suvinil, Coral ou Novacor, em faixas com largura de 5cm, para demarcação de quadras de esportes</t>
  </si>
  <si>
    <t>200704</t>
  </si>
  <si>
    <t>Pintura com tinta à base de resinas acrílicas, marcas de referencia Suvinil, Coral ou Novacor, sobre piso de concreto a duas demãos</t>
  </si>
  <si>
    <t>200705</t>
  </si>
  <si>
    <t>Rede para voleibol com malha grossa, faixas de lona superior e inferior</t>
  </si>
  <si>
    <t>200706</t>
  </si>
  <si>
    <t>Suporte para tabela de basquete de concreto armado Fck = 15MPa, inclusive forma, armação, lançamento e desforma</t>
  </si>
  <si>
    <t>200707</t>
  </si>
  <si>
    <t>Trave para futebol de salão de tubo de ferro galvanizado 3", com recuo, removível, dimensões oficiais 3x2m</t>
  </si>
  <si>
    <t>200708</t>
  </si>
  <si>
    <t>Conjunto de poste de voleibol de tubo de ferro galvanizado 3"e parte móvel de 21/2", inclusive carretilha, furo com tubo de ferro galvanizado de 31/2"e tampão de furo</t>
  </si>
  <si>
    <t>200709</t>
  </si>
  <si>
    <t>Tabela de basquete de madeira, com aro, inclusive colocação</t>
  </si>
  <si>
    <t>200711</t>
  </si>
  <si>
    <t>Alambrado com tela fio 12, malha de 1", tubos de ferro galvanizado verticais de 2" e tubos de ferro galvanizado horizontais de 1" soldados nas partes superior e inferior, inclusive portão</t>
  </si>
  <si>
    <t>200713</t>
  </si>
  <si>
    <t>Rede para futebol de salão</t>
  </si>
  <si>
    <t>200714</t>
  </si>
  <si>
    <t>Preparo, regularização e compactação do terreno (compactador manual) para execução de piso de quadra</t>
  </si>
  <si>
    <t>200715</t>
  </si>
  <si>
    <t>Mureta em alvenaria de blocos cerâmicos 10x20x20cmm, h=0.60cm, para fechamento de quadra, com pilaretes de travamento em concreto armado a cada 3m, inclusive chapisco</t>
  </si>
  <si>
    <t>200716</t>
  </si>
  <si>
    <t>Parede em alvenaria de bloco cerâmico 10x20x20cm, h=2m, para proteção de fundo de gol (quadra poliesportiva), com pilares em concreto armado a cada 3m para travamento, inclusive chapisco</t>
  </si>
  <si>
    <t>200717</t>
  </si>
  <si>
    <t>Goivete nas dimensões 2x1 executado sobre alvenaria chapiscada e rebocada</t>
  </si>
  <si>
    <t>200720</t>
  </si>
  <si>
    <t>Forn e assent de telhas de liga de alumínio e zinco (galvalume), ondulada, esp. mínima 0.43mm, alt. mínima de onda 17mm, sobrep. lateral de uma onda e longit. 200mm c/ mínimo de 3 apoios, assent. c/ utiliz. de fitas anti-corrosiva</t>
  </si>
  <si>
    <t>200721</t>
  </si>
  <si>
    <t>Rede de proteção em nylon malha 10x10 cm para proteção de quadra de esportes</t>
  </si>
  <si>
    <t>200722</t>
  </si>
  <si>
    <t>Projetor marca de referência tecnowatt PL 400MA com lâmpada Vapor de Mercúrio 400W</t>
  </si>
  <si>
    <t>200725</t>
  </si>
  <si>
    <t>Pintura a base de epoxi, marcas de referência Suvinil, Coral ou Novacor, em faixas largura de 8cm para demarcação de quadra de esportes</t>
  </si>
  <si>
    <t>200726</t>
  </si>
  <si>
    <t>Recuperação de piso de quadra com demolição parcial do concreto e aplicação de granilite, inclusive regularização</t>
  </si>
  <si>
    <t>200728</t>
  </si>
  <si>
    <t>Alambrado com tela losangular de arame fio 12, malha 2" revestido em PVC com tubo de ferro galvanizado vertical de 21/2" e horizontal de 1", inclusive portão, pintados com esmalte sobre fundo anti corrosivo</t>
  </si>
  <si>
    <t>200738</t>
  </si>
  <si>
    <t>Estrut. metálica p/ quadra poliesp. coberta constituída por perfis formados a frio, aço estrutural ASTM A-570 G33 (terças) ASTM A-36 (demais perfis) c/ o sistema de trat. e pint conf descrito em notas da planilha</t>
  </si>
  <si>
    <t>21</t>
  </si>
  <si>
    <t>SERVIÇOS COMPLEMENTARES INTERNOS</t>
  </si>
  <si>
    <t>2101</t>
  </si>
  <si>
    <t>QUADROS DE GIZ / AVISO</t>
  </si>
  <si>
    <t>210105</t>
  </si>
  <si>
    <t>Quadro de avisos de fórmica lisa brilhante</t>
  </si>
  <si>
    <t>210109</t>
  </si>
  <si>
    <t>Quadro mural de azulejo extra 15 x 15 cm e moldura de madeira de lei de 7.0 x 2.5 cm nas dimensões de 2.09 x 1.04 m</t>
  </si>
  <si>
    <t>2102</t>
  </si>
  <si>
    <t>ARMÁRIOS E PRATELEIRAS</t>
  </si>
  <si>
    <t>210210</t>
  </si>
  <si>
    <t>Prateleiras em granito cinza andorinha, esp. 2cm</t>
  </si>
  <si>
    <t>2103</t>
  </si>
  <si>
    <t>DIVERSOS INTERNOS</t>
  </si>
  <si>
    <t>210301</t>
  </si>
  <si>
    <t>Guarda corpo de tubo de ferro galvanizado, diâm. 3" e 2", h=0.8 m inclusive pintura a óleo ou esmalte</t>
  </si>
  <si>
    <t>210302</t>
  </si>
  <si>
    <t>210304</t>
  </si>
  <si>
    <t>Banco de concreto armado aparente Fck=15 MPa, com apoios de concreto, largura de 45cm, espessura de 7cm e altura de 45cm</t>
  </si>
  <si>
    <t>210316</t>
  </si>
  <si>
    <t>Alçapão de visita ao barrilete de chapa de madeira de lei medindo 60x60cm, inclusive dobradiça, marco, alizar e fechadura, emassamento e pintura</t>
  </si>
  <si>
    <t>210321</t>
  </si>
  <si>
    <t>Proteção para caixa de descarga em malha de ferro 3/4" fio 12, perfil "L" 1" e barra chata 3/4" x 1/8", conf. detalhe</t>
  </si>
  <si>
    <t>210322</t>
  </si>
  <si>
    <t>Corrimão em tubo de ferro galvanizado diam. 2" com chumbadores a cada 1.5m</t>
  </si>
  <si>
    <t>22</t>
  </si>
  <si>
    <t>APOIO</t>
  </si>
  <si>
    <t>2208</t>
  </si>
  <si>
    <t>Locação de veículo tipo Gol 1.000 a gasolina ou equivalente, com até 1 (um) ano de uso, em bom estado de conservação com:</t>
  </si>
  <si>
    <t>220803</t>
  </si>
  <si>
    <t>(Gol 1.000 4P- gasolina - preço LABOR) Seguro total, manutenção, combustível, eventuais taxas e emolumentos, bem como eventual substituição do veículo (se necessário), sem motorista, utilização até 2.000 (dois mil) km/mês</t>
  </si>
  <si>
    <t>31</t>
  </si>
  <si>
    <t>SERVIÇOS GERAIS</t>
  </si>
  <si>
    <t>3106</t>
  </si>
  <si>
    <t>MÃO DE OBRA - (MENSALISTAS - LEIS SOCIAIS = 5%)</t>
  </si>
  <si>
    <t>310601</t>
  </si>
  <si>
    <t>Estagiário 4 horas - UFES (Leis Sociais = 5%)</t>
  </si>
  <si>
    <t>MS</t>
  </si>
  <si>
    <t>3108</t>
  </si>
  <si>
    <t>ENCARGOS COMPLEMENTARES - EQUIPAMENTOS DE PROTEÇÃO INDIVIDUAL</t>
  </si>
  <si>
    <t>310801</t>
  </si>
  <si>
    <t>Capacete de obra</t>
  </si>
  <si>
    <t>310802</t>
  </si>
  <si>
    <t>Uniforme de obra (Calça e camisa)</t>
  </si>
  <si>
    <t>310803</t>
  </si>
  <si>
    <t>Veste de segurança</t>
  </si>
  <si>
    <t>310804</t>
  </si>
  <si>
    <t>Bota de segurança (par)</t>
  </si>
  <si>
    <t>310805</t>
  </si>
  <si>
    <t>Óculos de proteção</t>
  </si>
  <si>
    <t>310806</t>
  </si>
  <si>
    <t>Luva de raspa (par)</t>
  </si>
  <si>
    <t>310807</t>
  </si>
  <si>
    <t>Capa de chuva</t>
  </si>
  <si>
    <t>310808</t>
  </si>
  <si>
    <t>Máscara de ar</t>
  </si>
  <si>
    <t>310809</t>
  </si>
  <si>
    <t>Cinto de segurança</t>
  </si>
  <si>
    <t>3109</t>
  </si>
  <si>
    <t>ENCARGOS COMPLEMENTARES - FERRAMENTAS MANUAIS</t>
  </si>
  <si>
    <t>310901</t>
  </si>
  <si>
    <t>Picareta com cabo</t>
  </si>
  <si>
    <t>310902</t>
  </si>
  <si>
    <t>Pá de pedreiro com cabo</t>
  </si>
  <si>
    <t>310903</t>
  </si>
  <si>
    <t>Enxada com cabo</t>
  </si>
  <si>
    <t>310904</t>
  </si>
  <si>
    <t>Serrote 26"</t>
  </si>
  <si>
    <t>310905</t>
  </si>
  <si>
    <t>Martelo com cabo</t>
  </si>
  <si>
    <t>310906</t>
  </si>
  <si>
    <t>Nivel de pedreiro</t>
  </si>
  <si>
    <t>310907</t>
  </si>
  <si>
    <t>Alicate universal</t>
  </si>
  <si>
    <t>310908</t>
  </si>
  <si>
    <t>Marreta 5 Kg com cabo</t>
  </si>
  <si>
    <t>310909</t>
  </si>
  <si>
    <t>Chave de grifo 10"</t>
  </si>
  <si>
    <t>310910</t>
  </si>
  <si>
    <t>Jogo de chave de fenda</t>
  </si>
  <si>
    <t>310911</t>
  </si>
  <si>
    <t>Cavadeira de braço</t>
  </si>
  <si>
    <t>310912</t>
  </si>
  <si>
    <t>Serra Tico-tico</t>
  </si>
  <si>
    <t>310913</t>
  </si>
  <si>
    <t>Serra de disco (circular)</t>
  </si>
  <si>
    <t>310914</t>
  </si>
  <si>
    <t>Carrinho de mão</t>
  </si>
  <si>
    <t>3125</t>
  </si>
  <si>
    <t>MÃO DE OBRA (MENSALISTAS - COM DESONERAÇÃO - LEIS SOCIAIS=49,11%)</t>
  </si>
  <si>
    <t>312501</t>
  </si>
  <si>
    <t>Tecnico Segundo Grau -A-(Leis Sociais = 49,11%)</t>
  </si>
  <si>
    <t>312502</t>
  </si>
  <si>
    <t>Engenheiro Senior(Leis Sociais = 49,11%)</t>
  </si>
  <si>
    <t>312503</t>
  </si>
  <si>
    <t>Programador (Leis Sociais = 49,11%)</t>
  </si>
  <si>
    <t>312504</t>
  </si>
  <si>
    <t>Digitador - 6 Horas(Leis Sociais = 49,11%)</t>
  </si>
  <si>
    <t>312505</t>
  </si>
  <si>
    <t>Engenheiro Junior (Leis Sociais = 49,11%)</t>
  </si>
  <si>
    <t>312506</t>
  </si>
  <si>
    <t>Tecnico Segundo Grau -B (Leis Sociais = 49,11%)</t>
  </si>
  <si>
    <t>312507</t>
  </si>
  <si>
    <t>Tecnico Segundo Grau-C - (Leis Sociais = 49,11%)</t>
  </si>
  <si>
    <t>312508</t>
  </si>
  <si>
    <t>Gerente de Projeto (Leis Sociais = 49,11%)</t>
  </si>
  <si>
    <t>312509</t>
  </si>
  <si>
    <t>Analista de Sistemas (Leis Sociais = 49,11%)</t>
  </si>
  <si>
    <t>312510</t>
  </si>
  <si>
    <t>Analista de Desenvolvimento (Leis Sociais = 49,11%)</t>
  </si>
  <si>
    <t>312511</t>
  </si>
  <si>
    <t>Gerente Bd/Servidores/Redes (Leis Sociais = 49,11%)</t>
  </si>
  <si>
    <t>312512</t>
  </si>
  <si>
    <t>Designer Gráfico (Leis Sociais = 49,11%)</t>
  </si>
  <si>
    <t>312513</t>
  </si>
  <si>
    <t>Analista Sistemas/Suporte(Leis Sociais = 49,11%)</t>
  </si>
  <si>
    <t>312514</t>
  </si>
  <si>
    <t>Coordenador Tecnico Especialista(Leis Sociais = 49,11%)</t>
  </si>
  <si>
    <t>312515</t>
  </si>
  <si>
    <t>Cotador(Leis Sociais = 49,11%)</t>
  </si>
  <si>
    <t>312516</t>
  </si>
  <si>
    <t>Tecnico Nivel Superior (Leis Sociais = 49,11%)</t>
  </si>
  <si>
    <t>312517</t>
  </si>
  <si>
    <t>Engenheiro Pleno(Leis Sociais = 49,11%)</t>
  </si>
  <si>
    <t>312518</t>
  </si>
  <si>
    <t>Almoxarife(Leis Sociais = 49,11%)</t>
  </si>
  <si>
    <t>312519</t>
  </si>
  <si>
    <t>Mestre Obras Senior (Leis Sociais = 49,11%)</t>
  </si>
  <si>
    <t>312520</t>
  </si>
  <si>
    <t>Vigia (Leis Sociais = 49,11%)</t>
  </si>
  <si>
    <t>312522</t>
  </si>
  <si>
    <t>Encarregado de Turma (Leis Sociais = 49,11%)</t>
  </si>
  <si>
    <t>3126</t>
  </si>
  <si>
    <t>MÃO DE OBRA (MENSALISTAS - SEM DESONERAÇÃO - LEIS SOCIAIS=72,68%)</t>
  </si>
  <si>
    <t>312601</t>
  </si>
  <si>
    <t>312602</t>
  </si>
  <si>
    <t>Engenheiro Senior (Leis Sociais = 72,68%)</t>
  </si>
  <si>
    <t>312603</t>
  </si>
  <si>
    <t>Programador (Leis Sociais = 72,68%)</t>
  </si>
  <si>
    <t>312604</t>
  </si>
  <si>
    <t>Digitador - 6 Horas (Leis Sociais = 72,68%)</t>
  </si>
  <si>
    <t>312605</t>
  </si>
  <si>
    <t>312606</t>
  </si>
  <si>
    <t>Tecnico Segundo Grau -B (Leis Sociais = 72,68%)</t>
  </si>
  <si>
    <t>312607</t>
  </si>
  <si>
    <t>Tecnico Segundo Grau-C - (Leis Sociais = 72,68%)</t>
  </si>
  <si>
    <t>312608</t>
  </si>
  <si>
    <t>Gerente de Projeto (Leis Sociais = 72,68%)</t>
  </si>
  <si>
    <t>312609</t>
  </si>
  <si>
    <t>Analista de Sistemas (Leis Sociais = 72,68%)</t>
  </si>
  <si>
    <t>312610</t>
  </si>
  <si>
    <t>Analista de Desenvolvimento (Leis Sociais = 72,68%)</t>
  </si>
  <si>
    <t>312611</t>
  </si>
  <si>
    <t>Gerente Bd/Servidores/Redes (Leis Sociais = 72,68%)</t>
  </si>
  <si>
    <t>312612</t>
  </si>
  <si>
    <t>Designer Gráfico (Leis Sociais = 72,68%)</t>
  </si>
  <si>
    <t>312613</t>
  </si>
  <si>
    <t>Analista Sistemas/Suporte (Leis Sociais = 72,68%)</t>
  </si>
  <si>
    <t>312614</t>
  </si>
  <si>
    <t>Coordenador Tecnico Especialista (Leis Sociais = 72,68%)</t>
  </si>
  <si>
    <t>312615</t>
  </si>
  <si>
    <t>Cotador (Leis Sociais = 72,68%)</t>
  </si>
  <si>
    <t>312616</t>
  </si>
  <si>
    <t>Tecnico Nivel Superior (Leis Sociais = 72,68%)</t>
  </si>
  <si>
    <t>312617</t>
  </si>
  <si>
    <t>Engenheiro Pleno (Leis Sociais = 72,68%)</t>
  </si>
  <si>
    <t>312618</t>
  </si>
  <si>
    <t>Almoxarife (Leis Sociais = 72,68%)</t>
  </si>
  <si>
    <t>312619</t>
  </si>
  <si>
    <t>Mestre Obras Senior (Leis Sociais = 72,68%)</t>
  </si>
  <si>
    <t>312620</t>
  </si>
  <si>
    <t>312621</t>
  </si>
  <si>
    <t>Aux Almoxarife (Leis Sociais = 72,68%)</t>
  </si>
  <si>
    <t>312622</t>
  </si>
  <si>
    <t>Encarregado de Turma (Leis Sociais = 72,68%)</t>
  </si>
  <si>
    <t>%</t>
  </si>
  <si>
    <t>Carga de escoria de aciaria de vagão ferroviário supervisionado</t>
  </si>
  <si>
    <t>Carga de material de 1ª categoria</t>
  </si>
  <si>
    <t>Carga de material de 2ª categoria (solo, areia, brita, excl. rocha escavada)</t>
  </si>
  <si>
    <t>Carga de material de 3ª categoria (rocha)</t>
  </si>
  <si>
    <t>Compactação de aterros em rocha</t>
  </si>
  <si>
    <t>Compactação de aterros 100% PN</t>
  </si>
  <si>
    <t>Decapagem de pedreira, 1ª categoria, com escavadeira</t>
  </si>
  <si>
    <t>Decapagem de pedreira, 1ª categoria, com trator de esteiras</t>
  </si>
  <si>
    <t>Demolição de material de 3ª categoria com fio diamantado</t>
  </si>
  <si>
    <t>Demolição de rocha a frio até 3 metros com utilização de argamassa expansiva, inclusive remoção com trator de esteiras</t>
  </si>
  <si>
    <t>Desmonte de rocha</t>
  </si>
  <si>
    <t>Destocamento de árvores com diâmetro  &gt; 30 cm, com trator de esteira</t>
  </si>
  <si>
    <t>Ud</t>
  </si>
  <si>
    <t>Destocamento de árvores com diâmetro de 15 a 30 cm, com trator de esteira</t>
  </si>
  <si>
    <t>Escalonamento de taludes com escavadeira</t>
  </si>
  <si>
    <t>Escalonamento de taludes, com trator de esteiras</t>
  </si>
  <si>
    <t>Escavação e carga de material de barreira (remoção)</t>
  </si>
  <si>
    <t>Escavação e carga de material de 1ª categoria com escavadeira</t>
  </si>
  <si>
    <t>Escavação e carga de material de 1ª categoria, com trator de esteira e pá carregadeira</t>
  </si>
  <si>
    <t>Escavação e carga de material de 2ª categoria com escavadeira</t>
  </si>
  <si>
    <t>Escavação e carga de material de 2ª categoria, com trator de esteira e pá carregadeira</t>
  </si>
  <si>
    <t>Escavação e carga de material de 3ª categoria (H bancada &gt;1,0 m)</t>
  </si>
  <si>
    <t>Espalhamento de material de 1ª categoria com trator de esteiras</t>
  </si>
  <si>
    <t>Fragmentação de rocha (fogacheamento)</t>
  </si>
  <si>
    <t>Limpeza de acostamento</t>
  </si>
  <si>
    <t>M2</t>
  </si>
  <si>
    <t>Limpeza, desmatamento e destocamento de árvores com diâmetro até 15 cm, com trator de esteira</t>
  </si>
  <si>
    <t>Limpeza, desmatamento e destocamento de jazida com remoçao 15 cm solo orgânico</t>
  </si>
  <si>
    <t>Pré-fissuramento de taludes de rocha</t>
  </si>
  <si>
    <t>Remoção de solos moles, incluindo carregamento mecânico com escavadeira hidráulica</t>
  </si>
  <si>
    <t>Roçada mecânica</t>
  </si>
  <si>
    <t>Base com mistura de argila, areia e escória de aciaria, 50%,20%,30%, inclusive fornecim.e transp. areia e escória, exclusive fornecim. e transp.argila</t>
  </si>
  <si>
    <t>Base com mistura de argila 30%, pó de pedra 30% e brita 40%, inclusive fornecimento e transporte do pó de pedra e da brita</t>
  </si>
  <si>
    <t>Base com mistura de argila 70% e escória de aciaria 30%, inclusive fornecim. e transporte da escória, exclusive fornecimento e transporte da argila</t>
  </si>
  <si>
    <t>Base com mistura de Saibro, Argila e Brita, 45%, 15% e 40%, exclusive transporte</t>
  </si>
  <si>
    <t>Base com mistura de solo 80% e areia 20%, inclusive transporte da areia</t>
  </si>
  <si>
    <t>Base de brita graduada, inclusive fornecimento e transporte da brita</t>
  </si>
  <si>
    <t>Base de brita graduada, inclusive fornecimento, exclusive transporte da brita</t>
  </si>
  <si>
    <t>Base de brita 1, inclusive fornecimento, exclusive transporte da brita</t>
  </si>
  <si>
    <t>Base de escória de aciaria, inclusive fornecimento e transporte da escória</t>
  </si>
  <si>
    <t>Base de escória/solo na proporção 75:25, inclusive fornecimento da escória, exceto fornecimento do solo e transporte do solo e escória</t>
  </si>
  <si>
    <t>Base de solo brita, 20% em peso, inclusive fornecim. da brita, exclusive transporte da brita e do solo (100% P.IM)</t>
  </si>
  <si>
    <t>Base de solo brita, 40% em peso, inclusive fornecimento, exclusive transporte da brita</t>
  </si>
  <si>
    <t>Base de solo brita, 50% em peso, inclusive fornecimento, exclusive transporte da brita</t>
  </si>
  <si>
    <t>Base de solo brita, 70% em peso, inclusive fornecimento, exclusive transporte da brita</t>
  </si>
  <si>
    <t>Base de solo brita, 80% em peso, inclusive fornecimento e transporte da brita</t>
  </si>
  <si>
    <t>Base solo brita, 20% em peso, inclusive fornecimento e transporte da brita</t>
  </si>
  <si>
    <t>Base solo brita, 30% em peso, inclusive fornecimento e  transporte da brita</t>
  </si>
  <si>
    <t>Base solo brita, 50% em peso, inclusive fornecimento e transporte da brita</t>
  </si>
  <si>
    <t>Base solo brita, 70% em peso, inclusive fornecimento e transporte da brita</t>
  </si>
  <si>
    <t>Base solo brita, 80% em peso, inclusive fornecimento, exclusive transporte da brita</t>
  </si>
  <si>
    <t>Capa selante (emulsão e areia) exclusive fornecimento e transporte comercial da emulsão, inclusive transporte da areia</t>
  </si>
  <si>
    <t>Capa selante (emulsão e areia) inclusive fornecimento e transporte comercial da emulsão</t>
  </si>
  <si>
    <t>CBUQ (massa asfáltica-faixa"C") exclusive fornecimento CAP e transporte de todos os materiais</t>
  </si>
  <si>
    <t>CBUQ (massa fina - faixa"D") exclusive fornecimento do CAP e transp.de todos os materiais</t>
  </si>
  <si>
    <t>Demolição e remoção de pavimento asfáltico</t>
  </si>
  <si>
    <t>Estabilização granulométrica de solo s/ mistura 100% P.I.</t>
  </si>
  <si>
    <t>Estabilização granulométrica de solo s/ mistura 100% P.M.</t>
  </si>
  <si>
    <t>Estabilização granulométrica de solos c/ mistura na pista 100 % P.I.</t>
  </si>
  <si>
    <t>Estabilização granulométrica de solos c/ mistura na pista 100%  P.M.</t>
  </si>
  <si>
    <t>Fresagem de pavimento asfáltico a frio, esp. até 15cm, exclusive transporte de materiais</t>
  </si>
  <si>
    <t>Imprimação exclusive fornecimento e transporte comercial do material betuminoso</t>
  </si>
  <si>
    <t>Imprimação inclusive fornecimento e transporte comercial do material betuminoso</t>
  </si>
  <si>
    <t>Lama asfáltica (faixa I - ISSA) exclusive fornecimento e transporte comercial da emulsão</t>
  </si>
  <si>
    <t>Lama asfáltica (faixa I - ISSA) inclusive fornecimento e transporte comercial da emulsão</t>
  </si>
  <si>
    <t>Lama asfáltica (faixa II - ISSA) exclusive fornecimento e transporte comercial da emulsão</t>
  </si>
  <si>
    <t>Lama asfáltica (faixa II - ISSA) inclusive fornecimento e transporte comercial da emulsão</t>
  </si>
  <si>
    <t>Lama asfáltica (faixa III - ISSA) exclusive fornecimento e transporte comercial da emulsão</t>
  </si>
  <si>
    <t>Lama asfáltica (faixa III - ISSA) inclusive fornecimento e transporte comercial da emulsão</t>
  </si>
  <si>
    <t>Lama asfáltica (faixa IV - ISSA) exclusive fornecimento e transporte comercial da emulsão</t>
  </si>
  <si>
    <t>Lama asfáltica (faixa IV - ISSA) inclusive fornecimento e transporte comercial da emulsão</t>
  </si>
  <si>
    <t>Meio fio (assentamento), inclusive caiação</t>
  </si>
  <si>
    <t>Meio fio (remoção e reassentamento),  inclusive caiação</t>
  </si>
  <si>
    <t>Micro revestimento asfáltico à frio exclusive fornecimento e transporte comercial do material betuminoso</t>
  </si>
  <si>
    <t>Micro revestimento asfáltico à frio exclusive fornecimento emulsão e transp. de todos os materiais</t>
  </si>
  <si>
    <t>Micro revestimento asfáltico à frio inclusive fornecimento e transporte comercial do material betuminoso</t>
  </si>
  <si>
    <t>Obturação de buracos c/ CBUQ exclusive fornecimento e transporte comercial dos materiais betuminosos</t>
  </si>
  <si>
    <t>Obturação de buracos c/ CBUQ exclusive fornecimento e transporte dos materiais betuminosos</t>
  </si>
  <si>
    <t>Obturação de buracos c/ CBUQ inclusive fornecimento e transporte comercial dos materiais betuminosos</t>
  </si>
  <si>
    <t>Obturação de buracos c/ CBUQ inclusive fornecimento e transporte dos materiais betuminosos</t>
  </si>
  <si>
    <t>Obturação de buracos c/ CBUQ-faixa "C", exclusive forn.do CAP e transporte de todos os materiais</t>
  </si>
  <si>
    <t>Obturação de buracos c/ PMF exclusive fornecimento e transporte comercial da emulsão</t>
  </si>
  <si>
    <t>Obturação de buracos c/ PMF exclusive fornecimento e transporte dos materiais betuminosos</t>
  </si>
  <si>
    <t>Obturação de buracos c/ PMF inclusive fornecimento e transporte comercial da emulsão</t>
  </si>
  <si>
    <t>Obturação de buracos c/ PMF inclusive fornecimento e transporte dos materiais betuminosos</t>
  </si>
  <si>
    <t>Pavimentação com pedra portuguesa, inclusive fornecimento e transporte da pedra portuguesa, cimento e areia</t>
  </si>
  <si>
    <t>Pintura de ligação exclusive fornecimento e transporte comercial do material betuminoso</t>
  </si>
  <si>
    <t>Pintura de ligação inclusive fornecimento e transporte comercial do material betuminoso</t>
  </si>
  <si>
    <t>PMF camada pronta exclusive fornecimento  e transporte comercial da emulsão</t>
  </si>
  <si>
    <t>PMF (massa asfáltica) exclusive fornecimento e transporte comercial da emulsão</t>
  </si>
  <si>
    <t>PMF (massa asfáltica) inclusive fornecimento e transporte comercial da emulsão</t>
  </si>
  <si>
    <t>Pó de pedra, fornecimento</t>
  </si>
  <si>
    <t>Reciclagem de pavimento (base) c/ adição de 20% de brita1, 10% de brita 0 e 2% de cimento, inclusive fornecimento e transportes dos materiais</t>
  </si>
  <si>
    <t>Reciclagem de pavimento (base) c/ adição de 20% de brita1, 10% de brita0 e 2% de cimento, inclusive fornecimento e transportes  dos materiais</t>
  </si>
  <si>
    <t>Reciclagem de pavimento (Base existente + CBUQ) sem adição de materiais</t>
  </si>
  <si>
    <t>Reciclagem de pavimento (Base existente + T.S.D.) c/ adição de 30% de brita, inclusive fornecimento e transporte da brita</t>
  </si>
  <si>
    <t>Reciclagem de pavimento (Base existente + T.S.D.) c/ adição de 30% de brita, inclusive fornecimento, exclusive transporte da brita</t>
  </si>
  <si>
    <t>Reciclagem de pavimento (Base existente + T.S.D.) com adição de 20% de brita, inclusive fornecimento e transporte da brita.</t>
  </si>
  <si>
    <t>Reciclagem de pavimento (Base existente + T.S.D.) com adição de 3% de cimento, inclusive fornecimento e tarnsporte do cimento</t>
  </si>
  <si>
    <t>Reciclagem de pavimento (Base existente + T.S.D.) com adição de 40% de brita, inclusive fornecimento e transporte da brita.</t>
  </si>
  <si>
    <t>Reciclagem de pavimento (Base existente + T.S.D.) sem adição de materiais</t>
  </si>
  <si>
    <t>Reciclagem de pavimento com adição de 2% de cimento, inclusive fornecimento e transporte do cimento</t>
  </si>
  <si>
    <t>Reciclagem de pavimento(Base existente + T.S.D.) com adição de 40% de brita, inclusive fornecimento, exclusive transporte da brita</t>
  </si>
  <si>
    <t>Recuperação de base de acostamentos, inclusive fornecimento e transporte da brita</t>
  </si>
  <si>
    <t>Reestabilização da base com adição de 50% de brita, inclusive fonecimento, exclusive transporte da brita</t>
  </si>
  <si>
    <t>Reestabilização de base com adição de 50% de brita, inclusive fornecimento e transporte da brita</t>
  </si>
  <si>
    <t>Reforço do sub leito 100% P.I.</t>
  </si>
  <si>
    <t>Remoção de capa asfáltica em TSS, TSD, ou TST exclusive transporte</t>
  </si>
  <si>
    <t>Remoção de meio fio</t>
  </si>
  <si>
    <t>Remoção de pavimentação poliédrica</t>
  </si>
  <si>
    <t>Remoção e reassentamento de blocos de concreto, inclusive perdas</t>
  </si>
  <si>
    <t>Remoção e reassentamento de paralelepípedos, inclusive perdas, colchão de areia e transportes de areia e paralelepípedo</t>
  </si>
  <si>
    <t>Revestimento em estradas vicinais (saibro)</t>
  </si>
  <si>
    <t>Revestimento primário, espalhamento e compactação (espessura até 0,15m)</t>
  </si>
  <si>
    <t>Sub-base c/ mistura de argila 30%, pó de pedra 30% e brita 40%, inclusive fornecimento e transporte do pó de pedra e da brita</t>
  </si>
  <si>
    <t>Sub-base c/ mistura de solo 80% e areia 20%, inclusive transporte da areia</t>
  </si>
  <si>
    <t>Sub-base com solo/escória na proporção 70:30, inclusive fornecimento da escória, exceto fornecimento do solo e transporte do solo e escória</t>
  </si>
  <si>
    <t>Sub-base de brita graduada, inclusive fornecimento e transporte da brita</t>
  </si>
  <si>
    <t>Sub-base de brita 1, inclusive fornecimento, exclusive transporte da brita</t>
  </si>
  <si>
    <t>Sub-base de escória de aciaria, inclusive fornecimento e transporte da escória</t>
  </si>
  <si>
    <t>Sub-base de solo brita, 50% em peso, inclusive fornecimento, exclusive transporte da brita</t>
  </si>
  <si>
    <t>Sub-base solo brita, 20% em peso, inclusive fornecimento e transporte da brita.</t>
  </si>
  <si>
    <t>Sub-base solo brita, 30% em peso, inclusive fornecimento e transporte da brita</t>
  </si>
  <si>
    <t>Sub-base solo brita, 50% em peso, inclusive fornecimento e transporte da brita</t>
  </si>
  <si>
    <t>Sub-base solo brita, 70% em peso, inclusive fornecimento e transporte da brita</t>
  </si>
  <si>
    <t>T.S.B.D. com capa selante exclusive fornecimento e transporte comercial da emulsão, inclusive lavagem da brita e transporte da areia e brita</t>
  </si>
  <si>
    <t>Aço CA-25, fornecimento, dobragem e colocação nas formas</t>
  </si>
  <si>
    <t>Aluguel mensal de escoramento tubular com tubos metálicos com até 10 metros de altura</t>
  </si>
  <si>
    <t>Alvenaria de bloco (39 x 19 x 19) cm espessura 19 cm, inclusive fornecimento e transporte do bloco, areia e cimento</t>
  </si>
  <si>
    <t>Alvenaria de lajota (20 x 20 x 10) cm espessura 10 cm, inclusive transporte de areia, lajota e cimento</t>
  </si>
  <si>
    <t>Alvenaria de pedra de mão argamassada (argamassa cimento areia 1:4), inclusive transporte da pedra</t>
  </si>
  <si>
    <t>Alvenaria de pedra de mão (junta seca), inclusive transporte da pedra</t>
  </si>
  <si>
    <t>Andaime de madeira para altura até 7 m, compreendendo montagem e desmontagem</t>
  </si>
  <si>
    <t>Andaime suspenso em madeira, inclusive montagem e desmontagem</t>
  </si>
  <si>
    <t>Apicoamento manual de superfície de concreto</t>
  </si>
  <si>
    <t>Apiloamento manual</t>
  </si>
  <si>
    <t>Argamassa de cimento e areia, traço 1:4, consumo de cimento 400 kg/m³</t>
  </si>
  <si>
    <t>Aterro com areia, exceto fornecimento da areia</t>
  </si>
  <si>
    <t>Berço de concreto ciclópico para BDTC diâmetro 0,60 m</t>
  </si>
  <si>
    <t>Berço de concreto ciclópico para BDTC diâmetro 0,80 m</t>
  </si>
  <si>
    <t>Berço de concreto ciclópico para BDTC diâmetro 1,00 m</t>
  </si>
  <si>
    <t>Berço de concreto ciclópico para BDTC diâmetro 1,20 m</t>
  </si>
  <si>
    <t>Berço de concreto ciclópico para BDTC diâmetro 1,50 m</t>
  </si>
  <si>
    <t>Berço de concreto ciclópico para BSTC diâmetro 0,40 m</t>
  </si>
  <si>
    <t>Berço de concreto ciclópico para BSTC diâmetro 0,60 m</t>
  </si>
  <si>
    <t>Berço de concreto ciclópico para BSTC diâmetro 0,80 m</t>
  </si>
  <si>
    <t>Berço de concreto ciclópico para BSTC diâmetro 1,00 m</t>
  </si>
  <si>
    <t>Berço de concreto ciclópico para BSTC diâmetro 1,20 m</t>
  </si>
  <si>
    <t>Berço de concreto ciclópico para BSTC diâmetro 1,50 m</t>
  </si>
  <si>
    <t>Berço de concreto ciclópico para BTTC diâmetro 0,60 m</t>
  </si>
  <si>
    <t>Berço de concreto ciclópico para BTTC diâmetro 0,80 m</t>
  </si>
  <si>
    <t>Berço de concreto ciclópico para BTTC diâmetro 1,00 m</t>
  </si>
  <si>
    <t>Berço de concreto ciclópico para BTTC diâmetro 1,20 m</t>
  </si>
  <si>
    <t>Berço de concreto ciclópico para BTTC diâmetro 1,50 m</t>
  </si>
  <si>
    <t>Boca de BDCC 1,50 x 1,50 m projeto DNIT</t>
  </si>
  <si>
    <t>Boca de BDCC 2,00 x 1,20 m conforme projeto</t>
  </si>
  <si>
    <t>Boca de BDCC 2,00 x 2,00 m projeto DNIT</t>
  </si>
  <si>
    <t>Boca de BDCC 2,00 x 3,00 m projeto DNIT</t>
  </si>
  <si>
    <t>Boca de BDCC 2,50 x 2,00 m conforme projeto</t>
  </si>
  <si>
    <t>Boca de BDCC 2,50 x 2,50 m projeto DNIT</t>
  </si>
  <si>
    <t>Boca de BDCC 2,50 x 3,00 m projeto DNIT</t>
  </si>
  <si>
    <t>Boca de BDCC 3,00 x 3,00 m projeto DNIT</t>
  </si>
  <si>
    <t>Boca de BSCC 1,50 x 1,50 m projeto DNIT</t>
  </si>
  <si>
    <t>Boca de BSCC 2,00 x 2,00 m projeto DNIT</t>
  </si>
  <si>
    <t>Boca de BSCC 2,00 x 3,00 m projeto DNIT</t>
  </si>
  <si>
    <t>Boca de BSCC 2,50 x 2,50 m projeto DNIT</t>
  </si>
  <si>
    <t>Boca de BSCC 2,50 x 3,00 m projeto DNIT</t>
  </si>
  <si>
    <t>Boca de BSCC 3,00 x 3,00 m projeto DNIT</t>
  </si>
  <si>
    <t>Boca de BTCC 1,50 x 1,50 m projeto DNIT</t>
  </si>
  <si>
    <t>Boca de BTCC 2,00 x 2,00 m projeto DNIT</t>
  </si>
  <si>
    <t>Boca de BTCC 2,00 x 3,00 m projeto DNIT</t>
  </si>
  <si>
    <t>Boca de BTCC 2,50 x 2,50 m projeto DNIT</t>
  </si>
  <si>
    <t>Boca de BTCC 2,50 x 3,00 m projeto DNIT</t>
  </si>
  <si>
    <t>Boca de BTCC 3,00 x 3,00 m projeto DNIT</t>
  </si>
  <si>
    <t>Boca de concreto ciclópico para BDTC diâmetro 0,60 m</t>
  </si>
  <si>
    <t>Boca de concreto ciclópico para BDTC diâmetro 0,80 m</t>
  </si>
  <si>
    <t>Boca de concreto ciclópico para BDTC diâmetro 1,00 m</t>
  </si>
  <si>
    <t>Boca de concreto ciclópico para BDTC diâmetro 1,20 m</t>
  </si>
  <si>
    <t>Boca de concreto ciclópico para BDTC diâmetro 1,50 m</t>
  </si>
  <si>
    <t>Boca de concreto ciclópico para BSTC diâmetro 0,40 m</t>
  </si>
  <si>
    <t>Boca de concreto ciclópico para BSTC diâmetro 0,60 m</t>
  </si>
  <si>
    <t>Boca de concreto ciclópico para BSTC diâmetro 0,80 m</t>
  </si>
  <si>
    <t>Boca de concreto ciclópico para BSTC diâmetro 1,00 m</t>
  </si>
  <si>
    <t>Boca de concreto ciclópico para BSTC diâmetro 1,20 m</t>
  </si>
  <si>
    <t>Boca de concreto ciclópico para BSTC diâmetro 1,50 m</t>
  </si>
  <si>
    <t>Boca de concreto ciclópico para BTTC diâmetro 0,60 m</t>
  </si>
  <si>
    <t>Boca de concreto ciclópico para BTTC diâmetro 0,80 m</t>
  </si>
  <si>
    <t>Boca de concreto ciclópico para BTTC diâmetro 1,00 m</t>
  </si>
  <si>
    <t>Boca de concreto ciclópico para BTTC diâmetro 1,20 m</t>
  </si>
  <si>
    <t>Boca de concreto ciclópico para BTTC diâmetro 1,50 m</t>
  </si>
  <si>
    <t>Boca de lobo simples</t>
  </si>
  <si>
    <t>Boca de saída de dreno profundo BSD-01</t>
  </si>
  <si>
    <t>Caixa Boca de Lobo em bloco pré-moldado 1,20 x 1,20m</t>
  </si>
  <si>
    <t>Caixa de passagem (2,50 x 2,50m)</t>
  </si>
  <si>
    <t>Caixa para rede de dutos, dimensões 100 x 100 x 100 cm</t>
  </si>
  <si>
    <t>Caixa para rede de dutos, dimensões 60 x 60 x 60 cm</t>
  </si>
  <si>
    <t>Caixa ralo de elementos pré-moldados em concreto (tudo incluído)</t>
  </si>
  <si>
    <t>Canaleta com grelha DP-1, inclusive transporte da grelha</t>
  </si>
  <si>
    <t>Canaleta de concreto, com forma retangular inclusive caiação - parede 12 cm</t>
  </si>
  <si>
    <t>Canaleta de concreto retangular (0,130m³/m) inclusive caiação</t>
  </si>
  <si>
    <t>Canaleta de concreto (0,130m³/m) forma trapezoidal inclusive caiação</t>
  </si>
  <si>
    <t>Cerca de tela galvanizada fio 12 malha 3"x3", com altura de 1,80 m</t>
  </si>
  <si>
    <t>Cerca em tela revestida em PVC com mourões de concreto, 10 x 10 x 2,40 m,  fornecimento e execução</t>
  </si>
  <si>
    <t>Chapisco com argamassa de cimento e areia no traço 1:3</t>
  </si>
  <si>
    <t>Chapisco com argamassa de cimento e pedrisco no traço 1:4</t>
  </si>
  <si>
    <t>Colchão drenante de areia para fundação de aterros, exclusive o fornecimento de areia</t>
  </si>
  <si>
    <t>Colchão drenante de areia para fundação de aterros, inclusive fornecimento e transporte da areia</t>
  </si>
  <si>
    <t>Colchão drenante de brita 1 inclusive fornecimento, espalhamento, compactação e transporte da brita</t>
  </si>
  <si>
    <t>Colchão drenante de brita 2 inclusive fornecimento, espalhamento, compactação e transporte da brita</t>
  </si>
  <si>
    <t>Colchão drenante de brita 3 inclusive fornecimento, espalhamento, compactação e transporte da brita</t>
  </si>
  <si>
    <t>Coleta drenante (1,00x1,00) m c/ geotêxtil não tecido RT 16kn/m,  inclusive transporte da brita</t>
  </si>
  <si>
    <t>Concreto armado, dosado para resist. 20 Mpa,  incluindo 60kg aço CA-50A, mão de obra p/ corte, dobragem e montagem, exclusive forma</t>
  </si>
  <si>
    <t>Corpo BDTC (grota) diâmetro 0,60 m CA-1 MF exclusive escavação e reaterro, inclusive transporte do tubo</t>
  </si>
  <si>
    <t>Corpo BDTC (grota) diâmetro 0,60 m CA-1 PB exclusive escavação e reaterro, inclusive transporte do tubo</t>
  </si>
  <si>
    <t>Corpo BDTC (grota) diâmetro 0,60 m CA-2 MF exclusive escavação e reaterro, inclusive transporte do tubo</t>
  </si>
  <si>
    <t>Corpo BDTC (grota) diâmetro 0,60 m CA-2 PB exclusive escavação e reaterro, inclusive transporte do tubo</t>
  </si>
  <si>
    <t>Corpo BDTC (grota) diâmetro 0,80 m CA-1 MF exclusive escavação e reaterro, inclusive transporte do tubo</t>
  </si>
  <si>
    <t>Corpo BDTC (grota) diâmetro 0,80 m CA-1 PB exclusive escavação e reaterro, inclusive transporte do tubo</t>
  </si>
  <si>
    <t>Corpo BDTC (grota) diâmetro 0,80 m CA-2 MF exclusive escavação e reaterro, inclusive transporte do tubo</t>
  </si>
  <si>
    <t>Corpo BDTC (grota) diâmetro 0,80 m CA-2 PB exclusive escavação e reaterro, inclusive transporte do tubo</t>
  </si>
  <si>
    <t>Corpo BDTC (grota) diâmetro 1,00 m CA-1 MF exclusive escavação e reaterro, inclusive transporte do tubo</t>
  </si>
  <si>
    <t>Corpo BDTC (grota) diâmetro 1,00 m CA-1 PB exclusive escavação e reaterro, inclusive transporte do tubo</t>
  </si>
  <si>
    <t>Corpo BDTC (grota) diâmetro 1,00 m CA-2 MF exclusive escavação e reaterro, inclusive transporte do tubo</t>
  </si>
  <si>
    <t>Corpo BDTC (grota) diâmetro 1,00 m CA-2 PB exclusive escavação e reaterro, inclusive transporte do tubo</t>
  </si>
  <si>
    <t>Corpo BDTC (grota) diâmetro 1,00 m CA-3 MF exclusive escavação e reaterro, inclusive transporte do tubo</t>
  </si>
  <si>
    <t>Corpo BDTC (grota) diâmetro 1,20 m CA-1 MF exclusive escavação e reaterro, inclusive transporte do tubo</t>
  </si>
  <si>
    <t>Corpo BDTC (grota) diâmetro 1,20 m CA-1 PB exclusive escavação e reaterro, inclusive transporte do tubo</t>
  </si>
  <si>
    <t>Corpo BDTC (grota) diâmetro 1,20 m CA-2 MF exclusive escavação e reaterro, inclusive transporte do tubo</t>
  </si>
  <si>
    <t>Corpo BDTC (grota) diâmetro 1,20 m CA-2 PB exclusive escavação e reaterro, inclusive transporte do tubo</t>
  </si>
  <si>
    <t>Corpo BDTC (grota) diâmetro 1,20 m CA-3 MF exclusive escavação e reaterro, inclusive transporte do tubo</t>
  </si>
  <si>
    <t>Corpo BDTC (grota) diâmetro 1,50 m CA-1 MF exclusive escavação e reaterro, inclusive transporte do tubo</t>
  </si>
  <si>
    <t>Corpo BDTC (grota) diâmetro 1,50 m CA-1 PB exclusive escavação e reaterro, inclusive transporte do tubo</t>
  </si>
  <si>
    <t>Corpo BDTC (grota) diâmetro 1,50 m CA-2 MF exclusive escavação e reaterro, inclusive transporte do tubo</t>
  </si>
  <si>
    <t>Corpo BDTC (grota) diâmetro 1,50 m CA-2 PB exclusive escavação e reaterro, inclusive transporte do tubo</t>
  </si>
  <si>
    <t>Corpo BDTC (grota) diâmetro 1,50 m CA-3 MF exclusive escavação e reaterro, inclusive transporte do tubo</t>
  </si>
  <si>
    <t>Corpo BSTC diâmetro 0,20 m C.S. MF inclusive escavação, reaterro e transporte do tubo</t>
  </si>
  <si>
    <t>Corpo BSTC diâmetro 0,20 m C.S. PB inclusive escavação, reaterro e transporte do tubo</t>
  </si>
  <si>
    <t>Corpo BSTC diâmetro 0,30 m C.S. MF inclusive escavação, reaterro e transporte do tubo</t>
  </si>
  <si>
    <t>Corpo BSTC diâmetro 0,30 m C.S. PB inclusive escavação, reaterro e transporte do tubo</t>
  </si>
  <si>
    <t>Corpo BSTC diâmetro 0,40 m C.S. MF inclusive escavação, reaterro e transporte do tubo</t>
  </si>
  <si>
    <t>Corpo BSTC diâmetro 0,40 m C.S. PB inclusive escavação, reaterro e transporte do tubo</t>
  </si>
  <si>
    <t>Corpo BSTC diâmetro 0,60 m C.S. MF inclusive escavação, reaterro e transporte do tubo</t>
  </si>
  <si>
    <t>Corpo BSTC diâmetro 0,60 m C.S. PB inclusive escavação, reaterro e transporte do tubo</t>
  </si>
  <si>
    <t>Corpo BSTC (greide) diâmetro 0,30 m CA-1 MF inclusive escavação, reaterro e transporte do tubo</t>
  </si>
  <si>
    <t>Corpo BSTC (greide) diâmetro 0,40 m CA-1 MF inclusive escavação, reaterro e transporte do tubo</t>
  </si>
  <si>
    <t>Corpo BSTC (greide) diâmetro 0,40 m CA-2 MF inclusive escavação, reaterro e transporte do tubo</t>
  </si>
  <si>
    <t>Corpo BSTC (greide) diâmetro 0,60 m CA-1 MF inclusive escavação, reaterro e transporte do tubo</t>
  </si>
  <si>
    <t>Corpo BSTC (greide) diâmetro 0,60 m CA-1 PB inclusive escavação, reaterro e transporte do tubo</t>
  </si>
  <si>
    <t>Corpo BSTC (greide) diâmetro 0,60 m CA-2 MF inclusive escavação, reaterro e transporte do tubo</t>
  </si>
  <si>
    <t>Corpo BSTC (greide) diâmetro 0,60 m CA-2 PB inclusive escavação, reaterro e transporte do tubo</t>
  </si>
  <si>
    <t>Corpo BSTC (greide) diâmetro 0,80 m CA-1 MF inclusive escavação, reaterro e transporte do tubo</t>
  </si>
  <si>
    <t>Corpo BSTC (greide) diâmetro 0,80 m CA-1 PB inclusive escavação, reaterro e transporte do tubo</t>
  </si>
  <si>
    <t>Corpo BSTC (greide) diâmetro 0,80 m CA-2 MF inclusive escavação, reaterro e transporte do tubo</t>
  </si>
  <si>
    <t>Corpo BSTC (greide) diâmetro 0,80 m CA-2 PB inclusive escavação, reaterro e transporte do tubo</t>
  </si>
  <si>
    <t>Corpo BSTC (greide) diâmetro 1,00 m CA-1 MF inclusive escavação, reaterro e transporte do tubo</t>
  </si>
  <si>
    <t>Corpo BSTC (greide) diâmetro 1,00 m CA-1 PB inclusive escavação, reaterro e transporte do tubo</t>
  </si>
  <si>
    <t>Corpo BSTC (greide) diâmetro 1,00 m CA-2 MF inclusive escavação, reaterro e transporte do tubo</t>
  </si>
  <si>
    <t>Corpo BSTC (greide) diâmetro 1,00 m CA-2 PB inclusive escavação, reaterro e transporte do tubo</t>
  </si>
  <si>
    <t>Corpo BSTC (greide) diâmetro 1,20 m CA-1 MF inclusive escavação, reaterro e transporte do tubo</t>
  </si>
  <si>
    <t>Corpo BSTC (greide) diâmetro 1,20 m CA-1 PB inclusive escavação, reaterro e transporte do tubo</t>
  </si>
  <si>
    <t>Corpo BSTC (greide) diâmetro 1,20 m CA-2 MF inclusive escavação, reaterro e transporte do tubo</t>
  </si>
  <si>
    <t>Corpo BSTC (greide) diâmetro 1,20 m CA-2 PB inclusive escavação, reaterro e transporte do tubo</t>
  </si>
  <si>
    <t>Corpo BSTC (grota) diâmetro 0,60 m CA-1 MF exclusive escavação e reaterro, inclusive transporte do tubo</t>
  </si>
  <si>
    <t>Corpo BSTC (grota) diâmetro 0,60 m CA-1 PB exclusive escavação e reaterro, inclusive transporte do tubo</t>
  </si>
  <si>
    <t>Corpo BSTC (grota) diâmetro 0,60 m CA-2 MF exclusive escavação e reaterro, inclusive transporte do tubo</t>
  </si>
  <si>
    <t>Corpo BSTC (grota) diâmetro 0,60 m CA-2 PB exclusive escavação e reaterro, inclusive transporte do tubo</t>
  </si>
  <si>
    <t>Corpo BSTC (grota) diâmetro 0,80 m CA-1 MF exclusive escavação e reaterro, inclusive transporte do tubo</t>
  </si>
  <si>
    <t>Corpo BSTC (grota) diâmetro 0,80 m CA-1 PB exclusive escavação e reaterro, inclusive transporte do tubo</t>
  </si>
  <si>
    <t>Corpo BSTC (grota) diâmetro 0,80 m CA-2 MF exclusive escavação e reaterro, inclusive transporte do tubo</t>
  </si>
  <si>
    <t>Corpo BSTC (grota) diâmetro 0,80 m CA-2 PB exclusive escavação e reaterro, inclusive transporte do tubo</t>
  </si>
  <si>
    <t>Corpo BSTC (grota) diâmetro 1,00 m CA-1 MF exclusive escavação e reaterro, inclusive transporte do tubo</t>
  </si>
  <si>
    <t>Corpo BSTC (grota) diâmetro 1,00 m CA-1 PB exclusive escavação e reaterro, inclusive transporte do tubo</t>
  </si>
  <si>
    <t>Corpo BSTC (grota) diâmetro 1,00 m CA-2 MF exclusive escavação e reaterro, inclusive transporte do tubo</t>
  </si>
  <si>
    <t>Corpo BSTC (grota) diâmetro 1,00 m CA-2 PB exclusive escavação e reaterro, inclusive transporte do tubo</t>
  </si>
  <si>
    <t>Corpo BSTC (grota) diâmetro 1,00 m CA-3 MF exclusive escavação e reaterro, inclusive transporte do tubo</t>
  </si>
  <si>
    <t>Corpo BSTC (grota) diâmetro 1,20 m CA-1 MF exclusive escavação e reaterro, inclusive transporte do tubo</t>
  </si>
  <si>
    <t>Corpo BSTC (grota) diâmetro 1,20 m CA-1 PB exclusive escavação e reaterro, inclusive transporte do tubo</t>
  </si>
  <si>
    <t>Corpo BSTC (grota) diâmetro 1,20 m CA-2 MF exclusive escavação e reaterro, inclusive transporte do tubo</t>
  </si>
  <si>
    <t>Corpo BSTC (grota) diâmetro 1,20 m CA-2 PB exclusive escavação e reaterro, inclusive transporte do tubo</t>
  </si>
  <si>
    <t>Corpo BSTC (grota) diâmetro 1,20 m CA-3 MF exclusive escavação e reaterro, inclusive transporte do tubo</t>
  </si>
  <si>
    <t>Corpo BSTC (grota) diâmetro 1,50 m CA-1 MF exclusive escavação e reaterro, inclusive transporte do tubo</t>
  </si>
  <si>
    <t>Corpo BSTC (grota) diâmetro 1,50 m CA-1 PB exclusive escavação e reaterro, inclusive transporte do tubo</t>
  </si>
  <si>
    <t>Corpo BSTC (grota) diâmetro 1,50 m CA-2 MF exclusive escavação e reaterro, inclusive transporte do tubo</t>
  </si>
  <si>
    <t>Corpo BSTC (grota) diâmetro 1,50 m CA-2 PB exclusive escavação e reaterro, inclusive transporte do tubo</t>
  </si>
  <si>
    <t>Corpo BSTC (grota) diâmetro 1,50 m CA-3 MF exclusive escavação e reaterro, inclusive transporte do tubo</t>
  </si>
  <si>
    <t>Corpo BTTC (grota) diâmetro 0,60 m CA-1 MF exclusive escavação e reaterro, inclusive transporte do tubo</t>
  </si>
  <si>
    <t>Corpo BTTC (grota) diâmetro 0,60 m CA-1 PB exclusive escavação e reaterro, inclusive transporte do tubo</t>
  </si>
  <si>
    <t>Corpo BTTC (grota) diâmetro 0,60 m CA-2 MF exclusive escavação e reaterro, inclusive transporte do tubo</t>
  </si>
  <si>
    <t>Corpo BTTC (grota) diâmetro 0,60 m CA-2 PB exclusive escavação e reaterro, inclusive transporte do tubo</t>
  </si>
  <si>
    <t>Corpo BTTC (grota) diâmetro 0,80 m CA-1 MF exclusive escavação e reaterro, inclusive transporte do tubo</t>
  </si>
  <si>
    <t>Corpo BTTC (grota) diâmetro 0,80 m CA-1 PB exclusive escavação e reaterro, inclusive transporte do tubo</t>
  </si>
  <si>
    <t>Corpo BTTC (grota) diâmetro 0,80 m CA-2 MF exclusive escavação e reaterro, inclusive transporte do tubo</t>
  </si>
  <si>
    <t>Corpo BTTC (grota) diâmetro 0,80 m CA-2 PB exclusive escavação e reaterro, inclusive transporte do tubo</t>
  </si>
  <si>
    <t>Corpo BTTC (grota) diâmetro 1,00 m CA-1 MF exclusive escavação e reaterro, inclusive transporte do tubo</t>
  </si>
  <si>
    <t>Corpo BTTC (grota) diâmetro 1,00 m CA-1 PB exclusive escavação e reaterro, inclusive transporte do tubo</t>
  </si>
  <si>
    <t>Corpo BTTC (grota) diâmetro 1,00 m CA-2 MF exclusive escavação e reaterro, inclusive transporte do tubo</t>
  </si>
  <si>
    <t>Corpo BTTC (grota) diâmetro 1,00 m CA-2 PB exclusive escavação e reaterro, inclusive transporte do tubo</t>
  </si>
  <si>
    <t>Corpo BTTC (grota) diâmetro 1,00 m CA-3 MF exclusive escavação e reaterro, inclusive transporte do tubo</t>
  </si>
  <si>
    <t>Corpo BTTC (grota) diâmetro 1,20 m CA-1 MF exclusive escavação e reaterro, inclusive transporte do tubo</t>
  </si>
  <si>
    <t>Corpo BTTC (grota) diâmetro 1,20 m CA-1 PB exclusive escavação e reaterro, inclusive transporte do tubo</t>
  </si>
  <si>
    <t>Corpo BTTC (grota) diâmetro 1,20 m CA-2 MF exclusive escavação e reaterro, inclusive transporte do tubo</t>
  </si>
  <si>
    <t>Corpo BTTC (grota) diâmetro 1,20 m CA-2 PB exclusive escavação e reaterro, inclusive transporte do tubo</t>
  </si>
  <si>
    <t>Corpo BTTC (grota) diâmetro 1,20 m CA-3 MF exclusive escavação e reaterro, inclusive transporte do tubo</t>
  </si>
  <si>
    <t>Corpo BTTC (grota) diâmetro 1,50 m CA-1 MF exclusive escavação e reaterro, inclusive transporte do tubo</t>
  </si>
  <si>
    <t>Corpo BTTC (grota) diâmetro 1,50 m CA-1 PB exclusive escavação e reaterro, inclusive transporte do tubo</t>
  </si>
  <si>
    <t>Corpo BTTC (grota) diâmetro 1,50 m CA-2 MF exclusive escavação e reaterro, inclusive transporte do tubo</t>
  </si>
  <si>
    <t>Corpo BTTC (grota) diâmetro 1,50 m CA-2 PB exclusive escavação e reaterro, inclusive transporte do tubo</t>
  </si>
  <si>
    <t>Corpo BTTC (grota) diâmetro 1,50 m CA-3 MF exclusive escavação e reaterro, inclusive transporte do tubo</t>
  </si>
  <si>
    <t>Corpo de BDCC 1,50 x 1,50 m projeto DNIT para 2,50 &lt; H &lt; 5,00 m</t>
  </si>
  <si>
    <t>Corpo de BDCC 2,00 x 2,00 m projeto DNIT para 2,50 &lt; H &lt;5,00 m</t>
  </si>
  <si>
    <t>Corpo de BDCC 2,00 x 3,00 m projeto DNIT para 2,50 &lt; H &lt; 5,00 m</t>
  </si>
  <si>
    <t>Corpo de BDCC 2,50 x 2,00 m - tudo incluído conforme projeto</t>
  </si>
  <si>
    <t>Corpo de BDCC 2,50 x 2,50 m projeto DNIT para 2,50 &lt; H &lt; 5,00 m</t>
  </si>
  <si>
    <t>Corpo de BDCC 2,50 x 3,00 m projeto DNIT para 2,50 &lt; H &lt; 5,00 m</t>
  </si>
  <si>
    <t>Corpo de BDCC 3,00 x 3,00 m projeto DNIT para 2,50 &lt; H &lt; 5,00 m</t>
  </si>
  <si>
    <t>Corpo de BSCC 1,50 x 1,50 m projeto DNIT para 2,50 &lt; H &lt; 5,00 m</t>
  </si>
  <si>
    <t>Corpo de BSCC 2,00 x 2,00 m projeto DNIT para  5,00 &lt; H &lt; 7,50 m</t>
  </si>
  <si>
    <t>Corpo de BSCC 2,00 x 2,00 m projeto DNIT para 2,50 &lt; H &lt; 5,00 m</t>
  </si>
  <si>
    <t>Corpo de BSCC 2,00 x 3,00 m projeto DNIT para 2,50 &lt; H &lt; 5,00 m</t>
  </si>
  <si>
    <t>Corpo de BSCC 2,50 x 2,50 m projeto DNIT para 2,50 &lt; H &lt; 5,00 m</t>
  </si>
  <si>
    <t>Corpo de BSCC 2,50 x 3,00 m projeto DNIT para 2,50 &lt; H &lt; 5,00 m</t>
  </si>
  <si>
    <t>Corpo de BSCC 3,00 x 3,00 m projeto DNIT para 2,50 &lt; H &lt; 5,00 m</t>
  </si>
  <si>
    <t>Corpo de BTCC 1,50 x 1,50 m projeto DNIT para 2,50 &lt; H &lt; 5,00 m</t>
  </si>
  <si>
    <t>Corpo de BTCC 2,00 x 2,00 m projeto DNIT para 2,50 &lt; H &lt; 5,00 m</t>
  </si>
  <si>
    <t>Corpo de BTCC 2,00 x 3,00 m projeto DNIT para 2,50 &lt; H &lt; 5,00 m</t>
  </si>
  <si>
    <t>Corpo de BTCC 2,50 x 2,50 m projeto DNIT para 2,50 &lt; H &lt; 5,00 m</t>
  </si>
  <si>
    <t>Corpo de BTCC 2,50 x 3,00 m projeto DNIT para 2,50 &lt; H &lt; 5,00 m</t>
  </si>
  <si>
    <t>Corpo de BTCC 3,00 x 3,00 m projeto DNIT para 2,50 &lt; H &lt; 5,00 m</t>
  </si>
  <si>
    <t>Demolição manual alvenaria tijolo furado assentado com argamassa</t>
  </si>
  <si>
    <t>Demolição manual de concreto armado</t>
  </si>
  <si>
    <t>Demolição manual de concreto simples ou ciclópico</t>
  </si>
  <si>
    <t>Demolição mecânica de concreto</t>
  </si>
  <si>
    <t>Descida d'água concreto armado (calha) c/ caiação (DSA-01A) canal</t>
  </si>
  <si>
    <t>Descida d'água concreto armado (calha) c/ caiação (DSA-01A) dispersor</t>
  </si>
  <si>
    <t>Descida d'água concreto armado (degraus) c/ caiação (DSA-03A) apoio</t>
  </si>
  <si>
    <t>Descida d'água concreto armado (degraus) c/ caiação (DSA-03A) degrau</t>
  </si>
  <si>
    <t>Descida d'água concreto armado (degraus) c/ caiação (DSA-03A) dispersor</t>
  </si>
  <si>
    <t>Descida d'água concreto armado DP-1 (calha) c/ caiação</t>
  </si>
  <si>
    <t>Descida d'água concreto armado DP-1 (degraus) c/ caiação</t>
  </si>
  <si>
    <t>Descida d'água concreto simples (calha) c/ caiação (DSA-01) canal</t>
  </si>
  <si>
    <t>Descida d'água concreto simples (calha) c/ caiação (DSA-01) dispersor</t>
  </si>
  <si>
    <t>Descida d'água concreto simples (degraus) c/ caiação (DSA-03) apoio</t>
  </si>
  <si>
    <t>Descida d'água concreto simples (degraus) c/ caiação (DSA-03) degrau</t>
  </si>
  <si>
    <t>Descida d'água concreto simples (degraus) c/ caiação (DSA-03) dispersor</t>
  </si>
  <si>
    <t>Deslocamento de cerca de tela galvanizada fio 12 malha 3" x 3"</t>
  </si>
  <si>
    <t>Dissipador de energia aplicado a saída d'água tipo DP-1</t>
  </si>
  <si>
    <t>Dissipador de energia aplicado a saída de sarjeta/valeta (DES-01)</t>
  </si>
  <si>
    <t>Dissipador de energia aplicado a saída de sarjeta/valeta (DES-02)</t>
  </si>
  <si>
    <t>Dissipador de energia aplicado a saída de sarjeta/valeta (DES-03)</t>
  </si>
  <si>
    <t>Dreno ou Barbacã em tubo PVC, diâmetro de 2"</t>
  </si>
  <si>
    <t>Dreno profundo com enchimento de brita e areia (1:1) escavação em material 1ª categoria, inclusive transporte da areia e da brita</t>
  </si>
  <si>
    <t>Dreno profundo com enchimento de brita e areia (1:1) escavação em material 2ª categoria, inclusive transporte da areia e da brita</t>
  </si>
  <si>
    <t>Dreno profundo para corte em solo, com enchimento em brita revestido com geotextil não tecido RT 16 kn/m, inclusive transporte da brita</t>
  </si>
  <si>
    <t>Eletroduto para rede de lógica, inclusive conexões</t>
  </si>
  <si>
    <t>Eletroduto PVC diâmetro 75mm, fornecimento e assentamento</t>
  </si>
  <si>
    <t>Eletroduto PVC rígido roscável diâm. 50mm, fornecimento e assentamento</t>
  </si>
  <si>
    <t>Eletroduto tipo Kanaflex  diâmetro 1 1/4", fornecimento e assentamento</t>
  </si>
  <si>
    <t>Eletroduto tipo Kanaflex diâmetro 1 1/2", fornecimento e assentamento</t>
  </si>
  <si>
    <t>Eletroduto tipo Kanaflex diâmetro 2", fornecimento e assentamento</t>
  </si>
  <si>
    <t>Eletroduto tipo Kanaflex diâmetro 4", fornecimento e assentamento</t>
  </si>
  <si>
    <t>Enrocamento de pedra arrumada com pá carregadeira e escavadeira, inclusive fornecimento, exclusive transporte da pedra</t>
  </si>
  <si>
    <t>Enrocamento de pedra de mão arrumada exclusive transporte</t>
  </si>
  <si>
    <t>Enrocamento de pedra jogada exclusive fornecimento e transporte (utilização de material considerado em medição)</t>
  </si>
  <si>
    <t>Enrocamento de pedra jogada exclusive o fornecimento e transporte da pedra</t>
  </si>
  <si>
    <t>Enrocamento de pedra jogada inclusive fornecimento, exclusive transporte da pedra</t>
  </si>
  <si>
    <t>Entrada para descida d'agua DP-1 (calha/degraus) inclusive caiação</t>
  </si>
  <si>
    <t>Entrada para descida d'água EDA-01</t>
  </si>
  <si>
    <t>Entrada para descida d'água EDA-02</t>
  </si>
  <si>
    <t>Escada de madeira executada sobre terreno inclinado, com 80 cm de largura mínima</t>
  </si>
  <si>
    <t>Mes</t>
  </si>
  <si>
    <t>Forma metálica para meio fio</t>
  </si>
  <si>
    <t>Gabiões com caixas galvanizadas, sem manta</t>
  </si>
  <si>
    <t>Geogrelha monodirecional 200KN, fornecimento e assentamento</t>
  </si>
  <si>
    <t>Lastro de brita, inclusive transporte da brita</t>
  </si>
  <si>
    <t>Limpeza e apicoamento manual de superfície de rocha</t>
  </si>
  <si>
    <t>Limpeza e desobstrução de BDTC e BDCC</t>
  </si>
  <si>
    <t>Limpeza e desobstrução de BQTC</t>
  </si>
  <si>
    <t>Limpeza e desobstrução de BSTC e BSCC</t>
  </si>
  <si>
    <t>Limpeza e desobstrução de BTTC e BTCC</t>
  </si>
  <si>
    <t>Limpeza e preparo de superfície de aço</t>
  </si>
  <si>
    <t>Lona plástica preta para isolamento de concretagem sobre solo, fornecimento e colocação</t>
  </si>
  <si>
    <t>Manta Geotêxtil  não tecida com resistência longitudinal a tração 10kN/m, fornecimento e aplicação</t>
  </si>
  <si>
    <t>Manta Geotêxtil não tecida RT - 16 kn/m, fornecimento e aplicação</t>
  </si>
  <si>
    <t>Meio fio de concreto DP-1, inclusive caiação</t>
  </si>
  <si>
    <t>Meio fio sarjeta de concreto tipo DP-1 (0,035 m³/m) inclusive caiação</t>
  </si>
  <si>
    <t>Mureta de corte em rocha</t>
  </si>
  <si>
    <t>Muro de testa em concreto para saída de dreno profundo em rocha, inclusive transporte do tubo</t>
  </si>
  <si>
    <t>Muro de testa em concreto para saída de dreno profundo em solo, inclusive transporte do tubo</t>
  </si>
  <si>
    <t>Passagem d'água 1,10 x 1,00 - Canteiro</t>
  </si>
  <si>
    <t>Pedra de mão para (concreto ciclópico ou alvenaria) rocha paga em medição</t>
  </si>
  <si>
    <t>Pintura com nata de cimento</t>
  </si>
  <si>
    <t>Pintura interna ou externa sobre ferro, com tinta a base de resina de borracha clorada</t>
  </si>
  <si>
    <t>Placas pré-moldadas para passeio</t>
  </si>
  <si>
    <t>Plataforma ou passarela de pinho de 1ª ou similar, 1" x 12"</t>
  </si>
  <si>
    <t>Poço de visita para BDTC diam. 1,00 m - tudo incluido</t>
  </si>
  <si>
    <t>Poço de Visita para BSTC diâm. 0,40m em blocos de concreto</t>
  </si>
  <si>
    <t>Poço de visita para BSTC diâm. 0,60m em blocos de concreto</t>
  </si>
  <si>
    <t>Poço de visita para BSTC diâm. 0,80m em blocos de concreto</t>
  </si>
  <si>
    <t>Poço de visita para BTTC diam. 1,20 m - tudo incluído</t>
  </si>
  <si>
    <t>Preparo manual de terreno, compreendendo acerto raspagem até 25cm de profundidade e afastamento lateral do material excedente</t>
  </si>
  <si>
    <t>Reaterro com areia, tudo incluído</t>
  </si>
  <si>
    <t>Reaterro de cavas c/ compactação manual (apiloamento)</t>
  </si>
  <si>
    <t>Reaterro de cavas c/ compactação manual (apiloamento) (dim. reduz.)</t>
  </si>
  <si>
    <t>Reaterro de cavas c/ compactação mecânica (compactador manual)</t>
  </si>
  <si>
    <t>Recuperação de poço de visita inclusive fornecimento tampão F.F.A.P.</t>
  </si>
  <si>
    <t>Religação de rede de água em PVC DN 20mm, inclusive conexões</t>
  </si>
  <si>
    <t>Religação de rede de água em PVC DN 25mm, incluisve conexões</t>
  </si>
  <si>
    <t>Religação de rede de água em PVC DN 32mm, incluisve conexões</t>
  </si>
  <si>
    <t>Religação de rede de água em PVC DN 75mm, inclusive conexões</t>
  </si>
  <si>
    <t>Religação de rede de água em PVC PBA CL 15 DN 100mm, inclusive conexões</t>
  </si>
  <si>
    <t>Remanejamento de ligação e religação de redes de esgoto</t>
  </si>
  <si>
    <t>Remoção de bueiros existentes</t>
  </si>
  <si>
    <t>Rip-rap c/ argamassa cimento areia 1:6, inclusive aquisição e transporte dos materiais</t>
  </si>
  <si>
    <t>Rip-rap de areia inclusive escavação, transporte e fornecimento de materiais</t>
  </si>
  <si>
    <t>Rip-rap de solo e cimento (Traço 1:15)</t>
  </si>
  <si>
    <t>Saída d'água concreto armado DP-1 c/ caiação</t>
  </si>
  <si>
    <t>Saída d'água concreto p/ aterro c/ caiação (SDA-01)</t>
  </si>
  <si>
    <t>Saída d'água concreto p/ aterro c/ caiação (SDA-02)</t>
  </si>
  <si>
    <t>Saída d'água concreto p/ corte c/ caiação (SDC-01)</t>
  </si>
  <si>
    <t>Sarjeta de concreto DP-1 (0,081 m³/m) calha triangular, inclusive caiação</t>
  </si>
  <si>
    <t>Sarjeta de concreto DP-2 (0,085 m³/m) calha triangular, inclusive caiação</t>
  </si>
  <si>
    <t>Sarjeta de concreto (SCA 70/15) calha triangular, inclusive caiação</t>
  </si>
  <si>
    <t>Sarjeta de concreto (SCA 90/10) calha triangular, inclusive caiação</t>
  </si>
  <si>
    <t>Sarjeta de concreto SCC 40/15</t>
  </si>
  <si>
    <t>Sarjeta de concreto (STC - 02) calha triangular em corte/aterro, inclusive caiação</t>
  </si>
  <si>
    <t>Sarjeta de concreto (STC - 04) calha triangular de bancada em corte, inclusive caiação</t>
  </si>
  <si>
    <t>Tampa de concreto em grelha, fornecimento, assentamento e transporte</t>
  </si>
  <si>
    <t>Tampão F.F.A.P. com 100 kg, fornecimento, assentamento e transporte</t>
  </si>
  <si>
    <t>Tapume de vedação e proteção, executado com chapas de compensado resinado com 6mm de espessura, exclusive pintura</t>
  </si>
  <si>
    <t>Tela de aço soldada Telcon Q-138 ou similar, fornecimento e assentamento.</t>
  </si>
  <si>
    <t>Tela de aço soldada Telcon Q-196 ou similar, fornecimento e assentamento.</t>
  </si>
  <si>
    <t>Terminal de dreno de alívio de pavimento (DP - TDA - 01)</t>
  </si>
  <si>
    <t>Transporte de materiais encosta abaixo, serviço manual, inclusive carga e descarga</t>
  </si>
  <si>
    <t>t dam</t>
  </si>
  <si>
    <t>Transporte de materiais encosta acima, serviço manual, inclusive carga e descarga</t>
  </si>
  <si>
    <t>Transposição de segmento de sarjeta - TSS 01, inclusive transporte do tubo de concreto</t>
  </si>
  <si>
    <t>Tubo de PVC NBR 5648 diâmetro 50 mm, fornecimento e assentamento</t>
  </si>
  <si>
    <t>Tubo de PVC NBR 5648 diâmetro 75 mm, fornecimento e assentamento</t>
  </si>
  <si>
    <t>Tubo de PVC rígido série R diâmetro 100 mm, fornecimento e assentamento</t>
  </si>
  <si>
    <t>Tubo irrifort agropecuário diâmetro 32 mm, fornecimento e assentamento</t>
  </si>
  <si>
    <t>Tubo para irrigação linha fixa PN40 50 mm, fornecimento e assentamento</t>
  </si>
  <si>
    <t>Tubos de ferro fundido diâmetro 0,90 m, assentamento</t>
  </si>
  <si>
    <t>Tubos para irrigação Linha fixa PN40, diâmetro 75 mm, fornecimento e assentamento</t>
  </si>
  <si>
    <t>Valeta de pedra argamassada VPAR</t>
  </si>
  <si>
    <t>Valeta de pedra jogada VPJ, inclusive transporte da pedra</t>
  </si>
  <si>
    <t>Valeta de proteção de aterro enleivada (VPA-01 DNIT)</t>
  </si>
  <si>
    <t>Valeta de proteção de aterro revestida em concreto (VPA-03 DNIT)</t>
  </si>
  <si>
    <t>Valeta de proteção de aterro VPA 02 (revestida em concreto)</t>
  </si>
  <si>
    <t>Valeta de proteção de aterro VPA-01 (escavação)</t>
  </si>
  <si>
    <t>Valeta de proteção de corte - desobstrução e limpeza</t>
  </si>
  <si>
    <t>Valeta de proteção de corte enleivada (VPC-01 DNIT)</t>
  </si>
  <si>
    <t>Valeta de proteção de corte revestida em concreto VPC-03</t>
  </si>
  <si>
    <t>Valeta de proteção de corte VPC-01 (escavação)</t>
  </si>
  <si>
    <t>Valeta de proteção de corte VPC-02 (revestida em grama)</t>
  </si>
  <si>
    <t>CAP FLEX 60/85, fornecimento</t>
  </si>
  <si>
    <t>CAP-50/70, fornecimento</t>
  </si>
  <si>
    <t>CM-30, fornecimento</t>
  </si>
  <si>
    <t>Dope, fornecimento</t>
  </si>
  <si>
    <t>Emulsão RM-1C, fornecimento</t>
  </si>
  <si>
    <t>Emulsão RR-1C, fornecimento</t>
  </si>
  <si>
    <t>Emulsão RR-2C, fornecimento</t>
  </si>
  <si>
    <t>Abrigo de Ônibus - Rodovia Rural - 3,40 m x 6,00 m</t>
  </si>
  <si>
    <t>Abrigo de Ônibus Urbano - Padrão reduzido - 2,40 x 6,00 m</t>
  </si>
  <si>
    <t>Braço galvanizado 101mm - projeção 4,70m, fornecimento e instalação</t>
  </si>
  <si>
    <t>Cabo de cobre nú, seção 35 mm2, fornecimento e colocação</t>
  </si>
  <si>
    <t>Cabo flexível 2 x 1,5 mm², fornecimento e instalação</t>
  </si>
  <si>
    <t>Cabo flexível 2 x 2,5 mm², fornecimento e instalação</t>
  </si>
  <si>
    <t>Cabo flexível 3 x 1,5 mm², fornecimento e instalação</t>
  </si>
  <si>
    <t>Cabo flexível 4 x 1,5 mm², fornecimento e instalação</t>
  </si>
  <si>
    <t>Caixa de passagem de concreto armado de 0,40 x 0,40 x 0,40m</t>
  </si>
  <si>
    <t>Caixa de passagem de eletroduto de lógica</t>
  </si>
  <si>
    <t>Calçada de concreto</t>
  </si>
  <si>
    <t>Cerca de arame farpado 4 fios com mourões a cada 3,0 metros e sem esticadores, inclusive transporte de arame e mourão</t>
  </si>
  <si>
    <t>Cerca de arame farpado 4 fios com postes cada 2,5 m, esticadores de concreto a cada 25,0 m</t>
  </si>
  <si>
    <t>Cerca de arame farpado 8 fios com postes concreto 10 x 10 x 220 cm, a cada 1,5 m</t>
  </si>
  <si>
    <t>Cerca de arame liso 4 fios com mourões cada 2,0 m, esticadores de madeira, a cada 20,0 m, inclusive transporte de mourão e arame liso</t>
  </si>
  <si>
    <t>Corrimão em eucalipto tratado</t>
  </si>
  <si>
    <t>Demolição de cerca de madeira com 4 fios</t>
  </si>
  <si>
    <t>Demolição de edificações</t>
  </si>
  <si>
    <t>Descida d'água em madeira e pedra de mão, tudo incluído</t>
  </si>
  <si>
    <t>Deslocamento de cerca de madeira com 4 fios de arame</t>
  </si>
  <si>
    <t>Eletroduto de aço galv. 1 1/4" inclusive abertura e fechamento de rasgos em alvenaria, e luvas</t>
  </si>
  <si>
    <t>Eletroduto de PVC diâmetro de 4", fornecimento e instalação</t>
  </si>
  <si>
    <t>Estrutura de madeira para telha cerâmica ancorada em laje ou alvenaria</t>
  </si>
  <si>
    <t>Fita isolante em rolo de 19 mm x 20 m, número 33 Scoth ou equivalente</t>
  </si>
  <si>
    <t>Haste cobreada para aterramento diâmetro 5/8" x 2,4m ( fornecimento e instalação)</t>
  </si>
  <si>
    <t>Isolador de Porcelana tipo roldana com rack 3 x 16, instalação</t>
  </si>
  <si>
    <t>Ladrilho hidráulico (argamassa cimento e areia 1:4), fornecimento e assentamento</t>
  </si>
  <si>
    <t>Mata-burro</t>
  </si>
  <si>
    <t>Passagem de gado (boca)</t>
  </si>
  <si>
    <t>Passagem de gado (sem guarda corpo)</t>
  </si>
  <si>
    <t>Pavimentação com pedra de mão (pé de moleque) argamassada</t>
  </si>
  <si>
    <t>Pintura com tinta a óleo em esquadria de ferros duas demãos</t>
  </si>
  <si>
    <t>Pintura em estrutura metálica com tinta epoxídica  inclusive primer</t>
  </si>
  <si>
    <t>Pintura em látex acrílica em parede externa, sem massa corrida, três demãos</t>
  </si>
  <si>
    <t>Poste galvanizado 101mm simples, fornecimento e instalação</t>
  </si>
  <si>
    <t>Poste galvanizado 114 mm - 1boca, fornecimento e instalação</t>
  </si>
  <si>
    <t>Poste galvanizado 114mm - 2 bocas, fornecimento e instalação</t>
  </si>
  <si>
    <t>Rampa de pedestres, com piso em ladrilho hidráulico podotátil</t>
  </si>
  <si>
    <t>Rampa em pedra de mão (pé de moleque) argamassada e travada</t>
  </si>
  <si>
    <t>Remoção de camada vegetal</t>
  </si>
  <si>
    <t>Retirada de Defensa Metálica</t>
  </si>
  <si>
    <t>Retirada e recolocação de alambrado</t>
  </si>
  <si>
    <t>Sumidouro cilíndrico pré-moldado diam. 2,00m com 5 anéis inclusive escavação</t>
  </si>
  <si>
    <t>Arborização para paisagismo ( mudas viveiro de espera) com altura maior que 150 cm</t>
  </si>
  <si>
    <t>Arborização para paisagismo (mudas viveiro de espera) com altura até 150 cm</t>
  </si>
  <si>
    <t>Conformação manual de taludes</t>
  </si>
  <si>
    <t>Grama  em placas em taludes com estacas de madeira, fornecimento e plantio</t>
  </si>
  <si>
    <t>Grama em placas, fornecimento e plantio (sem fixação com estacas)</t>
  </si>
  <si>
    <t>Gramínea em leiva, extração</t>
  </si>
  <si>
    <t>Gramínea em leiva, extração, plantio e transporte</t>
  </si>
  <si>
    <t>Gramíneas em sementes, fornecimento e plantio a lanço</t>
  </si>
  <si>
    <t>Hidrossemeadura simples em taludes</t>
  </si>
  <si>
    <t>Hidrossemeadura simples em terrenos planos</t>
  </si>
  <si>
    <t>Reflorestamento com espécies nativas da mata atlântica, mudas em sacolas ou tubetes</t>
  </si>
  <si>
    <t>Revestimento vegetal por hidrossemeadura com manta de fibras vegetais</t>
  </si>
  <si>
    <t>Anteparo 3 x 300 mm, fornecimento e instalação</t>
  </si>
  <si>
    <t>Balizador de concreto ( fornecimento e assentamento )</t>
  </si>
  <si>
    <t>Botoeira com sinal sonoro, fornecimento e instalação</t>
  </si>
  <si>
    <t>Cabos para rede de dados (sincronismo) blindado 2 x 20 awg, fornecimento e instalação</t>
  </si>
  <si>
    <t>Cones para sinalização, fornecimento e colocação</t>
  </si>
  <si>
    <t>Controlador Eletrônico Microprocessado 4 fases, fornecimento e instalação</t>
  </si>
  <si>
    <t>Controlador Eletrônico Microprocessado 6/6 fases, fornecimento e instalação</t>
  </si>
  <si>
    <t>Defensa de concreto tipo New Jersey, fornecimento e colocação</t>
  </si>
  <si>
    <t>Elementos de madeira para sinalização - cavaletes</t>
  </si>
  <si>
    <t>Ondulação transversal em CBUQ</t>
  </si>
  <si>
    <t>Ondulação transversal em concreto</t>
  </si>
  <si>
    <t>Pintura acrílica sobre capa asfáltica</t>
  </si>
  <si>
    <t>Pintura de setas e zebrados em material termoplástico - 5 anos ( por extrusão)</t>
  </si>
  <si>
    <t>Sinalização com chapa em alumínio revestida em película</t>
  </si>
  <si>
    <t>Sinalização noturna ( fio com lâmpada e balde ), fornecimento e instalação</t>
  </si>
  <si>
    <t>Sinalização vertical com chapa em esmalte sintético</t>
  </si>
  <si>
    <t>Sonorizador</t>
  </si>
  <si>
    <t>Suporte de placa de sinalização vertical em madeira de 1ª qualidade, pintada, fornecimento e instalação</t>
  </si>
  <si>
    <t>Tacha refletiva  monodirecional, fornecimento e aplicação</t>
  </si>
  <si>
    <t>Tacha refletiva birrefletorizada, fornecimento e aplicação</t>
  </si>
  <si>
    <t>Tachão refletivo  monodirecional, fornecimento e aplicação</t>
  </si>
  <si>
    <t>Tachão refletivo birrefletorizado, fornecimento e aplicação</t>
  </si>
  <si>
    <t>Aluguel mensal de automóvel utilitário inclusive combustível, exclusive motorista</t>
  </si>
  <si>
    <t>Aplicação de jato de ar comprimido para limpeza de trincas</t>
  </si>
  <si>
    <t>Arborização (mudas de árvores com altura até 1,50 m)</t>
  </si>
  <si>
    <t>Base de solo estabilizada granulométricamente sem  mistura inclusive escavação e carga</t>
  </si>
  <si>
    <t>Carga manual de material de limpeza de galerias urbanas</t>
  </si>
  <si>
    <t>CBUQ - Usinagem, aquisição e transporte dos materiais</t>
  </si>
  <si>
    <t>Cerca com mourões de madeira, inclusive escavação e transporte de mourão e arame farpado</t>
  </si>
  <si>
    <t>Compactação de subleito</t>
  </si>
  <si>
    <t>Conformação de taludes de corte</t>
  </si>
  <si>
    <t>Demolição e remoção de estrutura de pavimento inclusive capa asfáltica</t>
  </si>
  <si>
    <t>Desmatamento, destocamento e limpeza</t>
  </si>
  <si>
    <t>Desobstrução manual de valetas</t>
  </si>
  <si>
    <t>Escavação, carga e transporte de material de 1º categoria</t>
  </si>
  <si>
    <t>Fresagem de pavimento asfáltico à frio, inclusive transporte do material</t>
  </si>
  <si>
    <t>Imprimação inclusive fornecimento e transporte do CM-30</t>
  </si>
  <si>
    <t>Lama asfáltica (faixa I - ISSA) (tudo incluído)</t>
  </si>
  <si>
    <t>Lama asfáltica (faixa II - ISSA) (tudo incluído)</t>
  </si>
  <si>
    <t>Lama asfáltica (faixa III - ISSA) (tudo incluído)</t>
  </si>
  <si>
    <t>Lama asfáltica (faixa IV - ISSA) (tudo incluído)</t>
  </si>
  <si>
    <t>Limpeza de sarjeta e meio-fio</t>
  </si>
  <si>
    <t>Limpeza e desobstrução de bueiros</t>
  </si>
  <si>
    <t>Limpeza e desobstrução de caixa coletora</t>
  </si>
  <si>
    <t>Limpeza e pintura de guarda-corpo</t>
  </si>
  <si>
    <t>Obturação de buracos com CBUQ (tudo incluído)</t>
  </si>
  <si>
    <t>Obturação de buracos com PMF (tudo incluído)</t>
  </si>
  <si>
    <t>Obturação de buracos com PMF usinado pelo DER-ES (tudo incluído)</t>
  </si>
  <si>
    <t>Pintura de dispositivos de drenagem</t>
  </si>
  <si>
    <t>Pintura de ligação, inclusive fornecimento e transporte da emulsão</t>
  </si>
  <si>
    <t>Pintura de pontes a base de cal</t>
  </si>
  <si>
    <t>Placas de sinalização, assentamento</t>
  </si>
  <si>
    <t>Placas de sinalização, inclusive materiais, substituição</t>
  </si>
  <si>
    <t>PMF - Usinagem, aquisição e transportes dos materiais</t>
  </si>
  <si>
    <t>Recomposição de revestimento c/ CBUQ - Inclusive fornecimento e transporte dos materiais</t>
  </si>
  <si>
    <t>Recomposição de revestimento c/ PMF - Inclusive fornecimento e transporte dos materiais</t>
  </si>
  <si>
    <t>Recomposição de revestimento primário (tudo incluído)</t>
  </si>
  <si>
    <t>Recomposição mecânica de aterros</t>
  </si>
  <si>
    <t>Reconformação mecânica de plataforma (patrolamento)</t>
  </si>
  <si>
    <t>Remendo com massa asfáltica fria (tudo incluído)</t>
  </si>
  <si>
    <t>Remendo com massa asfáltica fria usinada pelo DER-ES (tudo incluído)</t>
  </si>
  <si>
    <t>Remendo com massa asfáltica quente (tudo incluído)</t>
  </si>
  <si>
    <t>Remoção mecânica de barreiras</t>
  </si>
  <si>
    <t>Reparo de bueiros celulares (inclusive boca)</t>
  </si>
  <si>
    <t>Reparo de bueiros tubulares</t>
  </si>
  <si>
    <t>Reparo de caixa  coletora</t>
  </si>
  <si>
    <t>Reparo de guarda-corpo</t>
  </si>
  <si>
    <t>Reparo de meio-fio, inclusive caiação</t>
  </si>
  <si>
    <t>Reparo de muros de arrimo</t>
  </si>
  <si>
    <t>Reparo de sarjeta, inclusive caiação</t>
  </si>
  <si>
    <t>Retirada de placas de sinalização</t>
  </si>
  <si>
    <t>Roçada mecanizada</t>
  </si>
  <si>
    <t>Sub-base de solo estabilizada granulométricamente sem mistura inclusive escavação e carga</t>
  </si>
  <si>
    <t>TSD - Tratamento superficial duplo incl. transporte dos materiais</t>
  </si>
  <si>
    <t>Valeta não revestida</t>
  </si>
  <si>
    <t>Aluguel mensal de barco de alumínio 4,20 m com motor 15 HP (equipamentos)</t>
  </si>
  <si>
    <t>Reunião de Comunicação Social inclusive material de consumo</t>
  </si>
  <si>
    <t>Encamisamento metálico de estacas, diâmetro 380mm em chapa de 6.3mm, preenchido c/ concreto auto adensável (20MPa)</t>
  </si>
  <si>
    <t>Estaca metálica dupla exclusive fornecimento de trilhos</t>
  </si>
  <si>
    <t>Estaca metálica, fornecimento, transporte, perdas, solda, emenda, corte e cravação de TR- 68</t>
  </si>
  <si>
    <t>Estaca metálica simples exclusive fornecimento de trilhos</t>
  </si>
  <si>
    <t>Estaca raiz perfurada em rocha, diâm. 310mm com injeção de arg. incl. fornecimento de todos materiais</t>
  </si>
  <si>
    <t>Estaca raiz perfurada em solo, diâm. 410mm com injeção de arg. incl. fornecimento de todos materiais</t>
  </si>
  <si>
    <t>Perfuração rotativa inclinada, em solo, com coroa de Widia, diâmetro 150mm</t>
  </si>
  <si>
    <t>Perfuração rotativa inclinada, em solo, com coroa de Widia, diâmetro 75mm</t>
  </si>
  <si>
    <t>Perfuração rotativa vertical, em solo, com coroa de Widia ou similar, diâmetro H(99mm), inclusive deslocamento e posicionamento em cada furo</t>
  </si>
  <si>
    <t>Perfuração rotativa vertical, em solo, com coroa de Widia ou similar, diâmetro N(75mm), inclusive deslocamento e posicionamento em cada furo</t>
  </si>
  <si>
    <t>Placas pré-moldadas para forma de tabuleiro de ponte</t>
  </si>
  <si>
    <t>Remoção de superestrutura de pontes com auxilio de guindaste para 40 toneladas</t>
  </si>
  <si>
    <t>T</t>
  </si>
  <si>
    <t>Acabamento em concreto fresco (15,0 MPA), para pavimento, inclusive endurecedor químico de superfície</t>
  </si>
  <si>
    <t>Acessório para tirante protendido de aço Rocsolo ou similar diâmetro 29,3 mm</t>
  </si>
  <si>
    <t>Acessório para tirante protendido de aço ST 85/105</t>
  </si>
  <si>
    <t>dm3</t>
  </si>
  <si>
    <t>Cantoneiras (2 1/2" x 2 1/2" x 5/16") para extremidade de laje, fornecimento, montagem e pintura</t>
  </si>
  <si>
    <t>Chapas de aço SAC 41 de 1/4" para passarelas, fornecimento, soldagem e montagem</t>
  </si>
  <si>
    <t>Chumbador de aço de 25 mm, inclusive proteção anticorrosiva, exclusive a injeção e a perfuração</t>
  </si>
  <si>
    <t>Concreto projetado com cimento especial</t>
  </si>
  <si>
    <t>Cone de ancoragem de cabo de aço com 12 cordoalhas de 1/2", inclusive protensão dos cabos</t>
  </si>
  <si>
    <t>Estrutura metálica provisória para macaqueamento de laje de ponte</t>
  </si>
  <si>
    <t>Furação, fornecimento e fixação de grampos 10 mm com resina epoxi</t>
  </si>
  <si>
    <t>Guarda corpo em toras de eucalipto conf. projeto</t>
  </si>
  <si>
    <t>Guarda corpo padrão (tipo DNIT)</t>
  </si>
  <si>
    <t>Hidrojateamento de superfícies metálicas</t>
  </si>
  <si>
    <t>Injeção de calda de cimento para chumbamento de tirantes</t>
  </si>
  <si>
    <t>SC</t>
  </si>
  <si>
    <t>Injeção de epoxi em fissuras, inclusive preparo e montagem de bicos de injeção</t>
  </si>
  <si>
    <t>Junta de cantoneira L de 4" x 4" x 3/8"</t>
  </si>
  <si>
    <t>Perfuração de concreto</t>
  </si>
  <si>
    <t>Perfuração de rocha para fixação de chumbadores</t>
  </si>
  <si>
    <t>Pintura a cal em pontes (2 demãos)</t>
  </si>
  <si>
    <t>Preparo e colocação de 12 cordoalhas de 1/2" (Aço CP-190 RB) nas formas, inclusive injeção de nata de cimento</t>
  </si>
  <si>
    <t>Tirante de Aço CA-50, diâmetro de 25mm (1"), para comprimentos até 6m</t>
  </si>
  <si>
    <t>Tirante de aço Rocsolo ou similar, diâmetro 29,3mm, incluindo fornecimento da barra e da bainha proteção anticorrosiva, preparo e colocação no furo</t>
  </si>
  <si>
    <t>Tirante de aço ST 50/55, para carga trab. até 22 t, diam.32mm, incluindo fornecimento da bainha proteção anticorrosiva, preparo e colocação no furo.</t>
  </si>
  <si>
    <t>Tirante protendido em Aço GEWI 50/55 ou similar, diâmetro de 32mm</t>
  </si>
  <si>
    <t>Carga de material de 3ª categoria (rocha) em Vias Urbanas</t>
  </si>
  <si>
    <t>Escalonamento de taludes com escavadeira em Vias Urbanas</t>
  </si>
  <si>
    <t>Escavação e carga de material de barreira (remoção) em Vias Urbanas</t>
  </si>
  <si>
    <t>Fragmentação de rocha (fogacheamento) em Vias Urbanas</t>
  </si>
  <si>
    <t>Limpeza de acostamento em Vias Urbanas</t>
  </si>
  <si>
    <t>Pré-fissuramento de taludes de rocha em Vias Urbanas</t>
  </si>
  <si>
    <t>Recomposição vegetal de jazidas, empréstimos e bota-fora em Vias Urbanas</t>
  </si>
  <si>
    <t>Base de brita graduada, inclusive fornecimento, exclusive transporte da brita em Vias Urbanas</t>
  </si>
  <si>
    <t>Demolição e remoção de pavimento asfáltico em Vias Urbanas</t>
  </si>
  <si>
    <t>Micro revestimento asfáltico à frio inclusive fornecimento e transporte comercial do material betuminoso, em Vias Urbanas</t>
  </si>
  <si>
    <t>Obturação de buracos c/ CBUQ inclusive fornecimento e transporte comercial dos materiais betuminosos em  Vias Urbanas</t>
  </si>
  <si>
    <t>Pavimentação com paralelepípedo, colchão areia 5cm, inclusive fornecimento e transporte do paralelepípedo e areia, em Vias Urbanas</t>
  </si>
  <si>
    <t>Pavimentação com pedra portuguesa, inclusive fornecimento e transporte do cimento, areia e pedra portuguesa em Vias Urbanas</t>
  </si>
  <si>
    <t>Remoção de meio fio em Vias Urbanas</t>
  </si>
  <si>
    <t>Remoção de pavimentação poliédrica em Vias Urbanas</t>
  </si>
  <si>
    <t>T.S.B.D. com capa selante, executado com Multidistribuidor inclusive fornecimento e transporte da emulsão, areia, brita e lavagem da brita -V. Urbanas</t>
  </si>
  <si>
    <t>T.S.B.D. sem capa selante,  inclusive fornecimento e transporte comercial do material betuminoso e lavagem da brita em Vias Urbanas</t>
  </si>
  <si>
    <t>T.S.B.D. sem capa selante executado com Multidistribuidor excl. forn.e transp. com. da emulsão, inclus. fornecim., transp.e lavagem brita, V.Urbanas</t>
  </si>
  <si>
    <t>Alvenaria de bloco (39 x 19 x 09) cm espessura 09 cm em Vias Urbanas, inclusive transporte, areia, cimento e bloco</t>
  </si>
  <si>
    <t>Alvenaria de bloco (39 x 19 x 19) cm espessura 19 cm em Vias Urbanas</t>
  </si>
  <si>
    <t>Alvenaria de lajota (20 x 20 x 10) cm espessura 10 cm , inclusive transporte de areia, lajota e cimento, em Vias Urbanas</t>
  </si>
  <si>
    <t>Apicoamento manual de superfície de concreto em Vias Urbanas</t>
  </si>
  <si>
    <t>Apiloamento manual em Vias Urbanas</t>
  </si>
  <si>
    <t>Argamassa cimento e areia traço 1:4 em Vias Urbanas</t>
  </si>
  <si>
    <t>Argamassa cimento (nata) em Vias Urbanas</t>
  </si>
  <si>
    <t>Argamassa de cimento e areia, traço 1:4, consumo de cimento 400 kg/m³ em Vias Urbanas</t>
  </si>
  <si>
    <t>Berço de concreto ciclópico para BDTC diâmetro 0,60 m em Via Urbanas</t>
  </si>
  <si>
    <t>Boca de BDCC 2,00 x 1,20m conforme projeto em Vias Urbanas</t>
  </si>
  <si>
    <t>Boca de BDCC 2,00 x 2,50 m em Vias Urbanas</t>
  </si>
  <si>
    <t>Boca de BSCC 2,50 x 2,50 m, projeto DNIT em Vias Urbanas</t>
  </si>
  <si>
    <t>Caiação de meio fios, sarjetas, etc. em Vias Urbanas</t>
  </si>
  <si>
    <t>Caixa Boca de Lobo em bloco pré-moldado 1,20 x 1,20m em Vias Urbanas</t>
  </si>
  <si>
    <t>Caixa de passagem (2,50 x 2,50m) em Vias Urbanas</t>
  </si>
  <si>
    <t>Caixa para rede de dutos dimensões 100 x100 x100 cm, em Vias Urbanas</t>
  </si>
  <si>
    <t>Caixa para rede de dutos dimensões 60 x 60 x 60 cm, em Vias Urbanas</t>
  </si>
  <si>
    <t>Canaleta com grelha DP-1, inclusive transporte da grelha em Vias Urbanas</t>
  </si>
  <si>
    <t>Chapisco com argamassa de cimento e areia 1:3 em Vias Urbanas</t>
  </si>
  <si>
    <t>Chapisco com argamassa de cimento e pedrisco 1:4 em Vias Urbanas</t>
  </si>
  <si>
    <t>Colchão drenante de areia para fundação de aterros, inclusive fornecimento e transporte da areia em Vias Urbanas</t>
  </si>
  <si>
    <t>Colchão drenante de brita 1 inclusive fornecimento, espalhamento, compactação e transporte da brita em Vias Urbanas</t>
  </si>
  <si>
    <t>Colchão drenante de brita 2 inclusive fornecimento, espalhamento, compactação e transporte da brita em Vias Urbanas</t>
  </si>
  <si>
    <t>Colchão drenante de brita 3 inclusive fornecimento, espalhamento, compactação e transporte da brita em Vias Urbanas</t>
  </si>
  <si>
    <t>Coleta drenante (1,00x1,00) m c/ geotêxtil não tecido RT 16kn/m, inclusive transporte da brita em Vias Urbanas</t>
  </si>
  <si>
    <t>Concreto armado, dosado para resist. 20 Mpa,  incluindo 60 kg aço CA-50 A, mão de obra p/ corte, dobragem e montagem, exclusive forma em Vias Urbanas</t>
  </si>
  <si>
    <t>Concreto de regularização em Vias Urbanas</t>
  </si>
  <si>
    <t>Corpo BDTC (grota) diâmetro 0,60 m CA-1 MF exclusive escavação e reaterro, inclusive transporte do tubo em Vias Urbanas</t>
  </si>
  <si>
    <t>Corpo BDTC (grota) diâmetro 0,60 m CA-1 PB exclusive escavação e reaterro, inclusive transporte do tubo em Vias Urbanas</t>
  </si>
  <si>
    <t>Corpo BDTC (grota) diâmetro 0,60 m CA-2 MF exclusive escavação e reaterro, inclusive transporte do tubo em Vias Urbanas</t>
  </si>
  <si>
    <t>Corpo BDTC (grota) diâmetro 0,60 m CA-2 PB exclusive escavação e reaterro, inclusive transporte do tubo em Vias Urbanas</t>
  </si>
  <si>
    <t>Corpo BDTC (grota) diâmetro 0,80 m CA-1 MF exclusive escavação e reaterro, inclusive transporte do tubo em Vias Urbanas</t>
  </si>
  <si>
    <t>Corpo BDTC (grota) diâmetro 0,80 m CA-1 PB exclusive escavação e reaterro, inclusive transporte do tubo em Vias Urbanas</t>
  </si>
  <si>
    <t>Corpo BDTC (grota) diâmetro 0,80 m CA-2 MF exclusive escavação e reaterro, inclusive transporte do tubo em Vias Urbanas</t>
  </si>
  <si>
    <t>Corpo BDTC (grota) diâmetro 0,80 m CA-2 PB exclusive escavação e reaterro, inclusive transporte do tubo em Vias Urbanas</t>
  </si>
  <si>
    <t>Corpo BDTC (grota) diâmetro 1,00 m CA-1 MF exclusive escavação e reaterro, inclusive transporte do tubo em Vias Urbanas</t>
  </si>
  <si>
    <t>Corpo BDTC (grota) diâmetro 1,00 m CA-1 PB exclusive escavação e reaterro, inclusive transporte do tubo em Vias Urbanas</t>
  </si>
  <si>
    <t>Corpo BDTC (grota) diâmetro 1,00 m CA-2 MF exclusive escavação e reaterro, inclusive transporte do tubo em Vias Urbanas</t>
  </si>
  <si>
    <t>Corpo BDTC (grota) diâmetro 1,00 m CA-2 PB exclusive escavação e reaterro, inclusive transporte do tubo em Vias Urbanas</t>
  </si>
  <si>
    <t>Corpo BDTC (grota) diâmetro 1,00 m CA-3 MF exclusive escavação e reaterro, inclusive transporte do tubo em Vias Urbanas</t>
  </si>
  <si>
    <t>Corpo BDTC (grota) diâmetro 1,20 m CA-1 MF exclusive escavação e reaterro, inclusive transporte do tubo em Vias Urbanas</t>
  </si>
  <si>
    <t>Corpo BDTC (grota) diâmetro 1,20 m CA-2 MF exclusive escavação e reaterro, inclusive transporte do tubo em Vias Urbanas</t>
  </si>
  <si>
    <t>Corpo BDTC (grota) diâmetro 1,20 m CA-2 PB exclusive escavação e reaterro, inclusive transporte do tubo em Vias Urbanas</t>
  </si>
  <si>
    <t>Corpo BDTC (grota) diâmetro 1,20 m CA-3 MF exclusive escavação e reaterro, inclusive transporte do tubo em Vias Urbanas</t>
  </si>
  <si>
    <t>Corpo BDTC (grota) diâmetro 1,50 m CA-1 MF exclusive escavação e reaterro, inclusive transporte do tubo em Vias Urbanas</t>
  </si>
  <si>
    <t>Corpo BDTC (grota) diâmetro 1,50 m CA-1 PB exclusive escavação e reaterro, inclusive transporte do tubo em Vias Urbanas</t>
  </si>
  <si>
    <t>Corpo BDTC (grota) diâmetro 1,50 m CA-2 MF exclusive escavação e reaterro, inclusive transporte do tubo em Vias Urbanas</t>
  </si>
  <si>
    <t>Corpo BDTC (grota) diâmetro 1,50 m CA-2 PB exclusive escavação e reaterro, inclusive transporte do tubo em Vias Urbanas</t>
  </si>
  <si>
    <t>Corpo BDTC (grota) diâmetro 1,50 m CA-3 MF exclusive escavação e reaterro, inclusive transporte do tubo em Vias Urbanas</t>
  </si>
  <si>
    <t>Corpo BSTC (greide) diâmetro 0,30 m CA-1 MF inclusive escavação, reaterro e transporte do tubo em Vias Urbanas</t>
  </si>
  <si>
    <t>Corpo BSTC (greide) diâmetro 0,40 m CA-1 MF inclusive escavação, reaterro e transporte do tubo em Vias Urbanas</t>
  </si>
  <si>
    <t>Corpo BSTC (greide) diâmetro 0,40 m CA-2 MF inclusive escavação, reaterro e transporte do tubo em Vias Urbanas</t>
  </si>
  <si>
    <t>Corpo BSTC (greide) diâmetro 0,60 m CA-1 MF inclusive escavação, reaterro e transporte do tubo em Vias Urbanas</t>
  </si>
  <si>
    <t>Corpo BSTC (greide) diâmetro 0,60 m CA-1 PB inclusive escavação, reaterro e transporte do tubo em Vias Urbanas</t>
  </si>
  <si>
    <t>Corpo BSTC (greide) diâmetro 0,60 m CA-2 MF inclusive escavação, reaterro e transporte do tubo em Vias Urbanas</t>
  </si>
  <si>
    <t>Corpo BSTC (greide) diâmetro 0,60 m CA-2 PB inclusive escavação, reaterro e transporte do tubo em Vias Urbanas</t>
  </si>
  <si>
    <t>Corpo BSTC (greide) diâmetro 0,80 m CA-1 MF inclusive escavação, reaterro e transporte do tubo em Vias Urbanas</t>
  </si>
  <si>
    <t>Corpo BSTC (greide) diâmetro 0,80 m CA-1 PB inclusive escavação, reaterro e transporte do tubo em Vias Urbanas</t>
  </si>
  <si>
    <t>Corpo BSTC (greide) diâmetro 0,80 m CA-2 MF inclusive escavação, reaterro e transporte do tubo em Vias Urbanas</t>
  </si>
  <si>
    <t>Corpo BSTC (greide) diâmetro 0,80 m CA-2 PB inclusive escavação, reaterro e transporte do tubo em Vias Urbanas</t>
  </si>
  <si>
    <t>Corpo BSTC (greide) diâmetro 1,00 m CA-1 MF inclusive escavação, reaterro e transporte do tubo em Vias Urbanas</t>
  </si>
  <si>
    <t>Corpo BSTC (greide) diâmetro 1,00 m CA-1 PB inclusive escavação, reaterro e transporte do tubo em Vias Urbanas</t>
  </si>
  <si>
    <t>Corpo BSTC (greide) diâmetro 1,00 m CA-2 MF inclusive escavação, reaterro e transporte do tubo em Vias Urbanas</t>
  </si>
  <si>
    <t>Corpo BSTC (greide) diâmetro 1,00 m CA-2 PB inclusive escavação, reaterro e transporte do tubo em Vias Urbanas</t>
  </si>
  <si>
    <t>Corpo BSTC (greide) diâmetro 1,20 m CA-1 MF inclusive escavação, reaterro e transporte do tubo em Vias Urbanas</t>
  </si>
  <si>
    <t>Corpo BSTC (greide) diâmetro 1,20 m CA-1 PB inclusive escavação, reaterro e transporte do tubo em Vias Urbanas</t>
  </si>
  <si>
    <t>Corpo BSTC (greide) diâmetro 1,20 m CA-2 MF inclusive escavação, reaterro e transporte do tubo, em Vias Urbanas</t>
  </si>
  <si>
    <t>Corpo BSTC (greide) diâmetro 1,20 m CA-2 PB inclusive escavação, reaterro e transporte do tubo em Vias Urbanas</t>
  </si>
  <si>
    <t>Corpo BSTC (grota) diâmetro 0,60 m CA-1 MF exclusive escavação e reaterro, inclusive transporte do tubo em Vias Urbanas</t>
  </si>
  <si>
    <t>Corpo BSTC (grota) diâmetro 0,60 m CA-1 PB exclusive escavação e reaterro, inclusive transporte do tubo em Vias Urbanas</t>
  </si>
  <si>
    <t>Corpo BSTC (grota) diâmetro 0,60 m CA-2 MF exclusive escavação e reaterro, inclusive transporte do tubo em Vias Urbanas</t>
  </si>
  <si>
    <t>Corpo BSTC (grota) diâmetro 0,60 m CA-2 PB exclusive escavação e reaterro, inclusive transporte do tubo em Vias Urbanas</t>
  </si>
  <si>
    <t>Corpo BSTC (grota) diâmetro 0,80 m CA-1 MF exclusive escavação e reaterro, inclusive transporte do tubo em Vias Urbanas</t>
  </si>
  <si>
    <t>Corpo BSTC (grota) diâmetro 0,80 m CA-1 PB exclusive escavação e reaterro, inclusive transporte do tubo em Vias Urbanas</t>
  </si>
  <si>
    <t>Corpo BSTC (grota) diâmetro 0,80 m CA-2 MF exclusive escavação e reaterro, inclusive transporte do tubo em Vias Urbanas</t>
  </si>
  <si>
    <t>Corpo BSTC (grota) diâmetro 0,80 m CA-2 PB exclusive escavação e reaterro, inclusive transporte do tubo em Vias Urbanas</t>
  </si>
  <si>
    <t>Corpo BSTC (grota) diâmetro 1,00 m CA-1 MF exclusive escavação e reaterro, inclusive transporte do tubo em Vias Urbanas</t>
  </si>
  <si>
    <t>Corpo BSTC (grota) diâmetro 1,00 m CA-1 PB exclusive escavação e reaterro, inclusive transporte do tubo em Vias Urbanas</t>
  </si>
  <si>
    <t>Corpo BSTC (grota) diâmetro 1,00 m CA-2 MF exclusive escavação e reaterro, inclusive transporte do tubo em Vias Urbanas</t>
  </si>
  <si>
    <t>Corpo BSTC (grota) diâmetro 1,00 m CA-2 PB exclusive escavação e reaterro, inclusive transporte do tubo em Vias Urbanas</t>
  </si>
  <si>
    <t>Corpo BSTC (grota) diâmetro 1,00 m CA-3 MF exclusive escavação e reaterro, inclusive transporte do tubo em Vias Urbanas</t>
  </si>
  <si>
    <t>Corpo BSTC (grota) diâmetro 1,20 m CA-1 MF exclusive escavação e reaterro, inclusive transporte do tubo em Vias Urbanas</t>
  </si>
  <si>
    <t>Corpo BSTC (grota) diâmetro 1,20 m CA-1 PB exclusive escavação e reaterro, inclusive transporte do tubo em Vias Urbanas</t>
  </si>
  <si>
    <t>Corpo BSTC (grota) diâmetro 1,20 m CA-2 MF exclusive escavação e reaterro, inclusive transporte do tubo em Vias Urbanas</t>
  </si>
  <si>
    <t>Corpo BSTC (grota) diâmetro 1,20 m CA-2 PB exclusive escavação e reaterro, inclusive transporte do tubo em Vias Urbanas</t>
  </si>
  <si>
    <t>Corpo BSTC (grota) diâmetro 1,20 m CA-3 MF exclusive escavação e reaterro, inclusive transporte do tubo em Vias Urbanas</t>
  </si>
  <si>
    <t>Corpo BSTC (grota) diâmetro 1,50 m CA-1 MF exclusive escavação e reaterro, inclusive transporte do tubo em Vias Urbanas</t>
  </si>
  <si>
    <t>Corpo BSTC (grota) diâmetro 1,50 m CA-1 PB exclusive escavação e reaterro, inclusive transporte do tubo em Vias Urbanas</t>
  </si>
  <si>
    <t>Corpo BSTC (grota) diâmetro 1,50 m CA-2 MF exclusive escavação e reaterro, inclusive transporte do tubo em Vias Urbanas</t>
  </si>
  <si>
    <t>Corpo BSTC (grota) diâmetro 1,50 m CA-2 PB exclusive escavação e reaterro, inclusive transporte do tubo em Vias Urbanas</t>
  </si>
  <si>
    <t>Corpo BSTC (grota) diâmetro 1,50 m CA-3 MF exclusive escavação e reaterro, inclusive transporte do tubo em Vias Urbanas</t>
  </si>
  <si>
    <t>Corpo BTTC (grota) diâmetro 0,60 m CA-1 MF exclusive escavação e reaterro, inclusive transporte do tubo em Vias Urbanas</t>
  </si>
  <si>
    <t>Corpo BTTC (grota) diâmetro 0,60 m CA-1 PB exclusive escavação e reaterro, inclusive transporte do tubo em Vias Urbanas</t>
  </si>
  <si>
    <t>Corpo BTTC (grota) diâmetro 0,60 m CA-2 MF exclusive escavação e reaterro, inclusive transporte do tubo em Vias Urbanas</t>
  </si>
  <si>
    <t>Corpo BTTC (grota) diâmetro 0,60 m CA-2 PB exclusive escavação e reaterro, inclusive transporte do tubo em Vias Urbanas</t>
  </si>
  <si>
    <t>Corpo BTTC (grota) diâmetro 0,80 m CA-1 MF exclusive escavação e reaterro, inclusive transporte do tubo em Vias Urbanas</t>
  </si>
  <si>
    <t>Corpo BTTC (grota) diâmetro 0,80 m CA-1 PB exclusive escavação e reaterro, inclusive transporte do tubo em Vias Urbanas</t>
  </si>
  <si>
    <t>Corpo BTTC (grota) diâmetro 0,80 m CA-2 MF exclusive escavação e reaterro, inclusive transporte do tubo em Vias Urbanas</t>
  </si>
  <si>
    <t>Corpo BTTC (grota) diâmetro 0,80 m CA-2 PB exclusive escavação e reaterro, inclusive transporte do tubo em Vias Urbanas</t>
  </si>
  <si>
    <t>Corpo BTTC (grota) diâmetro 1,00 m CA-1 MF exclusive escavação e reaterro, inclusive transporte do tubo em Vias Urbanas</t>
  </si>
  <si>
    <t>Corpo BTTC (grota) diâmetro 1,00 m CA-1 PB exclusive escavação e reaterro, inclusive transporte do tubo em Vias Urbanas</t>
  </si>
  <si>
    <t>Corpo BTTC (grota) diâmetro 1,00 m CA-2 MF exclusive escavação e reaterro, inclusive transporte do tubo em Vias Urbanas</t>
  </si>
  <si>
    <t>Corpo BTTC (grota) diâmetro 1,00 m CA-2 PB exclusive escavação e reaterro, inclusive transporte do tubo em Vias Urbanas</t>
  </si>
  <si>
    <t>Corpo BTTC (grota) diâmetro 1,00 m CA-3 MF exclusive escavação e reaterro, inclusive transporte do tubo em Vias Urbanas</t>
  </si>
  <si>
    <t>Corpo BTTC (grota) diâmetro 1,20 m CA-1 MF exclusive escavação e reaterro, inclusive transporte do tubo em Vias Urbanas</t>
  </si>
  <si>
    <t>Corpo BTTC (grota) diâmetro 1,20 m CA-1 PB exclusive escavação e reaterro, inclusive transporte do tubo em Vias Urbanas</t>
  </si>
  <si>
    <t>Corpo BTTC (grota) diâmetro 1,20 m CA-2 MF exclusive escavação e reaterro, inclusive transporte do tubo em Vias Urbanas</t>
  </si>
  <si>
    <t>Corpo BTTC (grota) diâmetro 1,20 m CA-2 PB exclusive escavação e reaterro, inclusive transporte do tubo em Vias Urbanas</t>
  </si>
  <si>
    <t>Corpo BTTC (grota) diâmetro 1,20 m CA-3 MF exclusive escavação e reaterro, inclusive transporte do tubo em Vias Urbanas</t>
  </si>
  <si>
    <t>Corpo BTTC (grota) diâmetro 1,50 m CA-1 MF exclusive escavação e reaterro, inclusive transporte do tubo em Vias Urbanas</t>
  </si>
  <si>
    <t>Corpo BTTC (grota) diâmetro 1,50 m CA-1 PB exclusive escavação e reaterro, inclusive transporte do tubo em Vias Urbanas</t>
  </si>
  <si>
    <t>Corpo BTTC (grota) diâmetro 1,50 m CA-2 MF exclusive escavação e reaterro, inclusive transporte do tubo em Vias Urbanas</t>
  </si>
  <si>
    <t>Corpo BTTC (grota) diâmetro 1,50 m CA-2 PB exclusive escavação e reaterro, inclusive transporte do tubo em Vias Urbanas</t>
  </si>
  <si>
    <t>Corpo BTTC (grota) diâmetro 1,50 m CA-3 MF exclusive escavação e reaterro, inclusive transporte do tubo em Vias Urbanas</t>
  </si>
  <si>
    <t>Corpo de BDCC 1,00 x 1,00 m em Vias Urbanas</t>
  </si>
  <si>
    <t>Corpo de BDCC 2,00 x 2,50 m em Vias Urbanas</t>
  </si>
  <si>
    <t>Corpo de BSCC 3,00x1,50 para 2,50m&lt; H &lt; 5,00m , em Vias Urbanas</t>
  </si>
  <si>
    <t>Demolição manual de concreto armado em Vias Urbanas</t>
  </si>
  <si>
    <t>Demolição manual de concreto simples ou ciclópico em Vias Urbanas</t>
  </si>
  <si>
    <t>Demolição mecânica de concreto em Vias Urbanas</t>
  </si>
  <si>
    <t>Dreno ou Barbacã em tubo PVC, diâmetro de 2" em Vias Urbanas</t>
  </si>
  <si>
    <t>Dreno profundo com enchimento de brita e areia (1:1) escavação em material 1ª categoria, inclusive transporte da areia e da brita em Vias Urbanas</t>
  </si>
  <si>
    <t>Dreno profundo com enchimento de brita e areia (1:1) escavação em material 2ª categoria, inclusive transporte da areia e da brita em Vias Urbanas</t>
  </si>
  <si>
    <t>Dreno profundo para corte em solo, com enchimento em brita revestido com geotêxtil não tecido RT-16, inclusive transporte da brita em Vias Urbanas</t>
  </si>
  <si>
    <t>Eletroduto para rede de lógica, inclusive conexões, em Vias Urbanas</t>
  </si>
  <si>
    <t>Eletroduto PVC rígido roscável diâm. 50 mm, fornecimento e assentamento em Vias Urbanas</t>
  </si>
  <si>
    <t>Forma metálica para meio fio, em Vias Urbanas</t>
  </si>
  <si>
    <t>Gabiões com caixas galvanizadas, sem manta, em Vias Urbanas</t>
  </si>
  <si>
    <t>Geotêxtil não tecido RT-16 kn/m, fornecimento e aplicação em Vias Urbanas</t>
  </si>
  <si>
    <t>Geotêxtil não-tecido com resistência longitudinal a tração 10kN/m, fornecimento e aplicação em Vias Urbanas</t>
  </si>
  <si>
    <t>Lastro de brita, inclusive transporte da brita em Vias Urbanas</t>
  </si>
  <si>
    <t>Limpeza e apicoamento manual de superfície de rocha em Vias Urbanas</t>
  </si>
  <si>
    <t>Limpeza e desobstrução de BDTC e BDCC em Vias Urbanas</t>
  </si>
  <si>
    <t>Limpeza e desobstrução de BQTC em Vias Urbanas</t>
  </si>
  <si>
    <t>Limpeza e desobstrução de BSTC e BSCC em Vias Urbanas</t>
  </si>
  <si>
    <t>Limpeza e desobstrução de BTTC e BTCC em Vias Urbanas</t>
  </si>
  <si>
    <t>Limpeza e preparo de superfície de aço em Vias Urbanas</t>
  </si>
  <si>
    <t>Meio fio de concreto pré-moldado (12 x 30 x 15) cm, inclusive caiação e transporte do meio fio em Vias Urbanas</t>
  </si>
  <si>
    <t>Muro de testa em concreto para saída de dreno profundo em rocha, inclusive transporte do tubo em Vias Urbanas</t>
  </si>
  <si>
    <t>Pedra de mão p/ (concreto ciclópico ou alvenaria) rocha paga em medição em Vias Urbanas</t>
  </si>
  <si>
    <t>Pintura com nata de cimento em Vias Urbanas</t>
  </si>
  <si>
    <t>Preparo manual de terreno, compreendendo acerto raspagem até 25 cm de profundidade e afastamento lateral do material excedente, em Vias Urbanas</t>
  </si>
  <si>
    <t>Reaterro de cavas c/ compactação manual (apiloamento) em Vias Urbanas</t>
  </si>
  <si>
    <t>Remoção de bueiros existentes, em Vias Urbanas</t>
  </si>
  <si>
    <t>Sarjeta de concreto DP-1 (0,081 m³/m) calha triangular, inclusive caiação, em Vias Urbanas</t>
  </si>
  <si>
    <t>Sarjeta de concreto DP-2 (0,085 m³/m) calha triangular, inclusive caiação, em Vias Urbanas</t>
  </si>
  <si>
    <t>Tapume de vedação e proteção, executado com chapas de compensado resinado com 6 mm de espessura, exclusive pintura, em Vias Urbanas</t>
  </si>
  <si>
    <t>Tela de aço soldada Telcon Q-138 ou similar, fornecimento e assentamento em Vias Urbanas</t>
  </si>
  <si>
    <t>Terminal de dreno de alívio de pavimento (DP - TDA - 01) em Vias Urbanas</t>
  </si>
  <si>
    <t>Trincheira drenante cega (0,50 x 1,70) m, com utilização de geotêxtil não tecido Rt-16 kn/m, inclusive transporte da brita em Vias Urbanas</t>
  </si>
  <si>
    <t>Trincheira drenante em madeira em Vias Urbanas</t>
  </si>
  <si>
    <t>Tubo de PVC rígido série R diâmetro 100 mm, fornecimento e assentamento em Vias Urbanas</t>
  </si>
  <si>
    <t>Tubo para irrigação linha fixa PN40 50 mm, fornecimento e assentamento em Vias Urbanas</t>
  </si>
  <si>
    <t>Valeta de pedra argamassada VPAR em Vias Urbanas</t>
  </si>
  <si>
    <t>Valeta de pedra jogada VPJ, inclusive transporte da pedra em Vias Urbanas</t>
  </si>
  <si>
    <t>Valeta de proteção de corte - desobstrução e limpeza em Vias Urbanas</t>
  </si>
  <si>
    <t>Aluguel de container p/ escritório c/ ar condicionado e banheiro, isolam.térmico e acústico, 2 luminárias, janela de vidro, tomada p/ comput. e telef.</t>
  </si>
  <si>
    <t>Aluguel de container p/ escritório com ar condicionado, isolamento term/acust., 2 luminárias, janela de vidro, tomadas computador e telefone</t>
  </si>
  <si>
    <t>Aluguel de container para almoxarifado</t>
  </si>
  <si>
    <t>Aluguel de container tipo cozinha com isolamento térmico e acústico, 2 luminárias, piso especial e janela</t>
  </si>
  <si>
    <t>Aluguel de container tipo vestiário, 2 luminárias, piso especial e janela</t>
  </si>
  <si>
    <t>Barracão com sanitário, em chapa compensada 12 mm e pont. 8x8cm, piso cimentado e cobertura em telha de fibroc. 6mm, incl. ponto de luz e cx. inspeção</t>
  </si>
  <si>
    <t>Barracão em chapa compensada 12mm e pont. 8x8cm, piso cimentado e cobertura de telhas fibrocimento 6mm, incl. ponto de luz</t>
  </si>
  <si>
    <t>Canaleta de concreto retangular com grelha em barra de aço</t>
  </si>
  <si>
    <t>Cobertura nova de telhas onduladas de fibrocimento 6,0mm, inclusive cumeeiras e acessórios de fixação</t>
  </si>
  <si>
    <t>Estrutura de madeira lei para telhado de telha ondulada de fibroc. esp. 6mm, c/ pontaletes e caibros, incl. com cupinicida, excl. telhas</t>
  </si>
  <si>
    <t>Mobilização e desmobilização de caminhão basculante (máximo)</t>
  </si>
  <si>
    <t>Mobilização e desmobilização de caminhão carroceria (máximo)</t>
  </si>
  <si>
    <t>Mobilização e desmobilização de caminhão tanque (6.000 L) (máximo)</t>
  </si>
  <si>
    <t>Mobilização e desmobilização de container acima de 150 km</t>
  </si>
  <si>
    <t>Mobilização e desmobilização de container até 50 km</t>
  </si>
  <si>
    <t>Mobilização e desmobilização de container de 51 km até 150 km</t>
  </si>
  <si>
    <t>Placa de obra nas dimensões de 3,0 x 6,0 m, padrão DER-ES</t>
  </si>
  <si>
    <t>Rede de esgoto, contendo fossa e filtro, incl. tubos e conexões de ligação entre caixas, considerando distância de 25m</t>
  </si>
  <si>
    <t>Sistema separador de água e óleo</t>
  </si>
  <si>
    <t>Cód. Padrão</t>
  </si>
  <si>
    <t>Descrição do serviço</t>
  </si>
  <si>
    <t>Unidade</t>
  </si>
  <si>
    <t>Preço unitário</t>
  </si>
  <si>
    <t>Transporte</t>
  </si>
  <si>
    <t>INCC-M</t>
  </si>
  <si>
    <t>Preço unitário S/ BDI</t>
  </si>
  <si>
    <t>BDI DER-ES PARA SEM DESONERAÇÃO</t>
  </si>
  <si>
    <t>Abraçadeira para fixação de semáforo em braço/coluna de diâmetro 101 ou 114 mm</t>
  </si>
  <si>
    <t>A incluir</t>
  </si>
  <si>
    <t>Aço CA-50, fornecimento, dobragem e colocação nas formas (preço médio das bitolas)</t>
  </si>
  <si>
    <t>Aço CA-50 grossa, diâmetro de 12.5 a 25 mm, fornecimento, dobragem e colocação nas formas</t>
  </si>
  <si>
    <t>Aço CA-50 média, diâmetro de 6.3 a 10 mm, fornecimento, dobragem e colocação nas formas</t>
  </si>
  <si>
    <t>Aço CA-60 fina, diâmetro de 4.2 a 5.0 mm, fornecimento, dobragem e colocação nas formas</t>
  </si>
  <si>
    <t>Administração Local  (valor mensal a calcular de acordo com a obra)</t>
  </si>
  <si>
    <t>vb</t>
  </si>
  <si>
    <t>Aluguel de automóvel VW/ Gol (flex) 1,6 ou equivalente, exclusive motorista, inclusive combustível</t>
  </si>
  <si>
    <t>Aluguel de container tipo refeitório simples, c/ 1 aparelho de ar condicionado, 2 luminárias e 2 janelas de vidro</t>
  </si>
  <si>
    <t>Aluguel de container tipo sanitário com 3 vasos sanitários, lavatório, mictório, 5 chuveiros, 2 venezianas e piso especial</t>
  </si>
  <si>
    <t>Alvenaria de bloco (39 x 19 x 09) cm espessura 09 cm, inclusive transporte da areia, cimento e  bloco</t>
  </si>
  <si>
    <t>Alvenaria de bloco (39 x 19 x 19) cm espessura 19 cm, inclusive transporte de areia, cimento e  bloco em Vias Urbanas</t>
  </si>
  <si>
    <t>Alvenaria de pedra  de mão (junta seca), inclusive transporte da pedra em Vias Urbanas</t>
  </si>
  <si>
    <t>Alvenaria de pedra de mão argamassada (argamassa cimento areia 1:4) inclusive transporte da pedra de mão, em Vias Urbanas</t>
  </si>
  <si>
    <t>Alvenaria de tijolos cerâmicos maciços aparentes 5x10x20cm,assent.c/argam.de cimento,cal hidratada CH1 e areia no traço 1:0,5:8,juntas de 10mm e esp.</t>
  </si>
  <si>
    <t>Andaime suspenso em madeira, inclusive montagem e desmontagem em Vias Urbanas</t>
  </si>
  <si>
    <t>Aparelho de apoio de neoprene fretado, fornecimento e assentamento, inclusive grauteamento  e transporte do neoprene</t>
  </si>
  <si>
    <t>Aquisição de solo de jazida comercial (saibreira)</t>
  </si>
  <si>
    <t>Argamassa cimento e areia traço 1:4, tudo incluído</t>
  </si>
  <si>
    <t>Argamassa cimento (nata), inclusive transporte de cimento</t>
  </si>
  <si>
    <t>Arrasamento estaca concreto D = 0,80 m com martelete pneumático</t>
  </si>
  <si>
    <t>Barreira de Siltagem com escoras de eucalipto,  diâm. 0,10m e a altura 1,60m, espaçadas a cada 2,0 m, 1 reaproveitamento</t>
  </si>
  <si>
    <t>Base de escória/argila na proporção 80:20, inclusive aquisição e transporte da escória, exclusive argila</t>
  </si>
  <si>
    <t>Base estabilizada granulométricamente. com mistura de escória de aciaria 80% e argila exceto  fornecimento da argila e transporte da argila e escória</t>
  </si>
  <si>
    <t>Berço em brita para BSTC diâm. = 0,30 m em Vias Urbanas</t>
  </si>
  <si>
    <t>Berço em brita para BSTC diâm. = 0,40 m em Vias Urbanas</t>
  </si>
  <si>
    <t>Berço em brita para BSTC diâm. = 0,60 m em Vias Urbanas</t>
  </si>
  <si>
    <t>Berço em brita para BSTC diam. = 0,80 m em Vias Urbanas</t>
  </si>
  <si>
    <t>Berço em brita para BSTC diâm. = 1,00 m</t>
  </si>
  <si>
    <t>Berço em brita para BSTC diâm.=1,20 m</t>
  </si>
  <si>
    <t>Berço em concreto ciclópico para BSTC diâm. = 0,30m</t>
  </si>
  <si>
    <t>Boca de bueiro tubular em concreto ciclópico inclusive escavação, tudo incluído</t>
  </si>
  <si>
    <t>Boca de lobo simples em blocos pré-moldados CR(0,40 x 0,80 m) em Vias Urbanas</t>
  </si>
  <si>
    <t>Bonificação de 15,28% sobre aquisição de materiais</t>
  </si>
  <si>
    <t>Bonificação de 15,28% sobre Materiais Betuminosos</t>
  </si>
  <si>
    <t>Bueiro Metálico BSTM - D = 3,00 m - T.L. com tratamento epóxi e = 2,7 mm - método não destrutivo</t>
  </si>
  <si>
    <t>Bueiro Metálico BSTM - D= 3,00 m - T.L. com tratamento epóxi e=2,7 mm - método não destrutivo em Vias Urbanas</t>
  </si>
  <si>
    <t>Bueiro Metálico BSTM - D=3,05m - MP-152 com tratamento epóxi e=2,7mm - método destrutivo, inclusive lastro de brita</t>
  </si>
  <si>
    <t>Bueiro Metálico BSTM - D=3,05m - MP-152 com tratamento epóxi e=2,7mm - método destrutivo, inclusive lastro de brita em Vias Urbanas</t>
  </si>
  <si>
    <t>Caixa Boca de Lobo em bloco pré-moldado para diâm. = 0,80m (1,20 x 1,20m) (Vias Urbanas)</t>
  </si>
  <si>
    <t>Caixa Boca de Lobo em bloco pré-moldado para diâm. = 1,20m(1,50 x 1,50m) (Vias Urbanas)</t>
  </si>
  <si>
    <t>Caixa coletora concreto armado H= 2,00 m, inclusive escavação</t>
  </si>
  <si>
    <t>Caixa coletora concreto armado H= 2,00m, inclusive escavação em Vias Urbanas</t>
  </si>
  <si>
    <t>Caixa coletora concreto armado H= 2,50 m, inclusive escavação</t>
  </si>
  <si>
    <t>Caixa coletora concreto armado H= 2,50m, inclusive escavação em Vias Urbanas</t>
  </si>
  <si>
    <t>Caixa coletora em bloco pré-moldado para d=0,60m (1,00 x 1,00m)</t>
  </si>
  <si>
    <t>Caixa coletora em bloco pré-moldado para d=0,60m (1,00 x 1,00m) em Vias Urbanas</t>
  </si>
  <si>
    <t>Caixa coletora em bloco pré-moldado para d=0,80m (1,20 x 1,20m) em Vias Urbanas</t>
  </si>
  <si>
    <t>Caixa coletora em concreto fck=10,0 MPa inclusive escavação, tudo incluído</t>
  </si>
  <si>
    <t>Caixa de concreto para BSTC diâmetro 0,40 m H=1,60 m</t>
  </si>
  <si>
    <t>Caixa de concreto para BSTC diâmetro 0,40 m H=1,60 m em Vias Urbanas</t>
  </si>
  <si>
    <t>Caixa de concreto para BSTC diâmetro 0,60 m H=2,00 m</t>
  </si>
  <si>
    <t>Caixa de concreto para BSTC diâmetro 0,60m H=2,00m em Vias Urbanas</t>
  </si>
  <si>
    <t>Caixa de concreto para BSTC diâmetro 0,80 m H=2,50 m</t>
  </si>
  <si>
    <t>Caixa de concreto para BSTC diâmetro 0,80m H=2,50m em Vias Urbanas</t>
  </si>
  <si>
    <t>Caixa de concreto para BSTC diâmetro 1,00 m H=3,00 m</t>
  </si>
  <si>
    <t>Caixa de concreto para BSTC diâmetro 1,00m H=3,00m em Vias Urbanas</t>
  </si>
  <si>
    <t>Caixa de passagem em bloco pré-moldado para d=0,60m (1,00x1,00m) em Vias Urbanas</t>
  </si>
  <si>
    <t>Caixa de passagem em bloco pré-moldado para d=0,80m (1,20 x 1,20m) em Vias Urbanas</t>
  </si>
  <si>
    <t>Caixa de passagem em bloco pré-moldado para d=1,00m (1,30 x 1,30m) em Vias Urbanas</t>
  </si>
  <si>
    <t>Caixa de passagem em bloco pré-moldado para d=1,20m (1,50 x 1,50m) em Vias Urbanas</t>
  </si>
  <si>
    <t>Caixa de passagem para tubos de D=0,40 m H=1,10 m</t>
  </si>
  <si>
    <t>Caixa de passagem para tubos de D=0,40m H=1,10m em Vias Urbanas</t>
  </si>
  <si>
    <t>Caixa de passagem para tubos de D=0,60 m H=1,30 m</t>
  </si>
  <si>
    <t>Caixa de passagem para tubos de D=0,60m H=1,30m em Vias Urbanas</t>
  </si>
  <si>
    <t>Caixa de passagem para tubos de D=0,80 m H=1,50 m</t>
  </si>
  <si>
    <t>Caixa de passagem para tubos de D=0,80m H=1,50m em Vias Urbanas</t>
  </si>
  <si>
    <t>Caixa de passagem para tubos de D=1,00 m H=1,80 m</t>
  </si>
  <si>
    <t>Caixa de passagem para tubos de D=1,00m H=1,80m em Vias Urbanas</t>
  </si>
  <si>
    <t>Caixa ralo com grelha de concreto em blocos pré-moldados - CRG - Vias Urbanas</t>
  </si>
  <si>
    <t>Caixa ralo de elementos pré-moldados em concreto (tudo incluído) em Vias Urbanas</t>
  </si>
  <si>
    <t>Calçada de concreto fck=15 MP, camurçado c/ argam. cimento e areia 1:4, lastro de brita e 8 cm de concreto, incl. preparo da caixa e transp. da brita</t>
  </si>
  <si>
    <t>Canaleta de concreto retangular (0,130m³/m) inclusive caiação em Vias Urbanas</t>
  </si>
  <si>
    <t>Canaleta de concreto (0,130m³/m) forma trapezoidal inclusive caiação em Vias Urbanas</t>
  </si>
  <si>
    <t>Capina manual, inclusive limpeza</t>
  </si>
  <si>
    <t>Carga de material de 2ª categoria (solo, areia, brita, excl. rocha escavada) em Vias Urbanas</t>
  </si>
  <si>
    <t>CBUQ (camada pronta - binder) exclusive fornecimento e transportes do CAP e massa, inclusive fornecimento e transporte da brita e pó de pedra</t>
  </si>
  <si>
    <t>CBUQ (camada pronta - capa) exclusive fornecimento e transportes do CAP e massa</t>
  </si>
  <si>
    <t>CBUQ (camada pronta-faixa "C") , exclusive fornecimento do CAP e transporte de todos os materiais (traço padrão areia e brita)</t>
  </si>
  <si>
    <t>CBUQ (camada pronta-faixa"C") exclusive fornecimento do CAP e transporte de todos os materiais</t>
  </si>
  <si>
    <t>CBUQ (massa asfáltica) exclusive fornecimento e transporte comercial do CAP, (Usinagem)</t>
  </si>
  <si>
    <t>CBUQ (massa asfáltica) inclusive fornecimento e transporte comercial do CAP (Usinagem)</t>
  </si>
  <si>
    <t>CBUQ (massa fina-faixa"D"), exclusive fornecimento do CAP e transporte de todos os materiais (traço padrão areia e brita)</t>
  </si>
  <si>
    <t>Cerca de arame farpado 8 fios com postes triangulares 10 x 200 cm, a cada 2,5 m, mourão de concreto 10 x 10 x 220 cm, a cada 50,0 m</t>
  </si>
  <si>
    <t>Cerca de arame farpado,4 fios ,mourões de madeira a cada 2,5 m e esticadores de concreto/ madeira a cada 40m</t>
  </si>
  <si>
    <t>Cerca de tela de arame galvanizado h = 1,20 m</t>
  </si>
  <si>
    <t>Cerca de tela de arame galvanizado h=1,20m em Vias Urbanas</t>
  </si>
  <si>
    <t>Colagem das mantas de borracha nos berços de apoio das placas, com Sikadur 32 ou equivalente, fornecimento e aplicação</t>
  </si>
  <si>
    <t>Colchão drenante de brita 1, inclusive fornecimento, espalhamento, compactação e transporte da brita</t>
  </si>
  <si>
    <t>Compactação de aterros 100% P.I.</t>
  </si>
  <si>
    <t>Compactação de aterros 100% PI em Vias Urbanas</t>
  </si>
  <si>
    <t>Concreto ciclópico com 70% concreto 10,0 MPa e 30% de pedra de mão, tudo incluído</t>
  </si>
  <si>
    <t>Concreto ciclópico com 70% concreto 15,0 MPa e 30% de pedra de mão, tudo incluído</t>
  </si>
  <si>
    <t>Concreto ciclópico com 70% concreto 20,0 MPa e 30% de pedra de mão, tudo incluído</t>
  </si>
  <si>
    <t>Concreto de regularização, tudo incluído</t>
  </si>
  <si>
    <t>Concreto estrutural fck = 10,0 MPa, inclusive transportes areia, cimento e pedra britada</t>
  </si>
  <si>
    <t>Concreto estrutural fck = 20,0 MPa com plastificante em Vias Urbanas</t>
  </si>
  <si>
    <t>Concreto estrutural fck = 20,0 MPa com plastificante, tudo incluído</t>
  </si>
  <si>
    <t>Concreto estrutural fck = 20,0 MPa em Vias Urbanas</t>
  </si>
  <si>
    <t>Concreto estrutural fck = 20,0 MPa, tudo incluído</t>
  </si>
  <si>
    <t>Concreto estrutural fck = 25,0 MPa com plastificante em Vias Urbanas</t>
  </si>
  <si>
    <t>Concreto estrutural fck = 25,0 MPa com plastificante, tudo incluído</t>
  </si>
  <si>
    <t>Concreto estrutural fck = 25,0 MPa em Vias Urbanas</t>
  </si>
  <si>
    <t>Concreto estrutural fck = 25,0 MPa, inclusive fornecimento e transporte do cimento, areia e pedra britada</t>
  </si>
  <si>
    <t>Concreto estrutural fck = 30,0 MPa com micro-silica e Sikacrete BR ou equivalente</t>
  </si>
  <si>
    <t>Concreto estrutural fck = 30,0 MPa com plastificante</t>
  </si>
  <si>
    <t>Concreto estrutural fck = 30,0 MPa com plastificante em Vias Urbanas</t>
  </si>
  <si>
    <t>Concreto estrutural fck = 30,0 MPa em Vias Urbanas</t>
  </si>
  <si>
    <t>Concreto estrutural fck = 30,0 MPa, tudo incluído</t>
  </si>
  <si>
    <t>Concreto estrutural fck = 35,0 MPa com micro-silica e Sikacrete BR ou equivalente</t>
  </si>
  <si>
    <t>Concreto projetado com cimento especial, inclusive aditivo de pega Sigunit STM-35 AF</t>
  </si>
  <si>
    <t>Concreto submerso fck = 20,0 MPa em Vias Urbanas</t>
  </si>
  <si>
    <t>Concreto submerso fck = 20,0 MPa, tudo incluído</t>
  </si>
  <si>
    <t>Conectores diâmetro 16mm (h=10cm), fornecimento e soldagem</t>
  </si>
  <si>
    <t>Corpo de BDCC 1,50 x 1,50 m projeto DNIT para H &lt; = 2,50 m</t>
  </si>
  <si>
    <t>Corpo de BDCC 1,50 x 1,50 m projeto DNIT para H &lt; = 2,50 m em Vias Urbanas</t>
  </si>
  <si>
    <t>Corpo de BDCC 1,50 x 1,50 m projeto DNIT para 2,50 &lt; H &lt; 5,00 m em Vias Urbanas</t>
  </si>
  <si>
    <t>Corpo de BDCC 2,00 x 1,20 m -  tudo incluido conforme projeto</t>
  </si>
  <si>
    <t>Corpo de BDCC 2,00 x 1,20 m -  tudo incluido conforme projeto em Vias Urbanas</t>
  </si>
  <si>
    <t>Corpo de BDCC 2,00 x 2,00 m projeto DNIT para H &lt; = 2,50 m</t>
  </si>
  <si>
    <t>Corpo de BDCC 2,00 x 2,00 m projeto DNIT para H &lt; = 2,50 m em Vias Urbanas</t>
  </si>
  <si>
    <t>Corpo de BDCC 2,00 x 2,00 m projeto DNIT para 2,50 &lt; H &lt; 5,00 m em Vias Urbanas</t>
  </si>
  <si>
    <t>Corpo de BDCC 2,00 x 3,00 m projeto DNIT p/ 2,50 &lt; H &lt; 5,00 m em Vias Urbanas</t>
  </si>
  <si>
    <t>Corpo de BDCC 2,00 x 3,00 m projeto DNIT para H &lt; = 2,50 m</t>
  </si>
  <si>
    <t>Corpo de BDCC 2,00 x 3,00 m projeto DNIT para H &lt; = 2,50 m em Vias Urbanas</t>
  </si>
  <si>
    <t>Corpo de BDCC 2,50 x 2,00m - tudo incluído conforme projeto em Vias Urbanas</t>
  </si>
  <si>
    <t>Corpo de BDCC 2,50 x 2,50 m projeto DNIT p/ 2,50&lt; H &lt;5,00 m em Vias Urbanas</t>
  </si>
  <si>
    <t>Corpo de BDCC 2,50 x 2,50 m projeto DNIT para H &lt; = 2,50 m</t>
  </si>
  <si>
    <t>Corpo de BDCC 2,50 x 2,50 m projeto DNIT para H&lt;=2,50m em Vias Urbanas</t>
  </si>
  <si>
    <t>Corpo de BDCC 2,50 x 3,00 m projeto DNIT p/ H &lt;= 2,50 m em Vias Urbanas</t>
  </si>
  <si>
    <t>Corpo de BDCC 2,50 x 3,00 m projeto DNIT p/ 2,50 &lt; H &lt; 5,00 m em Vias Urbanas</t>
  </si>
  <si>
    <t>Corpo de BDCC 2,50 x 3,00 m projeto DNIT para H &lt; = 2,50 m</t>
  </si>
  <si>
    <t>Corpo de BDCC 3,00 x 3,00 m projeto DNIT p/ 2,50 &lt; H &lt; 5,00 m em Vias Urbanas</t>
  </si>
  <si>
    <t>Corpo de BDCC 3,00 x 3,00 m projeto DNIT para  H &lt;= 2,50 m em Vias Urbanas</t>
  </si>
  <si>
    <t>Corpo de BDCC 3,00 x 3,00 m projeto DNIT para H &lt; = 2,50 m</t>
  </si>
  <si>
    <t>Corpo de BSCC 1,50 x 1,50 m projeto DNIT p/ H &lt;= 2,50 m em Vias Urbanas</t>
  </si>
  <si>
    <t>Corpo de BSCC 1,50 x 1,50 m projeto DNIT para H &lt; = 2,50 m</t>
  </si>
  <si>
    <t>Corpo de BSCC 1,50x1,50m projeto DNIT p/ 2,50&lt; H &lt;5,00m em Vias Urbanas</t>
  </si>
  <si>
    <t>Corpo de BSCC 2,00 x 2,00 m projeto DNIT para H &lt; = 2,50 m</t>
  </si>
  <si>
    <t>Corpo de BSCC 2,00 x 2,00m projeto DNIT para  5,00 &lt; H &lt; 7,50 m em Vias Urbanas</t>
  </si>
  <si>
    <t>Corpo de BSCC 2,00 x 3,00 m projeto DNIT para H &lt; = 2,50 m</t>
  </si>
  <si>
    <t>Corpo de BSCC 2,00x2,00m projeto DNIT p/ H&lt;=2,50m em Vias Urbanas</t>
  </si>
  <si>
    <t>Corpo de BSCC 2,00x2,00m projeto DNIT p/ 2,50&lt; H &lt;5,00m em Vias Urbanas</t>
  </si>
  <si>
    <t>Corpo de BSCC 2,00x3,00m projeto DNIT p/ H&lt;=2,50m em Vias Urbanas</t>
  </si>
  <si>
    <t>Corpo de BSCC 2,00x3,00m projeto DNIT p/ 2,50&lt; H &lt;5,00m em Vias Urbanas</t>
  </si>
  <si>
    <t>Corpo de BSCC 2,50 x 2,50 m, para H &lt; = 2,50 m em Vias Urbanas</t>
  </si>
  <si>
    <t>Corpo de BSCC 2,50 x 2,50 m projeto DNIT para H &lt; = 2,50 m</t>
  </si>
  <si>
    <t>Corpo de BSCC 2,50 x 3,00 m projeto DNIT para H &lt; = 2,50 m</t>
  </si>
  <si>
    <t>Corpo de BSCC 2,50x2,50m projeto DNIT para 2,50&lt; H &lt;5,00m em Vias Urbanas</t>
  </si>
  <si>
    <t>Corpo de BSCC 2,50x3,00m projeto DNIT para H&lt;=2,50m em Vias Urbanas</t>
  </si>
  <si>
    <t>Corpo de BSCC 2,50x3,00m projeto DNIT para 2,50&lt; H &lt;5,00m em Vias Urbanas</t>
  </si>
  <si>
    <t>Corpo de BSCC 3,00 x 3,00 m projeto DNIT para H &lt; = 2,50 m</t>
  </si>
  <si>
    <t>Corpo de BSCC 3,00x3,00m projeto DNIT para H&lt;=2,50m em Vias Urbanas</t>
  </si>
  <si>
    <t>Corpo de BSCC 3,00x3,00m projeto DNIT para 2,50&lt; H &lt;5,00m em Vias Urbanas</t>
  </si>
  <si>
    <t>Corpo de BTCC 1,50 x 1,50 m projeto DNIT para H &lt; = 2,50 m</t>
  </si>
  <si>
    <t>Corpo de BTCC 1,50 x 1,50 m projeto DNIT para H &lt;= 2,50 m em Vias Urbanas</t>
  </si>
  <si>
    <t>Corpo de BTCC 1,50 x 1,50 m projeto DNIT para 2,50 &lt; H &lt; 5,00 m em Vias Urbanas</t>
  </si>
  <si>
    <t>Corpo de BTCC 2,00 x 2,00 m projeto DNIT para H &lt; = 2,50 m</t>
  </si>
  <si>
    <t>Corpo de BTCC 2,00 x 2,00 m projeto DNIT para H &lt;= 2,50 m em Vias Urbanas</t>
  </si>
  <si>
    <t>Corpo de BTCC 2,00 x 2,00 m projeto DNIT para 2,50 &lt; H &lt; 5,00 m em Vias Urbanas</t>
  </si>
  <si>
    <t>Corpo de BTCC 2,00 x 3,00 m projeto DNIT para H &lt; = 2,50 m</t>
  </si>
  <si>
    <t>Corpo de BTCC 2,00 x 3,00 m projeto DNIT para H &lt; = 2,50 m em Vias Urbanas</t>
  </si>
  <si>
    <t>Corpo de BTCC 2,00 x 3,00 m projeto DNIT para 2,50 &lt; H &lt; 5,00 m em Vias Urbanas</t>
  </si>
  <si>
    <t>Corpo de BTCC 2,50 x 2,50 m projeto DNIT para H &lt; = 2,50 m</t>
  </si>
  <si>
    <t>Corpo de BTCC 2,50 x 2,50 m projeto DNIT para H &lt; = 2,50 m em Vias Urbanas</t>
  </si>
  <si>
    <t>Corpo de BTCC 2,50 x 2,50 m projeto DNIT para 2,50 &lt; H &lt; 5,00 m em Vias Urbanas</t>
  </si>
  <si>
    <t>Corpo de BTCC 2,50 x 3,00 m projeto DNIT para H &lt; = 2,50 m</t>
  </si>
  <si>
    <t>Corpo de BTCC 2,50 x 3,00 m projeto DNIT para H &lt; = 2,50 m em Vias Urbanas</t>
  </si>
  <si>
    <t>Corpo de BTCC 2,50 x 3,00 m projeto DNIT para H &lt; = 2,50 m em vias Urbanas</t>
  </si>
  <si>
    <t>Corpo de BTCC 2,50 x 3,00 m projeto DNIT para 2,50 &lt; H &lt; 5,00 m em Vias Urbanas</t>
  </si>
  <si>
    <t>Corpo de BTCC 3,00 x 3,00 m projeto DNIT para H &lt; = 2,50 m</t>
  </si>
  <si>
    <t>Corpo de BTCC 3,00 x 3,00 m projeto DNIT para H &lt; = 2,50 m em Vias Urbanas</t>
  </si>
  <si>
    <t>Corpo de BTCC 3,00 x 3,00 m projeto DNIT para 2,50 &lt; H &lt; 5,00 m em Vias Urbanas</t>
  </si>
  <si>
    <t>Corpo e berço de bueiro tubular, inclusive transporte do tubo</t>
  </si>
  <si>
    <t>Corta-rio (escavação mecânica em material de 1ª cat.) H = 1,50 a 3,00 m</t>
  </si>
  <si>
    <t>Corta-rio (escavação mecânica em material de 1ª cat.) H=1,50 a 3,00 m em Vias Urbanas</t>
  </si>
  <si>
    <t>Corta-rio (escavação mecânica em material de 2ª cat.) H = 1,50 a 3,00 m</t>
  </si>
  <si>
    <t>Corta-rio (escavação mecânica em material de 2ª cat.) H=1,50 a 3,00m em Vias Urbanas</t>
  </si>
  <si>
    <t>Corta-rio (escavação mecânica em material de 3º cat.) H=0,00 a 1,50m em Vias Urbanas</t>
  </si>
  <si>
    <t>Corte e esmerilhamento de pontas de tubo de ferro fundido DN 500 a 200mm</t>
  </si>
  <si>
    <t>Defensa metálica (1 lâmina com espessura = 3 mm), fornecimento e colocação</t>
  </si>
  <si>
    <t>Defensa metálica (2 lâminas com espessuras = 3mm) inclusive acessórios, fornecimento e colocação</t>
  </si>
  <si>
    <t>Defensas metálicas (espessura lâminas = 3 mm), inclusive fornecimento de materiais, substituição</t>
  </si>
  <si>
    <t>Demolição de rocha a frio, até altura de 3,0m, com argamassa expansiva, inclusive remoção com escavadeira</t>
  </si>
  <si>
    <t>Demolição manual alvenaria tijolo furado assentado com argamassa em Vias Urbanas</t>
  </si>
  <si>
    <t>Descida d'água concreto simples (degraus) c/ caiação (DSA-03) apoio em Vias Urbanas</t>
  </si>
  <si>
    <t>Deslocamento de cerca de tela galvanizada fio 12 malha 3" x 3", em Vias Urbanas</t>
  </si>
  <si>
    <t>Dissipador de energia aplicado a saída de bueiro/descida d'agua de aterro (DEB-01)</t>
  </si>
  <si>
    <t>Dissipador de energia aplicado a saída de bueiro/descida d'água de aterro (DEB-02)</t>
  </si>
  <si>
    <t>Dissipador de energia aplicado a saída de bueiro/descida d'água de aterro (DEB-03)</t>
  </si>
  <si>
    <t>Dissipador de energia aplicado a saída de bueiro/descida d'água de aterro (DEB-04)</t>
  </si>
  <si>
    <t>Dissipador de energia aplicado a saída de bueiro/descida d'água de aterro (DEB-05)</t>
  </si>
  <si>
    <t>Dissipador de energia aplicado a saída de bueiro/descida d'água de aterro (DEB-06)</t>
  </si>
  <si>
    <t>Dissipador de energia aplicado a saída de bueiro/descida d'água de aterro (DEB-07)</t>
  </si>
  <si>
    <t>Dissipador de energia aplicado a saída de bueiro/descida d'água de aterro (DEB-08)</t>
  </si>
  <si>
    <t>Dissipador de energia aplicado a saída de bueiro/descida d'água de aterro (DEB-09)</t>
  </si>
  <si>
    <t>Dissipador de energia aplicado a saída de bueiro/descida d'água de aterro (DEB-10)</t>
  </si>
  <si>
    <t>Dissipador de energia aplicado a saída de bueiro/descida d'água de aterro (DEB-12)</t>
  </si>
  <si>
    <t>Dreno de PVC  D = 100 mm</t>
  </si>
  <si>
    <t>Dreno de PVC  D = 100 mm em Vias Urbanas</t>
  </si>
  <si>
    <t>Dreno de PVC  D = 50 mm</t>
  </si>
  <si>
    <t>Dreno de PVC  D = 50 mm em Vias Urbanas</t>
  </si>
  <si>
    <t>Dreno em PEAD perfurado diâm. = 100 mm,  inclusive transporte do tubo, em Vias Urbanas</t>
  </si>
  <si>
    <t>Dreno Longitudinal tipo Trincheira Drenante, H = 0,90 m com tubo poroso tipo PEAD d =100 mm, incluindo esc. mat. 3ª cat. e transporte do tubo em Vias Urbanas</t>
  </si>
  <si>
    <t>Dreno Longitudinal tipo Trincheira Drenante, H = 0,90 m com tubo poroso tipo PEAD d=100 mm, inclusive esc. em mat. 1ª cat. e transporte do tubo em Vias Urbanas</t>
  </si>
  <si>
    <t>Dreno Longitudinal tipo Trincheira Drenante, H=0,40m c/ tubo poroso tipo PEAD d=65mm, inclus. esc. em mat. 1ª cat.e geotêxtil não tecido RT 07 kN/m</t>
  </si>
  <si>
    <t>Dreno profundo com enchimento de areia, escavação em material 1ª categoria, inclusive transporte da areia</t>
  </si>
  <si>
    <t>Dreno profundo com enchimento de areia, escavação em material 1ª categoria, inclusive transporte da areia, em vias Urbanas</t>
  </si>
  <si>
    <t>Dreno profundo com enchimento de brita, escavação em material 1ª categoria,  inclusive transporte da brita</t>
  </si>
  <si>
    <t>Dreno profundo com enchimento de brita, escavação em material 1ª categoria,  inclusive transporte da brita em Vias Urbanas</t>
  </si>
  <si>
    <t>Dreno profundo com tubo poroso, D = 0,20 m com enchimento de brita e areia, escavação em material 2ª categoria, inclusive transp.da areia, brita, tubo</t>
  </si>
  <si>
    <t>Dreno profundo com tubo poroso, D = 0,20 m com enchimento de brita, escavação em material 3ª categoria (DPR-01),  inclusive transporte da brita, tubo</t>
  </si>
  <si>
    <t>Dreno profundo com tubo poroso, D=0,20m com enchim. de brita e areia, escav. material 2ª categoria, inclusi. transp. areia,brita e  tubo Vias Urbanas</t>
  </si>
  <si>
    <t>Dreno profundo D = 0,10 m c/ enchim. brita, areia (1:1) escav. mat. 3º categ.incl. transp. areia, brita c/ geotêxtil não tecido res.long. mín 16kn/m</t>
  </si>
  <si>
    <t>Dreno profundo D = 0,20 m com enchimento de brita e areia, escavação em material 1ª categoria, inclusive transporte da brita e da areia</t>
  </si>
  <si>
    <t>Dreno profundo D=0,10m c/ enchim.brita, areia (1:1) escav. em mat. 3ª categoria, incl.geotêxtil  não tecido RT 16kn/m, e transp. brita, areia V.Urbanas</t>
  </si>
  <si>
    <t>Dreno profundo D=0,10m c/ enchim.brita,areia (1:1) escav.mat. 1ª categoria, incl. geotêxtil não  tecido RT16 kn/m e transp. areia,brita- Vias Urbanas</t>
  </si>
  <si>
    <t>Dreno profundo D=0,20 m com enchimento brita e areia, tudo incluído</t>
  </si>
  <si>
    <t>Dreno profundo D=0,20m com enchimento de brita e areia, escavação em material 1ª categoria, inclusive transporte da brita e da areia, em Vias Urbanas</t>
  </si>
  <si>
    <t>Dreno profundo solo c/tubo PEAD perfur. D=100mm envolto geotêxtil não tecido RT16kn, preench.c/brita, inclus.transp.tubo exclus transp.brita V Urbanas</t>
  </si>
  <si>
    <t>Dreno sub-horizontal D = 50 mm em PVC, com geotêxtil não tecido RT 16 kn/m, exclusive transportes</t>
  </si>
  <si>
    <t>Dreno sub-horizontal D = 50 mm em PVC inclus. escavação em alteração de rocha, geotêxtil não tecido RT-16 exclusive transp. em Vias Urbanas</t>
  </si>
  <si>
    <t>Dreno sub-horizontal D=50 mm inclusive geotêxtil não tecido RT 16 kn/m, em PVC, exclusive transportes em Vias Urbanas</t>
  </si>
  <si>
    <t>Dreno sub-horizontal D=50mm em PVC (escavação em alteração de rocha), inclusive geotêxtil  não tecido RT 16 kn/m, exclusive transportes</t>
  </si>
  <si>
    <t>Dreno sub-superficial rocha (h=0,55m) c/tubo PEAD perfur.d=100mm, env. geotêxtil RT-16, preenc.c/ brita, incl. transp. tubo, excl. transp brita-Vias Urb</t>
  </si>
  <si>
    <t>Dreno vertical D = 75 mm em PVC, com geotêxtil não tecido resistência longitudinal 16 kn/m</t>
  </si>
  <si>
    <t>Dreno vertical D = 75 mm em PVC, inclusive geotêxtil não tecido RT-16, exclusive transportes,  em Vias Urbanas</t>
  </si>
  <si>
    <t>Eletroduto de ferro galvanizado DN 4" , inclusive conexões, exclusive escavação e reaterro, fornecimento e assentamento, em Vias Urbanas</t>
  </si>
  <si>
    <t>Eletroduto de ferro galvanizado DN 4", inclusive conexões, exclusive escavação e reaterro, fornecimento e assentamento</t>
  </si>
  <si>
    <t>Eletroduto PVC diâmetro 75mm, fornecimento e assentamento em Vias Urbanas</t>
  </si>
  <si>
    <t>Eletroduto tipo Kanaflex  diâmetro 1 1/4", fornecimento e assentamento em Vias Urbanas</t>
  </si>
  <si>
    <t>Eletroduto tipo Kanaflex diâmetro 1 1/2", fornecimento e assentamento em Vias Urbanas</t>
  </si>
  <si>
    <t>Eletroduto tipo Kanaflex diâmetro 2", fornecimento e assentamento em Vias Urbanas</t>
  </si>
  <si>
    <t>Eletroduto tipo Kanaflex diâmetro 4", fornecimento e assentamento em Vias Urbanas</t>
  </si>
  <si>
    <t>Emulsão Asfáltica para Imprimação (EAI), fornecimento</t>
  </si>
  <si>
    <t>Emulsão RL-1C- FLEX (Emulflex RL-1C-E), fornecimento</t>
  </si>
  <si>
    <t>Emulsão RR-1C FLEX (Emulflex RR-1C-E,) fornecimento</t>
  </si>
  <si>
    <t>Emulsão RR-2C-FLEX (Emulflex RR-2C-E), fornecimento</t>
  </si>
  <si>
    <t>Ensecadeira dupla de madeira esp.= 5 cm com 1 reaproveitamento</t>
  </si>
  <si>
    <t>Ensecadeira dupla de madeira esp.= 5 cm sem reaproveitamento, tudo incluído</t>
  </si>
  <si>
    <t>Ensecadeira simples de madeira esp.= 5 cm com 1 reaproveitamento, inclusive transporte das madeiras</t>
  </si>
  <si>
    <t>Ensecadeira simples de madeira esp.= 5 cm sem reaproveitamento, inclusive transporte das madeiras</t>
  </si>
  <si>
    <t>Escarificação de base H = 0,10m e capa asfáltica</t>
  </si>
  <si>
    <t>Escarificação e compactação de base (100% P.I.) H=0,20m</t>
  </si>
  <si>
    <t>Escavação, carga de material de 3ª categoria (fogo controlado) em Vias Urbanas</t>
  </si>
  <si>
    <t>Escavação, carga e transporte de material de 1ª cat. até 200 m com moto-escavotransportador</t>
  </si>
  <si>
    <t>Escavação, carga e transporte de material de 1ª cat. 1000 a 1200 m com moto-escavotransportador</t>
  </si>
  <si>
    <t>Escavação, carga e transporte de material de 1ª cat. 200 a 400 m com moto-escavotransportador</t>
  </si>
  <si>
    <t>Escavação, carga e transporte de material de 1ª cat. 400 a 600 m com moto-escavotransportador</t>
  </si>
  <si>
    <t>Escavação, carga e transporte de material de 1ª cat. 600 a 800 m com moto-escavotransportador</t>
  </si>
  <si>
    <t>Escavação, carga e transporte de material de 1ª cat. 800 a 1000 m com moto-escavotransportador</t>
  </si>
  <si>
    <t>Escavação, carga e transporte de material de 2ª cat. até 200 m com moto-escavotransportador</t>
  </si>
  <si>
    <t>Escavação, carga e transporte de material de 2ª cat. 1000 a 1200 m com moto-escavotransportador</t>
  </si>
  <si>
    <t>Escavação, carga e transporte de material de 2ª cat. 200 a 400 m com moto-escavotransportador</t>
  </si>
  <si>
    <t>Escavação, carga e transporte de material de 2ª cat. 400 a 600 m com moto-escavotransportador</t>
  </si>
  <si>
    <t>Escavação, carga e transporte de material de 2ª cat. 600 a 800 m com moto-escavotransportador</t>
  </si>
  <si>
    <t>Escavação, carga e transporte de material de 2ª cat. 800 a 1000 m com moto-escavotransportador</t>
  </si>
  <si>
    <t>Escavação e carga de material de 2ª categoria com escavadeira em Vias Urbanas</t>
  </si>
  <si>
    <t>Escavação e carga de material de 3ª categoria (fogo controlado)</t>
  </si>
  <si>
    <t>Escavação e carga de material de 3ª categoria (H bancada &gt;1,0 m) em Vias Urbanas</t>
  </si>
  <si>
    <t>Escavação manual em mat. 1ª cat. H= 0,00 a 1,50 m</t>
  </si>
  <si>
    <t>Escavação manual em mat. 1ª cat. H= 0,00 a 1,50 m c/ esgotamento em Vias Urbanas</t>
  </si>
  <si>
    <t>Escavação manual em mat. 1ª cat. H= 0,00 a 1,50 m com esgotamento</t>
  </si>
  <si>
    <t>Escavação manual em mat. 1ª cat. H= 0,00 a 1,50 m em Vias Urbanas</t>
  </si>
  <si>
    <t>Escavação manual em mat. 1ª cat. H= 1,50 a 3,00 m</t>
  </si>
  <si>
    <t>Escavação manual em mat. 1ª cat. H= 1,50 a 3,00 m c/ esgotamento em Vias Urbanas</t>
  </si>
  <si>
    <t>Escavação manual em mat. 1ª cat. H= 1,50 a 3,00 m com esgotamento</t>
  </si>
  <si>
    <t>Escavação manual em mat. 1ª cat. H= 1,50 a 3,00 m em Vias Urbanas</t>
  </si>
  <si>
    <t>Escavação manual em mat. 1ª cat. H= 3,00 a 4,50 m</t>
  </si>
  <si>
    <t>Escavação manual em mat. 1ª cat. H= 3,00 a 4,50 m c/ esgotamento, em Vias Urbanas</t>
  </si>
  <si>
    <t>Escavação manual em mat. 1ª cat. H= 3,00 a 4,50 m com esgotamento</t>
  </si>
  <si>
    <t>Escavação manual em mat. 1ª cat. H= 3,00 a 4,50 m, em Vias Urbanas</t>
  </si>
  <si>
    <t>Escavação manual em mat. 2ª cat. H= 0,00 a 1,50 m c/ esgotamento, em Vias Urbanas</t>
  </si>
  <si>
    <t>Escavação manual em mat. 2ª cat. H= 0,00 a 1,50 m com esgotamento</t>
  </si>
  <si>
    <t>Escavação manual em mat. 2ª cat. H= 0,00 a 1,50 m s/ detonação, em Vias Urbanas</t>
  </si>
  <si>
    <t>Escavação manual em mat. 2ª cat. H= 0,00 a 1,50 m sem detonação</t>
  </si>
  <si>
    <t>Escavação manual em mat. 2ª cat. H= 1,50 a 3,00 m c/ esgotamento, em Vias Urbanas</t>
  </si>
  <si>
    <t>Escavação manual em mat. 2ª cat. H= 1,50 a 3,00 m com esgotamento</t>
  </si>
  <si>
    <t>Escavação manual em mat. 2ª cat. H= 1,50 a 3,00 m s/ detonação, em Vias Urbanas</t>
  </si>
  <si>
    <t>Escavação manual em mat. 2ª cat. H= 1,50 a 3,00 m sem detonação</t>
  </si>
  <si>
    <t>Escavação manual em mat. 2ª cat. H= 3,00 a 4,50 m c/ esgotamento, em Vias Urbanas</t>
  </si>
  <si>
    <t>Escavação manual em mat. 2ª cat. H= 3,00 a 4,50 m com esgotamento</t>
  </si>
  <si>
    <t>Escavação manual em mat. 2ª cat. H= 3,00 a 4,50 m s/ detonação, em Vias Urbanas</t>
  </si>
  <si>
    <t>Escavação manual em mat. 2ª cat. H= 3,00 a 4,50 m sem detonação</t>
  </si>
  <si>
    <t>Escavação manual em mat. 3ª cat. H= 0,00 a 1,50 m, a fogo</t>
  </si>
  <si>
    <t>Escavação manual em mat. 3ª cat. H= 0,00 a 1,50 m, a fogo, em Vias Urbanas</t>
  </si>
  <si>
    <t>Escavação manual furos, valetas mat. 1ª cat. H= 0,00 a 1,50 m (dim. reduz.)</t>
  </si>
  <si>
    <t>Escavação manual furos, valetas mat. 1ª cat. H= 0,00 a 1,50 m (dim. reduz.), em Vias Urbanas</t>
  </si>
  <si>
    <t>Escavação manual furos, valetas mat. 2ª cat. H= 0,00 a 1,50 m sem detonação (dim. reduz.)</t>
  </si>
  <si>
    <t>Escavação mecânica de valas em material de 1ª categoria, 3,00 a 4,50 m, c/ esgotamento, carga do material, transp. material p/ bota-fora -Vias Urbanas</t>
  </si>
  <si>
    <t>Escavação mecânica de valas em 1ª categoria, profundidade de 4,50 a 6,00 m com esgotamento, transp. DMT=20km, descarga e espalhamento, em Vias Urbanas</t>
  </si>
  <si>
    <t>Escavação mecânica em material de 1ª cat. H= 0,00 a 1,50 m</t>
  </si>
  <si>
    <t>Escavação mecânica em material de 1ª cat. H= 0,00 a 1,50 m com esgotamento</t>
  </si>
  <si>
    <t>Escavação mecânica em material de 1ª cat. H= 0,00 a 1,50 m, em Vias Urbanas</t>
  </si>
  <si>
    <t>Escavação mecânica em material de 1ª cat. H= 1,50 a 3,00 m</t>
  </si>
  <si>
    <t>Escavação mecânica em material de 1ª cat. H= 1,50 a 3,00 m com esgotamento</t>
  </si>
  <si>
    <t>Escavação mecânica em material de 1ª cat. H= 1,50 a 3,00 m, em Vias Urbanas</t>
  </si>
  <si>
    <t>Escavação mecânica em material de 1ª cat. H= 3,00 a 4,50 m</t>
  </si>
  <si>
    <t>Escavação mecânica em material de 1º cat. H= 3,00 a 4,50 m com esgotamento</t>
  </si>
  <si>
    <t>Escavação mecânica em material de 1ª cat. H= 3,00 a 4,50 m, em Vias Urbanas</t>
  </si>
  <si>
    <t>Escavação mecânica em material de 2ª cat. H= 0,00 a 1,50 m</t>
  </si>
  <si>
    <t>Escavação mecânica em material de 2ª cat. H= 0,00 a 1,50 m com esgotamento</t>
  </si>
  <si>
    <t>Escavação mecânica em material de 2ª cat. H= 0,00 a 1,50 m, em Vias Urbanas</t>
  </si>
  <si>
    <t>Escavação mecânica em material de 2ª cat. H= 1,50 a 3,00 m</t>
  </si>
  <si>
    <t>Escavação mecânica em material de 2ª cat. H= 1,50 a 3,00 m com esgotamento</t>
  </si>
  <si>
    <t>Escavação mecânica em material de 2ª cat. H= 1,50 a 3,00 m, em Vias Urbanas</t>
  </si>
  <si>
    <t>Escavação mecânica em material de 2ª cat. H= 3,00 a 4,50 m</t>
  </si>
  <si>
    <t>Escavação mecânica em material de 2º cat. H= 3,00 a 4,50 m com esgotamento</t>
  </si>
  <si>
    <t>Escavação mecânica em material de 2ª cat. H= 3,00 a 4,50 m, em Vias Urbanas</t>
  </si>
  <si>
    <t>Escavação mecânica em material de 3ª cat. H= 0,00 a 1,50 m</t>
  </si>
  <si>
    <t>Escavação mecânica em material de 3ª cat. H= 0,00 a 1,50 m com esgotamento</t>
  </si>
  <si>
    <t>Escavação mecânica em material de 3ª cat. H= 1,50 a 3,00 m</t>
  </si>
  <si>
    <t>Escavação mecânica em material de 3ª cat. H= 1,50 a 3,00 m com esgotamento</t>
  </si>
  <si>
    <t>Escavação mecânica em material de 3ª cat. H= 3,00 a 4,50 m</t>
  </si>
  <si>
    <t>Escavação mecânica em material de 3ª cat. H= 3,00 a 4,50 m com esgotamento</t>
  </si>
  <si>
    <t>Escoramento contínuo de cavas em estaca prancha de largura até 400 mm</t>
  </si>
  <si>
    <t>Escoramento de cavas e valas, inclusive fornecimento e transportes das madeiras</t>
  </si>
  <si>
    <t>Escoramento de O.A.E. diretamente sobre o solo, inclusive fornecimento e transporte das madeiras</t>
  </si>
  <si>
    <t>Escoramento e cimbramento (bueiro celular), inclusive fornecimento e transportes das madeiras</t>
  </si>
  <si>
    <t>Escoramento e cimbramento (pontes e pontilhões), inclusive fornecimento e transporte das madeiras</t>
  </si>
  <si>
    <t>Escoramento para blocos submersos, inclusive transporte da madeira</t>
  </si>
  <si>
    <t>Esgotamento de escavações para rebaixamento do nível dágua nos serviços de bueiros, galerias e outros, com conj. moto bomba</t>
  </si>
  <si>
    <t>Espalhamento / regularização / compactação de material em bota-fora</t>
  </si>
  <si>
    <t>Estabilização granulométrica de solos c/ mistura de areia na pista 100%  P.M. (80%, 20%) exclusive transporte</t>
  </si>
  <si>
    <t>Estaca de eucalipto D= 0,20 m, fornecimento, transporte, cravação e perda</t>
  </si>
  <si>
    <t>Estaca tipo Franki D = 520 mm</t>
  </si>
  <si>
    <t>Forma especial de madeira para meio fio, inclusive fornecimento e transporte das madeiras em Vias Urbanas</t>
  </si>
  <si>
    <t>Forma especial de madeira para sarjeta (gabarito), inclusive fornecimento e transporte da madeira</t>
  </si>
  <si>
    <t>Forma especial de madeira para sarjeta (gabarito), inclusive fornecimento e transporte das madeiras, em Vias Urbanas</t>
  </si>
  <si>
    <t>Formas curvas de madeira sem reutilização, inclusive fornecimento e transporte das madeiras</t>
  </si>
  <si>
    <t>Formas planas de madeira com 01 (um) reaproveitamento, inclusive fornecimento e transporte  das madeiras</t>
  </si>
  <si>
    <t>Formas planas de madeira com 01 (um) reaproveitamento, inclusive fornecimento e transporte  das madeiras, em Vias Urbanas</t>
  </si>
  <si>
    <t>Formas planas de madeira com 02 (dois) reaproveitamentos, inclusive fornecimento e transporte das madeiras</t>
  </si>
  <si>
    <t>Formas planas de madeira com 02 (dois) reaproveitamentos, inclusive fornecimento e transporte das madeiras, em Vias Urbanas</t>
  </si>
  <si>
    <t>Formas planas de madeira com 04 (quatro) reaproveitamentos, inclusive fornecimento e transporte das madeiras</t>
  </si>
  <si>
    <t>Formas planas de madeira com 04 (quatro) reaproveitamentos, inclusive fornecimento e transporte das madeiras, em Vias Urbanas</t>
  </si>
  <si>
    <t>Formas planas de madeira com 05 (cinco) utilizações (guarda-corpo de pontes), inclusive fornecimento e transportes das madeiras</t>
  </si>
  <si>
    <t>Formas planas de madeira sem reaproveitamento (forma perdida), inclusive fornecimento e transporte das madeiras</t>
  </si>
  <si>
    <t>Formas planas de madeira sem reaproveitamento (forma perdida), inclusive fornecimento e transporte das madeiras em Vias Urbanas</t>
  </si>
  <si>
    <t>Formas planas de madeira sem reaproveitamento (fundações), inclusive fornecimento e transporte das madeiras</t>
  </si>
  <si>
    <t>Formas planas de madeirit meso e superestrutura com 1 reaproveitamento esp. = 14 mm, inclusive fornecimento e transporte das madeiras</t>
  </si>
  <si>
    <t>Formas planas de madeirit meso e superestrutura com 1 reaproveitamento esp. = 17 mm, inclusive fornecimento e transporte das madeiras</t>
  </si>
  <si>
    <t>Formas planas de madeirit meso e superestrutura com 2 reaproveitamentos esp. = 17 mm, inclusive fornecimento e transporte das madeiras</t>
  </si>
  <si>
    <t>Formas planas de madeirit meso e superestrutura com 4 reaproveitamentos esp. = 17 mm, inclusive fornecimento e transporte das madeiras</t>
  </si>
  <si>
    <t>Formas planas de madeirit meso e superestrutura sem reaproveitamento esp. = 10 mm, inclusive fornecimento e transporte das madeiras</t>
  </si>
  <si>
    <t>Formas planas de madeirit meso e superestrutura sem reaproveitamento esp. = 14 mm, inclusive fornecimento e transporte das madeiras</t>
  </si>
  <si>
    <t>Formas planas de madeirit meso e superestrutura sem reaproveitamento esp. = 17 mm, inclusive fornecimento e transporte das madeiras</t>
  </si>
  <si>
    <t>Forro de regularização sobre plataforma de enrocamento para tráfego de caminhões, inclusive  fornecimento do pó de pedra e da pedra demão</t>
  </si>
  <si>
    <t>Fresagem de pavimento asfáltico a frio, esp=5cm, exclusive transporte de materiais</t>
  </si>
  <si>
    <t>Fresagem de pavimento asfáltico a frio, esp.=5cm inclusive transporte do material</t>
  </si>
  <si>
    <t>Furação, fornecimento e fixação de grampos diam.16 mm com resina epoxi (prof. 50 cm)</t>
  </si>
  <si>
    <t>Furação, fornecimento e fixação de grampos 12,5 mm com resina epoxi em vigas prémoldadas</t>
  </si>
  <si>
    <t>Gabião manta/colchão, malha hex 6x8mm Zn-Al/PVC, e=2,8mm,h=0,23m, inclus.aquis./ assentam. pedra mão, exclus. transp. p/ revestim. canal</t>
  </si>
  <si>
    <t>Gabião manta/colchão, p/ revest. canal em malha hex 6x8mm Zn-Al/PVC, e=2,8mm,h=0,23m, inclus.aquis./assentam. pedra mão, exclus. transp., Vias Urbanas</t>
  </si>
  <si>
    <t>Geogrelha com resistência londitudinal a tração 35 a 40 kN, resist. transversal a tração 30 kN, fornecimento e aplicação - Deformação de 5%</t>
  </si>
  <si>
    <t>Geogrelha com resistência londitudinal a tração 55 a 60 kN, resist. transversal a tração 30 kN, fornecimento e aplicação - Deformação de 5%</t>
  </si>
  <si>
    <t>Geogrelha com resistência longitudinal a tração 300 kN, resist. transversal a tração 30 kN, fornecimento e aplicação</t>
  </si>
  <si>
    <t>Geogrelha com resistência longitudinal a tração 80 a 90 kN, resist. transversal a tração 30 kN, fornecimento e aplicação - Deformação de 5%</t>
  </si>
  <si>
    <t>Geogrelha tecida bidirecional de polipropileno de alto módulo inicial c/ módulo de rigidez nominal = 400KN/m nas duas direções, fornecimento/aplicação</t>
  </si>
  <si>
    <t>Grupo focal gradativo (semáforo com informação de tempo) com lâmpada LED, fornecimento e instalação</t>
  </si>
  <si>
    <t>Grupo focal repetidor 2x200 mm com lâmpada LED, fornecimento e instalação</t>
  </si>
  <si>
    <t>Grupo focal repetidor 3x200 mm com lâmpada LED, fornecimento e instalação</t>
  </si>
  <si>
    <t>Grupo focal repetidor 3x300 mm com lâmpada LED, fornecimento e instalação</t>
  </si>
  <si>
    <t>Junta de dilatação elástica pré-moldada p/ concreto, tipo fungenband em perfil O-12 de PVC alta densidade, Uniontech ou equival. fornecim./colocação</t>
  </si>
  <si>
    <t>Lavagem de brita para tratamento</t>
  </si>
  <si>
    <t>Limpeza e desmatamento em área alagada (pântano) com ferramentas manuais, inclusive moto serra</t>
  </si>
  <si>
    <t>Limpeza e desobstrução de rede de drenagem, utilizando caminhão equipado com conjunto de  alta pressão e sucção</t>
  </si>
  <si>
    <t>Limpeza em superfície de concreto com jateamento d'água sob pressão</t>
  </si>
  <si>
    <t>Meio fio de concreto pré-moldado (12 x 30 x 15) cm, inclusive caiação e transporte do meio fio</t>
  </si>
  <si>
    <t>Meio-fio pré-moldado em concreto, inclusive caiação e transporte do meio-fio</t>
  </si>
  <si>
    <t>Mobilização e desmobilização de equipamentos com carreta prancha (máximo)</t>
  </si>
  <si>
    <t>Muro com Terramesh System ou similar, altura H&lt;= 4,00 metros (4 cx 1x1x4m), tudo incluído</t>
  </si>
  <si>
    <t>Obturação de buracos c/ CBUQ inclusive fornecimento e transporte dos materiais betuminosos  em Vias Urbanas</t>
  </si>
  <si>
    <t>Passarela metálica p/ pontes rodoviárias com 1,0m de largura, piso em chapa xadrez esp 1/4",  em perfis laminados, inclusive pintura</t>
  </si>
  <si>
    <t>Passeio em concreto, largura 2,00m, acabamento em ladrilho hidráulico podotátil (L=0,40m)</t>
  </si>
  <si>
    <t>Passeio pavimentado em blocos de concreto esp.=6cm, colorido, resistência 35 MPa, colchão de areia 5cm, inclusive transporte dos blocos e da areia</t>
  </si>
  <si>
    <t>Pavimentação com blocos de concreto  (35 MPa), esp.= 06 cm, sobre colchão areia esp.= 5 cm, inclusive fornecimento e transporte dos blocos e areia</t>
  </si>
  <si>
    <t>Pavimentação com blocos de concreto (35 MPa), esp.= 06cm, sobre colchão areia esp.=5cm, inclusive fornecim. do bloco e areia, exclus. transp.materiais</t>
  </si>
  <si>
    <t>Pavimentação com blocos de concreto (35 MPa), esp.= 08 cm, colchão areia esp.= 5cm, inclusive fornecimento e transporte dos blocos e areia</t>
  </si>
  <si>
    <t>Pavimentação com blocos de concreto (35 MPa), esp.=06cm, sobre colchão areia esp.=5cm, inclusive fornecim. e transporte  blocos e areia,  Vias Urbanas</t>
  </si>
  <si>
    <t>Pavimentação com blocos de concreto (35 MPa) esp.=08 cm,colchão areia esp.=5cm, inclusive fornecim. do bloco e areia, exclusive transp. blocos e areia</t>
  </si>
  <si>
    <t>Pavimentação com blocos de concreto (35 MPa), esp.=08cm, sobre colchão de areia 5cm, inclusive fornecim. e transporte blocos e areia, em Vias Urbanas</t>
  </si>
  <si>
    <t>Pavimentação com paralelepípedo, sobre colchão areia esp.= 5cm, inclus. fornecimento e transport. da areia, exclus. fornecim. e transp. paralelepípedo</t>
  </si>
  <si>
    <t>Pavimentação com paralelepípedo, sobre colchão areia esp.= 5cm, inclusive fornecimento e transporte do paralelepípedo e areia</t>
  </si>
  <si>
    <t>Pavimentação com paralelepípedo, sobre colchão pó de pedra esp.= 5cm, inclusive fornecimento e transporte do paralelepípedo e pó de pedra</t>
  </si>
  <si>
    <t>Pavimentação com paralelepípedo sobre colchão pó de pedra esp.=5cm, inclusive fornecimento e transporte do paralelepípedo e pó de pedra,  Vias Urbanas</t>
  </si>
  <si>
    <t>Perfuração rotativa inclinada, em rocha sã, com coroa de diamante, diâmetro N (75mm), inclusive deslocamento e posicionamento em cada furo.</t>
  </si>
  <si>
    <t>Pescoço de poço de visita H=0,30 m, diâm. = 0,60 m, fornecimento, assentamento e transporte</t>
  </si>
  <si>
    <t>Pescoço de poço de visita H=0,30m, diâm. = 0,60 m, fornecimento, assentamento e transporte  em Vias Urbanas</t>
  </si>
  <si>
    <t>Pintura logomarca DER-ES em mourões de concreto ( baixo relevo )</t>
  </si>
  <si>
    <t>Plataforma ou passarela de pinho de 1ª ou similar, 1" x 12", em Vias Urbanas</t>
  </si>
  <si>
    <t>Pó de pedra inclusive fornecimento, espalhamento e transporte</t>
  </si>
  <si>
    <t>Poço de visita em bloco pré-moldado para d=0,30 e 0,40 m (0,80 x 0,8 0m), em Vias Urbanas</t>
  </si>
  <si>
    <t>Poço de visita em bloco pré-moldado para d=0,30 e 0,40m (0,80x0,80m)</t>
  </si>
  <si>
    <t>Poço de visita em bloco pré-moldado para d=0,60 m (1,00 x 1,00 m), em Vias Urbanas</t>
  </si>
  <si>
    <t>Poço de visita em bloco pré-moldado para d=0,60m (1,00x1,00m)</t>
  </si>
  <si>
    <t>Poço de visita em bloco pré-moldado para d=0,80m (1,20x1,20m), em Vias Urbanas</t>
  </si>
  <si>
    <t>Poço de visita em bloco pré-moldado para d=1,00m (1,30x1,30m) (Vias Urbanas)</t>
  </si>
  <si>
    <t>Poço de visita em bloco pré-moldado para d=1,20m (1,50x1,50m), em Vias Urbanas</t>
  </si>
  <si>
    <t>Poço de Visita para BSTC diâm. 0,40 m em blocos de concreto, em Vias Urbanas</t>
  </si>
  <si>
    <t>Poço de visita para BSTC diâm. 0,60 m em blocos de concreto, em Vias Urbanas</t>
  </si>
  <si>
    <t>Poço de visita para BSTC diâm. 0,80 m em blocos de concreto, em Vias Urbanas</t>
  </si>
  <si>
    <t>Poço de visita (tubo D=0,40 m) H=1,50 m com tampão F.F.A.P., inclusive escavação e transporte do tampão</t>
  </si>
  <si>
    <t>Poço de visita (tubo D=0,40 m) H=1,50 m com tampão F.F.A.P., inclusive escavação e transporte do tampão, em Vias Urbanas</t>
  </si>
  <si>
    <t>Poço de visita (tubo D=0,60 m) H=1,70 m com tampão F.F.A.P., inclusive escavação e transporte do tampão</t>
  </si>
  <si>
    <t>Poço de visita (tubo D=0,60 m) H=1,70 m com tampão F.F.A.P., inclusive escavação e transporte do tampão, em Vias Urbanas</t>
  </si>
  <si>
    <t>Poço de visita (tubo D=0,80 m) H=1,90 m com tampão F.F.A.P., inclusive escavação e transporte do tampão</t>
  </si>
  <si>
    <t>Poço de visita (tubo D=0,80 m) H=1,90 m com tampão F.F.A.P., inclusive escavação e transporte do tampão, em Vias Urbanas</t>
  </si>
  <si>
    <t>Poço de visita (tubo D=1,00 m) H=2,10 m com tampão F.F.A.P., inclusive escavação e transporte do tampão</t>
  </si>
  <si>
    <t>Poço de visita (tubo D=1,00 m) H=2,10 m com tampão F.F.A.P., inclusive escavação e transporte do tampão, em Vias Urbanas</t>
  </si>
  <si>
    <t>Ponte provisoria para movimentação de equipamentos de execução de fundação composta de  passadiço de madeira sobre estacas de madeira</t>
  </si>
  <si>
    <t>Porteira, confecção e colocação, inclusive fornecimento e transporte da madeira e chapa de aço</t>
  </si>
  <si>
    <t>Preparo manual de talude, compreendendo acerto, raspagem eventual de até 0,30m de prof. e  afastamento lateral</t>
  </si>
  <si>
    <t>Produção de brita no canteiro, exclusive o desmonte e fragmentação de rocha</t>
  </si>
  <si>
    <t>Produção de brita no canteiro, inclusive o desmonte  e fragmentação de rocha</t>
  </si>
  <si>
    <t>Reaterro de cavas c/ compactação manual (apiloamento) (dim. reduz.), em Vias Urbanas</t>
  </si>
  <si>
    <t>Reaterro de cavas c/ compactação mecânica (compactador manual), em Vias Urbanas</t>
  </si>
  <si>
    <t>Reciclagem de pavimento (Base existente+TSD) com adição de Ligante Betuminoso, inclusive fornecimento e transporte da emulsão</t>
  </si>
  <si>
    <t>Recomposição de talude de corte com aterro de solo argiloso compactado, exclusive material de aterro</t>
  </si>
  <si>
    <t>Recuperação de base de acostamento exclusive transporte do material (solo)</t>
  </si>
  <si>
    <t>Recuperação de poço de visita inclusive fornecimento tampão F.F.A.P., em Vias Urbanas</t>
  </si>
  <si>
    <t>Recuperação estrutural com uso de argamassa polimérica (espessura média=3,5cm)</t>
  </si>
  <si>
    <t>Rede de água c/ padrão de entrada d'água diâm. 3/4" conf. CESAN, incl. tubos e conexões p/ aliment., distrib., extravas. e limp., cons. o padrão a 25m</t>
  </si>
  <si>
    <t>Rede de luz, incl. padrão entr. energia trifás. cabo ligação até barracões, quadro distrib., disj. e  chave de força, cons. 20m entre padrão entr.e QDG</t>
  </si>
  <si>
    <t>Religação de rede de água em PVC DN 20 mm, inclusive conexões, em Vias Urbanas</t>
  </si>
  <si>
    <t>Religação de rede de água em PVC DN 25 mm, inclusive conexões, em Vias Urbanas</t>
  </si>
  <si>
    <t>Religação de rede de água em PVC DN 32 mm, inclusive conexões, em Vias Urbanas</t>
  </si>
  <si>
    <t>Religação de rede de água em PVC DN 75 mm, inclusive conexões, em Vias Urbanas</t>
  </si>
  <si>
    <t>Remanejamento de ligação e religação de redes de esgoto, em Vias Urbanas</t>
  </si>
  <si>
    <t>Remoção de capa asfáltica em TSS, TSD, ou TST exclusive transporte em Vias Urbanas</t>
  </si>
  <si>
    <t>Remoção e reassentamento de blocos de concreto, inclusive perdas em Vias Urbanas</t>
  </si>
  <si>
    <t>Remoção e reassentamento de paralelepípedos, inclusive perdas em Vias Urbanas</t>
  </si>
  <si>
    <t>Reparo de cerca ( substituição de mourões, grampo e arame farpado), inclusive transportes de  todos os materiais</t>
  </si>
  <si>
    <t>Reservatório de fibra de vidro de 1000 L, incl. suporte em madeira de 7x12cm, elevado de 4m</t>
  </si>
  <si>
    <t>Revestimento vegetal com grama em placas, inclusive transporte de grama</t>
  </si>
  <si>
    <t>Roçada manual com roçadeira costal, ferramentas manuais, inclusive limpeza e remoção com retroescavadeira</t>
  </si>
  <si>
    <t>Roçada manual com roçadeira costal, ferramentas manuais, inclusive limpeza e remoção com retroescavadeira (conservação)</t>
  </si>
  <si>
    <t>Roçada manual com roçadeira costal, ferramentas manuais, inclusive limpeza manual</t>
  </si>
  <si>
    <t>Roçada manual com roçadeira costal, ferramentas manuais, inclusive limpeza manual ( conservação)</t>
  </si>
  <si>
    <t>Sarjeta de concreto SCA 40/10</t>
  </si>
  <si>
    <t>Sarjeta de concreto SCA 40/10 - em Vias Urbanas</t>
  </si>
  <si>
    <t>Sarjeta de concreto (SCA 70/15) calha triangular, inclusive caiação, em Vias Urbanas</t>
  </si>
  <si>
    <t>Sarjeta de concreto (SCA 90/10) calha triangular, inclusive caiação, em Vias Urbanas</t>
  </si>
  <si>
    <t>Sarjeta em concreto fck=10,0 MPa inclusive caiação, tudo incluído</t>
  </si>
  <si>
    <t>Selagem de trincas, inclusive transporte de areia e emulsão</t>
  </si>
  <si>
    <t>Sinalização horizontal - taxa 0,6 l/m², tudo incluído</t>
  </si>
  <si>
    <t>Sinalização horizontal TMD=200, vida útil 2 a 3 anos, taxa=0,40 L/m²</t>
  </si>
  <si>
    <t>Sinalização horizontal TMD=400, vida útil 2 a 3 anos, taxa=0,60 L/m²</t>
  </si>
  <si>
    <t>Sinalização horizontal TMD=600, vida útil 2 a 3 anos, taxa=0,80 L/m²</t>
  </si>
  <si>
    <t>Sinalização horizontal TMD=600, vida útil 3 anos, taxa=3,0 kg/m² material termoplástico )</t>
  </si>
  <si>
    <t>Sinalização vertical com chapa em poliéster (e=2,3mm) reforçada com fibra de vidro, inclusive suporte de madeira</t>
  </si>
  <si>
    <t>Sinalização vertical, inclusive transporte de placa sinalização e madeira</t>
  </si>
  <si>
    <t>Sub-base com mistura de argila 70% e escória de aciaria 30%, inclusive fornecim. e transporte  da escória, exceto fornecimento e transporte da argila</t>
  </si>
  <si>
    <t>Sub-base de brita graduada, inclusive fornecimento e transporte da brita em Vias Urbanas</t>
  </si>
  <si>
    <t>Sub-base de brita graduada, inclusive fornecimento, exclusive transporte da brita</t>
  </si>
  <si>
    <t>Suporte de concreto armado ( 15x15x280 ) com logomarca pintada em baixo relevo</t>
  </si>
  <si>
    <t>Tampa de concreto em grelha, fornecimento, assentamento e transporte, em Vias Urbanas</t>
  </si>
  <si>
    <t>Tampão F.F.A.P. com 100 kg, fornecimento, assentamento e transporte em Vias Urbanas</t>
  </si>
  <si>
    <t>Tapa-panela, inclusive transporte de material de 1ª categoria</t>
  </si>
  <si>
    <t>Tapume madeira compensada resinada e= 12mm h=2,20m, estr. c/ mad reflorest., incl montagem e pintura esmalte sintético</t>
  </si>
  <si>
    <t>Tapume Telha Metálica Ondulada 0,50mm Branca h=2,20m, incl. montagem estr. mad. 8"x8", incl. faixas pint. esmalte sintético c/ h=40cm (Reaproveitamento 2x)</t>
  </si>
  <si>
    <t>Tela de aço galvanizado ,em malha hexagonal de dupla torção, tipo 8,0cm x 10,0cm, com fios de diâmetro 2,7mm, tudo incluído, fornecimento e execução</t>
  </si>
  <si>
    <t>Tela de proteção de segurança de PVC cor laranja com suporte  para sinalização de obras</t>
  </si>
  <si>
    <t>Tela de proteção de segurança de PVC cor laranja com suporte  para sinalização de obras em Vias Urbanas</t>
  </si>
  <si>
    <t>Tirante de aço ST 85/105, diâmetro de 32 mm, incluindo fornecimento da barra e da bainha proteção anticorrosiva, preparo e colocação no furo</t>
  </si>
  <si>
    <t>Transporte horizontal com trator de lâmina de material de 1ª cat. DMTaté 50m</t>
  </si>
  <si>
    <t>Trincheira drenante cega (0,50 x 1,70) m, inclusive transporte da brita c/ geotêxtil não tecido res.long. mín 16 kn/m</t>
  </si>
  <si>
    <t>T.S.B.D. com capa selante, executado c/ Multidistribuidor exclus. forn. e transp. com. da emulsão, inclus. lavagem brita e transp. comerc.areia, brita</t>
  </si>
  <si>
    <t>T.S.B.D. com capa selante executado c/ Multidistribuidor,inclus.fornec.areia/brita e lavagem brita, excl.fornec.da emulsão e trnasp.todos os materiais</t>
  </si>
  <si>
    <t>T.S.B.D. com capa selante, executado com Multidistribuidor inclusive fornecimento, transporte comercial dos materiais e lavagem da brita</t>
  </si>
  <si>
    <t>T.S.B.D. com capa selante inclusive fornec. areia/brita/emulsão, transporte comerc. emulsão e  lavagem brita, exclus. transp. areia e brita - V.Urbana</t>
  </si>
  <si>
    <t>T.S.B.D. com capa selante inclusive fornecimento e transporte comercial dos materiais e lavagem da brita</t>
  </si>
  <si>
    <t>T.S.B.D. sem capa selante,  inclusive fornecimento e transporte comercial dos materiais e lavagem de brita</t>
  </si>
  <si>
    <t>T.S.B.D. sem capa selante exclusive fornecimento e transporte comercial da emulsão, inclusive lavagem e transporte comercial  da brita</t>
  </si>
  <si>
    <t>T.S.B.D. sem capa selante, executado c/ Multidistribuidor exclusive fornec.e transp. comercial da emulsão, inclusive lavagem e transp. comerc.da brita</t>
  </si>
  <si>
    <t>T.S.B.D. sem capa selante inclusive fornecimento e transporte comercial dos materiais e lavagem da brita</t>
  </si>
  <si>
    <t>T.S.B.S. com capa selante exclusive fornecimento e transporte comercial da emulsão, inclusive lavagem e transporte comercial da brita</t>
  </si>
  <si>
    <t>T.S.B.S. com capa selante inclusive fornecimento e transporte comercial dos materiais e lavagem da brita</t>
  </si>
  <si>
    <t>T.S.B.S. exclusive fornecimento e transporte comercial do material betuminoso, inclusive fornecimento, transporte e lavagem da brita</t>
  </si>
  <si>
    <t>Tubo de PVC NBR 5648 diâmetro 50 mm, fornecimento e assentamento em Vias Urbanas</t>
  </si>
  <si>
    <t>Tubo de PVC NBR 5648 diâmetro 75 mm, fornecimento e assentamento em Vias Urbanas</t>
  </si>
  <si>
    <t>Tubo irrifort agropecuário diâmetro 32 mm, fornecimento e assentamento em Vias Urbanas</t>
  </si>
  <si>
    <t>Tubos de ferro fundido diâmetro 0,90 m, assentamento em Vias Urbanas</t>
  </si>
  <si>
    <t>Valeta em concreto fck=10,0 MPa, tudo incluído</t>
  </si>
  <si>
    <t>Montagem e desmontagem de escoramento tubular normal, em obras de arte na densidade de</t>
  </si>
  <si>
    <t xml:space="preserve"> 5m de tubo por m³ de escoramento</t>
  </si>
  <si>
    <t>Muro com Terramesh System ou similar, altura 4,00 &lt; H &lt;= 5,00 metros (3 cx 1x1x4m e 4 cx 0,</t>
  </si>
  <si>
    <t>5x1x4m) , execução, tudo incluído</t>
  </si>
  <si>
    <t>Muro com Terramesh System ou similar, altura 5,00 &lt; H &lt;= 6,00 metros (4 cx 1x1x4m e 4 cx 0,</t>
  </si>
  <si>
    <t>5x1x4m) , tudo incluído</t>
  </si>
  <si>
    <t>Muro com Terramesh System ou similar, altura 6,00 &lt; H &lt;= 7,50 metros (3cx 1x1x4m, 2cx</t>
  </si>
  <si>
    <t>1x1x5 e 5cx 0,5x1x6m), tudo incluído</t>
  </si>
  <si>
    <t>Muro com Terramesh System ou similar, altura 7,50 &lt; H &lt;= 9,00 metros (4 cx 1x1x4m, 2 cx</t>
  </si>
  <si>
    <t>1x1x5, 3 cx 0,5x1x6m e 3cx 0,5x1x7), tudo incluído</t>
  </si>
  <si>
    <t>Preço unitário S/ BDI corrigido</t>
  </si>
  <si>
    <t>Galpão em peças de madeira 8x8cm e contravent. de 5x7cm, cobertura de telhas de fibroc. de  6mm, incl. ponto e cabo de alimentação da máquina</t>
  </si>
  <si>
    <t>Aluguel de container tipo refeitório (3 unidades acopladas), c/ 3 aparelhos de ar condiocionado, 6 luminárias e 6 janelas de vidro</t>
  </si>
  <si>
    <t>Aluguel de container tipo refeitório (2 unidades acopladas), c/ 2 aparelhos de ar condicionado, 4 lumináriase 4 janelas de vidro</t>
  </si>
  <si>
    <t>Tubos para irrigação Linha fixa PN40, diâmetro 75 mm, fornecimento e assentamento em Vias  Urbanas</t>
  </si>
  <si>
    <t>Transposição de segmento de sarjeta - TSS 01, inclusive transporte do tubo de concreto em Vias Urbanas</t>
  </si>
  <si>
    <t>Transporte de materiais encosta acima, serviço manual, inclusive carga e descarga em Vias Urbanas</t>
  </si>
  <si>
    <t>Transporte de materiais encosta abaixo, serviço manual, inclusive carga e descarga em Vias Urbanas</t>
  </si>
  <si>
    <t>Sarjeta de concreto (STC - 04) calha triangular de bancada em corte, inclusive caiação, em Vias Urbanas</t>
  </si>
  <si>
    <t>Sarjeta de concreto (STC - 02) calha triangular em corte/aterro, inclusive caiação, em Vias Urbanas</t>
  </si>
  <si>
    <t>Rip-rap c/ argamassa cimento areia 1:6, inclusive aquisição e transporte dos materiais, em Vias Urbanas</t>
  </si>
  <si>
    <t>Religação de rede de água em PVC PBA CL 15 DN 100 mm, inclusive conexões, em Vias Urbanas</t>
  </si>
  <si>
    <t>Preparo manual de talude, compreendendo acerto, raspagem eventual de até 0,30 m de prof. e afastamento lateral, em Vias Urbanas</t>
  </si>
  <si>
    <t>Pintura interna ou externa sobre ferro, com tinta a base de resina de borracha clorada em Vias Urbanas</t>
  </si>
  <si>
    <t>Montagem e desmontagem de escoramento tubular normal, em obras de arte na densidade de  5m de tubo por m³ de escoramento em Vias Urbanas</t>
  </si>
  <si>
    <t>Escoramento e cimbramento (bueiro celular), inclusive fornecimento e transporte das madeiras,  em Vias Urbanas</t>
  </si>
  <si>
    <t>Escoramento de cavas e valas, inclusive fornecimento e transporte das madeiras, em Vias Urbanas</t>
  </si>
  <si>
    <t>Escavação manual furos, valetas mat. 2ª cat. H= 0,00 a 1,50 m s/detonação (dim. reduz.), em Vias Urbanas</t>
  </si>
  <si>
    <t>Escavação mecânica em material de 1ª cat. H= 0,00 a 1,50 m c/ esgotamento, em Vias Urbanas</t>
  </si>
  <si>
    <t>Escavação mecânica em material de 1ª cat. H= 1,50 a 3,00 m c/ esgotamento, em Vias Urbanas</t>
  </si>
  <si>
    <t>Escavação mecânica em material de 1º cat. H= 3,00 a 4,50 m c/ esgotamento, em Vias Urbanas</t>
  </si>
  <si>
    <t>Escavação mecânica em material de 2ª cat. H= 0,00 a 1,50 m c/ esgotamento, em Vias Urbanas</t>
  </si>
  <si>
    <t>Escavação mecânica em material de 2ª cat. H= 1,50 a 3,00 m c/ esgotamento, em Vias Urbanas</t>
  </si>
  <si>
    <t>Escavação mecânica em material de 2ª cat. H= 3,00 a 4,50 m c/ esgotamento, em Vias Urbanas</t>
  </si>
  <si>
    <t>Escavação mecânica em material de 2º cat. H= 3,00 a 4,50 m c/ esgotamento em Vias Urbanas</t>
  </si>
  <si>
    <t>Escada de madeira executada sobre terreno inclinado, com 80 cm de largura mínima em Vias Urbanas</t>
  </si>
  <si>
    <t>Dreno sub-horizontal D = 50 mm em PVC inclus.escavação em rocha sã,  geotêxtil não tecido RT-16, exclusive transportes em Vias Urbanas</t>
  </si>
  <si>
    <t>Dreno profundo D=0,20m com enchimento de areia, escavação em material 1ª categoria (DPS-01), inclusive transporte da areia e do tubo em Vias Urbanas</t>
  </si>
  <si>
    <t>Dreno profundo com tubo poroso, D=0,20 m com enchim. de brita, escav. material 3ª categoria  (DPR-01),  inclus. transporte brita e  tubo,  Vias Urbanas</t>
  </si>
  <si>
    <t>Dreno Longitudinal tipo Trincheira Drenante, H=0,40m c/tubo poroso PEAD d = 65 mm, incl. esc. mat. 1ª cat., geotêxtil não tecido RT 07kN/m, V. Urbanas</t>
  </si>
  <si>
    <t>Dreno de alívio de pavimento (DP - DAP - 01), com tubo PVC d=50mm, geotêxtil não tecido RT 07 kN/m inclusive transporte da brita em Vias Urbanas</t>
  </si>
  <si>
    <t>Corte e esmerilhamento de pontas de tubo de ferro fundido DN 500 a 200mm em Vias Urbanas</t>
  </si>
  <si>
    <t>Corpo BSTC diâmetro 0,60 m C.S. PB inclusive escavação, reaterro e transporte do tubo em Vias Urbanas</t>
  </si>
  <si>
    <t>Corpo BSTC diâmetro 0,60 m C.S. MF inclusive escavação, reaterro e transporte do tubo em Vias Urbanas</t>
  </si>
  <si>
    <t>Corpo BSTC diâmetro 0,40 m C.S. PB inclusive escavação, reaterro e transporte do tubo em Vias Urbanas</t>
  </si>
  <si>
    <t>Corpo BSTC diâmetro 0,40 m C.S. MF inclusive escavação, reaterro e transporte do tubo em Vias Urbanas</t>
  </si>
  <si>
    <t>Corpo BSTC diâmetro 0,30 m C.S. PB inclusive escavação, reaterro e transporte do tubo em Vias Urbanas</t>
  </si>
  <si>
    <t>Corpo BSTC diâmetro 0,30 m C.S. MF inclusive escavação, reaterro e transporte do tubo em Vias Urbanas</t>
  </si>
  <si>
    <t>Corpo BSTC diâmetro 0,20 m C.S. PB inclusive escavação, reaterro e transporte do tubo em Vias Urbanas</t>
  </si>
  <si>
    <t>Corpo BSTC diâmetro 0,20 m C.S. MF inclusive escavação, reaterro e transporte do tubo em Vias Urbanas</t>
  </si>
  <si>
    <t>Concreto estrutural fck = 35,0 MPa com micro-silica e Sikacrete ou equivalente em Vias Urbanas</t>
  </si>
  <si>
    <t>Concreto estrutural fck = 30,0 MPa com micro-silica e Sikacrete BR ou equivalente em Vias Urbanas</t>
  </si>
  <si>
    <t>Colchão drenante de areia para fundação de aterros, exclusive o fornecimento de areia em Vias Urbanas</t>
  </si>
  <si>
    <t>Cerca em tela revestida em PVC com mourões de concreto, fornecimento e execução em Vias  Urbanas</t>
  </si>
  <si>
    <t>Canaleta de concreto, com forma retangular inclusive caiação - parede 12 cm em Vias Urbanas</t>
  </si>
  <si>
    <t>Caixa de passagem em bloco pré-moldado para d=0,30 e 0,40m (0,80x0,80m) em Vias Urbanas</t>
  </si>
  <si>
    <t>Caixa Boca de Lobo em bloco pré-moldado para diâm.= 0,30m e 0,40m (0,80 x 0,80m) (Vias Urbanas)</t>
  </si>
  <si>
    <t>Caixa Boca de Lobo em bloco pré-moldado para diâm. = 0,60m (1,00 x 1,00m) CBL2 (Vias Urbanas)</t>
  </si>
  <si>
    <t>Caixa Boca de Lobo em bloco pré-moldado de concreto para diâm.=1,00m (1,30 x 1,30m) em Vias Urbanas</t>
  </si>
  <si>
    <t>Andaime de madeira para altura até 7 m, compreendendo montagem e desmontagem em Vias  Urbanas</t>
  </si>
  <si>
    <t>Sub-base solo brita, 50% em peso, inclusive fornecimento e transporte da brita em Vias Urbanas</t>
  </si>
  <si>
    <t>Pintura de ligação exclusive fornecimento e transporte comercial do material betuminoso em Vias Urbanas</t>
  </si>
  <si>
    <t>Imprimação inclusive fornecimento e transporte comercial do material betuminoso em Vias Urbanas</t>
  </si>
  <si>
    <t>Imprimação exclusive fornecimento e transporte comercial do material betuminoso em Vias Urbanas</t>
  </si>
  <si>
    <t>Fresagem de pavimento asfáltico a frio, esp=5cm, exclusive transporte de materiais em Vias Urbanas</t>
  </si>
  <si>
    <t>Fresagem de pavimento asfáltico a frio, esp. até 15cm, exclusive transporte de materiais, em Vias Urbanas</t>
  </si>
  <si>
    <t>Base de solo brita, 50% em peso, inclusive fornecimento, exclusive transporte da brita em Vias  Urbanas</t>
  </si>
  <si>
    <t>Transporte horizontal com trator de lâmina de material de 1ª cat. DMTaté 50m em Vias Urbanas</t>
  </si>
  <si>
    <t>Remoção de solos moles, incluindo carregamento mecânico com escavadeira hidráulica em Vias Urbanas</t>
  </si>
  <si>
    <t>Limpeza e desmatamento em área alagada (pântano) com ferr. man., incl. moto serra em Vias Urbanas</t>
  </si>
  <si>
    <t>Junta perfil elastomérico de vedação p/pontes c/abertura média de 50mm ± 25mm,inclus. lábios poliméricos-Marca Ref JEENE mod.JJ-5070 VV(substituição)</t>
  </si>
  <si>
    <t>Junta perfil elastomérico de vedação p/pontes c/abertura média de 50 mm ±  25 mm, inclus. lábios poliméricos-Marca Ref.JEENE mod.JJ-5070 (constr.)</t>
  </si>
  <si>
    <t>Junta perfil elastomérico de vedação p/pontes c/abertura média de 25mm ± 10 mm, inclus. lábios poliméricos-Marca Ref JEENE-JJ2540 VV (constr.)</t>
  </si>
  <si>
    <t>Estaca metálica, fornecimento, transporte, perdas, solda, emenda, corte e cravação de trilho TR- 57</t>
  </si>
  <si>
    <t>Estaca metálica, fornecimento, transporte, perdas, solda, emenda, corte e cravação de 2 TR-68</t>
  </si>
  <si>
    <t>Estaca metálica, fornecimento, transporte, perdas, solda, emenda, corte e cravação de 2 TR-57</t>
  </si>
  <si>
    <t>Sistema cercamento tipo Gradil Nylofor 3DPintura Simples (preto, verde ou branco), #50x200m, fio 5,0mm, L=2,50m, H=2,03m, incl. forn./chumb. Postes</t>
  </si>
  <si>
    <t>Cerca de arame farpado 4 fios com mourões, a cada 2,5 m, esticadores de madeira a cada 60,0m, inclusive transporte de arame farpado e mourão</t>
  </si>
  <si>
    <t>Cerca de arame farpado 4 fios com mourões a cada 1,0 m, esticadores de madeira, a cada 20,0 m, inclusive transporte de mourão e arame farpado</t>
  </si>
  <si>
    <t>Cerca de arame farpado 4 fios com mourões  a cada 2,0 m, esticadores de madeira, a cada 20,0 m, inclusive transporte de mourão e arame farpado)</t>
  </si>
  <si>
    <t>Geogrelha com resistência longitudinal a tração 80 a 90 KN, resistência transversal a tração 30KN, fornecimento e aplicação - Deformação de 10%</t>
  </si>
  <si>
    <t>Geogrelha com resistência longitudinal a tração 55 a 60 KN, resistência transversal a tração 30KN, fornecimento e aplicação - Deformação de 10%</t>
  </si>
  <si>
    <t>Geogrelha com resistência longitudinal a tração 35 a 40 KN, resistência transversal a tração 30KN, fornecimento e aplicação - Deformação de 10%</t>
  </si>
  <si>
    <t>Gabiões com caixas galvanizadas  com utilização de geotêxtil não tecido RT 07 kN/m, inclus. transp. madeira e pedra mão</t>
  </si>
  <si>
    <t>Dreno sub-superficial  rocha (h=0,55m) c/ tubo PEAD perfur. d=100mm, env. por geotêxtil16kn/m, preenc.c/ brita, inclus.transp. tubo, exclusive transp.brita</t>
  </si>
  <si>
    <t>Dreno sub-horizontal D=50mm em PVC (escavação em rocha sã), inlusive geotêxtil não tecido RT 16 kn/m, exclusive transportes</t>
  </si>
  <si>
    <t>Dreno profundo em solo com tubo PEAD perfur. D=100 mm, envolto por geotêxtil não tecido RT16 kn/m, preenchim. c/ brita, incl. Transporte</t>
  </si>
  <si>
    <t>Dreno profundo D = 0,20 m com enchimento de areia, escavação em material 1ª categoria (DPS-01), inclusive transporte da areia e do tubo</t>
  </si>
  <si>
    <t>Dreno profundo D = 0,10 m c/enchim. brita e areia (1:1) escav.mat. 1º categ., inclus.transp. areia, brita,c/ geotêxtil não tecido res.long. mín 16 kn/m</t>
  </si>
  <si>
    <t>Dreno Longitudinal tipo Trincheira Drenante, H = 0,90 m com tubo poroso tipo PEAD de diâm= 100 mm, incluindo esc. em mat. 1ª cat. e transporte do tubo</t>
  </si>
  <si>
    <t>Dreno Longitudinal tipo Trincheira Drenante, H = 0,90 m com tubo poroso tipo PEAD de diâm= 100 mm, incluindo esc. mat. 3ª cat. e transporte do tubo</t>
  </si>
  <si>
    <t>Dreno de alívio de pavimento (DP - DAP - 01),  com utilização de geotêxtil não tecido RT 07 kn/m, inclusive transporte da brita</t>
  </si>
  <si>
    <t>BSCC (pré-moldado) 3,00 x 3,00 x 1,00m CL 45t, inclusive transporte de Anel de Bueiro Celular Pré-moldado</t>
  </si>
  <si>
    <t>BSCC (pré-moldado) 2,50 x 2,50 x 1,00m CL 45t, inclusive transporte de Anel de Bueiro Celular Pré-moldado</t>
  </si>
  <si>
    <t>BSCC (pré-moldado) 2,00 x 2,00 x 1,00m CL 45t, inclusive transporte de Anel de Bueiro Celular Pré-moldado</t>
  </si>
  <si>
    <t>BSCC (pré-moldado) 1,50 x 1,50 x 1,00m CL 45t, inclusive transporte do Anel de Bueiro Celular Pré-moldado</t>
  </si>
  <si>
    <t>T.S.B.D. sem capa selante executado com Multidistribuidor excl. forn. da emulsão e transp. comerciais da emulsão e da brita, inclus. lavagem da brita</t>
  </si>
  <si>
    <t>Pavimentação com blocos de concreto (35MPa), esp.=10 cm, sobre colchão de areia esp.=5cm, inclusive fornecim. do bloco e areia , exclusive transportes</t>
  </si>
  <si>
    <t>Pavimentação com blocos de concreto (35 MPa), esp. = 10 cm, sobre colchão areia esp.= 5cm, inclusive fornecimento e transporte dos blocos e areia</t>
  </si>
  <si>
    <t>CBUQ (camada pronta Faixa "B" para revestimento) exclusive fornecimento do CAP e transp. de todos os materiais</t>
  </si>
  <si>
    <t>Base com mistura de argila, areia e escória de aciaria, 30%,30%,40%, inclusive fornecim. transp.areia e escória, exclusive fornecim. transp. da argila</t>
  </si>
  <si>
    <r>
      <t>Orçamento:</t>
    </r>
    <r>
      <rPr>
        <sz val="11"/>
        <color theme="1"/>
        <rFont val="Calibri"/>
        <family val="2"/>
        <scheme val="minor"/>
      </rPr>
      <t> 1151501 - TABELA CUSTOS LABOR/CT-UFES PADRÃO DER-ES NOVEMBRO/2021(LS=157,27; BDI=0%)</t>
    </r>
  </si>
  <si>
    <r>
      <t>Planilha:</t>
    </r>
    <r>
      <rPr>
        <sz val="11"/>
        <color theme="1"/>
        <rFont val="Calibri"/>
        <family val="2"/>
        <scheme val="minor"/>
      </rPr>
      <t> TABELA CUSTOS LABOR/CT-UFES PADRÃO DER NOVEMBRO/2021(LS=157,27; BDI=0%)</t>
    </r>
  </si>
  <si>
    <r>
      <t>Data Base:</t>
    </r>
    <r>
      <rPr>
        <sz val="11"/>
        <color theme="1"/>
        <rFont val="Calibri"/>
        <family val="2"/>
        <scheme val="minor"/>
      </rPr>
      <t> Novembro/2021</t>
    </r>
  </si>
  <si>
    <t>Placa de obra nas dimensões de 2.0 x 4.0 m, padrão DER</t>
  </si>
  <si>
    <t>INSTALAÇÕES DE REDE LOGICA</t>
  </si>
  <si>
    <t>Quadro pincel novo, completo, de laminado melamínico alta pressão, "LOUSA" quadriculado, cor branco brilhante, linha Lousas, padrão F608 Brancoline, esp. 1mm, incl. requadro madeira 2.5 x 5.0 cm e porta pincel, dim. 3.95 x 1.29 m</t>
  </si>
  <si>
    <t>Corrimão de tubo de ferro galvanizado diâmetro 3" fixado na parede a cada 1.50m, inclusive pintura a óleo ou esmalte</t>
  </si>
  <si>
    <t>MÃO DE OBRA (MENSALISTAS - COM DESONERAÇÃO - LEIS SOCIAIS=48,84%)</t>
  </si>
  <si>
    <t>Tecnico Segundo Grau -A-(Leis Sociais = 48,84%)</t>
  </si>
  <si>
    <t>Engenheiro Senior(Leis Sociais = 48,84%)</t>
  </si>
  <si>
    <t>Programador (Leis Sociais = 48,84%)</t>
  </si>
  <si>
    <t>Digitador - 6 Horas(Leis Sociais = 48,84%)</t>
  </si>
  <si>
    <t>Engenheiro Junior (Leis Sociais = 48,84%)</t>
  </si>
  <si>
    <t>Tecnico Segundo Grau -B (Leis Sociais = 48,84%)</t>
  </si>
  <si>
    <t>Tecnico Segundo Grau-C - (Leis Sociais = 48,84%)</t>
  </si>
  <si>
    <t>Gerente de Projeto (Leis Sociais = 48,84%)</t>
  </si>
  <si>
    <t>Analista de Sistemas (Leis Sociais = 48,84%)</t>
  </si>
  <si>
    <t>Analista de Desenvolvimento (Leis Sociais = 48,84%)</t>
  </si>
  <si>
    <t>Gerente Bd/Servidores/Redes (Leis Sociais = 48,84%)</t>
  </si>
  <si>
    <t>Designer Gráfico (Leis Sociais = 48,84%)</t>
  </si>
  <si>
    <t>Analista Sistemas/Suporte(Leis Sociais = 48,84%)</t>
  </si>
  <si>
    <t>Coordenador Tecnico Especialista(Leis Sociais = 48,84%)</t>
  </si>
  <si>
    <t>Cotador(Leis Sociais = 48,84%)</t>
  </si>
  <si>
    <t>Tecnico Nivel Superior (Leis Sociais = 48,84%)</t>
  </si>
  <si>
    <t>Engenheiro Pleno(Leis Sociais = 48,84%)</t>
  </si>
  <si>
    <t>Almoxarife(Leis Sociais = 48,84%)</t>
  </si>
  <si>
    <t>Mestre Obras Senior (Leis Sociais = 48,84%)</t>
  </si>
  <si>
    <t>Vigia (Leis Sociais = 48,84%)</t>
  </si>
  <si>
    <t>Auxiliar de Almoxarife (Leis Sociais = 48,84%)</t>
  </si>
  <si>
    <t>Encarregado de Turma (Leis Sociais = 48,84%)</t>
  </si>
  <si>
    <t>MÃO DE OBRA (MENSALISTAS - NÃO DESONERADO - LEIS SOCIAIS=72,36%)</t>
  </si>
  <si>
    <t>Tecnico Segundo Grau -A-(Leis Sociais = 72,36%)</t>
  </si>
  <si>
    <t>Engenheiro Senior(Leis Sociais = 72,36%)</t>
  </si>
  <si>
    <t>Programador (Leis Sociais = 72,36%)</t>
  </si>
  <si>
    <t>Digitador - 6 Horas(Leis Sociais = 72,36%)</t>
  </si>
  <si>
    <t>Engenheiro Junior (Leis Sociais = 72,36%)</t>
  </si>
  <si>
    <t>Tecnico Segundo Grau -B (Leis Sociais = 72,36%)</t>
  </si>
  <si>
    <t>Tecnico Segundo Grau-C - (Leis Sociais = 72,36%)</t>
  </si>
  <si>
    <t>Gerente de Projeto (Leis Sociais = 72,36%)</t>
  </si>
  <si>
    <t>Analista de Sistemas (Leis Sociais = 72,36%)</t>
  </si>
  <si>
    <t>Analista de Desenvolvimento (Leis Sociais = 72,36%)</t>
  </si>
  <si>
    <t>Gerente Bd/Servidores/Redes (Leis Sociais = 72,36%)</t>
  </si>
  <si>
    <t>Designer Gráfico (Leis Sociais = 72,36%)</t>
  </si>
  <si>
    <t>Analista Sistemas/Suporte(Leis Sociais = 72,36%)</t>
  </si>
  <si>
    <t>Coordenador Tecnico Especialista(Leis Sociais = 72,36%)</t>
  </si>
  <si>
    <t>Cotador(Leis Sociais = 72,36%)</t>
  </si>
  <si>
    <t>Tecnico Nivel Superior (Leis Sociais = 72,36%)</t>
  </si>
  <si>
    <t>Engenheiro Pleno(Leis Sociais = 72,36%)</t>
  </si>
  <si>
    <t>Almoxarife(Leis Sociais = 72,36%)</t>
  </si>
  <si>
    <t>Mestre Obras Senior (Leis Sociais = 72,36%)</t>
  </si>
  <si>
    <t>Vigia (Leis Sociais = 72,36%)</t>
  </si>
  <si>
    <t>Auxiliar de Almoxarife (Leis Sociais = 72,36%)</t>
  </si>
  <si>
    <t>Encarregado de Turma (Leis Sociais = 72,36%)</t>
  </si>
  <si>
    <t>141101</t>
  </si>
  <si>
    <t>210114</t>
  </si>
  <si>
    <t>3127</t>
  </si>
  <si>
    <t>312701</t>
  </si>
  <si>
    <t>312702</t>
  </si>
  <si>
    <t>312703</t>
  </si>
  <si>
    <t>312704</t>
  </si>
  <si>
    <t>312705</t>
  </si>
  <si>
    <t>312706</t>
  </si>
  <si>
    <t>312707</t>
  </si>
  <si>
    <t>312708</t>
  </si>
  <si>
    <t>312709</t>
  </si>
  <si>
    <t>312710</t>
  </si>
  <si>
    <t>312711</t>
  </si>
  <si>
    <t>312712</t>
  </si>
  <si>
    <t>312713</t>
  </si>
  <si>
    <t>312714</t>
  </si>
  <si>
    <t>312715</t>
  </si>
  <si>
    <t>312716</t>
  </si>
  <si>
    <t>312717</t>
  </si>
  <si>
    <t>312718</t>
  </si>
  <si>
    <t>312719</t>
  </si>
  <si>
    <t>312720</t>
  </si>
  <si>
    <t>312721</t>
  </si>
  <si>
    <t>312722</t>
  </si>
  <si>
    <t>3128</t>
  </si>
  <si>
    <t>312801</t>
  </si>
  <si>
    <t>312802</t>
  </si>
  <si>
    <t>312803</t>
  </si>
  <si>
    <t>312804</t>
  </si>
  <si>
    <t>312805</t>
  </si>
  <si>
    <t>312806</t>
  </si>
  <si>
    <t>312807</t>
  </si>
  <si>
    <t>312808</t>
  </si>
  <si>
    <t>312809</t>
  </si>
  <si>
    <t>312810</t>
  </si>
  <si>
    <t>312811</t>
  </si>
  <si>
    <t>312812</t>
  </si>
  <si>
    <t>312813</t>
  </si>
  <si>
    <t>312814</t>
  </si>
  <si>
    <t>312815</t>
  </si>
  <si>
    <t>312816</t>
  </si>
  <si>
    <t>312817</t>
  </si>
  <si>
    <t>312818</t>
  </si>
  <si>
    <t>312819</t>
  </si>
  <si>
    <t>312820</t>
  </si>
  <si>
    <t>312821</t>
  </si>
  <si>
    <t>312822</t>
  </si>
  <si>
    <t>DER-ED</t>
  </si>
  <si>
    <t>V. UNIT.
S/ BDI</t>
  </si>
  <si>
    <t>QUANT.</t>
  </si>
  <si>
    <t>UND.</t>
  </si>
  <si>
    <t>REFERÊNCIA</t>
  </si>
  <si>
    <t>ITEM</t>
  </si>
  <si>
    <t>DESCRIÇÃO</t>
  </si>
  <si>
    <t>V. TOTAL</t>
  </si>
  <si>
    <t>V. UNIT.
C/ BDI</t>
  </si>
  <si>
    <t>DATA BASE DE JUNHO/2021 CORRIGIDA PARA NOVEMBRO/2021</t>
  </si>
  <si>
    <t>DER-RD</t>
  </si>
  <si>
    <t>LOCAL COM DMT ATÉ 3,0 KM (Caminhão basculante) - 1,147XINCC-MXP + 1,268XINCC-MXR + 2,013XINCC-M</t>
  </si>
  <si>
    <t>Refeitório c/ paredes chapa de comp. 12mm e pont. 8x8cm, piso ciment. e cob. telhas fibroc. 6mm, incl. ponto de luz e cx. de insp. (1,21m²/func/turno)</t>
  </si>
  <si>
    <t>Sanitário e vestiário de 40/60 func., c/ 33,90m², paredes chapa compens. 12mm e pont. 8x8cm, piso ciment., cobert. telha fibroc., incl. luz e cx. Insp</t>
  </si>
  <si>
    <t>Obs.1: Os preços unitários utilizados com referência do DER-ES Rodovias  foram atualizados de jun/2021 para novembro/2021 com base no INCC-M = 1,039. Conforme cálculo realizado na calculadora da FGV.</t>
  </si>
  <si>
    <t>PEDRA QUARTZITO OU CALCARIO LAMINADO, CACO, TIPO CARIRI, ITACOLOMI, LAGOA SANTA, LUMINARIA, PIRENOPOLIS, SAO TOME OU OUTRAS SIMILARES DA REGIAO, E= *1,5 A *2,5 CM</t>
  </si>
  <si>
    <t>Eletroduto em ferro galvanizado pesado sem costura 3/4" x 3m</t>
  </si>
  <si>
    <t>Rodapé granito branco Siena polido 7 x 2cm</t>
  </si>
  <si>
    <t>7130/ORSE</t>
  </si>
  <si>
    <t>Peitoril/chapim granito branco siena, polido, l = 22cm, e = 2cm</t>
  </si>
  <si>
    <t>13257/ORSE</t>
  </si>
  <si>
    <t>Revestimento em pastilha de porcelana Coleção Mediterranée, PEI 2, Cerâmica JATOBÁ,  Código JD 4102  Pérola Oceânica - 2,5 x 2,5cm</t>
  </si>
  <si>
    <t>Revestimento em pastilha de porcelana Coleção Mediterranée,  Cerâmica JATOBÁ,  Código do Conjunto JD 8410 Miscelania Azul - 2,5 x 2,5cm</t>
  </si>
  <si>
    <t>Coletor com carga traseira de lixo de 120 litros - (container de lixo) - C-120,  produzido em Polietileno de Alta Densidade (PEAD) injetado com proteção contra raios UV. Possui rodas com borracha maciça, tampa anti-ruído. Capacidade 120L; Altura 926 mm;Largura 483 mm; Profundidade 552 mm. Fab.: Contemar Ambiental ou equivalente</t>
  </si>
  <si>
    <t>Coletor com carga traseira de lixo de 1000 litros - (container de lixo) C-1000 é fabricado com polietileno de alta densidade (PEAD) injetado com proteção contra raios UV. Possui rodas com borracha maciça, tampa antí-acúmulo de água e anti-ruído.Capacidade 1000L ;Altura 1340 mm;Largura 1375 mm;Profundidade 1110 mm. Fab.: Contemar Ambiental ou equivalente</t>
  </si>
  <si>
    <t>COMP.</t>
  </si>
  <si>
    <t>CP-004</t>
  </si>
  <si>
    <t>CP-020</t>
  </si>
  <si>
    <t>CP-021</t>
  </si>
  <si>
    <t>CP-022</t>
  </si>
  <si>
    <t>CP-023</t>
  </si>
  <si>
    <t>CP-024</t>
  </si>
  <si>
    <t>CP-025</t>
  </si>
  <si>
    <t>CP-026</t>
  </si>
  <si>
    <t>CP-027</t>
  </si>
  <si>
    <t>CP-028</t>
  </si>
  <si>
    <t>TAXA (%)</t>
  </si>
  <si>
    <t>01.057.000003.EQA</t>
  </si>
  <si>
    <t>MOTOSSERRA, gasolina, potência 5,2 hp - 3,9 kW</t>
  </si>
  <si>
    <t xml:space="preserve">ENCARREGADO DE O.A.C. </t>
  </si>
  <si>
    <t>INSUMO DER-ES RODOVIAS DE JUN/2021 CORRIGIDO PELO INCC-M: 1,0392965 PARA NOV/2021</t>
  </si>
  <si>
    <t>SERVIÇO DER-ES RODOVIAS DE JUN/2021 CORRIGIDO PELO INCC-M: 1,0392965 PARA NOV/2021</t>
  </si>
  <si>
    <t>71107-IOPES</t>
  </si>
  <si>
    <t>PROPONENTE:</t>
  </si>
  <si>
    <t>OBRA:</t>
  </si>
  <si>
    <t>CONTRATO:</t>
  </si>
  <si>
    <t>MEMÓRIA DE CÁLCULO</t>
  </si>
  <si>
    <t>Leis Sociais:</t>
  </si>
  <si>
    <t>Data impressão:</t>
  </si>
  <si>
    <t>Memória</t>
  </si>
  <si>
    <t>Observação</t>
  </si>
  <si>
    <t>ORGÃO</t>
  </si>
  <si>
    <t>Pavimentação com blocos de concreto (35 MPa), esp.=10cm, sobre colchão de areia esp.= 5cm, inclusive fornecim.e transporte  blocos e areia,Vias Urbanas</t>
  </si>
  <si>
    <t>GRANILHA BRANCA N 01 30 KG</t>
  </si>
  <si>
    <t>Merc-38</t>
  </si>
  <si>
    <t>Merc-39</t>
  </si>
  <si>
    <t>GRANILHA PRETA N 01 30 KG</t>
  </si>
  <si>
    <t>Composição 72</t>
  </si>
  <si>
    <t>ÁCIDO MURIÁTICO</t>
  </si>
  <si>
    <t>l</t>
  </si>
  <si>
    <t>Merc-40</t>
  </si>
  <si>
    <t>Resina Epóxi Incolor para pisos de concreto</t>
  </si>
  <si>
    <t>Merc-41</t>
  </si>
  <si>
    <t>MÁQUINA EXTRUSORA DE CONCRETO PARA GUIAS E SARJETAS, MOTOR A DIESEL, POTÊNCIA 14 CV - CHP DIURNO. AF_12/2015</t>
  </si>
  <si>
    <t>CHP</t>
  </si>
  <si>
    <t>MÁQUINA EXTRUSORA DE CONCRETO PARA GUIAS E SARJETAS, MOTOR A DIESEL, POTÊNCIA 14 CV - CHI DIURNO. AF_12/2015</t>
  </si>
  <si>
    <t>CHI</t>
  </si>
  <si>
    <t>Piso FULGET em granilha branca e preta, inclusive contrapiso em lastro de concreto com esp. 6cm e ácido muriático para remoção do excesso de cimento</t>
  </si>
  <si>
    <t>CODIGO  DA COMPOSICAO</t>
  </si>
  <si>
    <t>DESCRICAO DA COMPOSICAO</t>
  </si>
  <si>
    <t>CUSTO TOTAL</t>
  </si>
  <si>
    <t>ASSENTAMENTO DE TUBO DE FERRO FUNDIDO PARA REDE DE ÁGUA, DN 80 MM, JUNTA ELÁSTICA, INSTALADO EM LOCAL COM NÍVEL ALTO DE INTERFERÊNCIAS (NÃO INCLUI FORNECIMENTO). AF_11/2017</t>
  </si>
  <si>
    <t>8,37</t>
  </si>
  <si>
    <t>97142</t>
  </si>
  <si>
    <t>ASSENTAMENTO DE TUBO DE FERRO FUNDIDO PARA REDE DE ÁGUA, DN 100 MM, JUNTA ELÁSTICA, INSTALADO EM LOCAL COM NÍVEL ALTO DE INTERFERÊNCIAS (NÃO INCLUI FORNECIMENTO). AF_11/2017</t>
  </si>
  <si>
    <t>9,33</t>
  </si>
  <si>
    <t>97143</t>
  </si>
  <si>
    <t>ASSENTAMENTO DE TUBO DE FERRO FUNDIDO PARA REDE DE ÁGUA, DN 150 MM, JUNTA ELÁSTICA, INSTALADO EM LOCAL COM NÍVEL ALTO DE INTERFERÊNCIAS (NÃO INCLUI FORNECIMENTO). AF_11/2017</t>
  </si>
  <si>
    <t>11,73</t>
  </si>
  <si>
    <t>97144</t>
  </si>
  <si>
    <t>ASSENTAMENTO DE TUBO DE FERRO FUNDIDO PARA REDE DE ÁGUA, DN 200 MM, JUNTA ELÁSTICA, INSTALADO EM LOCAL COM NÍVEL ALTO DE INTERFERÊNCIAS (NÃO INCLUI FORNECIMENTO). AF_11/2017</t>
  </si>
  <si>
    <t>14,11</t>
  </si>
  <si>
    <t>97145</t>
  </si>
  <si>
    <t>ASSENTAMENTO DE TUBO DE FERRO FUNDIDO PARA REDE DE ÁGUA, DN 250 MM, JUNTA ELÁSTICA, INSTALADO EM LOCAL COM NÍVEL ALTO DE INTERFERÊNCIAS (NÃO INCLUI FORNECIMENTO). AF_11/2017</t>
  </si>
  <si>
    <t>16,52</t>
  </si>
  <si>
    <t>97146</t>
  </si>
  <si>
    <t>ASSENTAMENTO DE TUBO DE FERRO FUNDIDO PARA REDE DE ÁGUA, DN 300 MM, JUNTA ELÁSTICA, INSTALADO EM LOCAL COM NÍVEL ALTO DE INTERFERÊNCIAS (NÃO INCLUI FORNECIMENTO). AF_11/2017</t>
  </si>
  <si>
    <t>18,93</t>
  </si>
  <si>
    <t>97147</t>
  </si>
  <si>
    <t>ASSENTAMENTO DE TUBO DE FERRO FUNDIDO PARA REDE DE ÁGUA, DN 350 MM, JUNTA ELÁSTICA, INSTALADO EM LOCAL COM NÍVEL ALTO DE INTERFERÊNCIAS (NÃO INCLUI FORNECIMENTO). AF_11/2017</t>
  </si>
  <si>
    <t>21,36</t>
  </si>
  <si>
    <t>97148</t>
  </si>
  <si>
    <t>ASSENTAMENTO DE TUBO DE FERRO FUNDIDO PARA REDE DE ÁGUA, DN 400 MM, JUNTA ELÁSTICA, INSTALADO EM LOCAL COM NÍVEL ALTO DE INTERFERÊNCIAS (NÃO INCLUI FORNECIMENTO). AF_11/2017</t>
  </si>
  <si>
    <t>23,76</t>
  </si>
  <si>
    <t>97149</t>
  </si>
  <si>
    <t>ASSENTAMENTO DE TUBO DE FERRO FUNDIDO PARA REDE DE ÁGUA, DN 450 MM, JUNTA ELÁSTICA, INSTALADO EM LOCAL COM NÍVEL ALTO DE INTERFERÊNCIAS (NÃO INCLUI FORNECIMENTO). AF_11/2017</t>
  </si>
  <si>
    <t>26,21</t>
  </si>
  <si>
    <t>97150</t>
  </si>
  <si>
    <t>ASSENTAMENTO DE TUBO DE FERRO FUNDIDO PARA REDE DE ÁGUA, DN 500 MM, JUNTA ELÁSTICA, INSTALADO EM LOCAL COM NÍVEL ALTO DE INTERFERÊNCIAS (NÃO INCLUI FORNECIMENTO). AF_11/2017</t>
  </si>
  <si>
    <t>33,22</t>
  </si>
  <si>
    <t>97151</t>
  </si>
  <si>
    <t>ASSENTAMENTO DE TUBO DE FERRO FUNDIDO PARA REDE DE ÁGUA, DN 600 MM, JUNTA ELÁSTICA, INSTALADO EM LOCAL COM NÍVEL ALTO DE INTERFERÊNCIAS (NÃO INCLUI FORNECIMENTO). AF_11/2017</t>
  </si>
  <si>
    <t>38,73</t>
  </si>
  <si>
    <t>97152</t>
  </si>
  <si>
    <t>ASSENTAMENTO DE TUBO DE FERRO FUNDIDO PARA REDE DE ÁGUA, DN 700 MM, JUNTA ELÁSTICA, INSTALADO EM LOCAL COM NÍVEL ALTO DE INTERFERÊNCIAS (NÃO INCLUI FORNECIMENTO). AF_11/2017</t>
  </si>
  <si>
    <t>43,99</t>
  </si>
  <si>
    <t>97153</t>
  </si>
  <si>
    <t>ASSENTAMENTO DE TUBO DE FERRO FUNDIDO PARA REDE DE ÁGUA, DN 800 MM, JUNTA ELÁSTICA, INSTALADO EM LOCAL COM NÍVEL ALTO DE INTERFERÊNCIAS (NÃO INCLUI FORNECIMENTO). AF_11/2017</t>
  </si>
  <si>
    <t>49,42</t>
  </si>
  <si>
    <t>97154</t>
  </si>
  <si>
    <t>ASSENTAMENTO DE TUBO DE FERRO FUNDIDO PARA REDE DE ÁGUA, DN 900 MM, JUNTA ELÁSTICA, INSTALADO EM LOCAL COM NÍVEL ALTO DE INTERFERÊNCIAS (NÃO INCLUI FORNECIMENTO). AF_11/2017</t>
  </si>
  <si>
    <t>54,88</t>
  </si>
  <si>
    <t>97155</t>
  </si>
  <si>
    <t>ASSENTAMENTO DE TUBO DE FERRO FUNDIDO PARA REDE DE ÁGUA, DN 1000 MM, JUNTA ELÁSTICA, INSTALADO EM LOCAL COM NÍVEL ALTO DE INTERFERÊNCIAS (NÃO INCLUI FORNECIMENTO). AF_11/2017</t>
  </si>
  <si>
    <t>60,34</t>
  </si>
  <si>
    <t>97156</t>
  </si>
  <si>
    <t>ASSENTAMENTO DE TUBO DE FERRO FUNDIDO PARA REDE DE ÁGUA, DN 1200 MM, JUNTA ELÁSTICA, INSTALADO EM LOCAL COM NÍVEL ALTO DE INTERFERÊNCIAS (NÃO INCLUI FORNECIMENTO). AF_11/2017</t>
  </si>
  <si>
    <t>71,68</t>
  </si>
  <si>
    <t>97157</t>
  </si>
  <si>
    <t>ASSENTAMENTO DE TUBO DE FERRO FUNDIDO PARA REDE DE ÁGUA, DN 80 MM, JUNTA ELÁSTICA, INSTALADO EM LOCAL COM NÍVEL BAIXO DE INTERFERÊNCIAS (NÃO INCLUI FORNECIMENTO). AF_11/2017</t>
  </si>
  <si>
    <t>5,07</t>
  </si>
  <si>
    <t>97158</t>
  </si>
  <si>
    <t>ASSENTAMENTO DE TUBO DE FERRO FUNDIDO PARA REDE DE ÁGUA, DN 100 MM, JUNTA ELÁSTICA, INSTALADO EM LOCAL COM NÍVEL BAIXO DE INTERFERÊNCIAS (NÃO INCLUI FORNECIMENTO). AF_11/2017</t>
  </si>
  <si>
    <t>5,65</t>
  </si>
  <si>
    <t>97159</t>
  </si>
  <si>
    <t>ASSENTAMENTO DE TUBO DE FERRO FUNDIDO PARA REDE DE ÁGUA, DN 150 MM, JUNTA ELÁSTICA, INSTALADO EM LOCAL COM NÍVEL BAIXO DE INTERFERÊNCIAS (NÃO INCLUI FORNECIMENTO). AF_11/2017</t>
  </si>
  <si>
    <t>7,12</t>
  </si>
  <si>
    <t>97160</t>
  </si>
  <si>
    <t>ASSENTAMENTO DE TUBO DE FERRO FUNDIDO PARA REDE DE ÁGUA, DN 200 MM, JUNTA ELÁSTICA, INSTALADO EM LOCAL COM NÍVEL BAIXO DE INTERFERÊNCIAS (NÃO INCLUI FORNECIMENTO). AF_11/2017</t>
  </si>
  <si>
    <t>8,56</t>
  </si>
  <si>
    <t>97161</t>
  </si>
  <si>
    <t>ASSENTAMENTO DE TUBO DE FERRO FUNDIDO PARA REDE DE ÁGUA, DN 250 MM, JUNTA ELÁSTICA, INSTALADO EM LOCAL COM NÍVEL BAIXO DE INTERFERÊNCIAS (NÃO INCLUI FORNECIMENTO). AF_11/2017</t>
  </si>
  <si>
    <t>10,04</t>
  </si>
  <si>
    <t>97162</t>
  </si>
  <si>
    <t>ASSENTAMENTO DE TUBO DE FERRO FUNDIDO PARA REDE DE ÁGUA, DN 300 MM, JUNTA ELÁSTICA, INSTALADO EM LOCAL COM NÍVEL BAIXO DE INTERFERÊNCIAS (NÃO INCLUI FORNECIMENTO). AF_11/2017</t>
  </si>
  <si>
    <t>11,52</t>
  </si>
  <si>
    <t>97163</t>
  </si>
  <si>
    <t>ASSENTAMENTO DE TUBO DE FERRO FUNDIDO PARA REDE DE ÁGUA, DN 350 MM, JUNTA ELÁSTICA, INSTALADO EM LOCAL COM NÍVEL BAIXO DE INTERFERÊNCIAS (NÃO INCLUI FORNECIMENTO). AF_11/2017</t>
  </si>
  <si>
    <t>13,02</t>
  </si>
  <si>
    <t>97164</t>
  </si>
  <si>
    <t>ASSENTAMENTO DE TUBO DE FERRO FUNDIDO PARA REDE DE ÁGUA, DN 400 MM, JUNTA ELÁSTICA, INSTALADO EM LOCAL COM NÍVEL BAIXO DE INTERFERÊNCIAS (NÃO INCLUI FORNECIMENTO). AF_11/2017</t>
  </si>
  <si>
    <t>14,48</t>
  </si>
  <si>
    <t>97165</t>
  </si>
  <si>
    <t>ASSENTAMENTO DE TUBO DE FERRO FUNDIDO PARA REDE DE ÁGUA, DN 450 MM, JUNTA ELÁSTICA, INSTALADO EM LOCAL COM NÍVEL BAIXO DE INTERFERÊNCIAS (NÃO INCLUI FORNECIMENTO). AF_11/2017</t>
  </si>
  <si>
    <t>15,99</t>
  </si>
  <si>
    <t>97166</t>
  </si>
  <si>
    <t>ASSENTAMENTO DE TUBO DE FERRO FUNDIDO PARA REDE DE ÁGUA, DN 500 MM, JUNTA ELÁSTICA, INSTALADO EM LOCAL COM NÍVEL BAIXO DE INTERFERÊNCIAS (NÃO INCLUI FORNECIMENTO). AF_11/2017</t>
  </si>
  <si>
    <t>20,25</t>
  </si>
  <si>
    <t>97167</t>
  </si>
  <si>
    <t>ASSENTAMENTO DE TUBO DE FERRO FUNDIDO PARA REDE DE ÁGUA, DN 600 MM, JUNTA ELÁSTICA, INSTALADO EM LOCAL COM NÍVEL BAIXO DE INTERFERÊNCIAS (NÃO INCLUI FORNECIMENTO). AF_11/2017</t>
  </si>
  <si>
    <t>23,64</t>
  </si>
  <si>
    <t>97168</t>
  </si>
  <si>
    <t>ASSENTAMENTO DE TUBO DE FERRO FUNDIDO PARA REDE DE ÁGUA, DN 700 MM, JUNTA ELÁSTICA, INSTALADO EM LOCAL COM NÍVEL BAIXO DE INTERFERÊNCIAS (NÃO INCLUI FORNECIMENTO). AF_11/2017</t>
  </si>
  <si>
    <t>26,78</t>
  </si>
  <si>
    <t>97169</t>
  </si>
  <si>
    <t>ASSENTAMENTO DE TUBO DE FERRO FUNDIDO PARA REDE DE ÁGUA, DN 800 MM, JUNTA ELÁSTICA, INSTALADO EM LOCAL COM NÍVEL BAIXO DE INTERFERÊNCIAS (NÃO INCLUI FORNECIMENTO). AF_11/2017</t>
  </si>
  <si>
    <t>30,07</t>
  </si>
  <si>
    <t>97170</t>
  </si>
  <si>
    <t>ASSENTAMENTO DE TUBO DE FERRO FUNDIDO PARA REDE DE ÁGUA, DN 900 MM, JUNTA ELÁSTICA, INSTALADO EM LOCAL COM NÍVEL BAIXO DE INTERFERÊNCIAS (NÃO INCLUI FORNECIMENTO). AF_11/2017</t>
  </si>
  <si>
    <t>33,41</t>
  </si>
  <si>
    <t>97171</t>
  </si>
  <si>
    <t>ASSENTAMENTO DE TUBO DE FERRO FUNDIDO PARA REDE DE ÁGUA, DN 1000 MM, JUNTA ELÁSTICA, INSTALADO EM LOCAL COM NÍVEL BAIXO DE INTERFERÊNCIAS (NÃO INCLUI FORNECIMENTO). AF_11/2017</t>
  </si>
  <si>
    <t>36,75</t>
  </si>
  <si>
    <t>97172</t>
  </si>
  <si>
    <t>ASSENTAMENTO DE TUBO DE FERRO FUNDIDO PARA REDE DE ÁGUA, DN 1200 MM, JUNTA ELÁSTICA, INSTALADO EM LOCAL COM NÍVEL BAIXO DE INTERFERÊNCIAS (NÃO INCLUI FORNECIMENTO). AF_11/2017</t>
  </si>
  <si>
    <t>43,85</t>
  </si>
  <si>
    <t>97173</t>
  </si>
  <si>
    <t>ASSENTAMENTO DE TUBO DE AÇO CARBONO PARA REDE DE ÁGUA, DN 600 MM (24), JUNTA SOLDADA, INSTALADO EM LOCAL COM NÍVEL ALTO DE INTERFERÊNCIAS (NÃO INCLUI FORNECIMENTO). AF_11/2017</t>
  </si>
  <si>
    <t>37,09</t>
  </si>
  <si>
    <t>97174</t>
  </si>
  <si>
    <t>ASSENTAMENTO DE TUBO DE AÇO CARBONO PARA REDE DE ÁGUA, DN 700 MM (28), JUNTA SOLDADA, INSTALADO EM LOCAL COM NÍVEL ALTO DE INTERFERÊNCIAS (NÃO INCLUI FORNECIMENTO). AF_11/2017</t>
  </si>
  <si>
    <t>42,91</t>
  </si>
  <si>
    <t>97175</t>
  </si>
  <si>
    <t>ASSENTAMENTO DE TUBO DE AÇO CARBONO PARA REDE DE ÁGUA, DN 800 MM (32), JUNTA SOLDADA, INSTALADO EM LOCAL COM NÍVEL ALTO DE INTERFERÊNCIAS (NÃO INCLUI FORNECIMENTO). AF_11/2017</t>
  </si>
  <si>
    <t>48,75</t>
  </si>
  <si>
    <t>97176</t>
  </si>
  <si>
    <t>ASSENTAMENTO DE TUBO DE AÇO CARBONO PARA REDE DE ÁGUA, DN 900 MM (36), JUNTA SOLDADA, INSTALADO EM LOCAL COM NÍVEL ALTO DE INTERFERÊNCIAS (NÃO INCLUI FORNECIMENTO). AF_11/2017</t>
  </si>
  <si>
    <t>54,56</t>
  </si>
  <si>
    <t>97177</t>
  </si>
  <si>
    <t>ASSENTAMENTO DE TUBO DE AÇO CARBONO PARA REDE DE ÁGUA, DN 1000 MM (40) OU DN 1100 MM (44), JUNTA SOLDADA, INSTALADO EM LOCAL COM NÍVEL ALTO DE INTERFERÊNCIAS (NÃO INCLUI FORNECIMENTO). AF_11/2017</t>
  </si>
  <si>
    <t>66,24</t>
  </si>
  <si>
    <t>97178</t>
  </si>
  <si>
    <t>ASSENTAMENTO DE TUBO DE AÇO CARBONO PARA REDE DE ÁGUA, DN 1200 MM (48) OU DN 1300 MM (52), JUNTA SOLDADA, INSTALADO EM LOCAL COM NÍVEL ALTO DE INTERFERÊNCIAS (NÃO INCLUI FORNECIMENTO). AF_11/2017</t>
  </si>
  <si>
    <t>77,91</t>
  </si>
  <si>
    <t>97179</t>
  </si>
  <si>
    <t>ASSENTAMENTO DE TUBO DE AÇO CARBONO PARA REDE DE ÁGUA, DN 1400 MM (56'') OU DN 1500 MM (60), JUNTA SOLDADA, INSTALADO EM LOCAL COM NÍVEL ALTO DE INTERFERÊNCIAS (NÃO INCLUI FORNECIMENTO). AF_11/2017</t>
  </si>
  <si>
    <t>89,56</t>
  </si>
  <si>
    <t>97180</t>
  </si>
  <si>
    <t>ASSENTAMENTO DE TUBO DE AÇO CARBONO PARA REDE DE ÁGUA, DN 1600 MM (64) OU DN 1700 MM (68), JUNTA SOLDADA, INSTALADO EM LOCAL COM NÍVEL ALTO DE INTERFERÊNCIAS (NÃO INCLUI FORNECIMENTO). AF_11/2017</t>
  </si>
  <si>
    <t>101,24</t>
  </si>
  <si>
    <t>97181</t>
  </si>
  <si>
    <t>ASSENTAMENTO DE TUBO DE AÇO CARBONO PARA REDE DE ÁGUA, DN 1800 MM (72) OU DN 1900 MM (76), JUNTA SOLDADA, INSTALADO EM LOCAL COM NÍVEL ALTO DE INTERFERÊNCIAS (NÃO INCLUI FORNECIMENTO). AF_11/2017</t>
  </si>
  <si>
    <t>117,11</t>
  </si>
  <si>
    <t>97182</t>
  </si>
  <si>
    <t>ASSENTAMENTO DE TUBO DE AÇO CARBONO PARA REDE DE ÁGUA, DN 2000 MM (80) OU DN 2100 MM (84), JUNTA SOLDADA, INSTALADO EM LOCAL COM NÍVEL ALTO DE INTERFERÊNCIAS (NÃO INCLUI FORNECIMENTO). AF_11/2017</t>
  </si>
  <si>
    <t>129,22</t>
  </si>
  <si>
    <t>97183</t>
  </si>
  <si>
    <t>ASSENTAMENTO DE TUBO DE AÇO CARBONO PARA REDE DE ÁGUA, DN 600 MM (24), JUNTA SOLDADA, INSTALADO EM LOCAL COM NÍVEL BAIXO DE INTERFERÊNCIAS (NÃO INCLUI FORNECIMENTO). AF_11/2017</t>
  </si>
  <si>
    <t>30,02</t>
  </si>
  <si>
    <t>97184</t>
  </si>
  <si>
    <t>ASSENTAMENTO DE TUBO DE AÇO CARBONO PARA REDE DE ÁGUA, DN 700 MM (28), JUNTA SOLDADA, INSTALADO EM LOCAL COM NÍVEL BAIXO DE INTERFERÊNCIAS (NÃO INCLUI FORNECIMENTO). AF_11/2017</t>
  </si>
  <si>
    <t>34,82</t>
  </si>
  <si>
    <t>97185</t>
  </si>
  <si>
    <t>ASSENTAMENTO DE TUBO DE AÇO CARBONO PARA REDE DE ÁGUA, DN 800 MM (32), JUNTA SOLDADA, INSTALADO EM LOCAL COM NÍVEL BAIXO DE INTERFERÊNCIAS (NÃO INCLUI FORNECIMENTO). AF_11/2017</t>
  </si>
  <si>
    <t>39,61</t>
  </si>
  <si>
    <t>97186</t>
  </si>
  <si>
    <t>ASSENTAMENTO DE TUBO DE AÇO CARBONO PARA REDE DE ÁGUA, DN 900 MM (36), JUNTA SOLDADA, INSTALADO EM LOCAL COM NÍVEL BAIXO DE INTERFERÊNCIAS (NÃO INCLUI FORNECIMENTO). AF_11/2017</t>
  </si>
  <si>
    <t>44,40</t>
  </si>
  <si>
    <t>97187</t>
  </si>
  <si>
    <t>ASSENTAMENTO DE TUBO DE AÇO CARBONO PARA REDE DE ÁGUA, DN 1000 MM (40  ) OU DN 1100 MM (44  ), JUNTA SOLDADA, INSTALADO EM LOCAL COM NÍVEL BAIXO DE INTERFERÊNCIAS (NÃO INCLUI FORNECIMENTO). AF_11/2017</t>
  </si>
  <si>
    <t>53,99</t>
  </si>
  <si>
    <t>97188</t>
  </si>
  <si>
    <t>ASSENTAMENTO DE TUBO DE AÇO CARBONO PARA REDE DE ÁGUA, DN 1200 MM (48) OU DN 1300 MM (52), JUNTA SOLDADA, INSTALADO EM LOCAL COM NÍVEL BAIXO DE INTERFERÊNCIAS (NÃO INCLUI FORNECIMENTO). AF_11/2017</t>
  </si>
  <si>
    <t>63,59</t>
  </si>
  <si>
    <t>97189</t>
  </si>
  <si>
    <t>ASSENTAMENTO DE TUBO DE AÇO CARBONO PARA REDE DE ÁGUA, DN 1400 MM (56'') OU DN 1500 MM (60), JUNTA SOLDADA, INSTALADO EM LOCAL COM NÍVEL BAIXO DE INTERFERÊNCIAS (NÃO INCLUI FORNECIMENTO). AF_11/2017</t>
  </si>
  <si>
    <t>73,18</t>
  </si>
  <si>
    <t>97190</t>
  </si>
  <si>
    <t>ASSENTAMENTO DE TUBO DE AÇO CARBONO PARA REDE DE ÁGUA, DN 1600 MM (64) OU DN 1700 MM (68), JUNTA SOLDADA, INSTALADO EM LOCAL COM NÍVEL BAIXO DE INTERFERÊNCIAS (NÃO INCLUI FORNECIMENTO). AF_11/2017</t>
  </si>
  <si>
    <t>82,77</t>
  </si>
  <si>
    <t>97191</t>
  </si>
  <si>
    <t>ASSENTAMENTO DE TUBO DE AÇO CARBONO PARA REDE DE ÁGUA, DN 1800 MM (72) OU DN 1900 MM (76), JUNTA SOLDADA, INSTALADO EM LOCAL COM NÍVEL BAIXO DE INTERFERÊNCIAS (NÃO INCLUI FORNECIMENTO). AF_11/2017</t>
  </si>
  <si>
    <t>95,42</t>
  </si>
  <si>
    <t>97192</t>
  </si>
  <si>
    <t>ASSENTAMENTO DE TUBO DE AÇO CARBONO PARA REDE DE ÁGUA, DN 2000 MM (80) OU DN 2100 MM (84), JUNTA SOLDADA, INSTALADO EM LOCAL COM NÍVEL BAIXO DE INTERFERÊNCIAS (NÃO INCLUI FORNECIMENTO). AF_11/2017</t>
  </si>
  <si>
    <t>105,33</t>
  </si>
  <si>
    <t>90694</t>
  </si>
  <si>
    <t>TUBO DE PVC PARA REDE COLETORA DE ESGOTO DE PAREDE MACIÇA, DN 100 MM, JUNTA ELÁSTICA - FORNECIMENTO E ASSENTAMENTO. AF_01/2021</t>
  </si>
  <si>
    <t>48,86</t>
  </si>
  <si>
    <t>90695</t>
  </si>
  <si>
    <t>TUBO DE PVC PARA REDE COLETORA DE ESGOTO DE PAREDE MACIÇA, DN 150 MM, JUNTA ELÁSTICA  - FORNECIMENTO E ASSENTAMENTO. AF_01/2021</t>
  </si>
  <si>
    <t>101,78</t>
  </si>
  <si>
    <t>90696</t>
  </si>
  <si>
    <t>TUBO DE PVC PARA REDE COLETORA DE ESGOTO DE PAREDE MACIÇA, DN 200 MM, JUNTA ELÁSTICA - FORNECIMENTO E ASSENTAMENTO. AF_01/2021</t>
  </si>
  <si>
    <t>151,23</t>
  </si>
  <si>
    <t>90697</t>
  </si>
  <si>
    <t>TUBO DE PVC PARA REDE COLETORA DE ESGOTO DE PAREDE MACIÇA, DN 250 MM, JUNTA ELÁSTICA  - FORNECIMENTO E ASSENTAMENTO. AF_01/2021</t>
  </si>
  <si>
    <t>254,95</t>
  </si>
  <si>
    <t>90698</t>
  </si>
  <si>
    <t>TUBO DE PVC PARA REDE COLETORA DE ESGOTO DE PAREDE MACIÇA, DN 300 MM, JUNTA ELÁSTICA,  FORNECIMENTO E ASSENTAMENTO. AF_01/2021</t>
  </si>
  <si>
    <t>408,89</t>
  </si>
  <si>
    <t>90699</t>
  </si>
  <si>
    <t>TUBO DE PVC PARA REDE COLETORA DE ESGOTO DE PAREDE MACIÇA, DN 350 MM, JUNTA ELÁSTICA  - FORNECIMENTO E ASSENTAMENTO. AF_01/2021</t>
  </si>
  <si>
    <t>505,56</t>
  </si>
  <si>
    <t>90700</t>
  </si>
  <si>
    <t>TUBO DE PVC PARA REDE COLETORA DE ESGOTO DE PAREDE MACIÇA, DN 400 MM, JUNTA ELÁSTICA  FORNECIMENTO E ASSENTAMENTO. AF_01/2021</t>
  </si>
  <si>
    <t>654,89</t>
  </si>
  <si>
    <t>90701</t>
  </si>
  <si>
    <t>TUBO DE PVC CORRUGADO DE DUPLA PAREDE PARA REDE COLETORA DE ESGOTO, DN 150 MM, JUNTA ELÁSTICA - FORNECIMENTO E ASSENTAMENTO. AF_01/2021</t>
  </si>
  <si>
    <t>82,42</t>
  </si>
  <si>
    <t>90702</t>
  </si>
  <si>
    <t>TUBO DE PVC CORRUGADO DE DUPLA PAREDE PARA REDE COLETORA DE ESGOTO, DN 200 MM, JUNTA ELÁSTICA - FORNECIMENTO E ASSENTAMENTO. AF_01/2021</t>
  </si>
  <si>
    <t>132,17</t>
  </si>
  <si>
    <t>90703</t>
  </si>
  <si>
    <t>TUBO DE PVC CORRUGADO DE DUPLA PAREDE PARA REDE COLETORA DE ESGOTO, DN 250 MM, JUNTA ELÁSTICA - FORNECIMENTO E ASSENTAMENTO. AF_01/2021</t>
  </si>
  <si>
    <t>218,32</t>
  </si>
  <si>
    <t>90704</t>
  </si>
  <si>
    <t>TUBO DE PVC CORRUGADO DE DUPLA PAREDE PARA REDE COLETORA DE ESGOTO, DN 300 MM, JUNTA ELÁSTICA - FORNECIMENTO E ASSENTAMENTO. AF_01/2021</t>
  </si>
  <si>
    <t>308,95</t>
  </si>
  <si>
    <t>90705</t>
  </si>
  <si>
    <t>TUBO DE PVC CORRUGADO DE DUPLA PAREDE PARA REDE COLETORA DE ESGOTO, DN 350 MM, JUNTA ELÁSTICA - FORNECIMENTO E ASSENTAMENTO. AF_01/2021</t>
  </si>
  <si>
    <t>421,96</t>
  </si>
  <si>
    <t>90706</t>
  </si>
  <si>
    <t>TUBO DE PVC CORRUGADO DE DUPLA PAREDE PARA REDE COLETORA DE ESGOTO, DN 400 MM, JUNTA ELÁSTICA - FORNECIMENTO E ASSENTAMENTO. AF_01/2021</t>
  </si>
  <si>
    <t>493,69</t>
  </si>
  <si>
    <t>90708</t>
  </si>
  <si>
    <t>TUBO DE PEAD CORRUGADO DE DUPLA PAREDE PARA REDE COLETORA DE ESGOTO, DN 600 MM, JUNTA ELÁSTICA INTEGRADA - FORNECIMENTO E ASSENTAMENTO. AF_01/2021</t>
  </si>
  <si>
    <t>1.389,51</t>
  </si>
  <si>
    <t>90724</t>
  </si>
  <si>
    <t>JUNTA ARGAMASSADA ENTRE TUBO DN 100 MM E O POÇO DE VISITA/ CAIXA DE CONCRETO OU ALVENARIA EM REDES DE ESGOTO. AF_01/2021</t>
  </si>
  <si>
    <t>24,39</t>
  </si>
  <si>
    <t>90725</t>
  </si>
  <si>
    <t>JUNTA ARGAMASSADA ENTRE TUBO DN 150 MM E O POÇO DE VISITA/ CAIXA DE CONCRETO OU ALVENARIA EM REDES DE ESGOTO. AF_01/2021</t>
  </si>
  <si>
    <t>29,95</t>
  </si>
  <si>
    <t>90726</t>
  </si>
  <si>
    <t>JUNTA ARGAMASSADA ENTRE TUBO DN 200 MM E O POÇO/ CAIXA DE CONCRETO OU ALVENARIA EM REDES DE ESGOTO. AF_01/2021</t>
  </si>
  <si>
    <t>35,56</t>
  </si>
  <si>
    <t>90727</t>
  </si>
  <si>
    <t>JUNTA ARGAMASSADA ENTRE TUBO DN 250 MM E O POÇO DE VISITA/ CAIXA DE CONCRETO OU ALVENARIA EM REDES DE ESGOTO. AF_01/2021</t>
  </si>
  <si>
    <t>41,14</t>
  </si>
  <si>
    <t>90728</t>
  </si>
  <si>
    <t>JUNTA ARGAMASSADA ENTRE TUBO DN 300 MM E O POÇO DE VISITA/ CAIXA DE CONCRETO OU ALVENARIA EM REDES DE ESGOTO. AF_01/2021</t>
  </si>
  <si>
    <t>46,71</t>
  </si>
  <si>
    <t>90729</t>
  </si>
  <si>
    <t>JUNTA ARGAMASSADA ENTRE TUBO DN 350 MM E O POÇO DE VISITA/ CAIXA DE CONCRETO OU ALVENARIA EM REDES DE ESGOTO. AF_01/2021</t>
  </si>
  <si>
    <t>52,28</t>
  </si>
  <si>
    <t>90730</t>
  </si>
  <si>
    <t>JUNTA ARGAMASSADA ENTRE TUBO DN 400 MM E O POÇO DE VISITA/ CAIXA DE CONCRETO OU ALVENARIA EM REDES DE ESGOTO. AF_01/2021</t>
  </si>
  <si>
    <t>57,85</t>
  </si>
  <si>
    <t>90731</t>
  </si>
  <si>
    <t>JUNTA ARGAMASSADA ENTRE TUBO DN 450 MM E O POÇO DE VISITA/ CAIXA DE CONCRETO OU ALVENARIA EM REDES DE ESGOTO. AF_01/2021</t>
  </si>
  <si>
    <t>63,41</t>
  </si>
  <si>
    <t>90732</t>
  </si>
  <si>
    <t>JUNTA ARGAMASSADA ENTRE TUBO DN 600 MM E O POÇO DE VISITA/ CAIXA DE CONCRETO OU ALVENARIA EM REDES DE ESGOTO. AF_01/2021</t>
  </si>
  <si>
    <t>80,12</t>
  </si>
  <si>
    <t>90733</t>
  </si>
  <si>
    <t>ASSENTAMENTO DE TUBO DE PVC PARA REDE COLETORA DE ESGOTO DE PAREDE MACIÇA, DN 100 MM, JUNTA ELÁSTICA (NÃO INCLUI FORNECIMENTO). AF_01/2021</t>
  </si>
  <si>
    <t>3,48</t>
  </si>
  <si>
    <t>90734</t>
  </si>
  <si>
    <t>ASSENTAMENTO DE TUBO DE PVC PARA REDE COLETORA DE ESGOTO DE PAREDE MACIÇA, DN 150 MM, JUNTA ELÁSTICA,  (NÃO INCLUI FORNECIMENTO). AF_01/2021</t>
  </si>
  <si>
    <t>4,12</t>
  </si>
  <si>
    <t>90735</t>
  </si>
  <si>
    <t>ASSENTAMENTO DE TUBO DE PVC PARA REDE COLETORA DE ESGOTO DE PAREDE MACIÇA, DN 200 MM, JUNTA ELÁSTICA (NÃO INCLUI FORNECIMENTO). AF_01/2021</t>
  </si>
  <si>
    <t>4,76</t>
  </si>
  <si>
    <t>90736</t>
  </si>
  <si>
    <t>ASSENTAMENTO DE TUBO DE PVC PARA REDE COLETORA DE ESGOTO DE PAREDE MACIÇA, DN 250 MM, JUNTA ELÁSTICA (NÃO INCLUI FORNECIMENTO). AF_01/2021</t>
  </si>
  <si>
    <t>5,40</t>
  </si>
  <si>
    <t>90737</t>
  </si>
  <si>
    <t>ASSENTAMENTO DE TUBO DE PVC PARA REDE COLETORA DE ESGOTO DE PAREDE MACIÇA, DN 300 MM, JUNTA ELÁSTICA  (NÃO INCLUI FORNECIMENTO). AF_01/2021</t>
  </si>
  <si>
    <t>6,04</t>
  </si>
  <si>
    <t>90738</t>
  </si>
  <si>
    <t>ASSENTAMENTO DE TUBO DE PVC PARA REDE COLETORA DE ESGOTO DE PAREDE MACIÇA, DN 350 MM, JUNTA ELÁSTICA (NÃO INCLUI FORNECIMENTO). AF_01/2021</t>
  </si>
  <si>
    <t>6,69</t>
  </si>
  <si>
    <t>90739</t>
  </si>
  <si>
    <t>ASSENTAMENTO DE TUBO DE PVC PARA REDE COLETORA DE ESGOTO DE PAREDE MACIÇA, DN 400 MM, JUNTA ELÁSTICA (NÃO INCLUI FORNECIMENTO). AF_01/2021</t>
  </si>
  <si>
    <t>8,84</t>
  </si>
  <si>
    <t>90740</t>
  </si>
  <si>
    <t>ASSENTAMENTO DE TUBO DE PVC CORRUGADO DE DUPLA PAREDE PARA REDE COLETORA DE ESGOTO, DN 150 MM, JUNTA ELÁSTICA (NÃO INCLUI FORNECIMENTO). AF_01/2021</t>
  </si>
  <si>
    <t>4,58</t>
  </si>
  <si>
    <t>90741</t>
  </si>
  <si>
    <t>ASSENTAMENTO DE TUBO DE PVC CORRUGADO DE DUPLA PAREDE PARA REDE COLETORA DE ESGOTO, DN 200 MM, JUNTA ELÁSTICA (NÃO INCLUI FORNECIMENTO). AF_01/2021</t>
  </si>
  <si>
    <t>5,23</t>
  </si>
  <si>
    <t>90742</t>
  </si>
  <si>
    <t>ASSENTAMENTO DE TUBO DE PVC CORRUGADO DE DUPLA PAREDE PARA REDE COLETORA DE ESGOTO, DN 250 MM, JUNTA ELÁSTICA (NÃO INCLUI FORNECIMENTO). AF_01/2021</t>
  </si>
  <si>
    <t>5,88</t>
  </si>
  <si>
    <t>90743</t>
  </si>
  <si>
    <t>ASSENTAMENTO DE TUBO DE PVC CORRUGADO DE DUPLA PAREDE PARA REDE COLETORA DE ESGOTO, DN 300 MM, JUNTA ELÁSTICA (NÃO INCLUI FORNECIMENTO). AF_01/2021</t>
  </si>
  <si>
    <t>6,52</t>
  </si>
  <si>
    <t>90744</t>
  </si>
  <si>
    <t>ASSENTAMENTO DE TUBO DE PVC CORRUGADO DE DUPLA PAREDE PARA REDE COLETORA DE ESGOTO, DN 350 MM, JUNTA ELÁSTICA (NÃO INCLUI FORNECIMENTO). AF_01/2021</t>
  </si>
  <si>
    <t>7,16</t>
  </si>
  <si>
    <t>90745</t>
  </si>
  <si>
    <t>ASSENTAMENTO DE TUBO DE PVC CORRUGADO DE DUPLA PAREDE PARA REDE COLETORA DE ESGOTO, DN 400 MM, JUNTA ELÁSTICA  (NÃO INCLUI FORNECIMENTO). AF_01/2021</t>
  </si>
  <si>
    <t>9,88</t>
  </si>
  <si>
    <t>90746</t>
  </si>
  <si>
    <t>ASSENTAMENTO DE TUBO DE PEAD CORRUGADO DE DUPLA PAREDE PARA REDE COLETORA DE ESGOTO, DN 450 MM, JUNTA ELÁSTICA INTEGRADA (NÃO INCLUI FORNECIMENTO). AF_01/2021</t>
  </si>
  <si>
    <t>3,76</t>
  </si>
  <si>
    <t>90747</t>
  </si>
  <si>
    <t>ASSENTAMENTO DE TUBO DE PEAD CORRUGADO DE DUPLA PAREDE PARA REDE COLETORA DE ESGOTO, DN 600 MM, JUNTA ELÁSTICA INTEGRADA (NÃO INCLUI FORNECIMENTO). AF_01/2021</t>
  </si>
  <si>
    <t>16,54</t>
  </si>
  <si>
    <t>94869</t>
  </si>
  <si>
    <t>TUBO DE PEAD CORRUGADO DE DUPLA PAREDE PARA REDE COLETORA DE ESGOTO, DN 250 MM, JUNTA ELÁSTICA INTEGRADA - FORNECIMENTO E ASSENTAMENTO. AF_01/2021</t>
  </si>
  <si>
    <t>283,16</t>
  </si>
  <si>
    <t>94870</t>
  </si>
  <si>
    <t>ASSENTAMENTO DE TUBO DE PEAD CORRUGADO DE DUPLA PAREDE PARA REDE COLETORA DE ESGOTO, DN 250 MM, JUNTA ELÁSTICA INTEGRADA (NÃO INCLUI FORNECIMENTO). AF_01/2021</t>
  </si>
  <si>
    <t>1,94</t>
  </si>
  <si>
    <t>94871</t>
  </si>
  <si>
    <t>TUBO DE PEAD CORRUGADO DE DUPLA PAREDE PARA REDE COLETORA DE ESGOTO, DN 300 MM, JUNTA ELÁSTICA INTEGRADA - FORNECIMENTO E ASSENTAMENTO. AF_01/2021</t>
  </si>
  <si>
    <t>335,33</t>
  </si>
  <si>
    <t>94872</t>
  </si>
  <si>
    <t>ASSENTAMENTO DE TUBO DE PEAD CORRUGADO DE DUPLA PAREDE PARA REDE COLETORA DE ESGOTO, DN 300 MM, JUNTA ELÁSTICA INTEGRADA  (NÃO INCLUI FORNECIMENTO). AF_01/2021</t>
  </si>
  <si>
    <t>2,73</t>
  </si>
  <si>
    <t>94875</t>
  </si>
  <si>
    <t>TUBO DE PEAD CORRUGADO DE DUPLA PAREDE PARA REDE COLETORA DE ESGOTO, DN 800 MM, JUNTA ELÁSTICA INTEGRADA - FORNECIMENTO E ASSENTAMENTO. AF_01/2021</t>
  </si>
  <si>
    <t>1.962,73</t>
  </si>
  <si>
    <t>94876</t>
  </si>
  <si>
    <t>ASSENTAMENTO DE TUBO DE PEAD CORRUGADO DE DUPLA PAREDE PARA REDE COLETORA DE ESGOTO, DN 800 MM, JUNTA ELÁSTICA INTEGRADA  (NÃO INCLUI FORNECIMENTO). AF_01/2021</t>
  </si>
  <si>
    <t>27,85</t>
  </si>
  <si>
    <t>94878</t>
  </si>
  <si>
    <t>ASSENTAMENTO DE TUBO DE PEAD CORRUGADO DE DUPLA PAREDE PARA REDE COLETORA DE ESGOTO, DN 900 MM, JUNTA ELÁSTICA INTEGRADA (NÃO INCLUI FORNECIMENTO). AF_01/2021</t>
  </si>
  <si>
    <t>32,22</t>
  </si>
  <si>
    <t>94879</t>
  </si>
  <si>
    <t>TUBO DE PEAD CORRUGADO DE DUPLA PAREDE PARA REDE COLETORA DE ESGOTO, DN 1000 MM, JUNTA ELÁSTICA INTEGRADA - FORNECIMENTO E ASSENTAMENTO. AF_01/2021</t>
  </si>
  <si>
    <t>2.613,42</t>
  </si>
  <si>
    <t>94880</t>
  </si>
  <si>
    <t>ASSENTAMENTO DE TUBO DE PEAD CORRUGADO DE DUPLA PAREDE PARA REDE COLETORA DE ESGOTO, DN 1000 MM, JUNTA ELÁSTICA INTEGRADA (NÃO INCLUI FORNECIMENTO). AF_01/2021</t>
  </si>
  <si>
    <t>41,64</t>
  </si>
  <si>
    <t>94881</t>
  </si>
  <si>
    <t>TUBO DE PEAD CORRUGADO DE DUPLA PAREDE PARA REDE COLETORA DE ESGOTO, DN 1200 MM, JUNTA ELÁSTICA INTEGRADA - FORNECIMENTO E ASSENTAMENTO. AF_01/2021</t>
  </si>
  <si>
    <t>4.084,72</t>
  </si>
  <si>
    <t>94882</t>
  </si>
  <si>
    <t>ASSENTAMENTO DE TUBO DE PEAD CORRUGADO DE DUPLA PAREDE PARA REDE COLETORA DE ESGOTO, DN 1200 MM, JUNTA ELÁSTICA INTEGRADA (NÃO INCLUI FORNECIMENTO). AF_01/2021</t>
  </si>
  <si>
    <t>48,33</t>
  </si>
  <si>
    <t>94884</t>
  </si>
  <si>
    <t>ASSENTAMENTO DE TUBO DE PEAD CORRUGADO DE DUPLA PAREDE PARA REDE COLETORA DE ESGOTO, DN 1500 MM, JUNTA ELÁSTICA INTEGRADA (NÃO INCLUI FORNECIMENTO). AF_01/2021</t>
  </si>
  <si>
    <t>61,94</t>
  </si>
  <si>
    <t>97121</t>
  </si>
  <si>
    <t>ASSENTAMENTO DE TUBO DE PVC PBA PARA REDE DE ÁGUA, DN 50 MM, JUNTA ELÁSTICA INTEGRADA, INSTALADO EM LOCAL COM NÍVEL ALTO DE INTERFERÊNCIAS (NÃO INCLUI FORNECIMENTO). AF_11/2017</t>
  </si>
  <si>
    <t>2,08</t>
  </si>
  <si>
    <t>97122</t>
  </si>
  <si>
    <t>ASSENTAMENTO DE TUBO DE PVC PBA PARA REDE DE ÁGUA, DN 75 MM, JUNTA ELÁSTICA INTEGRADA, INSTALADO EM LOCAL COM NÍVEL ALTO DE INTERFERÊNCIAS (NÃO INCLUI FORNECIMENTO). AF_11/2017</t>
  </si>
  <si>
    <t>2,88</t>
  </si>
  <si>
    <t>97123</t>
  </si>
  <si>
    <t>ASSENTAMENTO DE TUBO DE PVC PBA PARA REDE DE ÁGUA, DN 100 MM, JUNTA ELÁSTICA INTEGRADA, INSTALADO EM LOCAL COM NÍVEL ALTO DE INTERFERÊNCIAS (NÃO INCLUI FORNECIMENTO). AF_11/2017</t>
  </si>
  <si>
    <t>3,65</t>
  </si>
  <si>
    <t>97124</t>
  </si>
  <si>
    <t>ASSENTAMENTO DE TUBO DE PVC PBA PARA REDE DE ÁGUA, DN 50 MM, JUNTA ELÁSTICA INTEGRADA, INSTALADO EM LOCAL COM NÍVEL BAIXO DE INTERFERÊNCIAS (NÃO INCLUI FORNECIMENTO). AF_11/2017</t>
  </si>
  <si>
    <t>0,91</t>
  </si>
  <si>
    <t>97125</t>
  </si>
  <si>
    <t>ASSENTAMENTO DE TUBO DE PVC PBA PARA REDE DE ÁGUA, DN 75 MM, JUNTA ELÁSTICA INTEGRADA, INSTALADO EM LOCAL COM NÍVEL BAIXO DE INTERFERÊNCIAS (NÃO INCLUI FORNECIMENTO). AF_11/2017</t>
  </si>
  <si>
    <t>1,30</t>
  </si>
  <si>
    <t>97126</t>
  </si>
  <si>
    <t>ASSENTAMENTO DE TUBO DE PVC PBA PARA REDE DE ÁGUA, DN 100 MM, JUNTA ELÁSTICA INTEGRADA, INSTALADO EM LOCAL COM NÍVEL BAIXO DE INTERFERÊNCIAS (NÃO INCLUI FORNECIMENTO). AF_11/2017</t>
  </si>
  <si>
    <t>1,65</t>
  </si>
  <si>
    <t>102264</t>
  </si>
  <si>
    <t>TUBO DE PVC BRANCO PARA REDE COLETORA DE ESGOTO CONDOMINIAL DE PAREDE MACIÇA, DN 100 MM, JUNTA ELÁSTICA - FORNECIMENTO E ASSENTAMENTO. AF_01/2021</t>
  </si>
  <si>
    <t>26,97</t>
  </si>
  <si>
    <t>102265</t>
  </si>
  <si>
    <t>JUNTA ARGAMASSADA ENTRE TUBO DN 800 MM E O POÇO DE VISITA/ CAIXA DE CONCRETO OU ALVENARIA EM REDES DE ESGOTO. AF_01/2021</t>
  </si>
  <si>
    <t>102,40</t>
  </si>
  <si>
    <t>102266</t>
  </si>
  <si>
    <t>JUNTA ARGAMASSADA ENTRE TUBO DN 900 MM E O POÇO DE VISITA/ CAIXA DE CONCRETO OU ALVENARIA EM REDES DE ESGOTO. AF_01/2021</t>
  </si>
  <si>
    <t>113,55</t>
  </si>
  <si>
    <t>102267</t>
  </si>
  <si>
    <t>JUNTA ARGAMASSADA ENTRE TUBO DN 1000 MM E O POÇO DE VISITA/ CAIXA DE CONCRETO OU ALVENARIA EM REDES DE ESGOTO. AF_01/2021</t>
  </si>
  <si>
    <t>130,30</t>
  </si>
  <si>
    <t>102268</t>
  </si>
  <si>
    <t>JUNTA ARGAMASSADA ENTRE TUBO DN 1200 MM E O POÇO DE VISITA/ CAIXA DE CONCRETO OU ALVENARIA EM REDES DE ESGOTO. AF_01/2021</t>
  </si>
  <si>
    <t>147,00</t>
  </si>
  <si>
    <t>102269</t>
  </si>
  <si>
    <t>JUNTA ARGAMASSADA ENTRE TUBO DN 1500 MM E O POÇO DE VISITA/ CAIXA DE CONCRETO OU ALVENARIA EM REDES DE ESGOTO. AF_01/2021</t>
  </si>
  <si>
    <t>180,42</t>
  </si>
  <si>
    <t>92833</t>
  </si>
  <si>
    <t>TUBO DE CONCRETO PARA REDES COLETORAS DE ESGOTO SANITÁRIO, DIÂMETRO DE 300 MM, JUNTA ELÁSTICA, INSTALADO EM LOCAL COM BAIXO NÍVEL DE INTERFERÊNCIAS - FORNECIMENTO E ASSENTAMENTO. AF_12/2015</t>
  </si>
  <si>
    <t>148,11</t>
  </si>
  <si>
    <t>92834</t>
  </si>
  <si>
    <t>ASSENTAMENTO DE TUBO DE CONCRETO PARA REDES COLETORAS DE ESGOTO SANITÁRIO, DIÂMETRO DE 300 MM, JUNTA ELÁSTICA, INSTALADO EM LOCAL COM BAIXO NÍVEL DE INTERFERÊNCIAS (NÃO INCLUI FORNECIMENTO). AF_12/2015</t>
  </si>
  <si>
    <t>8,83</t>
  </si>
  <si>
    <t>92835</t>
  </si>
  <si>
    <t>TUBO DE CONCRETO PARA REDES COLETORAS DE ESGOTO SANITÁRIO, DIÂMETRO DE 400 MM, JUNTA ELÁSTICA, INSTALADO EM LOCAL COM BAIXO NÍVEL DE INTERFERÊNCIAS - FORNECIMENTO E ASSENTAMENTO. AF_12/2015</t>
  </si>
  <si>
    <t>156,27</t>
  </si>
  <si>
    <t>92836</t>
  </si>
  <si>
    <t>ASSENTAMENTO DE TUBO DE CONCRETO PARA REDES COLETORAS DE ESGOTO SANITÁRIO, DIÂMETRO DE 400 MM, JUNTA ELÁSTICA, INSTALADO EM LOCAL COM BAIXO NÍVEL DE INTERFERÊNCIAS (NÃO INCLUI FORNECIMENTO). AF_12/2015</t>
  </si>
  <si>
    <t>11,29</t>
  </si>
  <si>
    <t>92837</t>
  </si>
  <si>
    <t>TUBO DE CONCRETO PARA REDES COLETORAS DE ESGOTO SANITÁRIO, DIÂMETRO DE 500 MM, JUNTA ELÁSTICA, INSTALADO EM LOCAL COM BAIXO NÍVEL DE INTERFERÊNCIAS - FORNECIMENTO E ASSENTAMENTO. AF_12/2015</t>
  </si>
  <si>
    <t>271,79</t>
  </si>
  <si>
    <t>92838</t>
  </si>
  <si>
    <t>ASSENTAMENTO DE TUBO DE CONCRETO PARA REDES COLETORAS DE ESGOTO SANITÁRIO, DIÂMETRO DE 500 MM, JUNTA ELÁSTICA, INSTALADO EM LOCAL COM BAIXO NÍVEL DE INTERFERÊNCIAS (NÃO INCLUI FORNECIMENTO). AF_12/2015</t>
  </si>
  <si>
    <t>13,55</t>
  </si>
  <si>
    <t>92839</t>
  </si>
  <si>
    <t>TUBO DE CONCRETO PARA REDES COLETORAS DE ESGOTO SANITÁRIO, DIÂMETRO DE 600 MM, JUNTA ELÁSTICA, INSTALADO EM LOCAL COM BAIXO NÍVEL DE INTERFERÊNCIAS - FORNECIMENTO E ASSENTAMENTO. AF_12/2015</t>
  </si>
  <si>
    <t>332,20</t>
  </si>
  <si>
    <t>92840</t>
  </si>
  <si>
    <t>ASSENTAMENTO DE TUBO DE CONCRETO PARA REDES COLETORAS DE ESGOTO SANITÁRIO, DIÂMETRO DE 600 MM, JUNTA ELÁSTICA, INSTALADO EM LOCAL COM BAIXO NÍVEL DE INTERFERÊNCIAS (NÃO INCLUI FORNECIMENTO). AF_12/2015</t>
  </si>
  <si>
    <t>16,06</t>
  </si>
  <si>
    <t>92841</t>
  </si>
  <si>
    <t>TUBO DE CONCRETO PARA REDES COLETORAS DE ESGOTO SANITÁRIO, DIÂMETRO DE 700 MM, JUNTA ELÁSTICA, INSTALADO EM LOCAL COM BAIXO NÍVEL DE INTERFERÊNCIAS - FORNECIMENTO E ASSENTAMENTO. AF_12/2015</t>
  </si>
  <si>
    <t>432,56</t>
  </si>
  <si>
    <t>92842</t>
  </si>
  <si>
    <t>ASSENTAMENTO DE TUBO DE CONCRETO PARA REDES COLETORAS DE ESGOTO SANITÁRIO, DIÂMETRO DE 700 MM, JUNTA ELÁSTICA, INSTALADO EM LOCAL COM BAIXO NÍVEL DE INTERFERÊNCIAS (NÃO INCLUI FORNECIMENTO). AF_12/2015</t>
  </si>
  <si>
    <t>18,33</t>
  </si>
  <si>
    <t>92843</t>
  </si>
  <si>
    <t>TUBO DE CONCRETO PARA REDES COLETORAS DE ESGOTO SANITÁRIO, DIÂMETRO DE 800 MM, JUNTA ELÁSTICA, INSTALADO EM LOCAL COM BAIXO NÍVEL DE INTERFERÊNCIAS - FORNECIMENTO E ASSENTAMENTO. AF_12/2015</t>
  </si>
  <si>
    <t>450,77</t>
  </si>
  <si>
    <t>92844</t>
  </si>
  <si>
    <t>ASSENTAMENTO DE TUBO DE CONCRETO PARA REDES COLETORAS DE ESGOTO SANITÁRIO, DIÂMETRO DE 800 MM, JUNTA ELÁSTICA, INSTALADO EM LOCAL COM BAIXO NÍVEL DE INTERFERÊNCIAS (NÃO INCLUI FORNECIMENTO). AF_12/2015</t>
  </si>
  <si>
    <t>20,83</t>
  </si>
  <si>
    <t>92845</t>
  </si>
  <si>
    <t>TUBO DE CONCRETO PARA REDES COLETORAS DE ESGOTO SANITÁRIO, DIÂMETRO DE 900 MM, JUNTA ELÁSTICA, INSTALADO EM LOCAL COM BAIXO NÍVEL DE INTERFERÊNCIAS - FORNECIMENTO E ASSENTAMENTO. AF_12/2015</t>
  </si>
  <si>
    <t>662,02</t>
  </si>
  <si>
    <t>92846</t>
  </si>
  <si>
    <t>ASSENTAMENTO DE TUBO DE CONCRETO PARA REDES COLETORAS DE ESGOTO SANITÁRIO, DIÂMETRO DE 900 MM, JUNTA ELÁSTICA, INSTALADO EM LOCAL COM BAIXO NÍVEL DE INTERFERÊNCIAS (NÃO INCLUI FORNECIMENTO). AF_12/2015</t>
  </si>
  <si>
    <t>23,10</t>
  </si>
  <si>
    <t>92847</t>
  </si>
  <si>
    <t>TUBO DE CONCRETO PARA REDES COLETORAS DE ESGOTO SANITÁRIO, DIÂMETRO DE 1000 MM, JUNTA ELÁSTICA, INSTALADO EM LOCAL COM BAIXO NÍVEL DE INTERFERÊNCIAS - FORNECIMENTO E ASSENTAMENTO. AF_12/2015</t>
  </si>
  <si>
    <t>683,37</t>
  </si>
  <si>
    <t>92848</t>
  </si>
  <si>
    <t>ASSENTAMENTO DE TUBO DE CONCRETO PARA REDES COLETORAS DE ESGOTO SANITÁRIO, DIÂMETRO DE 1000 MM, JUNTA ELÁSTICA, INSTALADO EM LOCAL COM BAIXO NÍVEL DE INTERFERÊNCIAS (NÃO INCLUI FORNECIMENTO). AF_12/2015</t>
  </si>
  <si>
    <t>25,63</t>
  </si>
  <si>
    <t>92849</t>
  </si>
  <si>
    <t>TUBO DE CONCRETO PARA REDES COLETORAS DE ESGOTO SANITÁRIO, DIÂMETRO DE 300 MM, JUNTA ELÁSTICA, INSTALADO EM LOCAL COM ALTO NÍVEL DE INTERFERÊNCIAS - FORNECIMENTO E ASSENTAMENTO. AF_12/2015</t>
  </si>
  <si>
    <t>155,86</t>
  </si>
  <si>
    <t>92850</t>
  </si>
  <si>
    <t>ASSENTAMENTO DE TUBO DE CONCRETO PARA REDES COLETORAS DE ESGOTO SANITÁRIO, DIÂMETRO DE 300 MM, JUNTA ELÁSTICA, INSTALADO EM LOCAL COM ALTO NÍVEL DE INTERFERÊNCIAS (NÃO INCLUI FORNECIMENTO). AF_12/2015</t>
  </si>
  <si>
    <t>16,73</t>
  </si>
  <si>
    <t>92851</t>
  </si>
  <si>
    <t>TUBO DE CONCRETO PARA REDES COLETORAS DE ESGOTO SANITÁRIO, DIÂMETRO DE 400 MM, JUNTA ELÁSTICA, INSTALADO EM LOCAL COM ALTO NÍVEL DE INTERFERÊNCIAS - FORNECIMENTO E ASSENTAMENTO. AF_12/2015</t>
  </si>
  <si>
    <t>165,91</t>
  </si>
  <si>
    <t>92852</t>
  </si>
  <si>
    <t>ASSENTAMENTO DE TUBO DE CONCRETO PARA REDES COLETORAS DE ESGOTO SANITÁRIO, DIÂMETRO DE 400 MM, JUNTA ELÁSTICA, INSTALADO EM LOCAL COM ALTO NÍVEL DE INTERFERÊNCIAS (NÃO INCLUI FORNECIMENTO). AF_12/2015</t>
  </si>
  <si>
    <t>21,12</t>
  </si>
  <si>
    <t>92853</t>
  </si>
  <si>
    <t>TUBO DE CONCRETO PARA REDES COLETORAS DE ESGOTO SANITÁRIO, DIÂMETRO DE 500 MM, JUNTA ELÁSTICA, INSTALADO EM LOCAL COM ALTO NÍVEL DE INTERFERÊNCIAS - FORNECIMENTO E ASSENTAMENTO. AF_12/2015</t>
  </si>
  <si>
    <t>283,73</t>
  </si>
  <si>
    <t>92854</t>
  </si>
  <si>
    <t>ASSENTAMENTO DE TUBO DE CONCRETO PARA REDES COLETORAS DE ESGOTO SANITÁRIO, DIÂMETRO DE 500 MM, JUNTA ELÁSTICA, INSTALADO EM LOCAL COM ALTO NÍVEL DE INTERFERÊNCIAS (NÃO INCLUI FORNECIMENTO). AF_12/2015</t>
  </si>
  <si>
    <t>25,72</t>
  </si>
  <si>
    <t>92855</t>
  </si>
  <si>
    <t>TUBO DE CONCRETO PARA REDES COLETORAS DE ESGOTO SANITÁRIO, DIÂMETRO DE 600 MM, JUNTA ELÁSTICA, INSTALADO EM LOCAL COM ALTO NÍVEL DE INTERFERÊNCIAS - FORNECIMENTO E ASSENTAMENTO. AF_12/2015</t>
  </si>
  <si>
    <t>346,19</t>
  </si>
  <si>
    <t>92856</t>
  </si>
  <si>
    <t>ASSENTAMENTO DE TUBO DE CONCRETO PARA REDES COLETORAS DE ESGOTO SANITÁRIO, DIÂMETRO DE 600 MM, JUNTA ELÁSTICA, INSTALADO EM LOCAL COM ALTO NÍVEL DE INTERFERÊNCIAS (NÃO INCLUI FORNECIMENTO). AF_12/2015</t>
  </si>
  <si>
    <t>30,32</t>
  </si>
  <si>
    <t>92857</t>
  </si>
  <si>
    <t>TUBO DE CONCRETO PARA REDES COLETORAS DE ESGOTO SANITÁRIO, DIÂMETRO DE 700 MM, JUNTA ELÁSTICA, INSTALADO EM LOCAL COM ALTO NÍVEL DE INTERFERÊNCIAS - FORNECIMENTO E ASSENTAMENTO. AF_12/2015</t>
  </si>
  <si>
    <t>448,61</t>
  </si>
  <si>
    <t>92858</t>
  </si>
  <si>
    <t>ASSENTAMENTO DE TUBO DE CONCRETO PARA REDES COLETORAS DE ESGOTO SANITÁRIO, DIÂMETRO DE 700 MM, JUNTA ELÁSTICA, INSTALADO EM LOCAL COM ALTO NÍVEL DE INTERFERÊNCIAS (NÃO INCLUI FORNECIMENTO). AF_12/2015</t>
  </si>
  <si>
    <t>34,69</t>
  </si>
  <si>
    <t>92859</t>
  </si>
  <si>
    <t>TUBO DE CONCRETO PARA REDES COLETORAS DE ESGOTO SANITÁRIO, DIÂMETRO DE 800 MM, JUNTA ELÁSTICA, INSTALADO EM LOCAL COM ALTO NÍVEL DE INTERFERÊNCIAS - FORNECIMENTO E ASSENTAMENTO. AF_12/2015</t>
  </si>
  <si>
    <t>469,32</t>
  </si>
  <si>
    <t>92860</t>
  </si>
  <si>
    <t>ASSENTAMENTO DE TUBO DE CONCRETO PARA REDES COLETORAS DE ESGOTO SANITÁRIO, DIÂMETRO DE 800 MM, JUNTA ELÁSTICA, INSTALADO EM LOCAL COM ALTO NÍVEL DE INTERFERÊNCIAS (NÃO INCLUI FORNECIMENTO). AF_12/2015</t>
  </si>
  <si>
    <t>39,38</t>
  </si>
  <si>
    <t>92861</t>
  </si>
  <si>
    <t>TUBO DE CONCRETO PARA REDES COLETORAS DE ESGOTO SANITÁRIO, DIÂMETRO DE 900 MM, JUNTA ELÁSTICA, INSTALADO EM LOCAL COM ALTO NÍVEL DE INTERFERÊNCIAS - FORNECIMENTO E ASSENTAMENTO. AF_12/2015</t>
  </si>
  <si>
    <t>682,88</t>
  </si>
  <si>
    <t>92862</t>
  </si>
  <si>
    <t>ASSENTAMENTO DE TUBO DE CONCRETO PARA REDES COLETORAS DE ESGOTO SANITÁRIO, DIÂMETRO DE 900 MM, JUNTA ELÁSTICA, INSTALADO EM LOCAL COM ALTO NÍVEL DE INTERFERÊNCIAS (NÃO INCLUI FORNECIMENTO). AF_12/2015</t>
  </si>
  <si>
    <t>43,96</t>
  </si>
  <si>
    <t>92863</t>
  </si>
  <si>
    <t>TUBO DE CONCRETO PARA REDES COLETORAS DE ESGOTO SANITÁRIO, DIÂMETRO DE 1000 MM, JUNTA ELÁSTICA, INSTALADO EM LOCAL COM ALTO NÍVEL DE INTERFERÊNCIAS - FORNECIMENTO E ASSENTAMENTO. AF_12/2015</t>
  </si>
  <si>
    <t>705,86</t>
  </si>
  <si>
    <t>92864</t>
  </si>
  <si>
    <t>ASSENTAMENTO DE TUBO DE CONCRETO PARA REDES COLETORAS DE ESGOTO SANITÁRIO, DIÂMETRO DE 1000 MM, JUNTA ELÁSTICA, INSTALADO EM LOCAL COM ALTO NÍVEL DE INTERFERÊNCIAS (NÃO INCLUI FORNECIMENTO). AF_12/2015</t>
  </si>
  <si>
    <t>48,55</t>
  </si>
  <si>
    <t>92210</t>
  </si>
  <si>
    <t>TUBO DE CONCRETO PARA REDES COLETORAS DE ÁGUAS PLUVIAIS, DIÂMETRO DE 400 MM, JUNTA RÍGIDA, INSTALADO EM LOCAL COM BAIXO NÍVEL DE INTERFERÊNCIAS - FORNECIMENTO E ASSENTAMENTO. AF_12/2015</t>
  </si>
  <si>
    <t>130,65</t>
  </si>
  <si>
    <t>92211</t>
  </si>
  <si>
    <t>TUBO DE CONCRETO PARA REDES COLETORAS DE ÁGUAS PLUVIAIS, DIÂMETRO DE 500 MM, JUNTA RÍGIDA, INSTALADO EM LOCAL COM BAIXO NÍVEL DE INTERFERÊNCIAS - FORNECIMENTO E ASSENTAMENTO. AF_12/2015</t>
  </si>
  <si>
    <t>157,18</t>
  </si>
  <si>
    <t>92212</t>
  </si>
  <si>
    <t>TUBO DE CONCRETO PARA REDES COLETORAS DE ÁGUAS PLUVIAIS, DIÂMETRO DE 600 MM, JUNTA RÍGIDA, INSTALADO EM LOCAL COM BAIXO NÍVEL DE INTERFERÊNCIAS - FORNECIMENTO E ASSENTAMENTO. AF_12/2015</t>
  </si>
  <si>
    <t>227,86</t>
  </si>
  <si>
    <t>92213</t>
  </si>
  <si>
    <t>TUBO DE CONCRETO PARA REDES COLETORAS DE ÁGUAS PLUVIAIS, DIÂMETRO DE 700 MM, JUNTA RÍGIDA, INSTALADO EM LOCAL COM BAIXO NÍVEL DE INTERFERÊNCIAS - FORNECIMENTO E ASSENTAMENTO. AF_12/2015</t>
  </si>
  <si>
    <t>295,38</t>
  </si>
  <si>
    <t>92214</t>
  </si>
  <si>
    <t>TUBO DE CONCRETO PARA REDES COLETORAS DE ÁGUAS PLUVIAIS, DIÂMETRO DE 800 MM, JUNTA RÍGIDA, INSTALADO EM LOCAL COM BAIXO NÍVEL DE INTERFERÊNCIAS - FORNECIMENTO E ASSENTAMENTO. AF_12/2015</t>
  </si>
  <si>
    <t>354,89</t>
  </si>
  <si>
    <t>92215</t>
  </si>
  <si>
    <t>TUBO DE CONCRETO PARA REDES COLETORAS DE ÁGUAS PLUVIAIS, DIÂMETRO DE 900 MM, JUNTA RÍGIDA, INSTALADO EM LOCAL COM BAIXO NÍVEL DE INTERFERÊNCIAS - FORNECIMENTO E ASSENTAMENTO. AF_12/2015</t>
  </si>
  <si>
    <t>406,74</t>
  </si>
  <si>
    <t>92216</t>
  </si>
  <si>
    <t>TUBO DE CONCRETO PARA REDES COLETORAS DE ÁGUAS PLUVIAIS, DIÂMETRO DE 1000 MM, JUNTA RÍGIDA, INSTALADO EM LOCAL COM BAIXO NÍVEL DE INTERFERÊNCIAS - FORNECIMENTO E ASSENTAMENTO. AF_12/2015</t>
  </si>
  <si>
    <t>427,72</t>
  </si>
  <si>
    <t>92219</t>
  </si>
  <si>
    <t>TUBO DE CONCRETO PARA REDES COLETORAS DE ÁGUAS PLUVIAIS, DIÂMETRO DE 400 MM, JUNTA RÍGIDA, INSTALADO EM LOCAL COM ALTO NÍVEL DE INTERFERÊNCIAS - FORNECIMENTO E ASSENTAMENTO. AF_12/2015</t>
  </si>
  <si>
    <t>140,47</t>
  </si>
  <si>
    <t>92220</t>
  </si>
  <si>
    <t>TUBO DE CONCRETO PARA REDES COLETORAS DE ÁGUAS PLUVIAIS, DIÂMETRO DE 500 MM, JUNTA RÍGIDA, INSTALADO EM LOCAL COM ALTO NÍVEL DE INTERFERÊNCIAS - FORNECIMENTO E ASSENTAMENTO. AF_12/2015</t>
  </si>
  <si>
    <t>169,34</t>
  </si>
  <si>
    <t>92221</t>
  </si>
  <si>
    <t>TUBO DE CONCRETO PARA REDES COLETORAS DE ÁGUAS PLUVIAIS, DIÂMETRO DE 600 MM, JUNTA RÍGIDA, INSTALADO EM LOCAL COM ALTO NÍVEL DE INTERFERÊNCIAS - FORNECIMENTO E ASSENTAMENTO. AF_12/2015</t>
  </si>
  <si>
    <t>242,13</t>
  </si>
  <si>
    <t>92222</t>
  </si>
  <si>
    <t>TUBO DE CONCRETO PARA REDES COLETORAS DE ÁGUAS PLUVIAIS, DIÂMETRO DE 700 MM, JUNTA RÍGIDA, INSTALADO EM LOCAL COM ALTO NÍVEL DE INTERFERÊNCIAS - FORNECIMENTO E ASSENTAMENTO. AF_12/2015</t>
  </si>
  <si>
    <t>311,95</t>
  </si>
  <si>
    <t>92223</t>
  </si>
  <si>
    <t>TUBO DE CONCRETO PARA REDES COLETORAS DE ÁGUAS PLUVIAIS, DIÂMETRO DE 800 MM, JUNTA RÍGIDA, INSTALADO EM LOCAL COM ALTO NÍVEL DE INTERFERÊNCIAS - FORNECIMENTO E ASSENTAMENTO. AF_12/2015</t>
  </si>
  <si>
    <t>373,44</t>
  </si>
  <si>
    <t>92224</t>
  </si>
  <si>
    <t>TUBO DE CONCRETO PARA REDES COLETORAS DE ÁGUAS PLUVIAIS, DIÂMETRO DE 900 MM, JUNTA RÍGIDA, INSTALADO EM LOCAL COM ALTO NÍVEL DE INTERFERÊNCIAS - FORNECIMENTO E ASSENTAMENTO. AF_12/2015</t>
  </si>
  <si>
    <t>427,31</t>
  </si>
  <si>
    <t>92226</t>
  </si>
  <si>
    <t>TUBO DE CONCRETO PARA REDES COLETORAS DE ÁGUAS PLUVIAIS, DIÂMETRO DE 1000 MM, JUNTA RÍGIDA, INSTALADO EM LOCAL COM ALTO NÍVEL DE INTERFERÊNCIAS - FORNECIMENTO E ASSENTAMENTO. AF_12/2015</t>
  </si>
  <si>
    <t>450,76</t>
  </si>
  <si>
    <t>92808</t>
  </si>
  <si>
    <t>ASSENTAMENTO DE TUBO DE CONCRETO PARA REDES COLETORAS DE ÁGUAS PLUVIAIS, DIÂMETRO DE 300 MM, JUNTA RÍGIDA, INSTALADO EM LOCAL COM BAIXO NÍVEL DE INTERFERÊNCIAS (NÃO INCLUI FORNECIMENTO). AF_12/2015</t>
  </si>
  <si>
    <t>39,68</t>
  </si>
  <si>
    <t>92809</t>
  </si>
  <si>
    <t>ASSENTAMENTO DE TUBO DE CONCRETO PARA REDES COLETORAS DE ÁGUAS PLUVIAIS, DIÂMETRO DE 400 MM, JUNTA RÍGIDA, INSTALADO EM LOCAL COM BAIXO NÍVEL DE INTERFERÊNCIAS (NÃO INCLUI FORNECIMENTO). AF_12/2015</t>
  </si>
  <si>
    <t>50,81</t>
  </si>
  <si>
    <t>92810</t>
  </si>
  <si>
    <t>ASSENTAMENTO DE TUBO DE CONCRETO PARA REDES COLETORAS DE ÁGUAS PLUVIAIS, DIÂMETRO DE 500 MM, JUNTA RÍGIDA, INSTALADO EM LOCAL COM BAIXO NÍVEL DE INTERFERÊNCIAS (NÃO INCLUI FORNECIMENTO). AF_12/2015</t>
  </si>
  <si>
    <t>61,77</t>
  </si>
  <si>
    <t>92811</t>
  </si>
  <si>
    <t>ASSENTAMENTO DE TUBO DE CONCRETO PARA REDES COLETORAS DE ÁGUAS PLUVIAIS, DIÂMETRO DE 600 MM, JUNTA RÍGIDA, INSTALADO EM LOCAL COM BAIXO NÍVEL DE INTERFERÊNCIAS (NÃO INCLUI FORNECIMENTO). AF_12/2015</t>
  </si>
  <si>
    <t>73,36</t>
  </si>
  <si>
    <t>92812</t>
  </si>
  <si>
    <t>ASSENTAMENTO DE TUBO DE CONCRETO PARA REDES COLETORAS DE ÁGUAS PLUVIAIS, DIÂMETRO DE 700 MM, JUNTA RÍGIDA, INSTALADO EM LOCAL COM BAIXO NÍVEL DE INTERFERÊNCIAS (NÃO INCLUI FORNECIMENTO). AF_12/2015</t>
  </si>
  <si>
    <t>84,80</t>
  </si>
  <si>
    <t>92813</t>
  </si>
  <si>
    <t>ASSENTAMENTO DE TUBO DE CONCRETO PARA REDES COLETORAS DE ÁGUAS PLUVIAIS, DIÂMETRO DE 800 MM, JUNTA RÍGIDA, INSTALADO EM LOCAL COM BAIXO NÍVEL DE INTERFERÊNCIAS (NÃO INCLUI FORNECIMENTO). AF_12/2015</t>
  </si>
  <si>
    <t>97,84</t>
  </si>
  <si>
    <t>92814</t>
  </si>
  <si>
    <t>ASSENTAMENTO DE TUBO DE CONCRETO PARA REDES COLETORAS DE ÁGUAS PLUVIAIS, DIÂMETRO DE 900 MM, JUNTA RÍGIDA, INSTALADO EM LOCAL COM BAIXO NÍVEL DE INTERFERÊNCIAS (NÃO INCLUI FORNECIMENTO). AF_12/2015</t>
  </si>
  <si>
    <t>111,38</t>
  </si>
  <si>
    <t>92815</t>
  </si>
  <si>
    <t>ASSENTAMENTO DE TUBO DE CONCRETO PARA REDES COLETORAS DE ÁGUAS PLUVIAIS, DIÂMETRO DE 1000 MM, JUNTA RÍGIDA, INSTALADO EM LOCAL COM BAIXO NÍVEL DE INTERFERÊNCIAS (NÃO INCLUI FORNECIMENTO). AF_12/2015</t>
  </si>
  <si>
    <t>126,52</t>
  </si>
  <si>
    <t>92816</t>
  </si>
  <si>
    <t>TUBO DE CONCRETO PARA REDES COLETORAS DE ÁGUAS PLUVIAIS, DIÂMETRO DE 1200 MM, JUNTA RÍGIDA, INSTALADO EM LOCAL COM BAIXO NÍVEL DE INTERFERÊNCIAS - FORNECIMENTO E ASSENTAMENTO. AF_12/2015</t>
  </si>
  <si>
    <t>608,20</t>
  </si>
  <si>
    <t>92817</t>
  </si>
  <si>
    <t>ASSENTAMENTO DE TUBO DE CONCRETO PARA REDES COLETORAS DE ÁGUAS PLUVIAIS, DIÂMETRO DE 1200 MM, JUNTA RÍGIDA, INSTALADO EM LOCAL COM BAIXO NÍVEL DE INTERFERÊNCIAS (NÃO INCLUI FORNECIMENTO). AF_12/2015</t>
  </si>
  <si>
    <t>158,34</t>
  </si>
  <si>
    <t>92818</t>
  </si>
  <si>
    <t>TUBO DE CONCRETO PARA REDES COLETORAS DE ÁGUAS PLUVIAIS, DIÂMETRO DE 1500 MM, JUNTA RÍGIDA, INSTALADO EM LOCAL COM BAIXO NÍVEL DE INTERFERÊNCIAS - FORNECIMENTO E ASSENTAMENTO. AF_12/2015</t>
  </si>
  <si>
    <t>864,87</t>
  </si>
  <si>
    <t>92819</t>
  </si>
  <si>
    <t>ASSENTAMENTO DE TUBO DE CONCRETO PARA REDES COLETORAS DE ÁGUAS PLUVIAIS, DIÂMETRO DE 1500 MM, JUNTA RÍGIDA, INSTALADO EM LOCAL COM BAIXO NÍVEL DE INTERFERÊNCIAS (NÃO INCLUI FORNECIMENTO). AF_12/2015</t>
  </si>
  <si>
    <t>213,12</t>
  </si>
  <si>
    <t>92820</t>
  </si>
  <si>
    <t>ASSENTAMENTO DE TUBO DE CONCRETO PARA REDES COLETORAS DE ÁGUAS PLUVIAIS, DIÂMETRO DE 300 MM, JUNTA RÍGIDA, INSTALADO EM LOCAL COM ALTO NÍVEL DE INTERFERÊNCIAS (NÃO INCLUI FORNECIMENTO). AF_12/2015</t>
  </si>
  <si>
    <t>47,37</t>
  </si>
  <si>
    <t>92821</t>
  </si>
  <si>
    <t>ASSENTAMENTO DE TUBO DE CONCRETO PARA REDES COLETORAS DE ÁGUAS PLUVIAIS, DIÂMETRO DE 400 MM, JUNTA RÍGIDA, INSTALADO EM LOCAL COM ALTO NÍVEL DE INTERFERÊNCIAS (NÃO INCLUI FORNECIMENTO). AF_12/2015</t>
  </si>
  <si>
    <t>60,63</t>
  </si>
  <si>
    <t>92822</t>
  </si>
  <si>
    <t>ASSENTAMENTO DE TUBO DE CONCRETO PARA REDES COLETORAS DE ÁGUAS PLUVIAIS, DIÂMETRO DE 500 MM, JUNTA RÍGIDA, INSTALADO EM LOCAL COM ALTO NÍVEL DE INTERFERÊNCIAS (NÃO INCLUI FORNECIMENTO). AF_12/2015</t>
  </si>
  <si>
    <t>73,93</t>
  </si>
  <si>
    <t>92824</t>
  </si>
  <si>
    <t>ASSENTAMENTO DE TUBO DE CONCRETO PARA REDES COLETORAS DE ÁGUAS PLUVIAIS, DIÂMETRO DE 600 MM, JUNTA RÍGIDA, INSTALADO EM LOCAL COM ALTO NÍVEL DE INTERFERÊNCIAS (NÃO INCLUI FORNECIMENTO). AF_12/2015</t>
  </si>
  <si>
    <t>87,63</t>
  </si>
  <si>
    <t>92825</t>
  </si>
  <si>
    <t>ASSENTAMENTO DE TUBO DE CONCRETO PARA REDES COLETORAS DE ÁGUAS PLUVIAIS, DIÂMETRO DE 700 MM, JUNTA RÍGIDA, INSTALADO EM LOCAL COM ALTO NÍVEL DE INTERFERÊNCIAS (NÃO INCLUI FORNECIMENTO). AF_12/2015</t>
  </si>
  <si>
    <t>101,37</t>
  </si>
  <si>
    <t>92826</t>
  </si>
  <si>
    <t>ASSENTAMENTO DE TUBO DE CONCRETO PARA REDES COLETORAS DE ÁGUAS PLUVIAIS, DIÂMETRO DE 800 MM, JUNTA RÍGIDA, INSTALADO EM LOCAL COM ALTO NÍVEL DE INTERFERÊNCIAS (NÃO INCLUI FORNECIMENTO). AF_12/2015</t>
  </si>
  <si>
    <t>116,39</t>
  </si>
  <si>
    <t>92827</t>
  </si>
  <si>
    <t>ASSENTAMENTO DE TUBO DE CONCRETO PARA REDES COLETORAS DE ÁGUAS PLUVIAIS, DIÂMETRO DE 900 MM, JUNTA RÍGIDA, INSTALADO EM LOCAL COM ALTO NÍVEL DE INTERFERÊNCIAS (NÃO INCLUI FORNECIMENTO). AF_12/2015</t>
  </si>
  <si>
    <t>131,95</t>
  </si>
  <si>
    <t>92828</t>
  </si>
  <si>
    <t>ASSENTAMENTO DE TUBO DE CONCRETO PARA REDES COLETORAS DE ÁGUAS PLUVIAIS, DIÂMETRO DE 1000 MM, JUNTA RÍGIDA, INSTALADO EM LOCAL COM ALTO NÍVEL DE INTERFERÊNCIAS (NÃO INCLUI FORNECIMENTO). AF_12/2015</t>
  </si>
  <si>
    <t>149,56</t>
  </si>
  <si>
    <t>92829</t>
  </si>
  <si>
    <t>TUBO DE CONCRETO PARA REDES COLETORAS DE ÁGUAS PLUVIAIS, DIÂMETRO DE 1200 MM, JUNTA RÍGIDA, INSTALADO EM LOCAL COM ALTO NÍVEL DE INTERFERÊNCIAS - FORNECIMENTO E ASSENTAMENTO. AF_12/2015</t>
  </si>
  <si>
    <t>635,39</t>
  </si>
  <si>
    <t>92830</t>
  </si>
  <si>
    <t>ASSENTAMENTO DE TUBO DE CONCRETO PARA REDES COLETORAS DE ÁGUAS PLUVIAIS, DIÂMETRO DE 1200 MM, JUNTA RÍGIDA, INSTALADO EM LOCAL COM ALTO NÍVEL DE INTERFERÊNCIAS (NÃO INCLUI FORNECIMENTO). AF_12/2015</t>
  </si>
  <si>
    <t>185,53</t>
  </si>
  <si>
    <t>92831</t>
  </si>
  <si>
    <t>TUBO DE CONCRETO PARA REDES COLETORAS DE ÁGUAS PLUVIAIS, DIÂMETRO DE 1500 MM, JUNTA RÍGIDA, INSTALADO EM LOCAL COM ALTO NÍVEL DE INTERFERÊNCIAS - FORNECIMENTO E ASSENTAMENTO. AF_12/2015</t>
  </si>
  <si>
    <t>898,37</t>
  </si>
  <si>
    <t>92832</t>
  </si>
  <si>
    <t>ASSENTAMENTO DE TUBO DE CONCRETO PARA REDES COLETORAS DE ÁGUAS PLUVIAIS, DIÂMETRO DE 1500 MM, JUNTA RÍGIDA, INSTALADO EM LOCAL COM ALTO NÍVEL DE INTERFERÊNCIAS (NÃO INCLUI FORNECIMENTO). AF_12/2015</t>
  </si>
  <si>
    <t>246,62</t>
  </si>
  <si>
    <t>95565</t>
  </si>
  <si>
    <t>TUBO DE CONCRETO PARA REDES COLETORAS DE ÁGUAS PLUVIAIS, DIÂMETRO DE 300MM, JUNTA RÍGIDA, INSTALADO EM LOCAL COM BAIXO NÍVEL DE INTERFERÊNCIAS - FORNECIMENTO E ASSENTAMENTO. AF_12/2015</t>
  </si>
  <si>
    <t>109,69</t>
  </si>
  <si>
    <t>95566</t>
  </si>
  <si>
    <t>TUBO DE CONCRETO PARA REDES COLETORAS DE ÁGUAS PLUVIAIS, DIÂMETRO DE 300MM, JUNTA RÍGIDA, INSTALADO EM LOCAL COM ALTO NÍVEL DE INTERFERÊNCIAS - FORNECIMENTO E ASSENTAMENTO. AF_12/2015</t>
  </si>
  <si>
    <t>117,23</t>
  </si>
  <si>
    <t>95567</t>
  </si>
  <si>
    <t>TUBO DE CONCRETO (SIMPLES) PARA REDES COLETORAS DE ÁGUAS PLUVIAIS, DIÂMETRO DE 300 MM, JUNTA RÍGIDA, INSTALADO EM LOCAL COM BAIXO NÍVEL DE INTERFERÊNCIAS - FORNECIMENTO E ASSENTAMENTO. AF_12/2015</t>
  </si>
  <si>
    <t>82,18</t>
  </si>
  <si>
    <t>95568</t>
  </si>
  <si>
    <t>TUBO DE CONCRETO (SIMPLES) PARA REDES COLETORAS DE ÁGUAS PLUVIAIS, DIÂMETRO DE 400 MM, JUNTA RÍGIDA, INSTALADO EM LOCAL COM BAIXO NÍVEL DE INTERFERÊNCIAS - FORNECIMENTO E ASSENTAMENTO. AF_12/2015</t>
  </si>
  <si>
    <t>100,98</t>
  </si>
  <si>
    <t>95569</t>
  </si>
  <si>
    <t>TUBO DE CONCRETO (SIMPLES) PARA REDES COLETORAS DE ÁGUAS PLUVIAIS, DIÂMETRO DE 500 MM, JUNTA RÍGIDA, INSTALADO EM LOCAL COM BAIXO NÍVEL DE INTERFERÊNCIAS - FORNECIMENTO E ASSENTAMENTO. AF_12/2015</t>
  </si>
  <si>
    <t>136,69</t>
  </si>
  <si>
    <t>95570</t>
  </si>
  <si>
    <t>TUBO DE CONCRETO (SIMPLES) PARA REDES COLETORAS DE ÁGUAS PLUVIAIS, DIÂMETRO DE 300 MM, JUNTA RÍGIDA, INSTALADO EM LOCAL COM ALTO NÍVEL DE INTERFERÊNCIAS - FORNECIMENTO E ASSENTAMENTO. AF_12/2015</t>
  </si>
  <si>
    <t>89,72</t>
  </si>
  <si>
    <t>95571</t>
  </si>
  <si>
    <t>TUBO DE CONCRETO (SIMPLES) PARA REDES COLETORAS DE ÁGUAS PLUVIAIS, DIÂMETRO DE 400 MM, JUNTA RÍGIDA, INSTALADO EM LOCAL COM ALTO NÍVEL DE INTERFERÊNCIAS - FORNECIMENTO E ASSENTAMENTO. AF_12/2015</t>
  </si>
  <si>
    <t>110,61</t>
  </si>
  <si>
    <t>95572</t>
  </si>
  <si>
    <t>TUBO DE CONCRETO (SIMPLES) PARA REDES COLETORAS DE ÁGUAS PLUVIAIS, DIÂMETRO DE 500 MM, JUNTA RÍGIDA, INSTALADO EM LOCAL COM ALTO NÍVEL DE INTERFERÊNCIAS - FORNECIMENTO E ASSENTAMENTO. AF_12/2015</t>
  </si>
  <si>
    <t>148,63</t>
  </si>
  <si>
    <t>97127</t>
  </si>
  <si>
    <t>ASSENTAMENTO DE TUBO DE PVC DEFOFO OU PRFV OU RPVC PARA REDE DE ÁGUA, DN 150 MM, JUNTA ELÁSTICA INTEGRADA, INSTALADO EM LOCAL COM NÍVEL ALTO DE INTERFERÊNCIAS (NÃO INCLUI FORNECIMENTO). AF_11/2017</t>
  </si>
  <si>
    <t>5,24</t>
  </si>
  <si>
    <t>97128</t>
  </si>
  <si>
    <t>ASSENTAMENTO DE TUBO DE PVC DEFOFO OU PRFV OU RPVC PARA REDE DE ÁGUA, DN 200 MM, JUNTA ELÁSTICA INTEGRADA, INSTALADO EM LOCAL COM NÍVEL ALTO DE INTERFERÊNCIAS (NÃO INCLUI FORNECIMENTO). AF_11/2017</t>
  </si>
  <si>
    <t>10,34</t>
  </si>
  <si>
    <t>97129</t>
  </si>
  <si>
    <t>ASSENTAMENTO DE TUBO DE PVC DEFOFO OU PRFV OU RPVC PARA REDE DE ÁGUA, DN 250 MM, JUNTA ELÁSTICA INTEGRADA, INSTALADO EM LOCAL COM NÍVEL ALTO DE INTERFERÊNCIAS (NÃO INCLUI FORNECIMENTO). AF_11/2017</t>
  </si>
  <si>
    <t>12,72</t>
  </si>
  <si>
    <t>97130</t>
  </si>
  <si>
    <t>ASSENTAMENTO DE TUBO DE PVC DEFOFO OU PRFV OU RPVC PARA REDE DE ÁGUA, DN 300 MM, JUNTA ELÁSTICA INTEGRADA, INSTALADO EM LOCAL COM NÍVEL ALTO DE INTERFERÊNCIAS (NÃO INCLUI FORNECIMENTO). AF_11/2017</t>
  </si>
  <si>
    <t>15,10</t>
  </si>
  <si>
    <t>97131</t>
  </si>
  <si>
    <t>ASSENTAMENTO DE TUBO DE PVC DEFOFO OU PRFV OU RPVC PARA REDE DE ÁGUA, DN 350 MM, JUNTA ELÁSTICA INTEGRADA, INSTALADO EM LOCAL COM NÍVEL ALTO DE INTERFERÊNCIAS (NÃO INCLUI FORNECIMENTO). AF_11/2017</t>
  </si>
  <si>
    <t>17,46</t>
  </si>
  <si>
    <t>97132</t>
  </si>
  <si>
    <t>ASSENTAMENTO DE TUBO DE PVC DEFOFO OU PRFV OU RPVC PARA REDE DE ÁGUA, DN 400 MM, JUNTA ELÁSTICA INTEGRADA, INSTALADO EM LOCAL COM NÍVEL ALTO DE INTERFERÊNCIAS (NÃO INCLUI FORNECIMENTO). AF_11/2017</t>
  </si>
  <si>
    <t>19,83</t>
  </si>
  <si>
    <t>97133</t>
  </si>
  <si>
    <t>ASSENTAMENTO DE TUBO DE PVC DEFOFO OU PRFV OU RPVC PARA REDE DE ÁGUA, DN 500 MM, JUNTA ELÁSTICA INTEGRADA, INSTALADO EM LOCAL COM NÍVEL ALTO DE INTERFERÊNCIAS (NÃO INCLUI FORNECIMENTO). AF_11/2017</t>
  </si>
  <si>
    <t>24,58</t>
  </si>
  <si>
    <t>97134</t>
  </si>
  <si>
    <t>ASSENTAMENTO DE TUBO DE PVC DEFOFO OU PRFV OU RPVC PARA REDE DE ÁGUA, DN 150 MM, JUNTA ELÁSTICA INTEGRADA, INSTALADO EM LOCAL COM NÍVEL BAIXO DE INTERFERÊNCIAS (NÃO INCLUI FORNECIMENTO). AF_11/2017</t>
  </si>
  <si>
    <t>2,39</t>
  </si>
  <si>
    <t>97135</t>
  </si>
  <si>
    <t>ASSENTAMENTO DE TUBO DE PVC DEFOFO OU PRFV OU RPVC PARA REDE DE ÁGUA, DN 200 MM, JUNTA ELÁSTICA INTEGRADA, INSTALADO EM LOCAL COM NÍVEL BAIXO DE INTERFERÊNCIAS (NÃO INCLUI FORNECIMENTO). AF_11/2017</t>
  </si>
  <si>
    <t>5,21</t>
  </si>
  <si>
    <t>97136</t>
  </si>
  <si>
    <t>ASSENTAMENTO DE TUBO DE PVC DEFOFO OU PRFV OU RPVC PARA REDE DE ÁGUA, DN 250 MM, JUNTA ELÁSTICA INTEGRADA, INSTALADO EM LOCAL COM NÍVEL BAIXO DE INTERFERÊNCIAS (NÃO INCLUI FORNECIMENTO). AF_11/2017</t>
  </si>
  <si>
    <t>6,41</t>
  </si>
  <si>
    <t>97137</t>
  </si>
  <si>
    <t>ASSENTAMENTO DE TUBO DE PVC DEFOFO OU PRFV OU RPVC PARA REDE DE ÁGUA, DN 300 MM, JUNTA ELÁSTICA INTEGRADA, INSTALADO EM LOCAL COM NÍVEL BAIXO DE INTERFERÊNCIAS (NÃO INCLUI FORNECIMENTO). AF_11/2017</t>
  </si>
  <si>
    <t>7,62</t>
  </si>
  <si>
    <t>97138</t>
  </si>
  <si>
    <t>ASSENTAMENTO DE TUBO DE PVC DEFOFO OU PRFV OU RPVC PARA REDE DE ÁGUA, DN 350 MM, JUNTA ELÁSTICA INTEGRADA, INSTALADO EM LOCAL COM NÍVEL BAIXO DE INTERFERÊNCIAS (NÃO INCLUI FORNECIMENTO). AF_11/2017</t>
  </si>
  <si>
    <t>8,81</t>
  </si>
  <si>
    <t>97139</t>
  </si>
  <si>
    <t>ASSENTAMENTO DE TUBO DE PVC DEFOFO OU PRFV OU RPVC PARA REDE DE ÁGUA, DN 400 MM, JUNTA ELÁSTICA INTEGRADA, INSTALADO EM LOCAL COM NÍVEL BAIXO DE INTERFERÊNCIAS (NÃO INCLUI FORNECIMENTO). AF_11/2017</t>
  </si>
  <si>
    <t>10,01</t>
  </si>
  <si>
    <t>97140</t>
  </si>
  <si>
    <t>ASSENTAMENTO DE TUBO DE PVC DEFOFO OU PRFV OU RPVC PARA REDE DE ÁGUA, DN 500 MM, JUNTA ELÁSTICA INTEGRADA, INSTALADO EM LOCAL COM NÍVEL BAIXO DE INTERFERÊNCIAS (NÃO INCLUI FORNECIMENTO). AF_11/2017</t>
  </si>
  <si>
    <t>12,41</t>
  </si>
  <si>
    <t>103089</t>
  </si>
  <si>
    <t>ASSENTAMENTO DE TUBO DE FERRO FUNDIDO PARA REDE DE ÁGUA, DN 80 MM, JUNTA FLANGEADA (NÃO INCLUI O FORNECIMENTO). AF_09/2021</t>
  </si>
  <si>
    <t>8,74</t>
  </si>
  <si>
    <t>103090</t>
  </si>
  <si>
    <t>ASSENTAMENTO DE TUBO DE FERRO FUNDIDO PARA REDE DE ÁGUA, DN 100 MM, JUNTA FLANGEADA (NÃO INCLUI O FORNECIMENTO). AF_09/2021</t>
  </si>
  <si>
    <t>10,46</t>
  </si>
  <si>
    <t>103091</t>
  </si>
  <si>
    <t>ASSENTAMENTO DE TUBO DE FERRO FUNDIDO PARA REDE DE ÁGUA, DN 150 MM, JUNTA FLANGEADA (NÃO INCLUI O FORNECIMENTO). AF_09/2021</t>
  </si>
  <si>
    <t>14,73</t>
  </si>
  <si>
    <t>103092</t>
  </si>
  <si>
    <t>ASSENTAMENTO DE TUBO DE FERRO FUNDIDO PARA REDE DE ÁGUA, DN 200 MM, JUNTA FLANGEADA (NÃO INCLUI O FORNECIMENTO). AF_09/2021</t>
  </si>
  <si>
    <t>19,00</t>
  </si>
  <si>
    <t>103093</t>
  </si>
  <si>
    <t>ASSENTAMENTO DE TUBO DE FERRO FUNDIDO PARA REDE DE ÁGUA, DN 250 MM, JUNTA FLANGEADA (NÃO INCLUI O FORNECIMENTO). AF_09/2021</t>
  </si>
  <si>
    <t>29,06</t>
  </si>
  <si>
    <t>103094</t>
  </si>
  <si>
    <t>ASSENTAMENTO DE TUBO DE FERRO FUNDIDO PARA REDE DE ÁGUA, DN 300 MM, JUNTA FLANGEADA (NÃO INCLUI O FORNECIMENTO). AF_09/2021</t>
  </si>
  <si>
    <t>33,36</t>
  </si>
  <si>
    <t>103095</t>
  </si>
  <si>
    <t>ASSENTAMENTO DE TUBO DE FERRO FUNDIDO PARA REDE DE ÁGUA, DN 350 MM, JUNTA FLANGEADA (NÃO INCLUI O FORNECIMENTO). AF_09/2021</t>
  </si>
  <si>
    <t>43,41</t>
  </si>
  <si>
    <t>103096</t>
  </si>
  <si>
    <t>ASSENTAMENTO DE TUBO DE FERRO FUNDIDO PARA REDE DE ÁGUA, DN 400 MM, JUNTA FLANGEADA (NÃO INCLUI O FORNECIMENTO). AF_09/2021</t>
  </si>
  <si>
    <t>47,68</t>
  </si>
  <si>
    <t>103097</t>
  </si>
  <si>
    <t>ASSENTAMENTO DE TUBO DE FERRO FUNDIDO PARA REDE DE ÁGUA, DN 450 MM, JUNTA FLANGEADA (NÃO INCLUI O FORNECIMENTO). AF_09/2021</t>
  </si>
  <si>
    <t>57,73</t>
  </si>
  <si>
    <t>103098</t>
  </si>
  <si>
    <t>ASSENTAMENTO DE TUBO DE FERRO FUNDIDO PARA REDE DE ÁGUA, DN 500 MM, JUNTA FLANGEADA (NÃO INCLUI O FORNECIMENTO). AF_09/2021</t>
  </si>
  <si>
    <t>62,03</t>
  </si>
  <si>
    <t>103099</t>
  </si>
  <si>
    <t>ASSENTAMENTO DE TUBO DE FERRO FUNDIDO PARA REDE DE ÁGUA, DN 600 MM, JUNTA FLANGEADA (NÃO INCLUI O FORNECIMENTO). AF_09/2021</t>
  </si>
  <si>
    <t>70,57</t>
  </si>
  <si>
    <t>103100</t>
  </si>
  <si>
    <t>ASSENTAMENTO DE TUBO DE FERRO FUNDIDO PARA REDE DE ÁGUA, DN 700 MM, JUNTA FLANGEADA (NÃO INCLUI O FORNECIMENTO). AF_09/2021</t>
  </si>
  <si>
    <t>75,33</t>
  </si>
  <si>
    <t>103101</t>
  </si>
  <si>
    <t>ASSENTAMENTO DE TUBO DE FERRO FUNDIDO PARA REDE DE ÁGUA, DN 800 MM, JUNTA FLANGEADA (NÃO INCLUI O FORNECIMENTO). AF_09/2021</t>
  </si>
  <si>
    <t>82,99</t>
  </si>
  <si>
    <t>103102</t>
  </si>
  <si>
    <t>ASSENTAMENTO DE TUBO DE FERRO FUNDIDO PARA REDE DE ÁGUA, DN 900 MM, JUNTA FLANGEADA (NÃO INCLUI O FORNECIMENTO). AF_09/2021</t>
  </si>
  <si>
    <t>95,58</t>
  </si>
  <si>
    <t>103103</t>
  </si>
  <si>
    <t>ASSENTAMENTO DE TUBO DE FERRO FUNDIDO PARA REDE DE ÁGUA, DN 1000 MM, JUNTA FLANGEADA (NÃO INCLUI O FORNECIMENTO). AF_09/2021</t>
  </si>
  <si>
    <t>103,22</t>
  </si>
  <si>
    <t>103104</t>
  </si>
  <si>
    <t>ASSENTAMENTO DE TUBO DE FERRO FUNDIDO PARA REDE DE ÁGUA, DN 1200 MM, JUNTA FLANGEADA (NÃO INCLUI O FORNECIMENTO). AF_09/2021</t>
  </si>
  <si>
    <t>123,47</t>
  </si>
  <si>
    <t>103105</t>
  </si>
  <si>
    <t>ASSENTAMENTO DE CONEXÃO COM 2 ACESSOS, FERRO FUNDIDO PARA REDE DE ÁGUA, DN  80 MM, JUNTA FLANGEADA (NÃO INCLUI O FORNECIMENTO). AF_09/2021</t>
  </si>
  <si>
    <t>36,36</t>
  </si>
  <si>
    <t>103106</t>
  </si>
  <si>
    <t>ASSENTAMENTO DE CONEXÃO COM 2 ACESSOS, FERRO FUNDIDO PARA REDE DE ÁGUA, DN  100 MM, JUNTA FLANGEADA (NÃO INCLUI O FORNECIMENTO). AF_09/2021</t>
  </si>
  <si>
    <t>43,50</t>
  </si>
  <si>
    <t>103107</t>
  </si>
  <si>
    <t>ASSENTAMENTO DE CONEXÃO COM 2 ACESSOS, FERRO FUNDIDO PARA REDE DE ÁGUA, DN  150 MM, JUNTA FLANGEADA (NÃO INCLUI O FORNECIMENTO). AF_09/2021</t>
  </si>
  <si>
    <t>61,32</t>
  </si>
  <si>
    <t>103108</t>
  </si>
  <si>
    <t>ASSENTAMENTO DE CONEXÃO COM 2 ACESSOS, FERRO FUNDIDO PARA REDE DE ÁGUA, DN  200 MM, JUNTA FLANGEADA (NÃO INCLUI O FORNECIMENTO). AF_09/2021</t>
  </si>
  <si>
    <t>79,15</t>
  </si>
  <si>
    <t>103109</t>
  </si>
  <si>
    <t>ASSENTAMENTO DE CONEXÃO COM 2 ACESSOS, FERRO FUNDIDO PARA REDE DE ÁGUA, DN  250 MM, JUNTA FLANGEADA (NÃO INCLUI O FORNECIMENTO). AF_09/2021</t>
  </si>
  <si>
    <t>130,50</t>
  </si>
  <si>
    <t>103110</t>
  </si>
  <si>
    <t>ASSENTAMENTO DE CONEXÃO COM 2 ACESSOS, FERRO FUNDIDO PARA REDE DE ÁGUA, DN  300 MM, JUNTA FLANGEADA (NÃO INCLUI O FORNECIMENTO). AF_09/2021</t>
  </si>
  <si>
    <t>148,33</t>
  </si>
  <si>
    <t>103111</t>
  </si>
  <si>
    <t>ASSENTAMENTO DE CONEXÃO COM 2 ACESSOS, FERRO FUNDIDO PARA REDE DE ÁGUA, DN  350 MM, JUNTA FLANGEADA (NÃO INCLUI O FORNECIMENTO). AF_09/2021</t>
  </si>
  <si>
    <t>199,67</t>
  </si>
  <si>
    <t>103112</t>
  </si>
  <si>
    <t>ASSENTAMENTO DE CONEXÃO COM 2 ACESSOS, FERRO FUNDIDO PARA REDE DE ÁGUA, DN  400 MM, JUNTA FLANGEADA (NÃO INCLUI O FORNECIMENTO). AF_09/2021</t>
  </si>
  <si>
    <t>217,50</t>
  </si>
  <si>
    <t>103113</t>
  </si>
  <si>
    <t>ASSENTAMENTO DE CONEXÃO COM 2 ACESSOS, FERRO FUNDIDO PARA REDE DE ÁGUA, DN  450 MM, JUNTA FLANGEADA (NÃO INCLUI O FORNECIMENTO). AF_09/2021</t>
  </si>
  <si>
    <t>268,84</t>
  </si>
  <si>
    <t>103114</t>
  </si>
  <si>
    <t>ASSENTAMENTO DE CONEXÃO COM 2 ACESSOS, FERRO FUNDIDO PARA REDE DE ÁGUA, DN  500 MM, JUNTA FLANGEADA (NÃO INCLUI O FORNECIMENTO). AF_09/2021</t>
  </si>
  <si>
    <t>286,67</t>
  </si>
  <si>
    <t>103115</t>
  </si>
  <si>
    <t>ASSENTAMENTO DE CONEXÃO COM 2 ACESSOS, FERRO FUNDIDO PARA REDE DE ÁGUA, DN  600 MM, JUNTA FLANGEADA (NÃO INCLUI O FORNECIMENTO). AF_09/2021</t>
  </si>
  <si>
    <t>322,33</t>
  </si>
  <si>
    <t>103116</t>
  </si>
  <si>
    <t>ASSENTAMENTO DE CONEXÃO COM 2 ACESSOS, FERRO FUNDIDO PARA REDE DE ÁGUA, DN  700 MM, JUNTA FLANGEADA (NÃO INCLUI O FORNECIMENTO). AF_09/2021</t>
  </si>
  <si>
    <t>391,50</t>
  </si>
  <si>
    <t>103117</t>
  </si>
  <si>
    <t>ASSENTAMENTO DE CONEXÃO COM 2 ACESSOS, FERRO FUNDIDO PARA REDE DE ÁGUA, DN  800 MM, JUNTA FLANGEADA (NÃO INCLUI O FORNECIMENTO). AF_09/2021</t>
  </si>
  <si>
    <t>427,17</t>
  </si>
  <si>
    <t>103118</t>
  </si>
  <si>
    <t>ASSENTAMENTO DE CONEXÃO COM 2 ACESSOS, FERRO FUNDIDO PARA REDE DE ÁGUA, DN  900 MM, JUNTA FLANGEADA (NÃO INCLUI O FORNECIMENTO). AF_09/2021</t>
  </si>
  <si>
    <t>496,33</t>
  </si>
  <si>
    <t>103119</t>
  </si>
  <si>
    <t>ASSENTAMENTO DE CONEXÃO COM 2 ACESSOS, FERRO FUNDIDO PARA REDE DE ÁGUA, DN  1000 MM, JUNTA FLANGEADA (NÃO INCLUI O FORNECIMENTO). AF_09/2021</t>
  </si>
  <si>
    <t>531,99</t>
  </si>
  <si>
    <t>103120</t>
  </si>
  <si>
    <t>ASSENTAMENTO DE CONEXÃO COM 2 ACESSOS, FERRO FUNDIDO PARA REDE DE ÁGUA, DN  1200 MM, JUNTA FLANGEADA (NÃO INCLUI O FORNECIMENTO). AF_09/2021</t>
  </si>
  <si>
    <t>636,82</t>
  </si>
  <si>
    <t>103121</t>
  </si>
  <si>
    <t>ASSENTAMENTO DE CONEXÃO COM 3 ACESSOS, FERRO FUNDIDO PARA REDE DE ÁGUA, DN  80 MM, JUNTA FLANGEADA (NÃO INCLUI O FORNECIMENTO). AF_09/2021</t>
  </si>
  <si>
    <t>47,91</t>
  </si>
  <si>
    <t>103122</t>
  </si>
  <si>
    <t>ASSENTAMENTO DE CONEXÃO COM 3 ACESSOS, FERRO FUNDIDO PARA REDE DE ÁGUA, DN  100 MM, JUNTA FLANGEADA (NÃO INCLUI O FORNECIMENTO). AF_09/2021</t>
  </si>
  <si>
    <t>58,61</t>
  </si>
  <si>
    <t>103123</t>
  </si>
  <si>
    <t>ASSENTAMENTO DE CONEXÃO COM 3 ACESSOS, FERRO FUNDIDO PARA REDE DE ÁGUA, DN  150 MM, JUNTA FLANGEADA (NÃO INCLUI O FORNECIMENTO). AF_09/2021</t>
  </si>
  <si>
    <t>85,36</t>
  </si>
  <si>
    <t>103124</t>
  </si>
  <si>
    <t>ASSENTAMENTO DE CONEXÃO COM 3 ACESSOS, FERRO FUNDIDO PARA REDE DE ÁGUA, DN  200 MM, JUNTA FLANGEADA (NÃO INCLUI O FORNECIMENTO). AF_09/2021</t>
  </si>
  <si>
    <t>112,10</t>
  </si>
  <si>
    <t>103125</t>
  </si>
  <si>
    <t>ASSENTAMENTO DE CONEXÃO COM 3 ACESSOS, FERRO FUNDIDO PARA REDE DE ÁGUA, DN  250 MM, JUNTA FLANGEADA (NÃO INCLUI O FORNECIMENTO). AF_09/2021</t>
  </si>
  <si>
    <t>189,12</t>
  </si>
  <si>
    <t>103126</t>
  </si>
  <si>
    <t>ASSENTAMENTO DE CONEXÃO COM 3 ACESSOS, FERRO FUNDIDO PARA REDE DE ÁGUA, DN  300 MM, JUNTA FLANGEADA (NÃO INCLUI O FORNECIMENTO). AF_09/2021</t>
  </si>
  <si>
    <t>215,86</t>
  </si>
  <si>
    <t>103127</t>
  </si>
  <si>
    <t>ASSENTAMENTO DE CONEXÃO COM 3 ACESSOS, FERRO FUNDIDO PARA REDE DE ÁGUA, DN  350 MM, JUNTA FLANGEADA (NÃO INCLUI O FORNECIMENTO). AF_09/2021</t>
  </si>
  <si>
    <t>292,87</t>
  </si>
  <si>
    <t>103128</t>
  </si>
  <si>
    <t>ASSENTAMENTO DE CONEXÃO COM 3 ACESSOS, FERRO FUNDIDO PARA REDE DE ÁGUA, DN  400 MM, JUNTA FLANGEADA (NÃO INCLUI O FORNECIMENTO). AF_09/2021</t>
  </si>
  <si>
    <t>319,61</t>
  </si>
  <si>
    <t>103129</t>
  </si>
  <si>
    <t>ASSENTAMENTO DE CONEXÃO COM 3 ACESSOS, FERRO FUNDIDO PARA REDE DE ÁGUA, DN  450 MM, JUNTA FLANGEADA (NÃO INCLUI O FORNECIMENTO). AF_09/2021</t>
  </si>
  <si>
    <t>396,62</t>
  </si>
  <si>
    <t>103130</t>
  </si>
  <si>
    <t>ASSENTAMENTO DE CONEXÃO COM 3 ACESSOS, FERRO FUNDIDO PARA REDE DE ÁGUA, DN  500 MM, JUNTA FLANGEADA (NÃO INCLUI O FORNECIMENTO). AF_09/2021</t>
  </si>
  <si>
    <t>423,36</t>
  </si>
  <si>
    <t>103131</t>
  </si>
  <si>
    <t>ASSENTAMENTO DE CONEXÃO COM 3 ACESSOS, FERRO FUNDIDO PARA REDE DE ÁGUA, DN  600 MM, JUNTA FLANGEADA (NÃO INCLUI O FORNECIMENTO). AF_09/2021</t>
  </si>
  <si>
    <t>476,85</t>
  </si>
  <si>
    <t>103132</t>
  </si>
  <si>
    <t>ASSENTAMENTO DE CONEXÃO COM 3 ACESSOS, FERRO FUNDIDO PARA REDE DE ÁGUA, DN  700 MM, JUNTA FLANGEADA (NÃO INCLUI O FORNECIMENTO). AF_09/2021</t>
  </si>
  <si>
    <t>580,60</t>
  </si>
  <si>
    <t>103133</t>
  </si>
  <si>
    <t>ASSENTAMENTO DE CONEXÃO COM 3 ACESSOS, FERRO FUNDIDO PARA REDE DE ÁGUA, DN  800 MM, JUNTA FLANGEADA (NÃO INCLUI O FORNECIMENTO). AF_09/2021</t>
  </si>
  <si>
    <t>634,10</t>
  </si>
  <si>
    <t>103134</t>
  </si>
  <si>
    <t>ASSENTAMENTO DE CONEXÃO COM 3 ACESSOS, FERRO FUNDIDO PARA REDE DE ÁGUA, DN  900 MM, JUNTA FLANGEADA (NÃO INCLUI O FORNECIMENTO). AF_09/2021</t>
  </si>
  <si>
    <t>737,85</t>
  </si>
  <si>
    <t>103135</t>
  </si>
  <si>
    <t>ASSENTAMENTO DE CONEXÃO COM 3 ACESSOS, FERRO FUNDIDO PARA REDE DE ÁGUA, DN  1000 MM, JUNTA FLANGEADA (NÃO INCLUI O FORNECIMENTO). AF_09/2021</t>
  </si>
  <si>
    <t>791,35</t>
  </si>
  <si>
    <t>103136</t>
  </si>
  <si>
    <t>ASSENTAMENTO DE CONEXÃO COM 3 ACESSOS, FERRO FUNDIDO PARA REDE DE ÁGUA, DN  1200 MM, JUNTA FLANGEADA (NÃO INCLUI O FORNECIMENTO). AF_09/2021</t>
  </si>
  <si>
    <t>948,59</t>
  </si>
  <si>
    <t>103137</t>
  </si>
  <si>
    <t>ASSENTAMENTO DE CONEXÃO COM 1 ACESSO, FERRO FUNDIDO PARA REDE DE ÁGUA, DN  80 MM, JUNTA FLANGEADA (NÃO INCLUI O FORNECIMENTO). AF_09/2021</t>
  </si>
  <si>
    <t>24,83</t>
  </si>
  <si>
    <t>103138</t>
  </si>
  <si>
    <t>ASSENTAMENTO DE CONEXÃO COM 1 ACESSO, FERRO FUNDIDO PARA REDE DE ÁGUA, DN  100 MM, JUNTA FLANGEADA (NÃO INCLUI O FORNECIMENTO). AF_09/2021</t>
  </si>
  <si>
    <t>28,40</t>
  </si>
  <si>
    <t>103139</t>
  </si>
  <si>
    <t>ASSENTAMENTO DE CONEXÃO COM 1 ACESSO, FERRO FUNDIDO PARA REDE DE ÁGUA, DN  150 MM, JUNTA FLANGEADA (NÃO INCLUI O FORNECIMENTO). AF_09/2021</t>
  </si>
  <si>
    <t>37,32</t>
  </si>
  <si>
    <t>103140</t>
  </si>
  <si>
    <t>ASSENTAMENTO DE CONEXÃO COM 1 ACESSO, FERRO FUNDIDO PARA REDE DE ÁGUA, DN  200 MM, JUNTA FLANGEADA (NÃO INCLUI O FORNECIMENTO). AF_09/2021</t>
  </si>
  <si>
    <t>46,22</t>
  </si>
  <si>
    <t>103141</t>
  </si>
  <si>
    <t>ASSENTAMENTO DE CONEXÃO COM 1 ACESSO, FERRO FUNDIDO PARA REDE DE ÁGUA, DN  250 MM, JUNTA FLANGEADA (NÃO INCLUI O FORNECIMENTO). AF_09/2021</t>
  </si>
  <si>
    <t>71,90</t>
  </si>
  <si>
    <t>103142</t>
  </si>
  <si>
    <t>ASSENTAMENTO DE CONEXÃO COM 1 ACESSO, FERRO FUNDIDO PARA REDE DE ÁGUA, DN  300 MM, JUNTA FLANGEADA (NÃO INCLUI O FORNECIMENTO). AF_09/2021</t>
  </si>
  <si>
    <t>80,81</t>
  </si>
  <si>
    <t>103143</t>
  </si>
  <si>
    <t>ASSENTAMENTO DE CONEXÃO COM 1 ACESSO, FERRO FUNDIDO PARA REDE DE ÁGUA, DN  350 MM, JUNTA FLANGEADA (NÃO INCLUI O FORNECIMENTO). AF_09/2021</t>
  </si>
  <si>
    <t>106,49</t>
  </si>
  <si>
    <t>103144</t>
  </si>
  <si>
    <t>ASSENTAMENTO DE CONEXÃO COM 1 ACESSO, FERRO FUNDIDO PARA REDE DE ÁGUA, DN  400 MM, JUNTA FLANGEADA (NÃO INCLUI O FORNECIMENTO). AF_09/2021</t>
  </si>
  <si>
    <t>115,38</t>
  </si>
  <si>
    <t>103145</t>
  </si>
  <si>
    <t>ASSENTAMENTO DE CONEXÃO COM 1 ACESSO, FERRO FUNDIDO PARA REDE DE ÁGUA, DN  450 MM, JUNTA FLANGEADA (NÃO INCLUI O FORNECIMENTO). AF_09/2021</t>
  </si>
  <si>
    <t>141,07</t>
  </si>
  <si>
    <t>103146</t>
  </si>
  <si>
    <t>ASSENTAMENTO DE CONEXÃO COM 1 ACESSO, FERRO FUNDIDO PARA REDE DE ÁGUA, DN  500 MM, JUNTA FLANGEADA (NÃO INCLUI O FORNECIMENTO). AF_09/2021</t>
  </si>
  <si>
    <t>149,98</t>
  </si>
  <si>
    <t>103147</t>
  </si>
  <si>
    <t>ASSENTAMENTO DE CONEXÃO COM 1 ACESSO, FERRO FUNDIDO PARA REDE DE ÁGUA, DN  600 MM, JUNTA FLANGEADA (NÃO INCLUI O FORNECIMENTO). AF_09/2021</t>
  </si>
  <si>
    <t>167,80</t>
  </si>
  <si>
    <t>103148</t>
  </si>
  <si>
    <t>ASSENTAMENTO DE CONEXÃO COM 1 ACESSO, FERRO FUNDIDO PARA REDE DE ÁGUA, DN  700 MM, JUNTA FLANGEADA (NÃO INCLUI O FORNECIMENTO). AF_09/2021</t>
  </si>
  <si>
    <t>202,39</t>
  </si>
  <si>
    <t>103149</t>
  </si>
  <si>
    <t>ASSENTAMENTO DE CONEXÃO COM 1 ACESSO, FERRO FUNDIDO PARA REDE DE ÁGUA, DN  800 MM, JUNTA FLANGEADA (NÃO INCLUI O FORNECIMENTO). AF_09/2021</t>
  </si>
  <si>
    <t>220,22</t>
  </si>
  <si>
    <t>103150</t>
  </si>
  <si>
    <t>ASSENTAMENTO DE CONEXÃO COM 1 ACESSO, FERRO FUNDIDO PARA REDE DE ÁGUA, DN  900 MM, JUNTA FLANGEADA (NÃO INCLUI O FORNECIMENTO). AF_09/2021</t>
  </si>
  <si>
    <t>254,77</t>
  </si>
  <si>
    <t>103151</t>
  </si>
  <si>
    <t>ASSENTAMENTO DE CONEXÃO COM 1 ACESSO, FERRO FUNDIDO PARA REDE DE ÁGUA, DN  1000 MM, JUNTA FLANGEADA (NÃO INCLUI O FORNECIMENTO). AF_09/2021</t>
  </si>
  <si>
    <t>272,64</t>
  </si>
  <si>
    <t>103152</t>
  </si>
  <si>
    <t>ASSENTAMENTO DE CONEXÃO COM 1 ACESSO, FERRO FUNDIDO PARA REDE DE ÁGUA, DN  1200 MM, JUNTA FLANGEADA (NÃO INCLUI O FORNECIMENTO). AF_09/2021</t>
  </si>
  <si>
    <t>325,05</t>
  </si>
  <si>
    <t>93206</t>
  </si>
  <si>
    <t>EXECUÇÃO DE ESCRITÓRIO EM CANTEIRO DE OBRA EM ALVENARIA, NÃO INCLUSO MOBILIÁRIO E EQUIPAMENTOS. AF_02/2016</t>
  </si>
  <si>
    <t>1.062,60</t>
  </si>
  <si>
    <t>93207</t>
  </si>
  <si>
    <t>EXECUÇÃO DE ESCRITÓRIO EM CANTEIRO DE OBRA EM CHAPA DE MADEIRA COMPENSADA, NÃO INCLUSO MOBILIÁRIO E EQUIPAMENTOS. AF_02/2016</t>
  </si>
  <si>
    <t>1.104,60</t>
  </si>
  <si>
    <t>93208</t>
  </si>
  <si>
    <t>EXECUÇÃO DE ALMOXARIFADO EM CANTEIRO DE OBRA EM CHAPA DE MADEIRA COMPENSADA, INCLUSO PRATELEIRAS. AF_02/2016</t>
  </si>
  <si>
    <t>916,32</t>
  </si>
  <si>
    <t>93209</t>
  </si>
  <si>
    <t>EXECUÇÃO DE ALMOXARIFADO EM CANTEIRO DE OBRA EM ALVENARIA, INCLUSO PRATELEIRAS. AF_02/2016</t>
  </si>
  <si>
    <t>899,96</t>
  </si>
  <si>
    <t>93210</t>
  </si>
  <si>
    <t>EXECUÇÃO DE REFEITÓRIO EM CANTEIRO DE OBRA EM CHAPA DE MADEIRA COMPENSADA, NÃO INCLUSO MOBILIÁRIO E EQUIPAMENTOS. AF_02/2016</t>
  </si>
  <si>
    <t>575,89</t>
  </si>
  <si>
    <t>93211</t>
  </si>
  <si>
    <t>EXECUÇÃO DE REFEITÓRIO EM CANTEIRO DE OBRA EM ALVENARIA, NÃO INCLUSO MOBILIÁRIO E EQUIPAMENTOS. AF_02/2016</t>
  </si>
  <si>
    <t>553,23</t>
  </si>
  <si>
    <t>93212</t>
  </si>
  <si>
    <t>EXECUÇÃO DE SANITÁRIO E VESTIÁRIO EM CANTEIRO DE OBRA EM CHAPA DE MADEIRA COMPENSADA, NÃO INCLUSO MOBILIÁRIO. AF_02/2016</t>
  </si>
  <si>
    <t>968,24</t>
  </si>
  <si>
    <t>93213</t>
  </si>
  <si>
    <t>EXECUÇÃO DE SANITÁRIO E VESTIÁRIO EM CANTEIRO DE OBRA EM ALVENARIA, NÃO INCLUSO MOBILIÁRIO. AF_02/2016</t>
  </si>
  <si>
    <t>943,19</t>
  </si>
  <si>
    <t>93214</t>
  </si>
  <si>
    <t>EXECUÇÃO DE RESERVATÓRIO ELEVADO DE ÁGUA (1000 LITROS) EM CANTEIRO DE OBRA, APOIADO EM ESTRUTURA DE MADEIRA. AF_02/2016</t>
  </si>
  <si>
    <t>6.024,36</t>
  </si>
  <si>
    <t>93243</t>
  </si>
  <si>
    <t>EXECUÇÃO DE RESERVATÓRIO ELEVADO DE ÁGUA (2000 LITROS) EM CANTEIRO DE OBRA, APOIADO EM ESTRUTURA DE MADEIRA. AF_02/2016</t>
  </si>
  <si>
    <t>9.341,46</t>
  </si>
  <si>
    <t>93582</t>
  </si>
  <si>
    <t>EXECUÇÃO DE CENTRAL DE ARMADURA EM CANTEIRO DE OBRA, NÃO INCLUSO MOBILIÁRIO E EQUIPAMENTOS. AF_04/2016</t>
  </si>
  <si>
    <t>277,28</t>
  </si>
  <si>
    <t>93583</t>
  </si>
  <si>
    <t>EXECUÇÃO DE CENTRAL DE FÔRMAS, PRODUÇÃO DE ARGAMASSA OU CONCRETO EM CANTEIRO DE OBRA, NÃO INCLUSO MOBILIÁRIO E EQUIPAMENTOS. AF_04/2016</t>
  </si>
  <si>
    <t>443,70</t>
  </si>
  <si>
    <t>93584</t>
  </si>
  <si>
    <t>EXECUÇÃO DE DEPÓSITO EM CANTEIRO DE OBRA EM CHAPA DE MADEIRA COMPENSADA, NÃO INCLUSO MOBILIÁRIO. AF_04/2016</t>
  </si>
  <si>
    <t>929,57</t>
  </si>
  <si>
    <t>93585</t>
  </si>
  <si>
    <t>EXECUÇÃO DE GUARITA EM CANTEIRO DE OBRA EM CHAPA DE MADEIRA COMPENSADA, NÃO INCLUSO MOBILIÁRIO. AF_04/2016</t>
  </si>
  <si>
    <t>1.181,38</t>
  </si>
  <si>
    <t>98441</t>
  </si>
  <si>
    <t>PAREDE DE MADEIRA COMPENSADA PARA CONSTRUÇÃO TEMPORÁRIA EM CHAPA SIMPLES, EXTERNA, COM ÁREA LÍQUIDA MAIOR OU IGUAL A 6 M², SEM VÃO. AF_05/2018</t>
  </si>
  <si>
    <t>151,19</t>
  </si>
  <si>
    <t>98442</t>
  </si>
  <si>
    <t>PAREDE DE MADEIRA COMPENSADA PARA CONSTRUÇÃO TEMPORÁRIA EM CHAPA SIMPLES, EXTERNA, COM ÁREA LÍQUIDA MENOR QUE 6 M², SEM VÃO. AF_05/2018</t>
  </si>
  <si>
    <t>154,30</t>
  </si>
  <si>
    <t>98443</t>
  </si>
  <si>
    <t>PAREDE DE MADEIRA COMPENSADA PARA CONSTRUÇÃO TEMPORÁRIA EM CHAPA SIMPLES, INTERNA, COM ÁREA LÍQUIDA MAIOR OU IGUAL A 6 M², SEM VÃO. AF_05/2018</t>
  </si>
  <si>
    <t>132,94</t>
  </si>
  <si>
    <t>98444</t>
  </si>
  <si>
    <t>PAREDE DE MADEIRA COMPENSADA PARA CONSTRUÇÃO TEMPORÁRIA EM CHAPA SIMPLES, INTERNA, COM ÁREA LÍQUIDA MENOR QUE 6 M², SEM VÃO. AF_05/2018</t>
  </si>
  <si>
    <t>135,16</t>
  </si>
  <si>
    <t>98445</t>
  </si>
  <si>
    <t>PAREDE DE MADEIRA COMPENSADA PARA CONSTRUÇÃO TEMPORÁRIA EM CHAPA SIMPLES, EXTERNA, COM ÁREA LÍQUIDA MAIOR OU IGUAL A 6 M², COM VÃO. AF_05/2018</t>
  </si>
  <si>
    <t>181,95</t>
  </si>
  <si>
    <t>98446</t>
  </si>
  <si>
    <t>PAREDE DE MADEIRA COMPENSADA PARA CONSTRUÇÃO TEMPORÁRIA EM CHAPA SIMPLES, EXTERNA, COM ÁREA LÍQUIDA MENOR QUE 6 M², COM VÃO. AF_05/2018</t>
  </si>
  <si>
    <t>232,94</t>
  </si>
  <si>
    <t>98447</t>
  </si>
  <si>
    <t>PAREDE DE MADEIRA COMPENSADA PARA CONSTRUÇÃO TEMPORÁRIA EM CHAPA SIMPLES, INTERNA, COM ÁREA LÍQUIDA MAIOR OU IGUAL A 6 M², COM VÃO. AF_05/2018</t>
  </si>
  <si>
    <t>156,50</t>
  </si>
  <si>
    <t>98448</t>
  </si>
  <si>
    <t>PAREDE DE MADEIRA COMPENSADA PARA CONSTRUÇÃO TEMPORÁRIA EM CHAPA SIMPLES, INTERNA, COM ÁREA LÍQUIDA MENOR QUE 6 M², COM VÃO. AF_05/2018</t>
  </si>
  <si>
    <t>196,34</t>
  </si>
  <si>
    <t>98449</t>
  </si>
  <si>
    <t>PAREDE DE MADEIRA COMPENSADA PARA CONSTRUÇÃO TEMPORÁRIA EM CHAPA DUPLA, EXTERNA, COM ÁREA LÍQUIDA MAIOR OU IGUAL A 6 M², SEM VÃO. AF_05/2018</t>
  </si>
  <si>
    <t>194,88</t>
  </si>
  <si>
    <t>98450</t>
  </si>
  <si>
    <t>PAREDE DE MADEIRA COMPENSADA PARA CONSTRUÇÃO TEMPORÁRIA EM CHAPA DUPLA, EXTERNA, COM ÁREA LÍQUIDA MENOR QUE 6 M², SEM VÃO. AF_05/2018</t>
  </si>
  <si>
    <t>199,43</t>
  </si>
  <si>
    <t>98451</t>
  </si>
  <si>
    <t>PAREDE DE MADEIRA COMPENSADA PARA CONSTRUÇÃO TEMPORÁRIA EM CHAPA DUPLA, INTERNA, COM ÁREA LÍQUIDA MAIOR OU IGUAL A 6 M², SEM VÃO. AF_05/2018</t>
  </si>
  <si>
    <t>173,94</t>
  </si>
  <si>
    <t>98452</t>
  </si>
  <si>
    <t>PAREDE DE MADEIRA COMPENSADA PARA CONSTRUÇÃO TEMPORÁRIA EM CHAPA DUPLA, INTERNA, COM ÁREA LÍQUIDA MENOR QUE 6 M², SEM VÃO. AF_05/2018</t>
  </si>
  <si>
    <t>176,69</t>
  </si>
  <si>
    <t>98453</t>
  </si>
  <si>
    <t>PAREDE DE MADEIRA COMPENSADA PARA CONSTRUÇÃO TEMPORÁRIA EM CHAPA DUPLA, EXTERNA, COM ÁREA LÍQUIDA MAIOR OU IGUAL A QUE 6 M², COM VÃO. AF_05/2018</t>
  </si>
  <si>
    <t>231,15</t>
  </si>
  <si>
    <t>98454</t>
  </si>
  <si>
    <t>PAREDE DE MADEIRA COMPENSADA PARA CONSTRUÇÃO TEMPORÁRIA EM CHAPA DUPLA, EXTERNA, COM ÁREA LÍQUIDA MENOR QUE 6 M², COM VÃO. AF_05/2018</t>
  </si>
  <si>
    <t>295,39</t>
  </si>
  <si>
    <t>98455</t>
  </si>
  <si>
    <t>PAREDE DE MADEIRA COMPENSADA PARA CONSTRUÇÃO TEMPORÁRIA EM CHAPA DUPLA, INTERNA, COM ÁREA LÍQUIDA MAIOR OU IGUAL A 6 M², COM VÃO. AF_05/2018</t>
  </si>
  <si>
    <t>203,00</t>
  </si>
  <si>
    <t>98456</t>
  </si>
  <si>
    <t>PAREDE DE MADEIRA COMPENSADA PARA CONSTRUÇÃO TEMPORÁRIA EM CHAPA DUPLA, INTERNA, COM ÁREA LÍQUIDA MENOR QUE 6 M², COM VÃO. AF_05/2018</t>
  </si>
  <si>
    <t>255,20</t>
  </si>
  <si>
    <t>98458</t>
  </si>
  <si>
    <t>TAPUME COM COMPENSADO DE MADEIRA. AF_05/2018</t>
  </si>
  <si>
    <t>145,73</t>
  </si>
  <si>
    <t>98459</t>
  </si>
  <si>
    <t>TAPUME COM TELHA METÁLICA. AF_05/2018</t>
  </si>
  <si>
    <t>126,93</t>
  </si>
  <si>
    <t>98460</t>
  </si>
  <si>
    <t>PISO PARA CONSTRUÇÃO TEMPORÁRIA EM MADEIRA, SEM REAPROVEITAMENTO. AF_05/2018</t>
  </si>
  <si>
    <t>181,37</t>
  </si>
  <si>
    <t>98461</t>
  </si>
  <si>
    <t>ESTRUTURA DE MADEIRA PROVISÓRIA PARA SUPORTE DE CAIXA D ÁGUA ELEVADA DE 1000 LITROS. AF_05/2018_P</t>
  </si>
  <si>
    <t>5.185,77</t>
  </si>
  <si>
    <t>98462</t>
  </si>
  <si>
    <t>ESTRUTURA DE MADEIRA PROVISÓRIA PARA SUPORTE DE CAIXA D ÁGUA ELEVADA DE 3000 LITROS. AF_05/2018_P</t>
  </si>
  <si>
    <t>7.885,54</t>
  </si>
  <si>
    <t>5631</t>
  </si>
  <si>
    <t>ESCAVADEIRA HIDRÁULICA SOBRE ESTEIRAS, CAÇAMBA 0,80 M3, PESO OPERACIONAL 17 T, POTENCIA BRUTA 111 HP - CHP DIURNO. AF_06/2014</t>
  </si>
  <si>
    <t>198,05</t>
  </si>
  <si>
    <t>5678</t>
  </si>
  <si>
    <t>RETROESCAVADEIRA SOBRE RODAS COM CARREGADEIRA, TRAÇÃO 4X4, POTÊNCIA LÍQ. 88 HP, CAÇAMBA CARREG. CAP. MÍN. 1 M3, CAÇAMBA RETRO CAP. 0,26 M3, PESO OPERACIONAL MÍN. 6.674 KG, PROFUNDIDADE ESCAVAÇÃO MÁX. 4,37 M - CHP DIURNO. AF_06/2014</t>
  </si>
  <si>
    <t>134,58</t>
  </si>
  <si>
    <t>5680</t>
  </si>
  <si>
    <t>RETROESCAVADEIRA SOBRE RODAS COM CARREGADEIRA, TRAÇÃO 4X2, POTÊNCIA LÍQ. 79 HP, CAÇAMBA CARREG. CAP. MÍN. 1 M3, CAÇAMBA RETRO CAP. 0,20 M3, PESO OPERACIONAL MÍN. 6.570 KG, PROFUNDIDADE ESCAVAÇÃO MÁX. 4,37 M - CHP DIURNO. AF_06/2014</t>
  </si>
  <si>
    <t>124,52</t>
  </si>
  <si>
    <t>5684</t>
  </si>
  <si>
    <t>ROLO COMPACTADOR VIBRATÓRIO DE UM CILINDRO AÇO LISO, POTÊNCIA 80 HP, PESO OPERACIONAL MÁXIMO 8,1 T, IMPACTO DINÂMICO 16,15 / 9,5 T, LARGURA DE TRABALHO 1,68 M - CHP DIURNO. AF_06/2014</t>
  </si>
  <si>
    <t>138,29</t>
  </si>
  <si>
    <t>5689</t>
  </si>
  <si>
    <t>GRADE DE DISCO CONTROLE REMOTO REBOCÁVEL, COM 24 DISCOS 24 X 6 MM COM PNEUS PARA TRANSPORTE - CHP DIURNO. AF_06/2014</t>
  </si>
  <si>
    <t>7,55</t>
  </si>
  <si>
    <t>5795</t>
  </si>
  <si>
    <t>MARTELETE OU ROMPEDOR PNEUMÁTICO MANUAL, 28 KG, COM SILENCIADOR - CHP DIURNO. AF_07/2016</t>
  </si>
  <si>
    <t>19,16</t>
  </si>
  <si>
    <t>5811</t>
  </si>
  <si>
    <t>CAMINHÃO BASCULANTE 6 M3, PESO BRUTO TOTAL 16.000 KG, CARGA ÚTIL MÁXIMA 13.071 KG, DISTÂNCIA ENTRE EIXOS 4,80 M, POTÊNCIA 230 CV INCLUSIVE CAÇAMBA METÁLICA - CHP DIURNO. AF_06/2014</t>
  </si>
  <si>
    <t>170,93</t>
  </si>
  <si>
    <t>5823</t>
  </si>
  <si>
    <t>USINA DE CONCRETO FIXA, CAPACIDADE NOMINAL DE 90 A 120 M3/H, SEM SILO - CHP DIURNO. AF_07/2016</t>
  </si>
  <si>
    <t>191,94</t>
  </si>
  <si>
    <t>5824</t>
  </si>
  <si>
    <t>CAMINHÃO TOCO, PBT 16.000 KG, CARGA ÚTIL MÁX. 10.685 KG, DIST. ENTRE EIXOS 4,8 M, POTÊNCIA 189 CV, INCLUSIVE CARROCERIA FIXA ABERTA DE MADEIRA P/ TRANSPORTE GERAL DE CARGA SECA, DIMEN. APROX. 2,5 X 7,00 X 0,50 M - CHP DIURNO. AF_06/2014</t>
  </si>
  <si>
    <t>162,56</t>
  </si>
  <si>
    <t>5835</t>
  </si>
  <si>
    <t>VIBROACABADORA DE ASFALTO SOBRE ESTEIRAS, LARGURA DE PAVIMENTAÇÃO 1,90 M A 5,30 M, POTÊNCIA 105 HP CAPACIDADE 450 T/H - CHP DIURNO. AF_11/2014</t>
  </si>
  <si>
    <t>412,14</t>
  </si>
  <si>
    <t>5839</t>
  </si>
  <si>
    <t>VASSOURA MECÂNICA REBOCÁVEL COM ESCOVA CILÍNDRICA, LARGURA ÚTIL DE VARRIMENTO DE 2,44 M - CHP DIURNO. AF_06/2014</t>
  </si>
  <si>
    <t>11,36</t>
  </si>
  <si>
    <t>5843</t>
  </si>
  <si>
    <t>TRATOR DE PNEUS, POTÊNCIA 122 CV, TRAÇÃO 4X4, PESO COM LASTRO DE 4.510 KG - CHP DIURNO. AF_06/2014</t>
  </si>
  <si>
    <t>213,05</t>
  </si>
  <si>
    <t>5847</t>
  </si>
  <si>
    <t>TRATOR DE ESTEIRAS, POTÊNCIA 170 HP, PESO OPERACIONAL 19 T, CAÇAMBA 5,2 M3 - CHP DIURNO. AF_06/2014</t>
  </si>
  <si>
    <t>224,27</t>
  </si>
  <si>
    <t>5851</t>
  </si>
  <si>
    <t>TRATOR DE ESTEIRAS, POTÊNCIA 150 HP, PESO OPERACIONAL 16,7 T, COM RODA MOTRIZ ELEVADA E LÂMINA 3,18 M3 - CHP DIURNO. AF_06/2014</t>
  </si>
  <si>
    <t>214,22</t>
  </si>
  <si>
    <t>5855</t>
  </si>
  <si>
    <t>TRATOR DE ESTEIRAS, POTÊNCIA 347 HP, PESO OPERACIONAL 38,5 T, COM LÂMINA 8,70 M3 - CHP DIURNO. AF_06/2014</t>
  </si>
  <si>
    <t>555,17</t>
  </si>
  <si>
    <t>5863</t>
  </si>
  <si>
    <t>ROLO COMPACTADOR VIBRATÓRIO REBOCÁVEL, CILINDRO DE AÇO LISO, POTÊNCIA DE TRAÇÃO DE 65 CV, PESO 4,7 T, IMPACTO DINÂMICO 18,3 T, LARGURA DE TRABALHO 1,67 M - CHP DIURNO. AF_02/2016</t>
  </si>
  <si>
    <t>20,17</t>
  </si>
  <si>
    <t>5867</t>
  </si>
  <si>
    <t>ROLO COMPACTADOR VIBRATÓRIO TANDEM AÇO LISO, POTÊNCIA 58 HP, PESO SEM/COM LASTRO 6,5 / 9,4 T, LARGURA DE TRABALHO 1,2 M - CHP DIURNO. AF_06/2014</t>
  </si>
  <si>
    <t>140,09</t>
  </si>
  <si>
    <t>5875</t>
  </si>
  <si>
    <t>RETROESCAVADEIRA SOBRE RODAS COM CARREGADEIRA, TRAÇÃO 4X4, POTÊNCIA LÍQ. 72 HP, CAÇAMBA CARREG. CAP. MÍN. 0,79 M3, CAÇAMBA RETRO CAP. 0,18 M3, PESO OPERACIONAL MÍN. 7.140 KG, PROFUNDIDADE ESCAVAÇÃO MÁX. 4,50 M - CHP DIURNO. AF_06/2014</t>
  </si>
  <si>
    <t>125,53</t>
  </si>
  <si>
    <t>5879</t>
  </si>
  <si>
    <t>ROLO COMPACTADOR VIBRATÓRIO PÉ DE CARNEIRO, OPERADO POR CONTROLE REMOTO, POTÊNCIA 12,5 KW, PESO OPERACIONAL 1,675 T, LARGURA DE TRABALHO 0,85 M - CHP DIURNO. AF_02/2016</t>
  </si>
  <si>
    <t>124,21</t>
  </si>
  <si>
    <t>5882</t>
  </si>
  <si>
    <t>USINA DE LAMA ASFÁLTICA, PROD 30 A 50 T/H, SILO DE AGREGADO 7 M3, RESERVATÓRIOS PARA EMULSÃO E ÁGUA DE 2,3 M3 CADA, MISTURADOR TIPO PUG MILL A SER MONTADO SOBRE CAMINHÃO - CHP DIURNO. AF_10/2014</t>
  </si>
  <si>
    <t>105,84</t>
  </si>
  <si>
    <t>5890</t>
  </si>
  <si>
    <t>CAMINHÃO TOCO, PESO BRUTO TOTAL 14.300 KG, CARGA ÚTIL MÁXIMA 9590 KG, DISTÂNCIA ENTRE EIXOS 4,76 M, POTÊNCIA 185 CV (NÃO INCLUI CARROCERIA) - CHP DIURNO. AF_06/2014</t>
  </si>
  <si>
    <t>164,13</t>
  </si>
  <si>
    <t>5894</t>
  </si>
  <si>
    <t>CAMINHÃO TOCO, PESO BRUTO TOTAL 16.000 KG, CARGA ÚTIL MÁXIMA DE 10.685 KG, DISTÂNCIA ENTRE EIXOS 4,80 M, POTÊNCIA 189 CV EXCLUSIVE CARROCERIA - CHP DIURNO. AF_06/2014</t>
  </si>
  <si>
    <t>159,64</t>
  </si>
  <si>
    <t>5901</t>
  </si>
  <si>
    <t>CAMINHÃO PIPA 10.000 L TRUCADO, PESO BRUTO TOTAL 23.000 KG, CARGA ÚTIL MÁXIMA 15.935 KG, DISTÂNCIA ENTRE EIXOS 4,8 M, POTÊNCIA 230 CV, INCLUSIVE TANQUE DE AÇO PARA TRANSPORTE DE ÁGUA - CHP DIURNO. AF_06/2014</t>
  </si>
  <si>
    <t>250,22</t>
  </si>
  <si>
    <t>5909</t>
  </si>
  <si>
    <t>ESPARGIDOR DE ASFALTO PRESSURIZADO COM TANQUE DE 2500 L, REBOCÁVEL COM MOTOR A GASOLINA POTÊNCIA 3,4 HP - CHP DIURNO. AF_07/2014</t>
  </si>
  <si>
    <t>29,92</t>
  </si>
  <si>
    <t>5921</t>
  </si>
  <si>
    <t>GRADE DE DISCO REBOCÁVEL COM 20 DISCOS 24" X 6 MM COM PNEUS PARA TRANSPORTE - CHP DIURNO. AF_06/2014</t>
  </si>
  <si>
    <t>5,92</t>
  </si>
  <si>
    <t>5928</t>
  </si>
  <si>
    <t>GUINDAUTO HIDRÁULICO, CAPACIDADE MÁXIMA DE CARGA 6200 KG, MOMENTO MÁXIMO DE CARGA 11,7 TM, ALCANCE MÁXIMO HORIZONTAL 9,70 M, INCLUSIVE CAMINHÃO TOCO PBT 16.000 KG, POTÊNCIA DE 189 CV - CHP DIURNO. AF_06/2014</t>
  </si>
  <si>
    <t>211,36</t>
  </si>
  <si>
    <t>5932</t>
  </si>
  <si>
    <t>MOTONIVELADORA POTÊNCIA BÁSICA LÍQUIDA (PRIMEIRA MARCHA) 125 HP, PESO BRUTO 13032 KG, LARGURA DA LÂMINA DE 3,7 M - CHP DIURNO. AF_06/2014</t>
  </si>
  <si>
    <t>217,94</t>
  </si>
  <si>
    <t>5940</t>
  </si>
  <si>
    <t>PÁ CARREGADEIRA SOBRE RODAS, POTÊNCIA LÍQUIDA 128 HP, CAPACIDADE DA CAÇAMBA 1,7 A 2,8 M3, PESO OPERACIONAL 11632 KG - CHP DIURNO. AF_06/2014</t>
  </si>
  <si>
    <t>179,34</t>
  </si>
  <si>
    <t>5944</t>
  </si>
  <si>
    <t>PÁ CARREGADEIRA SOBRE RODAS, POTÊNCIA 197 HP, CAPACIDADE DA CAÇAMBA 2,5 A 3,5 M3, PESO OPERACIONAL 18338 KG - CHP DIURNO. AF_06/2014</t>
  </si>
  <si>
    <t>203,65</t>
  </si>
  <si>
    <t>5953</t>
  </si>
  <si>
    <t>COMPRESSOR DE AR REBOCÁVEL, VAZÃO 189 PCM, PRESSÃO EFETIVA DE TRABALHO 102 PSI, MOTOR DIESEL, POTÊNCIA 63 CV - CHP DIURNO. AF_06/2015</t>
  </si>
  <si>
    <t>48,50</t>
  </si>
  <si>
    <t>6259</t>
  </si>
  <si>
    <t>CAMINHÃO PIPA 6.000 L, PESO BRUTO TOTAL 13.000 KG, DISTÂNCIA ENTRE EIXOS 4,80 M, POTÊNCIA 189 CV INCLUSIVE TANQUE DE AÇO PARA TRANSPORTE DE ÁGUA, CAPACIDADE 6 M3 - CHP DIURNO. AF_06/2014</t>
  </si>
  <si>
    <t>207,54</t>
  </si>
  <si>
    <t>6879</t>
  </si>
  <si>
    <t>ROLO COMPACTADOR DE PNEUS ESTÁTICO, PRESSÃO VARIÁVEL, POTÊNCIA 111 HP, PESO SEM/COM LASTRO 9,5 / 26 T, LARGURA DE TRABALHO 1,90 M - CHP DIURNO. AF_07/2014</t>
  </si>
  <si>
    <t>182,17</t>
  </si>
  <si>
    <t>7030</t>
  </si>
  <si>
    <t>TANQUE DE ASFALTO ESTACIONÁRIO COM SERPENTINA, CAPACIDADE 30.000 L - CHP DIURNO. AF_06/2014</t>
  </si>
  <si>
    <t>197,36</t>
  </si>
  <si>
    <t>7042</t>
  </si>
  <si>
    <t>MOTOBOMBA TRASH (PARA ÁGUA SUJA) AUTO ESCORVANTE, MOTOR GASOLINA DE 6,41 HP, DIÂMETROS DE SUCÇÃO X RECALQUE: 3" X 3", HM/Q = 10 MCA / 60 M3/H A 23 MCA / 0 M3/H - CHP DIURNO. AF_10/2014</t>
  </si>
  <si>
    <t>11,83</t>
  </si>
  <si>
    <t>7049</t>
  </si>
  <si>
    <t>ROLO COMPACTADOR PE DE CARNEIRO VIBRATORIO, POTENCIA 125 HP, PESO OPERACIONAL SEM/COM LASTRO 11,95 / 13,30 T, IMPACTO DINAMICO 38,5 / 22,5 T, LARGURA DE TRABALHO 2,15 M - CHP DIURNO. AF_06/2014</t>
  </si>
  <si>
    <t>191,57</t>
  </si>
  <si>
    <t>67826</t>
  </si>
  <si>
    <t>CAMINHÃO BASCULANTE 6 M3 TOCO, PESO BRUTO TOTAL 16.000 KG, CARGA ÚTIL MÁXIMA 11.130 KG, DISTÂNCIA ENTRE EIXOS 5,36 M, POTÊNCIA 185 CV, INCLUSIVE CAÇAMBA METÁLICA - CHP DIURNO. AF_06/2014</t>
  </si>
  <si>
    <t>151,28</t>
  </si>
  <si>
    <t>73417</t>
  </si>
  <si>
    <t>GRUPO GERADOR ESTACIONÁRIO, MOTOR DIESEL POTÊNCIA 170 KVA - CHP DIURNO. AF_02/2016</t>
  </si>
  <si>
    <t>161,43</t>
  </si>
  <si>
    <t>73436</t>
  </si>
  <si>
    <t>ROLO COMPACTADOR VIBRATÓRIO PÉ DE CARNEIRO PARA SOLOS, POTÊNCIA 80 HP, PESO OPERACIONAL SEM/COM LASTRO 7,4 / 8,8 T, LARGURA DE TRABALHO 1,68 M - CHP DIURNO. AF_02/2016</t>
  </si>
  <si>
    <t>186,22</t>
  </si>
  <si>
    <t>73467</t>
  </si>
  <si>
    <t>CAMINHÃO TOCO, PBT 14.300 KG, CARGA ÚTIL MÁX. 9.710 KG, DIST. ENTRE EIXOS 3,56 M, POTÊNCIA 185 CV, INCLUSIVE CARROCERIA FIXA ABERTA DE MADEIRA P/ TRANSPORTE GERAL DE CARGA SECA, DIMEN. APROX. 2,50 X 6,50 X 0,50 M - CHP DIURNO. AF_06/2014</t>
  </si>
  <si>
    <t>139,80</t>
  </si>
  <si>
    <t>73536</t>
  </si>
  <si>
    <t>MOTOBOMBA CENTRÍFUGA, MOTOR A GASOLINA, POTÊNCIA 5,42 HP, BOCAIS 1 1/2" X 1", DIÂMETRO ROTOR 143 MM HM/Q = 6 MCA / 16,8 M3/H A 38 MCA / 6,6 M3/H - CHP DIURNO. AF_06/2014</t>
  </si>
  <si>
    <t>10,03</t>
  </si>
  <si>
    <t>83362</t>
  </si>
  <si>
    <t>ESPARGIDOR DE ASFALTO PRESSURIZADO, TANQUE 6 M3 COM ISOLAÇÃO TÉRMICA, AQUECIDO COM 2 MAÇARICOS, COM BARRA ESPARGIDORA 3,60 M, MONTADO SOBRE CAMINHÃO  TOCO, PBT 14.300 KG, POTÊNCIA 185 CV - CHP DIURNO. AF_08/2015</t>
  </si>
  <si>
    <t>250,16</t>
  </si>
  <si>
    <t>83765</t>
  </si>
  <si>
    <t>GRUPO DE SOLDAGEM COM GERADOR A DIESEL 60 CV PARA SOLDA ELÉTRICA, SOBRE 04 RODAS, COM MOTOR 4 CILINDROS 600 A - CHP DIURNO. AF_02/2016</t>
  </si>
  <si>
    <t>96,28</t>
  </si>
  <si>
    <t>87445</t>
  </si>
  <si>
    <t>BETONEIRA CAPACIDADE NOMINAL 400 L, CAPACIDADE DE MISTURA 310 L, MOTOR A DIESEL POTÊNCIA 5,0 HP, SEM CARREGADOR - CHP DIURNO. AF_06/2014</t>
  </si>
  <si>
    <t>4,50</t>
  </si>
  <si>
    <t>88386</t>
  </si>
  <si>
    <t>MISTURADOR DE ARGAMASSA, EIXO HORIZONTAL, CAPACIDADE DE MISTURA 300 KG, MOTOR ELÉTRICO POTÊNCIA 5 CV - CHP DIURNO. AF_06/2014</t>
  </si>
  <si>
    <t>4,94</t>
  </si>
  <si>
    <t>88393</t>
  </si>
  <si>
    <t>MISTURADOR DE ARGAMASSA, EIXO HORIZONTAL, CAPACIDADE DE MISTURA 600 KG, MOTOR ELÉTRICO POTÊNCIA 7,5 CV - CHP DIURNO. AF_06/2014</t>
  </si>
  <si>
    <t>6,77</t>
  </si>
  <si>
    <t>88399</t>
  </si>
  <si>
    <t>MISTURADOR DE ARGAMASSA, EIXO HORIZONTAL, CAPACIDADE DE MISTURA 160 KG, MOTOR ELÉTRICO POTÊNCIA 3 CV - CHP DIURNO. AF_06/2014</t>
  </si>
  <si>
    <t>88418</t>
  </si>
  <si>
    <t>PROJETOR DE ARGAMASSA, CAPACIDADE DE PROJEÇÃO 1,5 M3/H, ALCANCE DE 30 ATÉ 60 M, MOTOR ELÉTRICO POTÊNCIA 7,5 HP - CHP DIURNO. AF_06/2014</t>
  </si>
  <si>
    <t>88433</t>
  </si>
  <si>
    <t>PROJETOR DE ARGAMASSA, CAPACIDADE DE PROJEÇÃO 2 M3/H, ALCANCE ATÉ 50 M, MOTOR ELÉTRICO POTÊNCIA 7,5 HP - CHP DIURNO. AF_06/2014</t>
  </si>
  <si>
    <t>19,76</t>
  </si>
  <si>
    <t>88830</t>
  </si>
  <si>
    <t>BETONEIRA CAPACIDADE NOMINAL DE 400 L, CAPACIDADE DE MISTURA 280 L, MOTOR ELÉTRICO TRIFÁSICO POTÊNCIA DE 2 CV, SEM CARREGADOR - CHP DIURNO. AF_10/2014</t>
  </si>
  <si>
    <t>1,82</t>
  </si>
  <si>
    <t>88843</t>
  </si>
  <si>
    <t>TRATOR DE ESTEIRAS, POTÊNCIA 125 HP, PESO OPERACIONAL 12,9 T, COM LÂMINA 2,7 M3 - CHP DIURNO. AF_10/2014</t>
  </si>
  <si>
    <t>180,92</t>
  </si>
  <si>
    <t>88907</t>
  </si>
  <si>
    <t>ESCAVADEIRA HIDRÁULICA SOBRE ESTEIRAS, CAÇAMBA 1,20 M3, PESO OPERACIONAL 21 T, POTÊNCIA BRUTA 155 HP - CHP DIURNO. AF_06/2014</t>
  </si>
  <si>
    <t>232,58</t>
  </si>
  <si>
    <t>89021</t>
  </si>
  <si>
    <t>BOMBA SUBMERSÍVEL ELÉTRICA TRIFÁSICA, POTÊNCIA 2,96 HP, Ø ROTOR 144 MM SEMI-ABERTO, BOCAL DE SAÍDA Ø 2, HM/Q = 2 MCA / 38,8 M3/H A 28 MCA / 5 M3/H - CHP DIURNO. AF_06/2014</t>
  </si>
  <si>
    <t>2,41</t>
  </si>
  <si>
    <t>89028</t>
  </si>
  <si>
    <t>TANQUE DE ASFALTO ESTACIONÁRIO COM MAÇARICO, CAPACIDADE 20.000 L - CHP DIURNO. AF_06/2014</t>
  </si>
  <si>
    <t>182,13</t>
  </si>
  <si>
    <t>89032</t>
  </si>
  <si>
    <t>TRATOR DE ESTEIRAS, POTÊNCIA 100 HP, PESO OPERACIONAL 9,4 T, COM LÂMINA 2,19 M3 - CHP DIURNO. AF_06/2014</t>
  </si>
  <si>
    <t>163,80</t>
  </si>
  <si>
    <t>89035</t>
  </si>
  <si>
    <t>TRATOR DE PNEUS, POTÊNCIA 85 CV, TRAÇÃO 4X4, PESO COM LASTRO DE 4.675 KG - CHP DIURNO. AF_06/2014</t>
  </si>
  <si>
    <t>158,99</t>
  </si>
  <si>
    <t>89225</t>
  </si>
  <si>
    <t>BETONEIRA CAPACIDADE NOMINAL DE 600 L, CAPACIDADE DE MISTURA 360 L, MOTOR ELÉTRICO TRIFÁSICO POTÊNCIA DE 4 CV, SEM CARREGADOR - CHP DIURNO. AF_11/2014</t>
  </si>
  <si>
    <t>5,02</t>
  </si>
  <si>
    <t>89234</t>
  </si>
  <si>
    <t>FRESADORA DE ASFALTO A FRIO SOBRE RODAS, LARGURA FRESAGEM DE 1,0 M, POTÊNCIA 208 HP - CHP DIURNO. AF_11/2014</t>
  </si>
  <si>
    <t>624,17</t>
  </si>
  <si>
    <t>89242</t>
  </si>
  <si>
    <t>FRESADORA DE ASFALTO A FRIO SOBRE RODAS, LARGURA FRESAGEM DE 2,0 M, POTÊNCIA 550 HP - CHP DIURNO. AF_11/2014</t>
  </si>
  <si>
    <t>1.464,19</t>
  </si>
  <si>
    <t>89250</t>
  </si>
  <si>
    <t>RECICLADORA DE ASFALTO A FRIO SOBRE RODAS, LARGURA FRESAGEM DE 2,0 M, POTÊNCIA 422 HP - CHP DIURNO. AF_11/2014</t>
  </si>
  <si>
    <t>1.269,77</t>
  </si>
  <si>
    <t>89257</t>
  </si>
  <si>
    <t>VIBROACABADORA DE ASFALTO SOBRE ESTEIRAS, LARGURA DE PAVIMENTAÇÃO 2,13 M A 4,55 M, POTÊNCIA 100 HP CAPACIDADE 400 T/H - CHP DIURNO. AF_11/2014</t>
  </si>
  <si>
    <t>352,96</t>
  </si>
  <si>
    <t>89272</t>
  </si>
  <si>
    <t>GUINDASTE HIDRÁULICO AUTOPROPELIDO, COM LANÇA TELESCÓPICA 28,80 M, CAPACIDADE MÁXIMA 30 T, POTÊNCIA 97 KW, TRAÇÃO 4 X 4 - CHP DIURNO. AF_11/2014</t>
  </si>
  <si>
    <t>187,32</t>
  </si>
  <si>
    <t>89278</t>
  </si>
  <si>
    <t>BETONEIRA CAPACIDADE NOMINAL DE 600 L, CAPACIDADE DE MISTURA 440 L, MOTOR A DIESEL POTÊNCIA 10 HP, COM CARREGADOR - CHP DIURNO. AF_11/2014</t>
  </si>
  <si>
    <t>10,49</t>
  </si>
  <si>
    <t>89843</t>
  </si>
  <si>
    <t>BATE-ESTACAS POR GRAVIDADE, POTÊNCIA DE 160 HP, PESO DO MARTELO ATÉ 3 TONELADAS - CHP DIURNO. AF_11/2014</t>
  </si>
  <si>
    <t>189,52</t>
  </si>
  <si>
    <t>89876</t>
  </si>
  <si>
    <t>CAMINHÃO BASCULANTE 14 M3, COM CAVALO MECÂNICO DE CAPACIDADE MÁXIMA DE TRAÇÃO COMBINADO DE 36000 KG, POTÊNCIA 286 CV, INCLUSIVE SEMIREBOQUE COM CAÇAMBA METÁLICA - CHP DIURNO. AF_12/2014</t>
  </si>
  <si>
    <t>267,87</t>
  </si>
  <si>
    <t>89883</t>
  </si>
  <si>
    <t>CAMINHÃO BASCULANTE 18 M3, COM CAVALO MECÂNICO DE CAPACIDADE MÁXIMA DE TRAÇÃO COMBINADO DE 45000 KG, POTÊNCIA 330 CV, INCLUSIVE SEMIREBOQUE COM CAÇAMBA METÁLICA - CHP DIURNO. AF_12/2014</t>
  </si>
  <si>
    <t>296,27</t>
  </si>
  <si>
    <t>90586</t>
  </si>
  <si>
    <t>VIBRADOR DE IMERSÃO, DIÂMETRO DE PONTEIRA 45MM, MOTOR ELÉTRICO TRIFÁSICO POTÊNCIA DE 2 CV - CHP DIURNO. AF_06/2015</t>
  </si>
  <si>
    <t>1,90</t>
  </si>
  <si>
    <t>90625</t>
  </si>
  <si>
    <t>PERFURATRIZ MANUAL, TORQUE MÁXIMO 83 N.M, POTÊNCIA 5 CV, COM DIÂMETRO MÁXIMO 4" - CHP DIURNO. AF_06/2015</t>
  </si>
  <si>
    <t>90631</t>
  </si>
  <si>
    <t>PERFURATRIZ SOBRE ESTEIRA, TORQUE MÁXIMO 600 KGF, PESO MÉDIO 1000 KG, POTÊNCIA 20 HP, DIÂMETRO MÁXIMO 10" - CHP DIURNO. AF_06/2015</t>
  </si>
  <si>
    <t>156,03</t>
  </si>
  <si>
    <t>90637</t>
  </si>
  <si>
    <t>MISTURADOR DUPLO HORIZONTAL DE ALTA TURBULÊNCIA, CAPACIDADE / VOLUME 2 X 500 LITROS, MOTORES ELÉTRICOS MÍNIMO 5 CV CADA, PARA NATA CIMENTO, ARGAMASSA E OUTROS - CHP DIURNO. AF_06/2015</t>
  </si>
  <si>
    <t>14,75</t>
  </si>
  <si>
    <t>90643</t>
  </si>
  <si>
    <t>BOMBA TRIPLEX, PARA INJEÇÃO DE NATA DE CIMENTO, VAZÃO MÁXIMA DE 100 LITROS/MINUTO, PRESSÃO MÁXIMA DE 70 BAR - CHP DIURNO. AF_06/2015</t>
  </si>
  <si>
    <t>21,11</t>
  </si>
  <si>
    <t>90650</t>
  </si>
  <si>
    <t>BOMBA CENTRÍFUGA MONOESTÁGIO COM MOTOR ELÉTRICO MONOFÁSICO, POTÊNCIA 15 HP, DIÂMETRO DO ROTOR 173 MM, HM/Q = 30 MCA / 90 M3/H A 45 MCA / 55 M3/H - CHP DIURNO. AF_06/2015</t>
  </si>
  <si>
    <t>10,77</t>
  </si>
  <si>
    <t>90656</t>
  </si>
  <si>
    <t>BOMBA DE PROJEÇÃO DE CONCRETO SECO, POTÊNCIA 10 CV, VAZÃO 3 M3/H - CHP DIURNO. AF_06/2015</t>
  </si>
  <si>
    <t>14,62</t>
  </si>
  <si>
    <t>90662</t>
  </si>
  <si>
    <t>BOMBA DE PROJEÇÃO DE CONCRETO SECO, POTÊNCIA 10 CV, VAZÃO 6 M3/H - CHP DIURNO. AF_06/2015</t>
  </si>
  <si>
    <t>15,23</t>
  </si>
  <si>
    <t>90668</t>
  </si>
  <si>
    <t>PROJETOR PNEUMÁTICO DE ARGAMASSA PARA CHAPISCO E REBOCO COM RECIPIENTE ACOPLADO, TIPO CANEQUINHA, COM COMPRESSOR DE AR REBOCÁVEL VAZÃO 89 PCM E MOTOR DIESEL DE 20 CV - CHP DIURNO. AF_06/2015</t>
  </si>
  <si>
    <t>25,08</t>
  </si>
  <si>
    <t>90674</t>
  </si>
  <si>
    <t>PERFURATRIZ COM TORRE METÁLICA PARA EXECUÇÃO DE ESTACA HÉLICE CONTÍNUA, PROFUNDIDADE MÁXIMA DE 30 M, DIÂMETRO MÁXIMO DE 800 MM, POTÊNCIA INSTALADA DE 268 HP, MESA ROTATIVA COM TORQUE MÁXIMO DE 170 KNM - CHP DIURNO. AF_06/2015</t>
  </si>
  <si>
    <t>661,81</t>
  </si>
  <si>
    <t>90680</t>
  </si>
  <si>
    <t>PERFURATRIZ HIDRÁULICA SOBRE CAMINHÃO COM TRADO CURTO ACOPLADO, PROFUNDIDADE MÁXIMA DE 20 M, DIÂMETRO MÁXIMO DE 1500 MM, POTÊNCIA INSTALADA DE 137 HP, MESA ROTATIVA COM TORQUE MÁXIMO DE 30 KNM - CHP DIURNO. AF_06/2015</t>
  </si>
  <si>
    <t>374,62</t>
  </si>
  <si>
    <t>90686</t>
  </si>
  <si>
    <t>MANIPULADOR TELESCÓPICO, POTÊNCIA DE 85 HP, CAPACIDADE DE CARGA DE 3.500 KG, ALTURA MÁXIMA DE ELEVAÇÃO DE 12,3 M - CHP DIURNO. AF_06/2015</t>
  </si>
  <si>
    <t>140,78</t>
  </si>
  <si>
    <t>90692</t>
  </si>
  <si>
    <t>MINICARREGADEIRA SOBRE RODAS, POTÊNCIA LÍQUIDA DE 47 HP, CAPACIDADE NOMINAL DE OPERAÇÃO DE 646 KG - CHP DIURNO. AF_06/2015</t>
  </si>
  <si>
    <t>107,30</t>
  </si>
  <si>
    <t>90964</t>
  </si>
  <si>
    <t>COMPRESSOR DE AR REBOCÁVEL, VAZÃO 89 PCM, PRESSÃO EFETIVA DE TRABALHO 102 PSI, MOTOR DIESEL, POTÊNCIA 20 CV - CHP DIURNO. AF_06/2015</t>
  </si>
  <si>
    <t>23,79</t>
  </si>
  <si>
    <t>90972</t>
  </si>
  <si>
    <t>COMPRESSOR DE AR REBOCAVEL, VAZÃO 250 PCM, PRESSAO DE TRABALHO 102 PSI, MOTOR A DIESEL POTÊNCIA 81 CV - CHP DIURNO. AF_06/2015</t>
  </si>
  <si>
    <t>62,81</t>
  </si>
  <si>
    <t>90979</t>
  </si>
  <si>
    <t>COMPRESSOR DE AR REBOCÁVEL, VAZÃO 748 PCM, PRESSÃO EFETIVA DE TRABALHO 102 PSI, MOTOR DIESEL, POTÊNCIA 210 CV - CHP DIURNO. AF_06/2015</t>
  </si>
  <si>
    <t>162,36</t>
  </si>
  <si>
    <t>90991</t>
  </si>
  <si>
    <t>ESCAVADEIRA HIDRÁULICA SOBRE ESTEIRAS, CAÇAMBA 0,80 M3, PESO OPERACIONAL 17,8 T, POTÊNCIA LÍQUIDA 110 HP - CHP DIURNO. AF_10/2014</t>
  </si>
  <si>
    <t>192,32</t>
  </si>
  <si>
    <t>90999</t>
  </si>
  <si>
    <t>COMPRESSOR DE AR REBOCAVEL, VAZÃO 400 PCM, PRESSAO DE TRABALHO 102 PSI, MOTOR A DIESEL POTÊNCIA 110 CV - CHP DIURNO. AF_06/2015</t>
  </si>
  <si>
    <t>83,41</t>
  </si>
  <si>
    <t>91031</t>
  </si>
  <si>
    <t>CAMINHÃO TRUCADO (C/ TERCEIRO EIXO) ELETRÔNICO - POTÊNCIA 231CV - PBT = 22000KG - DIST. ENTRE EIXOS 5170 MM - INCLUI CARROCERIA FIXA ABERTA DE MADEIRA - CHP DIURNO. AF_06/2015</t>
  </si>
  <si>
    <t>200,42</t>
  </si>
  <si>
    <t>91277</t>
  </si>
  <si>
    <t>PLACA VIBRATÓRIA REVERSÍVEL COM MOTOR 4 TEMPOS A GASOLINA, FORÇA CENTRÍFUGA DE 25 KN (2500 KGF), POTÊNCIA 5,5 CV - CHP DIURNO. AF_08/2015</t>
  </si>
  <si>
    <t>10,71</t>
  </si>
  <si>
    <t>91283</t>
  </si>
  <si>
    <t>CORTADORA DE PISO COM MOTOR 4 TEMPOS A GASOLINA, POTÊNCIA DE 13 HP, COM DISCO DE CORTE DIAMANTADO SEGMENTADO PARA CONCRETO, DIÂMETRO DE 350 MM, FURO DE 1" (14 X 1") - CHP DIURNO. AF_08/2015</t>
  </si>
  <si>
    <t>25,44</t>
  </si>
  <si>
    <t>91386</t>
  </si>
  <si>
    <t>CAMINHÃO BASCULANTE 10 M3, TRUCADO CABINE SIMPLES, PESO BRUTO TOTAL 23.000 KG, CARGA ÚTIL MÁXIMA 15.935 KG, DISTÂNCIA ENTRE EIXOS 4,80 M, POTÊNCIA 230 CV INCLUSIVE CAÇAMBA METÁLICA - CHP DIURNO. AF_06/2014</t>
  </si>
  <si>
    <t>213,39</t>
  </si>
  <si>
    <t>91533</t>
  </si>
  <si>
    <t>COMPACTADOR DE SOLOS DE PERCUSSÃO (SOQUETE) COM MOTOR A GASOLINA 4 TEMPOS, POTÊNCIA 4 CV - CHP DIURNO. AF_08/2015</t>
  </si>
  <si>
    <t>36,78</t>
  </si>
  <si>
    <t>91634</t>
  </si>
  <si>
    <t>GUINDAUTO HIDRÁULICO, CAPACIDADE MÁXIMA DE CARGA 6500 KG, MOMENTO MÁXIMO DE CARGA 5,8 TM, ALCANCE MÁXIMO HORIZONTAL 7,60 M, INCLUSIVE CAMINHÃO TOCO PBT 9.700 KG, POTÊNCIA DE 160 CV - CHP DIURNO. AF_08/2015</t>
  </si>
  <si>
    <t>186,93</t>
  </si>
  <si>
    <t>91645</t>
  </si>
  <si>
    <t>CAMINHÃO DE TRANSPORTE DE MATERIAL ASFÁLTICO 30.000 L, COM CAVALO MECÂNICO DE CAPACIDADE MÁXIMA DE TRAÇÃO COMBINADO DE 66.000 KG, POTÊNCIA 360 CV, INCLUSIVE TANQUE DE ASFALTO COM SERPENTINA - CHP DIURNO. AF_08/2015</t>
  </si>
  <si>
    <t>387,98</t>
  </si>
  <si>
    <t>91692</t>
  </si>
  <si>
    <t>SERRA CIRCULAR DE BANCADA COM MOTOR ELÉTRICO POTÊNCIA DE 5HP, COM COIFA PARA DISCO 10" - CHP DIURNO. AF_08/2015</t>
  </si>
  <si>
    <t>31,35</t>
  </si>
  <si>
    <t>92043</t>
  </si>
  <si>
    <t>DISTRIBUIDOR DE AGREGADOS REBOCAVEL, CAPACIDADE 1,9 M³, LARGURA DE TRABALHO 3,66 M - CHP DIURNO. AF_11/2015</t>
  </si>
  <si>
    <t>11,44</t>
  </si>
  <si>
    <t>92106</t>
  </si>
  <si>
    <t>CAMINHÃO PARA EQUIPAMENTO DE LIMPEZA A SUCÇÃO, COM CAMINHÃO TRUCADO DE PESO BRUTO TOTAL 23000 KG, CARGA ÚTIL MÁXIMA 15935 KG, DISTÂNCIA ENTRE EIXOS 4,80 M, POTÊNCIA 230 CV, INCLUSIVE LIMPADORA A SUCÇÃO, TANQUE 12000 L - CHP DIURNO. AF_11/2015</t>
  </si>
  <si>
    <t>258,55</t>
  </si>
  <si>
    <t>92112</t>
  </si>
  <si>
    <t>PENEIRA ROTATIVA COM MOTOR ELÉTRICO TRIFÁSICO DE 2 CV, CILINDRO DE 1 M X 0,60 M, COM FUROS DE 3,17 MM - CHP DIURNO. AF_11/2015</t>
  </si>
  <si>
    <t>2,94</t>
  </si>
  <si>
    <t>92118</t>
  </si>
  <si>
    <t>DOSADOR DE AREIA, CAPACIDADE DE 26 LITROS - CHP DIURNO. AF_11/2015</t>
  </si>
  <si>
    <t>0,24</t>
  </si>
  <si>
    <t>92138</t>
  </si>
  <si>
    <t>CAMINHONETE COM MOTOR A DIESEL, POTÊNCIA 180 CV, CABINE DUPLA, 4X4 - CHP DIURNO. AF_11/2015</t>
  </si>
  <si>
    <t>85,69</t>
  </si>
  <si>
    <t>92145</t>
  </si>
  <si>
    <t>CAMINHONETE CABINE SIMPLES COM MOTOR 1.6 FLEX, CÂMBIO MANUAL, POTÊNCIA 101/104 CV, 2 PORTAS - CHP DIURNO. AF_11/2015</t>
  </si>
  <si>
    <t>77,81</t>
  </si>
  <si>
    <t>92242</t>
  </si>
  <si>
    <t>CAMINHÃO DE TRANSPORTE DE MATERIAL ASFÁLTICO 20.000 L, COM CAVALO MECÂNICO DE CAPACIDADE MÁXIMA DE TRAÇÃO COMBINADO DE 45.000 KG, POTÊNCIA 330 CV, INCLUSIVE TANQUE DE ASFALTO COM MAÇARICO - CHP DIURNO. AF_12/2015</t>
  </si>
  <si>
    <t>340,03</t>
  </si>
  <si>
    <t>92716</t>
  </si>
  <si>
    <t>APARELHO PARA CORTE E SOLDA OXI-ACETILENO SOBRE RODAS, INCLUSIVE CILINDROS E MAÇARICOS - CHP DIURNO. AF_12/2015</t>
  </si>
  <si>
    <t>23,68</t>
  </si>
  <si>
    <t>92960</t>
  </si>
  <si>
    <t>17,89</t>
  </si>
  <si>
    <t>92966</t>
  </si>
  <si>
    <t>MARTELO PERFURADOR PNEUMÁTICO MANUAL, HASTE 25 X 75 MM, 21 KG - CHP DIURNO. AF_12/2015</t>
  </si>
  <si>
    <t>19,24</t>
  </si>
  <si>
    <t>93224</t>
  </si>
  <si>
    <t>PERFURATRIZ COM TORRE METÁLICA PARA EXECUÇÃO DE ESTACA HÉLICE CONTÍNUA, PROFUNDIDADE MÁXIMA DE 32 M, DIÂMETRO MÁXIMO DE 1000 MM, POTÊNCIA INSTALADA DE 350 HP, MESA ROTATIVA COM TORQUE MÁXIMO DE 263 KNM - CHP DIURNO. AF_01/2016</t>
  </si>
  <si>
    <t>988,02</t>
  </si>
  <si>
    <t>93233</t>
  </si>
  <si>
    <t>BETONEIRA CAPACIDADE NOMINAL 400 L, CAPACIDADE DE MISTURA 310 L, MOTOR A GASOLINA POTÊNCIA 5,5 HP, SEM CARREGADOR - CHP DIURNO. AF_02/2016</t>
  </si>
  <si>
    <t>10,51</t>
  </si>
  <si>
    <t>93272</t>
  </si>
  <si>
    <t>GRUA ASCENSIONAL, LANCA DE 30 M, CAPACIDADE DE 1,0 T A 30 M, ALTURA ATE 39 M - CHP DIURNO. AF_03/2016</t>
  </si>
  <si>
    <t>135,96</t>
  </si>
  <si>
    <t>93281</t>
  </si>
  <si>
    <t>GUINCHO ELÉTRICO DE COLUNA, CAPACIDADE 400 KG, COM MOTO FREIO, MOTOR TRIFÁSICO DE 1,25 CV - CHP DIURNO. AF_03/2016</t>
  </si>
  <si>
    <t>25,85</t>
  </si>
  <si>
    <t>93287</t>
  </si>
  <si>
    <t>GUINDASTE HIDRÁULICO AUTOPROPELIDO, COM LANÇA TELESCÓPICA 40 M, CAPACIDADE MÁXIMA 60 T, POTÊNCIA 260 KW - CHP DIURNO. AF_03/2016</t>
  </si>
  <si>
    <t>483,09</t>
  </si>
  <si>
    <t>93402</t>
  </si>
  <si>
    <t>GUINDAUTO HIDRÁULICO, CAPACIDADE MÁXIMA DE CARGA 3300 KG, MOMENTO MÁXIMO DE CARGA 5,8 TM, ALCANCE MÁXIMO HORIZONTAL 7,60 M, INCLUSIVE CAMINHÃO TOCO PBT 16.000 KG, POTÊNCIA DE 189 CV - CHP DIURNO. AF_03/2016</t>
  </si>
  <si>
    <t>207,67</t>
  </si>
  <si>
    <t>93408</t>
  </si>
  <si>
    <t>MÁQUINA JATO DE PRESSAO PORTÁTIL, CAMARA DE 1 SAIDA, CAPACIDADE 280 L, DIAMETRO 670 MM, BICO DE JATO CURTO VENTURI DE 5/16'' , MANGUEIRA DE 1'' COM COMPRESSOR DE AR REBOCÁVEL 189 PCM E MOTOR DIESEL 63 CV - CHP DIURNO. AF_03/2016</t>
  </si>
  <si>
    <t>82,46</t>
  </si>
  <si>
    <t>93415</t>
  </si>
  <si>
    <t>GERADOR PORTÁTIL MONOFÁSICO, POTÊNCIA 5500 VA, MOTOR A GASOLINA, POTÊNCIA DO MOTOR 13 CV - CHP DIURNO. AF_03/2016</t>
  </si>
  <si>
    <t>17,21</t>
  </si>
  <si>
    <t>93421</t>
  </si>
  <si>
    <t>GRUPO GERADOR REBOCÁVEL, POTÊNCIA 66 KVA, MOTOR A DIESEL - CHP DIURNO. AF_03/2016</t>
  </si>
  <si>
    <t>63,69</t>
  </si>
  <si>
    <t>93427</t>
  </si>
  <si>
    <t>GRUPO GERADOR ESTACIONÁRIO, POTÊNCIA 150 KVA, MOTOR A DIESEL- CHP DIURNO. AF_03/2016</t>
  </si>
  <si>
    <t>145,96</t>
  </si>
  <si>
    <t>93433</t>
  </si>
  <si>
    <t>USINA DE MISTURA ASFÁLTICA À QUENTE, TIPO CONTRA FLUXO, PROD 40 A 80 TON/HORA - CHP DIURNO. AF_03/2016</t>
  </si>
  <si>
    <t>2.844,95</t>
  </si>
  <si>
    <t>93439</t>
  </si>
  <si>
    <t>USINA DE ASFALTO À FRIO, CAPACIDADE DE 40 A 60 TON/HORA, ELÉTRICA POTÊNCIA 30 CV - CHP DIURNO. AF_03/2016</t>
  </si>
  <si>
    <t>140,53</t>
  </si>
  <si>
    <t>95121</t>
  </si>
  <si>
    <t>USINA MISTURADORA DE SOLOS, CAPACIDADE DE 200 A 500 TON/H, POTENCIA 75KW - CHP DIURNO. AF_07/2016</t>
  </si>
  <si>
    <t>289,94</t>
  </si>
  <si>
    <t>95127</t>
  </si>
  <si>
    <t>DISTRIBUIDOR DE AGREGADOS AUTOPROPELIDO, CAP 3 M3, A DIESEL, POTÊNCIA 176CV - CHP DIURNO. AF_07/2016</t>
  </si>
  <si>
    <t>190,59</t>
  </si>
  <si>
    <t>95133</t>
  </si>
  <si>
    <t>MÁQUINA DEMARCADORA DE FAIXA DE TRÁFEGO À FRIO, AUTOPROPELIDA, POTÊNCIA 38 HP - CHP DIURNO. AF_07/2016</t>
  </si>
  <si>
    <t>143,19</t>
  </si>
  <si>
    <t>95139</t>
  </si>
  <si>
    <t>TALHA MANUAL DE CORRENTE, CAPACIDADE DE 2 TON. COM ELEVAÇÃO DE 3 M - CHP DIURNO. AF_07/2016</t>
  </si>
  <si>
    <t>0,06</t>
  </si>
  <si>
    <t>95212</t>
  </si>
  <si>
    <t>GRUA ASCENCIONAL, LANCA DE 42 M, CAPACIDADE DE 1,5 T A 30 M, ALTURA ATE 39 M - CHP DIURNO. AF_08/2016</t>
  </si>
  <si>
    <t>147,38</t>
  </si>
  <si>
    <t>95258</t>
  </si>
  <si>
    <t>MARTELO DEMOLIDOR PNEUMÁTICO MANUAL, 32 KG - CHP DIURNO. AF_09/2016</t>
  </si>
  <si>
    <t>18,87</t>
  </si>
  <si>
    <t>95264</t>
  </si>
  <si>
    <t>COMPACTADOR DE SOLOS DE PERCUSÃO (SOQUETE) COM MOTOR A GASOLINA, POTÊNCIA 3 CV - CHP DIURNO. AF_09/2016</t>
  </si>
  <si>
    <t>6,92</t>
  </si>
  <si>
    <t>95270</t>
  </si>
  <si>
    <t>RÉGUA VIBRATÓRIA DUPLA PARA CONCRETO, PESO DE 60KG, COMPRIMENTO 4 M, COM MOTOR A GASOLINA, POTÊNCIA 5,5 HP - CHP DIURNO. AF_09/2016</t>
  </si>
  <si>
    <t>10,59</t>
  </si>
  <si>
    <t>95276</t>
  </si>
  <si>
    <t>POLIDORA DE PISO (POLITRIZ), PESO DE 100KG, DIÂMETRO 450 MM, MOTOR ELÉTRICO, POTÊNCIA 4 HP - CHP DIURNO. AF_09/2016</t>
  </si>
  <si>
    <t>3,18</t>
  </si>
  <si>
    <t>95282</t>
  </si>
  <si>
    <t>DESEMPENADEIRA DE CONCRETO, PESO DE 75KG, 4 PÁS, MOTOR A GASOLINA, POTÊNCIA 5,5 HP - CHP DIURNO. AF_09/2016</t>
  </si>
  <si>
    <t>10,57</t>
  </si>
  <si>
    <t>95620</t>
  </si>
  <si>
    <t>PERFURATRIZ PNEUMATICA MANUAL DE PESO MEDIO, MARTELETE, 18KG, COMPRIMENTO MÁXIMO DE CURSO DE 6 M, DIAMETRO DO PISTAO DE 5,5 CM - CHP DIURNO. AF_11/2016</t>
  </si>
  <si>
    <t>18,42</t>
  </si>
  <si>
    <t>95631</t>
  </si>
  <si>
    <t>ROLO COMPACTADOR VIBRATORIO TANDEM, ACO LISO, POTENCIA 125 HP, PESO SEM/COM LASTRO 10,20/11,65 T, LARGURA DE TRABALHO 1,73 M - CHP DIURNO. AF_11/2016</t>
  </si>
  <si>
    <t>198,89</t>
  </si>
  <si>
    <t>95702</t>
  </si>
  <si>
    <t>PERFURATRIZ MANUAL, TORQUE MAXIMO 55 KGF.M, POTENCIA 5 CV, COM DIAMETRO MAXIMO 8 1/2" - CHP DIURNO. AF_11/2016</t>
  </si>
  <si>
    <t>39,03</t>
  </si>
  <si>
    <t>95708</t>
  </si>
  <si>
    <t>PERFURATRIZ SOBRE ESTEIRA, TORQUE MÁXIMO 600 KGF, POTÊNCIA ENTRE 50 E 60 HP, DIÂMETRO MÁXIMO 10 - CHP DIURNO. AF_11/2016</t>
  </si>
  <si>
    <t>172,08</t>
  </si>
  <si>
    <t>95714</t>
  </si>
  <si>
    <t>ESCAVADEIRA HIDRAULICA SOBRE ESTEIRA, COM GARRA GIRATORIA DE MANDIBULAS, PESO OPERACIONAL ENTRE 22,00 E 25,50 TON, POTENCIA LIQUIDA ENTRE 150 E 160 HP - CHP DIURNO. AF_11/2016</t>
  </si>
  <si>
    <t>239,40</t>
  </si>
  <si>
    <t>95720</t>
  </si>
  <si>
    <t>ESCAVADEIRA HIDRAULICA SOBRE ESTEIRA, EQUIPADA COM CLAMSHELL, COM CAPACIDADE DA CAÇAMBA ENTRE 1,20 E 1,50 M3, PESO OPERACIONAL ENTRE 20,00 E 22,00 TON, POTENCIA LIQUIDA ENTRE 150 E 160 HP - CHP DIURNO. AF_11/2016</t>
  </si>
  <si>
    <t>234,43</t>
  </si>
  <si>
    <t>95872</t>
  </si>
  <si>
    <t>GRUPO GERADOR COM CARENAGEM, MOTOR DIESEL POTÊNCIA STANDART ENTRE 250 E 260 KVA - CHP DIURNO. AF_12/2016</t>
  </si>
  <si>
    <t>247,74</t>
  </si>
  <si>
    <t>96013</t>
  </si>
  <si>
    <t>TRATOR DE PNEUS COM POTÊNCIA DE 122 CV, TRAÇÃO 4X4, COM VASSOURA MECÂNICA ACOPLADA - CHP DIURNO. AF_02/2017</t>
  </si>
  <si>
    <t>223,17</t>
  </si>
  <si>
    <t>96020</t>
  </si>
  <si>
    <t>TRATOR DE PNEUS COM POTÊNCIA DE 122 CV, TRAÇÃO 4X4, COM GRADE DE DISCOS ACOPLADA - CHP DIURNO. AF_02/2017</t>
  </si>
  <si>
    <t>222,60</t>
  </si>
  <si>
    <t>96028</t>
  </si>
  <si>
    <t>TRATOR DE PNEUS COM POTÊNCIA DE 85 CV, TRAÇÃO 4X4, COM GRADE DE DISCOS ACOPLADA - CHP DIURNO. AF_02/2017</t>
  </si>
  <si>
    <t>168,54</t>
  </si>
  <si>
    <t>96035</t>
  </si>
  <si>
    <t>CAMINHÃO BASCULANTE 10 M3, TRUCADO, POTÊNCIA 230 CV, INCLUSIVE CAÇAMBA METÁLICA, COM DISTRIBUIDOR DE AGREGADOS ACOPLADO - CHP DIURNO. AF_02/2017</t>
  </si>
  <si>
    <t>223,65</t>
  </si>
  <si>
    <t>96157</t>
  </si>
  <si>
    <t>TRATOR DE PNEUS COM POTÊNCIA DE 85 CV, TRAÇÃO 4X4, COM VASSOURA MECÂNICA ACOPLADA - CHP DIURNO. AF_03/2017</t>
  </si>
  <si>
    <t>169,11</t>
  </si>
  <si>
    <t>96158</t>
  </si>
  <si>
    <t>MINICARREGADEIRA SOBRE RODAS POTENCIA 47HP CAPACIDADE OPERACAO 646 KG, COM VASSOURA MECÂNICA ACOPLADA - CHP DIURNO. AF_03/2017</t>
  </si>
  <si>
    <t>123,30</t>
  </si>
  <si>
    <t>96245</t>
  </si>
  <si>
    <t>MINIESCAVADEIRA SOBRE ESTEIRAS, POTENCIA LIQUIDA DE *30* HP, PESO OPERACIONAL DE *3.500* KG - CHP DIURNO. AF_04/2017</t>
  </si>
  <si>
    <t>82,80</t>
  </si>
  <si>
    <t>96463</t>
  </si>
  <si>
    <t>ROLO COMPACTADOR DE PNEUS, ESTATICO, PRESSAO VARIAVEL, POTENCIA 110 HP, PESO SEM/COM LASTRO 10,8/27 T, LARGURA DE ROLAGEM 2,30 M - CHP DIURNO. AF_06/2017</t>
  </si>
  <si>
    <t>188,08</t>
  </si>
  <si>
    <t>98764</t>
  </si>
  <si>
    <t>INVERSOR DE SOLDA MONOFÁSICO DE 160 A, POTÊNCIA DE 5400 W, TENSÃO DE 220 V, PARA SOLDA COM ELETRODOS DE 2,0 A 4,0 MM E PROCESSO TIG - CHP DIURNO. AF_06/2018</t>
  </si>
  <si>
    <t>4,53</t>
  </si>
  <si>
    <t>99833</t>
  </si>
  <si>
    <t>LAVADORA DE ALTA PRESSAO (LAVA-JATO) PARA AGUA FRIA, PRESSAO DE OPERACAO ENTRE 1400 E 1900 LIB/POL2, VAZAO MAXIMA ENTRE 400 E 700 L/H - CHP DIURNO. AF_04/2019</t>
  </si>
  <si>
    <t>1,48</t>
  </si>
  <si>
    <t>100641</t>
  </si>
  <si>
    <t>USINA DE MISTURA ASFÁLTICA À QUENTE, TIPO CONTRA FLUXO, PROD 100 A 140 TON/HORA - CHP DIURNO. AF_12/2019</t>
  </si>
  <si>
    <t>610,71</t>
  </si>
  <si>
    <t>100647</t>
  </si>
  <si>
    <t>USINA DE ASFALTO, TIPO GRAVIMÉTRICA, PROD 150 TON/HORA - CHP DIURNO. AF_12/2019</t>
  </si>
  <si>
    <t>1.297,56</t>
  </si>
  <si>
    <t>102275</t>
  </si>
  <si>
    <t>MARTELO DEMOLIDOR ELÉTRICO, COM POTÊNCIA DE 2.000 W, 1.000 IMPACTOS POR MINUTO, PESO DE 30 KG - CHP DIURNO. AF_01/2021</t>
  </si>
  <si>
    <t>19,21</t>
  </si>
  <si>
    <t>5632</t>
  </si>
  <si>
    <t>ESCAVADEIRA HIDRÁULICA SOBRE ESTEIRAS, CAÇAMBA 0,80 M3, PESO OPERACIONAL 17 T, POTENCIA BRUTA 111 HP - CHI DIURNO. AF_06/2014</t>
  </si>
  <si>
    <t>83,52</t>
  </si>
  <si>
    <t>5679</t>
  </si>
  <si>
    <t>RETROESCAVADEIRA SOBRE RODAS COM CARREGADEIRA, TRAÇÃO 4X4, POTÊNCIA LÍQ. 88 HP, CAÇAMBA CARREG. CAP. MÍN. 1 M3, CAÇAMBA RETRO CAP. 0,26 M3, PESO OPERACIONAL MÍN. 6.674 KG, PROFUNDIDADE ESCAVAÇÃO MÁX. 4,37 M - CHI DIURNO. AF_06/2014</t>
  </si>
  <si>
    <t>57,80</t>
  </si>
  <si>
    <t>5681</t>
  </si>
  <si>
    <t>RETROESCAVADEIRA SOBRE RODAS COM CARREGADEIRA, TRAÇÃO 4X2, POTÊNCIA LÍQ. 79 HP, CAÇAMBA CARREG. CAP. MÍN. 1 M3, CAÇAMBA RETRO CAP. 0,20 M3, PESO OPERACIONAL MÍN. 6.570 KG, PROFUNDIDADE ESCAVAÇÃO MÁX. 4,37 M - CHI DIURNO. AF_06/2014</t>
  </si>
  <si>
    <t>54,67</t>
  </si>
  <si>
    <t>5685</t>
  </si>
  <si>
    <t>ROLO COMPACTADOR VIBRATÓRIO DE UM CILINDRO AÇO LISO, POTÊNCIA 80 HP, PESO OPERACIONAL MÁXIMO 8,1 T, IMPACTO DINÂMICO 16,15 / 9,5 T, LARGURA DE TRABALHO 1,68 M - CHI DIURNO. AF_06/2014</t>
  </si>
  <si>
    <t>54,49</t>
  </si>
  <si>
    <t>5690</t>
  </si>
  <si>
    <t>GRADE DE DISCO CONTROLE REMOTO REBOCÁVEL, COM 24 DISCOS 24 X 6 MM COM PNEUS PARA TRANSPORTE - CHI DIURNO. AF_06/2014</t>
  </si>
  <si>
    <t>4,69</t>
  </si>
  <si>
    <t>5806</t>
  </si>
  <si>
    <t>MOTOBOMBA CENTRÍFUGA, MOTOR A GASOLINA, POTÊNCIA 5,42 HP, BOCAIS 1 1/2" X 1", DIÂMETRO ROTOR 143 MM HM/Q = 6 MCA / 16,8 M3/H A 38 MCA / 6,6 M3/H - CHI DIURNO. AF_06/2014</t>
  </si>
  <si>
    <t>0,23</t>
  </si>
  <si>
    <t>5826</t>
  </si>
  <si>
    <t>CAMINHÃO TOCO, PBT 16.000 KG, CARGA ÚTIL MÁX. 10.685 KG, DIST. ENTRE EIXOS 4,8 M, POTÊNCIA 189 CV, INCLUSIVE CARROCERIA FIXA ABERTA DE MADEIRA P/ TRANSPORTE GERAL DE CARGA SECA, DIMEN. APROX. 2,5 X 7,00 X 0,50 M - CHI DIURNO. AF_06/2014</t>
  </si>
  <si>
    <t>40,54</t>
  </si>
  <si>
    <t>5829</t>
  </si>
  <si>
    <t>USINA DE CONCRETO FIXA, CAPACIDADE NOMINAL DE 90 A 120 M3/H, SEM SILO - CHI DIURNO. AF_07/2016</t>
  </si>
  <si>
    <t>134,57</t>
  </si>
  <si>
    <t>5837</t>
  </si>
  <si>
    <t>VIBROACABADORA DE ASFALTO SOBRE ESTEIRAS, LARGURA DE PAVIMENTAÇÃO 1,90 M A 5,30 M, POTÊNCIA 105 HP CAPACIDADE 450 T/H - CHI DIURNO. AF_11/2014</t>
  </si>
  <si>
    <t>158,65</t>
  </si>
  <si>
    <t>5841</t>
  </si>
  <si>
    <t>VASSOURA MECÂNICA REBOCÁVEL COM ESCOVA CILÍNDRICA, LARGURA ÚTIL DE VARRIMENTO DE 2,44 M - CHI DIURNO. AF_06/2014</t>
  </si>
  <si>
    <t>5845</t>
  </si>
  <si>
    <t>TRATOR DE PNEUS, POTÊNCIA 122 CV, TRAÇÃO 4X4, PESO COM LASTRO DE 4.510 KG - CHI DIURNO. AF_06/2014</t>
  </si>
  <si>
    <t>48,74</t>
  </si>
  <si>
    <t>5849</t>
  </si>
  <si>
    <t>TRATOR DE ESTEIRAS, POTÊNCIA 170 HP, PESO OPERACIONAL 19 T, CAÇAMBA 5,2 M3 - CHI DIURNO. AF_06/2014</t>
  </si>
  <si>
    <t>72,40</t>
  </si>
  <si>
    <t>5853</t>
  </si>
  <si>
    <t>TRATOR DE ESTEIRAS, POTÊNCIA 150 HP, PESO OPERACIONAL 16,7 T, COM RODA MOTRIZ ELEVADA E LÂMINA 3,18 M3 - CHI DIURNO. AF_06/2014</t>
  </si>
  <si>
    <t>72,66</t>
  </si>
  <si>
    <t>5857</t>
  </si>
  <si>
    <t>TRATOR DE ESTEIRAS, POTÊNCIA 347 HP, PESO OPERACIONAL 38,5 T, COM LÂMINA 8,70 M3 - CHI DIURNO. AF_06/2014</t>
  </si>
  <si>
    <t>168,56</t>
  </si>
  <si>
    <t>5865</t>
  </si>
  <si>
    <t>ROLO COMPACTADOR VIBRATÓRIO REBOCÁVEL, CILINDRO DE AÇO LISO, POTÊNCIA DE TRAÇÃO DE 65 CV, PESO 4,7 T, IMPACTO DINÂMICO 18,3 T, LARGURA DE TRABALHO 1,67 M - CHI DIURNO. AF_02/2016</t>
  </si>
  <si>
    <t>9,61</t>
  </si>
  <si>
    <t>5869</t>
  </si>
  <si>
    <t>ROLO COMPACTADOR VIBRATÓRIO TANDEM AÇO LISO, POTÊNCIA 58 HP, PESO SEM/COM LASTRO 6,5 / 9,4 T, LARGURA DE TRABALHO 1,2 M - CHI DIURNO. AF_06/2014</t>
  </si>
  <si>
    <t>61,75</t>
  </si>
  <si>
    <t>5877</t>
  </si>
  <si>
    <t>RETROESCAVADEIRA SOBRE RODAS COM CARREGADEIRA, TRAÇÃO 4X4, POTÊNCIA LÍQ. 72 HP, CAÇAMBA CARREG. CAP. MÍN. 0,79 M3, CAÇAMBA RETRO CAP. 0,18 M3, PESO OPERACIONAL MÍN. 7.140 KG, PROFUNDIDADE ESCAVAÇÃO MÁX. 4,50 M - CHI DIURNO. AF_06/2014</t>
  </si>
  <si>
    <t>56,80</t>
  </si>
  <si>
    <t>5881</t>
  </si>
  <si>
    <t>ROLO COMPACTADOR VIBRATÓRIO PÉ DE CARNEIRO, OPERADO POR CONTROLE REMOTO, POTÊNCIA 12,5 KW, PESO OPERACIONAL 1,675 T, LARGURA DE TRABALHO 0,85 M - CHI DIURNO. AF_02/2016</t>
  </si>
  <si>
    <t>66,16</t>
  </si>
  <si>
    <t>5884</t>
  </si>
  <si>
    <t>USINA DE LAMA ASFÁLTICA, PROD 30 A 50 T/H, SILO DE AGREGADO 7 M3, RESERVATÓRIOS PARA EMULSÃO E ÁGUA DE 2,3 M3 CADA, MISTURADOR TIPO PUG MILL A SER MONTADO SOBRE CAMINHÃO - CHI DIURNO. AF_10/2014</t>
  </si>
  <si>
    <t>43,28</t>
  </si>
  <si>
    <t>5892</t>
  </si>
  <si>
    <t>CAMINHÃO TOCO, PESO BRUTO TOTAL 14.300 KG, CARGA ÚTIL MÁXIMA 9590 KG, DISTÂNCIA ENTRE EIXOS 4,76 M, POTÊNCIA 185 CV (NÃO INCLUI CARROCERIA) - CHI DIURNO. AF_06/2014</t>
  </si>
  <si>
    <t>42,05</t>
  </si>
  <si>
    <t>5896</t>
  </si>
  <si>
    <t>CAMINHÃO TOCO, PESO BRUTO TOTAL 16.000 KG, CARGA ÚTIL MÁXIMA DE 10.685 KG, DISTÂNCIA ENTRE EIXOS 4,80 M, POTÊNCIA 189 CV EXCLUSIVE CARROCERIA - CHI DIURNO. AF_06/2014</t>
  </si>
  <si>
    <t>39,36</t>
  </si>
  <si>
    <t>5903</t>
  </si>
  <si>
    <t>CAMINHÃO PIPA 10.000 L TRUCADO, PESO BRUTO TOTAL 23.000 KG, CARGA ÚTIL MÁXIMA 15.935 KG, DISTÂNCIA ENTRE EIXOS 4,8 M, POTÊNCIA 230 CV, INCLUSIVE TANQUE DE AÇO PARA TRANSPORTE DE ÁGUA - CHI DIURNO. AF_06/2014</t>
  </si>
  <si>
    <t>49,85</t>
  </si>
  <si>
    <t>5911</t>
  </si>
  <si>
    <t>ESPARGIDOR DE ASFALTO PRESSURIZADO COM TANQUE DE 2500 L, REBOCÁVEL COM MOTOR A GASOLINA POTÊNCIA 3,4 HP - CHI DIURNO. AF_07/2014</t>
  </si>
  <si>
    <t>22,39</t>
  </si>
  <si>
    <t>5923</t>
  </si>
  <si>
    <t>GRADE DE DISCO REBOCÁVEL COM 20 DISCOS 24" X 6 MM COM PNEUS PARA TRANSPORTE - CHI DIURNO. AF_06/2014</t>
  </si>
  <si>
    <t>3,68</t>
  </si>
  <si>
    <t>5930</t>
  </si>
  <si>
    <t>GUINDAUTO HIDRÁULICO, CAPACIDADE MÁXIMA DE CARGA 6200 KG, MOMENTO MÁXIMO DE CARGA 11,7 TM, ALCANCE MÁXIMO HORIZONTAL 9,70 M, INCLUSIVE CAMINHÃO TOCO PBT 16.000 KG, POTÊNCIA DE 189 CV - CHI DIURNO. AF_06/2014</t>
  </si>
  <si>
    <t>47,95</t>
  </si>
  <si>
    <t>5934</t>
  </si>
  <si>
    <t>MOTONIVELADORA POTÊNCIA BÁSICA LÍQUIDA (PRIMEIRA MARCHA) 125 HP, PESO BRUTO 13032 KG, LARGURA DA LÂMINA DE 3,7 M - CHI DIURNO. AF_06/2014</t>
  </si>
  <si>
    <t>80,88</t>
  </si>
  <si>
    <t>5942</t>
  </si>
  <si>
    <t>PÁ CARREGADEIRA SOBRE RODAS, POTÊNCIA LÍQUIDA 128 HP, CAPACIDADE DA CAÇAMBA 1,7 A 2,8 M3, PESO OPERACIONAL 11632 KG - CHI DIURNO. AF_06/2014</t>
  </si>
  <si>
    <t>66,92</t>
  </si>
  <si>
    <t>5946</t>
  </si>
  <si>
    <t>PÁ CARREGADEIRA SOBRE RODAS, POTÊNCIA 197 HP, CAPACIDADE DA CAÇAMBA 2,5 A 3,5 M3, PESO OPERACIONAL 18338 KG - CHI DIURNO. AF_06/2014</t>
  </si>
  <si>
    <t>82,41</t>
  </si>
  <si>
    <t>5952</t>
  </si>
  <si>
    <t>MARTELETE OU ROMPEDOR PNEUMÁTICO MANUAL, 28 KG, COM SILENCIADOR - CHI DIURNO. AF_07/2016</t>
  </si>
  <si>
    <t>17,74</t>
  </si>
  <si>
    <t>5954</t>
  </si>
  <si>
    <t>COMPRESSOR DE AR REBOCÁVEL, VAZÃO 189 PCM, PRESSÃO EFETIVA DE TRABALHO 102 PSI, MOTOR DIESEL, POTÊNCIA 63 CV - CHI DIURNO. AF_06/2015</t>
  </si>
  <si>
    <t>3,92</t>
  </si>
  <si>
    <t>5961</t>
  </si>
  <si>
    <t>CAMINHÃO BASCULANTE 6 M3, PESO BRUTO TOTAL 16.000 KG, CARGA ÚTIL MÁXIMA 13.071 KG, DISTÂNCIA ENTRE EIXOS 4,80 M, POTÊNCIA 230 CV INCLUSIVE CAÇAMBA METÁLICA - CHI DIURNO. AF_06/2014</t>
  </si>
  <si>
    <t>48,19</t>
  </si>
  <si>
    <t>6260</t>
  </si>
  <si>
    <t>CAMINHÃO PIPA 6.000 L, PESO BRUTO TOTAL 13.000 KG, DISTÂNCIA ENTRE EIXOS 4,80 M, POTÊNCIA 189 CV INCLUSIVE TANQUE DE AÇO PARA TRANSPORTE DE ÁGUA, CAPACIDADE 6 M3 - CHI DIURNO. AF_06/2014</t>
  </si>
  <si>
    <t>44,39</t>
  </si>
  <si>
    <t>6880</t>
  </si>
  <si>
    <t>ROLO COMPACTADOR DE PNEUS ESTÁTICO, PRESSÃO VARIÁVEL, POTÊNCIA 111 HP, PESO SEM/COM LASTRO 9,5 / 26 T, LARGURA DE TRABALHO 1,90 M - CHI DIURNO. AF_07/2014</t>
  </si>
  <si>
    <t>72,43</t>
  </si>
  <si>
    <t>7031</t>
  </si>
  <si>
    <t>TANQUE DE ASFALTO ESTACIONÁRIO COM SERPENTINA, CAPACIDADE 30.000 L - CHI DIURNO. AF_06/2014</t>
  </si>
  <si>
    <t>5,69</t>
  </si>
  <si>
    <t>7043</t>
  </si>
  <si>
    <t>MOTOBOMBA TRASH (PARA ÁGUA SUJA) AUTO ESCORVANTE, MOTOR GASOLINA DE 6,41 HP, DIÂMETROS DE SUCÇÃO X RECALQUE: 3" X 3", HM/Q = 10 MCA / 60 M3/H A 23 MCA / 0 M3/H - CHI DIURNO. AF_10/2014</t>
  </si>
  <si>
    <t>0,29</t>
  </si>
  <si>
    <t>7050</t>
  </si>
  <si>
    <t>ROLO COMPACTADOR PE DE CARNEIRO VIBRATORIO, POTENCIA 125 HP, PESO OPERACIONAL SEM/COM LASTRO 11,95 / 13,30 T, IMPACTO DINAMICO 38,5 / 22,5 T, LARGURA DE TRABALHO 2,15 M - CHI DIURNO. AF_06/2014</t>
  </si>
  <si>
    <t>66,80</t>
  </si>
  <si>
    <t>67827</t>
  </si>
  <si>
    <t>CAMINHÃO BASCULANTE 6 M3 TOCO, PESO BRUTO TOTAL 16.000 KG, CARGA ÚTIL MÁXIMA 11.130 KG, DISTÂNCIA ENTRE EIXOS 5,36 M, POTÊNCIA 185 CV, INCLUSIVE CAÇAMBA METÁLICA - CHI DIURNO. AF_06/2014</t>
  </si>
  <si>
    <t>47,09</t>
  </si>
  <si>
    <t>73395</t>
  </si>
  <si>
    <t>GRUPO GERADOR ESTACIONÁRIO, MOTOR DIESEL POTÊNCIA 170 KVA - CHI DIURNO. AF_02/2016</t>
  </si>
  <si>
    <t>5,80</t>
  </si>
  <si>
    <t>83766</t>
  </si>
  <si>
    <t>GRUPO DE SOLDAGEM COM GERADOR A DIESEL 60 CV PARA SOLDA ELÉTRICA, SOBRE 04 RODAS, COM MOTOR 4 CILINDROS 600 A - CHI DIURNO. AF_02/2016</t>
  </si>
  <si>
    <t>40,28</t>
  </si>
  <si>
    <t>84013</t>
  </si>
  <si>
    <t>ESCAVADEIRA HIDRÁULICA SOBRE ESTEIRAS, CAÇAMBA 0,80 M3, PESO OPERACIONAL 17,8 T, POTÊNCIA LÍQUIDA 110 HP - CHI DIURNO. AF_10/2014</t>
  </si>
  <si>
    <t>81,03</t>
  </si>
  <si>
    <t>87446</t>
  </si>
  <si>
    <t>BETONEIRA CAPACIDADE NOMINAL 400 L, CAPACIDADE DE MISTURA 310 L, MOTOR A DIESEL POTÊNCIA 5,0 HP, SEM CARREGADOR - CHI DIURNO. AF_06/2014</t>
  </si>
  <si>
    <t>0,48</t>
  </si>
  <si>
    <t>88392</t>
  </si>
  <si>
    <t>MISTURADOR DE ARGAMASSA, EIXO HORIZONTAL, CAPACIDADE DE MISTURA 300 KG, MOTOR ELÉTRICO POTÊNCIA 5 CV - CHI DIURNO. AF_06/2014</t>
  </si>
  <si>
    <t>0,94</t>
  </si>
  <si>
    <t>88398</t>
  </si>
  <si>
    <t>MISTURADOR DE ARGAMASSA, EIXO HORIZONTAL, CAPACIDADE DE MISTURA 600 KG, MOTOR ELÉTRICO POTÊNCIA 7,5 CV - CHI DIURNO. AF_06/2014</t>
  </si>
  <si>
    <t>1,11</t>
  </si>
  <si>
    <t>88404</t>
  </si>
  <si>
    <t>MISTURADOR DE ARGAMASSA, EIXO HORIZONTAL, CAPACIDADE DE MISTURA 160 KG, MOTOR ELÉTRICO POTÊNCIA 3 CV - CHI DIURNO. AF_06/2014</t>
  </si>
  <si>
    <t>0,89</t>
  </si>
  <si>
    <t>88430</t>
  </si>
  <si>
    <t>PROJETOR DE ARGAMASSA, CAPACIDADE DE PROJEÇÃO 1,5 M3/H, ALCANCE DE 30 ATÉ 60 M, MOTOR ELÉTRICO POTÊNCIA 7,5 HP - CHI DIURNO. AF_06/2014</t>
  </si>
  <si>
    <t>5,82</t>
  </si>
  <si>
    <t>88438</t>
  </si>
  <si>
    <t>PROJETOR DE ARGAMASSA, CAPACIDADE DE PROJEÇÃO 2 M3/H, ALCANCE ATÉ 50 M, MOTOR ELÉTRICO POTÊNCIA 7,5 HP - CHI DIURNO. AF_06/2014</t>
  </si>
  <si>
    <t>7,73</t>
  </si>
  <si>
    <t>88831</t>
  </si>
  <si>
    <t>BETONEIRA CAPACIDADE NOMINAL DE 400 L, CAPACIDADE DE MISTURA 280 L, MOTOR ELÉTRICO TRIFÁSICO POTÊNCIA DE 2 CV, SEM CARREGADOR - CHI DIURNO. AF_10/2014</t>
  </si>
  <si>
    <t>0,35</t>
  </si>
  <si>
    <t>88844</t>
  </si>
  <si>
    <t>TRATOR DE ESTEIRAS, POTÊNCIA 125 HP, PESO OPERACIONAL 12,9 T, COM LÂMINA 2,7 M3 - CHI DIURNO. AF_10/2014</t>
  </si>
  <si>
    <t>64,55</t>
  </si>
  <si>
    <t>88908</t>
  </si>
  <si>
    <t>ESCAVADEIRA HIDRÁULICA SOBRE ESTEIRAS, CAÇAMBA 1,20 M3, PESO OPERACIONAL 21 T, POTÊNCIA BRUTA 155 HP - CHI DIURNO. AF_06/2014</t>
  </si>
  <si>
    <t>89,59</t>
  </si>
  <si>
    <t>89022</t>
  </si>
  <si>
    <t>BOMBA SUBMERSÍVEL ELÉTRICA TRIFÁSICA, POTÊNCIA 2,96 HP, Ø ROTOR 144 MM SEMI-ABERTO, BOCAL DE SAÍDA Ø 2, HM/Q = 2 MCA / 38,8 M3/H A 28 MCA / 5 M3/H - CHI DIURNO. AF_06/2014</t>
  </si>
  <si>
    <t>0,31</t>
  </si>
  <si>
    <t>89027</t>
  </si>
  <si>
    <t>TANQUE DE ASFALTO ESTACIONÁRIO COM MAÇARICO, CAPACIDADE 20.000 L - CHI DIURNO. AF_06/2014</t>
  </si>
  <si>
    <t>4,63</t>
  </si>
  <si>
    <t>89031</t>
  </si>
  <si>
    <t>TRATOR DE ESTEIRAS, POTÊNCIA 100 HP, PESO OPERACIONAL 9,4 T, COM LÂMINA 2,19 M3 - CHI DIURNO. AF_06/2014</t>
  </si>
  <si>
    <t>63,03</t>
  </si>
  <si>
    <t>89036</t>
  </si>
  <si>
    <t>TRATOR DE PNEUS, POTÊNCIA 85 CV, TRAÇÃO 4X4, PESO COM LASTRO DE 4.675 KG - CHI DIURNO. AF_06/2014</t>
  </si>
  <si>
    <t>43,87</t>
  </si>
  <si>
    <t>89218</t>
  </si>
  <si>
    <t>BATE-ESTACAS POR GRAVIDADE, POTÊNCIA DE 160 HP, PESO DO MARTELO ATÉ 3 TONELADAS - CHI DIURNO. AF_11/2014</t>
  </si>
  <si>
    <t>87,33</t>
  </si>
  <si>
    <t>89226</t>
  </si>
  <si>
    <t>BETONEIRA CAPACIDADE NOMINAL DE 600 L, CAPACIDADE DE MISTURA 360 L, MOTOR ELÉTRICO TRIFÁSICO POTÊNCIA DE 4 CV, SEM CARREGADOR - CHI DIURNO. AF_11/2014</t>
  </si>
  <si>
    <t>1,45</t>
  </si>
  <si>
    <t>89235</t>
  </si>
  <si>
    <t>FRESADORA DE ASFALTO A FRIO SOBRE RODAS, LARGURA FRESAGEM DE 1,0 M, POTÊNCIA 208 HP - CHI DIURNO. AF_11/2014</t>
  </si>
  <si>
    <t>206,77</t>
  </si>
  <si>
    <t>89243</t>
  </si>
  <si>
    <t>FRESADORA DE ASFALTO A FRIO SOBRE RODAS, LARGURA FRESAGEM DE 2,0 M, POTÊNCIA 550 HP - CHI DIURNO. AF_11/2014</t>
  </si>
  <si>
    <t>445,11</t>
  </si>
  <si>
    <t>89251</t>
  </si>
  <si>
    <t>RECICLADORA DE ASFALTO A FRIO SOBRE RODAS, LARGURA FRESAGEM DE 2,0 M, POTÊNCIA 422 HP - CHI DIURNO. AF_11/2014</t>
  </si>
  <si>
    <t>390,49</t>
  </si>
  <si>
    <t>89258</t>
  </si>
  <si>
    <t>VIBROACABADORA DE ASFALTO SOBRE ESTEIRAS, LARGURA DE PAVIMENTAÇÃO 2,13 M A 4,55 M, POTÊNCIA 100 HP, CAPACIDADE 400 T/H - CHI DIURNO. AF_11/2014</t>
  </si>
  <si>
    <t>135,13</t>
  </si>
  <si>
    <t>89273</t>
  </si>
  <si>
    <t>GUINDASTE HIDRÁULICO AUTOPROPELIDO, COM LANÇA TELESCÓPICA 28,80 M, CAPACIDADE MÁXIMA 30 T, POTÊNCIA 97 KW, TRAÇÃO 4 X 4 - CHI DIURNO. AF_11/2014</t>
  </si>
  <si>
    <t>94,29</t>
  </si>
  <si>
    <t>89279</t>
  </si>
  <si>
    <t>BETONEIRA CAPACIDADE NOMINAL DE 600 L, CAPACIDADE DE MISTURA 440 L, MOTOR A DIESEL POTÊNCIA 10 HP, COM CARREGADOR - CHI DIURNO. AF_11/2014</t>
  </si>
  <si>
    <t>1,76</t>
  </si>
  <si>
    <t>89877</t>
  </si>
  <si>
    <t>CAMINHÃO BASCULANTE 14 M3, COM CAVALO MECÂNICO DE CAPACIDADE MÁXIMA DE TRAÇÃO COMBINADO DE 36000 KG, POTÊNCIA 286 CV, INCLUSIVE SEMIREBOQUE COM CAÇAMBA METÁLICA - CHI DIURNO. AF_12/2014</t>
  </si>
  <si>
    <t>61,38</t>
  </si>
  <si>
    <t>89884</t>
  </si>
  <si>
    <t>CAMINHÃO BASCULANTE 18 M3, COM CAVALO MECÂNICO DE CAPACIDADE MÁXIMA DE TRAÇÃO COMBINADO DE 45000 KG, POTÊNCIA 330 CV, INCLUSIVE SEMIREBOQUE COM CAÇAMBA METÁLICA - CHI DIURNO. AF_12/2014</t>
  </si>
  <si>
    <t>63,49</t>
  </si>
  <si>
    <t>90587</t>
  </si>
  <si>
    <t>VIBRADOR DE IMERSÃO, DIÂMETRO DE PONTEIRA 45MM, MOTOR ELÉTRICO TRIFÁSICO POTÊNCIA DE 2 CV - CHI DIURNO. AF_06/2015</t>
  </si>
  <si>
    <t>0,43</t>
  </si>
  <si>
    <t>90626</t>
  </si>
  <si>
    <t>PERFURATRIZ MANUAL, TORQUE MÁXIMO 83 N.M, POTÊNCIA 5 CV, COM DIÂMETRO MÁXIMO 4" - CHI DIURNO. AF_06/2015</t>
  </si>
  <si>
    <t>1,69</t>
  </si>
  <si>
    <t>90632</t>
  </si>
  <si>
    <t>PERFURATRIZ SOBRE ESTEIRA, TORQUE MÁXIMO 600 KGF, PESO MÉDIO 1000 KG, POTÊNCIA 20 HP, DIÂMETRO MÁXIMO 10" - CHI DIURNO. AF_06/2015</t>
  </si>
  <si>
    <t>83,49</t>
  </si>
  <si>
    <t>90638</t>
  </si>
  <si>
    <t>MISTURADOR DUPLO HORIZONTAL DE ALTA TURBULÊNCIA, CAPACIDADE / VOLUME 2 X 500 LITROS, MOTORES ELÉTRICOS MÍNIMO 5 CV CADA, PARA NATA CIMENTO, ARGAMASSA E OUTROS - CHI DIURNO. AF_06/2015</t>
  </si>
  <si>
    <t>4,48</t>
  </si>
  <si>
    <t>90644</t>
  </si>
  <si>
    <t>BOMBA TRIPLEX, PARA INJEÇÃO DE NATA DE CIMENTO, VAZÃO MÁXIMA DE 100 LITROS/MINUTO, PRESSÃO MÁXIMA DE 70 BAR - CHI DIURNO. AF_06/2015</t>
  </si>
  <si>
    <t>6,70</t>
  </si>
  <si>
    <t>90651</t>
  </si>
  <si>
    <t>BOMBA CENTRÍFUGA MONOESTÁGIO COM MOTOR ELÉTRICO MONOFÁSICO, POTÊNCIA 15 HP, DIÂMETRO DO ROTOR 173 MM, HM/Q = 30 MCA / 90 M3/H A 45 MCA / 55 M3/H - CHI DIURNO. AF_06/2015</t>
  </si>
  <si>
    <t>0,83</t>
  </si>
  <si>
    <t>90657</t>
  </si>
  <si>
    <t>BOMBA DE PROJEÇÃO DE CONCRETO SECO, POTÊNCIA 10 CV, VAZÃO 3 M3/H - CHI DIURNO. AF_06/2015</t>
  </si>
  <si>
    <t>4,36</t>
  </si>
  <si>
    <t>90663</t>
  </si>
  <si>
    <t>BOMBA DE PROJEÇÃO DE CONCRETO SECO, POTÊNCIA 10 CV, VAZÃO 6 M3/H - CHI DIURNO. AF_06/2015</t>
  </si>
  <si>
    <t>4,66</t>
  </si>
  <si>
    <t>90669</t>
  </si>
  <si>
    <t>PROJETOR PNEUMÁTICO DE ARGAMASSA PARA CHAPISCO E REBOCO COM RECIPIENTE ACOPLADO, TIPO CANEQUINHA, COM COMPRESSOR DE AR REBOCÁVEL VAZÃO 89 PCM E MOTOR DIESEL DE 20 CV - CHI DIURNO. AF_06/2015</t>
  </si>
  <si>
    <t>6,22</t>
  </si>
  <si>
    <t>90675</t>
  </si>
  <si>
    <t>PERFURATRIZ COM TORRE METÁLICA PARA EXECUÇÃO DE ESTACA HÉLICE CONTÍNUA, PROFUNDIDADE MÁXIMA DE 30 M, DIÂMETRO MÁXIMO DE 800 MM, POTÊNCIA INSTALADA DE 268 HP, MESA ROTATIVA COM TORQUE MÁXIMO DE 170 KNM - CHI DIURNO. AF_06/2015</t>
  </si>
  <si>
    <t>281,36</t>
  </si>
  <si>
    <t>90681</t>
  </si>
  <si>
    <t>PERFURATRIZ HIDRÁULICA SOBRE CAMINHÃO COM TRADO CURTO ACOPLADO, PROFUNDIDADE MÁXIMA DE 20 M, DIÂMETRO MÁXIMO DE 1500 MM, POTÊNCIA INSTALADA DE 137 HP, MESA ROTATIVA COM TORQUE MÁXIMO DE 30 KNM - CHI DIURNO. AF_06/2015</t>
  </si>
  <si>
    <t>159,01</t>
  </si>
  <si>
    <t>90687</t>
  </si>
  <si>
    <t>MANIPULADOR TELESCÓPICO, POTÊNCIA DE 85 HP, CAPACIDADE DE CARGA DE 3.500 KG, ALTURA MÁXIMA DE ELEVAÇÃO DE 12,3 M - CHI DIURNO. AF_06/2015</t>
  </si>
  <si>
    <t>59,89</t>
  </si>
  <si>
    <t>90693</t>
  </si>
  <si>
    <t>MINICARREGADEIRA SOBRE RODAS, POTÊNCIA LÍQUIDA DE 47 HP, CAPACIDADE NOMINAL DE OPERAÇÃO DE 646 KG - CHI DIURNO. AF_06/2015</t>
  </si>
  <si>
    <t>43,57</t>
  </si>
  <si>
    <t>90965</t>
  </si>
  <si>
    <t>COMPRESSOR DE AR REBOCÁVEL, VAZÃO 89 PCM, PRESSÃO EFETIVA DE TRABALHO 102 PSI, MOTOR DIESEL, POTÊNCIA 20 CV - CHI DIURNO. AF_06/2015</t>
  </si>
  <si>
    <t>5,25</t>
  </si>
  <si>
    <t>90973</t>
  </si>
  <si>
    <t>COMPRESSOR DE AR REBOCAVEL, VAZÃO 250 PCM, PRESSAO DE TRABALHO 102 PSI, MOTOR A DIESEL POTÊNCIA 81 CV - CHI DIURNO. AF_06/2015</t>
  </si>
  <si>
    <t>5,26</t>
  </si>
  <si>
    <t>90982</t>
  </si>
  <si>
    <t>COMPRESSOR DE AR REBOCÁVEL, VAZÃO 748 PCM, PRESSÃO EFETIVA DE TRABALHO 102 PSI, MOTOR DIESEL, POTÊNCIA 210 CV - CHI DIURNO. AF_06/2015</t>
  </si>
  <si>
    <t>13,37</t>
  </si>
  <si>
    <t>91001</t>
  </si>
  <si>
    <t>COMPRESSOR DE AR REBOCAVEL, VAZÃO 400 PCM, PRESSAO DE TRABALHO 102 PSI, MOTOR A DIESEL POTÊNCIA 110 CV - CHI DIURNO. AF_06/2015</t>
  </si>
  <si>
    <t>6,24</t>
  </si>
  <si>
    <t>91032</t>
  </si>
  <si>
    <t>CAMINHÃO TRUCADO (C/ TERCEIRO EIXO) ELETRÔNICO - POTÊNCIA 231CV - PBT = 22000KG - DIST. ENTRE EIXOS 5170 MM - INCLUI CARROCERIA FIXA ABERTA DE MADEIRA - CHI DIURNO. AF_06/2015</t>
  </si>
  <si>
    <t>46,97</t>
  </si>
  <si>
    <t>91278</t>
  </si>
  <si>
    <t>PLACA VIBRATÓRIA REVERSÍVEL COM MOTOR 4 TEMPOS A GASOLINA, FORÇA CENTRÍFUGA DE 25 KN (2500 KGF), POTÊNCIA 5,5 CV - CHI DIURNO. AF_08/2015</t>
  </si>
  <si>
    <t>0,54</t>
  </si>
  <si>
    <t>91285</t>
  </si>
  <si>
    <t>CORTADORA DE PISO COM MOTOR 4 TEMPOS A GASOLINA, POTÊNCIA DE 13 HP, COM DISCO DE CORTE DIAMANTADO SEGMENTADO PARA CONCRETO, DIÂMETRO DE 350 MM, FURO DE 1" (14 X 1") - CHI DIURNO. AF_08/2015</t>
  </si>
  <si>
    <t>1,20</t>
  </si>
  <si>
    <t>91387</t>
  </si>
  <si>
    <t>CAMINHÃO BASCULANTE 10 M3, TRUCADO CABINE SIMPLES, PESO BRUTO TOTAL 23.000 KG, CARGA ÚTIL MÁXIMA 15.935 KG, DISTÂNCIA ENTRE EIXOS 4,80 M, POTÊNCIA 230 CV INCLUSIVE CAÇAMBA METÁLICA - CHI DIURNO. AF_06/2014</t>
  </si>
  <si>
    <t>51,35</t>
  </si>
  <si>
    <t>91395</t>
  </si>
  <si>
    <t>CAMINHÃO TOCO, PBT 14.300 KG, CARGA ÚTIL MÁX. 9.710 KG, DIST. ENTRE EIXOS 3,56 M, POTÊNCIA 185 CV, INCLUSIVE CARROCERIA FIXA ABERTA DE MADEIRA P/ TRANSPORTE GERAL DE CARGA SECA, DIMEN. APROX. 2,50 X 6,50 X 0,50 M - CHI DIURNO. AF_06/2014</t>
  </si>
  <si>
    <t>43,46</t>
  </si>
  <si>
    <t>91486</t>
  </si>
  <si>
    <t>ESPARGIDOR DE ASFALTO PRESSURIZADO, TANQUE 6 M3 COM ISOLAÇÃO TÉRMICA, AQUECIDO COM 2 MAÇARICOS, COM BARRA ESPARGIDORA 3,60 M, MONTADO SOBRE CAMINHÃO  TOCO, PBT 14.300 KG, POTÊNCIA 185 CV - CHI DIURNO. AF_08/2015</t>
  </si>
  <si>
    <t>51,06</t>
  </si>
  <si>
    <t>91534</t>
  </si>
  <si>
    <t>COMPACTADOR DE SOLOS DE PERCUSSÃO (SOQUETE) COM MOTOR A GASOLINA 4 TEMPOS, POTÊNCIA 4 CV - CHI DIURNO. AF_08/2015</t>
  </si>
  <si>
    <t>28,94</t>
  </si>
  <si>
    <t>91635</t>
  </si>
  <si>
    <t>GUINDAUTO HIDRÁULICO, CAPACIDADE MÁXIMA DE CARGA 6500 KG, MOMENTO MÁXIMO DE CARGA 5,8 TM, ALCANCE MÁXIMO HORIZONTAL 7,60 M, INCLUSIVE CAMINHÃO TOCO PBT 9.700 KG, POTÊNCIA DE 160 CV - CHI DIURNO. AF_08/2015</t>
  </si>
  <si>
    <t>46,45</t>
  </si>
  <si>
    <t>91646</t>
  </si>
  <si>
    <t>CAMINHÃO DE TRANSPORTE DE MATERIAL ASFÁLTICO 30.000 L, COM CAVALO MECÂNICO DE CAPACIDADE MÁXIMA DE TRAÇÃO COMBINADO DE 66.000 KG, POTÊNCIA 360 CV, INCLUSIVE TANQUE DE ASFALTO COM SERPENTINA - CHI DIURNO. AF_08/2015</t>
  </si>
  <si>
    <t>72,08</t>
  </si>
  <si>
    <t>91693</t>
  </si>
  <si>
    <t>SERRA CIRCULAR DE BANCADA COM MOTOR ELÉTRICO POTÊNCIA DE 5HP, COM COIFA PARA DISCO 10" - CHI DIURNO. AF_08/2015</t>
  </si>
  <si>
    <t>28,29</t>
  </si>
  <si>
    <t>92044</t>
  </si>
  <si>
    <t>DISTRIBUIDOR DE AGREGADOS REBOCAVEL, CAPACIDADE 1,9 M³, LARGURA DE TRABALHO 3,66 M - CHI DIURNO. AF_11/2015</t>
  </si>
  <si>
    <t>92107</t>
  </si>
  <si>
    <t>CAMINHÃO PARA EQUIPAMENTO DE LIMPEZA A SUCÇÃO COM CAMINHÃO TRUCADO DE PESO BRUTO TOTAL 23000 KG, CARGA ÚTIL MÁXIMA 15935 KG, DISTÂNCIA ENTRE EIXOS 4,80 M, POTÊNCIA 230 CV, INCLUSIVE LIMPADORA A SUCÇÃO, TANQUE 12000 L - CHI DIURNO. AF_11/2015</t>
  </si>
  <si>
    <t>53,25</t>
  </si>
  <si>
    <t>92113</t>
  </si>
  <si>
    <t>PENEIRA ROTATIVA COM MOTOR ELÉTRICO TRIFÁSICO DE 2 CV, CILINDRO DE 1 M X 0,60 M, COM FUROS DE 3,17 MM - CHI DIURNO. AF_11/2015</t>
  </si>
  <si>
    <t>1,04</t>
  </si>
  <si>
    <t>92119</t>
  </si>
  <si>
    <t>DOSADOR DE AREIA, CAPACIDADE DE 26 LITROS - CHI DIURNO. AF_11/2015</t>
  </si>
  <si>
    <t>0,11</t>
  </si>
  <si>
    <t>92139</t>
  </si>
  <si>
    <t>CAMINHONETE COM MOTOR A DIESEL, POTÊNCIA 180 CV, CABINE DUPLA, 4X4 - CHI DIURNO. AF_11/2015</t>
  </si>
  <si>
    <t>37,93</t>
  </si>
  <si>
    <t>92146</t>
  </si>
  <si>
    <t>CAMINHONETE CABINE SIMPLES COM MOTOR 1.6 FLEX, CÂMBIO MANUAL, POTÊNCIA 101/104 CV, 2 PORTAS - CHI DIURNO. AF_11/2015</t>
  </si>
  <si>
    <t>28,47</t>
  </si>
  <si>
    <t>92243</t>
  </si>
  <si>
    <t>CAMINHÃO DE TRANSPORTE DE MATERIAL ASFÁLTICO 20.000 L, COM CAVALO MECÂNICO DE CAPACIDADE MÁXIMA DE TRAÇÃO COMBINADO DE 45.000 KG, POTÊNCIA 330 CV, INCLUSIVE TANQUE DE ASFALTO COM MAÇARICO - CHI DIURNO. AF_12/2015</t>
  </si>
  <si>
    <t>61,26</t>
  </si>
  <si>
    <t>92717</t>
  </si>
  <si>
    <t>APARELHO PARA CORTE E SOLDA OXI-ACETILENO SOBRE RODAS, INCLUSIVE CILINDROS E MAÇARICOS - CHI DIURNO. AF_12/2015</t>
  </si>
  <si>
    <t>0,27</t>
  </si>
  <si>
    <t>92961</t>
  </si>
  <si>
    <t>5,04</t>
  </si>
  <si>
    <t>92967</t>
  </si>
  <si>
    <t>MARTELO PERFURADOR PNEUMÁTICO MANUAL, HASTE 25 X 75 MM, 21 KG - CHI DIURNO. AF_12/2015</t>
  </si>
  <si>
    <t>17,78</t>
  </si>
  <si>
    <t>93225</t>
  </si>
  <si>
    <t>PERFURATRIZ COM TORRE METÁLICA PARA EXECUÇÃO DE ESTACA HÉLICE CONTÍNUA, PROFUNDIDADE MÁXIMA DE 32 M, DIÂMETRO MÁXIMO DE 1000 MM, POTÊNCIA INSTALADA DE 350 HP, MESA ROTATIVA COM TORQUE MÁXIMO DE 263 KNM - CHI DIURNO. AF_01/2016</t>
  </si>
  <si>
    <t>421,88</t>
  </si>
  <si>
    <t>93234</t>
  </si>
  <si>
    <t>BETONEIRA CAPACIDADE NOMINAL 400 L, CAPACIDADE DE MISTURA 310 L, MOTOR A GASOLINA POTÊNCIA 5,5 HP, SEM CARREGADOR - CHI DIURNO. AF_02/2016</t>
  </si>
  <si>
    <t>0,44</t>
  </si>
  <si>
    <t>93244</t>
  </si>
  <si>
    <t>ROLO COMPACTADOR VIBRATÓRIO PÉ DE CARNEIRO PARA SOLOS, POTÊNCIA 80 HP, PESO OPERACIONAL SEM/COM LASTRO 7,4 / 8,8 T, LARGURA DE TRABALHO 1,68 M - CHI DIURNO. AF_02/2016</t>
  </si>
  <si>
    <t>55,75</t>
  </si>
  <si>
    <t>93274</t>
  </si>
  <si>
    <t>GRUA ASCENSIONAL, LANÇA DE 30 M, CAPACIDADE DE 1,0 T A 30 M, ALTURA ATÉ 39 M - CHI DIURNO. AF_03/2016</t>
  </si>
  <si>
    <t>84,69</t>
  </si>
  <si>
    <t>93282</t>
  </si>
  <si>
    <t>GUINCHO ELÉTRICO DE COLUNA, CAPACIDADE 400 KG, COM MOTO FREIO, MOTOR TRIFÁSICO DE 1,25 CV - CHI DIURNO. AF_03/2016</t>
  </si>
  <si>
    <t>24,84</t>
  </si>
  <si>
    <t>93288</t>
  </si>
  <si>
    <t>GUINDASTE HIDRÁULICO AUTOPROPELIDO, COM LANÇA TELESCÓPICA 40 M, CAPACIDADE MÁXIMA 60 T, POTÊNCIA 260 KW - CHI DIURNO. AF_03/2016</t>
  </si>
  <si>
    <t>144,10</t>
  </si>
  <si>
    <t>93403</t>
  </si>
  <si>
    <t>GUINDAUTO HIDRÁULICO, CAPACIDADE MÁXIMA DE CARGA 3300 KG, MOMENTO MÁXIMO DE CARGA 5,8 TM, ALCANCE MÁXIMO HORIZONTAL 7,60 M, INCLUSIVE CAMINHÃO TOCO PBT 16.000 KG, POTÊNCIA DE 189 CV - CHI DIURNO. AF_03/2016</t>
  </si>
  <si>
    <t>93409</t>
  </si>
  <si>
    <t>MÁQUINA JATO DE PRESSAO PORTÁTIL, CAMARA DE 1 SAIDA, CAPACIDADE 280 L, DIAMETRO 670 MM, BICO DE JATO CURTO VENTURI DE 5/16'' , MANGUEIRA DE 1'' COM COMPRESSOR DE AR REBOCÁVEL 189 PCM E MOTOR DIESEL 63 CV - CHI DIURNO. AF_03/2016</t>
  </si>
  <si>
    <t>34,07</t>
  </si>
  <si>
    <t>93416</t>
  </si>
  <si>
    <t>GERADOR PORTÁTIL MONOFÁSICO, POTÊNCIA 5500 VA, MOTOR A GASOLINA, POTÊNCIA DO MOTOR 13 CV - CHI DIURNO. AF_03/2016</t>
  </si>
  <si>
    <t>93422</t>
  </si>
  <si>
    <t>GRUPO GERADOR REBOCÁVEL, POTÊNCIA 66 KVA, MOTOR A DIESEL - CHI DIURNO. AF_03/2016</t>
  </si>
  <si>
    <t>93428</t>
  </si>
  <si>
    <t>GRUPO GERADOR ESTACIONÁRIO, POTÊNCIA 150 KVA, MOTOR A DIESEL- CHI DIURNO. AF_03/2016</t>
  </si>
  <si>
    <t>5,16</t>
  </si>
  <si>
    <t>93434</t>
  </si>
  <si>
    <t>USINA DE MISTURA ASFÁLTICA À QUENTE, TIPO CONTRA FLUXO, PROD 40 A 80 TON/HORA - CHI DIURNO. AF_03/2016</t>
  </si>
  <si>
    <t>222,25</t>
  </si>
  <si>
    <t>93440</t>
  </si>
  <si>
    <t>USINA DE ASFALTO À FRIO, CAPACIDADE DE 40 A 60 TON/HORA, ELÉTRICA POTÊNCIA 30 CV - CHI DIURNO. AF_03/2016</t>
  </si>
  <si>
    <t>104,46</t>
  </si>
  <si>
    <t>95122</t>
  </si>
  <si>
    <t>USINA MISTURADORA DE SOLOS, CAPACIDADE DE 200 A 500 TON/H, POTENCIA 75KW - CHI DIURNO. AF_07/2016</t>
  </si>
  <si>
    <t>161,87</t>
  </si>
  <si>
    <t>95128</t>
  </si>
  <si>
    <t>DISTRIBUIDOR DE AGREGADOS AUTOPROPELIDO, CAP 3 M3, A DIESEL, POTÊNCIA 176CV - CHI DIURNO. AF_07/2016</t>
  </si>
  <si>
    <t>47,00</t>
  </si>
  <si>
    <t>95140</t>
  </si>
  <si>
    <t>TALHA MANUAL DE CORRENTE, CAPACIDADE DE 2 TON. COM ELEVAÇÃO DE 3 M - CHI DIURNO. AF_07/2016</t>
  </si>
  <si>
    <t>0,04</t>
  </si>
  <si>
    <t>95213</t>
  </si>
  <si>
    <t>GRUA ASCENCIONAL, LANÇA DE 42 M, CAPACIDADE DE 1,5 T A 30 M, ALTURA ATÉ 39 M - CHI DIURNO. AF_08/2016</t>
  </si>
  <si>
    <t>90,46</t>
  </si>
  <si>
    <t>95259</t>
  </si>
  <si>
    <t>MARTELO DEMOLIDOR PNEUMÁTICO MANUAL, 32 KG - CHI DIURNO. AF_09/2016</t>
  </si>
  <si>
    <t>17,61</t>
  </si>
  <si>
    <t>95265</t>
  </si>
  <si>
    <t>COMPACTADOR DE SOLOS DE PERCUSÃO (SOQUETE) COM MOTOR A GASOLINA, POTÊNCIA 3 CV - CHI DIURNO. AF_09/2016</t>
  </si>
  <si>
    <t>0,69</t>
  </si>
  <si>
    <t>95271</t>
  </si>
  <si>
    <t>RÉGUA VIBRATÓRIA DUPLA PARA CONCRETO, PESO DE 60KG, COMPRIMENTO 4 M, COM MOTOR A GASOLINA, POTÊNCIA 5,5 HP - CHI DIURNO. AF_09/2016</t>
  </si>
  <si>
    <t>0,47</t>
  </si>
  <si>
    <t>95277</t>
  </si>
  <si>
    <t>POLIDORA DE PISO (POLITRIZ), PESO DE 100KG, DIÂMETRO 450 MM, MOTOR ELÉTRICO, POTÊNCIA 4 HP - CHI DIURNO. AF_09/2016</t>
  </si>
  <si>
    <t>95283</t>
  </si>
  <si>
    <t>DESEMPENADEIRA DE CONCRETO, PESO DE 75KG, 4 PÁS, MOTOR A GASOLINA, POTÊNCIA 5,5 HP - CHI DIURNO. AF_09/2016</t>
  </si>
  <si>
    <t>0,51</t>
  </si>
  <si>
    <t>95621</t>
  </si>
  <si>
    <t>PERFURATRIZ PNEUMATICA MANUAL DE PESO MEDIO, MARTELETE, 18KG, COMPRIMENTO MÁXIMO DE CURSO DE 6 M, DIAMETRO DO PISTAO DE 5,5 CM - CHI DIURNO. AF_11/2016</t>
  </si>
  <si>
    <t>17,39</t>
  </si>
  <si>
    <t>95632</t>
  </si>
  <si>
    <t>ROLO COMPACTADOR VIBRATORIO TANDEM, ACO LISO, POTENCIA 125 HP, PESO SEM/COM LASTRO 10,20/11,65 T, LARGURA DE TRABALHO 1,73 M - CHI DIURNO. AF_11/2016</t>
  </si>
  <si>
    <t>70,29</t>
  </si>
  <si>
    <t>95703</t>
  </si>
  <si>
    <t>PERFURATRIZ MANUAL, TORQUE MAXIMO 55 KGF.M, POTENCIA 5 CV, COM DIAMETRO MAXIMO 8 1/2" - CHI DIURNO. AF_11/2016</t>
  </si>
  <si>
    <t>31,89</t>
  </si>
  <si>
    <t>95709</t>
  </si>
  <si>
    <t>PERFURATRIZ SOBRE ESTEIRA, TORQUE MÁXIMO 600 KGF, POTÊNCIA ENTRE 50 E 60 HP, DIÂMETRO MÁXIMO 10 - CHI DIURNO. AF_11/2016</t>
  </si>
  <si>
    <t>81,19</t>
  </si>
  <si>
    <t>95715</t>
  </si>
  <si>
    <t>ESCAVADEIRA HIDRAULICA SOBRE ESTEIRA, COM GARRA GIRATORIA DE MANDIBULAS, PESO OPERACIONAL ENTRE 22,00 E 25,50 TON, POTENCIA LIQUIDA ENTRE 150 E 160 HP - CHI DIURNO. AF_11/2016</t>
  </si>
  <si>
    <t>92,84</t>
  </si>
  <si>
    <t>95721</t>
  </si>
  <si>
    <t>ESCAVADEIRA HIDRAULICA SOBRE ESTEIRA, EQUIPADA COM CLAMSHELL, COM CAPACIDADE DA CAÇAMBA ENTRE 1,20 E 1,50 M3, PESO OPERACIONAL ENTRE 20,00 E 22,00 TON, POTENCIA LIQUIDA ENTRE 150 E 160 HP - CHI DIURNO. AF_11/2016</t>
  </si>
  <si>
    <t>90,47</t>
  </si>
  <si>
    <t>95873</t>
  </si>
  <si>
    <t>GRUPO GERADOR COM CARENAGEM, MOTOR DIESEL POTÊNCIA STANDART ENTRE 250 E 260 KVA - CHI DIURNO. AF_12/2016</t>
  </si>
  <si>
    <t>8,27</t>
  </si>
  <si>
    <t>96014</t>
  </si>
  <si>
    <t>TRATOR DE PNEUS COM POTÊNCIA DE 122 CV, TRAÇÃO 4X4, COM VASSOURA MECÂNICA ACOPLADA - CHI DIURNO. AF_02/2017</t>
  </si>
  <si>
    <t>53,90</t>
  </si>
  <si>
    <t>96021</t>
  </si>
  <si>
    <t>TRATOR DE PNEUS COM POTÊNCIA DE 122 CV, TRAÇÃO 4X4, COM GRADE DE DISCOS ACOPLADA - CHI DIURNO. AF_02/2017</t>
  </si>
  <si>
    <t>53,61</t>
  </si>
  <si>
    <t>96029</t>
  </si>
  <si>
    <t>TRATOR DE PNEUS COM POTÊNCIA DE 85 CV, TRAÇÃO 4X4, COM GRADE DE DISCOS ACOPLADA - CHI DIURNO. AF_02/2017</t>
  </si>
  <si>
    <t>96036</t>
  </si>
  <si>
    <t>CAMINHÃO BASCULANTE 10 M3, TRUCADO, POTÊNCIA 230 CV, INCLUSIVE CAÇAMBA METÁLICA, COM DISTRIBUIDOR DE AGREGADOS ACOPLADO - CHI DIURNO. AF_02/2017</t>
  </si>
  <si>
    <t>55,46</t>
  </si>
  <si>
    <t>96155</t>
  </si>
  <si>
    <t>TRATOR DE PNEUS COM POTÊNCIA DE 85 CV, TRAÇÃO 4X4, COM VASSOURA MECÂNICA ACOPLADA - CHI DIURNO. AF_02/2017</t>
  </si>
  <si>
    <t>49,03</t>
  </si>
  <si>
    <t>96156</t>
  </si>
  <si>
    <t>MINICARREGADEIRA SOBRE RODAS POTENCIA 47HP CAPACIDADE OPERACAO 646 KG, COM VASSOURA MECÂNICA ACOPLADA - CHI DIURNO. AF_03/2017</t>
  </si>
  <si>
    <t>96159</t>
  </si>
  <si>
    <t>MÁQUINA DEMARCADORA DE FAIXA DE TRÁFEGO À FRIO, AUTOPROPELIDA, POTÊNCIA 38 HP - CHI DIURNO. AF_07/2016</t>
  </si>
  <si>
    <t>61,40</t>
  </si>
  <si>
    <t>96246</t>
  </si>
  <si>
    <t>MINIESCAVADEIRA SOBRE ESTEIRAS, POTENCIA LIQUIDA DE *30* HP, PESO OPERACIONAL DE *3.500* KG - CHI DIURNO. AF_04/2017</t>
  </si>
  <si>
    <t>47,77</t>
  </si>
  <si>
    <t>96464</t>
  </si>
  <si>
    <t>ROLO COMPACTADOR DE PNEUS, ESTATICO, PRESSAO VARIAVEL, POTENCIA 110 HP, PESO SEM/COM LASTRO 10,8/27 T, LARGURA DE ROLAGEM 2,30 M - CHI DIURNO. AF_06/2017</t>
  </si>
  <si>
    <t>75,49</t>
  </si>
  <si>
    <t>98765</t>
  </si>
  <si>
    <t>INVERSOR DE SOLDA MONOFÁSICO DE 160 A, POTÊNCIA DE 5400 W, TENSÃO DE 220 V, PARA SOLDA COM ELETRODOS DE 2,0 A 4,0 MM E PROCESSO TIG - CHI DIURNO. AF_06/2018</t>
  </si>
  <si>
    <t>99834</t>
  </si>
  <si>
    <t>LAVADORA DE ALTA PRESSAO (LAVA-JATO) PARA AGUA FRIA, PRESSAO DE OPERACAO ENTRE 1400 E 1900 LIB/POL2, VAZAO MAXIMA ENTRE 400 E 700 L/H - CHI DIURNO. AF_04/2019</t>
  </si>
  <si>
    <t>0,16</t>
  </si>
  <si>
    <t>100642</t>
  </si>
  <si>
    <t>USINA DE MISTURA ASFÁLTICA À QUENTE, TIPO CONTRA FLUXO, PROD 100 A 140 TON/HORA - CHI DIURNO. AF_12/2019</t>
  </si>
  <si>
    <t>178,29</t>
  </si>
  <si>
    <t>100648</t>
  </si>
  <si>
    <t>USINA DE ASFALTO, TIPO GRAVIMÉTRICA, PROD 150 TON/HORA - CHI DIURNO. AF_12/2019</t>
  </si>
  <si>
    <t>428,46</t>
  </si>
  <si>
    <t>102274</t>
  </si>
  <si>
    <t>MARTELO DEMOLIDOR ELÉTRICO, COM POTÊNCIA DE 2.000 W, 1.000 IMPACTOS POR MINUTO, PESO DE 30 KG -  CHI DIURNO. AF_01/2021</t>
  </si>
  <si>
    <t>17,23</t>
  </si>
  <si>
    <t>5089</t>
  </si>
  <si>
    <t>ROLO COMPACTADOR VIBRATÓRIO PÉ DE CARNEIRO PARA SOLOS, POTÊNCIA 80 HP, PESO OPERACIONAL SEM/COM LASTRO 7,4 / 8,8 T, LARGURA DE TRABALHO 1,68 M - MANUTENÇÃO. AF_02/2016</t>
  </si>
  <si>
    <t>36,39</t>
  </si>
  <si>
    <t>5627</t>
  </si>
  <si>
    <t>ESCAVADEIRA HIDRÁULICA SOBRE ESTEIRAS, CAÇAMBA 0,80 M3, PESO OPERACIONAL 17 T, POTENCIA BRUTA 111 HP - DEPRECIAÇÃO. AF_06/2014</t>
  </si>
  <si>
    <t>47,60</t>
  </si>
  <si>
    <t>5628</t>
  </si>
  <si>
    <t>ESCAVADEIRA HIDRÁULICA SOBRE ESTEIRAS, CAÇAMBA 0,80 M3, PESO OPERACIONAL 17 T, POTENCIA BRUTA 111 HP - JUROS. AF_06/2014</t>
  </si>
  <si>
    <t>6,46</t>
  </si>
  <si>
    <t>5629</t>
  </si>
  <si>
    <t>ESCAVADEIRA HIDRÁULICA SOBRE ESTEIRAS, CAÇAMBA 0,80 M3, PESO OPERACIONAL 17 T, POTENCIA BRUTA 111 HP - MANUTENÇÃO. AF_06/2014</t>
  </si>
  <si>
    <t>59,50</t>
  </si>
  <si>
    <t>5630</t>
  </si>
  <si>
    <t>ESCAVADEIRA HIDRÁULICA SOBRE ESTEIRAS, CAÇAMBA 0,80 M3, PESO OPERACIONAL 17 T, POTENCIA BRUTA 111 HP - MATERIAIS NA OPERAÇÃO. AF_06/2014</t>
  </si>
  <si>
    <t>55,03</t>
  </si>
  <si>
    <t>5658</t>
  </si>
  <si>
    <t>GRADE DE DISCO CONTROLE REMOTO REBOCÁVEL, COM 24 DISCOS 24 X 6 MM COM PNEUS PARA TRANSPORTE - MANUTENÇÃO. AF_06/2014</t>
  </si>
  <si>
    <t>2,86</t>
  </si>
  <si>
    <t>5664</t>
  </si>
  <si>
    <t>RETROESCAVADEIRA SOBRE RODAS COM CARREGADEIRA, TRAÇÃO 4X4, POTÊNCIA LÍQ. 88 HP, CAÇAMBA CARREG. CAP. MÍN. 1 M3, CAÇAMBA RETRO CAP. 0,26 M3, PESO OPERACIONAL MÍN. 6.674 KG, PROFUNDIDADE ESCAVAÇÃO MÁX. 4,37 M - MANUTENÇÃO. AF_06/2014</t>
  </si>
  <si>
    <t>31,20</t>
  </si>
  <si>
    <t>5667</t>
  </si>
  <si>
    <t>RETROESCAVADEIRA SOBRE RODAS COM CARREGADEIRA, TRAÇÃO 4X2, POTÊNCIA LÍQ. 79 HP, CAÇAMBA CARREG. CAP. MÍN. 1 M3, CAÇAMBA RETRO CAP. 0,20 M3, PESO OPERACIONAL MÍN. 6.570 KG, PROFUNDIDADE ESCAVAÇÃO MÁX. 4,37 M - MANUTENÇÃO. AF_06/2014</t>
  </si>
  <si>
    <t>27,75</t>
  </si>
  <si>
    <t>5668</t>
  </si>
  <si>
    <t>RETROESCAVADEIRA SOBRE RODAS COM CARREGADEIRA, TRAÇÃO 4X2, POTÊNCIA LÍQ. 79 HP, CAÇAMBA CARREG. CAP. MÍN. 1 M3, CAÇAMBA RETRO CAP. 0,20 M3, PESO OPERACIONAL MÍN. 6.570 KG, PROFUNDIDADE ESCAVAÇÃO MÁX. 4,37 M - MATERIAIS NA OPERAÇÃO. AF_06/2014</t>
  </si>
  <si>
    <t>42,10</t>
  </si>
  <si>
    <t>5674</t>
  </si>
  <si>
    <t>ROLO COMPACTADOR VIBRATÓRIO DE UM CILINDRO AÇO LISO, POTÊNCIA 80 HP, PESO OPERACIONAL MÁXIMO 8,1 T, IMPACTO DINÂMICO 16,15 / 9,5 T, LARGURA DE TRABALHO 1,68 M - MANUTENÇÃO. AF_06/2014</t>
  </si>
  <si>
    <t>35,00</t>
  </si>
  <si>
    <t>5692</t>
  </si>
  <si>
    <t>MOTOBOMBA CENTRÍFUGA, MOTOR A GASOLINA, POTÊNCIA 5,42 HP, BOCAIS 1 1/2" X 1", DIÂMETRO ROTOR 143 MM HM/Q = 6 MCA / 16,8 M3/H A 38 MCA / 6,6 M3/H - MANUTENÇÃO. AF_06/2014</t>
  </si>
  <si>
    <t>5693</t>
  </si>
  <si>
    <t>MOTOBOMBA CENTRÍFUGA, MOTOR A GASOLINA, POTÊNCIA 5,42 HP, BOCAIS 1 1/2" X 1", DIÂMETRO ROTOR 143 MM HM/Q = 6 MCA / 16,8 M3/H A 38 MCA / 6,6 M3/H - MATERIAIS NA OPERAÇÃO. AF_06/2014</t>
  </si>
  <si>
    <t>9,57</t>
  </si>
  <si>
    <t>5695</t>
  </si>
  <si>
    <t>CAMINHÃO BASCULANTE 6 M3, PESO BRUTO TOTAL 16.000 KG, CARGA ÚTIL MÁXIMA 13.071 KG, DISTÂNCIA ENTRE EIXOS 4,80 M, POTÊNCIA 230 CV INCLUSIVE CAÇAMBA METÁLICA - MANUTENÇÃO. AF_06/2014</t>
  </si>
  <si>
    <t>36,23</t>
  </si>
  <si>
    <t>5703</t>
  </si>
  <si>
    <t>USINA DE CONCRETO FIXA, CAPACIDADE NOMINAL DE 90 A 120 M3/H, SEM SILO - MATERIAIS NA OPERAÇÃO. AF_07/2016</t>
  </si>
  <si>
    <t>22,37</t>
  </si>
  <si>
    <t>5705</t>
  </si>
  <si>
    <t>CAMINHÃO TOCO, PBT 16.000 KG, CARGA ÚTIL MÁX. 10.685 KG, DIST. ENTRE EIXOS 4,8 M, POTÊNCIA 189 CV, INCLUSIVE CARROCERIA FIXA ABERTA DE MADEIRA P/ TRANSPORTE GERAL DE CARGA SECA, DIMEN. APROX. 2,5 X 7,00 X 0,50 M - MANUTENÇÃO. AF_06/2014</t>
  </si>
  <si>
    <t>22,53</t>
  </si>
  <si>
    <t>5707</t>
  </si>
  <si>
    <t>USINA MISTURADORA DE SOLOS, CAPACIDADE DE 200 A 500 TON/H, POTENCIA 75KW - MANUTENÇÃO. AF_07/2016</t>
  </si>
  <si>
    <t>68,15</t>
  </si>
  <si>
    <t>5710</t>
  </si>
  <si>
    <t>VIBROACABADORA DE ASFALTO SOBRE ESTEIRAS, LARGURA DE PAVIMENTAÇÃO 1,90 M A 5,30 M, POTÊNCIA 105 HP CAPACIDADE 450 T/H - MANUTENÇÃO. AF_11/2014</t>
  </si>
  <si>
    <t>177,46</t>
  </si>
  <si>
    <t>5711</t>
  </si>
  <si>
    <t>VIBROACABADORA DE ASFALTO SOBRE ESTEIRAS, LARGURA DE PAVIMENTAÇÃO 1,90 M A 5,30 M, POTÊNCIA 105 HP CAPACIDADE 450 T/H - MATERIAIS NA OPERAÇÃO. AF_11/2014</t>
  </si>
  <si>
    <t>76,03</t>
  </si>
  <si>
    <t>5714</t>
  </si>
  <si>
    <t>TRATOR DE PNEUS, POTÊNCIA 85 CV, TRAÇÃO 4X4, PESO COM LASTRO DE 4.675 KG - MANUTENÇÃO. AF_06/2014</t>
  </si>
  <si>
    <t>12,82</t>
  </si>
  <si>
    <t>5715</t>
  </si>
  <si>
    <t>TRATOR DE PNEUS, POTÊNCIA 85 CV, TRAÇÃO 4X4, PESO COM LASTRO DE 4.675 KG - MATERIAIS NA OPERAÇÃO. AF_06/2014</t>
  </si>
  <si>
    <t>102,30</t>
  </si>
  <si>
    <t>5718</t>
  </si>
  <si>
    <t>TRATOR DE ESTEIRAS, POTÊNCIA 170 HP, PESO OPERACIONAL 19 T, CAÇAMBA 5,2 M3 - MATERIAIS NA OPERAÇÃO. AF_06/2014</t>
  </si>
  <si>
    <t>90,75</t>
  </si>
  <si>
    <t>5721</t>
  </si>
  <si>
    <t>TRATOR DE ESTEIRAS, POTÊNCIA 150 HP, PESO OPERACIONAL 16,7 T, COM RODA MOTRIZ ELEVADA E LÂMINA 3,18 M3 - MATERIAIS NA OPERAÇÃO. AF_06/2014</t>
  </si>
  <si>
    <t>80,07</t>
  </si>
  <si>
    <t>5722</t>
  </si>
  <si>
    <t>TRATOR DE ESTEIRAS, POTÊNCIA 347 HP, PESO OPERACIONAL 38,5 T, COM LÂMINA 8,70 M3 - MATERIAIS NA OPERAÇÃO. AF_06/2014</t>
  </si>
  <si>
    <t>185,18</t>
  </si>
  <si>
    <t>5724</t>
  </si>
  <si>
    <t>TRATOR DE ESTEIRAS, POTÊNCIA 100 HP, PESO OPERACIONAL 9,4 T, COM LÂMINA 2,19 M3 - MANUTENÇÃO. AF_06/2014</t>
  </si>
  <si>
    <t>47,43</t>
  </si>
  <si>
    <t>5727</t>
  </si>
  <si>
    <t>ROLO COMPACTADOR VIBRATÓRIO REBOCÁVEL, CILINDRO DE AÇO LISO, POTÊNCIA DE TRAÇÃO DE 65 CV, PESO 4,7 T, IMPACTO DINÂMICO 18,3 T, LARGURA DE TRABALHO 1,67 M - MANUTENÇÃO. AF_02/2016</t>
  </si>
  <si>
    <t>10,56</t>
  </si>
  <si>
    <t>5729</t>
  </si>
  <si>
    <t>ROLO COMPACTADOR VIBRATÓRIO TANDEM AÇO LISO, POTÊNCIA 58 HP, PESO SEM/COM LASTRO 6,5 / 9,4 T, LARGURA DE TRABALHO 1,2 M - MANUTENÇÃO. AF_06/2014</t>
  </si>
  <si>
    <t>42,98</t>
  </si>
  <si>
    <t>5730</t>
  </si>
  <si>
    <t>ROLO COMPACTADOR VIBRATÓRIO TANDEM AÇO LISO, POTÊNCIA 58 HP, PESO SEM/COM LASTRO 6,5 / 9,4 T, LARGURA DE TRABALHO 1,2 M - MATERIAIS NA OPERAÇÃO. AF_06/2014</t>
  </si>
  <si>
    <t>35,36</t>
  </si>
  <si>
    <t>5735</t>
  </si>
  <si>
    <t>RETROESCAVADEIRA SOBRE RODAS COM CARREGADEIRA, TRAÇÃO 4X4, POTÊNCIA LÍQ. 72 HP, CAÇAMBA CARREG. CAP. MÍN. 0,79 M3, CAÇAMBA RETRO CAP. 0,18 M3, PESO OPERACIONAL MÍN. 7.140 KG, PROFUNDIDADE ESCAVAÇÃO MÁX. 4,50 M - MANUTENÇÃO. AF_06/2014</t>
  </si>
  <si>
    <t>30,10</t>
  </si>
  <si>
    <t>5736</t>
  </si>
  <si>
    <t>RETROESCAVADEIRA SOBRE RODAS COM CARREGADEIRA, TRAÇÃO 4X4, POTÊNCIA LÍQ. 72 HP, CAÇAMBA CARREG. CAP. MÍN. 0,79 M3, CAÇAMBA RETRO CAP. 0,18 M3, PESO OPERACIONAL MÍN. 7.140 KG, PROFUNDIDADE ESCAVAÇÃO MÁX. 4,50 M - MATERIAIS NA OPERAÇÃO. AF_06/2014</t>
  </si>
  <si>
    <t>38,63</t>
  </si>
  <si>
    <t>5738</t>
  </si>
  <si>
    <t>ROLO COMPACTADOR VIBRATÓRIO PÉ DE CARNEIRO, OPERADO POR CONTROLE REMOTO, POTÊNCIA 12,5 KW, PESO OPERACIONAL 1,675 T, LARGURA DE TRABALHO 0,85 M - DEPRECIAÇÃO. AF_02/2016</t>
  </si>
  <si>
    <t>38,22</t>
  </si>
  <si>
    <t>5739</t>
  </si>
  <si>
    <t>ROLO COMPACTADOR VIBRATÓRIO PÉ DE CARNEIRO, OPERADO POR CONTROLE REMOTO, POTÊNCIA 12,5 KW, PESO OPERACIONAL 1,675 T, LARGURA DE TRABALHO 0,85 M - MANUTENÇÃO. AF_02/2016</t>
  </si>
  <si>
    <t>47,83</t>
  </si>
  <si>
    <t>5741</t>
  </si>
  <si>
    <t>USINA DE LAMA ASFÁLTICA, PROD 30 A 50 T/H, SILO DE AGREGADO 7 M3, RESERVATÓRIOS PARA EMULSÃO E ÁGUA DE 2,3 M3 CADA, MISTURADOR TIPO PUG MILL A SER MONTADO SOBRE CAMINHÃO - MANUTENÇÃO. AF_10/2014</t>
  </si>
  <si>
    <t>39,01</t>
  </si>
  <si>
    <t>5742</t>
  </si>
  <si>
    <t>USINA DE LAMA ASFÁLTICA, PROD 30 A 50 T/H, SILO DE AGREGADO 7 M3, RESERVATÓRIOS PARA EMULSÃO E ÁGUA DE 2,3 M3 CADA, MISTURADOR TIPO PUG MILL A SER MONTADO SOBRE CAMINHÃO - MATERIAIS NA OPERAÇÃO. AF_10/2014</t>
  </si>
  <si>
    <t>23,55</t>
  </si>
  <si>
    <t>5747</t>
  </si>
  <si>
    <t>CAMINHÃO PIPA 6.000 L, PESO BRUTO TOTAL 13.000 KG, DISTÂNCIA ENTRE EIXOS 4,80 M, POTÊNCIA 189 CV INCLUSIVE TANQUE DE AÇO PARA TRANSPORTE DE ÁGUA, CAPACIDADE 6 M3 - MATERIAIS NA OPERAÇÃO. AF_06/2014</t>
  </si>
  <si>
    <t>135,05</t>
  </si>
  <si>
    <t>5751</t>
  </si>
  <si>
    <t>CAMINHÃO TOCO, PESO BRUTO TOTAL 14.300 KG, CARGA ÚTIL MÁXIMA 9590 KG, DISTÂNCIA ENTRE EIXOS 4,76 M, POTÊNCIA 185 CV (NÃO INCLUI CARROCERIA) - MANUTENÇÃO. AF_06/2014</t>
  </si>
  <si>
    <t>24,69</t>
  </si>
  <si>
    <t>5754</t>
  </si>
  <si>
    <t>CAMINHÃO TOCO, PESO BRUTO TOTAL 16.000 KG, CARGA ÚTIL MÁXIMA DE 10.685 KG, DISTÂNCIA ENTRE EIXOS 4,80 M, POTÊNCIA 189 CV EXCLUSIVE CARROCERIA - MANUTENÇÃO. AF_06/2014</t>
  </si>
  <si>
    <t>20,79</t>
  </si>
  <si>
    <t>5763</t>
  </si>
  <si>
    <t>CAMINHÃO PIPA 10.000 L TRUCADO, PESO BRUTO TOTAL 23.000 KG, CARGA ÚTIL MÁXIMA 15.935 KG, DISTÂNCIA ENTRE EIXOS 4,8 M, POTÊNCIA 230 CV, INCLUSIVE TANQUE DE AÇO PARA TRANSPORTE DE ÁGUA - MANUTENÇÃO. AF_06/2014</t>
  </si>
  <si>
    <t>36,04</t>
  </si>
  <si>
    <t>5765</t>
  </si>
  <si>
    <t>ESPARGIDOR DE ASFALTO PRESSURIZADO COM TANQUE DE 2500 L, REBOCÁVEL COM MOTOR A GASOLINA POTÊNCIA 3,4 HP - MANUTENÇÃO. AF_07/2014</t>
  </si>
  <si>
    <t>2,75</t>
  </si>
  <si>
    <t>5766</t>
  </si>
  <si>
    <t>ESPARGIDOR DE ASFALTO PRESSURIZADO COM TANQUE DE 2500 L, REBOCÁVEL COM MOTOR A GASOLINA POTÊNCIA 3,4 HP - MATERIAIS NA OPERAÇÃO. AF_07/2014</t>
  </si>
  <si>
    <t>4,78</t>
  </si>
  <si>
    <t>5779</t>
  </si>
  <si>
    <t>MOTONIVELADORA POTÊNCIA BÁSICA LÍQUIDA (PRIMEIRA MARCHA) 125 HP, PESO BRUTO 13032 KG, LARGURA DA LÂMINA DE 3,7 M - MANUTENÇÃO. AF_06/2014</t>
  </si>
  <si>
    <t>65,58</t>
  </si>
  <si>
    <t>5787</t>
  </si>
  <si>
    <t>PÁ CARREGADEIRA SOBRE RODAS, POTÊNCIA 197 HP, CAPACIDADE DA CAÇAMBA 2,5 A 3,5 M3, PESO OPERACIONAL 18338 KG - MATERIAIS NA OPERAÇÃO. AF_06/2014</t>
  </si>
  <si>
    <t>60,09</t>
  </si>
  <si>
    <t>5797</t>
  </si>
  <si>
    <t>COMPRESSOR DE AR REBOCÁVEL, VAZÃO 189 PCM, PRESSÃO EFETIVA DE TRABALHO 102 PSI, MOTOR DIESEL, POTÊNCIA 63 CV - MANUTENÇÃO. AF_06/2015</t>
  </si>
  <si>
    <t>4,32</t>
  </si>
  <si>
    <t>5800</t>
  </si>
  <si>
    <t>BOMBA SUBMERSÍVEL ELÉTRICA TRIFÁSICA, POTÊNCIA 2,96 HP, Ø ROTOR 144 MM SEMI-ABERTO, BOCAL DE SAÍDA Ø 2, HM/Q = 2 MCA / 38,8 M3/H A 28 MCA / 5 M3/H - MANUTENÇÃO. AF_06/2014</t>
  </si>
  <si>
    <t>0,30</t>
  </si>
  <si>
    <t>7032</t>
  </si>
  <si>
    <t>TANQUE DE ASFALTO ESTACIONÁRIO COM SERPENTINA, CAPACIDADE 30.000 L - DEPRECIAÇÃO. AF_06/2014</t>
  </si>
  <si>
    <t>4,88</t>
  </si>
  <si>
    <t>7033</t>
  </si>
  <si>
    <t>TANQUE DE ASFALTO ESTACIONÁRIO COM SERPENTINA, CAPACIDADE 30.000 L - JUROS. AF_06/2014</t>
  </si>
  <si>
    <t>0,81</t>
  </si>
  <si>
    <t>7034</t>
  </si>
  <si>
    <t>TANQUE DE ASFALTO ESTACIONÁRIO COM SERPENTINA, CAPACIDADE 30.000 L - MANUTENÇÃO. AF_06/2014</t>
  </si>
  <si>
    <t>9,16</t>
  </si>
  <si>
    <t>7035</t>
  </si>
  <si>
    <t>TANQUE DE ASFALTO ESTACIONÁRIO COM SERPENTINA, CAPACIDADE 30.000 L - MATERIAIS NA OPERAÇÃO. AF_06/2014</t>
  </si>
  <si>
    <t>182,51</t>
  </si>
  <si>
    <t>7038</t>
  </si>
  <si>
    <t>ROLO COMPACTADOR DE PNEUS ESTÁTICO, PRESSÃO VARIÁVEL, POTÊNCIA 111 HP, PESO SEM/COM LASTRO 9,5 / 26 T, LARGURA DE TRABALHO 1,90 M - DEPRECIAÇÃO. AF_07/2014</t>
  </si>
  <si>
    <t>43,72</t>
  </si>
  <si>
    <t>7039</t>
  </si>
  <si>
    <t>ROLO COMPACTADOR DE PNEUS ESTÁTICO, PRESSÃO VARIÁVEL, POTÊNCIA 111 HP, PESO SEM/COM LASTRO 9,5 / 26 T, LARGURA DE TRABALHO 1,90 M - JUROS. AF_07/2014</t>
  </si>
  <si>
    <t>6,07</t>
  </si>
  <si>
    <t>7040</t>
  </si>
  <si>
    <t>ROLO COMPACTADOR DE PNEUS ESTÁTICO, PRESSÃO VARIÁVEL, POTÊNCIA 111 HP, PESO SEM/COM LASTRO 9,5 / 26 T, LARGURA DE TRABALHO 1,90 M - MANUTENÇÃO. AF_07/2014</t>
  </si>
  <si>
    <t>54,71</t>
  </si>
  <si>
    <t>7044</t>
  </si>
  <si>
    <t>MOTOBOMBA TRASH (PARA ÁGUA SUJA) AUTO ESCORVANTE, MOTOR GASOLINA DE 6,41 HP, DIÂMETROS DE SUCÇÃO X RECALQUE: 3" X 3", HM/Q = 10 MCA / 60 M3/H A 23 MCA / 0 M3/H - DEPRECIAÇÃO. AF_10/2014</t>
  </si>
  <si>
    <t>0,26</t>
  </si>
  <si>
    <t>7045</t>
  </si>
  <si>
    <t>MOTOBOMBA TRASH (PARA ÁGUA SUJA) AUTO ESCORVANTE, MOTOR GASOLINA DE 6,41 HP, DIÂMETROS DE SUCÇÃO X RECALQUE: 3" X 3", HM/Q = 10 MCA / 60 M3/H A 23 MCA / 0 M3/H - JUROS. AF_10/2014</t>
  </si>
  <si>
    <t>0,03</t>
  </si>
  <si>
    <t>7046</t>
  </si>
  <si>
    <t>MOTOBOMBA TRASH (PARA ÁGUA SUJA) AUTO ESCORVANTE, MOTOR GASOLINA DE 6,41 HP, DIÂMETROS DE SUCÇÃO X RECALQUE: 3" X 3", HM/Q = 10 MCA / 60 M3/H A 23 MCA / 0 M3/H - MANUTENÇÃO. AF_10/2014</t>
  </si>
  <si>
    <t>7047</t>
  </si>
  <si>
    <t>MOTOBOMBA TRASH (PARA ÁGUA SUJA) AUTO ESCORVANTE, MOTOR GASOLINA DE 6,41 HP, DIÂMETROS DE SUCÇÃO X RECALQUE: 3" X 3", HM/Q = 10 MCA / 60 M3/H A 23 MCA / 0 M3/H - MATERIAIS NA OPERAÇÃO. AF_10/2014</t>
  </si>
  <si>
    <t>11,25</t>
  </si>
  <si>
    <t>7051</t>
  </si>
  <si>
    <t>ROLO COMPACTADOR PE DE CARNEIRO VIBRATORIO, POTENCIA 125 HP, PESO OPERACIONAL SEM/COM LASTRO 11,95 / 13,30 T, IMPACTO DINAMICO 38,5 / 22,5 T, LARGURA DE TRABALHO 2,15 M - DEPRECIAÇÃO. AF_06/2014</t>
  </si>
  <si>
    <t>38,78</t>
  </si>
  <si>
    <t>7052</t>
  </si>
  <si>
    <t>ROLO COMPACTADOR PE DE CARNEIRO VIBRATORIO, POTENCIA 125 HP, PESO OPERACIONAL SEM/COM LASTRO 11,95 / 13,30 T, IMPACTO DINAMICO 38,5 / 22,5 T, LARGURA DE TRABALHO 2,15 M - JUROS. AF_06/2014</t>
  </si>
  <si>
    <t>5,38</t>
  </si>
  <si>
    <t>7053</t>
  </si>
  <si>
    <t>ROLO COMPACTADOR PE DE CARNEIRO VIBRATORIO, POTENCIA 125 HP, PESO OPERACIONAL SEM/COM LASTRO 11,95 / 13,30 T, IMPACTO DINAMICO 38,5 / 22,5 T, LARGURA DE TRABALHO 2,15 M - MANUTENÇÃO. AF_06/2014</t>
  </si>
  <si>
    <t>48,53</t>
  </si>
  <si>
    <t>7054</t>
  </si>
  <si>
    <t>ROLO COMPACTADOR PE DE CARNEIRO VIBRATORIO, POTENCIA 125 HP, PESO OPERACIONAL SEM/COM LASTRO 11,95 / 13,30 T, IMPACTO DINAMICO 38,5 / 22,5 T, LARGURA DE TRABALHO 2,15 M - MATERIAIS NA OPERAÇÃO. AF_06/2014</t>
  </si>
  <si>
    <t>76,24</t>
  </si>
  <si>
    <t>7058</t>
  </si>
  <si>
    <t>CAMINHÃO BASCULANTE 6 M3 TOCO, PESO BRUTO TOTAL 16.000 KG, CARGA ÚTIL MÁXIMA 11.130 KG, DISTÂNCIA ENTRE EIXOS 5,36 M, POTÊNCIA 185 CV, INCLUSIVE CAÇAMBA METÁLICA - DEPRECIAÇÃO. AF_06/2014</t>
  </si>
  <si>
    <t>18,44</t>
  </si>
  <si>
    <t>7059</t>
  </si>
  <si>
    <t>CAMINHÃO BASCULANTE 6 M3 TOCO, PESO BRUTO TOTAL 16.000 KG, CARGA ÚTIL MÁXIMA 11.130 KG, DISTÂNCIA ENTRE EIXOS 5,36 M, POTÊNCIA 185 CV, INCLUSIVE CAÇAMBA METÁLICA - JUROS. AF_06/2014</t>
  </si>
  <si>
    <t>3,41</t>
  </si>
  <si>
    <t>7060</t>
  </si>
  <si>
    <t>CAMINHÃO BASCULANTE 6 M3 TOCO, PESO BRUTO TOTAL 16.000 KG, CARGA ÚTIL MÁXIMA 11.130 KG, DISTÂNCIA ENTRE EIXOS 5,36 M, POTÊNCIA 185 CV, INCLUSIVE CAÇAMBA METÁLICA - MANUTENÇÃO. AF_06/2014</t>
  </si>
  <si>
    <t>34,60</t>
  </si>
  <si>
    <t>7061</t>
  </si>
  <si>
    <t>CAMINHÃO BASCULANTE 6 M3 TOCO, PESO BRUTO TOTAL 16.000 KG, CARGA ÚTIL MÁXIMA 11.130 KG, DISTÂNCIA ENTRE EIXOS 5,36 M, POTÊNCIA 185 CV, INCLUSIVE CAÇAMBA METÁLICA - MATERIAIS NA OPERAÇÃO. AF_06/2014</t>
  </si>
  <si>
    <t>69,59</t>
  </si>
  <si>
    <t>7063</t>
  </si>
  <si>
    <t>TRATOR DE PNEUS, POTÊNCIA 122 CV, TRAÇÃO 4X4, PESO COM LASTRO DE 4.510 KG - DEPRECIAÇÃO. AF_06/2014</t>
  </si>
  <si>
    <t>7064</t>
  </si>
  <si>
    <t>TRATOR DE PNEUS, POTÊNCIA 122 CV, TRAÇÃO 4X4, PESO COM LASTRO DE 4.510 KG - JUROS. AF_06/2014</t>
  </si>
  <si>
    <t>2,22</t>
  </si>
  <si>
    <t>7065</t>
  </si>
  <si>
    <t>TRATOR DE PNEUS, POTÊNCIA 122 CV, TRAÇÃO 4X4, PESO COM LASTRO DE 4.510 KG - MANUTENÇÃO. AF_06/2014</t>
  </si>
  <si>
    <t>17,50</t>
  </si>
  <si>
    <t>7066</t>
  </si>
  <si>
    <t>TRATOR DE PNEUS, POTÊNCIA 122 CV, TRAÇÃO 4X4, PESO COM LASTRO DE 4.510 KG - MATERIAIS NA OPERAÇÃO. AF_06/2014</t>
  </si>
  <si>
    <t>146,81</t>
  </si>
  <si>
    <t>53786</t>
  </si>
  <si>
    <t>RETROESCAVADEIRA SOBRE RODAS COM CARREGADEIRA, TRAÇÃO 4X4, POTÊNCIA LÍQ. 88 HP, CAÇAMBA CARREG. CAP. MÍN. 1 M3, CAÇAMBA RETRO CAP. 0,26 M3, PESO OPERACIONAL MÍN. 6.674 KG, PROFUNDIDADE ESCAVAÇÃO MÁX. 4,37 M - MATERIAIS NA OPERAÇÃO. AF_06/2014</t>
  </si>
  <si>
    <t>45,58</t>
  </si>
  <si>
    <t>53788</t>
  </si>
  <si>
    <t>ROLO COMPACTADOR VIBRATÓRIO DE UM CILINDRO AÇO LISO, POTÊNCIA 80 HP, PESO OPERACIONAL MÁXIMO 8,1 T, IMPACTO DINÂMICO 16,15 / 9,5 T, LARGURA DE TRABALHO 1,68 M - MATERIAIS NA OPERAÇÃO. AF_06/2014</t>
  </si>
  <si>
    <t>48,80</t>
  </si>
  <si>
    <t>53792</t>
  </si>
  <si>
    <t>CAMINHÃO BASCULANTE 6 M3, PESO BRUTO TOTAL 16.000 KG, CARGA ÚTIL MÁXIMA 13.071 KG, DISTÂNCIA ENTRE EIXOS 4,80 M, POTÊNCIA 230 CV INCLUSIVE CAÇAMBA METÁLICA - MATERIAIS NA OPERAÇÃO. AF_06/2014</t>
  </si>
  <si>
    <t>86,51</t>
  </si>
  <si>
    <t>53794</t>
  </si>
  <si>
    <t>USINA DE CONCRETO FIXA, CAPACIDADE NOMINAL DE 90 A 120 M3/H, SEM SILO - MANUTENÇÃO. AF_07/2016</t>
  </si>
  <si>
    <t>53797</t>
  </si>
  <si>
    <t>CAMINHÃO TOCO, PBT 16.000 KG, CARGA ÚTIL MÁX. 10.685 KG, DIST. ENTRE EIXOS 4,8 M, POTÊNCIA 189 CV, INCLUSIVE CARROCERIA FIXA ABERTA DE MADEIRA P/ TRANSPORTE GERAL DE CARGA SECA, DIMEN. APROX. 2,5 X 7,00 X 0,50 M - MATERIAIS NA OPERAÇÃO. AF_06/2014</t>
  </si>
  <si>
    <t>99,49</t>
  </si>
  <si>
    <t>53804</t>
  </si>
  <si>
    <t>VASSOURA MECÂNICA REBOCÁVEL COM ESCOVA CILÍNDRICA, LARGURA ÚTIL DE VARRIMENTO DE 2,44 M - MANUTENÇÃO. AF_06/2014</t>
  </si>
  <si>
    <t>5,96</t>
  </si>
  <si>
    <t>53806</t>
  </si>
  <si>
    <t>TRATOR DE ESTEIRAS, POTÊNCIA 170 HP, PESO OPERACIONAL 19 T, CAÇAMBA 5,2 M3 - MANUTENÇÃO. AF_06/2014</t>
  </si>
  <si>
    <t>61,12</t>
  </si>
  <si>
    <t>53810</t>
  </si>
  <si>
    <t>TRATOR DE ESTEIRAS, POTÊNCIA 150 HP, PESO OPERACIONAL 16,7 T, COM RODA MOTRIZ ELEVADA E LÂMINA 3,18 M3 - MANUTENÇÃO. AF_06/2014</t>
  </si>
  <si>
    <t>61,49</t>
  </si>
  <si>
    <t>53814</t>
  </si>
  <si>
    <t>TRATOR DE ESTEIRAS, POTÊNCIA 347 HP, PESO OPERACIONAL 38,5 T, COM LÂMINA 8,70 M3 - MANUTENÇÃO. AF_06/2014</t>
  </si>
  <si>
    <t>201,43</t>
  </si>
  <si>
    <t>53817</t>
  </si>
  <si>
    <t>TRATOR DE ESTEIRAS, POTÊNCIA 100 HP, PESO OPERACIONAL 9,4 T, COM LÂMINA 2,19 M3 - MATERIAIS NA OPERAÇÃO. AF_06/2014</t>
  </si>
  <si>
    <t>53,34</t>
  </si>
  <si>
    <t>53818</t>
  </si>
  <si>
    <t>ROLO COMPACTADOR VIBRATÓRIO REBOCÁVEL, CILINDRO DE AÇO LISO, POTÊNCIA DE TRAÇÃO DE 65 CV, PESO 4,7 T, IMPACTO DINÂMICO 18,3 T, LARGURA DE TRABALHO 1,67 M - DEPRECIAÇÃO. AF_02/2016</t>
  </si>
  <si>
    <t>8,44</t>
  </si>
  <si>
    <t>53827</t>
  </si>
  <si>
    <t>CAMINHÃO TOCO, PESO BRUTO TOTAL 14.300 KG, CARGA ÚTIL MÁXIMA 9590 KG, DISTÂNCIA ENTRE EIXOS 4,76 M, POTÊNCIA 185 CV (NÃO INCLUI CARROCERIA) - MATERIAIS NA OPERAÇÃO. AF_06/2014</t>
  </si>
  <si>
    <t>97,39</t>
  </si>
  <si>
    <t>53829</t>
  </si>
  <si>
    <t>CAMINHÃO TOCO, PESO BRUTO TOTAL 16.000 KG, CARGA ÚTIL MÁXIMA DE 10.685 KG, DISTÂNCIA ENTRE EIXOS 4,80 M, POTÊNCIA 189 CV EXCLUSIVE CARROCERIA - MATERIAIS NA OPERAÇÃO. AF_06/2014</t>
  </si>
  <si>
    <t>53831</t>
  </si>
  <si>
    <t>CAMINHÃO PIPA 10.000 L TRUCADO, PESO BRUTO TOTAL 23.000 KG, CARGA ÚTIL MÁXIMA 15.935 KG, DISTÂNCIA ENTRE EIXOS 4,8 M, POTÊNCIA 230 CV, INCLUSIVE TANQUE DE AÇO PARA TRANSPORTE DE ÁGUA - MATERIAIS NA OPERAÇÃO. AF_06/2014</t>
  </si>
  <si>
    <t>164,33</t>
  </si>
  <si>
    <t>53840</t>
  </si>
  <si>
    <t>GRADE DE DISCO REBOCÁVEL COM 20 DISCOS 24" X 6 MM COM PNEUS PARA TRANSPORTE - DEPRECIAÇÃO. AF_06/2014</t>
  </si>
  <si>
    <t>3,23</t>
  </si>
  <si>
    <t>53841</t>
  </si>
  <si>
    <t>GRADE DE DISCO REBOCÁVEL COM 20 DISCOS 24" X 6 MM COM PNEUS PARA TRANSPORTE - MANUTENÇÃO. AF_06/2014</t>
  </si>
  <si>
    <t>2,24</t>
  </si>
  <si>
    <t>53849</t>
  </si>
  <si>
    <t>MOTONIVELADORA POTÊNCIA BÁSICA LÍQUIDA (PRIMEIRA MARCHA) 125 HP, PESO BRUTO 13032 KG, LARGURA DA LÂMINA DE 3,7 M - MATERIAIS NA OPERAÇÃO. AF_06/2014</t>
  </si>
  <si>
    <t>71,48</t>
  </si>
  <si>
    <t>53857</t>
  </si>
  <si>
    <t>PÁ CARREGADEIRA SOBRE RODAS, POTÊNCIA LÍQUIDA 128 HP, CAPACIDADE DA CAÇAMBA 1,7 A 2,8 M3, PESO OPERACIONAL 11632 KG - MANUTENÇÃO. AF_06/2014</t>
  </si>
  <si>
    <t>44,10</t>
  </si>
  <si>
    <t>53858</t>
  </si>
  <si>
    <t>PÁ CARREGADEIRA SOBRE RODAS, POTÊNCIA LÍQUIDA 128 HP, CAPACIDADE DA CAÇAMBA 1,7 A 2,8 M3, PESO OPERACIONAL 11632 KG - MATERIAIS NA OPERAÇÃO. AF_06/2014</t>
  </si>
  <si>
    <t>68,32</t>
  </si>
  <si>
    <t>53861</t>
  </si>
  <si>
    <t>PÁ CARREGADEIRA SOBRE RODAS, POTÊNCIA 197 HP, CAPACIDADE DA CAÇAMBA 2,5 A 3,5 M3, PESO OPERACIONAL 18338 KG - MANUTENÇÃO. AF_06/2014</t>
  </si>
  <si>
    <t>61,15</t>
  </si>
  <si>
    <t>53863</t>
  </si>
  <si>
    <t>MARTELETE OU ROMPEDOR PNEUMÁTICO MANUAL, 28 KG, COM SILENCIADOR - MANUTENÇÃO. AF_07/2016</t>
  </si>
  <si>
    <t>1,42</t>
  </si>
  <si>
    <t>53865</t>
  </si>
  <si>
    <t>COMPRESSOR DE AR REBOCÁVEL, VAZÃO 189 PCM, PRESSÃO EFETIVA DE TRABALHO 102 PSI, MOTOR DIESEL, POTÊNCIA 63 CV - MATERIAIS NA OPERAÇÃO. AF_06/2015</t>
  </si>
  <si>
    <t>40,26</t>
  </si>
  <si>
    <t>53866</t>
  </si>
  <si>
    <t>BOMBA SUBMERSÍVEL ELÉTRICA TRIFÁSICA, POTÊNCIA 2,96 HP, Ø ROTOR 144 MM SEMI-ABERTO, BOCAL DE SAÍDA Ø 2, HM/Q = 2 MCA / 38,8 M3/H A 28 MCA / 5 M3/H - MATERIAIS NA OPERAÇÃO. AF_06/2014</t>
  </si>
  <si>
    <t>1,80</t>
  </si>
  <si>
    <t>53882</t>
  </si>
  <si>
    <t>CAMINHÃO PIPA 6.000 L, PESO BRUTO TOTAL 13.000 KG, DISTÂNCIA ENTRE EIXOS 4,80 M, POTÊNCIA 189 CV INCLUSIVE TANQUE DE AÇO PARA TRANSPORTE DE ÁGUA, CAPACIDADE 6 M3 - MANUTENÇÃO. AF_06/2014</t>
  </si>
  <si>
    <t>28,10</t>
  </si>
  <si>
    <t>55263</t>
  </si>
  <si>
    <t>ROLO COMPACTADOR DE PNEUS ESTÁTICO, PRESSÃO VARIÁVEL, POTÊNCIA 111 HP, PESO SEM/COM LASTRO 9,5 / 26 T, LARGURA DE TRABALHO 1,90 M - MATERIAIS NA OPERAÇÃO. AF_07/2014</t>
  </si>
  <si>
    <t>73303</t>
  </si>
  <si>
    <t>GRUPO GERADOR ESTACIONÁRIO, MOTOR DIESEL POTÊNCIA 170 KVA - DEPRECIAÇÃO. AF_02/2016</t>
  </si>
  <si>
    <t>4,92</t>
  </si>
  <si>
    <t>73307</t>
  </si>
  <si>
    <t>GRUPO GERADOR ESTACIONÁRIO, MOTOR DIESEL POTÊNCIA 170 KVA - MANUTENÇÃO. AF_02/2016</t>
  </si>
  <si>
    <t>4,39</t>
  </si>
  <si>
    <t>73309</t>
  </si>
  <si>
    <t>ROLO COMPACTADOR VIBRATÓRIO PÉ DE CARNEIRO PARA SOLOS, POTÊNCIA 80 HP, PESO OPERACIONAL SEM/COM LASTRO 7,4 / 8,8 T, LARGURA DE TRABALHO 1,68 M - DEPRECIAÇÃO. AF_02/2016</t>
  </si>
  <si>
    <t>29,08</t>
  </si>
  <si>
    <t>73311</t>
  </si>
  <si>
    <t>GRUPO GERADOR ESTACIONÁRIO, MOTOR DIESEL POTÊNCIA 170 KVA - MATERIAIS NA OPERAÇÃO. AF_02/2016</t>
  </si>
  <si>
    <t>152,12</t>
  </si>
  <si>
    <t>73313</t>
  </si>
  <si>
    <t>ROLO COMPACTADOR VIBRATÓRIO PÉ DE CARNEIRO PARA SOLOS, POTÊNCIA 80 HP, PESO OPERACIONAL SEM/COM LASTRO 7,4 / 8,8 T, LARGURA DE TRABALHO 1,68 M - JUROS. AF_02/2016</t>
  </si>
  <si>
    <t>4,03</t>
  </si>
  <si>
    <t>73315</t>
  </si>
  <si>
    <t>ROLO COMPACTADOR VIBRATÓRIO PÉ DE CARNEIRO PARA SOLOS, POTÊNCIA 80 HP, PESO OPERACIONAL SEM/COM LASTRO 7,4 / 8,8 T, LARGURA DE TRABALHO 1,68 M - MATERIAIS NA OPERAÇÃO. AF_02/2016</t>
  </si>
  <si>
    <t>73335</t>
  </si>
  <si>
    <t>CAMINHÃO TOCO, PBT 14.300 KG, CARGA ÚTIL MÁX. 9.710 KG, DIST. ENTRE EIXOS 3,56 M, POTÊNCIA 185 CV, INCLUSIVE CARROCERIA FIXA ABERTA DE MADEIRA P/ TRANSPORTE GERAL DE CARGA SECA, DIMEN. APROX. 2,50 X 6,50 X 0,50 M - MANUTENÇÃO. AF_06/2014</t>
  </si>
  <si>
    <t>26,75</t>
  </si>
  <si>
    <t>73340</t>
  </si>
  <si>
    <t>CAMINHÃO TOCO, PBT 14.300 KG, CARGA ÚTIL MÁX. 9.710 KG, DIST. ENTRE EIXOS 3,56 M, POTÊNCIA 185 CV, INCLUSIVE CARROCERIA FIXA ABERTA DE MADEIRA P/ TRANSPORTE GERAL DE CARGA SECA, DIMEN. APROX. 2,50 X 6,50 X 0,50 M - MATERIAIS NA OPERAÇÃO. AF_06/2014</t>
  </si>
  <si>
    <t>83361</t>
  </si>
  <si>
    <t>ESPARGIDOR DE ASFALTO PRESSURIZADO, TANQUE 6 M3 COM ISOLAÇÃO TÉRMICA, AQUECIDO COM 2 MAÇARICOS, COM BARRA ESPARGIDORA 3,60 M, MONTADO SOBRE CAMINHÃO  TOCO, PBT 14.300 KG, POTÊNCIA 185 CV - MANUTENÇÃO. AF_08/2015</t>
  </si>
  <si>
    <t>15,81</t>
  </si>
  <si>
    <t>83761</t>
  </si>
  <si>
    <t>GRUPO DE SOLDAGEM COM GERADOR A DIESEL 60 CV PARA SOLDA ELÉTRICA, SOBRE 04 RODAS, COM MOTOR 4 CILINDROS 600 A - DEPRECIAÇÃO. AF_02/2016</t>
  </si>
  <si>
    <t>10,50</t>
  </si>
  <si>
    <t>83762</t>
  </si>
  <si>
    <t>GRUPO DE SOLDAGEM COM GERADOR A DIESEL 60 CV PARA SOLDA ELÉTRICA, SOBRE 04 RODAS, COM MOTOR 4 CILINDROS 600 A - MANUTENÇÃO. AF_02/2016</t>
  </si>
  <si>
    <t>13,13</t>
  </si>
  <si>
    <t>83763</t>
  </si>
  <si>
    <t>GRUPO DE SOLDAGEM COM GERADOR A DIESEL 60 CV PARA SOLDA ELÉTRICA, SOBRE 04 RODAS, COM MOTOR 4 CILINDROS 600 A - MATERIAIS NA OPERAÇÃO. AF_02/2016</t>
  </si>
  <si>
    <t>42,87</t>
  </si>
  <si>
    <t>83764</t>
  </si>
  <si>
    <t>GRUPO DE SOLDAGEM COM GERADOR A DIESEL 60 CV PARA SOLDA ELÉTRICA, SOBRE 04 RODAS, COM MOTOR 4 CILINDROS 600 A - JUROS. AF_02/2016</t>
  </si>
  <si>
    <t>1,18</t>
  </si>
  <si>
    <t>87026</t>
  </si>
  <si>
    <t>GRADE DE DISCO REBOCÁVEL COM 20 DISCOS 24" X 6 MM COM PNEUS PARA TRANSPORTE - JUROS. AF_06/2014</t>
  </si>
  <si>
    <t>0,45</t>
  </si>
  <si>
    <t>87441</t>
  </si>
  <si>
    <t>BETONEIRA CAPACIDADE NOMINAL 400 L, CAPACIDADE DE MISTURA 310 L, MOTOR A DIESEL POTÊNCIA 5,0 HP, SEM CARREGADOR - DEPRECIAÇÃO. AF_06/2014</t>
  </si>
  <si>
    <t>87442</t>
  </si>
  <si>
    <t>BETONEIRA CAPACIDADE NOMINAL 400 L, CAPACIDADE DE MISTURA 310 L, MOTOR A DIESEL POTÊNCIA 5,0 HP, SEM CARREGADOR - JUROS. AF_06/2014</t>
  </si>
  <si>
    <t>0,05</t>
  </si>
  <si>
    <t>87443</t>
  </si>
  <si>
    <t>BETONEIRA CAPACIDADE NOMINAL 400 L, CAPACIDADE DE MISTURA 310 L, MOTOR A DIESEL POTÊNCIA 5,0 HP, SEM CARREGADOR - MANUTENÇÃO. AF_06/2014</t>
  </si>
  <si>
    <t>0,40</t>
  </si>
  <si>
    <t>87444</t>
  </si>
  <si>
    <t>BETONEIRA CAPACIDADE NOMINAL 400 L, CAPACIDADE DE MISTURA 310 L, MOTOR A DIESEL POTÊNCIA 5,0 HP, SEM CARREGADOR - MATERIAIS NA OPERAÇÃO. AF_06/2014</t>
  </si>
  <si>
    <t>3,62</t>
  </si>
  <si>
    <t>88387</t>
  </si>
  <si>
    <t>MISTURADOR DE ARGAMASSA, EIXO HORIZONTAL, CAPACIDADE DE MISTURA 300 KG, MOTOR ELÉTRICO POTÊNCIA 5 CV - DEPRECIAÇÃO. AF_06/2014</t>
  </si>
  <si>
    <t>0,84</t>
  </si>
  <si>
    <t>88389</t>
  </si>
  <si>
    <t>MISTURADOR DE ARGAMASSA, EIXO HORIZONTAL, CAPACIDADE DE MISTURA 300 KG, MOTOR ELÉTRICO POTÊNCIA 5 CV - JUROS. AF_06/2014</t>
  </si>
  <si>
    <t>0,10</t>
  </si>
  <si>
    <t>88390</t>
  </si>
  <si>
    <t>MISTURADOR DE ARGAMASSA, EIXO HORIZONTAL, CAPACIDADE DE MISTURA 300 KG, MOTOR ELÉTRICO POTÊNCIA 5 CV - MANUTENÇÃO. AF_06/2014</t>
  </si>
  <si>
    <t>1,06</t>
  </si>
  <si>
    <t>88391</t>
  </si>
  <si>
    <t>MISTURADOR DE ARGAMASSA, EIXO HORIZONTAL, CAPACIDADE DE MISTURA 300 KG, MOTOR ELÉTRICO POTÊNCIA 5 CV - MATERIAIS NA OPERAÇÃO. AF_06/2014</t>
  </si>
  <si>
    <t>88394</t>
  </si>
  <si>
    <t>MISTURADOR DE ARGAMASSA, EIXO HORIZONTAL, CAPACIDADE DE MISTURA 600 KG, MOTOR ELÉTRICO POTÊNCIA 7,5 CV - DEPRECIAÇÃO. AF_06/2014</t>
  </si>
  <si>
    <t>1,00</t>
  </si>
  <si>
    <t>88395</t>
  </si>
  <si>
    <t>MISTURADOR DE ARGAMASSA, EIXO HORIZONTAL, CAPACIDADE DE MISTURA 600 KG, MOTOR ELÉTRICO POTÊNCIA 7,5 CV - JUROS. AF_06/2014</t>
  </si>
  <si>
    <t>88396</t>
  </si>
  <si>
    <t>MISTURADOR DE ARGAMASSA, EIXO HORIZONTAL, CAPACIDADE DE MISTURA 600 KG, MOTOR ELÉTRICO POTÊNCIA 7,5 CV - MANUTENÇÃO. AF_06/2014</t>
  </si>
  <si>
    <t>1,26</t>
  </si>
  <si>
    <t>88397</t>
  </si>
  <si>
    <t>MISTURADOR DE ARGAMASSA, EIXO HORIZONTAL, CAPACIDADE DE MISTURA 600 KG, MOTOR ELÉTRICO POTÊNCIA 7,5 CV - MATERIAIS NA OPERAÇÃO. AF_06/2014</t>
  </si>
  <si>
    <t>4,40</t>
  </si>
  <si>
    <t>88400</t>
  </si>
  <si>
    <t>MISTURADOR DE ARGAMASSA, EIXO HORIZONTAL, CAPACIDADE DE MISTURA 160 KG, MOTOR ELÉTRICO POTÊNCIA 3 CV - DEPRECIAÇÃO. AF_06/2014</t>
  </si>
  <si>
    <t>0,80</t>
  </si>
  <si>
    <t>88401</t>
  </si>
  <si>
    <t>MISTURADOR DE ARGAMASSA, EIXO HORIZONTAL, CAPACIDADE DE MISTURA 160 KG, MOTOR ELÉTRICO POTÊNCIA 3 CV - JUROS. AF_06/2014</t>
  </si>
  <si>
    <t>0,09</t>
  </si>
  <si>
    <t>88402</t>
  </si>
  <si>
    <t>MISTURADOR DE ARGAMASSA, EIXO HORIZONTAL, CAPACIDADE DE MISTURA 160 KG, MOTOR ELÉTRICO POTÊNCIA 3 CV - MANUTENÇÃO. AF_06/2014</t>
  </si>
  <si>
    <t>88403</t>
  </si>
  <si>
    <t>MISTURADOR DE ARGAMASSA, EIXO HORIZONTAL, CAPACIDADE DE MISTURA 160 KG, MOTOR ELÉTRICO POTÊNCIA 3 CV - MATERIAIS NA OPERAÇÃO. AF_06/2014</t>
  </si>
  <si>
    <t>88419</t>
  </si>
  <si>
    <t>PROJETOR DE ARGAMASSA, CAPACIDADE DE PROJEÇÃO 1,5 M3/H, ALCANCE DE 30 ATÉ 60 M, MOTOR ELÉTRICO POTÊNCIA 7,5 HP - DEPRECIAÇÃO. AF_06/2014</t>
  </si>
  <si>
    <t>88422</t>
  </si>
  <si>
    <t>PROJETOR DE ARGAMASSA, CAPACIDADE DE PROJEÇÃO 1,5 M3/H, ALCANCE DE 30 ATÉ 60 M, MOTOR ELÉTRICO POTÊNCIA 7,5 HP - JUROS. AF_06/2014</t>
  </si>
  <si>
    <t>0,61</t>
  </si>
  <si>
    <t>88425</t>
  </si>
  <si>
    <t>PROJETOR DE ARGAMASSA, CAPACIDADE DE PROJEÇÃO 1,5 M3/H, ALCANCE DE 30 ATÉ 60 M, MOTOR ELÉTRICO POTÊNCIA 7,5 HP - MANUTENÇÃO. AF_06/2014</t>
  </si>
  <si>
    <t>5,70</t>
  </si>
  <si>
    <t>88427</t>
  </si>
  <si>
    <t>PROJETOR DE ARGAMASSA, CAPACIDADE DE PROJEÇÃO 1,5 M3/H, ALCANCE DE 30 ATÉ 60 M, MOTOR ELÉTRICO POTÊNCIA 7,5 HP - MATERIAIS NA OPERAÇÃO. AF_06/2014</t>
  </si>
  <si>
    <t>4,47</t>
  </si>
  <si>
    <t>88434</t>
  </si>
  <si>
    <t>PROJETOR DE ARGAMASSA, CAPACIDADE DE PROJEÇÃO 2 M3/H, ALCANCE ATÉ 50 M, MOTOR ELÉTRICO POTÊNCIA 7,5 HP - DEPRECIAÇÃO. AF_06/2014</t>
  </si>
  <si>
    <t>6,91</t>
  </si>
  <si>
    <t>88435</t>
  </si>
  <si>
    <t>PROJETOR DE ARGAMASSA, CAPACIDADE DE PROJEÇÃO 2 M3/H, ALCANCE ATÉ 50 M, MOTOR ELÉTRICO POTÊNCIA 7,5 HP - JUROS. AF_06/2014</t>
  </si>
  <si>
    <t>0,82</t>
  </si>
  <si>
    <t>88436</t>
  </si>
  <si>
    <t>PROJETOR DE ARGAMASSA, CAPACIDADE DE PROJEÇÃO 2 M3/H, ALCANCE ATÉ 50 M, MOTOR ELÉTRICO POTÊNCIA 7,5 HP - MANUTENÇÃO. AF_06/2014</t>
  </si>
  <si>
    <t>7,56</t>
  </si>
  <si>
    <t>88437</t>
  </si>
  <si>
    <t>PROJETOR DE ARGAMASSA, CAPACIDADE DE PROJEÇÃO 2 M3/H, ALCANCE ATÉ 50 M, MOTOR ELÉTRICO POTÊNCIA 7,5 HP - MATERIAIS NA OPERAÇÃO. AF_06/2014</t>
  </si>
  <si>
    <t>88569</t>
  </si>
  <si>
    <t>ESPARGIDOR DE ASFALTO PRESSURIZADO COM TANQUE DE 2500 L, REBOCÁVEL COM MOTOR A GASOLINA POTÊNCIA 3,4 HP - DEPRECIAÇÃO. AF_07/2014</t>
  </si>
  <si>
    <t>3,52</t>
  </si>
  <si>
    <t>88570</t>
  </si>
  <si>
    <t>ESPARGIDOR DE ASFALTO PRESSURIZADO COM TANQUE DE 2500 L, REBOCÁVEL COM MOTOR A GASOLINA POTÊNCIA 3,4 HP - JUROS. AF_07/2014</t>
  </si>
  <si>
    <t>0,76</t>
  </si>
  <si>
    <t>88826</t>
  </si>
  <si>
    <t>BETONEIRA CAPACIDADE NOMINAL DE 400 L, CAPACIDADE DE MISTURA 280 L, MOTOR ELÉTRICO TRIFÁSICO POTÊNCIA DE 2 CV, SEM CARREGADOR - DEPRECIAÇÃO. AF_10/2014</t>
  </si>
  <si>
    <t>0,32</t>
  </si>
  <si>
    <t>88827</t>
  </si>
  <si>
    <t>BETONEIRA CAPACIDADE NOMINAL DE 400 L, CAPACIDADE DE MISTURA 280 L, MOTOR ELÉTRICO TRIFÁSICO POTÊNCIA DE 2 CV, SEM CARREGADOR - JUROS. AF_10/2014</t>
  </si>
  <si>
    <t>88828</t>
  </si>
  <si>
    <t>BETONEIRA CAPACIDADE NOMINAL DE 400 L, CAPACIDADE DE MISTURA 280 L, MOTOR ELÉTRICO TRIFÁSICO POTÊNCIA DE 2 CV, SEM CARREGADOR - MANUTENÇÃO. AF_10/2014</t>
  </si>
  <si>
    <t>88829</t>
  </si>
  <si>
    <t>BETONEIRA CAPACIDADE NOMINAL DE 400 L, CAPACIDADE DE MISTURA 280 L, MOTOR ELÉTRICO TRIFÁSICO POTÊNCIA DE 2 CV, SEM CARREGADOR - MATERIAIS NA OPERAÇÃO. AF_10/2014</t>
  </si>
  <si>
    <t>1,17</t>
  </si>
  <si>
    <t>88832</t>
  </si>
  <si>
    <t>ESCAVADEIRA HIDRÁULICA SOBRE ESTEIRAS, CAÇAMBA 0,80 M3, PESO OPERACIONAL 17,8 T, POTÊNCIA LÍQUIDA 110 HP - DEPRECIAÇÃO. AF_10/2014</t>
  </si>
  <si>
    <t>45,41</t>
  </si>
  <si>
    <t>88834</t>
  </si>
  <si>
    <t>ESCAVADEIRA HIDRÁULICA SOBRE ESTEIRAS, CAÇAMBA 0,80 M3, PESO OPERACIONAL 17,8 T, POTÊNCIA LÍQUIDA 110 HP - JUROS. AF_10/2014</t>
  </si>
  <si>
    <t>6,16</t>
  </si>
  <si>
    <t>88835</t>
  </si>
  <si>
    <t>ESCAVADEIRA HIDRÁULICA SOBRE ESTEIRAS, CAÇAMBA 0,80 M3, PESO OPERACIONAL 17,8 T, POTÊNCIA LÍQUIDA 110 HP - MANUTENÇÃO. AF_10/2014</t>
  </si>
  <si>
    <t>56,77</t>
  </si>
  <si>
    <t>88836</t>
  </si>
  <si>
    <t>ESCAVADEIRA HIDRÁULICA SOBRE ESTEIRAS, CAÇAMBA 0,80 M3, PESO OPERACIONAL 17,8 T, POTÊNCIA LÍQUIDA 110 HP - MATERIAIS NA OPERAÇÃO. AF_10/2014</t>
  </si>
  <si>
    <t>54,52</t>
  </si>
  <si>
    <t>88839</t>
  </si>
  <si>
    <t>TRATOR DE ESTEIRAS, POTÊNCIA 125 HP, PESO OPERACIONAL 12,9 T, COM LÂMINA 2,7 M3 - DEPRECIAÇÃO. AF_10/2014</t>
  </si>
  <si>
    <t>27,77</t>
  </si>
  <si>
    <t>88840</t>
  </si>
  <si>
    <t>TRATOR DE ESTEIRAS, POTÊNCIA 125 HP, PESO OPERACIONAL 12,9 T, COM LÂMINA 2,7 M3 - JUROS. AF_10/2014</t>
  </si>
  <si>
    <t>6,25</t>
  </si>
  <si>
    <t>88841</t>
  </si>
  <si>
    <t>TRATOR DE ESTEIRAS, POTÊNCIA 125 HP, PESO OPERACIONAL 12,9 T, COM LÂMINA 2,7 M3 - MANUTENÇÃO. AF_10/2014</t>
  </si>
  <si>
    <t>49,64</t>
  </si>
  <si>
    <t>88842</t>
  </si>
  <si>
    <t>TRATOR DE ESTEIRAS, POTÊNCIA 125 HP, PESO OPERACIONAL 12,9 T, COM LÂMINA 2,7 M3 - MATERIAIS NA OPERAÇÃO. AF_10/2014</t>
  </si>
  <si>
    <t>66,73</t>
  </si>
  <si>
    <t>88847</t>
  </si>
  <si>
    <t>USINA DE LAMA ASFÁLTICA, PROD 30 A 50 T/H, SILO DE AGREGADO 7 M3, RESERVATÓRIOS PARA EMULSÃO E ÁGUA DE 2,3 M3 CADA, MISTURADOR TIPO PUG MILL A SER MONTADO SOBRE CAMINHÃO - DEPRECIAÇÃO. AF_10/2014</t>
  </si>
  <si>
    <t>20,81</t>
  </si>
  <si>
    <t>88848</t>
  </si>
  <si>
    <t>USINA DE LAMA ASFÁLTICA, PROD 30 A 50 T/H, SILO DE AGREGADO 7 M3, RESERVATÓRIOS PARA EMULSÃO E ÁGUA DE 2,3 M3 CADA, MISTURADOR TIPO PUG MILL A SER MONTADO SOBRE CAMINHÃO - JUROS. AF_10/2014</t>
  </si>
  <si>
    <t>88853</t>
  </si>
  <si>
    <t>MOTOBOMBA CENTRÍFUGA, MOTOR A GASOLINA, POTÊNCIA 5,42 HP, BOCAIS 1 1/2" X 1", DIÂMETRO ROTOR 143 MM HM/Q = 6 MCA / 16,8 M3/H A 38 MCA / 6,6 M3/H - DEPRECIAÇÃO. AF_06/2014</t>
  </si>
  <si>
    <t>0,21</t>
  </si>
  <si>
    <t>88854</t>
  </si>
  <si>
    <t>MOTOBOMBA CENTRÍFUGA, MOTOR A GASOLINA, POTÊNCIA 5,42 HP, BOCAIS 1 1/2" X 1", DIÂMETRO ROTOR 143 MM HM/Q = 6 MCA / 16,8 M3/H A 38 MCA / 6,6 M3/H - JUROS. AF_06/2014</t>
  </si>
  <si>
    <t>0,02</t>
  </si>
  <si>
    <t>88855</t>
  </si>
  <si>
    <t>GRADE DE DISCO CONTROLE REMOTO REBOCÁVEL, COM 24 DISCOS 24 X 6 MM COM PNEUS PARA TRANSPORTE - DEPRECIAÇÃO. AF_06/2014</t>
  </si>
  <si>
    <t>88856</t>
  </si>
  <si>
    <t>GRADE DE DISCO CONTROLE REMOTO REBOCÁVEL, COM 24 DISCOS 24 X 6 MM COM PNEUS PARA TRANSPORTE - JUROS. AF_06/2014</t>
  </si>
  <si>
    <t>0,57</t>
  </si>
  <si>
    <t>88857</t>
  </si>
  <si>
    <t>RETROESCAVADEIRA SOBRE RODAS COM CARREGADEIRA, TRAÇÃO 4X4, POTÊNCIA LÍQ. 88 HP, CAÇAMBA CARREG. CAP. MÍN. 1 M3, CAÇAMBA RETRO CAP. 0,26 M3, PESO OPERACIONAL MÍN. 6.674 KG, PROFUNDIDADE ESCAVAÇÃO MÁX. 4,37 M - DEPRECIAÇÃO. AF_06/2014</t>
  </si>
  <si>
    <t>24,96</t>
  </si>
  <si>
    <t>88858</t>
  </si>
  <si>
    <t>RETROESCAVADEIRA SOBRE RODAS COM CARREGADEIRA, TRAÇÃO 4X4, POTÊNCIA LÍQ. 88 HP, CAÇAMBA CARREG. CAP. MÍN. 1 M3, CAÇAMBA RETRO CAP. 0,26 M3, PESO OPERACIONAL MÍN. 6.674 KG, PROFUNDIDADE ESCAVAÇÃO MÁX. 4,37 M - JUROS. AF_06/2014</t>
  </si>
  <si>
    <t>3,38</t>
  </si>
  <si>
    <t>88859</t>
  </si>
  <si>
    <t>RETROESCAVADEIRA SOBRE RODAS COM CARREGADEIRA, TRAÇÃO 4X2, POTÊNCIA LÍQ. 79 HP, CAÇAMBA CARREG. CAP. MÍN. 1 M3, CAÇAMBA RETRO CAP. 0,20 M3, PESO OPERACIONAL MÍN. 6.570 KG, PROFUNDIDADE ESCAVAÇÃO MÁX. 4,37 M - DEPRECIAÇÃO. AF_06/2014</t>
  </si>
  <si>
    <t>22,20</t>
  </si>
  <si>
    <t>88860</t>
  </si>
  <si>
    <t>RETROESCAVADEIRA SOBRE RODAS COM CARREGADEIRA, TRAÇÃO 4X2, POTÊNCIA LÍQ. 79 HP, CAÇAMBA CARREG. CAP. MÍN. 1 M3, CAÇAMBA RETRO CAP. 0,20 M3, PESO OPERACIONAL MÍN. 6.570 KG, PROFUNDIDADE ESCAVAÇÃO MÁX. 4,37 M - JUROS. AF_06/2014</t>
  </si>
  <si>
    <t>3,01</t>
  </si>
  <si>
    <t>88900</t>
  </si>
  <si>
    <t>ESCAVADEIRA HIDRÁULICA SOBRE ESTEIRAS, CAÇAMBA 1,20 M3, PESO OPERACIONAL 21 T, POTÊNCIA BRUTA 155 HP - DEPRECIAÇÃO. AF_06/2014</t>
  </si>
  <si>
    <t>52,95</t>
  </si>
  <si>
    <t>88902</t>
  </si>
  <si>
    <t>ESCAVADEIRA HIDRÁULICA SOBRE ESTEIRAS, CAÇAMBA 1,20 M3, PESO OPERACIONAL 21 T, POTÊNCIA BRUTA 155 HP - JUROS. AF_06/2014</t>
  </si>
  <si>
    <t>7,18</t>
  </si>
  <si>
    <t>88903</t>
  </si>
  <si>
    <t>ESCAVADEIRA HIDRÁULICA SOBRE ESTEIRAS, CAÇAMBA 1,20 M3, PESO OPERACIONAL 21 T, POTÊNCIA BRUTA 155 HP - MANUTENÇÃO. AF_06/2014</t>
  </si>
  <si>
    <t>66,19</t>
  </si>
  <si>
    <t>88904</t>
  </si>
  <si>
    <t>ESCAVADEIRA HIDRÁULICA SOBRE ESTEIRAS, CAÇAMBA 1,20 M3, PESO OPERACIONAL 21 T, POTÊNCIA BRUTA 155 HP - MATERIAIS NA OPERAÇÃO. AF_06/2014</t>
  </si>
  <si>
    <t>76,80</t>
  </si>
  <si>
    <t>89009</t>
  </si>
  <si>
    <t>TRATOR DE ESTEIRAS, POTÊNCIA 150 HP, PESO OPERACIONAL 16,7 T, COM RODA MOTRIZ ELEVADA E LÂMINA 3,18 M3 - DEPRECIAÇÃO. AF_06/2014</t>
  </si>
  <si>
    <t>34,39</t>
  </si>
  <si>
    <t>89010</t>
  </si>
  <si>
    <t>TRATOR DE ESTEIRAS, POTÊNCIA 150 HP, PESO OPERACIONAL 16,7 T, COM RODA MOTRIZ ELEVADA E LÂMINA 3,18 M3 - JUROS. AF_06/2014</t>
  </si>
  <si>
    <t>7,74</t>
  </si>
  <si>
    <t>89011</t>
  </si>
  <si>
    <t>RETROESCAVADEIRA SOBRE RODAS COM CARREGADEIRA, TRAÇÃO 4X4, POTÊNCIA LÍQ. 72 HP, CAÇAMBA CARREG. CAP. MÍN. 0,79 M3, CAÇAMBA RETRO CAP. 0,18 M3, PESO OPERACIONAL MÍN. 7.140 KG, PROFUNDIDADE ESCAVAÇÃO MÁX. 4,50 M - DEPRECIAÇÃO. AF_06/2014</t>
  </si>
  <si>
    <t>24,08</t>
  </si>
  <si>
    <t>89012</t>
  </si>
  <si>
    <t>RETROESCAVADEIRA SOBRE RODAS COM CARREGADEIRA, TRAÇÃO 4X4, POTÊNCIA LÍQ. 72 HP, CAÇAMBA CARREG. CAP. MÍN. 0,79 M3, CAÇAMBA RETRO CAP. 0,18 M3, PESO OPERACIONAL MÍN. 7.140 KG, PROFUNDIDADE ESCAVAÇÃO MÁX. 4,50 M - JUROS. AF_06/2014</t>
  </si>
  <si>
    <t>3,26</t>
  </si>
  <si>
    <t>89013</t>
  </si>
  <si>
    <t>TRATOR DE ESTEIRAS, POTÊNCIA 347 HP, PESO OPERACIONAL 38,5 T, COM LÂMINA 8,70 M3 - DEPRECIAÇÃO. AF_06/2014</t>
  </si>
  <si>
    <t>112,67</t>
  </si>
  <si>
    <t>89014</t>
  </si>
  <si>
    <t>TRATOR DE ESTEIRAS, POTÊNCIA 347 HP, PESO OPERACIONAL 38,5 T, COM LÂMINA 8,70 M3 - JUROS. AF_06/2014</t>
  </si>
  <si>
    <t>25,36</t>
  </si>
  <si>
    <t>89015</t>
  </si>
  <si>
    <t>VASSOURA MECÂNICA REBOCÁVEL COM ESCOVA CILÍNDRICA, LARGURA ÚTIL DE VARRIMENTO DE 2,44 M - DEPRECIAÇÃO. AF_06/2014</t>
  </si>
  <si>
    <t>89016</t>
  </si>
  <si>
    <t>VASSOURA MECÂNICA REBOCÁVEL COM ESCOVA CILÍNDRICA, LARGURA ÚTIL DE VARRIMENTO DE 2,44 M - JUROS. AF_06/2014</t>
  </si>
  <si>
    <t>0,64</t>
  </si>
  <si>
    <t>89017</t>
  </si>
  <si>
    <t>TRATOR DE ESTEIRAS, POTÊNCIA 170 HP, PESO OPERACIONAL 19 T, CAÇAMBA 5,2 M3 - DEPRECIAÇÃO. AF_06/2014</t>
  </si>
  <si>
    <t>34,18</t>
  </si>
  <si>
    <t>89018</t>
  </si>
  <si>
    <t>TRATOR DE ESTEIRAS, POTÊNCIA 170 HP, PESO OPERACIONAL 19 T, CAÇAMBA 5,2 M3 - JUROS. AF_06/2014</t>
  </si>
  <si>
    <t>7,69</t>
  </si>
  <si>
    <t>89019</t>
  </si>
  <si>
    <t>BOMBA SUBMERSÍVEL ELÉTRICA TRIFÁSICA, POTÊNCIA 2,96 HP, Ø ROTOR 144 MM SEMI-ABERTO, BOCAL DE SAÍDA Ø 2, HM/Q = 2 MCA / 38,8 M3/H A 28 MCA / 5 M3/H - DEPRECIAÇÃO. AF_06/2014</t>
  </si>
  <si>
    <t>0,28</t>
  </si>
  <si>
    <t>89020</t>
  </si>
  <si>
    <t>BOMBA SUBMERSÍVEL ELÉTRICA TRIFÁSICA, POTÊNCIA 2,96 HP, Ø ROTOR 144 MM SEMI-ABERTO, BOCAL DE SAÍDA Ø 2, HM/Q = 2 MCA / 38,8 M3/H A 28 MCA / 5 M3/H - JUROS. AF_06/2014</t>
  </si>
  <si>
    <t>89023</t>
  </si>
  <si>
    <t>TANQUE DE ASFALTO ESTACIONÁRIO COM MAÇARICO, CAPACIDADE 20.000 L - DEPRECIAÇÃO. AF_06/2014</t>
  </si>
  <si>
    <t>3,97</t>
  </si>
  <si>
    <t>89024</t>
  </si>
  <si>
    <t>TANQUE DE ASFALTO ESTACIONÁRIO COM MAÇARICO, CAPACIDADE 20.000 L - JUROS. AF_06/2014</t>
  </si>
  <si>
    <t>0,66</t>
  </si>
  <si>
    <t>89025</t>
  </si>
  <si>
    <t>TANQUE DE ASFALTO ESTACIONÁRIO COM MAÇARICO, CAPACIDADE 20.000 L - MANUTENÇÃO. AF_06/2014</t>
  </si>
  <si>
    <t>7,44</t>
  </si>
  <si>
    <t>89026</t>
  </si>
  <si>
    <t>TANQUE DE ASFALTO ESTACIONÁRIO COM MAÇARICO, CAPACIDADE 20.000 L - MATERIAIS NA OPERAÇÃO. AF_06/2014</t>
  </si>
  <si>
    <t>170,06</t>
  </si>
  <si>
    <t>89029</t>
  </si>
  <si>
    <t>TRATOR DE ESTEIRAS, POTÊNCIA 100 HP, PESO OPERACIONAL 9,4 T, COM LÂMINA 2,19 M3 - DEPRECIAÇÃO. AF_06/2014</t>
  </si>
  <si>
    <t>26,53</t>
  </si>
  <si>
    <t>89030</t>
  </si>
  <si>
    <t>TRATOR DE ESTEIRAS, POTÊNCIA 100 HP, PESO OPERACIONAL 9,4 T, COM LÂMINA 2,19 M3 - JUROS. AF_06/2014</t>
  </si>
  <si>
    <t>5,97</t>
  </si>
  <si>
    <t>89033</t>
  </si>
  <si>
    <t>TRATOR DE PNEUS, POTÊNCIA 85 CV, TRAÇÃO 4X4, PESO COM LASTRO DE 4.675 KG - DEPRECIAÇÃO. AF_06/2014</t>
  </si>
  <si>
    <t>11,72</t>
  </si>
  <si>
    <t>89034</t>
  </si>
  <si>
    <t>TRATOR DE PNEUS, POTÊNCIA 85 CV, TRAÇÃO 4X4, PESO COM LASTRO DE 4.675 KG - JUROS. AF_06/2014</t>
  </si>
  <si>
    <t>1,62</t>
  </si>
  <si>
    <t>89128</t>
  </si>
  <si>
    <t>PÁ CARREGADEIRA SOBRE RODAS, POTÊNCIA LÍQUIDA 128 HP, CAPACIDADE DA CAÇAMBA 1,7 A 2,8 M3, PESO OPERACIONAL 11632 KG - DEPRECIAÇÃO. AF_06/2014</t>
  </si>
  <si>
    <t>35,28</t>
  </si>
  <si>
    <t>89129</t>
  </si>
  <si>
    <t>PÁ CARREGADEIRA SOBRE RODAS, POTÊNCIA LÍQUIDA 128 HP, CAPACIDADE DA CAÇAMBA 1,7 A 2,8 M3, PESO OPERACIONAL 11632 KG - JUROS. AF_06/2014</t>
  </si>
  <si>
    <t>89130</t>
  </si>
  <si>
    <t>PÁ CARREGADEIRA SOBRE RODAS, POTÊNCIA 197 HP, CAPACIDADE DA CAÇAMBA 2,5 A 3,5 M3, PESO OPERACIONAL 18338 KG - DEPRECIAÇÃO. AF_06/2014</t>
  </si>
  <si>
    <t>48,92</t>
  </si>
  <si>
    <t>89131</t>
  </si>
  <si>
    <t>PÁ CARREGADEIRA SOBRE RODAS, POTÊNCIA 197 HP, CAPACIDADE DA CAÇAMBA 2,5 A 3,5 M3, PESO OPERACIONAL 18338 KG - JUROS. AF_06/2014</t>
  </si>
  <si>
    <t>6,63</t>
  </si>
  <si>
    <t>89210</t>
  </si>
  <si>
    <t>ROLO COMPACTADOR VIBRATÓRIO DE UM CILINDRO AÇO LISO, POTÊNCIA 80 HP, PESO OPERACIONAL MÁXIMO 8,1 T, IMPACTO DINÂMICO 16,15 / 9,5 T, LARGURA DE TRABALHO 1,68 M - DEPRECIAÇÃO. AF_06/2014</t>
  </si>
  <si>
    <t>27,97</t>
  </si>
  <si>
    <t>89211</t>
  </si>
  <si>
    <t>ROLO COMPACTADOR VIBRATÓRIO DE UM CILINDRO AÇO LISO, POTÊNCIA 80 HP, PESO OPERACIONAL MÁXIMO 8,1 T, IMPACTO DINÂMICO 16,15 / 9,5 T, LARGURA DE TRABALHO 1,68 M - JUROS. AF_06/2014</t>
  </si>
  <si>
    <t>3,88</t>
  </si>
  <si>
    <t>89212</t>
  </si>
  <si>
    <t>BATE-ESTACAS POR GRAVIDADE, POTÊNCIA DE 160 HP, PESO DO MARTELO ATÉ 3 TONELADAS - DEPRECIAÇÃO. AF_11/2014</t>
  </si>
  <si>
    <t>89213</t>
  </si>
  <si>
    <t>BATE-ESTACAS POR GRAVIDADE, POTÊNCIA DE 160 HP, PESO DO MARTELO ATÉ 3 TONELADAS - JUROS. AF_11/2014</t>
  </si>
  <si>
    <t>3,84</t>
  </si>
  <si>
    <t>89214</t>
  </si>
  <si>
    <t>BATE-ESTACAS POR GRAVIDADE, POTÊNCIA DE 160 HP, PESO DO MARTELO ATÉ 3 TONELADAS - MANUTENÇÃO. AF_11/2014</t>
  </si>
  <si>
    <t>22,89</t>
  </si>
  <si>
    <t>89215</t>
  </si>
  <si>
    <t>BATE-ESTACAS POR GRAVIDADE, POTÊNCIA DE 160 HP, PESO DO MARTELO ATÉ 3 TONELADAS - MATERIAIS NA OPERAÇÃO. AF_11/2014</t>
  </si>
  <si>
    <t>79,30</t>
  </si>
  <si>
    <t>89221</t>
  </si>
  <si>
    <t>BETONEIRA CAPACIDADE NOMINAL DE 600 L, CAPACIDADE DE MISTURA 360 L, MOTOR ELÉTRICO TRIFÁSICO POTÊNCIA DE 4 CV, SEM CARREGADOR - DEPRECIAÇÃO. AF_11/2014</t>
  </si>
  <si>
    <t>89222</t>
  </si>
  <si>
    <t>BETONEIRA CAPACIDADE NOMINAL DE 600 L, CAPACIDADE DE MISTURA 360 L, MOTOR ELÉTRICO TRIFÁSICO POTÊNCIA DE 4 CV, SEM CARREGADOR - JUROS. AF_11/2014</t>
  </si>
  <si>
    <t>0,15</t>
  </si>
  <si>
    <t>89223</t>
  </si>
  <si>
    <t>BETONEIRA CAPACIDADE NOMINAL DE 600 L, CAPACIDADE DE MISTURA 360 L, MOTOR ELÉTRICO TRIFÁSICO POTÊNCIA DE 4 CV, SEM CARREGADOR - MANUTENÇÃO. AF_11/2014</t>
  </si>
  <si>
    <t>1,22</t>
  </si>
  <si>
    <t>89224</t>
  </si>
  <si>
    <t>BETONEIRA CAPACIDADE NOMINAL DE 600 L, CAPACIDADE DE MISTURA 360 L, MOTOR ELÉTRICO TRIFÁSICO POTÊNCIA DE 4 CV, SEM CARREGADOR - MATERIAIS NA OPERAÇÃO. AF_11/2014</t>
  </si>
  <si>
    <t>2,35</t>
  </si>
  <si>
    <t>89228</t>
  </si>
  <si>
    <t>MOTONIVELADORA POTÊNCIA BÁSICA LÍQUIDA (PRIMEIRA MARCHA) 125 HP, PESO BRUTO 13032 KG, LARGURA DA LÂMINA DE 3,7 M - DEPRECIAÇÃO. AF_06/2014</t>
  </si>
  <si>
    <t>40,80</t>
  </si>
  <si>
    <t>89229</t>
  </si>
  <si>
    <t>MOTONIVELADORA POTÊNCIA BÁSICA LÍQUIDA (PRIMEIRA MARCHA) 125 HP, PESO BRUTO 13032 KG, LARGURA DA LÂMINA DE 3,7 M - JUROS. AF_06/2014</t>
  </si>
  <si>
    <t>7,34</t>
  </si>
  <si>
    <t>89230</t>
  </si>
  <si>
    <t>FRESADORA DE ASFALTO A FRIO SOBRE RODAS, LARGURA FRESAGEM DE 1,0 M, POTÊNCIA 208 HP - DEPRECIAÇÃO. AF_11/2014</t>
  </si>
  <si>
    <t>153,99</t>
  </si>
  <si>
    <t>89231</t>
  </si>
  <si>
    <t>FRESADORA DE ASFALTO A FRIO SOBRE RODAS, LARGURA FRESAGEM DE 1,0 M, POTÊNCIA 208 HP - JUROS. AF_11/2014</t>
  </si>
  <si>
    <t>24,40</t>
  </si>
  <si>
    <t>89232</t>
  </si>
  <si>
    <t>FRESADORA DE ASFALTO A FRIO SOBRE RODAS, LARGURA FRESAGEM DE 1,0 M, POTÊNCIA 208 HP - MANUTENÇÃO. AF_11/2014</t>
  </si>
  <si>
    <t>274,68</t>
  </si>
  <si>
    <t>89233</t>
  </si>
  <si>
    <t>FRESADORA DE ASFALTO A FRIO SOBRE RODAS, LARGURA FRESAGEM DE 1,0 M, POTÊNCIA 208 HP - MATERIAIS NA OPERAÇÃO. AF_11/2014</t>
  </si>
  <si>
    <t>142,72</t>
  </si>
  <si>
    <t>89236</t>
  </si>
  <si>
    <t>FRESADORA DE ASFALTO A FRIO SOBRE RODAS, LARGURA FRESAGEM DE 2,0 M, POTÊNCIA 550 HP - DEPRECIAÇÃO. AF_11/2014</t>
  </si>
  <si>
    <t>359,73</t>
  </si>
  <si>
    <t>89237</t>
  </si>
  <si>
    <t>FRESADORA DE ASFALTO A FRIO SOBRE RODAS, LARGURA FRESAGEM DE 2,0 M, POTÊNCIA 550 HP - JUROS. AF_11/2014</t>
  </si>
  <si>
    <t>57,00</t>
  </si>
  <si>
    <t>89238</t>
  </si>
  <si>
    <t>FRESADORA DE ASFALTO A FRIO SOBRE RODAS, LARGURA FRESAGEM DE 2,0 M, POTÊNCIA 550 HP - MANUTENÇÃO. AF_11/2014</t>
  </si>
  <si>
    <t>641,66</t>
  </si>
  <si>
    <t>89239</t>
  </si>
  <si>
    <t>FRESADORA DE ASFALTO A FRIO SOBRE RODAS, LARGURA FRESAGEM DE 2,0 M, POTÊNCIA 550 HP - MATERIAIS NA OPERAÇÃO. AF_11/2014</t>
  </si>
  <si>
    <t>377,42</t>
  </si>
  <si>
    <t>89240</t>
  </si>
  <si>
    <t>VIBROACABADORA DE ASFALTO SOBRE ESTEIRAS, LARGURA DE PAVIMENTAÇÃO 1,90 M A 5,30 M, POTÊNCIA 105 HP CAPACIDADE 450 T/H - DEPRECIAÇÃO. AF_11/2014</t>
  </si>
  <si>
    <t>110,40</t>
  </si>
  <si>
    <t>89241</t>
  </si>
  <si>
    <t>VIBROACABADORA DE ASFALTO SOBRE ESTEIRAS, LARGURA DE PAVIMENTAÇÃO 1,90 M A 5,30 M, POTÊNCIA 105 HP CAPACIDADE 450 T/H - JUROS. AF_11/2014</t>
  </si>
  <si>
    <t>19,87</t>
  </si>
  <si>
    <t>89246</t>
  </si>
  <si>
    <t>RECICLADORA DE ASFALTO A FRIO SOBRE RODAS, LARGURA FRESAGEM DE 2,0 M, POTÊNCIA 422 HP - DEPRECIAÇÃO. AF_11/2014</t>
  </si>
  <si>
    <t>312,58</t>
  </si>
  <si>
    <t>89247</t>
  </si>
  <si>
    <t>RECICLADORA DE ASFALTO A FRIO SOBRE RODAS, LARGURA FRESAGEM DE 2,0 M, POTÊNCIA 422 HP - JUROS. AF_11/2014</t>
  </si>
  <si>
    <t>49,53</t>
  </si>
  <si>
    <t>89248</t>
  </si>
  <si>
    <t>RECICLADORA DE ASFALTO A FRIO SOBRE RODAS, LARGURA FRESAGEM DE 2,0 M, POTÊNCIA 422 HP - MANUTENÇÃO. AF_11/2014</t>
  </si>
  <si>
    <t>557,56</t>
  </si>
  <si>
    <t>89249</t>
  </si>
  <si>
    <t>RECICLADORA DE ASFALTO A FRIO SOBRE RODAS, LARGURA FRESAGEM DE 2,0 M, POTÊNCIA 422 HP - MATERIAIS NA OPERAÇÃO. AF_11/2014</t>
  </si>
  <si>
    <t>321,72</t>
  </si>
  <si>
    <t>89253</t>
  </si>
  <si>
    <t>VIBROACABADORA DE ASFALTO SOBRE ESTEIRAS, LARGURA DE PAVIMENTAÇÃO 2,13 M A 4,55 M, POTÊNCIA 100 HP, CAPACIDADE 400 T/H - DEPRECIAÇÃO. AF_11/2014</t>
  </si>
  <si>
    <t>89254</t>
  </si>
  <si>
    <t>VIBROACABADORA DE ASFALTO SOBRE ESTEIRAS, LARGURA DE PAVIMENTAÇÃO 2,13 M A 4,55 M, POTÊNCIA 100 HP, CAPACIDADE 400 T/H - JUROS. AF_11/2014</t>
  </si>
  <si>
    <t>16,28</t>
  </si>
  <si>
    <t>89255</t>
  </si>
  <si>
    <t>VIBROACABADORA DE ASFALTO SOBRE ESTEIRAS, LARGURA DE PAVIMENTAÇÃO 2,13 M A 4,55 M, POTÊNCIA 100 HP, CAPACIDADE 400 T/H - MANUTENÇÃO. AF_11/2014</t>
  </si>
  <si>
    <t>145,43</t>
  </si>
  <si>
    <t>89256</t>
  </si>
  <si>
    <t>VIBROACABADORA DE ASFALTO SOBRE ESTEIRAS, LARGURA DE PAVIMENTAÇÃO 2,13 M A 4,55 M, POTÊNCIA 100 HP, CAPACIDADE 400 T/H - MATERIAIS NA OPERAÇÃO. AF_11/2014</t>
  </si>
  <si>
    <t>89259</t>
  </si>
  <si>
    <t>GUINDAUTO HIDRÁULICO, CAPACIDADE MÁXIMA DE CARGA 6200 KG, MOMENTO MÁXIMO DE CARGA 11,7 TM, ALCANCE MÁXIMO HORIZONTAL 9,70 M, INCLUSIVE CAMINHÃO TOCO PBT 16.000 KG, POTÊNCIA DE 189 CV - DEPRECIAÇÃO. AF_06/2014</t>
  </si>
  <si>
    <t>15,13</t>
  </si>
  <si>
    <t>89260</t>
  </si>
  <si>
    <t>GUINDAUTO HIDRÁULICO, CAPACIDADE MÁXIMA DE CARGA 6200 KG, MOMENTO MÁXIMO DE CARGA 11,7 TM, ALCANCE MÁXIMO HORIZONTAL 9,70 M, INCLUSIVE CAMINHÃO TOCO PBT 16.000 KG, POTÊNCIA DE 189 CV - JUROS. AF_06/2014</t>
  </si>
  <si>
    <t>3,16</t>
  </si>
  <si>
    <t>89262</t>
  </si>
  <si>
    <t>GUINDAUTO HIDRÁULICO, CAPACIDADE MÁXIMA DE CARGA 6200 KG, MOMENTO MÁXIMO DE CARGA 11,7 TM, ALCANCE MÁXIMO HORIZONTAL 9,70 M, INCLUSIVE CAMINHÃO TOCO PBT 16.000 KG, POTÊNCIA DE 189 CV - MANUTENÇÃO. AF_06/2014</t>
  </si>
  <si>
    <t>28,36</t>
  </si>
  <si>
    <t>89264</t>
  </si>
  <si>
    <t>CAMINHÃO TOCO, PBT 16.000 KG, CARGA ÚTIL MÁX. 10.685 KG, DIST. ENTRE EIXOS 4,8 M, POTÊNCIA 189 CV, INCLUSIVE CARROCERIA FIXA ABERTA DE MADEIRA P/ TRANSPORTE GERAL DE CARGA SECA, DIMEN. APROX. 2,5 X 7,00 X 0,50 M - DEPRECIAÇÃO. AF_06/2014</t>
  </si>
  <si>
    <t>12,01</t>
  </si>
  <si>
    <t>89265</t>
  </si>
  <si>
    <t>CAMINHÃO TOCO, PBT 16.000 KG, CARGA ÚTIL MÁX. 10.685 KG, DIST. ENTRE EIXOS 4,8 M, POTÊNCIA 189 CV, INCLUSIVE CARROCERIA FIXA ABERTA DE MADEIRA P/ TRANSPORTE GERAL DE CARGA SECA, DIMEN. APROX. 2,5 X 7,00 X 0,50 M - JUROS. AF_06/2014</t>
  </si>
  <si>
    <t>2,51</t>
  </si>
  <si>
    <t>89266</t>
  </si>
  <si>
    <t>CAMINHÃO TOCO, PBT 16.000 KG, CARGA ÚTIL MÁX. 10.685 KG, DIST. ENTRE EIXOS 4,8 M, POTÊNCIA 189 CV, INCLUSIVE CARROCERIA FIXA ABERTA DE MADEIRA P/ TRANSPORTE GERAL DE CARGA SECA, DIMEN. APROX. 2,5 X 7,00 X 0,50 M - IMPOSTOS E SEGUROS. AF_06/2014</t>
  </si>
  <si>
    <t>0,97</t>
  </si>
  <si>
    <t>89267</t>
  </si>
  <si>
    <t>GUINDASTE HIDRÁULICO AUTOPROPELIDO, COM LANÇA TELESCÓPICA 28,80 M, CAPACIDADE MÁXIMA 30 T, POTÊNCIA 97 KW, TRAÇÃO 4 X 4 - DEPRECIAÇÃO. AF_11/2014</t>
  </si>
  <si>
    <t>42,45</t>
  </si>
  <si>
    <t>89268</t>
  </si>
  <si>
    <t>GUINDASTE HIDRÁULICO AUTOPROPELIDO, COM LANÇA TELESCÓPICA 28,80 M, CAPACIDADE MÁXIMA 30 T, POTÊNCIA 97 KW, TRAÇÃO 4 X 4 - JUROS. AF_11/2014</t>
  </si>
  <si>
    <t>7,64</t>
  </si>
  <si>
    <t>89269</t>
  </si>
  <si>
    <t>GUINDASTE HIDRÁULICO AUTOPROPELIDO, COM LANÇA TELESCÓPICA 28,80 M, CAPACIDADE MÁXIMA 30 T, POTÊNCIA 97 KW, TRAÇÃO 4 X 4 - IMPOSTOS E SEGUROS. AF_11/2014</t>
  </si>
  <si>
    <t>2,97</t>
  </si>
  <si>
    <t>89270</t>
  </si>
  <si>
    <t>GUINDASTE HIDRÁULICO AUTOPROPELIDO, COM LANÇA TELESCÓPICA 28,80 M, CAPACIDADE MÁXIMA 30 T, POTÊNCIA 97 KW, TRAÇÃO 4 X 4 - MANUTENÇÃO. AF_11/2014</t>
  </si>
  <si>
    <t>68,25</t>
  </si>
  <si>
    <t>89271</t>
  </si>
  <si>
    <t>GUINDASTE HIDRÁULICO AUTOPROPELIDO, COM LANÇA TELESCÓPICA 28,80 M, CAPACIDADE MÁXIMA 30 T, POTÊNCIA 97 KW, TRAÇÃO 4 X 4 - MATERIAIS NA OPERAÇÃO. AF_11/2014</t>
  </si>
  <si>
    <t>24,78</t>
  </si>
  <si>
    <t>89274</t>
  </si>
  <si>
    <t>BETONEIRA CAPACIDADE NOMINAL DE 600 L, CAPACIDADE DE MISTURA 440 L, MOTOR A DIESEL POTÊNCIA 10 HP, COM CARREGADOR - DEPRECIAÇÃO. AF_11/2014</t>
  </si>
  <si>
    <t>1,58</t>
  </si>
  <si>
    <t>89275</t>
  </si>
  <si>
    <t>BETONEIRA CAPACIDADE NOMINAL DE 600 L, CAPACIDADE DE MISTURA 440 L, MOTOR A DIESEL POTÊNCIA 10 HP, COM CARREGADOR - JUROS. AF_11/2014</t>
  </si>
  <si>
    <t>0,18</t>
  </si>
  <si>
    <t>89276</t>
  </si>
  <si>
    <t>BETONEIRA CAPACIDADE NOMINAL DE 600 L, CAPACIDADE DE MISTURA 440 L, MOTOR A DIESEL POTÊNCIA 10 HP, COM CARREGADOR - MANUTENÇÃO. AF_11/2014</t>
  </si>
  <si>
    <t>89277</t>
  </si>
  <si>
    <t>BETONEIRA CAPACIDADE NOMINAL DE 600 L, CAPACIDADE DE MISTURA 440 L, MOTOR A DIESEL POTÊNCIA 10 HP, COM CARREGADOR - MATERIAIS NA OPERAÇÃO. AF_11/2014</t>
  </si>
  <si>
    <t>7,25</t>
  </si>
  <si>
    <t>89280</t>
  </si>
  <si>
    <t>ROLO COMPACTADOR VIBRATÓRIO TANDEM AÇO LISO, POTÊNCIA 58 HP, PESO SEM/COM LASTRO 6,5 / 9,4 T, LARGURA DE TRABALHO 1,2 M - DEPRECIAÇÃO. AF_06/2014</t>
  </si>
  <si>
    <t>34,35</t>
  </si>
  <si>
    <t>89281</t>
  </si>
  <si>
    <t>ROLO COMPACTADOR VIBRATÓRIO TANDEM AÇO LISO, POTÊNCIA 58 HP, PESO SEM/COM LASTRO 6,5 / 9,4 T, LARGURA DE TRABALHO 1,2 M - JUROS. AF_06/2014</t>
  </si>
  <si>
    <t>89870</t>
  </si>
  <si>
    <t>CAMINHÃO BASCULANTE 14 M3, COM CAVALO MECÂNICO DE CAPACIDADE MÁXIMA DE TRAÇÃO COMBINADO DE 36000 KG, POTÊNCIA 286 CV, INCLUSIVE SEMIREBOQUE COM CAÇAMBA METÁLICA - DEPRECIAÇÃO. AF_12/2014</t>
  </si>
  <si>
    <t>29,81</t>
  </si>
  <si>
    <t>89871</t>
  </si>
  <si>
    <t>CAMINHÃO BASCULANTE 14 M3, COM CAVALO MECÂNICO DE CAPACIDADE MÁXIMA DE TRAÇÃO COMBINADO DE 36000 KG, POTÊNCIA 286 CV, INCLUSIVE SEMIREBOQUE COM CAÇAMBA METÁLICA - JUROS. AF_12/2014</t>
  </si>
  <si>
    <t>5,50</t>
  </si>
  <si>
    <t>89872</t>
  </si>
  <si>
    <t>CAMINHÃO BASCULANTE 14 M3, COM CAVALO MECÂNICO DE CAPACIDADE MÁXIMA DE TRAÇÃO COMBINADO DE 36000 KG, POTÊNCIA 286 CV, INCLUSIVE SEMIREBOQUE COM CAÇAMBA METÁLICA - IMPOSTOS E SEGUROS. AF_12/2014</t>
  </si>
  <si>
    <t>2,15</t>
  </si>
  <si>
    <t>89873</t>
  </si>
  <si>
    <t>CAMINHÃO BASCULANTE 14 M3, COM CAVALO MECÂNICO DE CAPACIDADE MÁXIMA DE TRAÇÃO COMBINADO DE 36000 KG, POTÊNCIA 286 CV, INCLUSIVE SEMIREBOQUE COM CAÇAMBA METÁLICA - MANUTENÇÃO. AF_12/2014</t>
  </si>
  <si>
    <t>55,90</t>
  </si>
  <si>
    <t>89874</t>
  </si>
  <si>
    <t>CAMINHÃO BASCULANTE 14 M3, COM CAVALO MECÂNICO DE CAPACIDADE MÁXIMA DE TRAÇÃO COMBINADO DE 36000 KG, POTÊNCIA 286 CV, INCLUSIVE SEMIREBOQUE COM CAÇAMBA METÁLICA - MATERIAIS NA OPERAÇÃO. AF_12/2014</t>
  </si>
  <si>
    <t>150,59</t>
  </si>
  <si>
    <t>89878</t>
  </si>
  <si>
    <t>CAMINHÃO BASCULANTE 18 M3, COM CAVALO MECÂNICO DE CAPACIDADE MÁXIMA DE TRAÇÃO COMBINADO DE 45000 KG, POTÊNCIA 330 CV, INCLUSIVE SEMIREBOQUE COM CAÇAMBA METÁLICA - DEPRECIAÇÃO. AF_12/2014</t>
  </si>
  <si>
    <t>31,48</t>
  </si>
  <si>
    <t>89879</t>
  </si>
  <si>
    <t>CAMINHÃO BASCULANTE 18 M3, COM CAVALO MECÂNICO DE CAPACIDADE MÁXIMA DE TRAÇÃO COMBINADO DE 45000 KG, POTÊNCIA 330 CV, INCLUSIVE SEMIREBOQUE COM CAÇAMBA METÁLICA - JUROS. AF_12/2014</t>
  </si>
  <si>
    <t>5,81</t>
  </si>
  <si>
    <t>89880</t>
  </si>
  <si>
    <t>CAMINHÃO BASCULANTE 18 M3, COM CAVALO MECÂNICO DE CAPACIDADE MÁXIMA DE TRAÇÃO COMBINADO DE 45000 KG, POTÊNCIA 330 CV, INCLUSIVE SEMIREBOQUE COM CAÇAMBA METÁLICA - IMPOSTOS E SEGUROS. AF_12/2014</t>
  </si>
  <si>
    <t>2,28</t>
  </si>
  <si>
    <t>89881</t>
  </si>
  <si>
    <t>CAMINHÃO BASCULANTE 18 M3, COM CAVALO MECÂNICO DE CAPACIDADE MÁXIMA DE TRAÇÃO COMBINADO DE 45000 KG, POTÊNCIA 330 CV, INCLUSIVE SEMIREBOQUE COM CAÇAMBA METÁLICA - MANUTENÇÃO. AF_12/2014</t>
  </si>
  <si>
    <t>59,04</t>
  </si>
  <si>
    <t>89882</t>
  </si>
  <si>
    <t>CAMINHÃO BASCULANTE 18 M3, COM CAVALO MECÂNICO DE CAPACIDADE MÁXIMA DE TRAÇÃO COMBINADO DE 45000 KG, POTÊNCIA 330 CV, INCLUSIVE SEMIREBOQUE COM CAÇAMBA METÁLICA - MATERIAIS NA OPERAÇÃO. AF_12/2014</t>
  </si>
  <si>
    <t>173,74</t>
  </si>
  <si>
    <t>90582</t>
  </si>
  <si>
    <t>VIBRADOR DE IMERSÃO, DIÂMETRO DE PONTEIRA 45MM, MOTOR ELÉTRICO TRIFÁSICO POTÊNCIA DE 2 CV - DEPRECIAÇÃO. AF_06/2015</t>
  </si>
  <si>
    <t>0,39</t>
  </si>
  <si>
    <t>90583</t>
  </si>
  <si>
    <t>VIBRADOR DE IMERSÃO, DIÂMETRO DE PONTEIRA 45MM, MOTOR ELÉTRICO TRIFÁSICO POTÊNCIA DE 2 CV - JUROS. AF_06/2015</t>
  </si>
  <si>
    <t>90584</t>
  </si>
  <si>
    <t>VIBRADOR DE IMERSÃO, DIÂMETRO DE PONTEIRA 45MM, MOTOR ELÉTRICO TRIFÁSICO POTÊNCIA DE 2 CV - MANUTENÇÃO. AF_06/2015</t>
  </si>
  <si>
    <t>90585</t>
  </si>
  <si>
    <t>VIBRADOR DE IMERSÃO, DIÂMETRO DE PONTEIRA 45MM, MOTOR ELÉTRICO TRIFÁSICO POTÊNCIA DE 2 CV - MATERIAIS NA OPERAÇÃO. AF_06/2015</t>
  </si>
  <si>
    <t>90621</t>
  </si>
  <si>
    <t>PERFURATRIZ MANUAL, TORQUE MÁXIMO 83 N.M, POTÊNCIA 5 CV, COM DIÂMETRO MÁXIMO 4" - DEPRECIAÇÃO. AF_06/2015</t>
  </si>
  <si>
    <t>1,51</t>
  </si>
  <si>
    <t>90622</t>
  </si>
  <si>
    <t>PERFURATRIZ MANUAL, TORQUE MÁXIMO 83 N.M, POTÊNCIA 5 CV, COM DIÂMETRO MÁXIMO 4" - JUROS. AF_06/2015</t>
  </si>
  <si>
    <t>90623</t>
  </si>
  <si>
    <t>PERFURATRIZ MANUAL, TORQUE MÁXIMO 83 N.M, POTÊNCIA 5 CV, COM DIÂMETRO MÁXIMO 4" - MANUTENÇÃO. AF_06/2015</t>
  </si>
  <si>
    <t>1,89</t>
  </si>
  <si>
    <t>90624</t>
  </si>
  <si>
    <t>PERFURATRIZ MANUAL, TORQUE MÁXIMO 83 N.M, POTÊNCIA 5 CV, COM DIÂMETRO MÁXIMO 4" - MATERIAIS NA OPERAÇÃO. AF_06/2015</t>
  </si>
  <si>
    <t>90627</t>
  </si>
  <si>
    <t>PERFURATRIZ SOBRE ESTEIRA, TORQUE MÁXIMO 600 KGF, PESO MÉDIO 1000 KG, POTÊNCIA 20 HP, DIÂMETRO MÁXIMO 10" - DEPRECIAÇÃO. AF_06/2015</t>
  </si>
  <si>
    <t>48,45</t>
  </si>
  <si>
    <t>90628</t>
  </si>
  <si>
    <t>PERFURATRIZ SOBRE ESTEIRA, TORQUE MÁXIMO 600 KGF, PESO MÉDIO 1000 KG, POTÊNCIA 20 HP, DIÂMETRO MÁXIMO 10" - JUROS. AF_06/2015</t>
  </si>
  <si>
    <t>6,90</t>
  </si>
  <si>
    <t>90629</t>
  </si>
  <si>
    <t>PERFURATRIZ SOBRE ESTEIRA, TORQUE MÁXIMO 600 KGF, PESO MÉDIO 1000 KG, POTÊNCIA 20 HP, DIÂMETRO MÁXIMO 10" - MANUTENÇÃO. AF_06/2015</t>
  </si>
  <si>
    <t>90630</t>
  </si>
  <si>
    <t>PERFURATRIZ SOBRE ESTEIRA, TORQUE MÁXIMO 600 KGF, PESO MÉDIO 1000 KG, POTÊNCIA 20 HP, DIÂMETRO MÁXIMO 10" - MATERIAIS NA OPERAÇÃO. AF_06/2015</t>
  </si>
  <si>
    <t>11,91</t>
  </si>
  <si>
    <t>90633</t>
  </si>
  <si>
    <t>MISTURADOR DUPLO HORIZONTAL DE ALTA TURBULÊNCIA, CAPACIDADE / VOLUME 2 X 500 LITROS, MOTORES ELÉTRICOS MÍNIMO 5 CV CADA, PARA NATA CIMENTO, ARGAMASSA E OUTROS - DEPRECIAÇÃO. AF_06/2015</t>
  </si>
  <si>
    <t>4,01</t>
  </si>
  <si>
    <t>90634</t>
  </si>
  <si>
    <t>MISTURADOR DUPLO HORIZONTAL DE ALTA TURBULÊNCIA, CAPACIDADE / VOLUME 2 X 500 LITROS, MOTORES ELÉTRICOS MÍNIMO 5 CV CADA, PARA NATA CIMENTO, ARGAMASSA E OUTROS - JUROS. AF_06/2015</t>
  </si>
  <si>
    <t>90635</t>
  </si>
  <si>
    <t>MISTURADOR DUPLO HORIZONTAL DE ALTA TURBULÊNCIA, CAPACIDADE / VOLUME 2 X 500 LITROS, MOTORES ELÉTRICOS MÍNIMO 5 CV CADA, PARA NATA CIMENTO, ARGAMASSA E OUTROS - MANUTENÇÃO. AF_06/2015</t>
  </si>
  <si>
    <t>90636</t>
  </si>
  <si>
    <t>MISTURADOR DUPLO HORIZONTAL DE ALTA TURBULÊNCIA, CAPACIDADE / VOLUME 2 X 500 LITROS, MOTORES ELÉTRICOS MÍNIMO 5 CV CADA, PARA NATA CIMENTO, ARGAMASSA E OUTROS - MATERIAIS NA OPERAÇÃO. AF_06/2015</t>
  </si>
  <si>
    <t>90639</t>
  </si>
  <si>
    <t>BOMBA TRIPLEX, PARA INJEÇÃO DE NATA DE CIMENTO, VAZÃO MÁXIMA DE 100 LITROS/MINUTO, PRESSÃO MÁXIMA DE 70 BAR - DEPRECIAÇÃO. AF_06/2015</t>
  </si>
  <si>
    <t>5,99</t>
  </si>
  <si>
    <t>90640</t>
  </si>
  <si>
    <t>BOMBA TRIPLEX, PARA INJEÇÃO DE NATA DE CIMENTO, VAZÃO MÁXIMA DE 100 LITROS/MINUTO, PRESSÃO MÁXIMA DE 70 BAR - JUROS. AF_06/2015</t>
  </si>
  <si>
    <t>0,71</t>
  </si>
  <si>
    <t>90641</t>
  </si>
  <si>
    <t>BOMBA TRIPLEX, PARA INJEÇÃO DE NATA DE CIMENTO, VAZÃO MÁXIMA DE 100 LITROS/MINUTO, PRESSÃO MÁXIMA DE 70 BAR - MANUTENÇÃO. AF_06/2015</t>
  </si>
  <si>
    <t>6,55</t>
  </si>
  <si>
    <t>90642</t>
  </si>
  <si>
    <t>BOMBA TRIPLEX, PARA INJEÇÃO DE NATA DE CIMENTO, VAZÃO MÁXIMA DE 100 LITROS/MINUTO, PRESSÃO MÁXIMA DE 70 BAR - MATERIAIS NA OPERAÇÃO. AF_06/2015</t>
  </si>
  <si>
    <t>7,86</t>
  </si>
  <si>
    <t>90646</t>
  </si>
  <si>
    <t>BOMBA CENTRÍFUGA MONOESTÁGIO COM MOTOR ELÉTRICO MONOFÁSICO, POTÊNCIA 15 HP, DIÂMETRO DO ROTOR 173 MM, HM/Q = 30 MCA / 90 M3/H A 45 MCA / 55 M3/H - DEPRECIAÇÃO. AF_06/2015</t>
  </si>
  <si>
    <t>0,75</t>
  </si>
  <si>
    <t>90647</t>
  </si>
  <si>
    <t>BOMBA CENTRÍFUGA MONOESTÁGIO COM MOTOR ELÉTRICO MONOFÁSICO, POTÊNCIA 15 HP, DIÂMETRO DO ROTOR 173 MM, HM/Q = 30 MCA / 90 M3/H A 45 MCA / 55 M3/H - JUROS. AF_06/2015</t>
  </si>
  <si>
    <t>0,08</t>
  </si>
  <si>
    <t>90648</t>
  </si>
  <si>
    <t>BOMBA CENTRÍFUGA MONOESTÁGIO COM MOTOR ELÉTRICO MONOFÁSICO, POTÊNCIA 15 HP, DIÂMETRO DO ROTOR 173 MM, HM/Q = 30 MCA / 90 M3/H A 45 MCA / 55 M3/H - MANUTENÇÃO. AF_06/2015</t>
  </si>
  <si>
    <t>90649</t>
  </si>
  <si>
    <t>BOMBA CENTRÍFUGA MONOESTÁGIO COM MOTOR ELÉTRICO MONOFÁSICO, POTÊNCIA 15 HP, DIÂMETRO DO ROTOR 173 MM, HM/Q = 30 MCA / 90 M3/H A 45 MCA / 55 M3/H - MATERIAIS NA OPERAÇÃO. AF_06/2015</t>
  </si>
  <si>
    <t>9,12</t>
  </si>
  <si>
    <t>90652</t>
  </si>
  <si>
    <t>BOMBA DE PROJEÇÃO DE CONCRETO SECO, POTÊNCIA 10 CV, VAZÃO 3 M3/H - DEPRECIAÇÃO. AF_06/2015</t>
  </si>
  <si>
    <t>3,90</t>
  </si>
  <si>
    <t>90653</t>
  </si>
  <si>
    <t>BOMBA DE PROJEÇÃO DE CONCRETO SECO, POTÊNCIA 10 CV, VAZÃO 3 M3/H - JUROS. AF_06/2015</t>
  </si>
  <si>
    <t>0,46</t>
  </si>
  <si>
    <t>90654</t>
  </si>
  <si>
    <t>BOMBA DE PROJEÇÃO DE CONCRETO SECO, POTÊNCIA 10 CV, VAZÃO 3 M3/H - MANUTENÇÃO. AF_06/2015</t>
  </si>
  <si>
    <t>4,26</t>
  </si>
  <si>
    <t>90655</t>
  </si>
  <si>
    <t>BOMBA DE PROJEÇÃO DE CONCRETO SECO, POTÊNCIA 10 CV, VAZÃO 3 M3/H - MATERIAIS NA OPERAÇÃO. AF_06/2015</t>
  </si>
  <si>
    <t>6,00</t>
  </si>
  <si>
    <t>90658</t>
  </si>
  <si>
    <t>BOMBA DE PROJEÇÃO DE CONCRETO SECO, POTÊNCIA 10 CV, VAZÃO 6 M3/H - DEPRECIAÇÃO. AF_06/2015</t>
  </si>
  <si>
    <t>4,17</t>
  </si>
  <si>
    <t>90659</t>
  </si>
  <si>
    <t>BOMBA DE PROJEÇÃO DE CONCRETO SECO, POTÊNCIA 10 CV, VAZÃO 6 M3/H - JUROS. AF_06/2015</t>
  </si>
  <si>
    <t>0,49</t>
  </si>
  <si>
    <t>90660</t>
  </si>
  <si>
    <t>BOMBA DE PROJEÇÃO DE CONCRETO SECO, POTÊNCIA 10 CV, VAZÃO 6 M3/H - MANUTENÇÃO. AF_06/2015</t>
  </si>
  <si>
    <t>4,57</t>
  </si>
  <si>
    <t>90661</t>
  </si>
  <si>
    <t>BOMBA DE PROJEÇÃO DE CONCRETO SECO, POTÊNCIA 10 CV, VAZÃO 6 M3/H - MATERIAIS NA OPERAÇÃO. AF_06/2015</t>
  </si>
  <si>
    <t>90664</t>
  </si>
  <si>
    <t>PROJETOR PNEUMÁTICO DE ARGAMASSA PARA CHAPISCO E REBOCO COM RECIPIENTE ACOPLADO, TIPO CANEQUINHA, COM COMPRESSOR DE AR REBOCÁVEL VAZÃO 89 PCM E MOTOR DIESEL DE 20 CV - DEPRECIAÇÃO. AF_06/2015</t>
  </si>
  <si>
    <t>5,58</t>
  </si>
  <si>
    <t>90665</t>
  </si>
  <si>
    <t>PROJETOR PNEUMÁTICO DE ARGAMASSA PARA CHAPISCO E REBOCO COM RECIPIENTE ACOPLADO, TIPO CANEQUINHA, COM COMPRESSOR DE AR REBOCÁVEL VAZÃO 89 PCM E MOTOR DIESEL DE 20 CV - JUROS. AF_06/2015</t>
  </si>
  <si>
    <t>90666</t>
  </si>
  <si>
    <t>PROJETOR PNEUMÁTICO DE ARGAMASSA PARA CHAPISCO E REBOCO COM RECIPIENTE ACOPLADO, TIPO CANEQUINHA, COM COMPRESSOR DE AR REBOCÁVEL VAZÃO 89 PCM E MOTOR DIESEL DE 20 CV - MANUTENÇÃO. AF_06/2015</t>
  </si>
  <si>
    <t>6,09</t>
  </si>
  <si>
    <t>90667</t>
  </si>
  <si>
    <t>PROJETOR PNEUMÁTICO DE ARGAMASSA PARA CHAPISCO E REBOCO COM RECIPIENTE ACOPLADO, TIPO CANEQUINHA, COM COMPRESSOR DE AR REBOCÁVEL VAZÃO 89 PCM E MOTOR DIESEL DE 20 CV - MATERIAIS NA OPERAÇÃO. AF_06/2015</t>
  </si>
  <si>
    <t>12,77</t>
  </si>
  <si>
    <t>90670</t>
  </si>
  <si>
    <t>PERFURATRIZ COM TORRE METÁLICA PARA EXECUÇÃO DE ESTACA HÉLICE CONTÍNUA, PROFUNDIDADE MÁXIMA DE 30 M, DIÂMETRO MÁXIMO DE 800 MM, POTÊNCIA INSTALADA DE 268 HP, MESA ROTATIVA COM TORQUE MÁXIMO DE 170 KNM - DEPRECIAÇÃO. AF_06/2015</t>
  </si>
  <si>
    <t>222,35</t>
  </si>
  <si>
    <t>90671</t>
  </si>
  <si>
    <t>PERFURATRIZ COM TORRE METÁLICA PARA EXECUÇÃO DE ESTACA HÉLICE CONTÍNUA, PROFUNDIDADE MÁXIMA DE 30 M, DIÂMETRO MÁXIMO DE 800 MM, POTÊNCIA INSTALADA DE 268 HP, MESA ROTATIVA COM TORQUE MÁXIMO DE 170 KNM - JUROS. AF_06/2015</t>
  </si>
  <si>
    <t>30,87</t>
  </si>
  <si>
    <t>90672</t>
  </si>
  <si>
    <t>PERFURATRIZ COM TORRE METÁLICA PARA EXECUÇÃO DE ESTACA HÉLICE CONTÍNUA, PROFUNDIDADE MÁXIMA DE 30 M, DIÂMETRO MÁXIMO DE 800 MM, POTÊNCIA INSTALADA DE 268 HP, MESA ROTATIVA COM TORQUE MÁXIMO DE 170 KNM - MANUTENÇÃO. AF_06/2015</t>
  </si>
  <si>
    <t>278,25</t>
  </si>
  <si>
    <t>90673</t>
  </si>
  <si>
    <t>PERFURATRIZ COM TORRE METÁLICA PARA EXECUÇÃO DE ESTACA HÉLICE CONTÍNUA, PROFUNDIDADE MÁXIMA DE 30 M, DIÂMETRO MÁXIMO DE 800 MM, POTÊNCIA INSTALADA DE 268 HP, MESA ROTATIVA COM TORQUE MÁXIMO DE 170 KNM - MATERIAIS NA OPERAÇÃO. AF_06/2015</t>
  </si>
  <si>
    <t>102,20</t>
  </si>
  <si>
    <t>90676</t>
  </si>
  <si>
    <t>PERFURATRIZ HIDRÁULICA SOBRE CAMINHÃO COM TRADO CURTO ACOPLADO, PROFUNDIDADE MÁXIMA DE 20 M, DIÂMETRO MÁXIMO DE 1500 MM, POTÊNCIA INSTALADA DE 137 HP, MESA ROTATIVA COM TORQUE MÁXIMO DE 30 KNM - DEPRECIAÇÃO. AF_06/2015</t>
  </si>
  <si>
    <t>90677</t>
  </si>
  <si>
    <t>PERFURATRIZ HIDRÁULICA SOBRE CAMINHÃO COM TRADO CURTO ACOPLADO, PROFUNDIDADE MÁXIMA DE 20 M, DIÂMETRO MÁXIMO DE 1500 MM, POTÊNCIA INSTALADA DE 137 HP, MESA ROTATIVA COM TORQUE MÁXIMO DE 30 KNM - JUROS. AF_06/2015</t>
  </si>
  <si>
    <t>15,22</t>
  </si>
  <si>
    <t>90678</t>
  </si>
  <si>
    <t>PERFURATRIZ HIDRÁULICA SOBRE CAMINHÃO COM TRADO CURTO ACOPLADO, PROFUNDIDADE MÁXIMA DE 20 M, DIÂMETRO MÁXIMO DE 1500 MM, POTÊNCIA INSTALADA DE 137 HP, MESA ROTATIVA COM TORQUE MÁXIMO DE 30 KNM - MANUTENÇÃO. AF_06/2015</t>
  </si>
  <si>
    <t>137,28</t>
  </si>
  <si>
    <t>90679</t>
  </si>
  <si>
    <t>PERFURATRIZ HIDRÁULICA SOBRE CAMINHÃO COM TRADO CURTO ACOPLADO, PROFUNDIDADE MÁXIMA DE 20 M, DIÂMETRO MÁXIMO DE 1500 MM, POTÊNCIA INSTALADA DE 137 HP, MESA ROTATIVA COM TORQUE MÁXIMO DE 30 KNM - MATERIAIS NA OPERAÇÃO. AF_06/2015</t>
  </si>
  <si>
    <t>78,33</t>
  </si>
  <si>
    <t>90682</t>
  </si>
  <si>
    <t>MANIPULADOR TELESCÓPICO, POTÊNCIA DE 85 HP, CAPACIDADE DE CARGA DE 3.500 KG, ALTURA MÁXIMA DE ELEVAÇÃO DE 12,3 M - DEPRECIAÇÃO. AF_06/2015</t>
  </si>
  <si>
    <t>29,53</t>
  </si>
  <si>
    <t>90683</t>
  </si>
  <si>
    <t>MANIPULADOR TELESCÓPICO, POTÊNCIA DE 85 HP, CAPACIDADE DE CARGA DE 3.500 KG, ALTURA MÁXIMA DE ELEVAÇÃO DE 12,3 M - JUROS. AF_06/2015</t>
  </si>
  <si>
    <t>3,50</t>
  </si>
  <si>
    <t>90684</t>
  </si>
  <si>
    <t>MANIPULADOR TELESCÓPICO, POTÊNCIA DE 85 HP, CAPACIDADE DE CARGA DE 3.500 KG, ALTURA MÁXIMA DE ELEVAÇÃO DE 12,3 M - MANUTENÇÃO. AF_06/2015</t>
  </si>
  <si>
    <t>32,30</t>
  </si>
  <si>
    <t>90685</t>
  </si>
  <si>
    <t>MANIPULADOR TELESCÓPICO, POTÊNCIA DE 85 HP, CAPACIDADE DE CARGA DE 3.500 KG, ALTURA MÁXIMA DE ELEVAÇÃO DE 12,3 M - MATERIAIS NA OPERAÇÃO. AF_06/2015</t>
  </si>
  <si>
    <t>48,59</t>
  </si>
  <si>
    <t>90688</t>
  </si>
  <si>
    <t>MINICARREGADEIRA SOBRE RODAS, POTÊNCIA LÍQUIDA DE 47 HP, CAPACIDADE NOMINAL DE OPERAÇÃO DE 646 KG - DEPRECIAÇÃO. AF_06/2015</t>
  </si>
  <si>
    <t>15,18</t>
  </si>
  <si>
    <t>90689</t>
  </si>
  <si>
    <t>MINICARREGADEIRA SOBRE RODAS, POTÊNCIA LÍQUIDA DE 47 HP, CAPACIDADE NOMINAL DE OPERAÇÃO DE 646 KG - JUROS. AF_06/2015</t>
  </si>
  <si>
    <t>1,53</t>
  </si>
  <si>
    <t>90690</t>
  </si>
  <si>
    <t>MINICARREGADEIRA SOBRE RODAS, POTÊNCIA LÍQUIDA DE 47 HP, CAPACIDADE NOMINAL DE OPERAÇÃO DE 646 KG - MANUTENÇÃO. AF_06/2015</t>
  </si>
  <si>
    <t>18,97</t>
  </si>
  <si>
    <t>90691</t>
  </si>
  <si>
    <t>MINICARREGADEIRA SOBRE RODAS, POTÊNCIA LÍQUIDA DE 47 HP, CAPACIDADE NOMINAL DE OPERAÇÃO DE 646 KG - MATERIAIS NA OPERAÇÃO. AF_06/2015</t>
  </si>
  <si>
    <t>44,76</t>
  </si>
  <si>
    <t>90957</t>
  </si>
  <si>
    <t>COMPRESSOR DE AR REBOCÁVEL, VAZÃO 189 PCM, PRESSÃO EFETIVA DE TRABALHO 102 PSI, MOTOR DIESEL, POTÊNCIA 63 CV - DEPRECIAÇÃO. AF_06/2015</t>
  </si>
  <si>
    <t>3,45</t>
  </si>
  <si>
    <t>90958</t>
  </si>
  <si>
    <t>COMPRESSOR DE AR REBOCÁVEL, VAZÃO 189 PCM, PRESSÃO EFETIVA DE TRABALHO 102 PSI, MOTOR DIESEL, POTÊNCIA 63 CV - JUROS. AF_06/2015</t>
  </si>
  <si>
    <t>90960</t>
  </si>
  <si>
    <t>COMPRESSOR DE AR REBOCÁVEL, VAZÃO 89 PCM, PRESSÃO EFETIVA DE TRABALHO 102 PSI, MOTOR DIESEL, POTÊNCIA 20 CV - DEPRECIAÇÃO. AF_06/2015</t>
  </si>
  <si>
    <t>4,61</t>
  </si>
  <si>
    <t>90961</t>
  </si>
  <si>
    <t>COMPRESSOR DE AR REBOCÁVEL, VAZÃO 89 PCM, PRESSÃO EFETIVA DE TRABALHO 102 PSI, MOTOR DIESEL, POTÊNCIA 20 CV - JUROS. AF_06/2015</t>
  </si>
  <si>
    <t>90962</t>
  </si>
  <si>
    <t>COMPRESSOR DE AR REBOCÁVEL, VAZÃO 89 PCM, PRESSÃO EFETIVA DE TRABALHO 102 PSI, MOTOR DIESEL, POTÊNCIA 20 CV - MANUTENÇÃO. AF_06/2015</t>
  </si>
  <si>
    <t>5,77</t>
  </si>
  <si>
    <t>90963</t>
  </si>
  <si>
    <t>COMPRESSOR DE AR REBOCÁVEL, VAZÃO 89 PCM, PRESSÃO EFETIVA DE TRABALHO 102 PSI, MOTOR DIESEL, POTÊNCIA 20 CV - MATERIAIS NA OPERAÇÃO. AF_06/2015</t>
  </si>
  <si>
    <t>90968</t>
  </si>
  <si>
    <t>COMPRESSOR DE AR REBOCAVEL, VAZÃO 250 PCM, PRESSAO DE TRABALHO 102 PSI, MOTOR A DIESEL POTÊNCIA 81 CV - DEPRECIAÇÃO. AF_06/2015</t>
  </si>
  <si>
    <t>4,62</t>
  </si>
  <si>
    <t>90969</t>
  </si>
  <si>
    <t>COMPRESSOR DE AR REBOCAVEL, VAZÃO 250 PCM, PRESSAO DE TRABALHO 102 PSI, MOTOR A DIESEL POTÊNCIA 81 CV - JUROS. AF_06/2015</t>
  </si>
  <si>
    <t>90970</t>
  </si>
  <si>
    <t>COMPRESSOR DE AR REBOCAVEL, VAZÃO 250 PCM, PRESSAO DE TRABALHO 102 PSI, MOTOR A DIESEL POTÊNCIA 81 CV - MANUTENÇÃO. AF_06/2015</t>
  </si>
  <si>
    <t>5,79</t>
  </si>
  <si>
    <t>90971</t>
  </si>
  <si>
    <t>COMPRESSOR DE AR REBOCAVEL, VAZÃO 250 PCM, PRESSAO DE TRABALHO 102 PSI, MOTOR A DIESEL POTÊNCIA 81 CV - MATERIAIS NA OPERAÇÃO. AF_06/2015</t>
  </si>
  <si>
    <t>51,76</t>
  </si>
  <si>
    <t>90975</t>
  </si>
  <si>
    <t>COMPRESSOR DE AR REBOCÁVEL, VAZÃO 748 PCM, PRESSÃO EFETIVA DE TRABALHO 102 PSI, MOTOR DIESEL, POTÊNCIA 210 CV - DEPRECIAÇÃO. AF_06/2015</t>
  </si>
  <si>
    <t>11,74</t>
  </si>
  <si>
    <t>90976</t>
  </si>
  <si>
    <t>COMPRESSOR DE AR REBOCÁVEL, VAZÃO 748 PCM, PRESSÃO EFETIVA DE TRABALHO 102 PSI, MOTOR DIESEL, POTÊNCIA 210 CV - JUROS. AF_06/2015</t>
  </si>
  <si>
    <t>1,63</t>
  </si>
  <si>
    <t>90977</t>
  </si>
  <si>
    <t>COMPRESSOR DE AR REBOCÁVEL, VAZÃO 748 PCM, PRESSÃO EFETIVA DE TRABALHO 102 PSI, MOTOR DIESEL, POTÊNCIA 210 CV - MANUTENÇÃO. AF_06/2015</t>
  </si>
  <si>
    <t>14,70</t>
  </si>
  <si>
    <t>90978</t>
  </si>
  <si>
    <t>COMPRESSOR DE AR REBOCÁVEL, VAZÃO 748 PCM, PRESSÃO EFETIVA DE TRABALHO 102 PSI, MOTOR DIESEL, POTÊNCIA 210 CV - MATERIAIS NA OPERAÇÃO. AF_06/2015</t>
  </si>
  <si>
    <t>134,29</t>
  </si>
  <si>
    <t>90992</t>
  </si>
  <si>
    <t>COMPRESSOR DE AR REBOCAVEL, VAZÃO 400 PCM, PRESSAO DE TRABALHO 102 PSI, MOTOR A DIESEL POTÊNCIA 110 CV - DEPRECIAÇÃO. AF_06/2015</t>
  </si>
  <si>
    <t>5,48</t>
  </si>
  <si>
    <t>90993</t>
  </si>
  <si>
    <t>COMPRESSOR DE AR REBOCAVEL, VAZÃO 400 PCM, PRESSAO DE TRABALHO 102 PSI, MOTOR A DIESEL POTÊNCIA 110 CV - JUROS. AF_06/2015</t>
  </si>
  <si>
    <t>90994</t>
  </si>
  <si>
    <t>COMPRESSOR DE AR REBOCAVEL, VAZÃO 400 PCM, PRESSAO DE TRABALHO 102 PSI, MOTOR A DIESEL POTÊNCIA 110 CV - MANUTENÇÃO. AF_06/2015</t>
  </si>
  <si>
    <t>6,86</t>
  </si>
  <si>
    <t>90995</t>
  </si>
  <si>
    <t>COMPRESSOR DE AR REBOCAVEL, VAZÃO 400 PCM, PRESSAO DE TRABALHO 102 PSI, MOTOR A DIESEL POTÊNCIA 110 CV - MATERIAIS NA OPERAÇÃO. AF_06/2015</t>
  </si>
  <si>
    <t>70,31</t>
  </si>
  <si>
    <t>91021</t>
  </si>
  <si>
    <t>PERFURATRIZ HIDRÁULICA SOBRE CAMINHÃO COM TRADO CURTO ACOPLADO, PROFUNDIDADE MÁXIMA DE 20 M, DIÂMETRO MÁXIMO DE 1500 MM, POTÊNCIA INSTALADA DE 137 HP, MESA ROTATIVA COM TORQUE MÁXIMO DE 30 KNM - IMPOSTOS E SEGUROS. AF_06/2015</t>
  </si>
  <si>
    <t>91026</t>
  </si>
  <si>
    <t>CAMINHÃO TRUCADO (C/ TERCEIRO EIXO) ELETRÔNICO - POTÊNCIA 231CV - PBT = 22000KG - DIST. ENTRE EIXOS 5170 MM - INCLUI CARROCERIA FIXA ABERTA DE MADEIRA - DEPRECIAÇÃO. AF_06/2015</t>
  </si>
  <si>
    <t>16,98</t>
  </si>
  <si>
    <t>91027</t>
  </si>
  <si>
    <t>CAMINHÃO TRUCADO (C/ TERCEIRO EIXO) ELETRÔNICO - POTÊNCIA 231CV - PBT = 22000KG - DIST. ENTRE EIXOS 5170 MM - INCLUI CARROCERIA FIXA ABERTA DE MADEIRA - JUROS. AF_06/2015</t>
  </si>
  <si>
    <t>3,56</t>
  </si>
  <si>
    <t>91028</t>
  </si>
  <si>
    <t>CAMINHÃO TRUCADO (C/ TERCEIRO EIXO) ELETRÔNICO - POTÊNCIA 231CV - PBT = 22000KG - DIST. ENTRE EIXOS 5170 MM - INCLUI CARROCERIA FIXA ABERTA DE MADEIRA - IMPOSTOS E SEGUROS. AF_06/2015</t>
  </si>
  <si>
    <t>1,38</t>
  </si>
  <si>
    <t>91029</t>
  </si>
  <si>
    <t>CAMINHÃO TRUCADO (C/ TERCEIRO EIXO) ELETRÔNICO - POTÊNCIA 231CV - PBT = 22000KG - DIST. ENTRE EIXOS 5170 MM - INCLUI CARROCERIA FIXA ABERTA DE MADEIRA - MANUTENÇÃO. AF_06/2015</t>
  </si>
  <si>
    <t>31,84</t>
  </si>
  <si>
    <t>91030</t>
  </si>
  <si>
    <t>CAMINHÃO TRUCADO (C/ TERCEIRO EIXO) ELETRÔNICO - POTÊNCIA 231CV - PBT = 22000KG - DIST. ENTRE EIXOS 5170 MM - INCLUI CARROCERIA FIXA ABERTA DE MADEIRA - MATERIAIS NA OPERAÇÃO. AF_06/2015</t>
  </si>
  <si>
    <t>121,61</t>
  </si>
  <si>
    <t>91273</t>
  </si>
  <si>
    <t>PLACA VIBRATÓRIA REVERSÍVEL COM MOTOR 4 TEMPOS A GASOLINA, FORÇA CENTRÍFUGA DE 25 KN (2500 KGF), POTÊNCIA 5,5 CV - DEPRECIAÇÃO. AF_08/2015</t>
  </si>
  <si>
    <t>91274</t>
  </si>
  <si>
    <t>PLACA VIBRATÓRIA REVERSÍVEL COM MOTOR 4 TEMPOS A GASOLINA, FORÇA CENTRÍFUGA DE 25 KN (2500 KGF), POTÊNCIA 5,5 CV - JUROS. AF_08/2015</t>
  </si>
  <si>
    <t>91275</t>
  </si>
  <si>
    <t>PLACA VIBRATÓRIA REVERSÍVEL COM MOTOR 4 TEMPOS A GASOLINA, FORÇA CENTRÍFUGA DE 25 KN (2500 KGF), POTÊNCIA 5,5 CV - MANUTENÇÃO. AF_08/2015</t>
  </si>
  <si>
    <t>0,60</t>
  </si>
  <si>
    <t>91276</t>
  </si>
  <si>
    <t>PLACA VIBRATÓRIA REVERSÍVEL COM MOTOR 4 TEMPOS A GASOLINA, FORÇA CENTRÍFUGA DE 25 KN (2500 KGF), POTÊNCIA 5,5 CV - MATERIAIS NA OPERAÇÃO. AF_08/2015</t>
  </si>
  <si>
    <t>91279</t>
  </si>
  <si>
    <t>CORTADORA DE PISO COM MOTOR 4 TEMPOS A GASOLINA, POTÊNCIA DE 13 HP, COM DISCO DE CORTE DIAMANTADO SEGMENTADO PARA CONCRETO, DIÂMETRO DE 350 MM, FURO DE 1" (14 X 1") - DEPRECIAÇÃO. AF_08/2015</t>
  </si>
  <si>
    <t>1,08</t>
  </si>
  <si>
    <t>91280</t>
  </si>
  <si>
    <t>CORTADORA DE PISO COM MOTOR 4 TEMPOS A GASOLINA, POTÊNCIA DE 13 HP, COM DISCO DE CORTE DIAMANTADO SEGMENTADO PARA CONCRETO, DIÂMETRO DE 350 MM, FURO DE 1" (14 X 1") - JUROS. AF_08/2015</t>
  </si>
  <si>
    <t>0,12</t>
  </si>
  <si>
    <t>91281</t>
  </si>
  <si>
    <t>CORTADORA DE PISO COM MOTOR 4 TEMPOS A GASOLINA, POTÊNCIA DE 13 HP, COM DISCO DE CORTE DIAMANTADO SEGMENTADO PARA CONCRETO, DIÂMETRO DE 350 MM, FURO DE 1" (14 X 1") - MANUTENÇÃO. AF_08/2015</t>
  </si>
  <si>
    <t>1,36</t>
  </si>
  <si>
    <t>91282</t>
  </si>
  <si>
    <t>CORTADORA DE PISO COM MOTOR 4 TEMPOS A GASOLINA, POTÊNCIA DE 13 HP, COM DISCO DE CORTE DIAMANTADO SEGMENTADO PARA CONCRETO, DIÂMETRO DE 350 MM, FURO DE 1" (14 X 1") - MATERIAIS NA OPERAÇÃO. AF_08/2015</t>
  </si>
  <si>
    <t>22,88</t>
  </si>
  <si>
    <t>91354</t>
  </si>
  <si>
    <t>CAMINHÃO TOCO, PESO BRUTO TOTAL 14.300 KG, CARGA ÚTIL MÁXIMA 9590 KG, DISTÂNCIA ENTRE EIXOS 4,76 M, POTÊNCIA 185 CV (NÃO INCLUI CARROCERIA) - DEPRECIAÇÃO. AF_06/2014</t>
  </si>
  <si>
    <t>13,17</t>
  </si>
  <si>
    <t>91355</t>
  </si>
  <si>
    <t>CAMINHÃO TOCO, PESO BRUTO TOTAL 14.300 KG, CARGA ÚTIL MÁXIMA 9590 KG, DISTÂNCIA ENTRE EIXOS 4,76 M, POTÊNCIA 185 CV (NÃO INCLUI CARROCERIA) - JUROS. AF_06/2014</t>
  </si>
  <si>
    <t>2,76</t>
  </si>
  <si>
    <t>91356</t>
  </si>
  <si>
    <t>CAMINHÃO TOCO, PESO BRUTO TOTAL 14.300 KG, CARGA ÚTIL MÁXIMA 9590 KG, DISTÂNCIA ENTRE EIXOS 4,76 M, POTÊNCIA 185 CV (NÃO INCLUI CARROCERIA) - IMPOSTOS E SEGUROS. AF_06/2014</t>
  </si>
  <si>
    <t>1,07</t>
  </si>
  <si>
    <t>91359</t>
  </si>
  <si>
    <t>CAMINHÃO PIPA 6.000 L, PESO BRUTO TOTAL 13.000 KG, DISTÂNCIA ENTRE EIXOS 4,80 M, POTÊNCIA 189 CV INCLUSIVE TANQUE DE AÇO PARA TRANSPORTE DE ÁGUA, CAPACIDADE 6 M3 - DEPRECIAÇÃO. AF_06/2014</t>
  </si>
  <si>
    <t>14,99</t>
  </si>
  <si>
    <t>91360</t>
  </si>
  <si>
    <t>CAMINHÃO PIPA 6.000 L, PESO BRUTO TOTAL 13.000 KG, DISTÂNCIA ENTRE EIXOS 4,80 M, POTÊNCIA 189 CV INCLUSIVE TANQUE DE AÇO PARA TRANSPORTE DE ÁGUA, CAPACIDADE 6 M3 - JUROS. AF_06/2014</t>
  </si>
  <si>
    <t>3,14</t>
  </si>
  <si>
    <t>91361</t>
  </si>
  <si>
    <t>CAMINHÃO PIPA 6.000 L, PESO BRUTO TOTAL 13.000 KG, DISTÂNCIA ENTRE EIXOS 4,80 M, POTÊNCIA 189 CV INCLUSIVE TANQUE DE AÇO PARA TRANSPORTE DE ÁGUA, CAPACIDADE 6 M3 - IMPOSTOS E SEGUROS. AF_06/2014</t>
  </si>
  <si>
    <t>1,21</t>
  </si>
  <si>
    <t>91367</t>
  </si>
  <si>
    <t>CAMINHÃO BASCULANTE 6 M3, PESO BRUTO TOTAL 16.000 KG, CARGA ÚTIL MÁXIMA 13.071 KG, DISTÂNCIA ENTRE EIXOS 4,80 M, POTÊNCIA 230 CV INCLUSIVE CAÇAMBA METÁLICA - DEPRECIAÇÃO. AF_06/2014</t>
  </si>
  <si>
    <t>19,31</t>
  </si>
  <si>
    <t>91368</t>
  </si>
  <si>
    <t>CAMINHÃO BASCULANTE 6 M3, PESO BRUTO TOTAL 16.000 KG, CARGA ÚTIL MÁXIMA 13.071 KG, DISTÂNCIA ENTRE EIXOS 4,80 M, POTÊNCIA 230 CV INCLUSIVE CAÇAMBA METÁLICA - JUROS. AF_06/2014</t>
  </si>
  <si>
    <t>3,57</t>
  </si>
  <si>
    <t>91369</t>
  </si>
  <si>
    <t>CAMINHÃO BASCULANTE 6 M3, PESO BRUTO TOTAL 16.000 KG, CARGA ÚTIL MÁXIMA 13.071 KG, DISTÂNCIA ENTRE EIXOS 4,80 M, POTÊNCIA 230 CV INCLUSIVE CAÇAMBA METÁLICA - IMPOSTOS E SEGUROS. AF_06/2014</t>
  </si>
  <si>
    <t>1,39</t>
  </si>
  <si>
    <t>91375</t>
  </si>
  <si>
    <t>CAMINHÃO TOCO, PESO BRUTO TOTAL 16.000 KG, CARGA ÚTIL MÁXIMA DE 10.685 KG, DISTÂNCIA ENTRE EIXOS 4,80 M, POTÊNCIA 189 CV EXCLUSIVE CARROCERIA - DEPRECIAÇÃO. AF_06/2014</t>
  </si>
  <si>
    <t>11,09</t>
  </si>
  <si>
    <t>91376</t>
  </si>
  <si>
    <t>CAMINHÃO TOCO, PESO BRUTO TOTAL 16.000 KG, CARGA ÚTIL MÁXIMA DE 10.685 KG, DISTÂNCIA ENTRE EIXOS 4,80 M, POTÊNCIA 189 CV EXCLUSIVE CARROCERIA - JUROS. AF_06/2014</t>
  </si>
  <si>
    <t>2,32</t>
  </si>
  <si>
    <t>91377</t>
  </si>
  <si>
    <t>CAMINHÃO TOCO, PESO BRUTO TOTAL 16.000 KG, CARGA ÚTIL MÁXIMA DE 10.685 KG, DISTÂNCIA ENTRE EIXOS 4,80 M, POTÊNCIA 189 CV EXCLUSIVE CARROCERIA - IMPOSTOS E SEGUROS. AF_06/2014</t>
  </si>
  <si>
    <t>0,90</t>
  </si>
  <si>
    <t>91380</t>
  </si>
  <si>
    <t>CAMINHÃO BASCULANTE 10 M3, TRUCADO CABINE SIMPLES, PESO BRUTO TOTAL 23.000 KG, CARGA ÚTIL MÁXIMA 15.935 KG, DISTÂNCIA ENTRE EIXOS 4,80 M, POTÊNCIA 230 CV INCLUSIVE CAÇAMBA METÁLICA - DEPRECIAÇÃO. AF_06/2014</t>
  </si>
  <si>
    <t>21,83</t>
  </si>
  <si>
    <t>91381</t>
  </si>
  <si>
    <t>CAMINHÃO BASCULANTE 10 M3, TRUCADO CABINE SIMPLES, PESO BRUTO TOTAL 23.000 KG, CARGA ÚTIL MÁXIMA 15.935 KG, DISTÂNCIA ENTRE EIXOS 4,80 M, POTÊNCIA 230 CV INCLUSIVE CAÇAMBA METÁLICA - JUROS. AF_06/2014</t>
  </si>
  <si>
    <t>91382</t>
  </si>
  <si>
    <t>CAMINHÃO BASCULANTE 10 M3, TRUCADO CABINE SIMPLES, PESO BRUTO TOTAL 23.000 KG, CARGA ÚTIL MÁXIMA 15.935 KG, DISTÂNCIA ENTRE EIXOS 4,80 M, POTÊNCIA 230 CV INCLUSIVE CAÇAMBA METÁLICA - IMPOSTOS E SEGUROS. AF_06/2014</t>
  </si>
  <si>
    <t>1,57</t>
  </si>
  <si>
    <t>91383</t>
  </si>
  <si>
    <t>CAMINHÃO BASCULANTE 10 M3, TRUCADO CABINE SIMPLES, PESO BRUTO TOTAL 23.000 KG, CARGA ÚTIL MÁXIMA 15.935 KG, DISTÂNCIA ENTRE EIXOS 4,80 M, POTÊNCIA 230 CV INCLUSIVE CAÇAMBA METÁLICA - MANUTENÇÃO. AF_06/2014</t>
  </si>
  <si>
    <t>40,94</t>
  </si>
  <si>
    <t>91384</t>
  </si>
  <si>
    <t>CAMINHÃO BASCULANTE 10 M3, TRUCADO CABINE SIMPLES, PESO BRUTO TOTAL 23.000 KG, CARGA ÚTIL MÁXIMA 15.935 KG, DISTÂNCIA ENTRE EIXOS 4,80 M, POTÊNCIA 230 CV INCLUSIVE CAÇAMBA METÁLICA - MATERIAIS NA OPERAÇÃO. AF_06/2014</t>
  </si>
  <si>
    <t>121,10</t>
  </si>
  <si>
    <t>91390</t>
  </si>
  <si>
    <t>CAMINHÃO TOCO, PBT 14.300 KG, CARGA ÚTIL MÁX. 9.710 KG, DIST. ENTRE EIXOS 3,56 M, POTÊNCIA 185 CV, INCLUSIVE CARROCERIA FIXA ABERTA DE MADEIRA P/ TRANSPORTE GERAL DE CARGA SECA, DIMEN. APROX. 2,50 X 6,50 X 0,50 M - DEPRECIAÇÃO. AF_06/2014</t>
  </si>
  <si>
    <t>14,26</t>
  </si>
  <si>
    <t>91391</t>
  </si>
  <si>
    <t>CAMINHÃO TOCO, PBT 14.300 KG, CARGA ÚTIL MÁX. 9.710 KG, DIST. ENTRE EIXOS 3,56 M, POTÊNCIA 185 CV, INCLUSIVE CARROCERIA FIXA ABERTA DE MADEIRA P/ TRANSPORTE GERAL DE CARGA SECA, DIMEN. APROX. 2,50 X 6,50 X 0,50 M - JUROS. AF_06/2014</t>
  </si>
  <si>
    <t>2,99</t>
  </si>
  <si>
    <t>91392</t>
  </si>
  <si>
    <t>CAMINHÃO TOCO, PBT 14.300 KG, CARGA ÚTIL MÁX. 9.710 KG, DIST. ENTRE EIXOS 3,56 M, POTÊNCIA 185 CV, INCLUSIVE CARROCERIA FIXA ABERTA DE MADEIRA P/ TRANSPORTE GERAL DE CARGA SECA, DIMEN. APROX. 2,50 X 6,50 X 0,50 M - IMPOSTOS E SEGUROS. AF_06/2014</t>
  </si>
  <si>
    <t>1,16</t>
  </si>
  <si>
    <t>91396</t>
  </si>
  <si>
    <t>CAMINHÃO PIPA 10.000 L TRUCADO, PESO BRUTO TOTAL 23.000 KG, CARGA ÚTIL MÁXIMA 15.935 KG, DISTÂNCIA ENTRE EIXOS 4,8 M, POTÊNCIA 230 CV, INCLUSIVE TANQUE DE AÇO PARA TRANSPORTE DE ÁGUA - DEPRECIAÇÃO. AF_06/2014</t>
  </si>
  <si>
    <t>19,22</t>
  </si>
  <si>
    <t>91397</t>
  </si>
  <si>
    <t>CAMINHÃO PIPA 10.000 L TRUCADO, PESO BRUTO TOTAL 23.000 KG, CARGA ÚTIL MÁXIMA 15.935 KG, DISTÂNCIA ENTRE EIXOS 4,8 M, POTÊNCIA 230 CV, INCLUSIVE TANQUE DE AÇO PARA TRANSPORTE DE ÁGUA - JUROS. AF_06/2014</t>
  </si>
  <si>
    <t>4,02</t>
  </si>
  <si>
    <t>91398</t>
  </si>
  <si>
    <t>CAMINHÃO PIPA 10.000 L TRUCADO, PESO BRUTO TOTAL 23.000 KG, CARGA ÚTIL MÁXIMA 15.935 KG, DISTÂNCIA ENTRE EIXOS 4,8 M, POTÊNCIA 230 CV, INCLUSIVE TANQUE DE AÇO PARA TRANSPORTE DE ÁGUA - IMPOSTOS E SEGUROS. AF_06/2014</t>
  </si>
  <si>
    <t>1,56</t>
  </si>
  <si>
    <t>91402</t>
  </si>
  <si>
    <t>CAMINHÃO BASCULANTE 6 M3 TOCO, PESO BRUTO TOTAL 16.000 KG, CARGA ÚTIL MÁXIMA 11.130 KG, DISTÂNCIA ENTRE EIXOS 5,36 M, POTÊNCIA 185 CV, INCLUSIVE CAÇAMBA METÁLICA - IMPOSTOS E SEGUROS. AF_06/2014</t>
  </si>
  <si>
    <t>1,32</t>
  </si>
  <si>
    <t>91466</t>
  </si>
  <si>
    <t>GUINDAUTO HIDRÁULICO, CAPACIDADE MÁXIMA DE CARGA 6200 KG, MOMENTO MÁXIMO DE CARGA 11,7 TM, ALCANCE MÁXIMO HORIZONTAL 9,70 M, INCLUSIVE CAMINHÃO TOCO PBT 16.000 KG, POTÊNCIA DE 189 CV - IMPOSTOS E SEGUROS. AF_08/2015</t>
  </si>
  <si>
    <t>91467</t>
  </si>
  <si>
    <t>GUINDAUTO HIDRÁULICO, CAPACIDADE MÁXIMA DE CARGA 6200 KG, MOMENTO MÁXIMO DE CARGA 11,7 TM, ALCANCE MÁXIMO HORIZONTAL 9,70 M, INCLUSIVE CAMINHÃO TOCO PBT 16.000 KG, POTÊNCIA DE 189 CV - MATERIAIS NA OPERAÇÃO. AF_08/2015</t>
  </si>
  <si>
    <t>91468</t>
  </si>
  <si>
    <t>ESPARGIDOR DE ASFALTO PRESSURIZADO, TANQUE 6 M3 COM ISOLAÇÃO TÉRMICA, AQUECIDO COM 2 MAÇARICOS, COM BARRA ESPARGIDORA 3,60 M, MONTADO SOBRE CAMINHÃO  TOCO, PBT 14.300 KG, POTÊNCIA 185 CV - DEPRECIAÇÃO. AF_08/2015</t>
  </si>
  <si>
    <t>91469</t>
  </si>
  <si>
    <t>ESPARGIDOR DE ASFALTO PRESSURIZADO, TANQUE 6 M3 COM ISOLAÇÃO TÉRMICA, AQUECIDO COM 2 MAÇARICOS, COM BARRA ESPARGIDORA 3,60 M, MONTADO SOBRE CAMINHÃO  TOCO, PBT 14.300 KG, POTÊNCIA 185 CV - JUROS. AF_08/2015</t>
  </si>
  <si>
    <t>4,37</t>
  </si>
  <si>
    <t>91484</t>
  </si>
  <si>
    <t>ESPARGIDOR DE ASFALTO PRESSURIZADO, TANQUE 6 M3 COM ISOLAÇÃO TÉRMICA, AQUECIDO COM 2 MAÇARICOS, COM BARRA ESPARGIDORA 3,60 M, MONTADO SOBRE CAMINHÃO  TOCO, PBT 14.300 KG, POTÊNCIA 185 CV - IMPOSTOS E SEGUROS. AF_08/2015</t>
  </si>
  <si>
    <t>91485</t>
  </si>
  <si>
    <t>ESPARGIDOR DE ASFALTO PRESSURIZADO, TANQUE 6 M3 COM ISOLAÇÃO TÉRMICA, AQUECIDO COM 2 MAÇARICOS, COM BARRA ESPARGIDORA 3,60 M, MONTADO SOBRE CAMINHÃO  TOCO, PBT 14.300 KG, POTÊNCIA 185 CV - MATERIAIS NA OPERAÇÃO. AF_08/2015</t>
  </si>
  <si>
    <t>183,29</t>
  </si>
  <si>
    <t>91529</t>
  </si>
  <si>
    <t>COMPACTADOR DE SOLOS DE PERCUSSÃO (SOQUETE) COM MOTOR A GASOLINA 4 TEMPOS, POTÊNCIA 4 CV - DEPRECIAÇÃO. AF_08/2015</t>
  </si>
  <si>
    <t>91530</t>
  </si>
  <si>
    <t>COMPACTADOR DE SOLOS DE PERCUSSÃO (SOQUETE) COM MOTOR A GASOLINA 4 TEMPOS, POTÊNCIA 4 CV - JUROS. AF_08/2015</t>
  </si>
  <si>
    <t>91531</t>
  </si>
  <si>
    <t>COMPACTADOR DE SOLOS DE PERCUSSÃO (SOQUETE) COM MOTOR A GASOLINA 4 TEMPOS, POTÊNCIA 4 CV - MANUTENÇÃO. AF_08/2015</t>
  </si>
  <si>
    <t>91532</t>
  </si>
  <si>
    <t>COMPACTADOR DE SOLOS DE PERCUSSÃO (SOQUETE) COM MOTOR A GASOLINA 4 TEMPOS, POTÊNCIA 4 CV - MATERIAIS NA OPERAÇÃO. AF_08/2015</t>
  </si>
  <si>
    <t>6,94</t>
  </si>
  <si>
    <t>91629</t>
  </si>
  <si>
    <t>GUINDAUTO HIDRÁULICO, CAPACIDADE MÁXIMA DE CARGA 6500 KG, MOMENTO MÁXIMO DE CARGA 5,8 TM, ALCANCE MÁXIMO HORIZONTAL 7,60 M, INCLUSIVE CAMINHÃO TOCO PBT 9.700 KG, POTÊNCIA DE 160 CV - DEPRECIAÇÃO. AF_08/2015</t>
  </si>
  <si>
    <t>13,96</t>
  </si>
  <si>
    <t>91630</t>
  </si>
  <si>
    <t>GUINDAUTO HIDRÁULICO, CAPACIDADE MÁXIMA DE CARGA 6500 KG, MOMENTO MÁXIMO DE CARGA 5,8 TM, ALCANCE MÁXIMO HORIZONTAL 7,60 M, INCLUSIVE CAMINHÃO TOCO PBT 9.700 KG, POTÊNCIA DE 160 CV - JUROS. AF_08/2015</t>
  </si>
  <si>
    <t>2,92</t>
  </si>
  <si>
    <t>91631</t>
  </si>
  <si>
    <t>GUINDAUTO HIDRÁULICO, CAPACIDADE MÁXIMA DE CARGA 6500 KG, MOMENTO MÁXIMO DE CARGA 5,8 TM, ALCANCE MÁXIMO HORIZONTAL 7,60 M, INCLUSIVE CAMINHÃO TOCO PBT 9.700 KG, POTÊNCIA DE 160 CV - IMPOSTOS E SEGUROS. AF_08/2015</t>
  </si>
  <si>
    <t>1,13</t>
  </si>
  <si>
    <t>91632</t>
  </si>
  <si>
    <t>GUINDAUTO HIDRÁULICO, CAPACIDADE MÁXIMA DE CARGA 6500 KG, MOMENTO MÁXIMO DE CARGA 5,8 TM, ALCANCE MÁXIMO HORIZONTAL 7,60 M, INCLUSIVE CAMINHÃO TOCO PBT 9.700 KG, POTÊNCIA DE 160 CV - MANUTENÇÃO. AF_08/2015</t>
  </si>
  <si>
    <t>26,17</t>
  </si>
  <si>
    <t>91633</t>
  </si>
  <si>
    <t>GUINDAUTO HIDRÁULICO, CAPACIDADE MÁXIMA DE CARGA 6500 KG, MOMENTO MÁXIMO DE CARGA 5,8 TM, ALCANCE MÁXIMO HORIZONTAL 7,60 M, INCLUSIVE CAMINHÃO TOCO PBT 9.700 KG, POTÊNCIA DE 160 CV - MATERIAIS NA OPERAÇÃO. AF_08/2015</t>
  </si>
  <si>
    <t>114,31</t>
  </si>
  <si>
    <t>91640</t>
  </si>
  <si>
    <t>CAMINHÃO DE TRANSPORTE DE MATERIAL ASFÁLTICO 30.000 L, COM CAVALO MECÂNICO DE CAPACIDADE MÁXIMA DE TRAÇÃO COMBINADO DE 66.000 KG, POTÊNCIA 360 CV, INCLUSIVE TANQUE DE ASFALTO COM SERPENTINA - DEPRECIAÇÃO. AF_08/2015</t>
  </si>
  <si>
    <t>31,29</t>
  </si>
  <si>
    <t>91641</t>
  </si>
  <si>
    <t>CAMINHÃO DE TRANSPORTE DE MATERIAL ASFÁLTICO 30.000 L, COM CAVALO MECÂNICO DE CAPACIDADE MÁXIMA DE TRAÇÃO COMBINADO DE 66.000 KG, POTÊNCIA 360 CV, INCLUSIVE TANQUE DE ASFALTO COM SERPENTINA - JUROS. AF_08/2015</t>
  </si>
  <si>
    <t>6,56</t>
  </si>
  <si>
    <t>91642</t>
  </si>
  <si>
    <t>CAMINHÃO DE TRANSPORTE DE MATERIAL ASFÁLTICO 30.000 L, COM CAVALO MECÂNICO DE CAPACIDADE MÁXIMA DE TRAÇÃO COMBINADO DE 66.000 KG, POTÊNCIA 360 CV, INCLUSIVE TANQUE DE ASFALTO COM SERPENTINA - IMPOSTOS E SEGUROS. AF_08/2015</t>
  </si>
  <si>
    <t>2,54</t>
  </si>
  <si>
    <t>91643</t>
  </si>
  <si>
    <t>CAMINHÃO DE TRANSPORTE DE MATERIAL ASFÁLTICO 30.000 L, COM CAVALO MECÂNICO DE CAPACIDADE MÁXIMA DE TRAÇÃO COMBINADO DE 66.000 KG, POTÊNCIA 360 CV, INCLUSIVE TANQUE DE ASFALTO COM SERPENTINA - MANUTENÇÃO. AF_08/2015</t>
  </si>
  <si>
    <t>58,67</t>
  </si>
  <si>
    <t>91644</t>
  </si>
  <si>
    <t>CAMINHÃO DE TRANSPORTE DE MATERIAL ASFÁLTICO 30.000 L, COM CAVALO MECÂNICO DE CAPACIDADE MÁXIMA DE TRAÇÃO COMBINADO DE 66.000 KG, POTÊNCIA 360 CV, INCLUSIVE TANQUE DE ASFALTO COM SERPENTINA - MATERIAIS NA OPERAÇÃO. AF_08/2015</t>
  </si>
  <si>
    <t>257,23</t>
  </si>
  <si>
    <t>91688</t>
  </si>
  <si>
    <t>SERRA CIRCULAR DE BANCADA COM MOTOR ELÉTRICO POTÊNCIA DE 5HP, COM COIFA PARA DISCO 10" - DEPRECIAÇÃO. AF_08/2015</t>
  </si>
  <si>
    <t>0,13</t>
  </si>
  <si>
    <t>91689</t>
  </si>
  <si>
    <t>SERRA CIRCULAR DE BANCADA COM MOTOR ELÉTRICO POTÊNCIA DE 5HP, COM COIFA PARA DISCO 10" - JUROS. AF_08/2015</t>
  </si>
  <si>
    <t>91690</t>
  </si>
  <si>
    <t>SERRA CIRCULAR DE BANCADA COM MOTOR ELÉTRICO POTÊNCIA DE 5HP, COM COIFA PARA DISCO 10" - MANUTENÇÃO. AF_08/2015</t>
  </si>
  <si>
    <t>91691</t>
  </si>
  <si>
    <t>SERRA CIRCULAR DE BANCADA COM MOTOR ELÉTRICO POTÊNCIA DE 5HP, COM COIFA PARA DISCO 10" - MATERIAIS NA OPERAÇÃO. AF_08/2015</t>
  </si>
  <si>
    <t>92040</t>
  </si>
  <si>
    <t>DISTRIBUIDOR DE AGREGADOS REBOCAVEL, CAPACIDADE 1,9 M³, LARGURA DE TRABALHO 3,66 M - DEPRECIAÇÃO. AF_11/2015</t>
  </si>
  <si>
    <t>5,90</t>
  </si>
  <si>
    <t>92041</t>
  </si>
  <si>
    <t>DISTRIBUIDOR DE AGREGADOS REBOCAVEL, CAPACIDADE 1,9 M³, LARGURA DE TRABALHO 3,66 M - JUROS. AF_11/2015</t>
  </si>
  <si>
    <t>0,62</t>
  </si>
  <si>
    <t>92042</t>
  </si>
  <si>
    <t>DISTRIBUIDOR DE AGREGADOS REBOCAVEL, CAPACIDADE 1,9 M³, LARGURA DE TRABALHO 3,66 M - MANUTENÇÃO. AF_11/2015</t>
  </si>
  <si>
    <t>92101</t>
  </si>
  <si>
    <t>CAMINHÃO PARA EQUIPAMENTO DE LIMPEZA A SUCÇÃO COM CAMINHÃO TRUCADO DE PESO BRUTO TOTAL 23000 KG, CARGA ÚTIL MÁXIMA 15935 KG, DISTÂNCIA ENTRE EIXOS 4,80 M, POTÊNCIA 230 CV, INCLUSIVE LIMPADORA A SUCÇÃO, TANQUE 12000 L - DEPRECIAÇÃO. AF_11/2015</t>
  </si>
  <si>
    <t>21,85</t>
  </si>
  <si>
    <t>92102</t>
  </si>
  <si>
    <t>CAMINHÃO PARA EQUIPAMENTO DE LIMPEZA A SUCÇÃO COM CAMINHÃO TRUCADO DE PESO BRUTO TOTAL 23000 KG, CARGA ÚTIL MÁXIMA 15935 KG, DISTÂNCIA ENTRE EIXOS 4,80 M, POTÊNCIA 230 CV, INCLUSIVE LIMPADORA A SUCÇÃO, TANQUE 12000 L - JUROS. AF_11/2015</t>
  </si>
  <si>
    <t>92103</t>
  </si>
  <si>
    <t>CAMINHÃO PARA EQUIPAMENTO DE LIMPEZA A SUCÇÃO COM CAMINHÃO TRUCADO DE PESO BRUTO TOTAL 23000 KG, CARGA ÚTIL MÁXIMA 15935 KG, DISTÂNCIA ENTRE EIXOS 4,80 M, POTÊNCIA 230 CV, INCLUSIVE LIMPADORA A SUCÇÃO, TANQUE 12000 L - IMPOSTOS E SEGUROS. AF_11/2015</t>
  </si>
  <si>
    <t>1,77</t>
  </si>
  <si>
    <t>92104</t>
  </si>
  <si>
    <t>CAMINHÃO PARA EQUIPAMENTO DE LIMPEZA A SUCÇÃO COM CAMINHÃO TRUCADO DE PESO BRUTO TOTAL 23000 KG, CARGA ÚTIL MÁXIMA 15935 KG, DISTÂNCIA ENTRE EIXOS 4,80 M, POTÊNCIA 230 CV, INCLUSIVE LIMPADORA A SUCÇÃO, TANQUE 12000 L - MANUTENÇÃO. AF_11/2015</t>
  </si>
  <si>
    <t>40,97</t>
  </si>
  <si>
    <t>92105</t>
  </si>
  <si>
    <t>CAMINHÃO PARA EQUIPAMENTO DE LIMPEZA A SUCÇÃO COM CAMINHÃO TRUCADO DE PESO BRUTO TOTAL 23000 KG, CARGA ÚTIL MÁX. 15935 KG, DISTÂNCIA ENTRE EIXOS 4,80 M, POTÊNCIA 230 CV, INCLUSIVE LIMPADORA A SUCÇÃO, TANQUE 12000 L - MATERIAIS NA OPERAÇÃO. AF_11/2015</t>
  </si>
  <si>
    <t>92108</t>
  </si>
  <si>
    <t>PENEIRA ROTATIVA COM MOTOR ELÉTRICO TRIFÁSICO DE 2 CV, CILINDRO DE 1 M X 0,60 M, COM FUROS DE 3,17 MM - DEPRECIAÇÃO. AF_11/2015</t>
  </si>
  <si>
    <t>0,93</t>
  </si>
  <si>
    <t>92109</t>
  </si>
  <si>
    <t>PENEIRA ROTATIVA COM MOTOR ELÉTRICO TRIFÁSICO DE 2 CV, CILINDRO DE 1 M X 0,60 M, COM FUROS DE 3,17 MM - JUROS. AF_11/2015</t>
  </si>
  <si>
    <t>92110</t>
  </si>
  <si>
    <t>PENEIRA ROTATIVA COM MOTOR ELÉTRICO TRIFÁSICO DE 2 CV, CILINDRO DE 1 M X 0,60 M, COM FUROS DE 3,17 MM - MANUTENÇÃO. AF_11/2015</t>
  </si>
  <si>
    <t>0,73</t>
  </si>
  <si>
    <t>92111</t>
  </si>
  <si>
    <t>PENEIRA ROTATIVA COM MOTOR ELÉTRICO TRIFÁSICO DE 2 CV, CILINDRO DE 1 M X 0,60 M, COM FUROS DE 3,17 MM - MATERIAIS NA OPERAÇÃO. AF_11/2015</t>
  </si>
  <si>
    <t>92114</t>
  </si>
  <si>
    <t>DOSADOR DE AREIA, CAPACIDADE DE 26 LITROS - DEPRECIAÇÃO. AF_11/2015</t>
  </si>
  <si>
    <t>92115</t>
  </si>
  <si>
    <t>DOSADOR DE AREIA, CAPACIDADE DE 26 LITROS - JUROS. AF_11/2015</t>
  </si>
  <si>
    <t>0,01</t>
  </si>
  <si>
    <t>92116</t>
  </si>
  <si>
    <t>DOSADOR DE AREIA, CAPACIDADE DE 26 LITROS - MANUTENÇÃO. AF_11/2015</t>
  </si>
  <si>
    <t>92133</t>
  </si>
  <si>
    <t>CAMINHONETE COM MOTOR A DIESEL, POTÊNCIA 180 CV, CABINE DUPLA, 4X4 - DEPRECIAÇÃO. AF_11/2015</t>
  </si>
  <si>
    <t>11,15</t>
  </si>
  <si>
    <t>92134</t>
  </si>
  <si>
    <t>CAMINHONETE COM MOTOR A DIESEL, POTÊNCIA 180 CV, CABINE DUPLA, 4X4 - JUROS. AF_11/2015</t>
  </si>
  <si>
    <t>92135</t>
  </si>
  <si>
    <t>CAMINHONETE COM MOTOR A DIESEL, POTÊNCIA 180 CV, CABINE DUPLA, 4X4 - IMPOSTOS E SEGUROS. AF_11/2015</t>
  </si>
  <si>
    <t>92136</t>
  </si>
  <si>
    <t>CAMINHONETE COM MOTOR A DIESEL, POTÊNCIA 180 CV, CABINE DUPLA, 4X4 - MANUTENÇÃO. AF_11/2015</t>
  </si>
  <si>
    <t>13,94</t>
  </si>
  <si>
    <t>92137</t>
  </si>
  <si>
    <t>CAMINHONETE COM MOTOR A DIESEL, POTÊNCIA 180 CV, CABINE DUPLA, 4X4 - MATERIAIS NA OPERAÇÃO. AF_11/2015</t>
  </si>
  <si>
    <t>33,82</t>
  </si>
  <si>
    <t>92140</t>
  </si>
  <si>
    <t>CAMINHONETE CABINE SIMPLES COM MOTOR 1.6 FLEX, CÂMBIO MANUAL, POTÊNCIA 101/104 CV, 2 PORTAS - DEPRECIAÇÃO. AF_11/2015</t>
  </si>
  <si>
    <t>3,40</t>
  </si>
  <si>
    <t>92141</t>
  </si>
  <si>
    <t>CAMINHONETE CABINE SIMPLES COM MOTOR 1.6 FLEX, CÂMBIO MANUAL, POTÊNCIA 101/104 CV, 2 PORTAS - JUROS. AF_11/2015</t>
  </si>
  <si>
    <t>0,53</t>
  </si>
  <si>
    <t>92142</t>
  </si>
  <si>
    <t>CAMINHONETE CABINE SIMPLES COM MOTOR 1.6 FLEX, CÂMBIO MANUAL, POTÊNCIA 101/104 CV, 2 PORTAS - IMPOSTOS E SEGUROS. AF_11/2015</t>
  </si>
  <si>
    <t>92143</t>
  </si>
  <si>
    <t>CAMINHONETE CABINE SIMPLES COM MOTOR 1.6 FLEX, CÂMBIO MANUAL, POTÊNCIA 101/104 CV, 2 PORTAS - MANUTENÇÃO. AF_11/2015</t>
  </si>
  <si>
    <t>4,25</t>
  </si>
  <si>
    <t>92144</t>
  </si>
  <si>
    <t>CAMINHONETE CABINE SIMPLES COM MOTOR 1.6 FLEX, CÂMBIO MANUAL, POTÊNCIA 101/104 CV, 2 PORTAS - MATERIAIS NA OPERAÇÃO. AF_11/2015</t>
  </si>
  <si>
    <t>45,09</t>
  </si>
  <si>
    <t>92237</t>
  </si>
  <si>
    <t>CAMINHÃO DE TRANSPORTE DE MATERIAL ASFÁLTICO 20.000 L, COM CAVALO MECÂNICO DE CAPACIDADE MÁXIMA DE TRAÇÃO COMBINADO DE 45.000 KG, POTÊNCIA 330 CV, INCLUSIVE TANQUE DE ASFALTO COM MAÇARICO - DEPRECIAÇÃO. AF_12/2015</t>
  </si>
  <si>
    <t>22,91</t>
  </si>
  <si>
    <t>92238</t>
  </si>
  <si>
    <t>CAMINHÃO DE TRANSPORTE DE MATERIAL ASFÁLTICO 20.000 L, COM CAVALO MECÂNICO DE CAPACIDADE MÁXIMA DE TRAÇÃO COMBINADO DE 45.000 KG, POTÊNCIA 330 CV, INCLUSIVE TANQUE DE ASFALTO COM MAÇARICO - JUROS. AF_12/2015</t>
  </si>
  <si>
    <t>4,80</t>
  </si>
  <si>
    <t>92239</t>
  </si>
  <si>
    <t>CAMINHÃO DE TRANSPORTE DE MATERIAL ASFÁLTICO 20.000 L, COM CAVALO MECÂNICO DE CAPACIDADE MÁXIMA DE TRAÇÃO COMBINADO DE 45.000 KG, POTÊNCIA 330 CV, INCLUSIVE TANQUE DE ASFALTO COM MAÇARICO - IMPOSTOS E SEGUROS. AF_12/2015</t>
  </si>
  <si>
    <t>1,86</t>
  </si>
  <si>
    <t>92240</t>
  </si>
  <si>
    <t>CAMINHÃO DE TRANSPORTE DE MATERIAL ASFÁLTICO 20.000 L, COM CAVALO MECÂNICO DE CAPACIDADE MÁXIMA DE TRAÇÃO COMBINADO DE 45.000 KG, POTÊNCIA 330 CV, INCLUSIVE TANQUE DE ASFALTO COM MAÇARICO - MANUTENÇÃO. AF_12/2015</t>
  </si>
  <si>
    <t>42,95</t>
  </si>
  <si>
    <t>92241</t>
  </si>
  <si>
    <t>CAMINHÃO DE TRANSPORTE DE MATERIAL ASFÁLTICO 20.000 L, COM CAVALO MECÂNICO DE CAPACIDADE MÁXIMA DE TRAÇÃO COMBINADO DE 45.000 KG, POTÊNCIA 330 CV, INCLUSIVE TANQUE DE ASFALTO COM MAÇARICO - MATERIAIS NA OPERAÇÃO. AF_12/2015</t>
  </si>
  <si>
    <t>235,82</t>
  </si>
  <si>
    <t>92712</t>
  </si>
  <si>
    <t>APARELHO PARA CORTE E SOLDA OXI-ACETILENO SOBRE RODAS, INCLUSIVE CILINDROS E MAÇARICOS - DEPRECIAÇÃO. AF_12/2015</t>
  </si>
  <si>
    <t>0,25</t>
  </si>
  <si>
    <t>92713</t>
  </si>
  <si>
    <t>APARELHO PARA CORTE E SOLDA OXI-ACETILENO SOBRE RODAS, INCLUSIVE CILINDROS E MAÇARICOS - JUROS. AF_12/2015</t>
  </si>
  <si>
    <t>92714</t>
  </si>
  <si>
    <t>APARELHO PARA CORTE E SOLDA OXI-ACETILENO SOBRE RODAS, INCLUSIVE CILINDROS E MAÇARICOS - MANUTENÇÃO. AF_12/2015</t>
  </si>
  <si>
    <t>92715</t>
  </si>
  <si>
    <t>APARELHO PARA CORTE E SOLDA OXI-ACETILENO SOBRE RODAS, INCLUSIVE CILINDROS E MAÇARICOS - MATERIAIS NA OPERAÇÃO. AF_12/2015</t>
  </si>
  <si>
    <t>92956</t>
  </si>
  <si>
    <t>MÁQUINA EXTRUSORA DE CONCRETO PARA GUIAS E SARJETAS, MOTOR A DIESEL, POTÊNCIA 14 CV - DEPRECIAÇÃO. AF_12/2015</t>
  </si>
  <si>
    <t>4,51</t>
  </si>
  <si>
    <t>92957</t>
  </si>
  <si>
    <t>MÁQUINA EXTRUSORA DE CONCRETO PARA GUIAS E SARJETAS, MOTOR A DIESEL, POTÊNCIA 14 CV - JUROS. AF_12/2015</t>
  </si>
  <si>
    <t>92958</t>
  </si>
  <si>
    <t>MÁQUINA EXTRUSORA DE CONCRETO PARA GUIAS E SARJETAS, MOTOR A DIESEL, POTÊNCIA 14 CV - MANUTENÇÃO. AF_12/2015</t>
  </si>
  <si>
    <t>4,93</t>
  </si>
  <si>
    <t>92959</t>
  </si>
  <si>
    <t>MÁQUINA EXTRUSORA DE CONCRETO PARA GUIAS E SARJETAS, MOTOR A DIESEL, POTÊNCIA 14 CV - MATERIAIS NA OPERAÇÃO. AF_12/2015</t>
  </si>
  <si>
    <t>7,92</t>
  </si>
  <si>
    <t>92963</t>
  </si>
  <si>
    <t>MARTELO PERFURADOR PNEUMÁTICO MANUAL, HASTE 25 X 75 MM, 21 KG - DEPRECIAÇÃO. AF_12/2015</t>
  </si>
  <si>
    <t>92964</t>
  </si>
  <si>
    <t>MARTELO PERFURADOR PNEUMÁTICO MANUAL, HASTE 25 X 75 MM, 21 KG - JUROS. AF_12/2015</t>
  </si>
  <si>
    <t>92965</t>
  </si>
  <si>
    <t>MARTELO PERFURADOR PNEUMÁTICO MANUAL, HASTE 25 X 75 MM, 21 KG - MANUTENÇÃO. AF_12/2015</t>
  </si>
  <si>
    <t>1,46</t>
  </si>
  <si>
    <t>93220</t>
  </si>
  <si>
    <t>PERFURATRIZ COM TORRE METÁLICA PARA EXECUÇÃO DE ESTACA HÉLICE CONTÍNUA, PROFUNDIDADE MÁXIMA DE 32 M, DIÂMETRO MÁXIMO DE 1000 MM, POTÊNCIA INSTALADA DE 350 HP, MESA ROTATIVA COM TORQUE MÁXIMO DE 263 KNM - DEPRECIAÇÃO. AF_01/2016</t>
  </si>
  <si>
    <t>345,74</t>
  </si>
  <si>
    <t>93221</t>
  </si>
  <si>
    <t>PERFURATRIZ COM TORRE METÁLICA PARA EXECUÇÃO DE ESTACA HÉLICE CONTÍNUA, PROFUNDIDADE MÁXIMA DE 32 M, DIÂMETRO MÁXIMO DE 1000 MM, POTÊNCIA INSTALADA DE 350 HP, MESA ROTATIVA COM TORQUE MÁXIMO DE 263 KNM - JUROS. AF_01/2016</t>
  </si>
  <si>
    <t>48,00</t>
  </si>
  <si>
    <t>93222</t>
  </si>
  <si>
    <t>PERFURATRIZ COM TORRE METÁLICA PARA EXECUÇÃO DE ESTACA HÉLICE CONTÍNUA, PROFUNDIDADE MÁXIMA DE 32 M, DIÂMETRO MÁXIMO DE 1000 MM, POTÊNCIA INSTALADA DE 350 HP, MESA ROTATIVA COM TORQUE MÁXIMO DE 263 KNM - MANUTENÇÃO. AF_01/2016</t>
  </si>
  <si>
    <t>432,67</t>
  </si>
  <si>
    <t>93223</t>
  </si>
  <si>
    <t>PERFURATRIZ COM TORRE METÁLICA PARA EXECUÇÃO DE ESTACA HÉLICE CONTÍNUA, PROFUNDIDADE MÁXIMA DE 32 M, DIÂMETRO MÁXIMO DE 1000 MM, POTÊNCIA INSTALADA DE 350 HP, MESA ROTATIVA COM TORQUE MÁXIMO DE 263 KNM  MATERIAIS NA OPERAÇÃO. AF_01/2016</t>
  </si>
  <si>
    <t>133,47</t>
  </si>
  <si>
    <t>93229</t>
  </si>
  <si>
    <t>BETONEIRA CAPACIDADE NOMINAL 400 L, CAPACIDADE DE MISTURA 310 L, MOTOR A GASOLINA POTÊNCIA 5,5 HP, SEM CARREGADOR - DEPRECIAÇÃO. AF_02/2016</t>
  </si>
  <si>
    <t>93230</t>
  </si>
  <si>
    <t>BETONEIRA CAPACIDADE NOMINAL 400 L, CAPACIDADE DE MISTURA 310 L, MOTOR A GASOLINA POTÊNCIA 5,5 HP, SEM CARREGADOR - JUROS. AF_02/2016</t>
  </si>
  <si>
    <t>93231</t>
  </si>
  <si>
    <t>BETONEIRA CAPACIDADE NOMINAL 400 L, CAPACIDADE DE MISTURA 310 L, MOTOR A GASOLINA POTÊNCIA 5,5 HP, SEM CARREGADOR - MANUTENÇÃO. AF_02/2016</t>
  </si>
  <si>
    <t>0,37</t>
  </si>
  <si>
    <t>93232</t>
  </si>
  <si>
    <t>BETONEIRA CAPACIDADE NOMINAL 400 L, CAPACIDADE DE MISTURA 310 L, MOTOR A GASOLINA POTÊNCIA 5,5 HP, SEM CARREGADOR - MATERIAIS NA OPERAÇÃO. AF_02/2016</t>
  </si>
  <si>
    <t>9,70</t>
  </si>
  <si>
    <t>93235</t>
  </si>
  <si>
    <t>GRUPO GERADOR ESTACIONÁRIO, MOTOR DIESEL POTÊNCIA 170 KVA - JUROS. AF_02/2016</t>
  </si>
  <si>
    <t>0,88</t>
  </si>
  <si>
    <t>93238</t>
  </si>
  <si>
    <t>ROLO COMPACTADOR VIBRATÓRIO REBOCÁVEL, CILINDRO DE AÇO LISO, POTÊNCIA DE TRAÇÃO DE 65 CV, PESO 4,7 T, IMPACTO DINÂMICO 18,3 T, LARGURA DE TRABALHO 1,67 M - JUROS. AF_02/2016</t>
  </si>
  <si>
    <t>93239</t>
  </si>
  <si>
    <t>ROLO COMPACTADOR VIBRATÓRIO PÉ DE CARNEIRO, OPERADO POR CONTROLE REMOTO, POTÊNCIA 12,5 KW, PESO OPERACIONAL 1,675 T, LARGURA DE TRABALHO 0,85 M - JUROS. AF_02/2016</t>
  </si>
  <si>
    <t>5,30</t>
  </si>
  <si>
    <t>93240</t>
  </si>
  <si>
    <t>ROLO COMPACTADOR VIBRATÓRIO PÉ DE CARNEIRO, OPERADO POR CONTROLE REMOTO, POTÊNCIA 12,5 KW, PESO OPERACIONAL 1,675 T, LARGURA DE TRABALHO 0,85 M - MATERIAIS NA OPERAÇÃO. AF_02/2016</t>
  </si>
  <si>
    <t>10,22</t>
  </si>
  <si>
    <t>93267</t>
  </si>
  <si>
    <t>GRUA ASCENCIONAL, LANÇA DE 30 M, CAPACIDADE DE 1,0 T A 30 M, ALTURA ATÉ 39 M  DEPRECIAÇÃO. AF_03/2016</t>
  </si>
  <si>
    <t>38,85</t>
  </si>
  <si>
    <t>93269</t>
  </si>
  <si>
    <t>GRUA ASCENCIONAL, LANÇA DE 30 M, CAPACIDADE DE 1,0 T A 30 M, ALTURA ATÉ 39 M   JUROS. AF_03/2016</t>
  </si>
  <si>
    <t>93270</t>
  </si>
  <si>
    <t>GRUA ASCENCIONAL, LANÇA DE 30 M, CAPACIDADE DE 1,0 T A 30 M, ALTURA ATÉ 39 M   MANUTENÇÃO. AF_03/2016</t>
  </si>
  <si>
    <t>42,49</t>
  </si>
  <si>
    <t>93271</t>
  </si>
  <si>
    <t>GRUA ASCENCIONAL, LANÇA DE 30 M, CAPACIDADE DE 1,0 T A 30 M, ALTURA ATÉ 39 M   MATERIAIS NA OPERAÇÃO. AF_03/2016</t>
  </si>
  <si>
    <t>8,78</t>
  </si>
  <si>
    <t>93277</t>
  </si>
  <si>
    <t>GUINCHO ELÉTRICO DE COLUNA, CAPACIDADE 400 KG, COM MOTO FREIO, MOTOR TRIFÁSICO DE 1,25 CV - DEPRECIAÇÃO. AF_03/2016</t>
  </si>
  <si>
    <t>93278</t>
  </si>
  <si>
    <t>GUINCHO ELÉTRICO DE COLUNA, CAPACIDADE 400 KG, COM MOTO FREIO, MOTOR TRIFÁSICO DE 1,25 CV - JUROS. AF_03/2016</t>
  </si>
  <si>
    <t>93279</t>
  </si>
  <si>
    <t>GUINCHO ELÉTRICO DE COLUNA, CAPACIDADE 400 KG, COM MOTO FREIO, MOTOR TRIFÁSICO DE 1,25 CV - MANUTENÇÃO. AF_03/2016</t>
  </si>
  <si>
    <t>93280</t>
  </si>
  <si>
    <t>GUINCHO ELÉTRICO DE COLUNA, CAPACIDADE 400 KG, COM MOTO FREIO, MOTOR TRIFÁSICO DE 1,25 CV - MATERIAIS NA OPERAÇÃO. AF_03/2016</t>
  </si>
  <si>
    <t>93283</t>
  </si>
  <si>
    <t>GUINDASTE HIDRÁULICO AUTOPROPELIDO, COM LANÇA TELESCÓPICA 40 M, CAPACIDADE MÁXIMA 60 T, POTÊNCIA 260 KW - DEPRECIAÇÃO. AF_03/2016</t>
  </si>
  <si>
    <t>81,65</t>
  </si>
  <si>
    <t>93284</t>
  </si>
  <si>
    <t>GUINDASTE HIDRÁULICO AUTOPROPELIDO, COM LANÇA TELESCÓPICA 40 M, CAPACIDADE MÁXIMA 60 T, POTÊNCIA 260 KW - JUROS. AF_03/2016</t>
  </si>
  <si>
    <t>15,51</t>
  </si>
  <si>
    <t>93285</t>
  </si>
  <si>
    <t>GUINDASTE HIDRÁULICO AUTOPROPELIDO, COM LANÇA TELESCÓPICA 40 M, CAPACIDADE MÁXIMA 60 T, POTÊNCIA 260 KW - MANUTENÇÃO. AF_03/2016</t>
  </si>
  <si>
    <t>131,25</t>
  </si>
  <si>
    <t>93286</t>
  </si>
  <si>
    <t>GUINDASTE HIDRÁULICO AUTOPROPELIDO, COM LANÇA TELESCÓPICA 40 M, CAPACIDADE MÁXIMA 60 T, POTÊNCIA 260 KW - MATERIAIS NA OPERAÇÃO. AF_03/2016</t>
  </si>
  <si>
    <t>207,74</t>
  </si>
  <si>
    <t>93296</t>
  </si>
  <si>
    <t>GUINDASTE HIDRÁULICO AUTOPROPELIDO, COM LANÇA TELESCÓPICA 40 M, CAPACIDADE MÁXIMA 60 T, POTÊNCIA 260 KW - IMPOSTOS E SEGUROS. AF_03/2016</t>
  </si>
  <si>
    <t>5,71</t>
  </si>
  <si>
    <t>93397</t>
  </si>
  <si>
    <t>GUINDAUTO HIDRÁULICO, CAPACIDADE MÁXIMA DE CARGA 3300 KG, MOMENTO MÁXIMO DE CARGA 5,8 TM, ALCANCE MÁXIMO HORIZONTAL 7,60 M, INCLUSIVE CAMINHÃO TOCO PBT 16.000 KG, POTÊNCIA DE 189 CV - DEPRECIAÇÃO. AF_03/2016</t>
  </si>
  <si>
    <t>93398</t>
  </si>
  <si>
    <t>GUINDAUTO HIDRÁULICO, CAPACIDADE MÁXIMA DE CARGA 3300 KG, MOMENTO MÁXIMO DE CARGA 5,8 TM, ALCANCE MÁXIMO HORIZONTAL 7,60 M, INCLUSIVE CAMINHÃO TOCO PBT 16.000 KG, POTÊNCIA DE 189 CV - JUROS. AF_03/2016</t>
  </si>
  <si>
    <t>93399</t>
  </si>
  <si>
    <t>GUINDAUTO HIDRÁULICO, CAPACIDADE MÁXIMA DE CARGA 3300 KG, MOMENTO MÁXIMO DE CARGA 5,8 TM, ALCANCE MÁXIMO HORIZONTAL 7,60 M, INCLUSIVE CAMINHÃO TOCO PBT 16.000 KG, POTÊNCIA DE 189 CV  IMPOSTOS E SEGUROS. AF_03/2016</t>
  </si>
  <si>
    <t>93400</t>
  </si>
  <si>
    <t>GUINDAUTO HIDRÁULICO, CAPACIDADE MÁXIMA DE CARGA 3300 KG, MOMENTO MÁXIMO DE CARGA 5,8 TM, ALCANCE MÁXIMO HORIZONTAL 7,60 M, INCLUSIVE CAMINHÃO TOCO PBT 16.000 KG, POTÊNCIA DE 189 CV - MANUTENÇÃO. AF_03/2016</t>
  </si>
  <si>
    <t>93401</t>
  </si>
  <si>
    <t>GUINDAUTO HIDRÁULICO, CAPACIDADE MÁXIMA DE CARGA 3300 KG, MOMENTO MÁXIMO DE CARGA 5,8 TM, ALCANCE MÁXIMO HORIZONTAL 7,60 M, INCLUSIVE CAMINHÃO TOCO PBT 16.000 KG, POTÊNCIA DE 189 CV - MATERIAIS NA OPERAÇÃO. AF_03/2016</t>
  </si>
  <si>
    <t>93404</t>
  </si>
  <si>
    <t>MÁQUINA JATO DE PRESSAO PORTÁTIL, CAMARA DE 1 SAIDA, CAPACIDADE 280 L, DIAMETRO 670 MM, BICO DE JATO CURTO VENTURI DE 5/16'' , MANGUEIRA DE 1'' COM COMPRESSOR DE AR REBOCÁVEL 189 PCM E MOTOR DIESEL 63 CV - DEPRECIAÇÃO. AF_03/2016</t>
  </si>
  <si>
    <t>6,50</t>
  </si>
  <si>
    <t>93405</t>
  </si>
  <si>
    <t>MÁQUINA JATO DE PRESSAO PORTÁTIL, CAMARA DE 1 SAIDA, CAPACIDADE 280 L, DIAMETRO 670 MM, BICO DE JATO CURTO VENTURI DE 5/16'' , MANGUEIRA DE 1'' COM COMPRESSOR DE AR REBOCÁVEL 189 PCM E MOTOR DIESEL 63 CV - JUROS. AF_03/2016</t>
  </si>
  <si>
    <t>0,65</t>
  </si>
  <si>
    <t>93406</t>
  </si>
  <si>
    <t>MÁQUINA JATO DE PRESSAO PORTÁTIL, CAMARA DE 1 SAIDA, CAPACIDADE 280 L, DIAMETRO 670 MM, BICO DE JATO CURTO VENTURI DE 5/16'' , MANGUEIRA DE 1'' COM COMPRESSOR DE AR REBOCÁVEL 189 PCM E MOTOR DIESEL 63 CV - MANUTENÇÃO. AF_03/2016</t>
  </si>
  <si>
    <t>8,13</t>
  </si>
  <si>
    <t>93407</t>
  </si>
  <si>
    <t>MÁQUINA JATO DE PRESSAO PORTÁTIL, CAMARA DE 1 SAIDA, CAPACIDADE 280 L, DIAMETRO 670 MM, BICO DE JATO CURTO VENTURI DE 5/16'' , MANGUEIRA DE 1'' COM COMPRESSOR DE AR REBOCÁVEL 189 PCM E MOTOR DIESEL 63 CV - MATERIAIS NA OPERAÇÃO. AF_03/2016</t>
  </si>
  <si>
    <t>93411</t>
  </si>
  <si>
    <t>GERADOR PORTÁTIL MONOFÁSICO, POTÊNCIA 5500 VA, MOTOR A GASOLINA, POTÊNCIA DO MOTOR 13 CV - DEPRECIAÇÃO. AF_03/2016</t>
  </si>
  <si>
    <t>93412</t>
  </si>
  <si>
    <t>GERADOR PORTÁTIL MONOFÁSICO, POTÊNCIA 5500 VA, MOTOR A GASOLINA, POTÊNCIA DO MOTOR 13 CV - JUROS. AF_03/2016</t>
  </si>
  <si>
    <t>93413</t>
  </si>
  <si>
    <t>GERADOR PORTÁTIL MONOFÁSICO, POTÊNCIA 5500 VA, MOTOR A GASOLINA, POTÊNCIA DO MOTOR 13 CV - MANUTENÇÃO. AF_03/2016</t>
  </si>
  <si>
    <t>93414</t>
  </si>
  <si>
    <t>GERADOR PORTÁTIL MONOFÁSICO, POTÊNCIA 5500 VA, MOTOR A GASOLINA, POTÊNCIA DO MOTOR 13 CV - MATERIAIS NA OPERAÇÃO. AF_03/2016</t>
  </si>
  <si>
    <t>93417</t>
  </si>
  <si>
    <t>GRUPO GERADOR REBOCÁVEL, POTÊNCIA 66 KVA, MOTOR A DIESEL - DEPRECIAÇÃO. AF_03/2016</t>
  </si>
  <si>
    <t>3,10</t>
  </si>
  <si>
    <t>93418</t>
  </si>
  <si>
    <t>GRUPO GERADOR REBOCÁVEL, POTÊNCIA 66 KVA, MOTOR A DIESEL - JUROS. AF_03/2016</t>
  </si>
  <si>
    <t>0,55</t>
  </si>
  <si>
    <t>93419</t>
  </si>
  <si>
    <t>GRUPO GERADOR REBOCÁVEL, POTÊNCIA 66 KVA, MOTOR A DIESEL - MANUTENÇÃO. AF_03/2016</t>
  </si>
  <si>
    <t>93420</t>
  </si>
  <si>
    <t>GRUPO GERADOR REBOCÁVEL, POTÊNCIA 66 KVA, MOTOR A DIESEL - MATERIAIS NA OPERAÇÃO. AF_03/2016</t>
  </si>
  <si>
    <t>57,28</t>
  </si>
  <si>
    <t>93423</t>
  </si>
  <si>
    <t>GRUPO GERADOR ESTACIONÁRIO, POTÊNCIA 150 KVA, MOTOR A DIESEL- DEPRECIAÇÃO. AF_03/2016</t>
  </si>
  <si>
    <t>4,38</t>
  </si>
  <si>
    <t>93424</t>
  </si>
  <si>
    <t>GRUPO GERADOR ESTACIONÁRIO, POTÊNCIA 150 KVA, MOTOR A DIESEL- JUROS. AF_03/2016</t>
  </si>
  <si>
    <t>0,78</t>
  </si>
  <si>
    <t>93425</t>
  </si>
  <si>
    <t>GRUPO GERADOR ESTACIONÁRIO, POTÊNCIA 150 KVA, MOTOR A DIESEL- MANUTENÇÃO. AF_03/2016</t>
  </si>
  <si>
    <t>3,91</t>
  </si>
  <si>
    <t>93426</t>
  </si>
  <si>
    <t>GRUPO GERADOR ESTACIONÁRIO, POTÊNCIA 150 KVA, MOTOR A DIESEL- MATERIAIS NA OPERAÇÃO. AF_03/2016</t>
  </si>
  <si>
    <t>136,89</t>
  </si>
  <si>
    <t>93429</t>
  </si>
  <si>
    <t>USINA DE MISTURA ASFÁLTICA À QUENTE, TIPO CONTRA FLUXO, PROD 40 A 80 TON/HORA - DEPRECIAÇÃO. AF_03/2016</t>
  </si>
  <si>
    <t>105,69</t>
  </si>
  <si>
    <t>93430</t>
  </si>
  <si>
    <t>USINA DE MISTURA ASFÁLTICA À QUENTE, TIPO CONTRA FLUXO, PROD 40 A 80 TON/HORA - JUROS. AF_03/2016</t>
  </si>
  <si>
    <t>19,02</t>
  </si>
  <si>
    <t>93431</t>
  </si>
  <si>
    <t>USINA DE MISTURA ASFÁLTICA À QUENTE, TIPO CONTRA FLUXO, PROD 40 A 80 TON/HORA - MANUTENÇÃO. AF_03/2016</t>
  </si>
  <si>
    <t>169,90</t>
  </si>
  <si>
    <t>93432</t>
  </si>
  <si>
    <t>USINA DE MISTURA ASFÁLTICA À QUENTE, TIPO CONTRA FLUXO, PROD 40 A 80 TON/HORA - MATERIAIS NA OPERAÇÃO. AF_03/2016</t>
  </si>
  <si>
    <t>2.452,80</t>
  </si>
  <si>
    <t>93435</t>
  </si>
  <si>
    <t>USINA DE ASFALTO À FRIO, CAPACIDADE DE 40 A 60 TON/HORA, ELÉTRICA POTÊNCIA 30 CV - DEPRECIAÇÃO. AF_03/2016</t>
  </si>
  <si>
    <t>5,72</t>
  </si>
  <si>
    <t>93436</t>
  </si>
  <si>
    <t>USINA DE ASFALTO À FRIO, CAPACIDADE DE 40 A 60 TON/HORA, ELÉTRICA POTÊNCIA 30 CV - JUROS. AF_03/2016</t>
  </si>
  <si>
    <t>93437</t>
  </si>
  <si>
    <t>USINA DE ASFALTO À FRIO, CAPACIDADE DE 40 A 60 TON/HORA, ELÉTRICA POTÊNCIA 30 CV - MANUTENÇÃO. AF_03/2016</t>
  </si>
  <si>
    <t>10,72</t>
  </si>
  <si>
    <t>93438</t>
  </si>
  <si>
    <t>USINA DE ASFALTO À FRIO, CAPACIDADE DE 40 A 60 TON/HORA, ELÉTRICA POTÊNCIA 30 CV - MATERIAIS NA OPERAÇÃO. AF_03/2016</t>
  </si>
  <si>
    <t>25,35</t>
  </si>
  <si>
    <t>95114</t>
  </si>
  <si>
    <t>MARTELETE OU ROMPEDOR PNEUMÁTICO MANUAL, 28 KG, COM SILENCIADOR - DEPRECIAÇÃO. AF_07/2016</t>
  </si>
  <si>
    <t>95115</t>
  </si>
  <si>
    <t>MARTELETE OU ROMPEDOR PNEUMÁTICO MANUAL, 28 KG, COM SILENCIADOR - JUROS. AF_07/2016</t>
  </si>
  <si>
    <t>95116</t>
  </si>
  <si>
    <t>USINA DE CONCRETO FIXA, CAPACIDADE NOMINAL DE 90 A 120 M3/H, SEM SILO - DEPRECIAÇÃO. AF_07/2016</t>
  </si>
  <si>
    <t>31,99</t>
  </si>
  <si>
    <t>95117</t>
  </si>
  <si>
    <t>USINA DE CONCRETO FIXA, CAPACIDADE NOMINAL DE 90 A 120 M3/H, SEM SILO - JUROS. AF_07/2016</t>
  </si>
  <si>
    <t>95118</t>
  </si>
  <si>
    <t>USINA MISTURADORA DE SOLOS, CAPACIDADE DE 200 A 500 TON/H, POTENCIA 75KW - DEPRECIAÇÃO. AF_07/2016</t>
  </si>
  <si>
    <t>95119</t>
  </si>
  <si>
    <t>USINA MISTURADORA DE SOLOS, CAPACIDADE DE 200 A 500 TON/H, POTENCIA 75KW - JUROS. AF_07/2016</t>
  </si>
  <si>
    <t>9,81</t>
  </si>
  <si>
    <t>95120</t>
  </si>
  <si>
    <t>USINA MISTURADORA DE SOLOS, CAPACIDADE DE 200 A 500 TON/H, POTENCIA 75KW - MATERIAIS NA OPERAÇÃO. AF_07/2016</t>
  </si>
  <si>
    <t>59,92</t>
  </si>
  <si>
    <t>95123</t>
  </si>
  <si>
    <t>DISTRIBUIDOR DE AGREGADOS AUTOPROPELIDO, CAP 3 M3, A DIESEL, POTÊNCIA 176CV - DEPRECIAÇÃO. AF_07/2016</t>
  </si>
  <si>
    <t>16,30</t>
  </si>
  <si>
    <t>95124</t>
  </si>
  <si>
    <t>DISTRIBUIDOR DE AGREGADOS AUTOPROPELIDO, C/AP 3 M3, A DIESEL, POTÊNCIA 176CV - JUROS. AF_07/2016</t>
  </si>
  <si>
    <t>2,56</t>
  </si>
  <si>
    <t>95125</t>
  </si>
  <si>
    <t>DISTRIBUIDOR DE AGREGADOS AUTOPROPELIDO, CAP 3 M3, A DIESEL, POTÊNCIA 176CV - MANUTENÇÃO. AF_07/2016</t>
  </si>
  <si>
    <t>17,84</t>
  </si>
  <si>
    <t>95126</t>
  </si>
  <si>
    <t>DISTRIBUIDOR DE AGREGADOS AUTOPROPELIDO, CAP 3 M3, A DIESEL, POTÊNCIA 176CV  MATERIAIS NA OPERAÇÃO. AF_07/2016</t>
  </si>
  <si>
    <t>125,75</t>
  </si>
  <si>
    <t>95129</t>
  </si>
  <si>
    <t>MÁQUINA DEMARCADORA DE FAIXA DE TRÁFEGO À FRIO, AUTOPROPELIDA, POTÊNCIA 38 HP - DEPRECIAÇÃO. AF_07/2016</t>
  </si>
  <si>
    <t>28,93</t>
  </si>
  <si>
    <t>95130</t>
  </si>
  <si>
    <t>MÁQUINA DEMARCADORA DE FAIXA DE TRÁFEGO À FRIO, AUTOPROPELIDA, POTÊNCIA 38 HP - JUROS. AF_07/2016</t>
  </si>
  <si>
    <t>5,20</t>
  </si>
  <si>
    <t>95131</t>
  </si>
  <si>
    <t>MÁQUINA DEMARCADORA DE FAIXA DE TRÁFEGO À FRIO, AUTOPROPELIDA, POTÊNCIA 38 HP - MANUTENÇÃO. AF_07/2016</t>
  </si>
  <si>
    <t>54,25</t>
  </si>
  <si>
    <t>95132</t>
  </si>
  <si>
    <t>MÁQUINA DEMARCADORA DE FAIXA DE TRÁFEGO À FRIO, AUTOPROPELIDA, POTÊNCIA 38 HP - MATERIAIS NA OPERAÇÃO. AF_07/2016</t>
  </si>
  <si>
    <t>27,54</t>
  </si>
  <si>
    <t>95136</t>
  </si>
  <si>
    <t>TALHA MANUAL DE CORRENTE, CAPACIDADE DE 2 TON. COM ELEVAÇÃO DE 3 M - DEPRECIAÇÃO. AF_07/2016</t>
  </si>
  <si>
    <t>95137</t>
  </si>
  <si>
    <t>TALHA MANUAL DE CORRENTE, CAPACIDADE DE 2 TON. COM ELEVAÇÃO DE 3 M - JUROS. AF_07/2016</t>
  </si>
  <si>
    <t>95138</t>
  </si>
  <si>
    <t>TALHA MANUAL DE CORRENTE, CAPACIDADE DE 2 TON. COM ELEVAÇÃO DE 3 M - MANUTENÇÃO. AF_07/2016</t>
  </si>
  <si>
    <t>95208</t>
  </si>
  <si>
    <t>GRUA ASCENCIONAL, LANÇA DE 42 M, CAPACIDADE DE 1,5 T A 30 M, ALTURA ATÉ 39 M  DEPRECIAÇÃO. AF_08/2016</t>
  </si>
  <si>
    <t>44,01</t>
  </si>
  <si>
    <t>95209</t>
  </si>
  <si>
    <t>GRUA ASCENCIONAL, LANCA DE 42 M, CAPACIDADE DE 1,5 T A 30 M, ALTURA ATE 39 M  JUROS. AF_08/2016</t>
  </si>
  <si>
    <t>5,22</t>
  </si>
  <si>
    <t>95210</t>
  </si>
  <si>
    <t>GRUA ASCENCIONAL, LANCA DE 42 M, CAPACIDADE DE 1,5 T A 30 M, ALTURA ATE 39 M  MANUTENÇÃO. AF_08/2016</t>
  </si>
  <si>
    <t>48,14</t>
  </si>
  <si>
    <t>95211</t>
  </si>
  <si>
    <t>GRUA ASCENCIONAL, LANCA DE 42 M, CAPACIDADE DE 1,5 T A 30 M, ALTURA ATE 39 M  MATERIAIS NA OPERAÇÃO. AF_08/2016</t>
  </si>
  <si>
    <t>95217</t>
  </si>
  <si>
    <t>PULVERIZADOR DE TINTA ELÉTRICO/MÁQUINA DE PINTURA AIRLESS, VAZÃO 2 L/MIN - MATERIAIS NA OPERAÇÃO. AF_08/2016</t>
  </si>
  <si>
    <t>0,59</t>
  </si>
  <si>
    <t>95255</t>
  </si>
  <si>
    <t>MARTELO DEMOLIDOR PNEUMÁTICO MANUAL, 32 KG - DEPRECIAÇÃO. AF_09/2016</t>
  </si>
  <si>
    <t>1,01</t>
  </si>
  <si>
    <t>95256</t>
  </si>
  <si>
    <t>MARTELO DEMOLIDOR PNEUMÁTICO MANUAL, 32 KG - JUROS. AF_09/2016</t>
  </si>
  <si>
    <t>95257</t>
  </si>
  <si>
    <t>MARTELO DEMOLIDOR PNEUMÁTICO MANUAL, 32 KG - MANUTENÇÃO. AF_09/2016</t>
  </si>
  <si>
    <t>95260</t>
  </si>
  <si>
    <t>COMPACTADOR DE SOLOS DE PERCUSÃO (SOQUETE) COM MOTOR A GASOLINA, POTÊNCIA 3 CV - DEPRECIAÇÃO. AF_09/2016</t>
  </si>
  <si>
    <t>0,58</t>
  </si>
  <si>
    <t>95261</t>
  </si>
  <si>
    <t>COMPACTADOR DE SOLOS DE PERCUSÃO (SOQUETE) COM MOTOR A GASOLINA, POTÊNCIA 3 CV - JUROS. AF_09/2016</t>
  </si>
  <si>
    <t>95262</t>
  </si>
  <si>
    <t>COMPACTADOR DE SOLOS DE PERCUSÃO (SOQUETE) COM MOTOR A GASOLINA, POTÊNCIA 3 CV - MANUTENÇÃO. AF_09/2016</t>
  </si>
  <si>
    <t>1,05</t>
  </si>
  <si>
    <t>95263</t>
  </si>
  <si>
    <t>COMPACTADOR DE SOLOS DE PERCUSÃO (SOQUETE) COM MOTOR A GASOLINA, POTÊNCIA 3 CV - MATERIAIS NA OPERAÇÃO. AF_09/2016</t>
  </si>
  <si>
    <t>5,18</t>
  </si>
  <si>
    <t>95266</t>
  </si>
  <si>
    <t>RÉGUA VIBRATÓRIA DUPLA PARA CONCRETO, PESO DE 60KG, COMPRIMENTO 4 M, COM MOTOR A GASOLINA, POTÊNCIA 5,5 HP - DEPRECIAÇÃO. AF_09/2016</t>
  </si>
  <si>
    <t>95267</t>
  </si>
  <si>
    <t>RÉGUA VIBRATÓRIA DUPLA PARA CONCRETO, PESO DE 60KG, COMPRIMENTO 4 M, COM MOTOR A GASOLINA, POTÊNCIA 5,5 HP - JUROS. AF_09/2016</t>
  </si>
  <si>
    <t>95268</t>
  </si>
  <si>
    <t>RÉGUA VIBRATÓRIA DUPLA PARA CONCRETO, PESO DE 60KG, COMPRIMENTO 4 M, COM MOTOR A GASOLINA, POTÊNCIA 5,5 HP - MANUTENÇÃO. AF_09/2016</t>
  </si>
  <si>
    <t>0,42</t>
  </si>
  <si>
    <t>95269</t>
  </si>
  <si>
    <t>RÉGUA VIBRATÓRIA DUPLA PARA CONCRETO, PESO DE 60KG, COMPRIMENTO 4 M, COM MOTOR A GASOLINA, POTÊNCIA 5,5 HP  MATERIAIS NA OPERAÇÃO. AF_09/2016</t>
  </si>
  <si>
    <t>95272</t>
  </si>
  <si>
    <t>POLIDORA DE PISO (POLITRIZ), PESO DE 100KG, DIÂMETRO 450 MM, MOTOR ELÉTRICO, POTÊNCIA 4 HP - DEPRECIAÇÃO. AF_09/2016</t>
  </si>
  <si>
    <t>95273</t>
  </si>
  <si>
    <t>POLIDORA DE PISO (POLITRIZ), PESO DE 100KG, DIÂMETRO 450 MM, MOTOR ELÉTRICO, POTÊNCIA 4 HP - JUROS. AF_09/2016</t>
  </si>
  <si>
    <t>95274</t>
  </si>
  <si>
    <t>POLIDORA DE PISO (POLITRIZ), PESO DE 100KG, DIÂMETRO 450 MM, MOTOR ELÉTRICO, POTÊNCIA 4 HP - MANUTENÇÃO. AF_09/2016</t>
  </si>
  <si>
    <t>0,33</t>
  </si>
  <si>
    <t>95275</t>
  </si>
  <si>
    <t>POLIDORA DE PISO (POLITRIZ), PESO DE 100KG, DIÂMETRO 450 MM, MOTOR ELÉTRICO, POTÊNCIA 4 HP  MATERIAIS NA OPERAÇÃO. AF_09/2016</t>
  </si>
  <si>
    <t>2,38</t>
  </si>
  <si>
    <t>95278</t>
  </si>
  <si>
    <t>DESEMPENADEIRA DE CONCRETO, PESO DE 75KG, 4 PÁS, MOTOR A GASOLINA, POTÊNCIA 5,5 HP - DEPRECIAÇÃO. AF_09/2016</t>
  </si>
  <si>
    <t>95279</t>
  </si>
  <si>
    <t>DESEMPENADEIRA DE CONCRETO, PESO DE 75KG, 4 PÁS, MOTOR A GASOLINA, POTÊNCIA 5,5 HP - JUROS. AF_09/2016</t>
  </si>
  <si>
    <t>95280</t>
  </si>
  <si>
    <t>DESEMPENADEIRA DE CONCRETO, PESO DE 75KG, 4 PÁS, MOTOR A GASOLINA, POTÊNCIA 5,5 HP - MANUTENÇÃO. AF_09/2016</t>
  </si>
  <si>
    <t>0,36</t>
  </si>
  <si>
    <t>95281</t>
  </si>
  <si>
    <t>DESEMPENADEIRA DE CONCRETO, PESO DE 75KG, 4 PÁS, MOTOR A GASOLINA, POTÊNCIA 5,5 HP  MATERIAIS NA OPERAÇÃO. AF_09/2016</t>
  </si>
  <si>
    <t>95617</t>
  </si>
  <si>
    <t>PERFURATRIZ PNEUMATICA MANUAL DE PESO MEDIO, MARTELETE, 18KG, COMPRIMENTO MÁXIMO DE CURSO DE 6 M, DIAMETRO DO PISTAO DE 5,5 CM - DEPRECIAÇÃO. AF_11/2016</t>
  </si>
  <si>
    <t>95618</t>
  </si>
  <si>
    <t>PERFURATRIZ PNEUMATICA MANUAL DE PESO MEDIO, MARTELETE, 18KG, COMPRIMENTO MÁXIMO DE CURSO DE 6 M, DIAMETRO DO PISTAO DE 5,5 CM - JUROS. AF_11/2016</t>
  </si>
  <si>
    <t>95619</t>
  </si>
  <si>
    <t>PERFURATRIZ PNEUMATICA MANUAL DE PESO MEDIO, MARTELETE, 18KG, COMPRIMENTO MÁXIMO DE CURSO DE 6 M, DIAMETRO DO PISTAO DE 5,5 CM - MANUTENÇÃO. AF_11/2016</t>
  </si>
  <si>
    <t>1,03</t>
  </si>
  <si>
    <t>95627</t>
  </si>
  <si>
    <t>ROLO COMPACTADOR VIBRATORIO TANDEM, ACO LISO, POTENCIA 125 HP, PESO SEM/COM LASTRO 10,20/11,65 T, LARGURA DE TRABALHO 1,73 M - DEPRECIAÇÃO. AF_11/2016</t>
  </si>
  <si>
    <t>41,84</t>
  </si>
  <si>
    <t>95628</t>
  </si>
  <si>
    <t>ROLO COMPACTADOR VIBRATORIO TANDEM, ACO LISO, POTENCIA 125 HP, PESO SEM/COM LASTRO 10,20/11,65 T, LARGURA DE TRABALHO 1,73 M - JUROS. AF_11/2016</t>
  </si>
  <si>
    <t>95629</t>
  </si>
  <si>
    <t>ROLO COMPACTADOR VIBRATORIO TANDEM, ACO LISO, POTENCIA 125 HP, PESO SEM/COM LASTRO 10,20/11,65 T, LARGURA DE TRABALHO 1,73 M - MANUTENÇÃO. AF_11/2016</t>
  </si>
  <si>
    <t>52,36</t>
  </si>
  <si>
    <t>95630</t>
  </si>
  <si>
    <t>ROLO COMPACTADOR VIBRATORIO TANDEM, ACO LISO, POTENCIA 125 HP, PESO SEM/COM LASTRO 10,20/11,65 T, LARGURA DE TRABALHO 1,73 M - MATERIAIS NA OPERAÇÃO. AF_11/2016</t>
  </si>
  <si>
    <t>95698</t>
  </si>
  <si>
    <t>PERFURATRIZ MANUAL, TORQUE MAXIMO 55 KGF.M, POTENCIA 5 CV, COM DIAMETRO MAXIMO 8 1/2" - DEPRECIAÇÃO. AF_11/2016</t>
  </si>
  <si>
    <t>3,36</t>
  </si>
  <si>
    <t>95699</t>
  </si>
  <si>
    <t>PERFURATRIZ MANUAL, TORQUE MAXIMO 55 KGF.M, POTENCIA 5 CV, COM DIAMETRO MAXIMO 8 1/2" - JUROS. AF_11/2016</t>
  </si>
  <si>
    <t>95700</t>
  </si>
  <si>
    <t>PERFURATRIZ MANUAL, TORQUE MAXIMO 55 KGF.M, POTENCIA 5 CV, COM DIAMETRO MAXIMO 8 1/2" - MANUTENÇÃO. AF_11/2016</t>
  </si>
  <si>
    <t>4,20</t>
  </si>
  <si>
    <t>95701</t>
  </si>
  <si>
    <t>PERFURATRIZ MANUAL, TORQUE MAXIMO 55 KGF.M, POTENCIA 5 CV, COM DIAMETRO MAXIMO 8 1/2" - MATERIAIS NA OPERAÇÃO. AF_11/2016</t>
  </si>
  <si>
    <t>95704</t>
  </si>
  <si>
    <t>PERFURATRIZ SOBRE ESTEIRA, TORQUE MÁXIMO 600 KGF, POTÊNCIA ENTRE 50 E 60 HP, DIÂMETRO MÁXIMO 10 - DEPRECIAÇÃO. AF_11/2016</t>
  </si>
  <si>
    <t>46,43</t>
  </si>
  <si>
    <t>95705</t>
  </si>
  <si>
    <t>PERFURATRIZ SOBRE ESTEIRA, TORQUE MÁXIMO 600 KGF, POTÊNCIA ENTRE 50 E 60 HP, DIÂMETRO MÁXIMO 10 - JUROS. AF_11/2016</t>
  </si>
  <si>
    <t>6,62</t>
  </si>
  <si>
    <t>95706</t>
  </si>
  <si>
    <t>PERFURATRIZ SOBRE ESTEIRA, TORQUE MÁXIMO 600 KGF, POTÊNCIA ENTRE 50 E 60 HP, DIÂMETRO MÁXIMO 10 - MANUTENÇÃO. AF_11/2016</t>
  </si>
  <si>
    <t>58,11</t>
  </si>
  <si>
    <t>95707</t>
  </si>
  <si>
    <t>PERFURATRIZ SOBRE ESTEIRA, TORQUE MÁXIMO 600 KGF, POTÊNCIA ENTRE 50 E 60 HP, DIÂMETRO MÁXIMO 10 - MATERIAIS NA OPERAÇÃO. AF_11/2016</t>
  </si>
  <si>
    <t>32,78</t>
  </si>
  <si>
    <t>95710</t>
  </si>
  <si>
    <t>ESCAVADEIRA HIDRAULICA SOBRE ESTEIRA, COM GARRA GIRATORIA DE MANDIBULAS, PESO OPERACIONAL ENTRE 22,00 E 25,50 TON, POTENCIA LIQUIDA ENTRE 150 E 160 HP - DEPRECIAÇÃO. AF_11/2016</t>
  </si>
  <si>
    <t>55,81</t>
  </si>
  <si>
    <t>95711</t>
  </si>
  <si>
    <t>ESCAVADEIRA HIDRAULICA SOBRE ESTEIRA, COM GARRA GIRATORIA DE MANDIBULAS, PESO OPERACIONAL ENTRE 22,00 E 25,50 TON, POTENCIA LIQUIDA ENTRE 150 E 160 HP - JUROS. AF_11/2016</t>
  </si>
  <si>
    <t>7,57</t>
  </si>
  <si>
    <t>95712</t>
  </si>
  <si>
    <t>ESCAVADEIRA HIDRAULICA SOBRE ESTEIRA, COM GARRA GIRATORIA DE MANDIBULAS, PESO OPERACIONAL ENTRE 22,00 E 25,50 TON, POTENCIA LIQUIDA ENTRE 150 E 160 HP - MANUTENÇÃO. AF_11/2016</t>
  </si>
  <si>
    <t>69,76</t>
  </si>
  <si>
    <t>95713</t>
  </si>
  <si>
    <t>ESCAVADEIRA HIDRAULICA SOBRE ESTEIRA, COM GARRA GIRATORIA DE MANDIBULAS, PESO OPERACIONAL ENTRE 22,00 E 25,50 TON, POTENCIA LIQUIDA ENTRE 150 E 160 HP - MATERIAIS NA OPERAÇÃO. AF_11/2016</t>
  </si>
  <si>
    <t>95716</t>
  </si>
  <si>
    <t>ESCAVADEIRA HIDRAULICA SOBRE ESTEIRA, EQUIPADA COM CLAMSHELL, COM CAPACIDADE DA CAÇAMBA ENTRE 1,20 E 1,50 M3, PESO OPERACIONAL ENTRE 20,00 E 22,00 TON, POTENCIA LIQUIDA ENTRE 150 E 160 HP - DEPRECIAÇÃO. AF_11/2016</t>
  </si>
  <si>
    <t>53,72</t>
  </si>
  <si>
    <t>95717</t>
  </si>
  <si>
    <t>ESCAVADEIRA HIDRAULICA SOBRE ESTEIRA, EQUIPADA COM CLAMSHELL, COM CAPACIDADE DA CAÇAMBA ENTRE 1,20 E 1,50 M3, PESO OPERACIONAL ENTRE 20,00 E 22,00 TON, POTENCIA LIQUIDA ENTRE 150 E 160 HP - JUROS. AF_11/2016</t>
  </si>
  <si>
    <t>7,29</t>
  </si>
  <si>
    <t>95718</t>
  </si>
  <si>
    <t>ESCAVADEIRA HIDRAULICA SOBRE ESTEIRA, EQUIPADA COM CLAMSHELL, COM CAPACIDADE DA CAÇAMBA ENTRE 1,20 E 1,50 M3, PESO OPERACIONAL ENTRE 20,00 E 22,00 TON, POTENCIA LIQUIDA ENTRE 150 E 160 HP - MANUTENÇÃO. AF_11/2016</t>
  </si>
  <si>
    <t>67,16</t>
  </si>
  <si>
    <t>95719</t>
  </si>
  <si>
    <t>ESCAVADEIRA HIDRAULICA SOBRE ESTEIRA, EQUIPADA COM CLAMSHELL, COM CAPACIDADE DA CAÇAMBA ENTRE 1,20 E 1,50 M3, PESO OPERACIONAL ENTRE 20,00 E 22,00 TON, POTENCIA LIQUIDA ENTRE 150 E 160 HP - MATERIAIS NA OPERAÇÃO. AF_11/2016</t>
  </si>
  <si>
    <t>95869</t>
  </si>
  <si>
    <t>GRUPO GERADOR COM CARENAGEM, MOTOR DIESEL POTÊNCIA STANDART ENTRE 250 E 260 KVA - JUROS. AF_12/2016</t>
  </si>
  <si>
    <t>95870</t>
  </si>
  <si>
    <t>GRUPO GERADOR COM CARENAGEM, MOTOR DIESEL POTÊNCIA STANDART ENTRE 250 E 260 KVA - MANUTENÇÃO. AF_12/2016</t>
  </si>
  <si>
    <t>95871</t>
  </si>
  <si>
    <t>GRUPO GERADOR COM CARENAGEM, MOTOR DIESEL POTÊNCIA STANDART ENTRE 250 E 260 KVA - MATERIAIS NA OPERAÇÃO. AF_12/2016</t>
  </si>
  <si>
    <t>233,22</t>
  </si>
  <si>
    <t>95874</t>
  </si>
  <si>
    <t>GRUPO GERADOR COM CARENAGEM, MOTOR DIESEL POTÊNCIA STANDART ENTRE 250 E 260 KVA - DEPRECIAÇÃO. AF_12/2016</t>
  </si>
  <si>
    <t>7,01</t>
  </si>
  <si>
    <t>96008</t>
  </si>
  <si>
    <t>TRATOR DE PNEUS COM POTÊNCIA DE 122 CV, TRAÇÃO 4X4, COM VASSOURA MECÂNICA ACOPLADA - DEPRECIAÇÃO. AF_02/2017</t>
  </si>
  <si>
    <t>20,52</t>
  </si>
  <si>
    <t>96009</t>
  </si>
  <si>
    <t>TRATOR DE PNEUS COM POTÊNCIA DE 122 CV, TRAÇÃO 4X4, COM VASSOURA MECÂNICA ACOPLADA - JUROS. AF_02/2017</t>
  </si>
  <si>
    <t>2,85</t>
  </si>
  <si>
    <t>96011</t>
  </si>
  <si>
    <t>TRATOR DE PNEUS COM POTÊNCIA DE 122 CV, TRAÇÃO 4X4, COM VASSOURA MECÂNICA ACOPLADA - MANUTENÇÃO. AF_02/2017</t>
  </si>
  <si>
    <t>22,46</t>
  </si>
  <si>
    <t>96012</t>
  </si>
  <si>
    <t>TRATOR DE PNEUS COM POTÊNCIA DE 122 CV, TRAÇÃO 4X4, COM VASSOURA MECÂNICA ACOPLADA - MATERIAIS NA OPERAÇÃO. AF_02/2017</t>
  </si>
  <si>
    <t>96015</t>
  </si>
  <si>
    <t>TRATOR DE PNEUS COM POTÊNCIA DE 122 CV, TRAÇÃO 4X4, COM GRADE DE DISCOS ACOPLADA - DEPRECIAÇÃO. AF_02/2017</t>
  </si>
  <si>
    <t>20,27</t>
  </si>
  <si>
    <t>96016</t>
  </si>
  <si>
    <t>TRATOR DE PNEUS COM POTÊNCIA DE 122 CV, TRAÇÃO 4X4, COM GRADE DE DISCOS ACOPLADA - JUROS. AF_02/2017</t>
  </si>
  <si>
    <t>2,81</t>
  </si>
  <si>
    <t>96018</t>
  </si>
  <si>
    <t>TRATOR DE PNEUS COM POTÊNCIA DE 122 CV, TRAÇÃO 4X4, COM GRADE DE DISCOS ACOPLADA - MANUTENÇÃO. AF_02/2017</t>
  </si>
  <si>
    <t>22,18</t>
  </si>
  <si>
    <t>96019</t>
  </si>
  <si>
    <t>TRATOR DE PNEUS COM POTÊNCIA DE 122 CV, TRAÇÃO 4X4, COM GRADE DE DISCOS ACOPLADA - MATERIAIS NA OPERAÇÃO. AF_02/2017</t>
  </si>
  <si>
    <t>96023</t>
  </si>
  <si>
    <t>TRATOR DE PNEUS COM POTÊNCIA DE 85 CV, TRAÇÃO 4X4, COM GRADE DE DISCOS ACOPLADA - DEPRECIAÇÃO. AF_02/2017</t>
  </si>
  <si>
    <t>16,00</t>
  </si>
  <si>
    <t>96024</t>
  </si>
  <si>
    <t>TRATOR DE PNEUS COM POTÊNCIA DE 85 CV, TRAÇÃO 4X4, COM GRADE DE DISCOS ACOPLADA - JUROS. AF_02/2017</t>
  </si>
  <si>
    <t>2,21</t>
  </si>
  <si>
    <t>96026</t>
  </si>
  <si>
    <t>TRATOR DE PNEUS COM POTÊNCIA DE 85 CV, TRAÇÃO 4X4, COM GRADE DE DISCOS ACOPLADA - MANUTENÇÃO. AF_02/2017</t>
  </si>
  <si>
    <t>96027</t>
  </si>
  <si>
    <t>TRATOR DE PNEUS COM POTÊNCIA DE 85 CV, TRAÇÃO 4X4, COM GRADE DE DISCOS ACOPLADA - MATERIAIS NA OPERAÇÃO. AF_02/2017</t>
  </si>
  <si>
    <t>96030</t>
  </si>
  <si>
    <t>CAMINHÃO BASCULANTE 10 M3, TRUCADO, POTÊNCIA 230 CV, INCLUSIVE CAÇAMBA METÁLICA, COM DISTRIBUIDOR DE AGREGADOS ACOPLADO - DEPRECIAÇÃO. AF_02/2017</t>
  </si>
  <si>
    <t>25,11</t>
  </si>
  <si>
    <t>96031</t>
  </si>
  <si>
    <t>CAMINHÃO BASCULANTE 10 M3, TRUCADO, POTÊNCIA 230 CV, INCLUSIVE CAÇAMBA METÁLICA, COM DISTRIBUIDOR DE AGREGADOS ACOPLADO - JUROS. AF_02/2017</t>
  </si>
  <si>
    <t>96032</t>
  </si>
  <si>
    <t>CAMINHÃO BASCULANTE 10 M3, TRUCADO, POTÊNCIA 230 CV, INCLUSIVE CAÇAMBA METÁLICA, COM DISTRIBUIDOR DE AGREGADOS ACOPLADO - IMPOSTOS E SEGUROS. AF_02/2017</t>
  </si>
  <si>
    <t>96033</t>
  </si>
  <si>
    <t>CAMINHÃO BASCULANTE 10 M3, TRUCADO, POTÊNCIA 230 CV, INCLUSIVE CAÇAMBA METÁLICA, COM DISTRIBUIDOR DE AGREGADOS ACOPLADO - MANUTENÇÃO. AF_02/2017</t>
  </si>
  <si>
    <t>96034</t>
  </si>
  <si>
    <t>CAMINHÃO BASCULANTE 10 M3, TRUCADO, POTÊNCIA 230 CV, INCLUSIVE CAÇAMBA METÁLICA, COM DISTRIBUIDOR DE AGREGADOS ACOPLADO - MATERIAIS NA OPERAÇÃO. AF_02/2017</t>
  </si>
  <si>
    <t>96053</t>
  </si>
  <si>
    <t>TRATOR DE PNEUS COM POTÊNCIA DE 85 CV, TRAÇÃO 4X4, COM VASSOURA MECÂNICA ACOPLADA - DEPRECIAÇÃO. AF_03/2017</t>
  </si>
  <si>
    <t>16,25</t>
  </si>
  <si>
    <t>96054</t>
  </si>
  <si>
    <t>MINICARREGADEIRA SOBRE RODAS POTENCIA 47HP CAPACIDADE OPERACAO 646 KG, COM VASSOURA MECÂNICA ACOPLADA - DEPRECIAÇÃO. AF_03/2017</t>
  </si>
  <si>
    <t>21,99</t>
  </si>
  <si>
    <t>96055</t>
  </si>
  <si>
    <t>TRATOR DE PNEUS COM POTÊNCIA DE 85 CV, TRAÇÃO 4X4, COM VASSOURA MECÂNICA ACOPLADA - JUROS. AF_03/2017</t>
  </si>
  <si>
    <t>2,25</t>
  </si>
  <si>
    <t>96056</t>
  </si>
  <si>
    <t>TRATOR DE PNEUS COM POTÊNCIA DE 85 CV, TRAÇÃO 4X4, COM VASSOURA MECÂNICA ACOPLADA - MANUTENÇÃO. AF_03/2017</t>
  </si>
  <si>
    <t>96057</t>
  </si>
  <si>
    <t>TRATOR DE PNEUS COM POTÊNCIA DE 85 CV, TRAÇÃO 4X4, COM VASSOURA MECÂNICA ACOPLADA - MATERIAIS NA OPERAÇÃO. AF_03/2017</t>
  </si>
  <si>
    <t>96060</t>
  </si>
  <si>
    <t>MINICARREGADEIRA SOBRE RODAS POTENCIA 47HP CAPACIDADE OPERACAO 646 KG, COM VASSOURA MECÂNICA ACOPLADA - JUROS. AF_03/2017</t>
  </si>
  <si>
    <t>96061</t>
  </si>
  <si>
    <t>MINICARREGADEIRA SOBRE RODAS POTENCIA 47HP CAPACIDADE OPERACAO 646 KG, COM VASSOURA MECÂNICA ACOPLADA - MANUTENÇÃO. AF_03/2017</t>
  </si>
  <si>
    <t>27,48</t>
  </si>
  <si>
    <t>96062</t>
  </si>
  <si>
    <t>MINICARREGADEIRA SOBRE RODAS POTENCIA 47HP CAPACIDADE OPERACAO 646 KG, COM VASSOURA MECÂNICA ACOPLADA - MATERIAIS NA OPERAÇÃO. AF_03/2017</t>
  </si>
  <si>
    <t>96241</t>
  </si>
  <si>
    <t>MINIESCAVADEIRA SOBRE ESTEIRAS, POTENCIA LIQUIDA DE *30* HP, PESO OPERACIONAL DE *3.500* KG - DEPRECIACAO. AF_04/2017</t>
  </si>
  <si>
    <t>16,13</t>
  </si>
  <si>
    <t>96242</t>
  </si>
  <si>
    <t>MINIESCAVADEIRA SOBRE ESTEIRAS, POTENCIA LIQUIDA DE *30* HP, PESO OPERACIONAL DE *3.500* KG - JUROS. AF_04/2017</t>
  </si>
  <si>
    <t>2,18</t>
  </si>
  <si>
    <t>96243</t>
  </si>
  <si>
    <t>MINIESCAVADEIRA SOBRE ESTEIRAS, POTENCIA LIQUIDA DE *30* HP, PESO OPERACIONAL DE *3.500* KG - MANUTENCAO. AF_04/2017</t>
  </si>
  <si>
    <t>20,16</t>
  </si>
  <si>
    <t>96244</t>
  </si>
  <si>
    <t>MINIESCAVADEIRA SOBRE ESTEIRAS, POTENCIA LIQUIDA DE *30* HP, PESO OPERACIONAL DE *3.500* KG - MATERIAIS NA OPERACAO. AF_04/2017</t>
  </si>
  <si>
    <t>14,87</t>
  </si>
  <si>
    <t>96301</t>
  </si>
  <si>
    <t>PERFURATRIZ ROTATIVA SOBRE ESTEIRA, TORQUE MAXIMO 2500 KGM, POTENCIA 110 HP, MOTOR DIESEL - MATERIAIS NA OPERAÇÃO. AF_05/2017</t>
  </si>
  <si>
    <t>41,95</t>
  </si>
  <si>
    <t>96457</t>
  </si>
  <si>
    <t>ROLO COMPACTADOR DE PNEUS, ESTATICO, PRESSAO VARIAVEL, POTENCIA 110 HP, PESO SEM/COM LASTRO 10,8/27 T, LARGURA DE ROLAGEM 2,30 M - MATERIAIS NA OPERACAO. AF_06/2017</t>
  </si>
  <si>
    <t>96458</t>
  </si>
  <si>
    <t>ROLO COMPACTADOR DE PNEUS, ESTATICO, PRESSAO VARIAVEL, POTENCIA 110 HP, PESO SEM/COM LASTRO 10,8/27 T, LARGURA DE ROLAGEM 2,30 M - MANUTENCAO. AF_06/2017</t>
  </si>
  <si>
    <t>58,07</t>
  </si>
  <si>
    <t>96459</t>
  </si>
  <si>
    <t>ROLO COMPACTADOR DE PNEUS, ESTATICO, PRESSAO VARIAVEL, POTENCIA 110 HP, PESO SEM/COM LASTRO 10,8/27 T, LARGURA DE ROLAGEM 2,30 M - JUROS. AF_06/2017</t>
  </si>
  <si>
    <t>6,44</t>
  </si>
  <si>
    <t>96460</t>
  </si>
  <si>
    <t>ROLO COMPACTADOR DE PNEUS, ESTATICO, PRESSAO VARIAVEL, POTENCIA 110 HP, PESO SEM/COM LASTRO 10,8/27 T, LARGURA DE ROLAGEM 2,30 M - DEPRECIAÇÃO. AF_06/2017</t>
  </si>
  <si>
    <t>46,41</t>
  </si>
  <si>
    <t>98760</t>
  </si>
  <si>
    <t>INVERSOR DE SOLDA MONOFÁSICO DE 160 A, POTÊNCIA DE 5400 W, TENSÃO DE 220 V, PARA SOLDA COM ELETRODOS DE 2,0 A 4,0 MM E PROCESSO TIG - DEPRECIAÇÃO. AF_06/2018</t>
  </si>
  <si>
    <t>98761</t>
  </si>
  <si>
    <t>INVERSOR DE SOLDA MONOFÁSICO DE 160 A, POTÊNCIA DE 5400 W, TENSÃO DE 220 V, PARA SOLDA COM ELETRODOS DE 2,0 A 4,0 MM E PROCESSO TIG - JUROS. AF_06/2018</t>
  </si>
  <si>
    <t>98762</t>
  </si>
  <si>
    <t>INVERSOR DE SOLDA MONOFÁSICO DE 160 A, POTÊNCIA DE 5400 W, TENSÃO DE 220 V, PARA SOLDA COM ELETRODOS DE 2,0 A 4,0 MM E PROCESSO TIG - MANUTENÇÃO. AF_06/2018</t>
  </si>
  <si>
    <t>98763</t>
  </si>
  <si>
    <t>INVERSOR DE SOLDA MONOFÁSICO DE 160 A, POTÊNCIA DE 5400 W, TENSÃO DE 220 V, PARA SOLDA COM ELETRODOS DE 2,0 A 4,0 MM E PROCESSO TIG - MATERIAIS NA OPERAÇÃO. AF_06/2018</t>
  </si>
  <si>
    <t>4,31</t>
  </si>
  <si>
    <t>99829</t>
  </si>
  <si>
    <t>LAVADORA DE ALTA PRESSAO (LAVA-JATO) PARA AGUA FRIA, PRESSAO DE OPERACAO ENTRE 1400 E 1900 LIB/POL2, VAZAO MAXIMA ENTRE 400 E 700 L/H - DEPRECIAÇÃO. AF_04/2019</t>
  </si>
  <si>
    <t>99830</t>
  </si>
  <si>
    <t>LAVADORA DE ALTA PRESSAO (LAVA-JATO) PARA AGUA FRIA, PRESSAO DE OPERACAO ENTRE 1400 E 1900 LIB/POL2, VAZAO MAXIMA ENTRE 400 E 700 L/H - JUROS. AF_04/2019</t>
  </si>
  <si>
    <t>99831</t>
  </si>
  <si>
    <t>LAVADORA DE ALTA PRESSAO (LAVA-JATO) PARA AGUA FRIA, PRESSAO DE OPERACAO ENTRE 1400 E 1900 LIB/POL2, VAZAO MAXIMA ENTRE 400 E 700 L/H - MANUTENÇÃO. AF_04/2019</t>
  </si>
  <si>
    <t>99832</t>
  </si>
  <si>
    <t>LAVADORA DE ALTA PRESSAO (LAVA-JATO) PARA AGUA FRIA, PRESSAO DE OPERACAO ENTRE 1400 E 1900 LIB/POL2, VAZAO MAXIMA ENTRE 400 E 700 L/H - MATERIAIS NA OPERAÇÃO. AF_04/2019</t>
  </si>
  <si>
    <t>100637</t>
  </si>
  <si>
    <t>USINA DE MISTURA ASFÁLTICA À QUENTE, TIPO CONTRA FLUXO, PROD 100 A 140 TON/HORA - DEPRECIAÇÃO. AF_12/2019</t>
  </si>
  <si>
    <t>129,83</t>
  </si>
  <si>
    <t>100638</t>
  </si>
  <si>
    <t>USINA DE MISTURA ASFÁLTICA À QUENTE, TIPO CONTRA FLUXO, PROD 100 A 140 TON/HORA - JUROS. AF_12/2019</t>
  </si>
  <si>
    <t>23,36</t>
  </si>
  <si>
    <t>100639</t>
  </si>
  <si>
    <t>USINA DE MISTURA ASFÁLTICA À QUENTE, TIPO CONTRA FLUXO, PROD 100 A 140 TON/HORA - MANUTENÇÃO. AF_12/2019</t>
  </si>
  <si>
    <t>208,70</t>
  </si>
  <si>
    <t>100640</t>
  </si>
  <si>
    <t>USINA DE MISTURA ASFÁLTICA À QUENTE, TIPO CONTRA FLUXO, PROD 100 A 140 TON/HORA - MATERIAIS NA OPERAÇÃO. AF_12/2019</t>
  </si>
  <si>
    <t>223,72</t>
  </si>
  <si>
    <t>100643</t>
  </si>
  <si>
    <t>USINA DE ASFALTO, TIPO GRAVIMÉTRICA, PROD 150 TON/HORA - DEPRECIAÇÃO. AF_12/2019</t>
  </si>
  <si>
    <t>341,83</t>
  </si>
  <si>
    <t>100644</t>
  </si>
  <si>
    <t>USINA DE ASFALTO, TIPO GRAVIMÉTRICA, PROD 150 TON/HORA - JUROS. AF_12/2019</t>
  </si>
  <si>
    <t>61,53</t>
  </si>
  <si>
    <t>100645</t>
  </si>
  <si>
    <t>USINA DE ASFALTO, TIPO GRAVIMÉTRICA, PROD 150 TON/HORA - MANUTENÇÃO. AF_12/2019</t>
  </si>
  <si>
    <t>549,50</t>
  </si>
  <si>
    <t>100646</t>
  </si>
  <si>
    <t>USINA DE ASFALTO, TIPO GRAVIMÉTRICA, PROD 150 TON/HORA - MATERIAIS NA OPERAÇÃO. AF_12/2019</t>
  </si>
  <si>
    <t>319,60</t>
  </si>
  <si>
    <t>102270</t>
  </si>
  <si>
    <t>MARTELO DEMOLIDOR ELÉTRICO, COM POTÊNCIA DE 2.000 W, 1.000 IMPACTOS POR MINUTO, PESO DE 30 KG - DEPRECIAÇÃO. AF_01/2021</t>
  </si>
  <si>
    <t>102271</t>
  </si>
  <si>
    <t>MARTELO DEMOLIDOR ELÉTRICO, COM POTÊNCIA DE 2.000 W, 1.000 IMPACTOS POR MINUTO, PESO DE 30 KG - JUROS. AF_01/2021</t>
  </si>
  <si>
    <t>102272</t>
  </si>
  <si>
    <t>MARTELO DEMOLIDOR ELÉTRICO, COM POTÊNCIA DE 2.000 W, 1.000 IMPACTOS POR MINUTO, PESO DE 30 KG - MANUTENÇÃO. AF_01/2021</t>
  </si>
  <si>
    <t>102273</t>
  </si>
  <si>
    <t>MARTELO DEMOLIDOR ELÉTRICO, COM POTÊNCIA DE 2.000 W, 1.000 IMPACTOS POR MINUTO, PESO DE 30 KG - MATERIAIS NA OPERAÇÃO. AF_01/2021</t>
  </si>
  <si>
    <t>1,59</t>
  </si>
  <si>
    <t>102809</t>
  </si>
  <si>
    <t>CALDEIRA A GÁS COM TERMOSTATO, CAPACIDADE 100 LITROS - MATERIAIS NA OPERAÇÃO. AF_04/2019</t>
  </si>
  <si>
    <t>102815</t>
  </si>
  <si>
    <t>CENTRAL DE LAMA BENTONÍTICA (DEPÓSITO DE BENTONITA, MISTURADOR DE ALTA TURBULÊNCIA, SILOS DE ARMAZENAMENTO DE LAMA E ÁGUA, LABORATÓRIO DE CONTROLE DE QUALIDADE DA LAMA) - MATERIAIS NA OPERAÇÃO. AF_04/2019</t>
  </si>
  <si>
    <t>3,19</t>
  </si>
  <si>
    <t>102826</t>
  </si>
  <si>
    <t>CONJUNTO MACACO E BOMBA HIDRÁULICA PARA PROTENSAO DE CORDOALHAS, ESFORÇO MAXIMO DE 115 TONELADAS - MATERIAIS NA OPERAÇÃO. AF_04/2019</t>
  </si>
  <si>
    <t>15,98</t>
  </si>
  <si>
    <t>102832</t>
  </si>
  <si>
    <t>CONJUNTO CILINDRO E BOMBA HIDRÁULICA PARA PROTENSÃO DE MONOBARRAS PARA TIRANTES, ESFORÇO MÁXIMO DE 30 TONELADAS  - MATERIAIS NA OPERAÇÃO. AF_04/2019</t>
  </si>
  <si>
    <t>7,99</t>
  </si>
  <si>
    <t>102843</t>
  </si>
  <si>
    <t>GUINDASTE HIDRAULICO AUTOPROPELIDO, COM LANÇA TRELIÇADA 40 M, CAPACIDADE MÁXIMA 75 T, EQUIPADO COM CLAMSHELL - MATERIAIS NA OPERAÇÃO. AF_04/2019</t>
  </si>
  <si>
    <t>114,97</t>
  </si>
  <si>
    <t>102849</t>
  </si>
  <si>
    <t>GUINDASTE SOBRE ESTEIRAS, COM LANÇA TRELIÇADA 40 M, CAPACIDADE MÁXIMA 75 T - MATERIAIS NA OPERAÇÃO. AF_04/2019</t>
  </si>
  <si>
    <t>56,21</t>
  </si>
  <si>
    <t>102855</t>
  </si>
  <si>
    <t>GUINDASTE SOBRE ESTEIRAS, COM LANÇA TRELIÇADA 40 M, CAPACIDADE MÁXIMA 75 T, EQUIPADO COM CLAMSHELL - MATERIAIS NA OPERAÇÃO. AF_04/2019</t>
  </si>
  <si>
    <t>102861</t>
  </si>
  <si>
    <t>MÁQUINA FORMER DOBRAS DIVERSAS: 220V/380V TRIFÁSICO OU MONOFÁSICO, CAPACIDADE 0,5-1,27MM, MOTOR 2CV - MATERIAIS NA OPERAÇÃO. AF_04/2019</t>
  </si>
  <si>
    <t>102867</t>
  </si>
  <si>
    <t>MÁQUINA SOLDA ARCO COM PISTOLA DE SOLDAGEM PARA STUD BOLT DE 5 MM A 22 MM - MATERIAIS NA OPERAÇÃO. AF_04/2019</t>
  </si>
  <si>
    <t>0,63</t>
  </si>
  <si>
    <t>102873</t>
  </si>
  <si>
    <t>PERFURATRIZ HIDRÁULICA SOBRE ESTEIRA, TORQUE MÁXIMO 161 KNM, PROFUNDIDADE MÁXIMA 54 M, DIÂMETRO MÁXIMO 1500 MM, POTÊNCIA MOTOR 268 HP - MATERIAIS NA OPERAÇÃO. AF_04/2019</t>
  </si>
  <si>
    <t>102,14</t>
  </si>
  <si>
    <t>102879</t>
  </si>
  <si>
    <t>PERFURATRIZ PARA EXECUÇÃO DE ESTACAS SECANTES, TIPO HÉLICE CONTÍNUA COM CABEÇOTE DUPLO E TUBO METÁLICO - MATERIAIS NA OPERAÇÃO. AF_04/2019</t>
  </si>
  <si>
    <t>153,30</t>
  </si>
  <si>
    <t>102885</t>
  </si>
  <si>
    <t>PLATAFORMA ELEVATÓRIA - MATERIAIS NA OPERAÇÃO. AF_04/2019</t>
  </si>
  <si>
    <t>1,19</t>
  </si>
  <si>
    <t>102891</t>
  </si>
  <si>
    <t>PÓRTICO ROLANTE MONOVIGA, PERFIL I, 4 PERNAS, CAPACIDADE 5 T  - MATERIAIS NA OPERAÇÃO. AF_04/2019</t>
  </si>
  <si>
    <t>102897</t>
  </si>
  <si>
    <t>ESCAVADEIRA HIDRÁULICA SOBRE ESTEIRA, PESO OPERACIONAL ENTRE 22,00 E 23,50 T, POTÊNCIA NOMINAL 139 HP, COM MARTELO ROMPEDOR HIDRÁULICO 1700 KG - MATERIAIS NA OPERAÇÃO. AF_04/2019</t>
  </si>
  <si>
    <t>68,42</t>
  </si>
  <si>
    <t>102903</t>
  </si>
  <si>
    <t>TORRE, COMPOSTA POR GUINCHO MECÂNICO, GUINCHO MANUAL, CABOS DE AÇO, PITEIRA E SOQUETE  - MATERIAIS NA OPERAÇÃO. AF_04/2019</t>
  </si>
  <si>
    <t>9,96</t>
  </si>
  <si>
    <t>102909</t>
  </si>
  <si>
    <t>UNIDADE DOSADORA AIRLESS TIPO HOT SPRAY - MATERIAIS NA OPERAÇÃO. AF_04/2019</t>
  </si>
  <si>
    <t>91,88</t>
  </si>
  <si>
    <t>102915</t>
  </si>
  <si>
    <t>ENCERADEIRA INDUSTRIAL, 400 MM, 220V, 1 HP - MATERIAIS NA OPERAÇÃO. AF_08/2019</t>
  </si>
  <si>
    <t>102927</t>
  </si>
  <si>
    <t>SERRA FITA HORIZONTAL, ELÉTRICA, COM CONTROLE HIDRÁULICO, PAINEL DE COMANDO EM 24 V, MOTOR ELÉTRICO 1,5 CV, DIMENSÕES DA FITA 3880 X 27 X 0,9 MM, TRIFÁSICA - MATERIAIS NA OPERAÇÃO. AF_08/2019</t>
  </si>
  <si>
    <t>102933</t>
  </si>
  <si>
    <t>FURADEIRA ELETROMAGNÉTICA, VELOCIDADE (SEM CARGA/ COM CARGA) 450/ 270 RPM, ESPESSURA MÁXIMA DA CHAPA A SER FURADA 50 MM, PORÇA DE ADESÃO MAGNÉTICA 17000 N, POTÊNCIA 1100 W, ALIMENTÇÃO 220 - 60 HZ, MONOFÁSICA - MATERIAIS NA OPERAÇÃO. AF_08/2019</t>
  </si>
  <si>
    <t>0,87</t>
  </si>
  <si>
    <t>102939</t>
  </si>
  <si>
    <t>MÁQUINA METALEIRA UNIVERSAL MODELO IW 110/180 BTD - MATERIAIS NA OPERAÇÃO. AF_08/2019</t>
  </si>
  <si>
    <t>102945</t>
  </si>
  <si>
    <t>TARTARUGA DE OXICORTE CG1, MONOFÁSICA, 220 V, FREQUÊNCIA 50 HZ, VELOCIDADE DE CORTE (MM/MIN) 50 A 750, DIÂMETRO MÍNIMO DO COMPASSO MM 200 - MATERIAIS NA OPERAÇÃO. AF_08/2019</t>
  </si>
  <si>
    <t>102951</t>
  </si>
  <si>
    <t>BETONEIRA CAPACIDADE NOMINAL DE 250 L, CAPACIDADE DE MISTURA DE 175 L, MOTOR ELÉTRICO MONOFÁSICO POTÊNCIA 1CV - MATERIAIS NA OPERAÇÃO. AF_08/2019</t>
  </si>
  <si>
    <t>102957</t>
  </si>
  <si>
    <t>RETROESCAVADEIRA SOBRE RODAS COM CARREGADEIRA , PESO OPERACIONAL MÍN. 6,674, POTÊNCIA LÍQ 88 HP, COM MARTELO ROMPEDOR HIDRÁULICO ENTRE  275 A 362 KG - MATERIAIS NA OPERAÇÃO. AF_02/2021</t>
  </si>
  <si>
    <t>43,58</t>
  </si>
  <si>
    <t>102963</t>
  </si>
  <si>
    <t>PERFURATRIZ HIDRÁULICA SOBRE ESTEIRA, TORQUE MÁXIMO 98 KNM, PROFUNDIDADE MÁXIMA 25 M, DIÂMETRO MÁXIMO 115 MM, POTÊNCIA MOTOR 190 HP - MATERIAIS NA OPERAÇÃO. AF_02/2021</t>
  </si>
  <si>
    <t>102969</t>
  </si>
  <si>
    <t>COMPRESSOR DE AR, VAZAO DE 10 PCM, RESERVATORIO 100 L, PRESSAO DE TRABALHO ENTRE 6,9 E 9,7 BAR, POTENCIA 2 HP, TENSAO 110/220 V - MATERIAIS NA OPERAÇÃO. AF_05/2017'</t>
  </si>
  <si>
    <t>102985</t>
  </si>
  <si>
    <t>MÁQUINA DEMARCADORA DE FAIXA DE TRÁFEGO À FRIO, TRAÇÃO MANUAL, 4 CV, PRESSÃO MAX 3300 PSI, TANQUE 20 L - MATERIAIS NA OPERAÇÃO. AF_06/2021</t>
  </si>
  <si>
    <t>103156</t>
  </si>
  <si>
    <t>MÁQUINA PARA SOLDA POR ELETROFUSÃO PARA TUBOS DE POLIETILENO DE ALTA DENSIDADE (PEAD) COM DIÂMETRO EXTERNO DE 20 A 800 MM, POTÊNCIA ENTRE 2750 E 3000 W - MATERIAIS NA OPERAÇÃO. AF_10/2021</t>
  </si>
  <si>
    <t>2,23</t>
  </si>
  <si>
    <t>103162</t>
  </si>
  <si>
    <t>MÁQUINA PARA SOLDA POR ELETROFUSÃO PARA TUBOS DE POLIETILENO DE ALTA DENSIDADE (PEAD) COM DIÂMETRO EXTERNO DE 20 A 1600 MM, POTÊNCIA DE 3500 W - MATERIAIS NA OPERAÇÃO. AF_10/2021</t>
  </si>
  <si>
    <t>2,79</t>
  </si>
  <si>
    <t>103168</t>
  </si>
  <si>
    <t>MÁQUINA PARA SOLDA POR TERMOFUSÃO PARA TUBOS DE POLIETILENO DE ALTA DENSIDADE (PEAD) COM DIÂMETRO EXTERNO DE 90 A 315 MM, POTÊNCIA ENTRE 2500 E 5350 W - MATERIAIS NA OPERAÇÃO. AF_10/2021</t>
  </si>
  <si>
    <t>103174</t>
  </si>
  <si>
    <t>MÁQUINA PARA SOLDA POR TERMOFUSÃO PARA TUBOS DE POLIETILENO DE ALTA DENSIDADE (PEAD) COM DIÂMETRO EXTERNO DE 315 A 630 MM, POTÊNCIA ENTRE 8000 E 12350 W - MATERIAIS NA OPERAÇÃO. AF_10/2021</t>
  </si>
  <si>
    <t>103180</t>
  </si>
  <si>
    <t>MÁQUINA PARA SOLDA POR TERMOFUSÃO PARA TUBOS DE POLIETILENO DE ALTA DENSIDADE (PEAD) COM DIÂMETRO EXTERNO DE 710 A 1200 MM, POTÊNCIA ENTRE 16000 E 29500 W - MATERIAIS NA OPERAÇÃO. AF_10/2021</t>
  </si>
  <si>
    <t>18,37</t>
  </si>
  <si>
    <t>103223</t>
  </si>
  <si>
    <t>PERFURATRIZ PARA FURO DIRECIONAL HORIZONTAL (HDD) COM CAPACIDADE ATÉ 89 KN, POTÊNCIA 24,8 HP A 80 HP (INCLUSO FERRAMENTAS E LOCALIZADOR) - MATERIAIS NA OPERAÇÃO. AF_11/2021</t>
  </si>
  <si>
    <t>29,96</t>
  </si>
  <si>
    <t>103229</t>
  </si>
  <si>
    <t>PERFURATRIZ PARA FURO DIRECIONAL HORIZONTAL (HDD) COM CAPACIDADE DE 90 KN A 200 KN, POTÊNCIA 100 HP A 160 HP (INCLUSO FERRAMENTAS E LOCALIZADOR) - MATERIAIS NA OPERAÇÃO. AF_11/2021</t>
  </si>
  <si>
    <t>74,33</t>
  </si>
  <si>
    <t>103235</t>
  </si>
  <si>
    <t>PERFURATRIZ PARA FURO DIRECIONAL HORIZONTAL (HDD) COM CAPACIDADE DE 201 KN A 560 KN, POTÊNCIA 200 HP A 260 HP (INCLUSO FERRAMENTAS E LOCALIZADOR) - MATERIAIS NA OPERAÇÃO. AF_11/2021</t>
  </si>
  <si>
    <t>131,52</t>
  </si>
  <si>
    <t>103241</t>
  </si>
  <si>
    <t>MISTURADOR PARA PREPARO DE LAMA ESTABILIZANTE COM CAPACIDADE DE *4000* L, COM BOMBA CENTRÍFUGA 5,5 HP A 23,07 HP, PARA SISTEMA DE FURO DIRECIONAL - MATERIAIS NA OPERAÇÃO. AF_11/2021</t>
  </si>
  <si>
    <t>8,51</t>
  </si>
  <si>
    <t>92259</t>
  </si>
  <si>
    <t>INSTALAÇÃO DE TESOURA (INTEIRA OU MEIA), BIAPOIADA, EM MADEIRA NÃO APARELHADA, PARA VÃOS MAIORES OU IGUAIS A 3,0 M E MENORES QUE 6,0 M, INCLUSO IÇAMENTO. AF_07/2019</t>
  </si>
  <si>
    <t>486,55</t>
  </si>
  <si>
    <t>92260</t>
  </si>
  <si>
    <t>INSTALAÇÃO DE TESOURA (INTEIRA OU MEIA), BIAPOIADA, EM MADEIRA NÃO APARELHADA, PARA VÃOS MAIORES OU IGUAIS A 6,0 M E MENORES QUE 8,0 M, INCLUSO IÇAMENTO. AF_07/2019</t>
  </si>
  <si>
    <t>546,64</t>
  </si>
  <si>
    <t>92261</t>
  </si>
  <si>
    <t>INSTALAÇÃO DE TESOURA (INTEIRA OU MEIA), BIAPOIADA, EM MADEIRA NÃO APARELHADA, PARA VÃOS MAIORES OU IGUAIS A 8,0 M E MENORES QUE 10,0 M, INCLUSO IÇAMENTO. AF_07/2019</t>
  </si>
  <si>
    <t>604,89</t>
  </si>
  <si>
    <t>92262</t>
  </si>
  <si>
    <t>INSTALAÇÃO DE TESOURA (INTEIRA OU MEIA), BIAPOIADA, EM MADEIRA NÃO APARELHADA, PARA VÃOS MAIORES OU IGUAIS A 10,0 M E MENORES QUE 12,0 M, INCLUSO IÇAMENTO. AF_07/2019</t>
  </si>
  <si>
    <t>698,69</t>
  </si>
  <si>
    <t>92539</t>
  </si>
  <si>
    <t>TRAMA DE MADEIRA COMPOSTA POR RIPAS, CAIBROS E TERÇAS PARA TELHADOS DE ATÉ 2 ÁGUAS PARA TELHA DE ENCAIXE DE CERÂMICA OU DE CONCRETO, INCLUSO TRANSPORTE VERTICAL. AF_07/2019</t>
  </si>
  <si>
    <t>78,81</t>
  </si>
  <si>
    <t>92540</t>
  </si>
  <si>
    <t>TRAMA DE MADEIRA COMPOSTA POR RIPAS, CAIBROS E TERÇAS PARA TELHADOS DE MAIS QUE 2 ÁGUAS PARA TELHA DE ENCAIXE DE CERÂMICA OU DE CONCRETO, INCLUSO TRANSPORTE VERTICAL. AF_07/2019</t>
  </si>
  <si>
    <t>87,83</t>
  </si>
  <si>
    <t>92541</t>
  </si>
  <si>
    <t>TRAMA DE MADEIRA COMPOSTA POR RIPAS, CAIBROS E TERÇAS PARA TELHADOS DE ATÉ 2 ÁGUAS PARA TELHA CERÂMICA CAPA-CANAL, INCLUSO TRANSPORTE VERTICAL. AF_07/2019</t>
  </si>
  <si>
    <t>84,92</t>
  </si>
  <si>
    <t>92542</t>
  </si>
  <si>
    <t>TRAMA DE MADEIRA COMPOSTA POR RIPAS, CAIBROS E TERÇAS PARA TELHADOS DE MAIS QUE 2 ÁGUAS PARA TELHA CERÂMICA CAPA-CANAL, INCLUSO TRANSPORTE VERTICAL. AF_07/2019</t>
  </si>
  <si>
    <t>102,45</t>
  </si>
  <si>
    <t>92543</t>
  </si>
  <si>
    <t>TRAMA DE MADEIRA COMPOSTA POR TERÇAS PARA TELHADOS DE ATÉ 2 ÁGUAS PARA TELHA ONDULADA DE FIBROCIMENTO, METÁLICA, PLÁSTICA OU TERMOACÚSTICA, INCLUSO TRANSPORTE VERTICAL. AF_07/2019</t>
  </si>
  <si>
    <t>23,66</t>
  </si>
  <si>
    <t>92544</t>
  </si>
  <si>
    <t>TRAMA DE MADEIRA COMPOSTA POR TERÇAS PARA TELHADOS DE ATÉ 2 ÁGUAS PARA TELHA ESTRUTURAL DE FIBROCIMENTO, INCLUSO TRANSPORTE VERTICAL. AF_07/2019</t>
  </si>
  <si>
    <t>18,80</t>
  </si>
  <si>
    <t>92545</t>
  </si>
  <si>
    <t>FABRICAÇÃO E INSTALAÇÃO DE TESOURA INTEIRA EM MADEIRA NÃO APARELHADA, VÃO DE 3 M, PARA TELHA CERÂMICA OU DE CONCRETO, INCLUSO IÇAMENTO. AF_07/2019</t>
  </si>
  <si>
    <t>1.049,18</t>
  </si>
  <si>
    <t>92546</t>
  </si>
  <si>
    <t>FABRICAÇÃO E INSTALAÇÃO DE TESOURA INTEIRA EM MADEIRA NÃO APARELHADA, VÃO DE 4 M, PARA TELHA CERÂMICA OU DE CONCRETO, INCLUSO IÇAMENTO. AF_07/2019</t>
  </si>
  <si>
    <t>1.281,03</t>
  </si>
  <si>
    <t>92547</t>
  </si>
  <si>
    <t>FABRICAÇÃO E INSTALAÇÃO DE TESOURA INTEIRA EM MADEIRA NÃO APARELHADA, VÃO DE 5 M, PARA TELHA CERÂMICA OU DE CONCRETO, INCLUSO IÇAMENTO. AF_07/2019</t>
  </si>
  <si>
    <t>1.356,96</t>
  </si>
  <si>
    <t>92548</t>
  </si>
  <si>
    <t>FABRICAÇÃO E INSTALAÇÃO DE TESOURA INTEIRA EM MADEIRA NÃO APARELHADA, VÃO DE 6 M, PARA TELHA CERÂMICA OU DE CONCRETO, INCLUSO IÇAMENTO. AF_07/2019</t>
  </si>
  <si>
    <t>1.507,35</t>
  </si>
  <si>
    <t>92549</t>
  </si>
  <si>
    <t>FABRICAÇÃO E INSTALAÇÃO DE TESOURA INTEIRA EM MADEIRA NÃO APARELHADA, VÃO DE 7 M, PARA TELHA CERÂMICA OU DE CONCRETO, INCLUSO IÇAMENTO. AF_07/2019</t>
  </si>
  <si>
    <t>1.869,84</t>
  </si>
  <si>
    <t>92550</t>
  </si>
  <si>
    <t>FABRICAÇÃO E INSTALAÇÃO DE TESOURA INTEIRA EM MADEIRA NÃO APARELHADA, VÃO DE 8 M, PARA TELHA CERÂMICA OU DE CONCRETO, INCLUSO IÇAMENTO. AF_07/2019</t>
  </si>
  <si>
    <t>2.323,38</t>
  </si>
  <si>
    <t>92551</t>
  </si>
  <si>
    <t>FABRICAÇÃO E INSTALAÇÃO DE TESOURA INTEIRA EM MADEIRA NÃO APARELHADA, VÃO DE 9 M, PARA TELHA CERÂMICA OU DE CONCRETO, INCLUSO IÇAMENTO. AF_07/2019</t>
  </si>
  <si>
    <t>2.420,55</t>
  </si>
  <si>
    <t>92552</t>
  </si>
  <si>
    <t>FABRICAÇÃO E INSTALAÇÃO DE TESOURA INTEIRA EM MADEIRA NÃO APARELHADA, VÃO DE 10 M, PARA TELHA CERÂMICA OU DE CONCRETO, INCLUSO IÇAMENTO. AF_07/2019</t>
  </si>
  <si>
    <t>2.625,91</t>
  </si>
  <si>
    <t>92553</t>
  </si>
  <si>
    <t>FABRICAÇÃO E INSTALAÇÃO DE TESOURA INTEIRA EM MADEIRA NÃO APARELHADA, VÃO DE 11 M, PARA TELHA CERÂMICA OU DE CONCRETO, INCLUSO IÇAMENTO. AF_07/2019</t>
  </si>
  <si>
    <t>3.000,74</t>
  </si>
  <si>
    <t>92554</t>
  </si>
  <si>
    <t>FABRICAÇÃO E INSTALAÇÃO DE TESOURA INTEIRA EM MADEIRA NÃO APARELHADA, VÃO DE 12 M, PARA TELHA CERÂMICA OU DE CONCRETO, INCLUSO IÇAMENTO. AF_07/2019</t>
  </si>
  <si>
    <t>3.112,00</t>
  </si>
  <si>
    <t>92555</t>
  </si>
  <si>
    <t>FABRICAÇÃO E INSTALAÇÃO DE TESOURA INTEIRA EM MADEIRA NÃO APARELHADA, VÃO DE 3 M, PARA TELHA ONDULADA DE FIBROCIMENTO, METÁLICA, PLÁSTICA OU TERMOACÚSTICA, INCLUSO IÇAMENTO. AF_07/2019</t>
  </si>
  <si>
    <t>1.034,80</t>
  </si>
  <si>
    <t>92556</t>
  </si>
  <si>
    <t>FABRICAÇÃO E INSTALAÇÃO DE TESOURA INTEIRA EM MADEIRA NÃO APARELHADA, VÃO DE 4 M, PARA TELHA ONDULADA DE FIBROCIMENTO, METÁLICA, PLÁSTICA OU TERMOACÚSTICA, INCLUSO IÇAMENTO. AF_07/2019</t>
  </si>
  <si>
    <t>1.255,83</t>
  </si>
  <si>
    <t>92557</t>
  </si>
  <si>
    <t>FABRICAÇÃO E INSTALAÇÃO DE TESOURA INTEIRA EM MADEIRA NÃO APARELHADA, VÃO DE 5 M, PARA TELHA ONDULADA DE FIBROCIMENTO, METÁLICA, PLÁSTICA OU TERMOACÚSTICA, INCLUSO IÇAMENTO. AF_07/2019</t>
  </si>
  <si>
    <t>1.331,76</t>
  </si>
  <si>
    <t>92558</t>
  </si>
  <si>
    <t>FABRICAÇÃO E INSTALAÇÃO DE TESOURA INTEIRA EM MADEIRA NÃO APARELHADA, VÃO DE 6 M, PARA TELHA ONDULADA DE FIBROCIMENTO, METÁLICA, PLÁSTICA OU TERMOACÚSTICA, INCLUSO IÇAMENTO. AF_07/2019</t>
  </si>
  <si>
    <t>1.492,97</t>
  </si>
  <si>
    <t>92559</t>
  </si>
  <si>
    <t>FABRICAÇÃO E INSTALAÇÃO DE TESOURA INTEIRA EM MADEIRA NÃO APARELHADA, VÃO DE 7 M, PARA TELHA ONDULADA DE FIBROCIMENTO, METÁLICA, PLÁSTICA OU TERMOACÚSTICA, INCLUSO IÇAMENTO. AF_07/2019</t>
  </si>
  <si>
    <t>1.843,06</t>
  </si>
  <si>
    <t>92560</t>
  </si>
  <si>
    <t>FABRICAÇÃO E INSTALAÇÃO DE TESOURA INTEIRA EM MADEIRA NÃO APARELHADA, VÃO DE 8 M, PARA TELHA ONDULADA DE FIBROCIMENTO, METÁLICA, PLÁSTICA OU TERMOACÚSTICA, INCLUSO IÇAMENTO. AF_07/2019</t>
  </si>
  <si>
    <t>2.286,91</t>
  </si>
  <si>
    <t>92561</t>
  </si>
  <si>
    <t>FABRICAÇÃO E INSTALAÇÃO DE TESOURA INTEIRA EM MADEIRA NÃO APARELHADA, VÃO DE 9 M, PARA TELHA ONDULADA DE FIBROCIMENTO, METÁLICA, PLÁSTICA OU TERMOACÚSTICA, INCLUSO IÇAMENTO. AF_07/2019</t>
  </si>
  <si>
    <t>2.385,07</t>
  </si>
  <si>
    <t>92562</t>
  </si>
  <si>
    <t>FABRICAÇÃO E INSTALAÇÃO DE TESOURA INTEIRA EM MADEIRA NÃO APARELHADA, VÃO DE 10 M, PARA TELHA ONDULADA DE FIBROCIMENTO, METÁLICA, PLÁSTICA OU TERMOACÚSTICA, INCLUSO IÇAMENTO. AF_07/2019</t>
  </si>
  <si>
    <t>2.565,23</t>
  </si>
  <si>
    <t>92563</t>
  </si>
  <si>
    <t>FABRICAÇÃO E INSTALAÇÃO DE TESOURA INTEIRA EM MADEIRA NÃO APARELHADA, VÃO DE 11 M, PARA TELHA ONDULADA DE FIBROCIMENTO, METÁLICA, PLÁSTICA OU TERMOACÚSTICA, INCLUSO IÇAMENTO. AF_07/2019</t>
  </si>
  <si>
    <t>2.929,78</t>
  </si>
  <si>
    <t>92564</t>
  </si>
  <si>
    <t>FABRICAÇÃO E INSTALAÇÃO DE TESOURA INTEIRA EM MADEIRA NÃO APARELHADA, VÃO DE 12 M, PARA TELHA ONDULADA DE FIBROCIMENTO, METÁLICA, PLÁSTICA OU TERMOACÚSTICA, INCLUSO IÇAMENTO. AF_07/2019</t>
  </si>
  <si>
    <t>3.025,08</t>
  </si>
  <si>
    <t>92565</t>
  </si>
  <si>
    <t>FABRICAÇÃO E INSTALAÇÃO DE ESTRUTURA PONTALETADA DE MADEIRA NÃO APARELHADA PARA TELHADOS COM ATÉ 2 ÁGUAS E PARA TELHA CERÂMICA OU DE CONCRETO, INCLUSO TRANSPORTE VERTICAL. AF_12/2015</t>
  </si>
  <si>
    <t>39,94</t>
  </si>
  <si>
    <t>92566</t>
  </si>
  <si>
    <t>FABRICAÇÃO E INSTALAÇÃO DE ESTRUTURA PONTALETADA DE MADEIRA NÃO APARELHADA PARA TELHADOS COM ATÉ 2 ÁGUAS E PARA TELHA ONDULADA DE FIBROCIMENTO, METÁLICA, PLÁSTICA OU TERMOACÚSTICA, INCLUSO TRANSPORTE VERTICAL. AF_12/2015</t>
  </si>
  <si>
    <t>24,74</t>
  </si>
  <si>
    <t>92567</t>
  </si>
  <si>
    <t>FABRICAÇÃO E INSTALAÇÃO DE ESTRUTURA PONTALETADA DE MADEIRA NÃO APARELHADA PARA TELHADOS COM MAIS QUE 2 ÁGUAS E PARA TELHA CERÂMICA OU DE CONCRETO, INCLUSO TRANSPORTE VERTICAL. AF_12/2015</t>
  </si>
  <si>
    <t>36,19</t>
  </si>
  <si>
    <t>100379</t>
  </si>
  <si>
    <t>FABRICAÇÃO E INSTALAÇÃO DE PONTALETES DE MADEIRA NÃO APARELHADA PARA TELHADOS COM ATÉ 2 ÁGUAS E COM TELHA CERÂMICA OU DE CONCRETO EM EDIFÍCIO RESIDENCIAL TÉRREO, INCLUSO TRANSPORTE VERTICAL. AF_07/2019</t>
  </si>
  <si>
    <t>100380</t>
  </si>
  <si>
    <t>FABRICAÇÃO E INSTALAÇÃO DE PONTALETES DE MADEIRA NÃO APARELHADA PARA TELHADOS COM ATÉ 2 ÁGUAS E COM TELHA CERÂMICA OU DE CONCRETO EM EDIFÍCIO RESIDENCIAL DE MÚLTIPLOS PAVIMENTOS, INCLUSO TRANSPORTE VERTICAL. AF_07/2019</t>
  </si>
  <si>
    <t>51,99</t>
  </si>
  <si>
    <t>100381</t>
  </si>
  <si>
    <t>FABRICAÇÃO E INSTALAÇÃO DE PONTALETES DE MADEIRA NÃO APARELHADA PARA TELHADOS COM ATÉ 2 ÁGUAS E COM TELHA CERÂMICA OU DE CONCRETO EM EDIFÍCIO INSTITUCIONAL TÉRREO, INCLUSO TRANSPORTE VERTICAL. AF_07/2019</t>
  </si>
  <si>
    <t>57,67</t>
  </si>
  <si>
    <t>100383</t>
  </si>
  <si>
    <t>FABRICAÇÃO E INSTALAÇÃO DE PONTALETES DE MADEIRA NÃO APARELHADA PARA TELHADOS COM ATÉ 2 ÁGUAS E COM TELHA ONDULADA DE FIBROCIMENTO, ALUMÍNIO OU PLÁSTICA EM EDIFÍCIO RESIDENCIAL DE MÚLTIPLOS PAVIMENTOS, INCLUSO TRANSPORTE VERTICAL. AF_07/2019</t>
  </si>
  <si>
    <t>26,82</t>
  </si>
  <si>
    <t>100384</t>
  </si>
  <si>
    <t>FABRICAÇÃO E INSTALAÇÃO DE PONTALETES DE MADEIRA NÃO APARELHADA PARA TELHADOS COM ATÉ 2 ÁGUAS E COM TELHA ONDULADA DE FIBROCIMENTO, ALUMÍNIO OU PLÁSTICA EM EDIFÍCIO INSTITUCIONAL TÉRREO, INCLUSO TRANSPORTE VERTICAL. AF_07/2019</t>
  </si>
  <si>
    <t>27,92</t>
  </si>
  <si>
    <t>100385</t>
  </si>
  <si>
    <t>FABRICAÇÃO E INSTALAÇÃO DE PONTALETES DE MADEIRA NÃO APARELHADA PARA TELHADOS COM MAIS QUE 2 ÁGUAS E COM TELHA CERÂMICA OU DE CONCRETO EM EDIFÍCIO RESIDENCIAL TÉRREO, INCLUSO TRANSPORTE VERTICAL. AF_07/2019</t>
  </si>
  <si>
    <t>100386</t>
  </si>
  <si>
    <t>FABRICAÇÃO E INSTALAÇÃO DE PONTALETES DE MADEIRA NÃO APARELHADA PARA TELHADOS COM MAIS QUE 2 ÁGUAS E COM TELHA CERÂMICA OU DE CONCRETO EM EDIFÍCIO RESIDENCIAL DE MÚLTIPLOS PAVIMENTOS. AF_07/2019</t>
  </si>
  <si>
    <t>45,86</t>
  </si>
  <si>
    <t>100387</t>
  </si>
  <si>
    <t>FABRICAÇÃO E INSTALAÇÃO DE PONTALETES DE MADEIRA NÃO APARELHADA PARA TELHADOS COM MAIS QUE 2 ÁGUAS E COM TELHA CERÂMICA OU DE CONCRETO EM EDIFÍCIO INSTITUCIONAL TÉRREO, INCLUSO TRANSPORTE VERTICAL. AF_07/2019</t>
  </si>
  <si>
    <t>55,36</t>
  </si>
  <si>
    <t>100388</t>
  </si>
  <si>
    <t>RETIRADA E RECOLOCAÇÃO DE RIPA EM TELHADOS DE ATÉ 2 ÁGUAS COM TELHA CERÂMICA OU DE CONCRETO DE ENCAIXE, INCLUSO TRANSPORTE VERTICAL. AF_07/2019</t>
  </si>
  <si>
    <t>19,44</t>
  </si>
  <si>
    <t>100389</t>
  </si>
  <si>
    <t>RETIRADA E RECOLOCAÇÃO DE CAIBRO EM TELHADOS DE ATÉ 2 ÁGUAS COM TELHA CERÂMICA OU DE CONCRETO DE ENCAIXE, INCLUSO TRANSPORTE VERTICAL. AF_07/2019</t>
  </si>
  <si>
    <t>17,31</t>
  </si>
  <si>
    <t>100390</t>
  </si>
  <si>
    <t>RETIRADA E RECOLOCAÇÃO DE RIPA EM TELHADOS DE MAIS DE 2 ÁGUAS COM TELHA CERÂMICA OU DE CONCRETO DE ENCAIXE, INCLUSO TRANSPORTE VERTICAL. AF_07/2019</t>
  </si>
  <si>
    <t>22,99</t>
  </si>
  <si>
    <t>100391</t>
  </si>
  <si>
    <t>RETIRADA E RECOLOCAÇÃO DE CAIBRO EM TELHADOS DE MAIS DE 2 ÁGUAS COM TELHA CERÂMICA OU DE CONCRETO DE ENCAIXE, INCLUSO TRANSPORTE VERTICAL. AF_07/2019</t>
  </si>
  <si>
    <t>19,63</t>
  </si>
  <si>
    <t>100392</t>
  </si>
  <si>
    <t>RETIRADA E RECOLOCAÇÃO DE RIPA EM TELHADOS DE ATÉ 2 ÁGUAS COM TELHA CERÂMICA CAPA-CANAL, INCLUSO TRANSPORTE VERTICAL. AF_07/2019</t>
  </si>
  <si>
    <t>15,38</t>
  </si>
  <si>
    <t>100393</t>
  </si>
  <si>
    <t>RETIRADA E RECOLOCAÇÃO DE CAIBRO EM TELHADOS DE ATÉ 2 ÁGUAS COM TELHA CERÂMICA CAPA-CANAL, INCLUSO TRANSPORTE VERTICAL. AF_07/2019</t>
  </si>
  <si>
    <t>19,74</t>
  </si>
  <si>
    <t>100394</t>
  </si>
  <si>
    <t>RETIRADA E RECOLOCAÇÃO DE RIPA EM TELHADOS DE MAIS DE 2 ÁGUAS COM TELHA CERÂMICA CAPA-CANAL, INCLUSO TRANSPORTE VERTICAL. AF_07/2019</t>
  </si>
  <si>
    <t>18,16</t>
  </si>
  <si>
    <t>100395</t>
  </si>
  <si>
    <t>RETIRADA E RECOLOCAÇÃO DE CAIBRO EM TELHADOS DE MAIS DE 2 ÁGUAS COM TELHA CERÂMICA CAPA-CANAL, INCLUSO TRANSPORTE VERTICAL. AF_07/2019</t>
  </si>
  <si>
    <t>23,30</t>
  </si>
  <si>
    <t>94189</t>
  </si>
  <si>
    <t>TELHAMENTO COM TELHA DE CONCRETO DE ENCAIXE, COM ATÉ 2 ÁGUAS, INCLUSO TRANSPORTE VERTICAL. AF_07/2019</t>
  </si>
  <si>
    <t>28,43</t>
  </si>
  <si>
    <t>94192</t>
  </si>
  <si>
    <t>TELHAMENTO COM TELHA DE CONCRETO DE ENCAIXE, COM MAIS DE 2 ÁGUAS, INCLUSO TRANSPORTE VERTICAL. AF_07/2019</t>
  </si>
  <si>
    <t>30,64</t>
  </si>
  <si>
    <t>94195</t>
  </si>
  <si>
    <t>TELHAMENTO COM TELHA CERÂMICA DE ENCAIXE, TIPO PORTUGUESA, COM ATÉ 2 ÁGUAS, INCLUSO TRANSPORTE VERTICAL. AF_07/2019</t>
  </si>
  <si>
    <t>23,34</t>
  </si>
  <si>
    <t>94198</t>
  </si>
  <si>
    <t>TELHAMENTO COM TELHA CERÂMICA DE ENCAIXE, TIPO PORTUGUESA, COM MAIS DE 2 ÁGUAS, INCLUSO TRANSPORTE VERTICAL. AF_07/2019</t>
  </si>
  <si>
    <t>26,26</t>
  </si>
  <si>
    <t>94201</t>
  </si>
  <si>
    <t>TELHAMENTO COM TELHA CERÂMICA CAPA-CANAL, TIPO COLONIAL, COM ATÉ 2 ÁGUAS, INCLUSO TRANSPORTE VERTICAL. AF_07/2019</t>
  </si>
  <si>
    <t>33,81</t>
  </si>
  <si>
    <t>94204</t>
  </si>
  <si>
    <t>TELHAMENTO COM TELHA CERÂMICA CAPA-CANAL, TIPO COLONIAL, COM MAIS DE 2 ÁGUAS, INCLUSO TRANSPORTE VERTICAL. AF_07/2019</t>
  </si>
  <si>
    <t>38,80</t>
  </si>
  <si>
    <t>94224</t>
  </si>
  <si>
    <t>EMBOÇAMENTO COM ARGAMASSA TRAÇO 1:2:9 (CIMENTO, CAL E AREIA). AF_07/2019</t>
  </si>
  <si>
    <t>21,72</t>
  </si>
  <si>
    <t>94226</t>
  </si>
  <si>
    <t>SUBCOBERTURA COM MANTA PLÁSTICA REVESTIDA POR PELÍCULA DE ALUMÍNO, INCLUSO TRANSPORTE VERTICAL. AF_07/2019</t>
  </si>
  <si>
    <t>18,67</t>
  </si>
  <si>
    <t>94232</t>
  </si>
  <si>
    <t>AMARRAÇÃO DE TELHAS CERÂMICAS OU DE CONCRETO. AF_07/2019</t>
  </si>
  <si>
    <t>2,53</t>
  </si>
  <si>
    <t>94440</t>
  </si>
  <si>
    <t>TELHAMENTO COM TELHA CERÂMICA DE ENCAIXE, TIPO FRANCESA, COM ATÉ 2 ÁGUAS, INCLUSO TRANSPORTE VERTICAL. AF_07/2019</t>
  </si>
  <si>
    <t>94441</t>
  </si>
  <si>
    <t>TELHAMENTO COM TELHA CERÂMICA DE ENCAIXE, TIPO FRANCESA, COM MAIS DE 2 ÁGUAS, INCLUSO TRANSPORTE VERTICAL. AF_07/2019</t>
  </si>
  <si>
    <t>94442</t>
  </si>
  <si>
    <t>TELHAMENTO COM TELHA CERÂMICA DE ENCAIXE, TIPO ROMANA, COM ATÉ 2 ÁGUAS, INCLUSO TRANSPORTE VERTICAL. AF_07/2019</t>
  </si>
  <si>
    <t>94443</t>
  </si>
  <si>
    <t>TELHAMENTO COM TELHA CERÂMICA DE ENCAIXE, TIPO ROMANA, COM MAIS DE 2 ÁGUAS, INCLUSO TRANSPORTE VERTICAL. AF_07/2019</t>
  </si>
  <si>
    <t>94445</t>
  </si>
  <si>
    <t>TELHAMENTO COM TELHA CERÂMICA CAPA-CANAL, TIPO PLAN, COM ATÉ 2 ÁGUAS, INCLUSO TRANSPORTE VERTICAL. AF_07/2019</t>
  </si>
  <si>
    <t>94446</t>
  </si>
  <si>
    <t>TELHAMENTO COM TELHA CERÂMICA CAPA-CANAL, TIPO PLAN, COM MAIS DE 2 ÁGUAS, INCLUSO TRANSPORTE VERTICAL. AF_07/2019</t>
  </si>
  <si>
    <t>94447</t>
  </si>
  <si>
    <t>TELHAMENTO COM TELHA CERÂMICA CAPA-CANAL, TIPO PAULISTA, COM ATÉ 2 ÁGUAS, INCLUSO TRANSPORTE VERTICAL. AF_07/2019</t>
  </si>
  <si>
    <t>94448</t>
  </si>
  <si>
    <t>TELHAMENTO COM TELHA CERÂMICA CAPA-CANAL, TIPO PAULISTA, COM MAIS DE 2 ÁGUAS, INCLUSO TRANSPORTE VERTICAL. AF_07/2019</t>
  </si>
  <si>
    <t>94207</t>
  </si>
  <si>
    <t>TELHAMENTO COM TELHA ONDULADA DE FIBROCIMENTO E = 6 MM, COM RECOBRIMENTO LATERAL DE 1/4 DE ONDA PARA TELHADO COM INCLINAÇÃO MAIOR QUE 10°, COM ATÉ 2 ÁGUAS, INCLUSO IÇAMENTO. AF_07/2019</t>
  </si>
  <si>
    <t>48,98</t>
  </si>
  <si>
    <t>94210</t>
  </si>
  <si>
    <t>TELHAMENTO COM TELHA ONDULADA DE FIBROCIMENTO E = 6 MM, COM RECOBRIMENTO LATERAL DE 1 1/4 DE ONDA PARA TELHADO COM INCLINAÇÃO MÁXIMA DE 10°, COM ATÉ 2 ÁGUAS, INCLUSO IÇAMENTO. AF_07/2019</t>
  </si>
  <si>
    <t>51,89</t>
  </si>
  <si>
    <t>94218</t>
  </si>
  <si>
    <t>TELHAMENTO COM TELHA ESTRUTURAL DE FIBROCIMENTO E= 8 MM, COM ATÉ 2 ÁGUAS, INCLUSO IÇAMENTO. AF_07/2019_P</t>
  </si>
  <si>
    <t>125,63</t>
  </si>
  <si>
    <t>94213</t>
  </si>
  <si>
    <t>TELHAMENTO COM TELHA DE AÇO/ALUMÍNIO E = 0,5 MM, COM ATÉ 2 ÁGUAS, INCLUSO IÇAMENTO. AF_07/2019</t>
  </si>
  <si>
    <t>98,19</t>
  </si>
  <si>
    <t>94216</t>
  </si>
  <si>
    <t>TELHAMENTO COM TELHA METÁLICA TERMOACÚSTICA E = 30 MM, COM ATÉ 2 ÁGUAS, INCLUSO IÇAMENTO. AF_07/2019</t>
  </si>
  <si>
    <t>289,02</t>
  </si>
  <si>
    <t>94219</t>
  </si>
  <si>
    <t>CUMEEIRA E ESPIGÃO PARA TELHA CERÂMICA EMBOÇADA COM ARGAMASSA TRAÇO 1:2:9 (CIMENTO, CAL E AREIA), PARA TELHADOS COM MAIS DE 2 ÁGUAS, INCLUSO TRANSPORTE VERTICAL. AF_07/2019</t>
  </si>
  <si>
    <t>24,56</t>
  </si>
  <si>
    <t>94220</t>
  </si>
  <si>
    <t>CUMEEIRA E ESPIGÃO PARA TELHA DE CONCRETO EMBOÇADA COM ARGAMASSA TRAÇO 1:2:9 (CIMENTO, CAL E AREIA), PARA TELHADOS COM MAIS DE 2 ÁGUAS, INCLUSO TRANSPORTE VERTICAL. AF_07/2019</t>
  </si>
  <si>
    <t>41,00</t>
  </si>
  <si>
    <t>94221</t>
  </si>
  <si>
    <t>CUMEEIRA PARA TELHA CERÂMICA EMBOÇADA COM ARGAMASSA TRAÇO 1:2:9 (CIMENTO, CAL E AREIA) PARA TELHADOS COM ATÉ 2 ÁGUAS, INCLUSO TRANSPORTE VERTICAL. AF_07/2019</t>
  </si>
  <si>
    <t>18,78</t>
  </si>
  <si>
    <t>94222</t>
  </si>
  <si>
    <t>CUMEEIRA PARA TELHA DE CONCRETO EMBOÇADA COM ARGAMASSA TRAÇO 1:2:9 (CIMENTO, CAL E AREIA) PARA TELHADOS COM ATÉ 2 ÁGUAS, INCLUSO TRANSPORTE VERTICAL. AF_07/2019</t>
  </si>
  <si>
    <t>35,22</t>
  </si>
  <si>
    <t>94223</t>
  </si>
  <si>
    <t>CUMEEIRA PARA TELHA DE FIBROCIMENTO ONDULADA E = 6 MM, INCLUSO ACESSÓRIOS DE FIXAÇÃO E IÇAMENTO. AF_07/2019</t>
  </si>
  <si>
    <t>87,62</t>
  </si>
  <si>
    <t>94451</t>
  </si>
  <si>
    <t>CUMEEIRA PARA TELHA DE FIBROCIMENTO ESTRUTURAL E = 6 MM, INCLUSO ACESSÓRIOS DE FIXAÇÃO E IÇAMENTO. AF_07/2019</t>
  </si>
  <si>
    <t>97,32</t>
  </si>
  <si>
    <t>100325</t>
  </si>
  <si>
    <t>CUMEEIRA SHED PARA TELHA ONDULADA DE FIBROCIMENTO, E = 6 MM, INCLUSO ACESSÓRIOS DE FIXAÇÃO E IÇAMENTO. AF_07/2019</t>
  </si>
  <si>
    <t>94,82</t>
  </si>
  <si>
    <t>100327</t>
  </si>
  <si>
    <t>RUFO EXTERNO/INTERNO EM CHAPA DE AÇO GALVANIZADO NÚMERO 26, CORTE DE 33 CM, INCLUSO IÇAMENTO. AF_07/2019</t>
  </si>
  <si>
    <t>69,60</t>
  </si>
  <si>
    <t>100328</t>
  </si>
  <si>
    <t>RETIRADA E RECOLOCAÇÃO DE  TELHA CERÂMICA DE ENCAIXE, COM ATÉ DUAS ÁGUAS, INCLUSO IÇAMENTO. AF_07/2019</t>
  </si>
  <si>
    <t>100329</t>
  </si>
  <si>
    <t>RETIRADA E RECOLOCAÇÃO DE  TELHA CERÂMICA DE ENCAIXE, COM MAIS DE DUAS ÁGUAS, INCLUSO IÇAMENTO. AF_07/2019</t>
  </si>
  <si>
    <t>13,29</t>
  </si>
  <si>
    <t>100330</t>
  </si>
  <si>
    <t>RETIRADA E RECOLOCAÇÃO DE  TELHA CERÂMICA CAPA-CANAL, COM ATÉ DUAS ÁGUAS, INCLUSO IÇAMENTO. AF_07/2019</t>
  </si>
  <si>
    <t>14,05</t>
  </si>
  <si>
    <t>100331</t>
  </si>
  <si>
    <t>RETIRADA E RECOLOCAÇÃO DE  TELHA CERÂMICA CAPA-CANAL, COM MAIS DE DUAS ÁGUAS, INCLUSO IÇAMENTO. AF_07/2019</t>
  </si>
  <si>
    <t>19,06</t>
  </si>
  <si>
    <t>100434</t>
  </si>
  <si>
    <t>CALHA DE BEIRAL, SEMICIRCULAR DE PVC, DIAMETRO 125 MM, INCLUINDO CABECEIRAS, EMENDAS, BOCAIS, SUPORTES E VEDAÇÕES, EXCLUINDO CONDUTORES, INCLUSO TRANSPORTE VERTICAL. AF_07/2019</t>
  </si>
  <si>
    <t>71,92</t>
  </si>
  <si>
    <t>100435</t>
  </si>
  <si>
    <t>RUFO EM FIBROCIMENTO PARA TELHA ONDULADA E = 6 MM, ABA DE 26 CM, INCLUSO TRANSPORTE VERTICAL, EXCETO CONTRARRUFO. AF_07/2019</t>
  </si>
  <si>
    <t>63,13</t>
  </si>
  <si>
    <t>94227</t>
  </si>
  <si>
    <t>CALHA EM CHAPA DE AÇO GALVANIZADO NÚMERO 24, DESENVOLVIMENTO DE 33 CM, INCLUSO TRANSPORTE VERTICAL. AF_07/2019</t>
  </si>
  <si>
    <t>79,87</t>
  </si>
  <si>
    <t>94228</t>
  </si>
  <si>
    <t>CALHA EM CHAPA DE AÇO GALVANIZADO NÚMERO 24, DESENVOLVIMENTO DE 50 CM, INCLUSO TRANSPORTE VERTICAL. AF_07/2019</t>
  </si>
  <si>
    <t>107,05</t>
  </si>
  <si>
    <t>94229</t>
  </si>
  <si>
    <t>CALHA EM CHAPA DE AÇO GALVANIZADO NÚMERO 24, DESENVOLVIMENTO DE 100 CM, INCLUSO TRANSPORTE VERTICAL. AF_07/2019</t>
  </si>
  <si>
    <t>207,61</t>
  </si>
  <si>
    <t>94231</t>
  </si>
  <si>
    <t>RUFO EM CHAPA DE AÇO GALVANIZADO NÚMERO 24, CORTE DE 25 CM, INCLUSO TRANSPORTE VERTICAL. AF_07/2019</t>
  </si>
  <si>
    <t>62,60</t>
  </si>
  <si>
    <t>94449</t>
  </si>
  <si>
    <t>TELHAMENTO COM TELHA ONDULADA DE FIBRA DE VIDRO E = 0,6 MM, PARA TELHADO COM INCLINAÇÃO MAIOR QUE 10°, COM ATÉ 2 ÁGUAS, INCLUSO IÇAMENTO. AF_07/2019</t>
  </si>
  <si>
    <t>59,42</t>
  </si>
  <si>
    <t>92255</t>
  </si>
  <si>
    <t>INSTALAÇÃO DE TESOURA (INTEIRA OU MEIA), EM AÇO, PARA VÃOS MAIORES OU IGUAIS A 3,0 M E MENORES QUE 6,0 M, INCLUSO IÇAMENTO. AF_07/2019</t>
  </si>
  <si>
    <t>194,74</t>
  </si>
  <si>
    <t>92256</t>
  </si>
  <si>
    <t>INSTALAÇÃO DE TESOURA (INTEIRA OU MEIA), EM AÇO, PARA VÃOS MAIORES OU IGUAIS A 6,0 M E MENORES QUE 8,0 M, INCLUSO IÇAMENTO. AF_07/2019</t>
  </si>
  <si>
    <t>240,21</t>
  </si>
  <si>
    <t>92257</t>
  </si>
  <si>
    <t>INSTALAÇÃO DE TESOURA (INTEIRA OU MEIA), EM AÇO, PARA VÃOS MAIORES OU IGUAIS A 8,0 M E MENORES QUE 10,0 M, INCLUSO IÇAMENTO. AF_07/2019</t>
  </si>
  <si>
    <t>285,02</t>
  </si>
  <si>
    <t>92258</t>
  </si>
  <si>
    <t>INSTALAÇÃO DE TESOURA (INTEIRA OU MEIA), EM AÇO, PARA VÃOS MAIORES OU IGUAIS A 10,0 M E MENORES QUE 12,0 M, INCLUSO IÇAMENTO. AF_07/2019</t>
  </si>
  <si>
    <t>357,08</t>
  </si>
  <si>
    <t>92568</t>
  </si>
  <si>
    <t>TRAMA DE AÇO COMPOSTA POR RIPAS, CAIBROS E TERÇAS PARA TELHADOS DE ATÉ 2 ÁGUAS PARA TELHA DE ENCAIXE DE CERÂMICA OU DE CONCRETO, INCLUSO TRANSPORTE VERTICAL. AF_07/2019</t>
  </si>
  <si>
    <t>206,76</t>
  </si>
  <si>
    <t>92569</t>
  </si>
  <si>
    <t>TRAMA DE AÇO COMPOSTA POR RIPAS E CAIBROS PARA TELHADOS DE ATÉ 2 ÁGUAS PARA TELHA DE ENCAIXE DE CERÂMICA OU DE CONCRETO, INCLUSO TRANSPORTE VERTICAL. AF_07/2019</t>
  </si>
  <si>
    <t>116,47</t>
  </si>
  <si>
    <t>92570</t>
  </si>
  <si>
    <t>TRAMA DE AÇO COMPOSTA POR RIPAS PARA TELHADOS DE ATÉ 2 ÁGUAS PARA TELHA DE ENCAIXE DE CERÂMICA OU DE CONCRETO, INCLUSO TRANSPORTE VERTICAL. AF_07/2019</t>
  </si>
  <si>
    <t>74,55</t>
  </si>
  <si>
    <t>92571</t>
  </si>
  <si>
    <t>TRAMA DE AÇO COMPOSTA POR RIPAS, CAIBROS E TERÇAS PARA TELHADOS DE MAIS DE 2 ÁGUAS PARA TELHA DE ENCAIXE DE CERÂMICA OU DE CONCRETO, INCLUSO TRANSPORTE VERTICAL. AF_07/2019</t>
  </si>
  <si>
    <t>216,16</t>
  </si>
  <si>
    <t>92572</t>
  </si>
  <si>
    <t>TRAMA DE AÇO COMPOSTA POR RIPAS E CAIBROS PARA TELHADOS DE MAIS DE 2 ÁGUAS PARA TELHA DE ENCAIXE DE CERÂMICA OU DE CONCRETO, INCLUSO TRANSPORTE VERTICAL. AF_07/2019</t>
  </si>
  <si>
    <t>131,34</t>
  </si>
  <si>
    <t>92573</t>
  </si>
  <si>
    <t>TRAMA DE AÇO COMPOSTA POR RIPAS PARA TELHADOS DE MAIS DE 2 ÁGUAS PARA TELHA DE ENCAIXE DE CERÂMICA OU DE CONCRETO, INCLUSO TRANSPORTE VERTICAL, INCLUSO TRANSPORTE VERTICAL. AF_07/2019</t>
  </si>
  <si>
    <t>78,45</t>
  </si>
  <si>
    <t>92574</t>
  </si>
  <si>
    <t>TRAMA DE AÇO COMPOSTA POR RIPAS, CAIBROS E TERÇAS PARA TELHADOS DE ATÉ 2 ÁGUAS PARA TELHA CERÂMICA CAPA-CANAL, INCLUSO TRANSPORTE VERTICAL. AF_07/2019</t>
  </si>
  <si>
    <t>209,65</t>
  </si>
  <si>
    <t>92575</t>
  </si>
  <si>
    <t>TRAMA DE AÇO COMPOSTA POR RIPAS E CAIBROS PARA TELHADOS DE ATÉ 2 ÁGUAS PARA TELHA CERÂMICA CAPA-CANAL, INCLUSO TRANSPORTE VERTICAL. AF_07/2019</t>
  </si>
  <si>
    <t>106,11</t>
  </si>
  <si>
    <t>92576</t>
  </si>
  <si>
    <t>TRAMA DE AÇO COMPOSTA POR RIPAS PARA TELHADOS DE ATÉ 2 ÁGUAS PARA TELHA CERÂMICA CAPA-CANAL, INCLUSO TRANSPORTE VERTICAL. AF_07/2019</t>
  </si>
  <si>
    <t>58,60</t>
  </si>
  <si>
    <t>92577</t>
  </si>
  <si>
    <t>TRAMA DE AÇO COMPOSTA POR RIPAS, CAIBROS E TERÇAS PARA TELHADOS DE MAIS DE 2 ÁGUAS PARA TELHA CERÂMICA CAPA-CANAL, INCLUSO TRANSPORTE VERTICAL. AF_07/2019</t>
  </si>
  <si>
    <t>219,87</t>
  </si>
  <si>
    <t>92578</t>
  </si>
  <si>
    <t>TRAMA DE AÇO COMPOSTA POR RIPAS E CAIBROS PARA TELHADOS DE MAIS DE 2 ÁGUAS PARA TELHA CERÂMICA CAPA-CANAL, INCLUSO TRANSPORTE VERTICAL. AF_07/2019</t>
  </si>
  <si>
    <t>111,73</t>
  </si>
  <si>
    <t>92579</t>
  </si>
  <si>
    <t>TRAMA DE AÇO COMPOSTA POR RIPAS PARA TELHADOS DE MAIS DE 2 ÁGUAS PARA TELHA CERÂMICA CAPA-CANAL, INCLUSO TRANSPORTE VERTICAL. AF_07/2019</t>
  </si>
  <si>
    <t>61,71</t>
  </si>
  <si>
    <t>92580</t>
  </si>
  <si>
    <t>TRAMA DE AÇO COMPOSTA POR TERÇAS PARA TELHADOS DE ATÉ 2 ÁGUAS PARA TELHA ONDULADA DE FIBROCIMENTO, METÁLICA, PLÁSTICA OU TERMOACÚSTICA, INCLUSO TRANSPORTE VERTICAL. AF_07/2019</t>
  </si>
  <si>
    <t>76,53</t>
  </si>
  <si>
    <t>92581</t>
  </si>
  <si>
    <t>TRAMA DE AÇO COMPOSTA POR TERÇAS PARA TELHADOS DE ATÉ 2 ÁGUAS PARA TELHA ESTRUTURAL DE FIBROCIMENTO, INCLUSO TRANSPORTE VERTICAL. AF_07/2019</t>
  </si>
  <si>
    <t>80,47</t>
  </si>
  <si>
    <t>92582</t>
  </si>
  <si>
    <t>FABRICAÇÃO E INSTALAÇÃO DE TESOURA INTEIRA EM AÇO, VÃO DE 3 M, PARA TELHA CERÂMICA OU DE CONCRETO, INCLUSO IÇAMENTO. AF_12/2015</t>
  </si>
  <si>
    <t>1.056,61</t>
  </si>
  <si>
    <t>92584</t>
  </si>
  <si>
    <t>FABRICAÇÃO E INSTALAÇÃO DE TESOURA INTEIRA EM AÇO, VÃO DE 4 M, PARA TELHA CERÂMICA OU DE CONCRETO, INCLUSO IÇAMENTO. AF_12/2015</t>
  </si>
  <si>
    <t>1.265,52</t>
  </si>
  <si>
    <t>92586</t>
  </si>
  <si>
    <t>FABRICAÇÃO E INSTALAÇÃO DE TESOURA INTEIRA EM AÇO, VÃO DE 5 M, PARA TELHA CERÂMICA OU DE CONCRETO, INCLUSO IÇAMENTO. AF_12/2015</t>
  </si>
  <si>
    <t>1.474,42</t>
  </si>
  <si>
    <t>92588</t>
  </si>
  <si>
    <t>FABRICAÇÃO E INSTALAÇÃO DE TESOURA INTEIRA EM AÇO, VÃO DE 6 M, PARA TELHA CERÂMICA OU DE CONCRETO, INCLUSO IÇAMENTO. AF_12/2015</t>
  </si>
  <si>
    <t>1.860,45</t>
  </si>
  <si>
    <t>92590</t>
  </si>
  <si>
    <t>FABRICAÇÃO E INSTALAÇÃO DE TESOURA INTEIRA EM AÇO, VÃO DE 7 M, PARA TELHA CERÂMICA OU DE CONCRETO, INCLUSO IÇAMENTO. AF_12/2015</t>
  </si>
  <si>
    <t>2.069,35</t>
  </si>
  <si>
    <t>92592</t>
  </si>
  <si>
    <t>FABRICAÇÃO E INSTALAÇÃO DE TESOURA INTEIRA EM AÇO, VÃO DE 8 M, PARA TELHA CERÂMICA OU DE CONCRETO, INCLUSO IÇAMENTO. AF_12/2015</t>
  </si>
  <si>
    <t>2.323,07</t>
  </si>
  <si>
    <t>92593</t>
  </si>
  <si>
    <t>(COMPOSIÇÃO REPRESENTATIVA) FABRICAÇÃO E INSTALAÇÃO DE TESOURA INTEIRA EM AÇO, PARA VÃOS DE 3 A 12 M E PARA QUALQUER TIPO DE TELHA, INCLUSO IÇAMENTO. AF_12/2015</t>
  </si>
  <si>
    <t>17,64</t>
  </si>
  <si>
    <t>92594</t>
  </si>
  <si>
    <t>FABRICAÇÃO E INSTALAÇÃO DE TESOURA INTEIRA EM AÇO, VÃO DE 9 M, PARA TELHA CERÂMICA OU DE CONCRETO, INCLUSO IÇAMENTO. AF_12/2015</t>
  </si>
  <si>
    <t>2.716,47</t>
  </si>
  <si>
    <t>92596</t>
  </si>
  <si>
    <t>FABRICAÇÃO E INSTALAÇÃO DE TESOURA INTEIRA EM AÇO, VÃO DE 10 M, PARA TELHA CERÂMICA OU DE CONCRETO, INCLUSO IÇAMENTO. AF_12/2015</t>
  </si>
  <si>
    <t>3.006,39</t>
  </si>
  <si>
    <t>92598</t>
  </si>
  <si>
    <t>FABRICAÇÃO E INSTALAÇÃO DE TESOURA INTEIRA EM AÇO, VÃO DE 11 M, PARA TELHA CERÂMICA OU DE CONCRETO, INCLUSO IÇAMENTO. AF_12/2015</t>
  </si>
  <si>
    <t>3.215,29</t>
  </si>
  <si>
    <t>92600</t>
  </si>
  <si>
    <t>FABRICAÇÃO E INSTALAÇÃO DE TESOURA INTEIRA EM AÇO, VÃO DE 12 M, PARA TELHA CERÂMICA OU DE CONCRETO, INCLUSO IÇAMENTO. AF_12/2015</t>
  </si>
  <si>
    <t>3.477,05</t>
  </si>
  <si>
    <t>92602</t>
  </si>
  <si>
    <t>FABRICAÇÃO E INSTALAÇÃO DE TESOURA INTEIRA EM AÇO, VÃO DE 3 M, PARA TELHA ONDULADA DE FIBROCIMENTO, METÁLICA, PLÁSTICA OU TERMOACÚSTICA, INCLUSO IÇAMENTO.. AF_12/2015</t>
  </si>
  <si>
    <t>92604</t>
  </si>
  <si>
    <t>FABRICAÇÃO E INSTALAÇÃO DE TESOURA INTEIRA EM AÇO, VÃO DE 4 M, PARA TELHA ONDULADA DE FIBROCIMENTO, METÁLICA, PLÁSTICA OU TERMOACÚSTICA, INCLUSO IÇAMENTO. AF_12/2015</t>
  </si>
  <si>
    <t>1.212,67</t>
  </si>
  <si>
    <t>92606</t>
  </si>
  <si>
    <t>FABRICAÇÃO E INSTALAÇÃO DE TESOURA INTEIRA EM AÇO, VÃO DE 5 M, PARA TELHA ONDULADA DE FIBROCIMENTO, METÁLICA, PLÁSTICA OU TERMOACÚSTICA, INCLUSO IÇAMENTO. AF_12/2015</t>
  </si>
  <si>
    <t>1.421,57</t>
  </si>
  <si>
    <t>92608</t>
  </si>
  <si>
    <t>FABRICAÇÃO E INSTALAÇÃO DE TESOURA INTEIRA EM AÇO, VÃO DE 6 M, PARA TELHA ONDULADA DE FIBROCIMENTO, METÁLICA, PLÁSTICA OU TERMOACÚSTICA, INCLUSO IÇAMENTO. AF_12/2015</t>
  </si>
  <si>
    <t>1.754,75</t>
  </si>
  <si>
    <t>92610</t>
  </si>
  <si>
    <t>FABRICAÇÃO E INSTALAÇÃO DE TESOURA INTEIRA EM AÇO, VÃO DE 7 M, PARA TELHA ONDULADA DE FIBROCIMENTO, METÁLICA, PLÁSTICA OU TERMOACÚSTICA, INCLUSO IÇAMENTO. AF_12/2015</t>
  </si>
  <si>
    <t>1.963,65</t>
  </si>
  <si>
    <t>92612</t>
  </si>
  <si>
    <t>FABRICAÇÃO E INSTALAÇÃO DE TESOURA INTEIRA EM AÇO, VÃO DE 8 M, PARA TELHA ONDULADA DE FIBROCIMENTO, METÁLICA, PLÁSTICA OU TERMOACÚSTICA, INCLUSO IÇAMENTO, INCLUSO IÇAMENTO. AF_12/2015</t>
  </si>
  <si>
    <t>2.217,37</t>
  </si>
  <si>
    <t>92614</t>
  </si>
  <si>
    <t>FABRICAÇÃO E INSTALAÇÃO DE TESOURA INTEIRA EM AÇO, VÃO DE 9 M, PARA TELHA ONDULADA DE FIBROCIMENTO, METÁLICA, PLÁSTICA OU TERMOACÚSTICA, INCLUSO IÇAMENTO. AF_12/2015</t>
  </si>
  <si>
    <t>2.505,07</t>
  </si>
  <si>
    <t>92616</t>
  </si>
  <si>
    <t>FABRICAÇÃO E INSTALAÇÃO DE TESOURA INTEIRA EM AÇO, VÃO DE 10 M, PARA TELHA ONDULADA DE FIBROCIMENTO, METÁLICA, PLÁSTICA OU TERMOACÚSTICA, INCLUSO IÇAMENTO. AF_12/2015</t>
  </si>
  <si>
    <t>2.847,84</t>
  </si>
  <si>
    <t>92618</t>
  </si>
  <si>
    <t>FABRICAÇÃO E INSTALAÇÃO DE TESOURA INTEIRA EM AÇO, VÃO DE 11 M, PARA TELHA ONDULADA DE FIBROCIMENTO, METÁLICA, PLÁSTICA OU TERMOACÚSTICA, INCLUSO IÇAMENTO. AF_12/2015</t>
  </si>
  <si>
    <t>3.056,74</t>
  </si>
  <si>
    <t>92620</t>
  </si>
  <si>
    <t>FABRICAÇÃO E INSTALAÇÃO DE TESOURA INTEIRA EM AÇO, VÃO DE 12 M, PARA TELHA ONDULADA DE FIBROCIMENTO, METÁLICA, PLÁSTICA OU TERMOACÚSTICA, INCLUSO IÇAMENTO. AF_12/2015</t>
  </si>
  <si>
    <t>3.265,64</t>
  </si>
  <si>
    <t>100357</t>
  </si>
  <si>
    <t>FABRICAÇÃO E INSTALAÇÃO DE MEIA TESOURA DE MADEIRA NÃO APARELHADA, COM VÃO DE 3 M, PARA TELHA CERÂMICA OU DE CONCRETO, INCLUSO IÇAMENTO. AF_07/2019</t>
  </si>
  <si>
    <t>1.088,32</t>
  </si>
  <si>
    <t>100358</t>
  </si>
  <si>
    <t>FABRICAÇÃO E INSTALAÇÃO DE MEIA TESOURA DE MADEIRA NÃO APARELHADA, COM VÃO DE 4 M, PARA TELHA CERÂMICA OU DE CONCRETO, INCLUSO IÇAMENTO. AF_07/2019</t>
  </si>
  <si>
    <t>1.455,58</t>
  </si>
  <si>
    <t>100359</t>
  </si>
  <si>
    <t>FABRICAÇÃO E INSTALAÇÃO DE MEIA TESOURA DE MADEIRA NÃO APARELHADA, COM VÃO DE 5 M, PARA TELHA CERÂMICA OU DE CONCRETO, INCLUSO IÇAMENTO. AF_07/2019</t>
  </si>
  <si>
    <t>1.532,69</t>
  </si>
  <si>
    <t>100360</t>
  </si>
  <si>
    <t>FABRICAÇÃO E INSTALAÇÃO DE MEIA TESOURA DE MADEIRA NÃO APARELHADA, COM VÃO DE 6 M, PARA TELHA CERÂMICA OU DE CONCRETO, INCLUSO IÇAMENTO. AF_07/2019</t>
  </si>
  <si>
    <t>1.697,67</t>
  </si>
  <si>
    <t>100361</t>
  </si>
  <si>
    <t>FABRICAÇÃO E INSTALAÇÃO DE MEIA TESOURA DE MADEIRA NÃO APARELHADA, COM VÃO DE 7 M, PARA TELHA CERÂMICA OU DE CONCRETO, INCLUSO IÇAMENTO. AF_07/2019</t>
  </si>
  <si>
    <t>2.096,81</t>
  </si>
  <si>
    <t>100362</t>
  </si>
  <si>
    <t>FABRICAÇÃO E INSTALAÇÃO DE MEIA TESOURA DE MADEIRA NÃO APARELHADA, COM VÃO DE 8 M, PARA TELHA CERÂMICA OU DE CONCRETO, INCLUSO IÇAMENTO. AF_07/2019</t>
  </si>
  <si>
    <t>2.840,70</t>
  </si>
  <si>
    <t>100363</t>
  </si>
  <si>
    <t>FABRICAÇÃO E INSTALAÇÃO DE MEIA TESOURA DE MADEIRA NÃO APARELHADA, COM VÃO DE 9 M, PARA TELHA CERÂMICA OU DE CONCRETO, INCLUSO IÇAMENTO. AF_07/2019</t>
  </si>
  <si>
    <t>2.937,07</t>
  </si>
  <si>
    <t>100364</t>
  </si>
  <si>
    <t>FABRICAÇÃO E INSTALAÇÃO DE MEIA TESOURA DE MADEIRA NÃO APARELHADA, COM VÃO DE 10 M, PARA TELHA CERÂMICA OU DE CONCRETO, INCLUSO IÇAMENTO. AF_07/2019</t>
  </si>
  <si>
    <t>3.183,47</t>
  </si>
  <si>
    <t>100365</t>
  </si>
  <si>
    <t>FABRICAÇÃO E INSTALAÇÃO DE MEIA TESOURA DE MADEIRA NÃO APARELHADA, COM VÃO DE 11 M, PARA TELHA CERÂMICA OU DE CONCRETO, INCLUSO IÇAMENTO. AF_07/2019</t>
  </si>
  <si>
    <t>3.641,29</t>
  </si>
  <si>
    <t>100366</t>
  </si>
  <si>
    <t>FABRICAÇÃO E INSTALAÇÃO DE MEIA TESOURA DE MADEIRA NÃO APARELHADA, COM VÃO DE 12 M, PARA TELHA CERÂMICA OU DE CONCRETO, INCLUSO IÇAMENTO. AF_07/2019</t>
  </si>
  <si>
    <t>3.892,92</t>
  </si>
  <si>
    <t>100367</t>
  </si>
  <si>
    <t>FABRICAÇÃO E INSTALAÇÃO DE MEIA TESOURA DE MADEIRA NÃO APARELHADA, COM VÃO DE 3 M, PARA TELHA ONDULADA DE FIBROCIMENTO, ALUMÍNIO, PLÁSTICA OU TERMOACÚSTICA, INCLUSO IÇAMENTO. AF_07/2019</t>
  </si>
  <si>
    <t>1.059,56</t>
  </si>
  <si>
    <t>100368</t>
  </si>
  <si>
    <t>FABRICAÇÃO E INSTALAÇÃO DE MEIA TESOURA DE MADEIRA NÃO APARELHADA, COM VÃO DE 4 M, PARA TELHA ONDULADA DE FIBROCIMENTO, ALUMÍNIO, PLÁSTICA OU TERMOACÚSTICA, INCLUSO IÇAMENTO. AF_07/2019</t>
  </si>
  <si>
    <t>1.420,10</t>
  </si>
  <si>
    <t>100369</t>
  </si>
  <si>
    <t>FABRICAÇÃO E INSTALAÇÃO DE MEIA TESOURA DE MADEIRA NÃO APARELHADA, COM VÃO DE 5 M, PARA TELHA ONDULADA DE FIBROCIMENTO, ALUMÍNIO, PLÁSTICA OU TERMOACÚSTICA, INCLUSO IÇAMENTO. AF_07/2019</t>
  </si>
  <si>
    <t>1.497,21</t>
  </si>
  <si>
    <t>100370</t>
  </si>
  <si>
    <t>FABRICAÇÃO E INSTALAÇÃO DE MEIA TESOURA DE MADEIRA NÃO APARELHADA, COM VÃO DE 6 M, PARA TELHA ONDULADA DE FIBROCIMENTO, ALUMÍNIO, PLÁSTICA OU TERMOACÚSTICA, INCLUSO IÇAMENTO. AF_07/2019</t>
  </si>
  <si>
    <t>1.772,09</t>
  </si>
  <si>
    <t>100371</t>
  </si>
  <si>
    <t>FABRICAÇÃO E INSTALAÇÃO DE MEIA TESOURA DE MADEIRA NÃO APARELHADA, COM VÃO DE 7 M, PARA TELHA ONDULADA DE FIBROCIMENTO, ALUMÍNIO, PLÁSTICA OU TERMOACÚSTICA, INCLUSO IÇAMENTO. AF_07/2019</t>
  </si>
  <si>
    <t>2.002,18</t>
  </si>
  <si>
    <t>100372</t>
  </si>
  <si>
    <t>FABRICAÇÃO E INSTALAÇÃO DE MEIA TESOURA DE MADEIRA NÃO APARELHADA, COM VÃO DE 8 M, PARA TELHA ONDULADA DE FIBROCIMENTO, ALUMÍNIO, PLÁSTICA OU TERMOACÚSTICA, INCLUSO IÇAMENTO. AF_07/2019</t>
  </si>
  <si>
    <t>2.678,58</t>
  </si>
  <si>
    <t>100373</t>
  </si>
  <si>
    <t>FABRICAÇÃO E INSTALAÇÃO DE MEIA TESOURA DE MADEIRA NÃO APARELHADA, COM VÃO DE 9 M, PARA TELHA ONDULADA DE FIBROCIMENTO, ALUMÍNIO, PLÁSTICA OU TERMOACÚSTICA, INCLUSO IÇAMENTO. AF_07/2019</t>
  </si>
  <si>
    <t>2.771,80</t>
  </si>
  <si>
    <t>100374</t>
  </si>
  <si>
    <t>FABRICAÇÃO E INSTALAÇÃO DE MEIA TESOURA DE MADEIRA NÃO APARELHADA, COM VÃO DE 10 M, PARA TELHA ONDULADA DE FIBROCIMENTO, ALUMÍNIO, PLÁSTICA OU TERMOACÚSTICA, INCLUSO IÇAMENTO. AF_07/2019</t>
  </si>
  <si>
    <t>2.963,97</t>
  </si>
  <si>
    <t>100375</t>
  </si>
  <si>
    <t>FABRICAÇÃO E INSTALAÇÃO DE MEIA TESOURA DE MADEIRA NÃO APARELHADA, COM VÃO DE 11 M, PARA TELHA ONDULADA DE FIBROCIMENTO, ALUMÍNIO, PLÁSTICA OU TERMOACÚSTICA, INCLUSO IÇAMENTO. AF_07/2019</t>
  </si>
  <si>
    <t>3.316,32</t>
  </si>
  <si>
    <t>100376</t>
  </si>
  <si>
    <t>FABRICAÇÃO E INSTALAÇÃO DE MEIA TESOURA DE MADEIRA NÃO APARELHADA, COM VÃO DE 12 M, PARA TELHA ONDULADA DE FIBROCIMENTO, ALUMÍNIO, PLÁSTICA OU TERMOACÚSTICA, INCLUSO IÇAMENTO. AF_07/2019</t>
  </si>
  <si>
    <t>3.249,23</t>
  </si>
  <si>
    <t>100377</t>
  </si>
  <si>
    <t>FABRICAÇÃO E INSTALAÇÃO DE TESOURA (INTEIRA OU MEIA) EM AÇO, VÃOS MAIORES OU IGUAIS A 3,0 M E MENORES OU IGUAL A 6,0 M, INCLUSO IÇAMENTO. AF_07/2019</t>
  </si>
  <si>
    <t>18,19</t>
  </si>
  <si>
    <t>100378</t>
  </si>
  <si>
    <t>FABRICAÇÃO E INSTALAÇÃO DE TESOURA (INTEIRA OU MEIA) EM AÇO, VÃOS MAIORES QUE 6,0 M E MENORES QUE 12,0 M, INCLUSO IÇAMENTO. AF_07/2019</t>
  </si>
  <si>
    <t>17,29</t>
  </si>
  <si>
    <t>100382</t>
  </si>
  <si>
    <t>FABRICAÇÃO E INSTALAÇÃO DE PONTALETES DE MADEIRA NÃO APARELHADA PARA TELHADOS COM ATÉ 2 ÁGUAS E COM TELHA ONDULADA DE FIBROCIMENTO, ALUMÍNIO OU PLÁSTICA EM EDIFÍCIO RESIDENCIAL TÉRREO, INCLUSO TRANSPORTE VERTICAL. AF_07/2019</t>
  </si>
  <si>
    <t>94444</t>
  </si>
  <si>
    <t>TELHAMENTO COM TELHA DE ENCAIXE, TIPO FRANCESA DE VIDRO, COM ATÉ 2 ÁGUAS, INCLUSO TRANSPORTE VERTICAL. AF_07/2019</t>
  </si>
  <si>
    <t>589,88</t>
  </si>
  <si>
    <t>102661</t>
  </si>
  <si>
    <t>DRENO SUBSUPERFICIAL (SEÇÃO 0,40 X 0,40 M), COM TUBO DE PEAD CORRUGADO PERFURADO, DN 100 MM, ENCHIMENTO COM AREIA. AF_07/2021</t>
  </si>
  <si>
    <t>28,17</t>
  </si>
  <si>
    <t>102663</t>
  </si>
  <si>
    <t>DRENO SUBSUPERFICIAL (SEÇÃO 0,40 X 0,40 M), COM TUBO DE CONCRETO SIMPLES POROSO, DN 200 MM, ENCHIMENTO COM AREIA. AF_07/2021</t>
  </si>
  <si>
    <t>44,91</t>
  </si>
  <si>
    <t>102664</t>
  </si>
  <si>
    <t>DRENO SUBSUPERFICIAL (SEÇÃO 0,40 X 0,40 M), CEGO, ENCHIMENTO DE BRITA, ENVOLVIDO COM MANTA GEOTÊXTIL. AF_07/2021</t>
  </si>
  <si>
    <t>45,69</t>
  </si>
  <si>
    <t>102665</t>
  </si>
  <si>
    <t>DRENO SUBSUPERFICIAL (SEÇÃO 0,40 X 0,40 M), CEGO, ENCHIMENTO DE BRITA. AF_07/2021</t>
  </si>
  <si>
    <t>20,11</t>
  </si>
  <si>
    <t>102666</t>
  </si>
  <si>
    <t>DRENO SUBSUPERFICIAL (SEÇÃO 0,40 X 0,40 M), COM TUBO DE PEAD CORRUGADO PERFURADO, DN 100 MM, ENCHIMENTO COM BRITA, ENVOLVIDO COM MANTA GEOTÊXTIL. AF_07/2021</t>
  </si>
  <si>
    <t>57,34</t>
  </si>
  <si>
    <t>102669</t>
  </si>
  <si>
    <t>DRENO SUBSUPERFICIAL (SEÇÃO 0,40 X 0,40 M), COM TUBO DE CONCRETO SIMPLES POROSO, DN 200 MM, ENCHIMENTO COM BRITA, ENVOLVIDO COM MANTA GEOTÊXTIL. AF_07/2021</t>
  </si>
  <si>
    <t>73,51</t>
  </si>
  <si>
    <t>102670</t>
  </si>
  <si>
    <t>DRENO PROFUNDO (SEÇÃO 0,50 X 1,50 M), COM TUBO DE PEAD CORRUGADO PERFURADO, DN 100 MM, ENCHIMENTO COM AREIA, COM SELO DE ARGILA. AF_07/2021</t>
  </si>
  <si>
    <t>76,10</t>
  </si>
  <si>
    <t>102673</t>
  </si>
  <si>
    <t>DRENO PROFUNDO (SEÇÃO 0,50 X 1,50 M), COM TUBO DE CONCRETO SIMPLES POROSO, DN 200 MM, ENCHIMENTO COM AREIA, COM SELO DE ARGILA. AF_07/2021</t>
  </si>
  <si>
    <t>117,06</t>
  </si>
  <si>
    <t>102674</t>
  </si>
  <si>
    <t>DRENO PROFUNDO (SEÇÃO 0,50 X 1,50 M), COM TUBO DE PEAD CORRUGADO PERFURADO, DN 100 MM, ENCHIMENTO COM AREIA. AF_07/2021</t>
  </si>
  <si>
    <t>80,03</t>
  </si>
  <si>
    <t>102677</t>
  </si>
  <si>
    <t>DRENO PROFUNDO (SEÇÃO 0,50 X 1,50 M), COM TUBO DE CONCRETO SIMPLES POROSO, DN 200 MM, ENCHIMENTO COM AREIA. AF_07/2021</t>
  </si>
  <si>
    <t>102,31</t>
  </si>
  <si>
    <t>102678</t>
  </si>
  <si>
    <t>DRENO PROFUNDO (SEÇÃO 0,50 X 1,50 M), CEGO, ENCHIMENTO DE BRITA, ENVOLVIDO COM MANTA GEOTÊXTIL, COM SELO DE ARGILA. AF_07/2021</t>
  </si>
  <si>
    <t>128,22</t>
  </si>
  <si>
    <t>102679</t>
  </si>
  <si>
    <t>DRENO PROFUNDO (SEÇÃO 0,50 X 1,50 M), CEGO, ENCHIMENTO DE BRITA, ENVOLVIDO COM MANTA GEOTÊXTIL. AF_07/2021</t>
  </si>
  <si>
    <t>136,11</t>
  </si>
  <si>
    <t>102680</t>
  </si>
  <si>
    <t>DRENO PROFUNDO (SEÇÃO 0,50 X 1,50 M), COM TUBO DE PEAD CORRUGADO PERFURADO, DN 100 MM, ENCHIMENTO COM BRITA, ENVOLVIDO COM MANTA GEOTÊXTIL, COM SELO DE ARGILA. AF_07/2021</t>
  </si>
  <si>
    <t>140,99</t>
  </si>
  <si>
    <t>102683</t>
  </si>
  <si>
    <t>DRENO PROFUNDO (SEÇÃO 0,50 X 1,50 M), COM TUBO DE CONCRETO SIMPLES POROSO, DN 200 MM, ENCHIMENTO COM BRITA, ENVOLVIDO COM MANTA GEOTÊXTIL, COM SELO DE ARGILA. AF_07/2021</t>
  </si>
  <si>
    <t>166,15</t>
  </si>
  <si>
    <t>102684</t>
  </si>
  <si>
    <t>DRENO PROFUNDO (SEÇÃO 0,50 X 1,50 M), COM TUBO DE PEAD CORRUGADO PERFURADO, DN 100 MM, ENCHIMENTO COM BRITA, ENVOLVIDO COM MANTA GEOTÊXTIL. AF_07/2021</t>
  </si>
  <si>
    <t>148,88</t>
  </si>
  <si>
    <t>102687</t>
  </si>
  <si>
    <t>DRENO PROFUNDO (SEÇÃO 0,50 X 1,50 M), COM TUBO DE CONCRETO SIMPLES POROSO, DN 200 MM, ENCHIMENTO COM BRITA, ENVOLVIDO COM MANTA GEOTÊXTIL. AF_07/2021</t>
  </si>
  <si>
    <t>170,59</t>
  </si>
  <si>
    <t>102688</t>
  </si>
  <si>
    <t>DRENO ESPINHA DE PEIXE (SEÇÃO (0,40 X 0,40 M), COM TUBO DE PEAD CORRUGADO PERFURADO, DN 100 MM, ENCHIMENTO COM AREIA, INCLUSIVE CONEXÕES. AF_07/2021</t>
  </si>
  <si>
    <t>34,53</t>
  </si>
  <si>
    <t>102690</t>
  </si>
  <si>
    <t>DRENO ESPINHA DE PEIXE (SEÇÃO (0,40 X 0,40 M), COM TUBO DE PEAD CORRUGADO PERFURADO, DN 100 MM, ENCHIMENTO COM BRITA, ENVOLVIDO COM MANTA GEOTÊXTIL, INCLUSIVE CONEXÕES. AF_07/2021</t>
  </si>
  <si>
    <t>63,68</t>
  </si>
  <si>
    <t>102694</t>
  </si>
  <si>
    <t>DRENO ESPINHA DE PEIXE (SEÇÃO (0,50 X 0,80 M), COM TUBO DE PEAD CORRUGADO PERFURADO, DN 100 MM, ENCHIMENTO COM AREIA, INCLUSIVE CONEXÕES. AF_07/2021</t>
  </si>
  <si>
    <t>59,36</t>
  </si>
  <si>
    <t>102697</t>
  </si>
  <si>
    <t>DRENO ESPINHA DE PEIXE (SEÇÃO (0,50 X 0,80 M), COM TUBO DE PEAD CORRUGADO PERFURADO, DN 100 MM, ENCHIMENTO COM BRITA, ENVOLVIDO COM MANTA GEOTÊXTIL, INCLUSIVE CONEXÕES. AF_07/2021</t>
  </si>
  <si>
    <t>103,63</t>
  </si>
  <si>
    <t>102704</t>
  </si>
  <si>
    <t>TUBO DE PEAD CORRUGADO PERFURADO, DN 100 MM, PARA DRENO - FORNECIMENTO E ASSENTAMENTO. AF_07/2021</t>
  </si>
  <si>
    <t>12,26</t>
  </si>
  <si>
    <t>102706</t>
  </si>
  <si>
    <t>TUBO DE PVC CORRUGADO FLEXÍVEL PERFURADO, DN 100 MM, PARA DRENO - FORNECIMENTO E ASSENTAMENTO. AF_07/2021</t>
  </si>
  <si>
    <t>14,17</t>
  </si>
  <si>
    <t>102707</t>
  </si>
  <si>
    <t>TUBO DE CONCRETO SIMPLES POROSO, DN 200 MM, PARA DRENO - FORNECIMENTO E ASSENTAMENTO. AF_07/2021</t>
  </si>
  <si>
    <t>31,56</t>
  </si>
  <si>
    <t>102708</t>
  </si>
  <si>
    <t>LUVA DE PVC, SÉRIE NORMAL, PARA ESGOTO PREDIAL, DN 100 MM, INSTALADA EM DRENO  - FORNECIMENTO E INSTALAÇÃO. AF_07/2021</t>
  </si>
  <si>
    <t>24,52</t>
  </si>
  <si>
    <t>102710</t>
  </si>
  <si>
    <t>JUNÇÃO SIMPLES DE PVC, 45 GRAUS, SÉRIE NORMAL, PARA ESGOTO PREDIAL, DN 100 MM, INSTALADA EM DRENO - FORNECIMENTO E INSTALAÇÃO. AF_07/2021</t>
  </si>
  <si>
    <t>62,21</t>
  </si>
  <si>
    <t>102711</t>
  </si>
  <si>
    <t>JUNÇÃO DUPLA DE PVC, SÉRIE NORMAL, PARA ESGOTO PREDIAL, DN 100 X 100 X 100 MM, INSTALADA EM DRENO  - FORNECIMENTO E INSTALAÇÃO. AF_07/2021</t>
  </si>
  <si>
    <t>88,35</t>
  </si>
  <si>
    <t>102712</t>
  </si>
  <si>
    <t>GEOTÊXTIL NÃO TECIDO 100% POLIÉSTER, RESISTÊNCIA A TRAÇÃO DE 9 KN/M (RT - 9), INSTALADO EM DRENO - FORNECIMENTO E INSTALAÇÃO. AF_07/2021</t>
  </si>
  <si>
    <t>9,89</t>
  </si>
  <si>
    <t>102713</t>
  </si>
  <si>
    <t>GEOTÊXTIL NÃO TECIDO 100% POLIÉSTER, RESISTÊNCIA A TRAÇÃO DE 14 KN/M (RT - 14), INSTALADO EM DRENO - FORNECIMENTO E INSTALAÇÃO. AF_07/2021</t>
  </si>
  <si>
    <t>13,63</t>
  </si>
  <si>
    <t>102715</t>
  </si>
  <si>
    <t>GEOTÊXTIL NÃO TECIDO 100% POLIÉSTER, RESISTÊNCIA A TRAÇÃO DE 26 KN/M (RT - 26), INSTALADO EM DRENO - FORNECIMENTO E INSTALAÇÃO. AF_07/2021</t>
  </si>
  <si>
    <t>32,37</t>
  </si>
  <si>
    <t>102716</t>
  </si>
  <si>
    <t>ENCHIMENTO DE AREIA PARA DRENO, LANÇAMENTO MECANIZADO. AF_07/2021</t>
  </si>
  <si>
    <t>88,32</t>
  </si>
  <si>
    <t>102717</t>
  </si>
  <si>
    <t>ENCHIMENTO DE BRITA PARA DRENO, LANÇAMENTO MECANIZADO. AF_07/2021</t>
  </si>
  <si>
    <t>111,91</t>
  </si>
  <si>
    <t>102718</t>
  </si>
  <si>
    <t>ENCHIMENTO DE AREIA PARA DRENO, LANÇAMENTO MANUAL. AF_07/2021</t>
  </si>
  <si>
    <t>95,53</t>
  </si>
  <si>
    <t>102719</t>
  </si>
  <si>
    <t>ENCHIMENTO DE BRITA PARA DRENO, LANÇAMENTO MANUAL. AF_07/2021</t>
  </si>
  <si>
    <t>119,12</t>
  </si>
  <si>
    <t>102722</t>
  </si>
  <si>
    <t>DRENO EM MURO DE CONTENÇÃO, EXECUTADO NO PÉ DO MURO, COM TUBO DE PEAD CORRUGADO FLEXÍVEL PERFURADO, ENCHIMENTO COM BRITA, ENVOLVIDO COM MANTA GEOTÊXTIL. AF_07/2021</t>
  </si>
  <si>
    <t>53,39</t>
  </si>
  <si>
    <t>102723</t>
  </si>
  <si>
    <t>DRENO EM MURO DE CONTENÇÃO, EXECUTADO NO PÉ DO MURO, COM TUBO DE PVC CORRUGADO FLEXÍVEL PERFURADO, ENCHIMENTO COM BRITA, ENVOLVIDO COM MANTA GEOTÊXTIL. AF_07/2021</t>
  </si>
  <si>
    <t>53,95</t>
  </si>
  <si>
    <t>102724</t>
  </si>
  <si>
    <t>DRENO BARBACÃ, DN 100 MM, COM MATERIAL DRENANTE. AF_07/2021</t>
  </si>
  <si>
    <t>31,44</t>
  </si>
  <si>
    <t>102725</t>
  </si>
  <si>
    <t>DRENO BARBACÃ, DN 75 MM, COM MATERIAL DRENANTE. AF_07/2021</t>
  </si>
  <si>
    <t>29,90</t>
  </si>
  <si>
    <t>102726</t>
  </si>
  <si>
    <t>DRENO BARBACÃ, DN 50 MM, COM MATERIAL DRENANTE. AF_07/2021</t>
  </si>
  <si>
    <t>26,65</t>
  </si>
  <si>
    <t>92743</t>
  </si>
  <si>
    <t>MURO DE GABIÃO, ENCHIMENTO COM PEDRA DE MÃO TIPO RACHÃO, DE GRAVIDADE, COM GAIOLAS DE COMPRIMENTO IGUAL A 2 M, PARA MUROS COM ALTURA MENOR OU IGUAL A 4 M  FORNECIMENTO E EXECUÇÃO. AF_12/2015</t>
  </si>
  <si>
    <t>588,56</t>
  </si>
  <si>
    <t>92744</t>
  </si>
  <si>
    <t>MURO DE GABIÃO, ENCHIMENTO COM PEDRA DE MÃO TIPO RACHÃO, DE GRAVIDADE, COM GAIOLAS DE COMPRIMENTO IGUAL A 5 M, PARA MUROS COM ALTURA MENOR OU IGUAL A 4 M  FORNECIMENTO E EXECUÇÃO. AF_12/2015</t>
  </si>
  <si>
    <t>552,23</t>
  </si>
  <si>
    <t>92745</t>
  </si>
  <si>
    <t>MURO DE GABIÃO, ENCHIMENTO COM PEDRA DE MÃO TIPO RACHÃO, DE GRAVIDADE, COM GAIOLAS DE COMPRIMENTO IGUAL A 2 M, PARA MUROS COM ALTURA MAIOR QUE 4 M E MENOR OU IGUAL A 6 M  FORNECIMENTO E EXECUÇÃO. AF_12/2015</t>
  </si>
  <si>
    <t>728,91</t>
  </si>
  <si>
    <t>92746</t>
  </si>
  <si>
    <t>MURO DE GABIÃO, ENCHIMENTO COM PEDRA DE MÃO TIPO RACHÃO, DE GRAVIDADE, COM GAIOLAS DE COMPRIMENTO IGUAL A 5 M, PARA MUROS COM ALTURA MAIOR QUE 4 M E MENOR OU IGUAL A 6 M   FORNECIMENTO E EXECUÇÃO. AF_12/2015</t>
  </si>
  <si>
    <t>657,35</t>
  </si>
  <si>
    <t>92747</t>
  </si>
  <si>
    <t>MURO DE GABIÃO, ENCHIMENTO COM PEDRA DE MÃO TIPO RACHÃO, DE GRAVIDADE, COM GAIOLAS DE COMPRIMENTO IGUAL A 2 M, PARA MUROS COM ALTURA MAIOR QUE 6 M E MENOR OU IGUAL A 10 M   FORNECIMENTO E EXECUÇÃO. AF_12/2015</t>
  </si>
  <si>
    <t>808,49</t>
  </si>
  <si>
    <t>92748</t>
  </si>
  <si>
    <t>MURO DE GABIÃO, ENCHIMENTO COM PEDRA DE MÃO TIPO RACHÃO, DE GRAVIDADE, COM GAIOLAS DE COMPRIMENTO IGUAL A 5 M, PARA MUROS COM ALTURA MAIOR QUE 6 M E MENOR OU IGUAL A 10 M FORNECIMENTO E EXECUÇÃO. AF_12/2015</t>
  </si>
  <si>
    <t>717,28</t>
  </si>
  <si>
    <t>92749</t>
  </si>
  <si>
    <t>MURO DE GABIÃO, ENCHIMENTO COM PEDRA DE MÃO TIPO RACHÃO, COM SOLO REFORÇADO, PARA MUROS COM ALTURA MENOR OU IGUAL A 4 M   FORNECIMENTO E EXECUÇÃO. AF_12/2015</t>
  </si>
  <si>
    <t>835,04</t>
  </si>
  <si>
    <t>92750</t>
  </si>
  <si>
    <t>MURO DE GABIÃO, ENCHIMENTO COM PEDRA DE MÃO TIPO RACHÃO, COM SOLO REFORÇADO, PARA MUROS COM ALTURA MAIOR QUE 4 M E MENOR OU IGUAL A 12 M   FORNECIMENTO E EXECUÇÃO. AF_12/2015</t>
  </si>
  <si>
    <t>1.427,33</t>
  </si>
  <si>
    <t>92751</t>
  </si>
  <si>
    <t>MURO DE GABIÃO, ENCHIMENTO COM PEDRA DE MÃO TIPO RACHÃO, COM SOLO REFORÇADO, PARA MUROS COM ALTURA MAIOR QUE 12 M E MENOR OU IGUAL A 20 M    FORNECIMENTO E EXECUÇÃO. AF_12/2015</t>
  </si>
  <si>
    <t>1.770,83</t>
  </si>
  <si>
    <t>92752</t>
  </si>
  <si>
    <t>MURO DE GABIÃO, ENCHIMENTO COM PEDRA DE MÃO TIPO RACHÃO, COM SOLO REFORÇADO, PARA MUROS COM ALTURA MAIOR QUE 20 M E MENOR OU IGUAL A 28 M   FORNECIMENTO E EXECUÇÃO. AF_12/2015</t>
  </si>
  <si>
    <t>2.112,83</t>
  </si>
  <si>
    <t>92753</t>
  </si>
  <si>
    <t>MURO DE GABIÃO, ENCHIMENTO COM RESÍDUO DE CONSTRUÇÃO E DEMOLIÇÃO, DE GRAVIDADE, COM GAIOLA TRAPEZOIDAL DE COMPRIMENTO IGUAL A 2 M, PARA MUROS COM ALTURA MENOR OU IGUAL A 2 M   FORNECIMENTO E EXECUÇÃO. AF_12/2015</t>
  </si>
  <si>
    <t>552,34</t>
  </si>
  <si>
    <t>92754</t>
  </si>
  <si>
    <t>MURO DE GABIÃO, ENCHIMENTO COM RESÍDUO DE CONSTRUÇÃO E DEMOLIÇÃO, DE GRAVIDADE, COM GAIOLA TRAPEZOIDAL DE COMPRIMENTO IGUAL A 2 M, PARA MUROS COM ALTURA MAIOR QUE 2 M E MENOR OU IGUAL A 4 M    FORNECIMENTO E EXECUÇÃO. AF_12/2015</t>
  </si>
  <si>
    <t>502,45</t>
  </si>
  <si>
    <t>92755</t>
  </si>
  <si>
    <t>PROTEÇÃO SUPERFICIAL DE CANAL EM GABIÃO TIPO COLCHÃO, ALTURA DE 17 CENTÍMETROS, ENCHIMENTO COM PEDRA DE MÃO TIPO RACHÃO - FORNECIMENTO E EXECUÇÃO. AF_12/2015</t>
  </si>
  <si>
    <t>216,90</t>
  </si>
  <si>
    <t>92756</t>
  </si>
  <si>
    <t>PROTEÇÃO SUPERFICIAL DE CANAL EM GABIÃO TIPO COLCHÃO, ALTURA DE 23 CENTÍMETROS, ENCHIMENTO COM PEDRA DE MÃO TIPO RACHÃO - FORNECIMENTO E EXECUÇÃO. AF_12/2015</t>
  </si>
  <si>
    <t>246,20</t>
  </si>
  <si>
    <t>92757</t>
  </si>
  <si>
    <t>PROTEÇÃO SUPERFICIAL DE CANAL EM GABIÃO TIPO COLCHÃO, ALTURA DE 30 CENTÍMETROS, ENCHIMENTO COM PEDRA DE MÃO TIPO RACHÃO - FORNECIMENTO E EXECUÇÃO. AF_12/2015</t>
  </si>
  <si>
    <t>281,76</t>
  </si>
  <si>
    <t>92758</t>
  </si>
  <si>
    <t>PROTEÇÃO SUPERFICIAL DE CANAL EM GABIÃO TIPO SACO, DIÂMETRO DE 65 CENTÍMETROS, ENCHIMENTO MANUAL COM PEDRA DE MÃO TIPO RACHÃO - FORNECIMENTO E EXECUÇÃO. AF_12/2015</t>
  </si>
  <si>
    <t>643,40</t>
  </si>
  <si>
    <t>91069</t>
  </si>
  <si>
    <t>EXECUÇÃO DE REVESTIMENTO DE CONCRETO PROJETADO COM ESPESSURA DE 7 CM, ARMADO COM TELA, INCLINAÇÃO MENOR QUE 90°, APLICAÇÃO CONTÍNUA, UTILIZANDO EQUIPAMENTO DE PROJEÇÃO COM 6 M³/H DE CAPACIDADE. AF_01/2016</t>
  </si>
  <si>
    <t>121,20</t>
  </si>
  <si>
    <t>91070</t>
  </si>
  <si>
    <t>EXECUÇÃO DE REVESTIMENTO DE CONCRETO PROJETADO COM ESPESSURA DE 10 CM, ARMADO COM TELA, INCLINAÇÃO MENOR QUE 90°, APLICAÇÃO CONTÍNUA, UTILIZANDO EQUIPAMENTO DE PROJEÇÃO COM 6 M³/H DE CAPACIDADE. AF_01/2016</t>
  </si>
  <si>
    <t>131,16</t>
  </si>
  <si>
    <t>91071</t>
  </si>
  <si>
    <t>EXECUÇÃO DE REVESTIMENTO DE CONCRETO PROJETADO COM ESPESSURA DE 7 CM, ARMADO COM TELA, INCLINAÇÃO DE 90°, APLICAÇÃO CONTÍNUA, UTILIZANDO EQUIPAMENTO DE PROJEÇÃO COM 6 M³/H DE CAPACIDADE. AF_01/2016</t>
  </si>
  <si>
    <t>163,39</t>
  </si>
  <si>
    <t>91072</t>
  </si>
  <si>
    <t>EXECUÇÃO DE REVESTIMENTO DE CONCRETO PROJETADO COM ESPESSURA DE 10 CM, ARMADO COM TELA, INCLINAÇÃO DE 90°, APLICAÇÃO CONTÍNUA, UTILIZANDO EQUIPAMENTO DE PROJEÇÃO COM 6 M³/H DE CAPACIDADE. AF_01/2016</t>
  </si>
  <si>
    <t>173,33</t>
  </si>
  <si>
    <t>91073</t>
  </si>
  <si>
    <t>EXECUÇÃO DE REVESTIMENTO DE CONCRETO PROJETADO COM ESPESSURA DE 7 CM, ARMADO COM TELA, INCLINAÇÃO MENOR QUE 90°, APLICAÇÃO CONTÍNUA, UTILIZANDO EQUIPAMENTO DE PROJEÇÃO COM 3 M³/H DE CAPACIDADE. AF_01/2016</t>
  </si>
  <si>
    <t>136,28</t>
  </si>
  <si>
    <t>91074</t>
  </si>
  <si>
    <t>EXECUÇÃO DE REVESTIMENTO DE CONCRETO PROJETADO COM ESPESSURA DE 10 CM, ARMADO COM TELA, INCLINAÇÃO MENOR QUE 90°, APLICAÇÃO CONTÍNUA, UTILIZANDO EQUIPAMENTO DE PROJEÇÃO COM 3 M³/H DE CAPACIDADE. AF_01/2016</t>
  </si>
  <si>
    <t>147,80</t>
  </si>
  <si>
    <t>91075</t>
  </si>
  <si>
    <t>EXECUÇÃO DE REVESTIMENTO DE CONCRETO PROJETADO COM ESPESSURA DE 7 CM, ARMADO COM TELA, INCLINAÇÃO DE 90°, APLICAÇÃO CONTÍNUA, UTILIZANDO EQUIPAMENTO DE PROJEÇÃO COM 3 M³/H DE CAPACIDADE. AF_01/2016</t>
  </si>
  <si>
    <t>181,14</t>
  </si>
  <si>
    <t>91076</t>
  </si>
  <si>
    <t>EXECUÇÃO DE REVESTIMENTO DE CONCRETO PROJETADO COM ESPESSURA DE 10 CM, ARMADO COM TELA, INCLINAÇÃO DE 90°, APLICAÇÃO CONTÍNUA, UTILIZANDO EQUIPAMENTO DE PROJEÇÃO COM 3 M³/H DE CAPACIDADE. AF_01/2016</t>
  </si>
  <si>
    <t>192,68</t>
  </si>
  <si>
    <t>91077</t>
  </si>
  <si>
    <t>EXECUÇÃO DE REVESTIMENTO DE CONCRETO PROJETADO COM ESPESSURA DE 7 CM, ARMADO COM FIBRAS DE AÇO, INCLINAÇÃO MENOR QUE 90°, APLICAÇÃO CONTÍNUA, UTILIZANDO EQUIPAMENTO DE PROJEÇÃO COM 6 M³/H DE CAPACIDADE. AF_01/2016</t>
  </si>
  <si>
    <t>115,18</t>
  </si>
  <si>
    <t>91078</t>
  </si>
  <si>
    <t>EXECUÇÃO DE REVESTIMENTO DE CONCRETO PROJETADO COM ESPESSURA DE 10 CM, ARMADO COM FIBRAS DE AÇO, INCLINAÇÃO MENOR QUE 90°, APLICAÇÃO CONTÍNUA, UTILIZANDO EQUIPAMENTO DE PROJEÇÃO COM 6 M³/H DE CAPACIDADE. AF_01/2016</t>
  </si>
  <si>
    <t>134,63</t>
  </si>
  <si>
    <t>91079</t>
  </si>
  <si>
    <t>EXECUÇÃO DE REVESTIMENTO DE CONCRETO PROJETADO COM ESPESSURA DE 7 CM, ARMADO COM FIBRAS DE AÇO, INCLINAÇÃO DE 90°, APLICAÇÃO CONTÍNUA, UTILIZANDO EQUIPAMENTO DE PROJEÇÃO COM 6 M³/H DE CAPACIDADE. AF_01/2016</t>
  </si>
  <si>
    <t>121,12</t>
  </si>
  <si>
    <t>91080</t>
  </si>
  <si>
    <t>EXECUÇÃO DE REVESTIMENTO DE CONCRETO PROJETADO COM ESPESSURA DE 10 CM, ARMADO COM FIBRAS DE AÇO, INCLINAÇÃO DE 90°, APLICAÇÃO CONTÍNUA, UTILIZANDO EQUIPAMENTO DE PROJEÇÃO COM 6 M³/H DE CAPACIDADE. AF_01/2016</t>
  </si>
  <si>
    <t>140,36</t>
  </si>
  <si>
    <t>91081</t>
  </si>
  <si>
    <t>EXECUÇÃO DE REVESTIMENTO DE CONCRETO PROJETADO COM ESPESSURA DE 7 CM, ARMADO COM FIBRAS DE AÇO, INCLINAÇÃO MENOR QUE 90°, APLICAÇÃO CONTÍNUA, UTILIZANDO EQUIPAMENTO DE PROJEÇÃO COM 3 M³/H DE CAPACIDADE. AF_01/2016</t>
  </si>
  <si>
    <t>131,97</t>
  </si>
  <si>
    <t>91082</t>
  </si>
  <si>
    <t>EXECUÇÃO DE REVESTIMENTO DE CONCRETO PROJETADO COM ESPESSURA DE 10 CM, ARMADO COM FIBRAS DE AÇO, INCLINAÇÃO MENOR QUE 90°, APLICAÇÃO CONTÍNUA, UTILIZANDO EQUIPAMENTO DE PROJEÇÃO COM 3 M³/H DE CAPACIDADE. AF_01/2016</t>
  </si>
  <si>
    <t>152,79</t>
  </si>
  <si>
    <t>91083</t>
  </si>
  <si>
    <t>EXECUÇÃO DE REVESTIMENTO DE CONCRETO PROJETADO COM ESPESSURA DE 7 CM, ARMADO COM FIBRAS DE AÇO, INCLINAÇÃO DE 90°, APLICAÇÃO CONTÍNUA, UTILIZANDO EQUIPAMENTO DE PROJEÇÃO COM 3 M³/H DE CAPACIDADE. AF_01/2016</t>
  </si>
  <si>
    <t>142,44</t>
  </si>
  <si>
    <t>91084</t>
  </si>
  <si>
    <t>EXECUÇÃO DE REVESTIMENTO DE CONCRETO PROJETADO COM ESPESSURA DE 10 CM, ARMADO COM FIBRAS DE AÇO, INCLINAÇÃO DE 90°, APLICAÇÃO CONTÍNUA, UTILIZANDO EQUIPAMENTO DE PROJEÇÃO COM 3 M³/H DE CAPACIDADE. AF_01/2016</t>
  </si>
  <si>
    <t>162,96</t>
  </si>
  <si>
    <t>91086</t>
  </si>
  <si>
    <t>EXECUÇÃO DE REVESTIMENTO DE CONCRETO PROJETADO COM ESPESSURA DE 7 CM, ARMADO COM TELA, INCLINAÇÃO MENOR QUE 90°, APLICAÇÃO DESCONTÍNUA, UTILIZANDO EQUIPAMENTO DE PROJEÇÃO COM 6 M³/H DE CAPACIDADE. AF_01/2016</t>
  </si>
  <si>
    <t>132,85</t>
  </si>
  <si>
    <t>91087</t>
  </si>
  <si>
    <t>EXECUÇÃO DE REVESTIMENTO DE CONCRETO PROJETADO COM ESPESSURA DE 10 CM, ARMADO COM TELA, INCLINAÇÃO MENOR QUE 90°, APLICAÇÃO DESCONTÍNUA, UTILIZANDO EQUIPAMENTO DE PROJEÇÃO COM 6 M³/H DE CAPACIDADE. AF_01/2016</t>
  </si>
  <si>
    <t>143,14</t>
  </si>
  <si>
    <t>91088</t>
  </si>
  <si>
    <t>EXECUÇÃO DE REVESTIMENTO DE CONCRETO PROJETADO COM ESPESSURA DE 7 CM, ARMADO COM TELA, INCLINAÇÃO DE 90°, APLICAÇÃO DESCONTÍNUA, UTILIZANDO EQUIPAMENTO DE PROJEÇÃO COM 6 M³/H DE CAPACIDADE. AF_01/2016</t>
  </si>
  <si>
    <t>176,51</t>
  </si>
  <si>
    <t>91089</t>
  </si>
  <si>
    <t>EXECUÇÃO DE REVESTIMENTO DE CONCRETO PROJETADO COM ESPESSURA DE 10 CM, ARMADO COM TELA, INCLINAÇÃO DE 90°, APLICAÇÃO DESCONTÍNUA, UTILIZANDO EQUIPAMENTO DE PROJEÇÃO COM 6 M³/H DE CAPACIDADE. AF_01/2016</t>
  </si>
  <si>
    <t>91090</t>
  </si>
  <si>
    <t>EXECUÇÃO DE REVESTIMENTO DE CONCRETO PROJETADO COM ESPESSURA DE 7 CM, ARMADO COM TELA, INCLINAÇÃO MENOR QUE 90°, APLICAÇÃO DESCONTÍNUA, UTILIZANDO EQUIPAMENTO DE PROJEÇÃO COM 3 M³/H DE CAPACIDADE. AF_01/2016</t>
  </si>
  <si>
    <t>145,87</t>
  </si>
  <si>
    <t>91091</t>
  </si>
  <si>
    <t>EXECUÇÃO DE REVESTIMENTO DE CONCRETO PROJETADO COM ESPESSURA DE 10 CM, ARMADO COM TELA, INCLINAÇÃO MENOR QUE 90°, APLICAÇÃO DESCONTÍNUA, UTILIZANDO EQUIPAMENTO DE PROJEÇÃO COM 3 M³/H DE CAPACIDADE. AF_01/2016</t>
  </si>
  <si>
    <t>157,93</t>
  </si>
  <si>
    <t>91092</t>
  </si>
  <si>
    <t>EXECUÇÃO DE REVESTIMENTO DE CONCRETO PROJETADO COM ESPESSURA DE 7 CM, ARMADO COM TELA, INCLINAÇÃO DE 90°, APLICAÇÃO DESCONTÍNUA, UTILIZANDO EQUIPAMENTO DE PROJEÇÃO COM 3 M³/H DE CAPACIDADE. AF_01/2016</t>
  </si>
  <si>
    <t>191,70</t>
  </si>
  <si>
    <t>91093</t>
  </si>
  <si>
    <t>EXECUÇÃO DE REVESTIMENTO DE CONCRETO PROJETADO COM ESPESSURA DE 10 CM, ARMADO COM TELA, INCLINAÇÃO DE 90°, APLICAÇÃO DESCONTÍNUA, UTILIZANDO EQUIPAMENTO DE PROJEÇÃO COM 3 M³/H DE CAPACIDADE. AF_01/2016</t>
  </si>
  <si>
    <t>204,06</t>
  </si>
  <si>
    <t>91094</t>
  </si>
  <si>
    <t>EXECUÇÃO DE REVESTIMENTO DE CONCRETO PROJETADO COM ESPESSURA DE 7 CM, ARMADO COM FIBRAS DE AÇO, INCLINAÇÃO MENOR QUE 90°, APLICAÇÃO DESCONTÍNUA, UTILIZANDO EQUIPAMENTO DE PROJEÇÃO COM 6 M³/H DE CAPACIDADE. AF_01/2016</t>
  </si>
  <si>
    <t>121,89</t>
  </si>
  <si>
    <t>91095</t>
  </si>
  <si>
    <t>EXECUÇÃO DE REVESTIMENTO DE CONCRETO PROJETADO COM ESPESSURA DE 10 CM, ARMADO COM FIBRAS DE AÇO, INCLINAÇÃO MENOR QUE 90°, APLICAÇÃO DESCONTÍNUA, UTILIZANDO EQUIPAMENTO DE PROJEÇÃO COM 6 M³/H DE CAPACIDADE. AF_01/2016</t>
  </si>
  <si>
    <t>141,74</t>
  </si>
  <si>
    <t>91096</t>
  </si>
  <si>
    <t>EXECUÇÃO DE REVESTIMENTO DE CONCRETO PROJETADO COM ESPESSURA DE 7 CM, ARMADO COM FIBRAS DE AÇO, INCLINAÇÃO DE 90°, APLICAÇÃO DESCONTÍNUA, UTILIZANDO EQUIPAMENTO DE PROJEÇÃO COM 6 M³/H DE CAPACIDADE. AF_01/2016</t>
  </si>
  <si>
    <t>124,76</t>
  </si>
  <si>
    <t>91097</t>
  </si>
  <si>
    <t>EXECUÇÃO DE REVESTIMENTO DE CONCRETO PROJETADO COM ESPESSURA DE 10 CM, ARMADO COM FIBRAS DE AÇO, INCLINAÇÃO DE 90°, APLICAÇÃO DESCONTÍNUA, UTILIZANDO EQUIPAMENTO DE PROJEÇÃO COM 6 M³/H DE CAPACIDADE. AF_01/2016</t>
  </si>
  <si>
    <t>144,45</t>
  </si>
  <si>
    <t>91098</t>
  </si>
  <si>
    <t>EXECUÇÃO DE REVESTIMENTO DE CONCRETO PROJETADO COM ESPESSURA DE 7 CM, ARMADO COM FIBRAS DE AÇO, INCLINAÇÃO MENOR QUE 90°, APLICAÇÃO DESCONTÍNUA, UTILIZANDO EQUIPAMENTO DE PROJEÇÃO COM 3 M³/H DE CAPACIDADE. AF_01/2016</t>
  </si>
  <si>
    <t>138,52</t>
  </si>
  <si>
    <t>91099</t>
  </si>
  <si>
    <t>EXECUÇÃO DE REVESTIMENTO DE CONCRETO PROJETADO COM ESPESSURA DE 10 CM, ARMADO COM FIBRAS DE AÇO, INCLINAÇÃO MENOR QUE 90°, APLICAÇÃO DESCONTÍNUA, UTILIZANDO EQUIPAMENTO DE PROJEÇÃO COM 3 M³/H DE CAPACIDADE. AF_01/2016</t>
  </si>
  <si>
    <t>159,86</t>
  </si>
  <si>
    <t>91100</t>
  </si>
  <si>
    <t>EXECUÇÃO DE REVESTIMENTO DE CONCRETO PROJETADO COM ESPESSURA DE 7 CM, ARMADO COM FIBRAS DE AÇO, INCLINAÇÃO DE 90°, APLICAÇÃO DESCONTÍNUA, UTILIZANDO EQUIPAMENTO DE PROJEÇÃO COM 3 M³/H DE CAPACIDADE. AF_01/2016</t>
  </si>
  <si>
    <t>146,74</t>
  </si>
  <si>
    <t>91101</t>
  </si>
  <si>
    <t>EXECUÇÃO DE REVESTIMENTO DE CONCRETO PROJETADO COM ESPESSURA DE 10 CM, ARMADO COM FIBRAS DE AÇO, INCLINAÇÃO DE 90°, APLICAÇÃO DESCONTÍNUA, UTILIZANDO EQUIPAMENTO DE PROJEÇÃO COM 3 M³/H DE CAPACIDADE. AF_01/2016</t>
  </si>
  <si>
    <t>167,96</t>
  </si>
  <si>
    <t>93952</t>
  </si>
  <si>
    <t>EXECUÇÃO DE GRAMPO PARA SOLO GRAMPEADO COM COMPRIMENTO MENOR OU IGUAL A 4 M, DIÂMETRO DE 10 CM, PERFURAÇÃO COM EQUIPAMENTO MANUAL E ARMADURA COM DIÂMETRO DE 16 MM. AF_05/2016</t>
  </si>
  <si>
    <t>216,81</t>
  </si>
  <si>
    <t>93953</t>
  </si>
  <si>
    <t>EXECUÇÃO DE GRAMPO PARA SOLO GRAMPEADO COM COMPRIMENTO MAIOR QUE 4 M E MENOR OU IGUAL A 6 M, DIÂMETRO DE 10 CM, PERFURAÇÃO COM EQUIPAMENTO MANUAL E ARMADURA COM DIÂMETRO DE 16 MM. AF_05/2016</t>
  </si>
  <si>
    <t>201,52</t>
  </si>
  <si>
    <t>93954</t>
  </si>
  <si>
    <t>EXECUÇÃO DE GRAMPO PARA SOLO GRAMPEADO COM COMPRIMENTO MAIOR QUE 6 M E MENOR OU IGUAL A 8 M, DIÂMETRO DE 10 CM, PERFURAÇÃO COM EQUIPAMENTO MANUAL E ARMADURA COM DIÂMETRO DE 16 MM. AF_05/2016</t>
  </si>
  <si>
    <t>192,34</t>
  </si>
  <si>
    <t>93955</t>
  </si>
  <si>
    <t>EXECUÇÃO DE GRAMPO PARA SOLO GRAMPEADO COM COMPRIMENTO MAIOR QUE 8 M E MENOR OU IGUAL A 10 M, DIÂMETRO DE 10 CM, PERFURAÇÃO COM EQUIPAMENTO MANUAL E ARMADURA COM DIÂMETRO DE 16 MM. AF_05/2016</t>
  </si>
  <si>
    <t>185,85</t>
  </si>
  <si>
    <t>93956</t>
  </si>
  <si>
    <t>EXECUÇÃO DE GRAMPO PARA SOLO GRAMPEADO COM COMPRIMENTO MAIOR QUE 10 M, DIÂMETRO DE 10 CM, PERFURAÇÃO COM EQUIPAMENTO MANUAL E ARMADURA COM DIÂMETRO DE 16 MM. AF_05/2016</t>
  </si>
  <si>
    <t>180,74</t>
  </si>
  <si>
    <t>93957</t>
  </si>
  <si>
    <t>EXECUÇÃO DE GRAMPO PARA SOLO GRAMPEADO COM COMPRIMENTO MENOR OU IGUAL A 4 M, DIÂMETRO DE 10 CM, PERFURAÇÃO COM EQUIPAMENTO MANUAL E ARMADURA COM DIÂMETRO DE 20 MM. AF_05/2016</t>
  </si>
  <si>
    <t>234,25</t>
  </si>
  <si>
    <t>93958</t>
  </si>
  <si>
    <t>EXECUÇÃO DE GRAMPO PARA SOLO GRAMPEADO COM COMPRIMENTO MAIOR QUE 4 M E MENOR OU IGUAL A 6 M, DIÂMETRO DE 10 CM, PERFURAÇÃO COM EQUIPAMENTO MANUAL E ARMADURA COM DIÂMETRO DE 20 MM. AF_05/2016</t>
  </si>
  <si>
    <t>217,97</t>
  </si>
  <si>
    <t>93959</t>
  </si>
  <si>
    <t>EXECUÇÃO DE GRAMPO PARA SOLO GRAMPEADO COM COMPRIMENTO MAIOR QUE 6 M E MENOR OU IGUAL A 8 M, DIÂMETRO DE 10 CM, PERFURAÇÃO COM EQUIPAMENTO MANUAL E ARMADURA COM DIÂMETRO DE 20 MM. AF_05/2016</t>
  </si>
  <si>
    <t>208,35</t>
  </si>
  <si>
    <t>93960</t>
  </si>
  <si>
    <t>EXECUÇÃO DE GRAMPO PARA SOLO GRAMPEADO COM COMPRIMENTO MAIOR QUE 8 M E MENOR OU IGUAL A 10 M, DIÂMETRO DE 10 CM, PERFURAÇÃO COM EQUIPAMENTO MANUAL E ARMADURA COM DIÂMETRO DE 20 MM. AF_05/2016</t>
  </si>
  <si>
    <t>201,57</t>
  </si>
  <si>
    <t>93961</t>
  </si>
  <si>
    <t>EXECUÇÃO DE GRAMPO PARA SOLO GRAMPEADO COM COMPRIMENTO MAIOR QUE 10 M, DIÂMETRO DE 10 CM, PERFURAÇÃO COM EQUIPAMENTO MANUAL E ARMADURA COM DIÂMETRO DE 20 MM. AF_05/2016</t>
  </si>
  <si>
    <t>196,25</t>
  </si>
  <si>
    <t>93962</t>
  </si>
  <si>
    <t>EXECUÇÃO DE GRAMPO PARA SOLO GRAMPEADO COM COMPRIMENTO MENOR OU IGUAL A 4 M, DIÂMETRO DE 7 CM, PERFURAÇÃO COM EQUIPAMENTO MANUAL E ARMADURA COM DIÂMETRO DE 16 MM. AF_05/2016</t>
  </si>
  <si>
    <t>205,37</t>
  </si>
  <si>
    <t>93963</t>
  </si>
  <si>
    <t>EXECUÇÃO DE GRAMPO PARA SOLO GRAMPEADO COM COMPRIMENTO MAIOR QUE 4 E MENOR OU IGUAL A 6 M, DIÂMETRO DE 7 CM, PERFURAÇÃO COM EQUIPAMENTO MANUAL E ARMADURA COM DIÂMETRO DE 16 MM. AF_05/2016</t>
  </si>
  <si>
    <t>190,10</t>
  </si>
  <si>
    <t>93964</t>
  </si>
  <si>
    <t>EXECUÇÃO DE GRAMPO PARA SOLO GRAMPEADO COM COMPRIMENTO MAIOR QUE 6 M E MENOR OU IGUAL A 8 M, DIÂMETRO DE 7 CM, PERFURAÇÃO COM EQUIPAMENTO MANUAL E ARMADURA COM DIÂMETRO DE 16 MM. AF_05/2016</t>
  </si>
  <si>
    <t>180,99</t>
  </si>
  <si>
    <t>93965</t>
  </si>
  <si>
    <t>EXECUÇÃO DE GRAMPO PARA SOLO GRAMPEADO COM COMPRIMENTO MAIOR QUE 8 M E MENOR OU IGUAL A 10 M, DIÂMETRO DE 7 CM, PERFURAÇÃO COM EQUIPAMENTO MANUAL E ARMADURA COM DIÂMETRO DE 16 MM. AF_05/2016</t>
  </si>
  <si>
    <t>171,70</t>
  </si>
  <si>
    <t>93966</t>
  </si>
  <si>
    <t>EXECUÇÃO DE GRAMPO PARA SOLO GRAMPEADO COM COMPRIMENTO MAIOR QUE 10 M, DIÂMETRO DE 7 CM, PERFURAÇÃO COM EQUIPAMENTO MANUAL E ARMADURA COM DIÂMETRO DE 16 MM. AF_05/2016</t>
  </si>
  <si>
    <t>169,45</t>
  </si>
  <si>
    <t>93967</t>
  </si>
  <si>
    <t>EXECUÇÃO DE GRAMPO PARA SOLO GRAMPEADO COM COMPRIMENTO MENOR OU IGUAL A 4 M, DIÂMETRO DE 7 CM, PERFURAÇÃO COM EQUIPAMENTO MANUAL E ARMADURA COM DIÂMETRO DE 20 MM. AF_05/2016</t>
  </si>
  <si>
    <t>222,83</t>
  </si>
  <si>
    <t>93968</t>
  </si>
  <si>
    <t>EXECUÇÃO DE GRAMPO PARA SOLO GRAMPEADO COM COMPRIMENTO MAIOR QUE 4 E MENOR OU IGUAL A 6 M, DIÂMETRO DE 7 CM, PERFURAÇÃO COM EQUIPAMENTO MANUAL E ARMADURA COM DIÂMETRO DE 20 MM. AF_05/2016</t>
  </si>
  <si>
    <t>206,57</t>
  </si>
  <si>
    <t>93969</t>
  </si>
  <si>
    <t>EXECUÇÃO DE GRAMPO PARA SOLO GRAMPEADO COM COMPRIMENTO MAIOR QUE 6 M E MENOR OU IGUAL A 8 M, DIÂMETRO DE 7 CM, PERFURAÇÃO COM EQUIPAMENTO MANUAL E ARMADURA COM DIÂMETRO DE 20 MM. AF_05/2016</t>
  </si>
  <si>
    <t>196,99</t>
  </si>
  <si>
    <t>93970</t>
  </si>
  <si>
    <t>EXECUÇÃO DE GRAMPO PARA SOLO GRAMPEADO COM COMPRIMENTO MAIOR QUE 8 MENOR OU IGUAL A 10 M, DIÂMETRO DE 7 CM, PERFURAÇÃO COM EQUIPAMENTO MANUAL E ARMADURA COM DIÂMETRO DE 20 MM. AF_05/2016</t>
  </si>
  <si>
    <t>190,25</t>
  </si>
  <si>
    <t>93971</t>
  </si>
  <si>
    <t>EXECUÇÃO DE GRAMPO PARA SOLO GRAMPEADO COM COMPRIMENTO MAIOR QUE 10 M, DIÂMETRO DE 7 CM, PERFURAÇÃO COM EQUIPAMENTO MANUAL E ARMADURA COM DIÂMETRO DE 20 MM. AF_05/2016</t>
  </si>
  <si>
    <t>179,01</t>
  </si>
  <si>
    <t>95108</t>
  </si>
  <si>
    <t>EXECUÇÃO DE PROTEÇÃO DA CABEÇA DO TIRANTE COM USO DE FÔRMAS EM CHAPA COMPENSADA PLASTIFICADA DE MADEIRA E CONCRETO FCK =15 MPA. AF_07/2016</t>
  </si>
  <si>
    <t>100332</t>
  </si>
  <si>
    <t>CONTENÇÃO EM PERFIL PRANCHADO COM PRANCHÃO DE MADEIRA, PERFIS ESPAÇADOS A 1,5 M PARA 1 SUBSOLO. AF_07/2019</t>
  </si>
  <si>
    <t>1.300,44</t>
  </si>
  <si>
    <t>100333</t>
  </si>
  <si>
    <t>CONTENÇÃO EM PERFIL PRANCHADO COM PRANCHÃO DE MADEIRA, PERFIS ESPAÇADOS A 1,5 M PARA 2 OU MAIS SUBSOLOS. AF_07/2019</t>
  </si>
  <si>
    <t>760,49</t>
  </si>
  <si>
    <t>100334</t>
  </si>
  <si>
    <t>CONTENÇÃO EM PERFIL PRANCHADO COM PRANCHÃO DE MADEIRA, PERFIS ESPAÇADOS A 2 M PARA 1 SUBSOLO. AF_07/2019</t>
  </si>
  <si>
    <t>1.009,04</t>
  </si>
  <si>
    <t>100335</t>
  </si>
  <si>
    <t>CONTENÇÃO EM PERFIL PRANCHADO COM PRANCHÃO DE MADEIRA, PERFIS ESPAÇADOS A 2 M PARA 2 OU MAIS SUBSOLOS. AF_07/2019</t>
  </si>
  <si>
    <t>604,08</t>
  </si>
  <si>
    <t>100341</t>
  </si>
  <si>
    <t>FABRICAÇÃO, MONTAGEM E DESMONTAGEM DE FÔRMA PARA CORTINA DE CONTENÇÃO, EM CHAPA DE MADEIRA COMPENSADA PLASTIFICADA, E = 18 MM, 10 UTILIZAÇÕES. AF_07/2019</t>
  </si>
  <si>
    <t>34,65</t>
  </si>
  <si>
    <t>100342</t>
  </si>
  <si>
    <t>ARMAÇÃO DE CORTINA DE CONTENÇÃO EM CONCRETO ARMADO, COM AÇO CA-50 DE 6,3 MM - MONTAGEM. AF_07/2019</t>
  </si>
  <si>
    <t>100343</t>
  </si>
  <si>
    <t>ARMAÇÃO DE CORTINA DE CONTENÇÃO EM CONCRETO ARMADO, COM AÇO CA-50 DE 8 MM - MONTAGEM. AF_07/2019</t>
  </si>
  <si>
    <t>17,58</t>
  </si>
  <si>
    <t>100344</t>
  </si>
  <si>
    <t>ARMAÇÃO DE CORTINA DE CONTENÇÃO EM CONCRETO ARMADO, COM AÇO CA-50 DE 10 MM - MONTAGEM. AF_07/2019</t>
  </si>
  <si>
    <t>15,89</t>
  </si>
  <si>
    <t>100345</t>
  </si>
  <si>
    <t>ARMAÇÃO DE CORTINA DE CONTENÇÃO EM CONCRETO ARMADO, COM AÇO CA-50 DE 12,5 MM - MONTAGEM. AF_07/2019</t>
  </si>
  <si>
    <t>13,52</t>
  </si>
  <si>
    <t>100346</t>
  </si>
  <si>
    <t>ARMAÇÃO DE CORTINA DE CONTENÇÃO EM CONCRETO ARMADO, COM AÇO CA-50 DE 16 MM - MONTAGEM. AF_07/2019</t>
  </si>
  <si>
    <t>12,99</t>
  </si>
  <si>
    <t>100347</t>
  </si>
  <si>
    <t>ARMAÇÃO DE CORTINA DE CONTENÇÃO EM CONCRETO ARMADO, COM AÇO CA-50 DE 20 MM - MONTAGEM. AF_07/2019</t>
  </si>
  <si>
    <t>14,71</t>
  </si>
  <si>
    <t>100348</t>
  </si>
  <si>
    <t>ARMAÇÃO DE CORTINA DE CONTENÇÃO EM CONCRETO ARMADO, COM AÇO CA-50 DE 25 MM - MONTAGEM. AF_07/2019</t>
  </si>
  <si>
    <t>14,44</t>
  </si>
  <si>
    <t>100349</t>
  </si>
  <si>
    <t>CONCRETAGEM DE CORTINA DE CONTENÇÃO, ATRAVÉS DE BOMBA   LANÇAMENTO, ADENSAMENTO E ACABAMENTO. AF_07/2019</t>
  </si>
  <si>
    <t>408,85</t>
  </si>
  <si>
    <t>102989</t>
  </si>
  <si>
    <t>CANALETA MEIA CANA PRÉ-MOLDADA DE CONCRETO (D = 20 CM) - FORNECIMENTO E INSTALAÇÃO. AF_08/2021</t>
  </si>
  <si>
    <t>28,52</t>
  </si>
  <si>
    <t>102990</t>
  </si>
  <si>
    <t>CANALETA MEIA CANA PRÉ-MOLDADA DE CONCRETO (D = 30 CM) - FORNECIMENTO E INSTALAÇÃO. AF_08/2021</t>
  </si>
  <si>
    <t>34,56</t>
  </si>
  <si>
    <t>102991</t>
  </si>
  <si>
    <t>CANALETA MEIA CANA PRÉ-MOLDADA DE CONCRETO (D = 40 CM) - FORNECIMENTO E INSTALAÇÃO. AF_08/2021</t>
  </si>
  <si>
    <t>44,66</t>
  </si>
  <si>
    <t>102992</t>
  </si>
  <si>
    <t>CANALETA MEIA CANA PRÉ-MOLDADA DE CONCRETO (D = 50 CM) - FORNECIMENTO E INSTALAÇÃO. AF_08/2021</t>
  </si>
  <si>
    <t>64,39</t>
  </si>
  <si>
    <t>102993</t>
  </si>
  <si>
    <t>CANALETA MEIA CANA PRÉ-MOLDADA DE CONCRETO (D = 60 CM) - FORNECIMENTO E INSTALAÇÃO. AF_08/2021</t>
  </si>
  <si>
    <t>84,00</t>
  </si>
  <si>
    <t>102994</t>
  </si>
  <si>
    <t>CANALETA MEIA CANA PRÉ-MOLDADA DE CONCRETO (D = 80 CM) - FORNECIMENTO E INSTALAÇÃO. AF_08/2021</t>
  </si>
  <si>
    <t>140,17</t>
  </si>
  <si>
    <t>102995</t>
  </si>
  <si>
    <t>EXECUÇÃO DE CANALETA DE CONCRETO MOLDADO IN LOCO, ESPESSURA DE 0,07 M, GEOMETRIA TRAPEZOIDAL (DIMENSÕES INTERNAS: B=0,6 M; B=0,147 M; H=0,2 M). AF_08/2021</t>
  </si>
  <si>
    <t>41,09</t>
  </si>
  <si>
    <t>102996</t>
  </si>
  <si>
    <t>EXECUÇÃO DE CANALETA DE CONCRETO MOLDADO IN LOCO, ESPESSURA DE 0,07 M, GEOMETRIA TRAPEZOIDAL (DIMENSÕES INTERNAS: B=0,9 M; B=0,246 M; H=0,3 M). AF_08/2021</t>
  </si>
  <si>
    <t>57,99</t>
  </si>
  <si>
    <t>102997</t>
  </si>
  <si>
    <t>EXECUÇÃO DE CANALETA DE CONCRETO MOLDADO IN LOCO, ESPESSURA DE 0,08 M, GEOMETRIA TRAPEZOIDAL (DIMENSÕES INTERNAS: B=1M; B=0,5 M; H=0,25 M). AF_08/2021</t>
  </si>
  <si>
    <t>76,84</t>
  </si>
  <si>
    <t>102998</t>
  </si>
  <si>
    <t>EXECUÇÃO DE CANALETA DE CONCRETO MOLDADO IN LOCO, ESPESSURA DE 0,08 M, GEOMETRIA TRAPEZOIDAL (DIMENSÕES INTERNAS: B=1,074 M; B=0,534 M; H=0,27 M). AF_08/2021</t>
  </si>
  <si>
    <t>73,71</t>
  </si>
  <si>
    <t>102999</t>
  </si>
  <si>
    <t>EXECUÇÃO DE CANALETA DE CONCRETO MOLDADO IN LOCO, ESPESSURA DE 0,08 M, GEOMETRIA TRAPEZOIDAL (DIMENSÕES INTERNAS: B=1,4 M; B=0,7 M; H=0,35 M). AF_08/2021</t>
  </si>
  <si>
    <t>93,18</t>
  </si>
  <si>
    <t>103000</t>
  </si>
  <si>
    <t>EXECUÇÃO DE CANALETA DE CONCRETO MOLDADO IN LOCO, ESPESSURA DE 0,08 M, GEOMETRIA TRAPEZOIDAL (DIMENSÕES INTERNAS: B=1,474 M; B=0,934 M; H=0,27 M). AF_08/2021</t>
  </si>
  <si>
    <t>93,57</t>
  </si>
  <si>
    <t>103001</t>
  </si>
  <si>
    <t>GRELHA DE FERRO FUNDIDO SIMPLES COM REQUADRO, 150 X 1000 MM, ASSENTADA COM ARGAMASSA 1 : 3 CIMENTO: AREIA - FORNECIMENTO E INSTALAÇÃO. AF_08/2021</t>
  </si>
  <si>
    <t>245,46</t>
  </si>
  <si>
    <t>103002</t>
  </si>
  <si>
    <t>GRELHA DE FERRO FUNDIDO SIMPLES COM REQUADRO, 200 X 1000 MM, ASSENTADA COM ARGAMASSA 1 : 3 CIMENTO: AREIA - FORNECIMENTO E INSTALAÇÃO. AF_08/2021</t>
  </si>
  <si>
    <t>306,87</t>
  </si>
  <si>
    <t>103003</t>
  </si>
  <si>
    <t>GRELHA DE FERRO FUNDIDO SIMPLES COM REQUADRO, 300 X 1000 MM, ASSENTADA COM ARGAMASSA 1 : 3 CIMENTO: AREIA - FORNECIMENTO E INSTALAÇÃO. AF_08/2021</t>
  </si>
  <si>
    <t>429,71</t>
  </si>
  <si>
    <t>103005</t>
  </si>
  <si>
    <t>CAIXA COM GRELHA RETANGULAR DE FERRO FUNDIDO, EM ALVENARIA COM TIJOLOS CERÂMICOS MACIÇOS, DIMENSÕES INTERNAS: 0,15 X 1,00 X 0,3 M. AF_08/2021</t>
  </si>
  <si>
    <t>549,22</t>
  </si>
  <si>
    <t>103006</t>
  </si>
  <si>
    <t>CAIXA COM GRELHA RETANGULAR DE FERRO FUNDIDO, EM ALVENARIA COM TIJOLOS CERÂMICOS MACIÇOS, DIMENSÕES INTERNAS: 0,20 X 1,00 X 0,4 M. AF_08/2021</t>
  </si>
  <si>
    <t>739,93</t>
  </si>
  <si>
    <t>103007</t>
  </si>
  <si>
    <t>CAIXA COM GRELHA RETANGULAR DE FERRO FUNDIDO, EM ALVENARIA COM TIJOLOS CERÂMICOS MACIÇOS, DIMENSÕES INTERNAS: 0,30 X 1,00 X 0,5 M. AF_08/2021</t>
  </si>
  <si>
    <t>979,61</t>
  </si>
  <si>
    <t>97933</t>
  </si>
  <si>
    <t>CAIXA COM GRELHA SIMPLES RETANGULAR, EM CONCRETO PRÉ-MOLDADO, DIMENSÕES INTERNAS: 0,6X1,0X1,0 M. AF_12/2020</t>
  </si>
  <si>
    <t>720,69</t>
  </si>
  <si>
    <t>97934</t>
  </si>
  <si>
    <t>CAIXA COM GRELHA DUPLA RETANGULAR, EM CONCRETO PRÉ-MOLDADO, DIMENSÕES INTERNAS: 0,6X2,2X1,0 M. AF_12/2020</t>
  </si>
  <si>
    <t>1.814,54</t>
  </si>
  <si>
    <t>97935</t>
  </si>
  <si>
    <t>CAIXA PARA BOCA DE LOBO SIMPLES RETANGULAR, EM CONCRETO PRÉ-MOLDADO, DIMENSÕES INTERNAS: 0,6X1,0X1,2 M. AF_12/2020</t>
  </si>
  <si>
    <t>638,43</t>
  </si>
  <si>
    <t>97936</t>
  </si>
  <si>
    <t>CAIXA PARA BOCA DE LOBO DUPLA RETANGULAR, EM CONCRETO PRÉ-MOLDADO, DIMENSÕES INTERNAS: 0,6X2,2X1,2 M. AF_12/2020</t>
  </si>
  <si>
    <t>1.724,59</t>
  </si>
  <si>
    <t>97947</t>
  </si>
  <si>
    <t>CAIXA COM GRELHA SIMPLES RETANGULAR, EM ALVENARIA COM TIJOLOS CERÂMICOS MACIÇOS, DIMENSÕES INTERNAS: 0,5X1X1 M. AF_12/2020</t>
  </si>
  <si>
    <t>1.355,62</t>
  </si>
  <si>
    <t>97948</t>
  </si>
  <si>
    <t>CAIXA COM GRELHA DUPLA RETANGULAR, EM ALVENARIA COM TIJOLOS CERÂMICOS MACIÇOS, DIMENSÕES INTERNAS: 0,5X2,2X1 M. AF_12/2020</t>
  </si>
  <si>
    <t>2.520,97</t>
  </si>
  <si>
    <t>97949</t>
  </si>
  <si>
    <t>CAIXA PARA BOCA DE LOBO SIMPLES RETANGULAR, EM ALVENARIA COM TIJOLOS CERÂMICOS MACIÇOS, DIMENSÕES INTERNAS: 0,6X1X1,2 M. AF_12/2020</t>
  </si>
  <si>
    <t>1.437,73</t>
  </si>
  <si>
    <t>97950</t>
  </si>
  <si>
    <t>CAIXA PARA BOCA DE LOBO DUPLA RETANGULAR, EM ALVENARIA COM TIJOLOS CERÂMICOS MACIÇOS, DIMENSÕES INTERNAS: 0,6X2,2X1,2 M. AF_12/2020</t>
  </si>
  <si>
    <t>2.570,08</t>
  </si>
  <si>
    <t>97951</t>
  </si>
  <si>
    <t>CAIXA PARA BOCA DE LOBO COMBINADA COM GRELHA RETANGULAR, EM ALVENARIA COM TIJOLOS CERÂMICOS MACIÇOS, DIMENSÕES INTERNAS: 1,3X1X1,2 M. AF_12/2020</t>
  </si>
  <si>
    <t>2.241,40</t>
  </si>
  <si>
    <t>97952</t>
  </si>
  <si>
    <t>CAIXA PARA BOCA DE LOBO DUPLA COMBINADA COM GRELHA RETANGULAR, EM ALVENARIA COM TIJOLOS CERÂMICOS MACIÇOS, DIMENSÕES INTERNAS: 1,3X2,2X1,2 M. AF_12/2020</t>
  </si>
  <si>
    <t>3.919,75</t>
  </si>
  <si>
    <t>97953</t>
  </si>
  <si>
    <t>CAIXA COM GRELHA SIMPLES RETANGULAR, EM ALVENARIA COM BLOCOS DE CONCRETO, DIMENSÕES INTERNAS: 0,5X1X1 M. AF_12/2020</t>
  </si>
  <si>
    <t>1.017,54</t>
  </si>
  <si>
    <t>97955</t>
  </si>
  <si>
    <t>CAIXA COM GRELHA DUPLA RETANGULAR, EM ALVENARIA COM BLOCOS DE CONCRETO, DIMENSÕES INTERNAS: 0,5X2,2X1 M. AF_12/2020</t>
  </si>
  <si>
    <t>2.237,46</t>
  </si>
  <si>
    <t>97956</t>
  </si>
  <si>
    <t>CAIXA PARA BOCA DE LOBO SIMPLES RETANGULAR, EM ALVENARIA COM BLOCOS DE CONCRETO, DIMENSÕES INTERNAS: 0,6X1X1,2 M. AF_12/2020</t>
  </si>
  <si>
    <t>1.175,80</t>
  </si>
  <si>
    <t>97957</t>
  </si>
  <si>
    <t>CAIXA PARA BOCA DE LOBO DUPLA RETANGULAR, EM ALVENARIA COM BLOCOS DE CONCRETO, DIMENSÕES INTERNAS: 0,6X2,2X1,2 M. AF_12/2020</t>
  </si>
  <si>
    <t>2.137,24</t>
  </si>
  <si>
    <t>97961</t>
  </si>
  <si>
    <t>CAIXA PARA BOCA DE LOBO COMBINADA COM GRELHA RETANGULAR, EM ALVENARIA COM BLOCOS DE CONCRETO, DIMENSÕES INTERNAS: 1,3X1X1,2 M. AF_12/2020</t>
  </si>
  <si>
    <t>1.843,35</t>
  </si>
  <si>
    <t>97973</t>
  </si>
  <si>
    <t>CAIXA PARA BOCA DE LOBO DUPLA COMBINADA COM GRELHA RETANGULAR, EM ALVENARIA COM BLOCOS DE CONCRETO, DIMENSÕES INTERNAS: 1,3X2,2X1,2 M. AF_12/2020</t>
  </si>
  <si>
    <t>3.492,37</t>
  </si>
  <si>
    <t>97974</t>
  </si>
  <si>
    <t>POÇO DE INSPEÇÃO CIRCULAR PARA ESGOTO, EM CONCRETO PRÉ-MOLDADO, DIÂMETRO INTERNO = 0,6 M, PROFUNDIDADE = 1 M, EXCLUINDO TAMPÃO. AF_12/2020</t>
  </si>
  <si>
    <t>360,41</t>
  </si>
  <si>
    <t>97975</t>
  </si>
  <si>
    <t>POÇO DE INSPEÇÃO CIRCULAR PARA ESGOTO, EM CONCRETO PRÉ-MOLDADO, DIÂMETRO INTERNO = 0,6 M, PROFUNDIDADE = 1,5 M, EXCLUINDO TAMPÃO. AF_12/2020</t>
  </si>
  <si>
    <t>380,53</t>
  </si>
  <si>
    <t>97976</t>
  </si>
  <si>
    <t>POÇO DE INSPEÇÃO CIRCULAR PARA ESGOTO, EM ALVENARIA COM TIJOLOS CERÂMICOS MACIÇOS, DIÂMETRO INTERNO = 0,6 M, PROFUNDIDADE = 1 M, EXCLUINDO TAMPÃO. AF_12/2020</t>
  </si>
  <si>
    <t>954,03</t>
  </si>
  <si>
    <t>97977</t>
  </si>
  <si>
    <t>POÇO DE INSPEÇÃO CIRCULAR PARA ESGOTO, EM ALVENARIA COM TIJOLOS CERÂMICOS MACIÇOS, DIÂMETRO INTERNO = 0,6 M, PROFUNDIDADE = 1,5 M, EXCLUINDO TAMPÃO. AF_12/2020</t>
  </si>
  <si>
    <t>1.318,23</t>
  </si>
  <si>
    <t>97978</t>
  </si>
  <si>
    <t>BASE PARA POÇO DE VISITA CIRCULAR PARA ESGOTO, EM CONCRETO PRÉ-MOLDADO, DIÂMETRO INTERNO = 0,8 M, PROFUNDIDADE = 1,45 M, EXCLUINDO TAMPÃO. AF_12/2020</t>
  </si>
  <si>
    <t>738,79</t>
  </si>
  <si>
    <t>97980</t>
  </si>
  <si>
    <t>BASE PARA POÇO DE VISITA CIRCULAR PARA  ESGOTO, EM ALVENARIA COM TIJOLOS CERÂMICOS MACIÇOS, DIÂMETRO INTERNO = 0,8 M, PROFUNDIDADE = 1,45 M, EXCLUINDO TAMPÃO. AF_12/2020</t>
  </si>
  <si>
    <t>1.770,18</t>
  </si>
  <si>
    <t>97981</t>
  </si>
  <si>
    <t>ACRÉSCIMO PARA POÇO DE VISITA CIRCULAR PARA ESGOTO, EM ALVENARIA COM TIJOLOS CERÂMICOS MACIÇOS, DIÂMETRO INTERNO = 0,8 M. AF_12/2020</t>
  </si>
  <si>
    <t>957,19</t>
  </si>
  <si>
    <t>97983</t>
  </si>
  <si>
    <t>ACRÉSCIMO PARA POÇO DE VISITA CIRCULAR PARA ESGOTO, EM CONCRETO PRÉ-MOLDADO, DIÂMETRO INTERNO = 1 M. AF_12/2020</t>
  </si>
  <si>
    <t>358,23</t>
  </si>
  <si>
    <t>97985</t>
  </si>
  <si>
    <t>ACRÉSCIMO PARA POÇO DE VISITA CIRCULAR PARA  ESGOTO, EM ALVENARIA COM TIJOLOS CERÂMICOS MACIÇOS, DIÂMETRO INTERNO = 1 M. AF_12/2020</t>
  </si>
  <si>
    <t>1.154,76</t>
  </si>
  <si>
    <t>97987</t>
  </si>
  <si>
    <t>ACRÉSCIMO PARA POÇO DE VISITA CIRCULAR PARA ESGOTO, EM CONCRETO PRÉ-MOLDADO, DIÂMETRO INTERNO = 1,2 M. AF_12/2020</t>
  </si>
  <si>
    <t>473,83</t>
  </si>
  <si>
    <t>97988</t>
  </si>
  <si>
    <t>BASE PARA POÇO DE VISITA CIRCULAR PARA  ESGOTO, EM ALVENARIA COM TIJOLOS CERÂMICOS MACIÇOS, DIÂMETRO INTERNO = 1,2 M, PROFUNDIDADE = 1,45 M, EXCLUINDO TAMPÃO. AF_12/2020</t>
  </si>
  <si>
    <t>2.612,26</t>
  </si>
  <si>
    <t>97989</t>
  </si>
  <si>
    <t>ACRÉSCIMO PARA POÇO DE VISITA CIRCULAR PARA ESGOTO, EM ALVENARIA COM TIJOLOS CERÂMICOS MACIÇOS, DIÂMETRO INTERNO = 1,2 M. AF_12/2020</t>
  </si>
  <si>
    <t>1.352,39</t>
  </si>
  <si>
    <t>97991</t>
  </si>
  <si>
    <t>ACRÉSCIMO PARA POÇO DE VISITA CIRCULAR PARA  ESGOTO, EM CONCRETO PRÉ-MOLDADO, DIÂMETRO INTERNO = 1,5 M. AF_12/2020</t>
  </si>
  <si>
    <t>684,46</t>
  </si>
  <si>
    <t>97992</t>
  </si>
  <si>
    <t>BASE PARA POÇO DE VISITA CIRCULAR PARA ESGOTO, EM ALVENARIA COM TIJOLOS CERÂMICOS MACIÇOS, DIÂMETRO INTERNO = 1,5 M, PROFUNDIDADE = 1,45 M, EXCLUINDO TAMPÃO. AF_12/2020</t>
  </si>
  <si>
    <t>3.356,46</t>
  </si>
  <si>
    <t>97993</t>
  </si>
  <si>
    <t>ACRÉSCIMO PARA POÇO DE VISITA CIRCULAR PARA  ESGOTO, EM ALVENARIA COM TIJOLOS CERÂMICOS MACIÇOS, DIÂMETRO INTERNO = 1,5 M. AF_12/2020</t>
  </si>
  <si>
    <t>1.648,80</t>
  </si>
  <si>
    <t>97994</t>
  </si>
  <si>
    <t>BASE PARA POÇO DE VISITA RETANGULAR PARA  ESGOTO, EM ALVENARIA COM BLOCOS DE CONCRETO, DIMENSÕES INTERNAS = 1X1 M, PROFUNDIDADE = 1,45 M, EXCLUINDO TAMPÃO. AF_12/2020</t>
  </si>
  <si>
    <t>2.248,44</t>
  </si>
  <si>
    <t>97995</t>
  </si>
  <si>
    <t>ACRÉSCIMO PARA POÇO DE VISITA RETANGULAR PARA ESGOTO, EM ALVENARIA COM BLOCOS DE CONCRETO, DIMENSÕES INTERNAS = 1X1 M. AF_12/2020</t>
  </si>
  <si>
    <t>1.058,58</t>
  </si>
  <si>
    <t>97996</t>
  </si>
  <si>
    <t>BASE PARA POÇO DE VISITA RETANGULAR PARA ESGOTO, EM ALVENARIA COM BLOCOS DE CONCRETO, DIMENSÕES INTERNAS = 1X1,5 M, PROFUNDIDADE = 1,45 M, EXCLUINDO TAMPÃO. AF_12/2020</t>
  </si>
  <si>
    <t>2.846,55</t>
  </si>
  <si>
    <t>97997</t>
  </si>
  <si>
    <t>ACRÉSCIMO PARA POÇO DE VISITA RETANGULAR PARA ESGOTO, EM ALVENARIA COM BLOCOS DE CONCRETO, DIMENSÕES INTERNAS = 1X1,5 M. AF_12/2020</t>
  </si>
  <si>
    <t>1.263,02</t>
  </si>
  <si>
    <t>97999</t>
  </si>
  <si>
    <t>ACRÉSCIMO PARA POÇO DE VISITA RETANGULAR PARA ESGOTO, EM ALVENARIA COM BLOCOS DE CONCRETO, DIMENSÕES INTERNAS = 1X2 M. AF_12/2020</t>
  </si>
  <si>
    <t>1.467,49</t>
  </si>
  <si>
    <t>98001</t>
  </si>
  <si>
    <t>ACRÉSCIMO PARA POÇO DE VISITA RETANGULAR PARA ESGOTO, EM ALVENARIA COM BLOCOS DE CONCRETO, DIMENSÕES INTERNAS = 1X2,5 M. AF_12/2020</t>
  </si>
  <si>
    <t>1.671,92</t>
  </si>
  <si>
    <t>98002</t>
  </si>
  <si>
    <t>BASE PARA POÇO DE VISITA RETANGULAR PARA ESGOTO, EM ALVENARIA COM BLOCOS DE CONCRETO, DIMENSÕES INTERNAS = 1X3 M, PROFUNDIDADE = 1,45 M, EXCLUINDO TAMPÃO. AF_12/2020</t>
  </si>
  <si>
    <t>4.673,44</t>
  </si>
  <si>
    <t>98003</t>
  </si>
  <si>
    <t>ACRÉSCIMO PARA POÇO DE VISITA RETANGULAR PARA ESGOTO, EM ALVENARIA COM BLOCOS DE CONCRETO, DIMENSÕES INTERNAS = 1X3 M. AF_12/2020</t>
  </si>
  <si>
    <t>1.876,43</t>
  </si>
  <si>
    <t>98005</t>
  </si>
  <si>
    <t>ACRÉSCIMO PARA POÇO DE VISITA RETANGULAR PARA ESGOTO, EM ALVENARIA COM BLOCOS DE CONCRETO, DIMENSÕES INTERNAS = 1X3,5 M. AF_12/2020</t>
  </si>
  <si>
    <t>2.080,89</t>
  </si>
  <si>
    <t>98006</t>
  </si>
  <si>
    <t>BASE PARA POÇO DE VISITA RETANGULAR PARA ESGOTO, EM ALVENARIA COM BLOCOS DE CONCRETO, DIMENSÕES INTERNAS = 1X4 M, PROFUNDIDADE = 1,45 M, EXCLUINDO TAMPÃO. AF_12/2020</t>
  </si>
  <si>
    <t>5.873,06</t>
  </si>
  <si>
    <t>98007</t>
  </si>
  <si>
    <t>ACRÉSCIMO PARA POÇO DE VISITA RETANGULAR PARA ESGOTO, EM ALVENARIA COM BLOCOS DE CONCRETO, DIMENSÕES INTERNAS = 1X4 M. AF_12/2020</t>
  </si>
  <si>
    <t>2.285,33</t>
  </si>
  <si>
    <t>98008</t>
  </si>
  <si>
    <t>BASE PARA POÇO DE VISITA RETANGULAR PARA ESGOTO, EM ALVENARIA COM BLOCOS DE CONCRETO, DIMENSÕES INTERNAS = 1,5X1,5 M, PROFUNDIDADE = 1,45 M, EXCLUINDO TAMPÃO . AF_12/2020</t>
  </si>
  <si>
    <t>3.529,92</t>
  </si>
  <si>
    <t>98009</t>
  </si>
  <si>
    <t>ACRÉSCIMO PARA POÇO DE VISITA RETANGULAR PARA ESGOTO, EM ALVENARIA COM BLOCOS DE CONCRETO, DIMENSÕES INTERNAS = 1,5X1,5 M. AF_12/2020</t>
  </si>
  <si>
    <t>98010</t>
  </si>
  <si>
    <t>BASE PARA POÇO DE VISITA RETANGULAR PARA ESGOTO, EM ALVENARIA COM BLOCOS DE CONCRETO, DIMENSÕES INTERNAS = 1,5X2 M, PROFUNDIDADE = 1,45 M, EXCLUINDO TAMPÃO. AF_12/2020</t>
  </si>
  <si>
    <t>4.312,49</t>
  </si>
  <si>
    <t>98011</t>
  </si>
  <si>
    <t>ACRÉSCIMO PARA POÇO DE VISITA RETANGULAR PARA ESGOTO, EM ALVENARIA COM BLOCOS DE CONCRETO, DIMENSÕES INTERNAS = 1,5X2 M. AF_12/2020</t>
  </si>
  <si>
    <t>98012</t>
  </si>
  <si>
    <t>BASE PARA POÇO DE VISITA RETANGULAR PARA ESGOTO, EM ALVENARIA COM BLOCOS DE CONCRETO, DIMENSÕES INTERNAS = 1,5X2,5 M, PROFUNDIDADE = 1,45 M, EXCLUINDO TAMPÃO. AF_12/2020</t>
  </si>
  <si>
    <t>5.068,94</t>
  </si>
  <si>
    <t>98013</t>
  </si>
  <si>
    <t>ACRÉSCIMO PARA POÇO DE VISITA RETANGULAR PARA ESGOTO, EM ALVENARIA COM BLOCOS DE CONCRETO, DIMENSÕES INTERNAS = 1,5X2,5 M. AF_12/2020</t>
  </si>
  <si>
    <t>98014</t>
  </si>
  <si>
    <t>BASE PARA POÇO DE VISITA RETANGULAR PARA ESGOTO, EM ALVENARIA COM BLOCOS DE CONCRETO, DIMENSÕES INTERNAS = 1,5X3 M, PROFUNDIDADE = 1,45 M, EXCLUINDO TAMPÃO. AF_12/2020</t>
  </si>
  <si>
    <t>5.825,36</t>
  </si>
  <si>
    <t>98015</t>
  </si>
  <si>
    <t>ACRÉSCIMO PARA POÇO DE VISITA RETANGULAR PARA ESGOTO, EM ALVENARIA COM BLOCOS DE CONCRETO, DIMENSÕES INTERNAS = 1,5X3 M. AF_12/2020</t>
  </si>
  <si>
    <t>98016</t>
  </si>
  <si>
    <t>BASE PARA POÇO DE VISITA RETANGULAR PARA ESGOTO, EM ALVENARIA COM BLOCOS DE CONCRETO, DIMENSÕES INTERNAS = 1,5X3,5 M, PROFUNDIDADE = 1,45 M, EXCLUINDO TAMPÃO. AF_12/2020</t>
  </si>
  <si>
    <t>6.585,07</t>
  </si>
  <si>
    <t>98017</t>
  </si>
  <si>
    <t>ACRÉSCIMO PARA POÇO DE VISITA RETANGULAR PARA ESGOTO, EM ALVENARIA COM BLOCOS DE CONCRETO, DIMENSÕES INTERNAS = 1,5X3,5 M. AF_12/2020</t>
  </si>
  <si>
    <t>98018</t>
  </si>
  <si>
    <t>BASE PARA POÇO DE VISITA RETANGULAR PARA ESGOTO, EM ALVENARIA COM BLOCOS DE CONCRETO, DIMENSÕES INTERNAS = 1,5X4 M, PROFUNDIDADE = 1,45 M, EXCLUINDO TAMPÃO. AF_12/2020</t>
  </si>
  <si>
    <t>7.338,31</t>
  </si>
  <si>
    <t>98019</t>
  </si>
  <si>
    <t>ACRÉSCIMO PARA POÇO DE VISITA RETANGULAR PARA ESGOTO, EM ALVENARIA COM BLOCOS DE CONCRETO, DIMENSÕES INTERNAS = 1,5X4 M. AF_12/2020</t>
  </si>
  <si>
    <t>2.508,72</t>
  </si>
  <si>
    <t>98020</t>
  </si>
  <si>
    <t>BASE PARA POÇO DE VISITA RETANGULAR PARA ESGOTO, EM ALVENARIA COM BLOCOS DE CONCRETO, DIMENSÕES INTERNAS = 2X2 M, PROFUNDIDADE = 1,45 M, EXCLUINDO TAMPÃO. AF_12/2020</t>
  </si>
  <si>
    <t>5.199,89</t>
  </si>
  <si>
    <t>98021</t>
  </si>
  <si>
    <t>ACRÉSCIMO PARA POÇO DE VISITA RETANGULAR PARA ESGOTO, EM ALVENARIA COM BLOCOS DE CONCRETO, DIMENSÕES INTERNAS = 2X2 M. AF_12/2020</t>
  </si>
  <si>
    <t>1.895,43</t>
  </si>
  <si>
    <t>98022</t>
  </si>
  <si>
    <t>BASE PARA POÇO DE VISITA RETANGULAR PARA ESGOTO, EM ALVENARIA COM BLOCOS DE CONCRETO, DIMENSÕES INTERNAS = 2X2,5 M, PROFUNDIDADE = 1,45 M, EXCLUINDO TAMPÃO. AF_12/2020</t>
  </si>
  <si>
    <t>6.105,27</t>
  </si>
  <si>
    <t>98023</t>
  </si>
  <si>
    <t>ACRÉSCIMO PARA POÇO DE VISITA RETANGULAR PARA ESGOTO, EM ALVENARIA COM BLOCOS DE CONCRETO, DIMENSÕES INTERNAS = 2X2,5 M. AF_12/2020</t>
  </si>
  <si>
    <t>2.099,83</t>
  </si>
  <si>
    <t>98024</t>
  </si>
  <si>
    <t>BASE PARA POÇO DE VISITA RETANGULAR PARA ESGOTO, EM ALVENARIA COM BLOCOS DE CONCRETO, DIMENSÕES INTERNAS = 2X3 M, PROFUNDIDADE = 1,45 M, EXCLUINDO TAMPÃO. AF_12/2020</t>
  </si>
  <si>
    <t>7.062,58</t>
  </si>
  <si>
    <t>98025</t>
  </si>
  <si>
    <t>ACRÉSCIMO PARA POÇO DE VISITA RETANGULAR PARA ESGOTO, EM ALVENARIA COM BLOCOS DE CONCRETO, DIMENSÕES INTERNAS = 2X3 M. AF_12/2020</t>
  </si>
  <si>
    <t>2.304,33</t>
  </si>
  <si>
    <t>98026</t>
  </si>
  <si>
    <t>BASE PARA POÇO DE VISITA RETANGULAR PARA ESGOTO, EM ALVENARIA COM BLOCOS DE CONCRETO, DIMENSÕES INTERNAS = 2X3,5 M, PROFUNDIDADE = 1,45 M, EXCLUINDO TAMPÃO. AF_12/2020</t>
  </si>
  <si>
    <t>7.969,46</t>
  </si>
  <si>
    <t>98027</t>
  </si>
  <si>
    <t>ACRÉSCIMO PARA POÇO DE VISITA RETANGULAR PARA ESGOTO, EM ALVENARIA COM BLOCOS DE CONCRETO, DIMENSÕES INTERNAS = 2X3,5 M. AF_12/2020</t>
  </si>
  <si>
    <t>98028</t>
  </si>
  <si>
    <t>BASE PARA POÇO DE VISITA RETANGULAR PARA ESGOTO, EM ALVENARIA COM BLOCOS DE CONCRETO, DIMENSÕES INTERNAS = 2X4 M, PROFUNDIDADE = 1,45 M, EXCLUINDO TAMPÃO. AF_12/2020</t>
  </si>
  <si>
    <t>8.876,40</t>
  </si>
  <si>
    <t>98029</t>
  </si>
  <si>
    <t>ACRÉSCIMO PARA POÇO DE VISITA RETANGULAR PARA ESGOTO, EM ALVENARIA COM BLOCOS DE CONCRETO, DIMENSÕES INTERNAS = 2X4 M. AF_12/2020</t>
  </si>
  <si>
    <t>2.717,11</t>
  </si>
  <si>
    <t>98030</t>
  </si>
  <si>
    <t>BASE PARA POÇO DE VISITA RETANGULAR PARA ESGOTO, EM ALVENARIA COM BLOCOS DE CONCRETO, DIMENSÕES INTERNAS = 2,5X2,5 M, PROFUNDIDADE = 1,45 M, EXCLUINDO TAMPÃO. AF_12/2020</t>
  </si>
  <si>
    <t>7.214,80</t>
  </si>
  <si>
    <t>98031</t>
  </si>
  <si>
    <t>ACRÉSCIMO PARA POÇO DE VISITA RETANGULAR PARA ESGOTO, EM ALVENARIA COM BLOCOS DE CONCRETO, DIMENSÕES INTERNAS = 2,5X2,5 M. AF_12/2020</t>
  </si>
  <si>
    <t>2.308,29</t>
  </si>
  <si>
    <t>98032</t>
  </si>
  <si>
    <t>BASE PARA POÇO DE VISITA RETANGULAR PARA ESGOTO, EM ALVENARIA COM BLOCOS DE CONCRETO, DIMENSÕES INTERNAS = 2,5X3 M, PROFUNDIDADE = 1,45 M, EXCLUINDO TAMPÃO. AF_12/2020</t>
  </si>
  <si>
    <t>8.302,42</t>
  </si>
  <si>
    <t>98033</t>
  </si>
  <si>
    <t>ACRÉSCIMO PARA POÇO DE VISITA RETANGULAR PARA ESGOTO, EM ALVENARIA COM BLOCOS DE CONCRETO, DIMENSÕES INTERNAS = 2,5X3 M. AF_12/2020</t>
  </si>
  <si>
    <t>2.512,68</t>
  </si>
  <si>
    <t>98034</t>
  </si>
  <si>
    <t>BASE PARA POÇO DE VISITA RETANGULAR PARA ESGOTO, EM ALVENARIA COM BLOCOS DE CONCRETO, DIMENSÕES INTERNAS = 2,5X3,5 M, PROFUNDIDADE = 1,45 M, EXCLUINDO TAMPÃO. AF_12/2020</t>
  </si>
  <si>
    <t>9.389,97</t>
  </si>
  <si>
    <t>98035</t>
  </si>
  <si>
    <t>ACRÉSCIMO PARA POÇO DE VISITA RETANGULAR PARA ESGOTO, EM ALVENARIA COM BLOCOS DE CONCRETO, DIMENSÕES INTERNAS = 2,5X3,5 M. AF_12/2020</t>
  </si>
  <si>
    <t>98036</t>
  </si>
  <si>
    <t>BASE PARA POÇO DE VISITA RETANGULAR PARA ESGOTO, EM ALVENARIA COM BLOCOS DE CONCRETO, DIMENSÕES INTERNAS = 2,5X4 M, PROFUNDIDADE = 1,45 M, EXCLUINDO TAMPÃO. AF_12/2020</t>
  </si>
  <si>
    <t>10.477,64</t>
  </si>
  <si>
    <t>98037</t>
  </si>
  <si>
    <t>ACRÉSCIMO PARA POÇO DE VISITA RETANGULAR PARA ESGOTO, EM ALVENARIA COM BLOCOS DE CONCRETO, DIMENSÕES INTERNAS = 2,5X4 M. AF_12/2020</t>
  </si>
  <si>
    <t>2.925,49</t>
  </si>
  <si>
    <t>98038</t>
  </si>
  <si>
    <t>BASE PARA POÇO DE VISITA RETANGULAR PARA ESGOTO, EM ALVENARIA COM BLOCOS DE CONCRETO, DIMENSÕES INTERNAS = 3X3 M, PROFUNDIDADE = 1,45 M, EXCLUINDO TAMPÃO. AF_12/2020</t>
  </si>
  <si>
    <t>9.581,90</t>
  </si>
  <si>
    <t>98039</t>
  </si>
  <si>
    <t>ACRÉSCIMO PARA POÇO DE VISITA RETANGULAR PARA ESGOTO, EM ALVENARIA COM BLOCOS DE CONCRETO, DIMENSÕES INTERNAS = 3X3 M. AF_12/2020</t>
  </si>
  <si>
    <t>2.721,07</t>
  </si>
  <si>
    <t>98040</t>
  </si>
  <si>
    <t>BASE PARA POÇO DE VISITA RETANGULAR PARA ESGOTO, EM ALVENARIA COM BLOCOS DE CONCRETO, DIMENSÕES INTERNAS = 3X3,5 M, PROFUNDIDADE = 1,45 M, EXCLUINDO TAMPÃO. AF_12/2020</t>
  </si>
  <si>
    <t>10.831,36</t>
  </si>
  <si>
    <t>98041</t>
  </si>
  <si>
    <t>ACRÉSCIMO PARA POÇO DE VISITA RETANGULAR PARA ESGOTO, EM ALVENARIA COM BLOCOS DE CONCRETO, DIMENSÕES INTERNAS = 3X3,5 M. AF_12/2020</t>
  </si>
  <si>
    <t>98042</t>
  </si>
  <si>
    <t>BASE PARA POÇO DE VISITA RETANGULAR PARA ESGOTO, EM ALVENARIA COM BLOCOS DE CONCRETO, DIMENSÕES INTERNAS = 3X4 M, PROFUNDIDADE = 1,45 M, EXCLUINDO TAMPÃO. AF_12/2020</t>
  </si>
  <si>
    <t>12.080,79</t>
  </si>
  <si>
    <t>98043</t>
  </si>
  <si>
    <t>ACRÉSCIMO PARA POÇO DE VISITA RETANGULAR PARA ESGOTO, EM ALVENARIA COM BLOCOS DE CONCRETO, DIMENSÕES INTERNAS = 3X4 M. AF_12/2020</t>
  </si>
  <si>
    <t>3.133,92</t>
  </si>
  <si>
    <t>98044</t>
  </si>
  <si>
    <t>BASE PARA POÇO DE VISITA RETANGULAR PARA ESGOTO, EM ALVENARIA COM BLOCOS DE CONCRETO, DIMENSÕES INTERNAS = 3,5X3,5 M, PROFUNDIDADE = 1,45 M, EXCLUINDO TAMPÃO. AF_12/2020</t>
  </si>
  <si>
    <t>12.261,61</t>
  </si>
  <si>
    <t>98045</t>
  </si>
  <si>
    <t>ACRÉSCIMO PARA POÇO DE VISITA RETANGULAR PARA ESGOTO, EM ALVENARIA COM BLOCOS DE CONCRETO, DIMENSÕES INTERNAS = 3,5X3,5 M. AF_12/2020</t>
  </si>
  <si>
    <t>98046</t>
  </si>
  <si>
    <t>BASE PARA POÇO DE VISITA RETANGULAR PARA ESGOTO, EM ALVENARIA COM BLOCOS DE CONCRETO, DIMENSÕES INTERNAS = 3,5X4 M, PROFUNDIDADE = 1,45 M, EXCLUINDO TAMPÃO. AF_12/2020</t>
  </si>
  <si>
    <t>13.683,94</t>
  </si>
  <si>
    <t>98047</t>
  </si>
  <si>
    <t>ACRÉSCIMO PARA POÇO DE VISITA RETANGULAR PARA ESGOTO, EM ALVENARIA COM BLOCOS DE CONCRETO, DIMENSÕES INTERNAS = 3,5X4 M. AF_12/2020</t>
  </si>
  <si>
    <t>3.342,30</t>
  </si>
  <si>
    <t>98048</t>
  </si>
  <si>
    <t>BASE PARA POÇO DE VISITA RETANGULAR PARA ESGOTO, EM ALVENARIA COM BLOCOS DE CONCRETO, DIMENSÕES INTERNAS = 4X4 M, PROFUNDIDADE = 1,45 M, EXCLUINDO TAMPÃO. AF_12/2020</t>
  </si>
  <si>
    <t>15.899,35</t>
  </si>
  <si>
    <t>98049</t>
  </si>
  <si>
    <t>ACRÉSCIMO PARA POÇO DE VISITA RETANGULAR PARA ESGOTO, EM ALVENARIA COM BLOCOS DE CONCRETO, DIMENSÕES INTERNAS = 4X4 M. AF_12/2020</t>
  </si>
  <si>
    <t>3.512,01</t>
  </si>
  <si>
    <t>98050</t>
  </si>
  <si>
    <t>CHAMINÉ CIRCULAR PARA POÇO DE VISITA PARA ESGOTO, EM CONCRETO PRÉ-MOLDADO, DIÂMETRO INTERNO = 0,6 M. AF_12/2020</t>
  </si>
  <si>
    <t>197,13</t>
  </si>
  <si>
    <t>98051</t>
  </si>
  <si>
    <t>CHAMINÉ CIRCULAR PARA POÇO DE VISITA PARA ESGOTO, EM ALVENARIA COM TIJOLOS CERÂMICOS MACIÇOS, DIÂMETRO INTERNO = 0,6 M. AF_12/2020</t>
  </si>
  <si>
    <t>771,30</t>
  </si>
  <si>
    <t>98405</t>
  </si>
  <si>
    <t>BASE PARA POÇO DE VISITA CIRCULAR PARA  ESGOTO, EM ALVENARIA COM TIJOLOS CERÂMICOS MACIÇOS, DIÂMETRO INTERNO = 1 M, PROFUNDIDADE = 1,45 M, EXCLUINDO TAMPÃO. AF_12/2020</t>
  </si>
  <si>
    <t>2.189,04</t>
  </si>
  <si>
    <t>98406</t>
  </si>
  <si>
    <t>BASE PARA POÇO DE VISITA RETANGULAR PARA ESGOTO, EM ALVENARIA COM BLOCOS DE CONCRETO, DIMENSÕES INTERNAS = 1X3,5 M, PROFUNDIDADE = 1,45 M, EXCLUINDO TAMPÃO. AF_12/2020</t>
  </si>
  <si>
    <t>5.275,60</t>
  </si>
  <si>
    <t>98407</t>
  </si>
  <si>
    <t>BASE PARA POÇO DE VISITA RETANGULAR PARA ESGOTO, EM ALVENARIA COM BLOCOS DE CONCRETO, DIMENSÕES INTERNAS = 1X2 M, PROFUNDIDADE = 1,45 M, EXCLUINDO TAMPÃO. AF_12/2020</t>
  </si>
  <si>
    <t>3.444,51</t>
  </si>
  <si>
    <t>98408</t>
  </si>
  <si>
    <t>BASE PARA POÇO DE VISITA RETANGULAR PARA ESGOTO, EM ALVENARIA COM BLOCOS DE CONCRETO, DIMENSÕES INTERNAS = 1X2,5 M, PROFUNDIDADE = 1,45 M, EXCLUINDO TAMPÃO. AF_12/2020</t>
  </si>
  <si>
    <t>4.042,54</t>
  </si>
  <si>
    <t>98409</t>
  </si>
  <si>
    <t>ACRÉSCIMO PARA POÇO DE VISITA CIRCULAR PARA ESGOTO, EM CONCRETO PRÉ-MOLDADO, DIÂMETRO INTERNO = 0,8 M. AF_12/2020</t>
  </si>
  <si>
    <t>272,93</t>
  </si>
  <si>
    <t>98410</t>
  </si>
  <si>
    <t>BASE PARA POÇO DE VISITA CIRCULAR PARA ESGOTO, EM CONCRETO PRÉ-MOLDADO, DIÂMETRO INTERNO = 1 M, PROFUNDIDADE = 1,45 M, EXCLUINDO TAMPÃO. AF_12/2020</t>
  </si>
  <si>
    <t>958,67</t>
  </si>
  <si>
    <t>98414</t>
  </si>
  <si>
    <t>BASE PARA POÇO DE VISITA CIRCULAR PARA  ESGOTO, EM CONCRETO PRÉ-MOLDADO, DIÂMETRO INTERNO = 1 M, PROFUNDIDADE = 1,45 M, EXCLUINDO TAMPÃO. AF_12/2020</t>
  </si>
  <si>
    <t>945,66</t>
  </si>
  <si>
    <t>98415</t>
  </si>
  <si>
    <t>(COMPOSIÇÃO REPRESENTATIVA) POÇO DE VISITA CIRCULAR PARA ESGOTO, EM CONCRETO PRÉ-MOLDADO, DIÂMETRO INTERNO = 1,0 M, PROFUNDIDADE ATÉ 1,50 M, EXCLUINDO TAMPÃO. AF_04/2018</t>
  </si>
  <si>
    <t>1.121,60</t>
  </si>
  <si>
    <t>98416</t>
  </si>
  <si>
    <t>(COMPOSIÇÃO REPRESENTATIVA) POÇO DE VISITA CIRCULAR PARA ESGOTO, EM CONCRETO PRÉ-MOLDADO, DIÂMETRO INTERNO = 1,0 M, PROFUNDIDADE DE 1,50 A 2,00 M, EXCLUINDO TAMPÃO. AF_04/2018</t>
  </si>
  <si>
    <t>1.124,77</t>
  </si>
  <si>
    <t>98417</t>
  </si>
  <si>
    <t>(COMPOSIÇÃO REPRESENTATIVA) POÇO DE VISITA CIRCULAR PARA ESGOTO, EM CONCRETO PRÉ-MOLDADO, DIÂMETRO INTERNO = 1,0 M, PROFUNDIDADE DE 2,00 A 2,50 M, EXCLUINDO TAMPÃO. AF_04/2018</t>
  </si>
  <si>
    <t>1.303,89</t>
  </si>
  <si>
    <t>98418</t>
  </si>
  <si>
    <t>(COMPOSIÇÃO REPRESENTATIVA) POÇO DE VISITA CIRCULAR PARA ESGOTO, EM CONCRETO PRÉ-MOLDADO, DIÂMETRO INTERNO = 1,0 M, PROFUNDIDADE DE 2,50 A 3,00 M, EXCLUINDO TAMPÃO. AF_04/2018</t>
  </si>
  <si>
    <t>1.402,45</t>
  </si>
  <si>
    <t>98419</t>
  </si>
  <si>
    <t>(COMPOSIÇÃO REPRESENTATIVA) POÇO DE VISITA CIRCULAR PARA ESGOTO, EM CONCRETO PRÉ-MOLDADO, DIÂMETRO INTERNO = 1,0 M, PROFUNDIDADE DE 3,00 A 3,50 M, EXCLUINDO TAMPÃO. AF_04/2018</t>
  </si>
  <si>
    <t>1.501,02</t>
  </si>
  <si>
    <t>98420</t>
  </si>
  <si>
    <t>(COMPOSIÇÃO REPRESENTATIVA) POÇO DE VISITA CIRCULAR PARA ESGOTO, EM CONCRETO PRÉ-MOLDADO, DIÂMETRO INTERNO = 1,0 M, PROFUNDIDADE ATÉ 1,50 M, INCLUINDO TAMPÃO DE FERRO FUNDIDO, DIÂMETRO DE 60 CM. AF_04/2018</t>
  </si>
  <si>
    <t>1.676,48</t>
  </si>
  <si>
    <t>98421</t>
  </si>
  <si>
    <t>(COMPOSIÇÃO REPRESENTATIVA) POÇO DE VISITA CIRCULAR PARA ESGOTO, EM CONCRETO PRÉ-MOLDADO, DIÂMETRO INTERNO = 1,0 M, PROFUNDIDADE DE 1,50 A 2,00 M, INCLUINDO TAMPÃO DE FERRO FUNDIDO, DIÂMETRO DE 60 CM. AF_04/2018</t>
  </si>
  <si>
    <t>1.855,59</t>
  </si>
  <si>
    <t>98422</t>
  </si>
  <si>
    <t>(COMPOSIÇÃO REPRESENTATIVA) POÇO DE VISITA CIRCULAR PARA ESGOTO, EM CONCRETO PRÉ-MOLDADO, DIÂMETRO INTERNO = 1,0 M, PROFUNDIDADE DE 2,00 A 2,50 M, INCLUINDO TAMPÃO DE FERRO FUNDIDO, DIÂMETRO DE 60 CM. AF_04/2018</t>
  </si>
  <si>
    <t>2.034,71</t>
  </si>
  <si>
    <t>98423</t>
  </si>
  <si>
    <t>(COMPOSIÇÃO REPRESENTATIVA) POÇO DE VISITA CIRCULAR PARA ESGOTO, EM CONCRETO PRÉ-MOLDADO, DIÂMETRO INTERNO = 1,0 M, PROFUNDIDADE DE 2,50 A 3,00 M, INCLUINDO TAMPÃO DE FERRO FUNDIDO, DIÂMETRO DE 60 CM. AF_04/2018</t>
  </si>
  <si>
    <t>2.133,27</t>
  </si>
  <si>
    <t>98424</t>
  </si>
  <si>
    <t>(COMPOSIÇÃO REPRESENTATIVA) POÇO DE VISITA CIRCULAR PARA ESGOTO, EM CONCRETO PRÉ-MOLDADO, DIÂMETRO INTERNO = 1,0 M, PROFUNDIDADE DE 3,00 A 3,50 M, INCLUINDO TAMPÃO DE FERRO FUNDIDO, DIÂMETRO DE 60 CM. AF_04/2018</t>
  </si>
  <si>
    <t>2.231,84</t>
  </si>
  <si>
    <t>98425</t>
  </si>
  <si>
    <t>(COMPOSIÇÃO REPRESENTATIVA) POÇO DE VISITA CIRCULAR PARA ESGOTO, EM ALVENARIA COM TIJOLOS CERÂMICOS MACIÇOS, DIÂMETRO INTERNO = 1,2 M, PROFUNDIDADE ATÉ 1,50 M, EXCLUINDO TAMPÃO. AF_04/2018</t>
  </si>
  <si>
    <t>98426</t>
  </si>
  <si>
    <t>(COMPOSIÇÃO REPRESENTATIVA) POÇO DE VISITA CIRCULAR PARA ESGOTO, EM ALVENARIA COM TIJOLOS CERÂMICOS MACIÇOS, DIÂMETRO INTERNO = 1,2 M, PROFUNDIDADE DE 1,50 A 2,00 M, EXCLUINDO TAMPÃO. AF_04/2018</t>
  </si>
  <si>
    <t>3.288,45</t>
  </si>
  <si>
    <t>98427</t>
  </si>
  <si>
    <t>(COMPOSIÇÃO REPRESENTATIVA) POÇO DE VISITA CIRCULAR PARA ESGOTO, EM ALVENARIA COM TIJOLOS CERÂMICOS MACIÇOS, DIÂMETRO INTERNO = 1,2 M, PROFUNDIDADE DE 2,00 A 2,50 M, EXCLUINDO TAMPÃO. AF_04/2018</t>
  </si>
  <si>
    <t>3.964,65</t>
  </si>
  <si>
    <t>98428</t>
  </si>
  <si>
    <t>(COMPOSIÇÃO REPRESENTATIVA) POÇO DE VISITA CIRCULAR PARA ESGOTO, EM ALVENARIA COM TIJOLOS CERÂMICOS MACIÇOS, DIÂMETRO INTERNO = 1,2 M, PROFUNDIDADE DE 2,50 A 3,00 M, EXCLUINDO TAMPÃO. AF_04/2018</t>
  </si>
  <si>
    <t>4.350,30</t>
  </si>
  <si>
    <t>98429</t>
  </si>
  <si>
    <t>(COMPOSIÇÃO REPRESENTATIVA) POÇO DE VISITA CIRCULAR PARA ESGOTO, EM ALVENARIA COM TIJOLOS CERÂMICOS MACIÇOS, DIÂMETRO INTERNO = 1,2 M, PROFUNDIDADE DE 3,00 A 3,50 M, EXCLUINDO TAMPÃO. AF_04/2018</t>
  </si>
  <si>
    <t>4.735,95</t>
  </si>
  <si>
    <t>98430</t>
  </si>
  <si>
    <t>(COMPOSIÇÃO REPRESENTATIVA) POÇO DE VISITA CIRCULAR PARA ESGOTO, EM ALVENARIA COM TIJOLOS CERÂMICOS MACIÇOS, DIÂMETRO INTERNO = 1,2 M, PROFUNDIDADE ATÉ 1,50 M, INCLUINDO TAMPÃO DE FERRO FUNDIDO, DIÂMETRO DE 60 CM. AF_04/2018</t>
  </si>
  <si>
    <t>3.343,08</t>
  </si>
  <si>
    <t>98431</t>
  </si>
  <si>
    <t>(COMPOSIÇÃO REPRESENTATIVA) POÇO DE VISITA CIRCULAR PARA ESGOTO, EM ALVENARIA COM TIJOLOS CERÂMICOS MACIÇOS, DIÂMETRO INTERNO = 1,2 M, PROFUNDIDADE DE 1,50 A 2,00 M, INCLUINDO TAMPÃO DE FERRO FUNDIDO, DIÂMETRO DE 60 CM. AF_04/2018</t>
  </si>
  <si>
    <t>4.019,27</t>
  </si>
  <si>
    <t>98432</t>
  </si>
  <si>
    <t>(COMPOSIÇÃO REPRESENTATIVA) POÇO DE VISITA CIRCULAR PARA ESGOTO, EM ALVENARIA COM TIJOLOS CERÂMICOS MACIÇOS, DIÂMETRO INTERNO = 1,2 M, PROFUNDIDADE DE 2,00 A 2,50 M, INCLUINDO TAMPÃO DE FERRO FUNDIDO, DIÂMETRO DE 60 CM. AF_04/2018</t>
  </si>
  <si>
    <t>4.695,47</t>
  </si>
  <si>
    <t>98433</t>
  </si>
  <si>
    <t>(COMPOSIÇÃO REPRESENTATIVA) POÇO DE VISITA CIRCULAR PARA ESGOTO, EM ALVENARIA COM TIJOLOS CERÂMICOS MACIÇOS, DIÂMETRO INTERNO = 1,2 M, PROFUNDIDADE DE 2,50 A 3,00 M, INCLUINDO TAMPÃO DE FERRO FUNDIDO, DIÂMETRO DE 60 CM. AF_04/2018</t>
  </si>
  <si>
    <t>5.081,12</t>
  </si>
  <si>
    <t>98434</t>
  </si>
  <si>
    <t>(COMPOSIÇÃO REPRESENTATIVA) POÇO DE VISITA CIRCULAR PARA ESGOTO, EM ALVENARIA COM TIJOLOS CERÂMICOS MACIÇOS, DIÂMETRO INTERNO = 1,2 M, PROFUNDIDADE DE 3,00 A 3,50 M, INCLUINDO TAMPÃO DE FERRO FUNDIDO, DIÂMETRO DE 60 CM. AF_04/2018</t>
  </si>
  <si>
    <t>5.466,77</t>
  </si>
  <si>
    <t>99240</t>
  </si>
  <si>
    <t>ACRÉSCIMO PARA POÇO DE VISITA CIRCULAR PARA DRENAGEM, EM CONCRETO PRÉ-MOLDADO, DIÂMETRO INTERNO = 1,2 M. AF_12/2020</t>
  </si>
  <si>
    <t>470,87</t>
  </si>
  <si>
    <t>99241</t>
  </si>
  <si>
    <t>ACRÉSCIMO PARA POÇO DE VISITA RETANGULAR PARA DRENAGEM, EM ALVENARIA COM BLOCOS DE CONCRETO, DIMENSÕES INTERNAS = 1,5X1,5 M. AF_12/2020</t>
  </si>
  <si>
    <t>1.405,21</t>
  </si>
  <si>
    <t>99242</t>
  </si>
  <si>
    <t>BASE PARA POÇO DE VISITA CIRCULAR PARA DRENAGEM, EM ALVENARIA COM TIJOLOS CERÂMICOS MACIÇOS, DIÂMETRO INTERNO = 1,2 M, PROFUNDIDADE = 1,45 M, EXCLUINDO TAMPÃO. AF_12/2020</t>
  </si>
  <si>
    <t>2.527,58</t>
  </si>
  <si>
    <t>99243</t>
  </si>
  <si>
    <t>ACRÉSCIMO PARA POÇO DE VISITA CIRCULAR PARA DRENAGEM, EM ALVENARIA COM TIJOLOS CERÂMICOS MACIÇOS, DIÂMETRO INTERNO = 1,2 M. AF_12/2020</t>
  </si>
  <si>
    <t>1.272,19</t>
  </si>
  <si>
    <t>99244</t>
  </si>
  <si>
    <t>BASE PARA POÇO DE VISITA RETANGULAR PARA DRENAGEM, EM ALVENARIA COM BLOCOS DE CONCRETO, DIMENSÕES INTERNAS = 1,5X2 M, PROFUNDIDADE = 1,45 M, EXCLUINDO TAMPÃO. AF_12/2020</t>
  </si>
  <si>
    <t>4.210,75</t>
  </si>
  <si>
    <t>99246</t>
  </si>
  <si>
    <t>ACRÉSCIMO PARA POÇO DE VISITA CIRCULAR PARA DRENAGEM, EM CONCRETO PRÉ-MOLDADO, DIÂMETRO INTERNO = 1,5 M. AF_12/2020</t>
  </si>
  <si>
    <t>680,40</t>
  </si>
  <si>
    <t>99247</t>
  </si>
  <si>
    <t>ACRÉSCIMO PARA POÇO DE VISITA RETANGULAR PARA DRENAGEM, EM ALVENARIA COM BLOCOS DE CONCRETO, DIMENSÕES INTERNAS = 1,5X2 M. AF_12/2020</t>
  </si>
  <si>
    <t>1.600,50</t>
  </si>
  <si>
    <t>99248</t>
  </si>
  <si>
    <t>BASE PARA POÇO DE VISITA CIRCULAR PARA DRENAGEM, EM ALVENARIA COM TIJOLOS CERÂMICOS MACIÇOS, DIÂMETRO INTERNO = 1,5 M, PROFUNDIDADE = 1,45 M, EXCLUINDO TAMPÃO. AF_12/2020</t>
  </si>
  <si>
    <t>3.863,60</t>
  </si>
  <si>
    <t>99249</t>
  </si>
  <si>
    <t>ACRÉSCIMO PARA POÇO DE VISITA CIRCULAR PARA DRENAGEM, EM ALVENARIA COM TIJOLOS CERÂMICOS MACIÇOS, DIÂMETRO INTERNO = 1,5 M. AF_12/2020</t>
  </si>
  <si>
    <t>1.556,12</t>
  </si>
  <si>
    <t>99252</t>
  </si>
  <si>
    <t>BASE PARA POÇO DE VISITA RETANGULAR PARA DRENAGEM, EM ALVENARIA COM BLOCOS DE CONCRETO, DIMENSÕES INTERNAS = 1X1 M, PROFUNDIDADE = 1,45 M, EXCLUINDO TAMPÃO. AF_12/2020</t>
  </si>
  <si>
    <t>2.195,41</t>
  </si>
  <si>
    <t>99254</t>
  </si>
  <si>
    <t>ACRÉSCIMO PARA POÇO DE VISITA RETANGULAR PARA DRENAGEM, EM ALVENARIA COM BLOCOS DE CONCRETO, DIMENSÕES INTERNAS = 1X1 M. AF_12/2020</t>
  </si>
  <si>
    <t>1.014,62</t>
  </si>
  <si>
    <t>99256</t>
  </si>
  <si>
    <t>BASE PARA POÇO DE VISITA RETANGULAR PARA DRENAGEM, EM ALVENARIA COM BLOCOS DE CONCRETO, DIMENSÕES INTERNAS = 1,5X2,5 M, PROFUNDIDADE = 1,45 M, EXCLUINDO TAMPÃO. AF_12/2020</t>
  </si>
  <si>
    <t>4.963,21</t>
  </si>
  <si>
    <t>99259</t>
  </si>
  <si>
    <t>BASE PARA POÇO DE VISITA RETANGULAR PARA DRENAGEM, EM ALVENARIA COM BLOCOS DE CONCRETO, DIMENSÕES INTERNAS = 1X1,5 M, PROFUNDIDADE = 1,45 M, EXCLUINDO TAMPÃO. AF_12/2020</t>
  </si>
  <si>
    <t>2.778,88</t>
  </si>
  <si>
    <t>99261</t>
  </si>
  <si>
    <t>ACRÉSCIMO PARA POÇO DE VISITA RETANGULAR PARA DRENAGEM, EM ALVENARIA COM BLOCOS DE CONCRETO, DIMENSÕES INTERNAS = 1X1,5 M. AF_12/2020</t>
  </si>
  <si>
    <t>1.209,91</t>
  </si>
  <si>
    <t>99263</t>
  </si>
  <si>
    <t>ACRÉSCIMO PARA POÇO DE VISITA RETANGULAR PARA DRENAGEM, EM ALVENARIA COM BLOCOS DE CONCRETO, DIMENSÕES INTERNAS = 1,5X2,5 M. AF_12/2020</t>
  </si>
  <si>
    <t>1.795,84</t>
  </si>
  <si>
    <t>99265</t>
  </si>
  <si>
    <t>BASE PARA POÇO DE VISITA RETANGULAR PARA DRENAGEM, EM ALVENARIA COM BLOCOS DE CONCRETO, DIMENSÕES INTERNAS = 1X2 M, PROFUNDIDADE = 1,45 M, EXCLUINDO TAMPÃO. AF_12/2020</t>
  </si>
  <si>
    <t>3.362,17</t>
  </si>
  <si>
    <t>99266</t>
  </si>
  <si>
    <t>ACRÉSCIMO PARA POÇO DE VISITA RETANGULAR PARA DRENAGEM, EM ALVENARIA COM BLOCOS DE CONCRETO, DIMENSÕES INTERNAS = 1X2 M. AF_12/2020</t>
  </si>
  <si>
    <t>99267</t>
  </si>
  <si>
    <t>BASE PARA POÇO DE VISITA RETANGULAR PARA DRENAGEM, EM ALVENARIA COM BLOCOS DE CONCRETO, DIMENSÕES INTERNAS = 1X2,5 M, PROFUNDIDADE = 1,45 M, EXCLUINDO TAMPÃO. AF_12/2020</t>
  </si>
  <si>
    <t>3.947,64</t>
  </si>
  <si>
    <t>99268</t>
  </si>
  <si>
    <t>POÇO DE INSPEÇÃO CIRCULAR PARA DRENAGEM, EM CONCRETO PRÉ-MOLDADO, DIÂMETRO INTERNO = 0,6 M, PROFUNDIDADE = 1 M, EXCLUINDO TAMPÃO. AF_12/2020</t>
  </si>
  <si>
    <t>356,62</t>
  </si>
  <si>
    <t>99269</t>
  </si>
  <si>
    <t>ACRÉSCIMO PARA POÇO DE VISITA RETANGULAR PARA DRENAGEM, EM ALVENARIA COM BLOCOS DE CONCRETO, DIMENSÕES INTERNAS = 1X2,5 M. AF_12/2020</t>
  </si>
  <si>
    <t>99270</t>
  </si>
  <si>
    <t>POÇO DE INSPEÇÃO CIRCULAR PARA DRENAGEM, EM CONCRETO PRÉ-MOLDADO, DIÂMETRO INTERNO = 0,6 M, PROFUNDIDADE = 1,5 M, EXCLUINDO TAMPÃO. AF_12/2020</t>
  </si>
  <si>
    <t>474,35</t>
  </si>
  <si>
    <t>99271</t>
  </si>
  <si>
    <t>BASE PARA POÇO DE VISITA RETANGULAR PARA DRENAGEM, EM ALVENARIA COM BLOCOS DE CONCRETO, DIMENSÕES INTERNAS = 1,5X3 M, PROFUNDIDADE = 1,45 M, EXCLUINDO TAMPÃO. AF_12/2020</t>
  </si>
  <si>
    <t>5.686,92</t>
  </si>
  <si>
    <t>99272</t>
  </si>
  <si>
    <t>POÇO DE INSPEÇÃO CIRCULAR PARA DRENAGEM, EM ALVENARIA COM TIJOLOS CERÂMICOS MACIÇOS, DIÂMETRO INTERNO = 0,6 M, PROFUNDIDADE = 1 M, EXCLUINDO TAMPÃO. AF_12/2020</t>
  </si>
  <si>
    <t>915,92</t>
  </si>
  <si>
    <t>99273</t>
  </si>
  <si>
    <t>POÇO DE INSPEÇÃO CIRCULAR PARA DRENAGEM, EM ALVENARIA COM TIJOLOS CERÂMICOS MACIÇOS, DIÂMETRO INTERNO = 0,6 M, PROFUNDIDADE = 1,5 M, EXCLUINDO TAMPÃO. AF_12/2020</t>
  </si>
  <si>
    <t>1.270,07</t>
  </si>
  <si>
    <t>99274</t>
  </si>
  <si>
    <t>BASE PARA POÇO DE VISITA RETANGULAR PARA DRENAGEM, EM ALVENARIA COM BLOCOS DE CONCRETO, DIMENSÕES INTERNAS = 1X3 M, PROFUNDIDADE = 1,45 M, EXCLUINDO TAMPÃO. AF_12/2020</t>
  </si>
  <si>
    <t>4.561,87</t>
  </si>
  <si>
    <t>99275</t>
  </si>
  <si>
    <t>BASE PARA POÇO DE VISITA CIRCULAR PARA DRENAGEM, EM CONCRETO PRÉ-MOLDADO, DIÂMETRO INTERNO = 0,8 M, PROFUNDIDADE = 1,45 M, EXCLUINDO TAMPÃO. AF_12/2020</t>
  </si>
  <si>
    <t>731,36</t>
  </si>
  <si>
    <t>99276</t>
  </si>
  <si>
    <t>ACRÉSCIMO PARA POÇO DE VISITA RETANGULAR PARA DRENAGEM, EM ALVENARIA COM BLOCOS DE CONCRETO, DIMENSÕES INTERNAS = 1,5X3 M. AF_12/2020</t>
  </si>
  <si>
    <t>1.991,14</t>
  </si>
  <si>
    <t>99277</t>
  </si>
  <si>
    <t>ACRÉSCIMO PARA POÇO DE VISITA RETANGULAR PARA DRENAGEM, EM ALVENARIA COM BLOCOS DE CONCRETO, DIMENSÕES INTERNAS = 1X3 M. AF_12/2020</t>
  </si>
  <si>
    <t>99278</t>
  </si>
  <si>
    <t>ACRÉSCIMO PARA POÇO DE VISITA CIRCULAR PARA DRENAGEM, EM CONCRETO PRÉ-MOLDADO, DIÂMETRO INTERNO = 0,8 M. AF_12/2020</t>
  </si>
  <si>
    <t>271,13</t>
  </si>
  <si>
    <t>99279</t>
  </si>
  <si>
    <t>BASE PARA POÇO DE VISITA RETANGULAR PARA DRENAGEM, EM ALVENARIA COM BLOCOS DE CONCRETO, DIMENSÕES INTERNAS = 1X3,5 M, PROFUNDIDADE = 1,45 M, EXCLUINDO TAMPÃO. AF_12/2020</t>
  </si>
  <si>
    <t>5.149,38</t>
  </si>
  <si>
    <t>99280</t>
  </si>
  <si>
    <t>BASE PARA POÇO DE VISITA CIRCULAR PARA DRENAGEM, EM ALVENARIA COM TIJOLOS CERÂMICOS MACIÇOS, DIÂMETRO INTERNO = 0,8 M, PROFUNDIDADE = 1,45 M, EXCLUINDO TAMPÃO. AF_12/2020</t>
  </si>
  <si>
    <t>1.703,39</t>
  </si>
  <si>
    <t>99281</t>
  </si>
  <si>
    <t>ACRÉSCIMO PARA POÇO DE VISITA RETANGULAR PARA DRENAGEM, EM ALVENARIA COM BLOCOS DE CONCRETO, DIMENSÕES INTERNAS = 1X3,5 M. AF_12/2020</t>
  </si>
  <si>
    <t>99282</t>
  </si>
  <si>
    <t>ACRÉSCIMO PARA POÇO DE VISITA RETANGULAR PARA DRENAGEM, EM ALVENARIA COM BLOCOS DE CONCRETO, DIMENSÕES INTERNAS = 2,5X2,5 M. AF_12/2020</t>
  </si>
  <si>
    <t>2.206,05</t>
  </si>
  <si>
    <t>99283</t>
  </si>
  <si>
    <t>ACRÉSCIMO PARA POÇO DE VISITA CIRCULAR PARA DRENAGEM, EM ALVENARIA COM TIJOLOS CERÂMICOS MACIÇOS, DIÂMETRO INTERNO = 0,8 M. AF_12/2020</t>
  </si>
  <si>
    <t>893,62</t>
  </si>
  <si>
    <t>99284</t>
  </si>
  <si>
    <t>BASE PARA POÇO DE VISITA RETANGULAR PARA DRENAGEM, EM ALVENARIA COM BLOCOS DE CONCRETO, DIMENSÕES INTERNAS = 1,5X3,5 M, PROFUNDIDADE = 1,45 M, EXCLUINDO TAMPÃO. AF_12/2020</t>
  </si>
  <si>
    <t>6.425,11</t>
  </si>
  <si>
    <t>99285</t>
  </si>
  <si>
    <t>BASE PARA POÇO DE VISITA CIRCULAR PARA DRENAGEM, EM CONCRETO PRÉ-MOLDADO, DIÂMETRO INTERNO = 1 M, PROFUNDIDADE = 1,45 M, EXCLUINDO TAMPÃO. AF_05/2018</t>
  </si>
  <si>
    <t>1.035,57</t>
  </si>
  <si>
    <t>99286</t>
  </si>
  <si>
    <t>BASE PARA POÇO DE VISITA RETANGULAR PARA DRENAGEM, EM ALVENARIA COM BLOCOS DE CONCRETO, DIMENSÕES INTERNAS = 1X4 M, PROFUNDIDADE = 1,45 M, EXCLUINDO TAMPÃO. AF_12/2020</t>
  </si>
  <si>
    <t>5.732,22</t>
  </si>
  <si>
    <t>99287</t>
  </si>
  <si>
    <t>BASE PARA POÇO DE VISITA RETANGULAR PARA DRENAGEM, EM ALVENARIA COM BLOCOS DE CONCRETO, DIMENSÕES INTERNAS = 2,5X3 M, PROFUNDIDADE = 1,45 M, EXCLUINDO TAMPÃO. AF_12/2020</t>
  </si>
  <si>
    <t>8.103,02</t>
  </si>
  <si>
    <t>99288</t>
  </si>
  <si>
    <t>ACRÉSCIMO PARA POÇO DE VISITA CIRCULAR PARA DRENAGEM, EM CONCRETO PRÉ-MOLDADO, DIÂMETRO INTERNO = 1 M. AF_12/2020</t>
  </si>
  <si>
    <t>427,09</t>
  </si>
  <si>
    <t>99289</t>
  </si>
  <si>
    <t>ACRÉSCIMO PARA POÇO DE VISITA RETANGULAR PARA DRENAGEM, EM ALVENARIA COM BLOCOS DE CONCRETO, DIMENSÕES INTERNAS = 1X4 M. AF_12/2020</t>
  </si>
  <si>
    <t>2.141,04</t>
  </si>
  <si>
    <t>99290</t>
  </si>
  <si>
    <t>BASE PARA POÇO DE VISITA RETANGULAR PARA DRENAGEM, EM ALVENARIA COM BLOCOS DE CONCRETO, DIMENSÕES INTERNAS = 1,5X1,5 M, PROFUNDIDADE = 1,45 M, EXCLUINDO TAMPÃO. AF_12/2020</t>
  </si>
  <si>
    <t>3.446,53</t>
  </si>
  <si>
    <t>99291</t>
  </si>
  <si>
    <t>ACRÉSCIMO PARA POÇO DE VISITA RETANGULAR PARA DRENAGEM, EM ALVENARIA COM BLOCOS DE CONCRETO, DIMENSÕES INTERNAS = 1,5X3,5 M. AF_12/2020</t>
  </si>
  <si>
    <t>2.186,43</t>
  </si>
  <si>
    <t>99292</t>
  </si>
  <si>
    <t>BASE PARA POÇO DE VISITA CIRCULAR PARA DRENAGEM, EM ALVENARIA COM TIJOLOS CERÂMICOS MACIÇOS, DIÂMETRO INTERNO = 1 M, PROFUNDIDADE = 1,45 M, EXCLUINDO TAMPÃO. AF_12/2020</t>
  </si>
  <si>
    <t>2.112,89</t>
  </si>
  <si>
    <t>99293</t>
  </si>
  <si>
    <t>ACRÉSCIMO PARA POÇO DE VISITA CIRCULAR PARA DRENAGEM, EM ALVENARIA COM TIJOLOS CERÂMICOS MACIÇOS, DIÂMETRO INTERNO = 1 M. AF_12/2020</t>
  </si>
  <si>
    <t>1.082,88</t>
  </si>
  <si>
    <t>99294</t>
  </si>
  <si>
    <t>BASE PARA POÇO DE VISITA RETANGULAR PARA DRENAGEM, EM ALVENARIA COM BLOCOS DE CONCRETO, DIMENSÕES INTERNAS = 1,5X4 M, PROFUNDIDADE = 1,45 M, EXCLUINDO TAMPÃO. AF_12/2020</t>
  </si>
  <si>
    <t>7.103,25</t>
  </si>
  <si>
    <t>99296</t>
  </si>
  <si>
    <t>ACRÉSCIMO PARA POÇO DE VISITA RETANGULAR PARA DRENAGEM, EM ALVENARIA COM BLOCOS DE CONCRETO, DIMENSÕES INTERNAS = 2,5X3 M. AF_12/2020</t>
  </si>
  <si>
    <t>2.401,29</t>
  </si>
  <si>
    <t>99297</t>
  </si>
  <si>
    <t>ACRÉSCIMO PARA POÇO DE VISITA RETANGULAR PARA DRENAGEM, EM ALVENARIA COM BLOCOS DE CONCRETO, DIMENSÕES INTERNAS = 1,5X4 M. AF_12/2020</t>
  </si>
  <si>
    <t>2.397,91</t>
  </si>
  <si>
    <t>99298</t>
  </si>
  <si>
    <t>BASE PARA POÇO DE VISITA RETANGULAR PARA DRENAGEM, EM ALVENARIA COM BLOCOS DE CONCRETO, DIMENSÕES INTERNAS = 2,5X3,5 M, PROFUNDIDADE = 1,45 M, EXCLUINDO TAMPÃO. AF_12/2020</t>
  </si>
  <si>
    <t>9.163,62</t>
  </si>
  <si>
    <t>99299</t>
  </si>
  <si>
    <t>ACRÉSCIMO PARA POÇO DE VISITA RETANGULAR PARA DRENAGEM, EM ALVENARIA COM BLOCOS DE CONCRETO, DIMENSÕES INTERNAS = 2,5X3,5 M. AF_12/2020</t>
  </si>
  <si>
    <t>2.596,56</t>
  </si>
  <si>
    <t>99300</t>
  </si>
  <si>
    <t>BASE PARA POÇO DE VISITA RETANGULAR PARA DRENAGEM, EM ALVENARIA COM BLOCOS DE CONCRETO, DIMENSÕES INTERNAS = 2,5X4 M, PROFUNDIDADE = 1,45 M, EXCLUINDO TAMPÃO. AF_12/2020</t>
  </si>
  <si>
    <t>10.224,47</t>
  </si>
  <si>
    <t>99301</t>
  </si>
  <si>
    <t>BASE PARA POÇO DE VISITA RETANGULAR PARA DRENAGEM, EM ALVENARIA COM BLOCOS DE CONCRETO, DIMENSÕES INTERNAS = 2X2 M, PROFUNDIDADE = 1,45 M, EXCLUINDO TAMPÃO. AF_12/2020</t>
  </si>
  <si>
    <t>5.081,71</t>
  </si>
  <si>
    <t>99302</t>
  </si>
  <si>
    <t>ACRÉSCIMO PARA POÇO DE VISITA RETANGULAR PARA DRENAGEM, EM ALVENARIA COM BLOCOS DE CONCRETO, DIMENSÕES INTERNAS = 2,5X4 M. AF_12/2020</t>
  </si>
  <si>
    <t>2.795,21</t>
  </si>
  <si>
    <t>99303</t>
  </si>
  <si>
    <t>BASE PARA POÇO DE VISITA RETANGULAR PARA DRENAGEM, EM ALVENARIA COM BLOCOS DE CONCRETO, DIMENSÕES INTERNAS = 3X3 M, PROFUNDIDADE = 1,45 M, EXCLUINDO TAMPÃO. AF_12/2020</t>
  </si>
  <si>
    <t>9.350,42</t>
  </si>
  <si>
    <t>99304</t>
  </si>
  <si>
    <t>ACRÉSCIMO PARA POÇO DE VISITA RETANGULAR PARA DRENAGEM, EM ALVENARIA COM BLOCOS DE CONCRETO, DIMENSÕES INTERNAS = 3X3 M. AF_12/2020</t>
  </si>
  <si>
    <t>2.599,94</t>
  </si>
  <si>
    <t>99305</t>
  </si>
  <si>
    <t>BASE PARA POÇO DE VISITA RETANGULAR PARA DRENAGEM, EM ALVENARIA COM BLOCOS DE CONCRETO, DIMENSÕES INTERNAS = 3X3,5 M, PROFUNDIDADE = 1,45 M, EXCLUINDO TAMPÃO. AF_12/2020</t>
  </si>
  <si>
    <t>10.569,16</t>
  </si>
  <si>
    <t>99306</t>
  </si>
  <si>
    <t>ACRÉSCIMO PARA POÇO DE VISITA RETANGULAR PARA DRENAGEM, EM ALVENARIA COM BLOCOS DE CONCRETO, DIMENSÕES INTERNAS = 3X3,5 M. AF_12/2020</t>
  </si>
  <si>
    <t>99307</t>
  </si>
  <si>
    <t>ACRÉSCIMO PARA POÇO DE VISITA RETANGULAR PARA DRENAGEM, EM ALVENARIA COM BLOCOS DE CONCRETO, DIMENSÕES INTERNAS = 2X2 M. AF_12/2020</t>
  </si>
  <si>
    <t>1.883,64</t>
  </si>
  <si>
    <t>99308</t>
  </si>
  <si>
    <t>BASE PARA POÇO DE VISITA RETANGULAR PARA DRENAGEM, EM ALVENARIA COM BLOCOS DE CONCRETO, DIMENSÕES INTERNAS = 3X4 M, PROFUNDIDADE = 1,45 M, EXCLUINDO TAMPÃO. AF_12/2020</t>
  </si>
  <si>
    <t>11.783,91</t>
  </si>
  <si>
    <t>99309</t>
  </si>
  <si>
    <t>ACRÉSCIMO PARA POÇO DE VISITA RETANGULAR PARA DRENAGEM, EM ALVENARIA COM BLOCOS DE CONCRETO, DIMENSÕES INTERNAS = 3X4 M. AF_12/2020</t>
  </si>
  <si>
    <t>2.993,90</t>
  </si>
  <si>
    <t>99310</t>
  </si>
  <si>
    <t>BASE PARA POÇO DE VISITA RETANGULAR PARA DRENAGEM, EM ALVENARIA COM BLOCOS DE CONCRETO, DIMENSÕES INTERNAS = 3,5X3,5 M, PROFUNDIDADE = 1,45 M, EXCLUINDO TAMPÃO. AF_12/2020</t>
  </si>
  <si>
    <t>11.976,84</t>
  </si>
  <si>
    <t>99311</t>
  </si>
  <si>
    <t>ACRÉSCIMO PARA POÇO DE VISITA RETANGULAR PARA DRENAGEM, EM ALVENARIA COM BLOCOS DE CONCRETO, DIMENSÕES INTERNAS = 3,5X3,5 M. AF_12/2020</t>
  </si>
  <si>
    <t>99312</t>
  </si>
  <si>
    <t>BASE PARA POÇO DE VISITA RETANGULAR PARA DRENAGEM, EM ALVENARIA COM BLOCOS DE CONCRETO, DIMENSÕES INTERNAS = 2X2,5 M, PROFUNDIDADE = 1,45 M, EXCLUINDO TAMPÃO. AF_12/2020</t>
  </si>
  <si>
    <t>5.959,73</t>
  </si>
  <si>
    <t>99313</t>
  </si>
  <si>
    <t>BASE PARA POÇO DE VISITA RETANGULAR PARA DRENAGEM, EM ALVENARIA COM BLOCOS DE CONCRETO, DIMENSÕES INTERNAS = 3,5X4 M, PROFUNDIDADE = 1,45 M, EXCLUINDO TAMPÃO. AF_12/2020</t>
  </si>
  <si>
    <t>13.351,27</t>
  </si>
  <si>
    <t>99314</t>
  </si>
  <si>
    <t>ACRÉSCIMO PARA POÇO DE VISITA RETANGULAR PARA DRENAGEM, EM ALVENARIA COM BLOCOS DE CONCRETO, DIMENSÕES INTERNAS = 3,5X4 M. AF_12/2020</t>
  </si>
  <si>
    <t>3.192,56</t>
  </si>
  <si>
    <t>99315</t>
  </si>
  <si>
    <t>BASE PARA POÇO DE VISITA RETANGULAR PARA DRENAGEM, EM ALVENARIA COM BLOCOS DE CONCRETO, DIMENSÕES INTERNAS = 4X4 M, PROFUNDIDADE = 1,45 M, EXCLUINDO TAMPÃO. AF_12/2020</t>
  </si>
  <si>
    <t>14.914,74</t>
  </si>
  <si>
    <t>99317</t>
  </si>
  <si>
    <t>ACRÉSCIMO PARA POÇO DE VISITA RETANGULAR PARA DRENAGEM, EM ALVENARIA COM BLOCOS DE CONCRETO, DIMENSÕES INTERNAS = 2X2,5 M. AF_12/2020</t>
  </si>
  <si>
    <t>2.007,33</t>
  </si>
  <si>
    <t>99318</t>
  </si>
  <si>
    <t>CHAMINÉ CIRCULAR PARA POÇO DE VISITA PARA DRENAGEM, EM CONCRETO PRÉ-MOLDADO, DIÂMETRO INTERNO = 0,6 M. AF_12/2020</t>
  </si>
  <si>
    <t>196,31</t>
  </si>
  <si>
    <t>99319</t>
  </si>
  <si>
    <t>CHAMINÉ CIRCULAR PARA POÇO DE VISITA PARA DRENAGEM, EM ALVENARIA COM TIJOLOS CERÂMICOS MACIÇOS, DIÂMETRO INTERNO = 0,6 M. AF_12/2020</t>
  </si>
  <si>
    <t>718,12</t>
  </si>
  <si>
    <t>99320</t>
  </si>
  <si>
    <t>BASE PARA POÇO DE VISITA RETANGULAR PARA DRENAGEM, EM ALVENARIA COM BLOCOS DE CONCRETO, DIMENSÕES INTERNAS = 2X3 M, PROFUNDIDADE = 1,45 M, EXCLUINDO TAMPÃO. AF_12/2020</t>
  </si>
  <si>
    <t>6.895,41</t>
  </si>
  <si>
    <t>99321</t>
  </si>
  <si>
    <t>ACRÉSCIMO PARA POÇO DE VISITA RETANGULAR PARA DRENAGEM, EM ALVENARIA COM BLOCOS DE CONCRETO, DIMENSÕES INTERNAS = 2X3 M. AF_12/2020</t>
  </si>
  <si>
    <t>2.202,67</t>
  </si>
  <si>
    <t>99322</t>
  </si>
  <si>
    <t>BASE PARA POÇO DE VISITA RETANGULAR PARA DRENAGEM, EM ALVENARIA COM BLOCOS DE CONCRETO, DIMENSÕES INTERNAS = 2X3,5 M, PROFUNDIDADE = 1,45 M, EXCLUINDO TAMPÃO. AF_12/2020</t>
  </si>
  <si>
    <t>7.780,69</t>
  </si>
  <si>
    <t>99323</t>
  </si>
  <si>
    <t>ACRÉSCIMO PARA POÇO DE VISITA RETANGULAR PARA DRENAGEM, EM ALVENARIA COM BLOCOS DE CONCRETO, DIMENSÕES INTERNAS = 2X3,5 M. AF_12/2020</t>
  </si>
  <si>
    <t>99324</t>
  </si>
  <si>
    <t>BASE PARA POÇO DE VISITA RETANGULAR PARA DRENAGEM, EM ALVENARIA COM BLOCOS DE CONCRETO, DIMENSÕES INTERNAS = 2X4 M, PROFUNDIDADE = 1,45 M, EXCLUINDO TAMPÃO. AF_12/2020</t>
  </si>
  <si>
    <t>8.666,01</t>
  </si>
  <si>
    <t>99325</t>
  </si>
  <si>
    <t>ACRÉSCIMO PARA POÇO DE VISITA RETANGULAR PARA DRENAGEM, EM ALVENARIA COM BLOCOS DE CONCRETO, DIMENSÕES INTERNAS = 2X4 M. AF_12/2020</t>
  </si>
  <si>
    <t>99326</t>
  </si>
  <si>
    <t>BASE PARA POÇO DE VISITA RETANGULAR PARA DRENAGEM, EM ALVENARIA COM BLOCOS DE CONCRETO, DIMENSÕES INTERNAS = 2,5X2,5 M, PROFUNDIDADE = 1,45 M, EXCLUINDO TAMPÃO. AF_12/2020</t>
  </si>
  <si>
    <t>7.042,07</t>
  </si>
  <si>
    <t>99327</t>
  </si>
  <si>
    <t>ACRÉSCIMO PARA POÇO DE VISITA RETANGULAR PARA DRENAGEM, EM ALVENARIA COM BLOCOS DE CONCRETO, DIMENSÕES INTERNAS = 4X4 M. AF_12/2020</t>
  </si>
  <si>
    <t>3.358,15</t>
  </si>
  <si>
    <t>101800</t>
  </si>
  <si>
    <t>CAIXA COM GRELHA RETANGULAR DE FERRO FUNDIDO, EM ALVENARIA COM TIJOLOS CERÂMICOS MACIÇOS, DIMENSÕES INTERNAS: 0,30 X 1,00 X 1,00. AF_12/2020</t>
  </si>
  <si>
    <t>1.229,57</t>
  </si>
  <si>
    <t>101801</t>
  </si>
  <si>
    <t>CAIXA COM GRELHA RETANGULAR DE FERRO FUNDIDO, EM ALVENARIA COM BLOCOS DE CONCRETO, DIMENSÕES INTERNAS: 0,30 X 1,00 X 1,00. AF_12/2020</t>
  </si>
  <si>
    <t>1.009,20</t>
  </si>
  <si>
    <t>101806</t>
  </si>
  <si>
    <t>CAIXA ENTERRADA DISTRIBUIDORA DE VAZÃO (SUMIDOUROS MÚLTIPLOS), RETANGULAR, EM ALVENARIA COM TIJOLOS MACIÇOS, DIMENSÕES INTERNAS: 0,60 X 0,60 X 0,50 M. AF_12/2020</t>
  </si>
  <si>
    <t>443,47</t>
  </si>
  <si>
    <t>101807</t>
  </si>
  <si>
    <t>CAIXA ENTERRADA DISTRIBUIDORA DE VAZÃO (SUMIDOUROS MÚLTIPLOS), RETANGULAR, EM ALVENARIA COM BLOCOS DE CONCRETO, DIMENSÕES INTERNAS: 0,60 X 0,60 X 0,50 M. AF_12/2020</t>
  </si>
  <si>
    <t>406,08</t>
  </si>
  <si>
    <t>101808</t>
  </si>
  <si>
    <t>CAIXA ENTERRADA DISTRIBUIDORA DE VAZÃO (SUMIDOUROS MÚLTIPLOS), RETANGULAR, EM CONCRETO PRÉ-MOLDADO, DIMENSÕES INTERNAS: 0,60 X 0,60 X 0,50 M. AF_12/2020</t>
  </si>
  <si>
    <t>362,69</t>
  </si>
  <si>
    <t>101809</t>
  </si>
  <si>
    <t>BASE PARA POCO DE VISITA RETANGULAR PARA ESGOTO E DRENAGEM, EM CONCRETO ESTRUTURAL, DIMENSÕES INTERNAS DE 90X150 M, PROFUNDIDADE DE 1,25 M, EXCLUINDO TAMPÃO. AF_12/2020</t>
  </si>
  <si>
    <t>2.622,80</t>
  </si>
  <si>
    <t>102139</t>
  </si>
  <si>
    <t>BASE PARA POÇO DE VISITA CIRCULAR PARA  ESGOTO, EM CONCRETO PRÉ-MOLDADO, DIÂMETRO INTERNO = 1,2 M, PROFUNDIDADE = 1,45 M, EXCLUINDO TAMPÃO. AF_12/2020</t>
  </si>
  <si>
    <t>1.316,74</t>
  </si>
  <si>
    <t>102141</t>
  </si>
  <si>
    <t>BASE PARA POÇO DE VISITA CIRCULAR PARA  ESGOTO, EM CONCRETO PRÉ-MOLDADO, DIÂMETRO INTERNO = 1,5 M, PROFUNDIDADE = 1,45 M, EXCLUINDO TAMPÃO. AF_12/2020</t>
  </si>
  <si>
    <t>2.096,71</t>
  </si>
  <si>
    <t>102142</t>
  </si>
  <si>
    <t>BASE PARA POÇO DE VISITA CIRCULAR PARA DRENAGEM, EM CONCRETO PRÉ-MOLDADO, DIÂMETRO INTERNO = 1,5 M, PROFUNDIDADE = 1,45 M, EXCLUINDO TAMPÃO. AF_12/2020</t>
  </si>
  <si>
    <t>2.063,11</t>
  </si>
  <si>
    <t>102457</t>
  </si>
  <si>
    <t>BASE PARA POÇO DE VISITA CIRCULAR PARA DRENAGEM, EM CONCRETO PRÉ-MOLDADO, DIÂMETRO INTERNO = 1,2 M, PROFUNDIDADE = 1,45 M, EXCLUINDO TAMPÃO. AF_05/2021</t>
  </si>
  <si>
    <t>1.296,82</t>
  </si>
  <si>
    <t>94263</t>
  </si>
  <si>
    <t>GUIA (MEIO-FIO) CONCRETO, MOLDADA  IN LOCO  EM TRECHO RETO COM EXTRUSORA, 13 CM BASE X 22 CM ALTURA. AF_06/2016</t>
  </si>
  <si>
    <t>26,24</t>
  </si>
  <si>
    <t>94264</t>
  </si>
  <si>
    <t>GUIA (MEIO-FIO) CONCRETO, MOLDADA  IN LOCO  EM TRECHO CURVO COM EXTRUSORA, 13 CM BASE X 22 CM ALTURA. AF_06/2016</t>
  </si>
  <si>
    <t>29,58</t>
  </si>
  <si>
    <t>94265</t>
  </si>
  <si>
    <t>GUIA (MEIO-FIO) CONCRETO, MOLDADA  IN LOCO  EM TRECHO RETO COM EXTRUSORA, 15 CM BASE X 30 CM ALTURA. AF_06/2016</t>
  </si>
  <si>
    <t>33,39</t>
  </si>
  <si>
    <t>94266</t>
  </si>
  <si>
    <t>GUIA (MEIO-FIO) CONCRETO, MOLDADA  IN LOCO  EM TRECHO CURVO COM EXTRUSORA, 15 CM BASE X 30 CM ALTURA. AF_06/2016</t>
  </si>
  <si>
    <t>37,21</t>
  </si>
  <si>
    <t>94267</t>
  </si>
  <si>
    <t>GUIA (MEIO-FIO) E SARJETA CONJUGADOS DE CONCRETO, MOLDADA  IN LOCO  EM TRECHO RETO COM EXTRUSORA, 45 CM BASE (15 CM BASE DA GUIA + 30 CM BASE DA SARJETA) X 22 CM ALTURA. AF_06/2016</t>
  </si>
  <si>
    <t>38,98</t>
  </si>
  <si>
    <t>94268</t>
  </si>
  <si>
    <t>GUIA (MEIO-FIO) E SARJETA CONJUGADOS DE CONCRETO, MOLDADA  IN LOCO  EM TRECHO CURVO COM EXTRUSORA, 45 CM BASE (15 CM BASE DA GUIA + 30 CM BASE DA SARJETA) X 22 CM ALTURA. AF_06/2016</t>
  </si>
  <si>
    <t>43,21</t>
  </si>
  <si>
    <t>94269</t>
  </si>
  <si>
    <t>GUIA (MEIO-FIO) E SARJETA CONJUGADOS DE CONCRETO, MOLDADA  IN LOCO  EM TRECHO RETO COM EXTRUSORA, 60 CM BASE (15 CM BASE DA GUIA + 45 CM BASE DA SARJETA) X 26 CM ALTURA. AF_06/2016</t>
  </si>
  <si>
    <t>54,63</t>
  </si>
  <si>
    <t>94270</t>
  </si>
  <si>
    <t>GUIA (MEIO-FIO) E SARJETA CONJUGADOS DE CONCRETO, MOLDADA IN LOCO  EM TRECHO CURVO COM EXTRUSORA, 60 CM BASE (15 CM BASE DA GUIA + 45 CM BASE DA SARJETA) X 26 CM ALTURA. AF_06/2016</t>
  </si>
  <si>
    <t>60,52</t>
  </si>
  <si>
    <t>94271</t>
  </si>
  <si>
    <t>GUIA (MEIO-FIO) E SARJETA CONJUGADOS DE CONCRETO, MOLDADA  IN LOCO  EM TRECHO RETO COM EXTRUSORA, 65 CM BASE (15 CM BASE DA GUIA + 50 CM BASE DA SARJETA) X 26 CM ALTURA. AF_06/2016</t>
  </si>
  <si>
    <t>66,61</t>
  </si>
  <si>
    <t>94272</t>
  </si>
  <si>
    <t>GUIA (MEIO-FIO) E SARJETA CONJUGADOS DE CONCRETO, MOLDADA  IN LOCO  EM TRECHO CURVO COM EXTRUSORA, 65 CM BASE (15 CM BASE DA GUIA + 50 CM BASE DA SARJETA) X 26 CM ALTURA. AF_06/2016</t>
  </si>
  <si>
    <t>74,44</t>
  </si>
  <si>
    <t>94273</t>
  </si>
  <si>
    <t>ASSENTAMENTO DE GUIA (MEIO-FIO) EM TRECHO RETO, CONFECCIONADA EM CONCRETO PRÉ-FABRICADO, DIMENSÕES 100X15X13X30 CM (COMPRIMENTO X BASE INFERIOR X BASE SUPERIOR X ALTURA), PARA VIAS URBANAS (USO VIÁRIO). AF_06/2016</t>
  </si>
  <si>
    <t>49,13</t>
  </si>
  <si>
    <t>94274</t>
  </si>
  <si>
    <t>ASSENTAMENTO DE GUIA (MEIO-FIO) EM TRECHO CURVO, CONFECCIONADA EM CONCRETO PRÉ-FABRICADO, DIMENSÕES 100X15X13X30 CM (COMPRIMENTO X BASE INFERIOR X BASE SUPERIOR X ALTURA), PARA VIAS URBANAS (USO VIÁRIO). AF_06/2016</t>
  </si>
  <si>
    <t>52,99</t>
  </si>
  <si>
    <t>94275</t>
  </si>
  <si>
    <t>ASSENTAMENTO DE GUIA (MEIO-FIO) EM TRECHO RETO, CONFECCIONADA EM CONCRETO PRÉ-FABRICADO, DIMENSÕES 100X15X13X20 CM (COMPRIMENTO X BASE INFERIOR X BASE SUPERIOR X ALTURA), PARA URBANIZAÇÃO INTERNA DE EMPREENDIMENTOS. AF_06/2016_P</t>
  </si>
  <si>
    <t>47,18</t>
  </si>
  <si>
    <t>94276</t>
  </si>
  <si>
    <t>ASSENTAMENTO DE GUIA (MEIO-FIO) EM TRECHO CURVO, CONFECCIONADA EM CONCRETO PRÉ-FABRICADO, DIMENSÕES 100X15X13X20 CM (COMPRIMENTO X BASE INFERIOR X BASE SUPERIOR X ALTURA), PARA URBANIZAÇÃO INTERNA DE EMPREENDIMENTOS. AF_06/2016_P</t>
  </si>
  <si>
    <t>51,04</t>
  </si>
  <si>
    <t>94277</t>
  </si>
  <si>
    <t>ASSENTAMENTO DE GUIA (MEIO-FIO) EM TRECHO RETO, CONFECCIONADA EM CONCRETO PRÉ-FABRICADO, DIMENSÕES 80X08X08X25 CM (COMPRIMENTO X BASE INFERIOR X BASE SUPERIOR X ALTURA), PARA URBANIZAÇÃO INTERNA DE EMPREENDIMENTOS. AF_06/2016</t>
  </si>
  <si>
    <t>39,02</t>
  </si>
  <si>
    <t>94278</t>
  </si>
  <si>
    <t>ASSENTAMENTO DE GUIA (MEIO-FIO) EM TRECHO CURVO, CONFECCIONADA EM CONCRETO PRÉ-FABRICADO, DIMENSÕES 80X08X08X25 CM (COMPRIMENTO X BASE INFERIOR X BASE SUPERIOR X ALTURA), PARA URBANIZAÇÃO INTERNA DE EMPREENDIMENTOS. AF_06/2016</t>
  </si>
  <si>
    <t>42,88</t>
  </si>
  <si>
    <t>94279</t>
  </si>
  <si>
    <t>ASSENTAMENTO DE GUIA (MEIO-FIO) EM TRECHO RETO, CONFECCIONADA EM CONCRETO PRÉ-FABRICADO, DIMENSÕES 39X6,5X6,5X19 CM (COMPRIMENTO X BASE INFERIOR X BASE SUPERIOR X ALTURA), PARA DELIMITAÇÃO DE JARDINS, PRAÇAS OU PASSEIOS. AF_05/2016</t>
  </si>
  <si>
    <t>45,28</t>
  </si>
  <si>
    <t>94280</t>
  </si>
  <si>
    <t>ASSENTAMENTO DE GUIA (MEIO-FIO) EM TRECHO CURVO, CONFECCIONADA EM CONCRETO PRÉ-FABRICADO, DIMENSÕES 39X6,5X6,5X19 CM (COMPRIMENTO X BASE INFERIOR X BASE SUPERIOR X ALTURA), PARA DELIMITAÇÃO DE JARDINS, PRAÇAS OU PASSEIOS. AF_05/2016</t>
  </si>
  <si>
    <t>94281</t>
  </si>
  <si>
    <t>EXECUÇÃO DE SARJETA DE CONCRETO USINADO, MOLDADA  IN LOCO  EM TRECHO RETO, 30 CM BASE X 15 CM ALTURA. AF_06/2016</t>
  </si>
  <si>
    <t>94282</t>
  </si>
  <si>
    <t>EXECUÇÃO DE SARJETA DE CONCRETO USINADO, MOLDADA  IN LOCO  EM TRECHO CURVO, 30 CM BASE X 15 CM ALTURA. AF_06/2016</t>
  </si>
  <si>
    <t>54,66</t>
  </si>
  <si>
    <t>94283</t>
  </si>
  <si>
    <t>EXECUÇÃO DE SARJETA DE CONCRETO USINADO, MOLDADA  IN LOCO  EM TRECHO RETO, 45 CM BASE X 15 CM ALTURA. AF_06/2016</t>
  </si>
  <si>
    <t>53,52</t>
  </si>
  <si>
    <t>94284</t>
  </si>
  <si>
    <t>EXECUÇÃO DE SARJETA DE CONCRETO USINADO, MOLDADA  IN LOCO  EM TRECHO CURVO, 45 CM BASE X 15 CM ALTURA. AF_06/2016</t>
  </si>
  <si>
    <t>65,27</t>
  </si>
  <si>
    <t>94285</t>
  </si>
  <si>
    <t>EXECUÇÃO DE SARJETA DE CONCRETO USINADO, MOLDADA  IN LOCO  EM TRECHO RETO, 60 CM BASE X 15 CM ALTURA. AF_06/2016</t>
  </si>
  <si>
    <t>63,56</t>
  </si>
  <si>
    <t>94286</t>
  </si>
  <si>
    <t>EXECUÇÃO DE SARJETA DE CONCRETO USINADO, MOLDADA  IN LOCO  EM TRECHO CURVO, 60 CM BASE X 15 CM ALTURA. AF_06/2016</t>
  </si>
  <si>
    <t>75,32</t>
  </si>
  <si>
    <t>94287</t>
  </si>
  <si>
    <t>EXECUÇÃO DE SARJETA DE CONCRETO USINADO, MOLDADA  IN LOCO  EM TRECHO RETO, 30 CM BASE X 10 CM ALTURA. AF_06/2016</t>
  </si>
  <si>
    <t>34,11</t>
  </si>
  <si>
    <t>94288</t>
  </si>
  <si>
    <t>EXECUÇÃO DE SARJETA DE CONCRETO USINADO, MOLDADA  IN LOCO  EM TRECHO CURVO, 30 CM BASE X 10 CM ALTURA. AF_06/2016</t>
  </si>
  <si>
    <t>44,38</t>
  </si>
  <si>
    <t>94289</t>
  </si>
  <si>
    <t>EXECUÇÃO DE SARJETA DE CONCRETO USINADO, MOLDADA  IN LOCO  EM TRECHO RETO, 45 CM BASE X 10 CM ALTURA. AF_06/2016</t>
  </si>
  <si>
    <t>41,78</t>
  </si>
  <si>
    <t>94290</t>
  </si>
  <si>
    <t>EXECUÇÃO DE SARJETA DE CONCRETO USINADO, MOLDADA  IN LOCO  EM TRECHO CURVO, 45 CM BASE X 10 CM ALTURA. AF_06/2016</t>
  </si>
  <si>
    <t>52,05</t>
  </si>
  <si>
    <t>94291</t>
  </si>
  <si>
    <t>EXECUÇÃO DE SARJETA DE CONCRETO USINADO, MOLDADA  IN LOCO  EM TRECHO RETO, 60 CM BASE X 10 CM ALTURA. AF_06/2016</t>
  </si>
  <si>
    <t>48,95</t>
  </si>
  <si>
    <t>94292</t>
  </si>
  <si>
    <t>EXECUÇÃO DE SARJETA DE CONCRETO USINADO, MOLDADA  IN LOCO  EM TRECHO CURVO, 60 CM BASE X 10 CM ALTURA. AF_06/2016</t>
  </si>
  <si>
    <t>59,22</t>
  </si>
  <si>
    <t>94293</t>
  </si>
  <si>
    <t>EXECUÇÃO DE SARJETÃO DE CONCRETO USINADO, MOLDADA  IN LOCO  EM TRECHO RETO, 100 CM BASE X 20 CM ALTURA. AF_06/2016</t>
  </si>
  <si>
    <t>123,75</t>
  </si>
  <si>
    <t>94294</t>
  </si>
  <si>
    <t>EXECUÇÃO DE ESCORAS DE CONCRETO PARA CONTENÇÃO DE GUIAS PRÉ-FABRICADAS. AF_06/2016</t>
  </si>
  <si>
    <t>7,02</t>
  </si>
  <si>
    <t>102727</t>
  </si>
  <si>
    <t>FABRICAÇÃO, MONTAGEM E DESMONTAGEM DE FÔRMA PARA BOCA PARA BUEIRO, EM CHAPA DE MADEIRA COMPENSADA RESINADA, E = 17 MM, 2 UTILIZAÇÕES. AF_07/2021</t>
  </si>
  <si>
    <t>92,06</t>
  </si>
  <si>
    <t>102728</t>
  </si>
  <si>
    <t>ARMAÇÃO DE MURO ALA E MURO TESTA UTILIZANDO AÇO CA-50 DE 6,3 MM - MONTAGEM. AF_07/2021</t>
  </si>
  <si>
    <t>18,73</t>
  </si>
  <si>
    <t>102729</t>
  </si>
  <si>
    <t>ARMAÇÃO DE MURO ALA E MURO TESTA UTILIZANDO AÇO CA-50 DE 8 MM - MONTAGEM. AF_07/2021</t>
  </si>
  <si>
    <t>102730</t>
  </si>
  <si>
    <t>ARMAÇÃO DE MURO ALA E MURO TESTA UTILIZANDO AÇO CA-50 DE 10 MM - MONTAGEM. AF_07/2021</t>
  </si>
  <si>
    <t>16,09</t>
  </si>
  <si>
    <t>102731</t>
  </si>
  <si>
    <t>ARMAÇÃO DE MURO ALA E MURO TESTA UTILIZANDO AÇO CA-50 DE 12,5 MM - MONTAGEM. AF_07/2021</t>
  </si>
  <si>
    <t>13,65</t>
  </si>
  <si>
    <t>102732</t>
  </si>
  <si>
    <t>ARMAÇÃO DE MURO ALA E MURO TESTA UTILIZANDO AÇO CA-50 DE 16 MM - MONTAGEM. AF_07/2021</t>
  </si>
  <si>
    <t>13,08</t>
  </si>
  <si>
    <t>102733</t>
  </si>
  <si>
    <t>ARMAÇÃO DE MURO ALA E MURO TESTA UTILIZANDO AÇO CA-50 DE 20 MM - MONTAGEM. AF_07/2021</t>
  </si>
  <si>
    <t>14,76</t>
  </si>
  <si>
    <t>102734</t>
  </si>
  <si>
    <t>ARMAÇÃO DE SOLEIRA UTILIZANDO AÇO CA-50 DE 6,3 MM - MONTAGEM. AF_07/2021</t>
  </si>
  <si>
    <t>17,56</t>
  </si>
  <si>
    <t>102735</t>
  </si>
  <si>
    <t>ARMAÇÃO DE SOLEIRA UTILIZANDO AÇO CA-50 DE 8 MM - MONTAGEM. AF_07/2021</t>
  </si>
  <si>
    <t>16,92</t>
  </si>
  <si>
    <t>102736</t>
  </si>
  <si>
    <t>CONCRETAGEM DE BOCA PARA BUEIRO, FCK = 20 MPA, COM USO DE BOMBA - LANÇAMENTO, ADENSAMENTO E ACABAMENTO. AF_07/2021</t>
  </si>
  <si>
    <t>398,99</t>
  </si>
  <si>
    <t>102737</t>
  </si>
  <si>
    <t>BOCA PARA BUEIRO SIMPLES TUBULAR D = 40 CM EM CONCRETO, ALAS COM ESCONSIDADE DE 0°, INCLUINDO FÔRMAS E MATERIAIS. AF_07/2021</t>
  </si>
  <si>
    <t>1.056,84</t>
  </si>
  <si>
    <t>102738</t>
  </si>
  <si>
    <t>BOCA PARA BUEIRO SIMPLES TUBULAR D = 60 CM EM CONCRETO, ALAS COM ESCONSIDADE DE 0°, INCLUINDO FÔRMAS E MATERIAIS. AF_07/2021</t>
  </si>
  <si>
    <t>2.174,26</t>
  </si>
  <si>
    <t>102739</t>
  </si>
  <si>
    <t>BOCA PARA BUEIRO SIMPLES TUBULAR D = 80 CM EM CONCRETO, ALAS COM ESCONSIDADE DE 0°, INCLUINDO FÔRMAS E MATERIAIS. AF_07/2021</t>
  </si>
  <si>
    <t>3.656,13</t>
  </si>
  <si>
    <t>102740</t>
  </si>
  <si>
    <t>BOCA PARA BUEIRO SIMPLES TUBULAR D = 100 CM EM CONCRETO, ALAS COM ESCONSIDADE DE 0°, INCLUINDO FÔRMAS E MATERIAIS. AF_07/2021</t>
  </si>
  <si>
    <t>5.497,11</t>
  </si>
  <si>
    <t>102741</t>
  </si>
  <si>
    <t>BOCA PARA BUEIRO SIMPLES TUBULAR D = 120 CM EM CONCRETO, ALAS COM ESCONSIDADE DE 0°, INCLUINDO FÔRMAS E MATERIAIS. AF_07/2021</t>
  </si>
  <si>
    <t>7.735,60</t>
  </si>
  <si>
    <t>102742</t>
  </si>
  <si>
    <t>BOCA PARA BUEIRO SIMPLES TUBULAR D = 150 CM EM CONCRETO, ALAS COM ESCONSIDADE DE 0°, INCLUINDO FÔRMAS E MATERIAIS. AF_07/2021</t>
  </si>
  <si>
    <t>13.425,92</t>
  </si>
  <si>
    <t>102743</t>
  </si>
  <si>
    <t>BOCA PARA BUEIRO DUPLO TUBULAR D = 80 CM EM CONCRETO, ALAS COM ESCONSIDADE DE 0°, INCLUINDO FÔRMAS E MATERIAIS. AF_07/2021</t>
  </si>
  <si>
    <t>4.409,99</t>
  </si>
  <si>
    <t>102744</t>
  </si>
  <si>
    <t>BOCA PARA BUEIRO DUPLO TUBULAR D = 100 CM EM CONCRETO, ALAS COM ESCONSIDADE DE 0°, INCLUINDO FÔRMAS E MATERIAIS. AF_07/2021</t>
  </si>
  <si>
    <t>6.629,39</t>
  </si>
  <si>
    <t>102745</t>
  </si>
  <si>
    <t>BOCA PARA BUEIRO DUPLO TUBULAR D = 120 CM EM CONCRETO, ALAS COM ESCONSIDADE DE 0°, INCLUINDO FÔRMAS E MATERIAIS. AF_07/2021</t>
  </si>
  <si>
    <t>9.344,64</t>
  </si>
  <si>
    <t>102746</t>
  </si>
  <si>
    <t>BOCA PARA BUEIRO DUPLO TUBULAR D = 150 CM EM CONCRETO, ALAS COM ESCONSIDADE DE 0°, INCLUINDO FÔRMAS E MATERIAIS. AF_07/2021</t>
  </si>
  <si>
    <t>16.240,14</t>
  </si>
  <si>
    <t>102747</t>
  </si>
  <si>
    <t>BOCA PARA BUEIRO TRIPLO TUBULAR D = 100 CM EM CONCRETO, ALAS COM ESCONSIDADE DE 0°, INCLUINDO FÔRMAS E MATERIAIS. AF_07/2021</t>
  </si>
  <si>
    <t>8.221,46</t>
  </si>
  <si>
    <t>102748</t>
  </si>
  <si>
    <t>BOCA PARA BUEIRO TRIPLO TUBULAR D = 120 CM EM CONCRETO, ALAS COM ESCONSIDADE DE 0°, INCLUINDO FÔRMAS E MATERIAIS. AF_07/2021</t>
  </si>
  <si>
    <t>11.537,86</t>
  </si>
  <si>
    <t>102749</t>
  </si>
  <si>
    <t>BOCA PARA BUEIRO TRIPLO TUBULAR D = 150 CM EM CONCRETO, ALAS COM ESCONSIDADE DE 0°, INCLUINDO FÔRMAS E MATERIAIS. AF_07/2021</t>
  </si>
  <si>
    <t>19.855,40</t>
  </si>
  <si>
    <t>102750</t>
  </si>
  <si>
    <t>BOCA PARA BUEIRO SIMPLES TUBULAR D = 60 CM EM CONCRETO, ALAS COM ESCONSIDADE DE 30°, INCLUINDO FÔRMAS E MATERIAIS. AF_07/2021</t>
  </si>
  <si>
    <t>2.656,37</t>
  </si>
  <si>
    <t>102751</t>
  </si>
  <si>
    <t>BOCA PARA BUEIRO SIMPLES TUBULAR D = 80 CM EM CONCRETO, ALAS COM ESCONSIDADE DE 30°, INCLUINDO FÔRMAS E MATERIAIS. AF_07/2021</t>
  </si>
  <si>
    <t>4.644,99</t>
  </si>
  <si>
    <t>102752</t>
  </si>
  <si>
    <t>BOCA PARA BUEIRO SIMPLES TUBULAR D = 100 CM EM CONCRETO, ALAS COM ESCONSIDADE DE 30°, INCLUINDO FÔRMAS E MATERIAIS. AF_07/2021</t>
  </si>
  <si>
    <t>7.434,06</t>
  </si>
  <si>
    <t>102753</t>
  </si>
  <si>
    <t>BOCA PARA BUEIRO SIMPLES TUBULAR D = 120 CM EM CONCRETO, ALAS COM ESCONSIDADE DE 30°, INCLUINDO FÔRMAS E MATERIAIS. AF_07/2021</t>
  </si>
  <si>
    <t>11.048,77</t>
  </si>
  <si>
    <t>102754</t>
  </si>
  <si>
    <t>BOCA PARA BUEIRO SIMPLES TUBULAR D = 150 CM EM CONCRETO, ALAS COM ESCONSIDADE DE 30°, INCLUINDO FÔRMAS E MATERIAIS. AF_07/2021</t>
  </si>
  <si>
    <t>21.051,09</t>
  </si>
  <si>
    <t>102755</t>
  </si>
  <si>
    <t>BOCA PARA BUEIRO DUPLO TUBULAR D = 100 CM EM CONCRETO, ALAS COM ESCONSIDADE DE 30°, INCLUINDO FÔRMAS E MATERIAIS. AF_07/2021</t>
  </si>
  <si>
    <t>10.382,33</t>
  </si>
  <si>
    <t>102756</t>
  </si>
  <si>
    <t>BOCA PARA BUEIRO DUPLO TUBULAR D = 120 CM EM CONCRETO, ALAS COM ESCONSIDADE DE 30°, INCLUINDO FÔRMAS E MATERIAIS. AF_07/2021</t>
  </si>
  <si>
    <t>15.481,79</t>
  </si>
  <si>
    <t>102757</t>
  </si>
  <si>
    <t>BOCA PARA BUEIRO DUPLO TUBULAR D = 150 CM EM CONCRETO, ALAS COM ESCONSIDADE DE 30°, INCLUINDO FÔRMAS E MATERIAIS. AF_07/2021</t>
  </si>
  <si>
    <t>28.863,85</t>
  </si>
  <si>
    <t>102758</t>
  </si>
  <si>
    <t>BOCA PARA BUEIRO TRIPLO TUBULAR D = 100 CM EM CONCRETO, ALAS COM ESCONSIDADE DE 30°, INCLUINDO FÔRMAS E MATERIAIS. AF_07/2021</t>
  </si>
  <si>
    <t>13.346,21</t>
  </si>
  <si>
    <t>102759</t>
  </si>
  <si>
    <t>BOCA PARA BUEIRO TRIPLO TUBULAR D = 120 CM EM CONCRETO, ALAS COM ESCONSIDADE DE 30°, INCLUINDO FÔRMAS E MATERIAIS. AF_07/2021</t>
  </si>
  <si>
    <t>19.938,63</t>
  </si>
  <si>
    <t>102760</t>
  </si>
  <si>
    <t>BOCA PARA BUEIRO TRIPLO TUBULAR D = 150 CM EM CONCRETO, ALAS COM ESCONSIDADE DE 30°, INCLUINDO FÔRMAS E MATERIAIS. AF_07/2021</t>
  </si>
  <si>
    <t>36.829,89</t>
  </si>
  <si>
    <t>102761</t>
  </si>
  <si>
    <t>BOCA PARA BUEIRO SIMPLES CELULAR 150 X 150 CM EM CONCRETO, ALAS COM ESCONSIDADE DE 30°, INCLUINDO FÔRMAS E MATERIAIS. AF_07/2021</t>
  </si>
  <si>
    <t>12.628,01</t>
  </si>
  <si>
    <t>102762</t>
  </si>
  <si>
    <t>BOCA PARA BUEIRO SIMPLES CELULAR 200 X 200 CM EM CONCRETO, ALAS COM ESCONSIDADE DE 30°, INCLUINDO FÔRMAS E MATERIAIS. AF_07/2021</t>
  </si>
  <si>
    <t>19.544,88</t>
  </si>
  <si>
    <t>102763</t>
  </si>
  <si>
    <t>BOCA PARA BUEIRO SIMPLES CELULAR 250 X 250 CM EM CONCRETO, ALAS COM ESCONSIDADE DE 30°, INCLUINDO FÔRMAS E MATERIAIS. AF_07/2021</t>
  </si>
  <si>
    <t>27.349,63</t>
  </si>
  <si>
    <t>102764</t>
  </si>
  <si>
    <t>BOCA PARA BUEIRO SIMPLES CELULAR 300 X 300 CM EM CONCRETO, ALAS COM ESCONSIDADE DE 30°, INCLUINDO FÔRMAS E MATERIAIS. AF_07/2021</t>
  </si>
  <si>
    <t>38.787,77</t>
  </si>
  <si>
    <t>102765</t>
  </si>
  <si>
    <t>BOCA PARA BUEIRO DUPLO CELULAR 150 X 150 CM EM CONCRETO, ALAS COM ESCONSIDADE DE 30°, INCLUINDO FÔRMAS E MATERIAIS. AF_07/2021</t>
  </si>
  <si>
    <t>15.566,94</t>
  </si>
  <si>
    <t>102766</t>
  </si>
  <si>
    <t>BOCA PARA BUEIRO DUPLO CELULAR 200 X 200 CM EM CONCRETO, ALAS COM ESCONSIDADE DE 30°, INCLUINDO FÔRMAS E MATERIAIS. AF_07/2021</t>
  </si>
  <si>
    <t>23.526,91</t>
  </si>
  <si>
    <t>102767</t>
  </si>
  <si>
    <t>BOCA PARA BUEIRO DUPLO CELULAR 250 X 250 CM EM CONCRETO, ALAS COM ESCONSIDADE DE 30°, INCLUINDO FÔRMAS E MATERIAIS. AF_07/2021</t>
  </si>
  <si>
    <t>33.295,42</t>
  </si>
  <si>
    <t>102768</t>
  </si>
  <si>
    <t>BOCA PARA BUEIRO DUPLO CELULAR 300 X 300 CM EM CONCRETO, ALAS COM ESCONSIDADE DE 30°, INCLUINDO FÔRMAS E MATERIAIS. AF_07/2021</t>
  </si>
  <si>
    <t>46.863,86</t>
  </si>
  <si>
    <t>102769</t>
  </si>
  <si>
    <t>BOCA PARA BUEIRO TRIPLO CELULAR 150 X 150 CM EM CONCRETO, ALAS COM ESCONSIDADE DE 30°, INCLUINDO FÔRMAS E MATERIAIS. AF_07/2021</t>
  </si>
  <si>
    <t>17.885,05</t>
  </si>
  <si>
    <t>102770</t>
  </si>
  <si>
    <t>BOCA PARA BUEIRO TRIPLO CELULAR 200 X 200 CM EM CONCRETO, ALAS COM ESCONSIDADE DE 30°, INCLUINDO FÔRMAS E MATERIAIS. AF_07/2021</t>
  </si>
  <si>
    <t>27.581,12</t>
  </si>
  <si>
    <t>102771</t>
  </si>
  <si>
    <t>BOCA PARA BUEIRO TRIPLO CELULAR 250 X 250 CM EM CONCRETO, ALAS COM ESCONSIDADE DE 30°, INCLUINDO FÔRMAS E MATERIAIS. AF_07/2021</t>
  </si>
  <si>
    <t>39.004,18</t>
  </si>
  <si>
    <t>102772</t>
  </si>
  <si>
    <t>BOCA PARA BUEIRO TRIPLO CELULAR 300 X 300 CM EM CONCRETO, ALAS COM ESCONSIDADE DE 30°, INCLUINDO FÔRMAS E MATERIAIS. AF_07/2021</t>
  </si>
  <si>
    <t>55.585,93</t>
  </si>
  <si>
    <t>102773</t>
  </si>
  <si>
    <t>BOCA PARA BUEIRO SIMPLES TUBULAR D = 40 CM EM GABIÃO, ALAS COM ESCONSIDADE DE 45°, INCLUINDO FÔRMAS E MATERIAIS. AF_07/2021</t>
  </si>
  <si>
    <t>7.170,48</t>
  </si>
  <si>
    <t>102774</t>
  </si>
  <si>
    <t>BOCA PARA BUEIRO SIMPLES TUBULAR D = 60 CM EM GABIÃO, ALAS COM ESCONSIDADE DE 45°, INCLUINDO FÔRMAS E MATERIAIS. AF_07/2021</t>
  </si>
  <si>
    <t>102775</t>
  </si>
  <si>
    <t>BOCA PARA BUEIRO SIMPLES TUBULAR D = 80 CM EM GABIÃO, ALAS COM ESCONSIDADE DE 45°, INCLUINDO FÔRMAS E MATERIAIS. AF_07/2021</t>
  </si>
  <si>
    <t>10.701,84</t>
  </si>
  <si>
    <t>102776</t>
  </si>
  <si>
    <t>BOCA PARA BUEIRO SIMPLES TUBULAR D = 100 CM EM GABIÃO, ALAS COM ESCONSIDADE DE 45°, INCLUINDO FÔRMAS E MATERIAIS. AF_07/2021</t>
  </si>
  <si>
    <t>102777</t>
  </si>
  <si>
    <t>BOCA PARA BUEIRO SIMPLES TUBULAR D = 120 CM EM GABIÃO, ALAS COM ESCONSIDADE DE 45°, INCLUINDO FÔRMAS E MATERIAIS. AF_07/2021</t>
  </si>
  <si>
    <t>16.197,00</t>
  </si>
  <si>
    <t>102778</t>
  </si>
  <si>
    <t>BOCA PARA BUEIRO SIMPLES TUBULAR D = 150 CM EM GABIÃO, ALAS COM ESCONSIDADE DE 45°, INCLUINDO FÔRMAS E MATERIAIS. AF_07/2021</t>
  </si>
  <si>
    <t>24.128,75</t>
  </si>
  <si>
    <t>102779</t>
  </si>
  <si>
    <t>BOCA PARA BUEIRO DUPLO TUBULAR D = 40 CM EM GABIÃO, ALAS COM ESCONSIDADE DE 45°, INCLUINDO FÔRMAS E MATERIAIS. AF_07/2021</t>
  </si>
  <si>
    <t>102780</t>
  </si>
  <si>
    <t>BOCA PARA BUEIRO DUPLO TUBULAR D = 60 CM EM GABIÃO, ALAS COM ESCONSIDADE DE 45°, INCLUINDO FÔRMAS E MATERIAIS. AF_07/2021</t>
  </si>
  <si>
    <t>8.251,44</t>
  </si>
  <si>
    <t>102781</t>
  </si>
  <si>
    <t>BOCA PARA BUEIRO DUPLO TUBULAR D = 80 CM EM GABIÃO, ALAS COM ESCONSIDADE DE 45°, INCLUINDO FÔRMAS E MATERIAIS. AF_07/2021</t>
  </si>
  <si>
    <t>12.224,22</t>
  </si>
  <si>
    <t>102782</t>
  </si>
  <si>
    <t>BOCA PARA BUEIRO DUPLO TUBULAR D = 100 CM EM GABIÃO, ALAS COM ESCONSIDADE DE 45°, INCLUINDO FÔRMAS E MATERIAIS. AF_07/2021</t>
  </si>
  <si>
    <t>13.601,28</t>
  </si>
  <si>
    <t>102783</t>
  </si>
  <si>
    <t>BOCA PARA BUEIRO DUPLO TUBULAR D = 120 CM EM GABIÃO, ALAS COM ESCONSIDADE DE 45°, INCLUINDO FÔRMAS E MATERIAIS. AF_07/2021</t>
  </si>
  <si>
    <t>18.015,48</t>
  </si>
  <si>
    <t>102784</t>
  </si>
  <si>
    <t>BOCA PARA BUEIRO DUPLO TUBULAR D = 150 CM EM GABIÃO, ALAS COM ESCONSIDADE DE 45°, INCLUINDO FÔRMAS E MATERIAIS. AF_07/2021</t>
  </si>
  <si>
    <t>28.094,62</t>
  </si>
  <si>
    <t>102785</t>
  </si>
  <si>
    <t>BOCA PARA BUEIRO TRIPLO TUBULAR D = 40 CM EM GABIÃO, ALAS COM ESCONSIDADE DE 45°, INCLUINDO FÔRMAS E MATERIAIS. AF_07/2021</t>
  </si>
  <si>
    <t>102786</t>
  </si>
  <si>
    <t>BOCA PARA BUEIRO TRIPLO TUBULAR D = 60 CM EM GABIÃO, ALAS COM ESCONSIDADE DE 45°, INCLUINDO FÔRMAS E MATERIAIS. AF_07/2021</t>
  </si>
  <si>
    <t>9.187,08</t>
  </si>
  <si>
    <t>102787</t>
  </si>
  <si>
    <t>BOCA PARA BUEIRO TRIPLO TUBULAR D = 80 CM EM GABIÃO, ALAS COM ESCONSIDADE DE 45°, INCLUINDO FÔRMAS E MATERIAIS. AF_07/2021</t>
  </si>
  <si>
    <t>102788</t>
  </si>
  <si>
    <t>BOCA PARA BUEIRO TRIPLO TUBULAR D = 100 CM EM GABIÃO, ALAS COM ESCONSIDADE DE 45°, INCLUINDO FÔRMAS E MATERIAIS. AF_07/2021</t>
  </si>
  <si>
    <t>14.951,09</t>
  </si>
  <si>
    <t>102789</t>
  </si>
  <si>
    <t>BOCA PARA BUEIRO TRIPLO TUBULAR D = 120 CM EM GABIÃO, ALAS COM ESCONSIDADE DE 45°, INCLUINDO FÔRMAS E MATERIAIS. AF_07/2021</t>
  </si>
  <si>
    <t>19.670,47</t>
  </si>
  <si>
    <t>102790</t>
  </si>
  <si>
    <t>BOCA PARA BUEIRO TRIPLO TUBULAR D = 150 CM EM GABIÃO, ALAS COM ESCONSIDADE DE 45°, INCLUINDO FÔRMAS E MATERIAIS. AF_07/2021</t>
  </si>
  <si>
    <t>32.514,62</t>
  </si>
  <si>
    <t>102791</t>
  </si>
  <si>
    <t>BOCA PARA BUEIRO SIMPLES CELULAR 150 X 150 CM EM GABIÃO, ALAS COM ESCONSIDADE DE 45°, INCLUINDO FÔRMAS E MATERIAIS. AF_07/2021</t>
  </si>
  <si>
    <t>26.145,10</t>
  </si>
  <si>
    <t>102792</t>
  </si>
  <si>
    <t>BOCA PARA BUEIRO SIMPLES CELULAR 200 X 200 CM EM GABIÃO, ALAS COM ESCONSIDADE DE 45°, INCLUINDO FÔRMAS E MATERIAIS. AF_07/2021</t>
  </si>
  <si>
    <t>42.532,85</t>
  </si>
  <si>
    <t>102793</t>
  </si>
  <si>
    <t>BOCA PARA BUEIRO SIMPLES CELULAR 250 X 250 CM EM GABIÃO, ALAS COM ESCONSIDADE DE 45°, INCLUINDO FÔRMAS E MATERIAIS. AF_07/2021</t>
  </si>
  <si>
    <t>57.278,68</t>
  </si>
  <si>
    <t>102794</t>
  </si>
  <si>
    <t>BOCA PARA BUEIRO SIMPLES CELULAR 300 X 300 CM EM GABIÃO, ALAS COM ESCONSIDADE DE 45°, INCLUINDO FÔRMAS E MATERIAIS. AF_07/2021</t>
  </si>
  <si>
    <t>82.053,07</t>
  </si>
  <si>
    <t>102795</t>
  </si>
  <si>
    <t>BOCA PARA BUEIRO DUPLO CELULAR 150 X 150 CM EM GABIÃO, ALAS COM ESCONSIDADE DE 45°, INCLUINDO FÔRMAS E MATERIAIS. AF_07/2021</t>
  </si>
  <si>
    <t>27.898,41</t>
  </si>
  <si>
    <t>102796</t>
  </si>
  <si>
    <t>BOCA PARA BUEIRO DUPLO CELULAR 200 X 200 CM EM GABIÃO, ALAS COM ESCONSIDADE DE 45°, INCLUINDO FÔRMAS E MATERIAIS. AF_07/2021</t>
  </si>
  <si>
    <t>45.000,18</t>
  </si>
  <si>
    <t>102797</t>
  </si>
  <si>
    <t>BOCA PARA BUEIRO DUPLO CELULAR 250 X 250 CM EM GABIÃO, ALAS COM ESCONSIDADE DE 45°, INCLUINDO FÔRMAS E MATERIAIS. AF_07/2021</t>
  </si>
  <si>
    <t>63.810,09</t>
  </si>
  <si>
    <t>102798</t>
  </si>
  <si>
    <t>BOCA PARA BUEIRO DUPLO CELULAR 300 X 300 CM EM GABIÃO, ALAS COM ESCONSIDADE DE 45°, INCLUINDO FÔRMAS E MATERIAIS. AF_07/2021</t>
  </si>
  <si>
    <t>78.099,26</t>
  </si>
  <si>
    <t>102799</t>
  </si>
  <si>
    <t>BOCA PARA BUEIRO TRIPLO CELULAR 150 X 150 CM EM GABIÃO, ALAS COM ESCONSIDADE DE 45°, INCLUINDO FÔRMAS E MATERIAIS. AF_07/2021</t>
  </si>
  <si>
    <t>28.486,97</t>
  </si>
  <si>
    <t>102800</t>
  </si>
  <si>
    <t>BOCA PARA BUEIRO TRIPLO CELULAR 200 X 200 CM EM GABIÃO, ALAS COM ESCONSIDADE DE 45°, INCLUINDO FÔRMAS E MATERIAIS. AF_07/2021</t>
  </si>
  <si>
    <t>49.398,50</t>
  </si>
  <si>
    <t>102801</t>
  </si>
  <si>
    <t>BOCA PARA BUEIRO TRIPLO CELULAR 250 X 250 CM EM GABIÃO, ALAS COM ESCONSIDADE DE 45°, INCLUINDO FÔRMAS E MATERIAIS. AF_07/2021</t>
  </si>
  <si>
    <t>69.180,38</t>
  </si>
  <si>
    <t>102802</t>
  </si>
  <si>
    <t>BOCA PARA BUEIRO TRIPLO CELULAR 300 X 300 CM EM GABIÃO, ALAS COM ESCONSIDADE DE 45°, INCLUINDO FÔRMAS E MATERIAIS. AF_07/2021</t>
  </si>
  <si>
    <t>82.959,45</t>
  </si>
  <si>
    <t>101570</t>
  </si>
  <si>
    <t>ESCORAMENTO DE VALA, TIPO PONTALETEAMENTO, COM PROFUNDIDADE DE 0 A 1,5 M, LARGURA MENOR QUE 1,5 M. AF_08/2020</t>
  </si>
  <si>
    <t>21,88</t>
  </si>
  <si>
    <t>101571</t>
  </si>
  <si>
    <t>ESCORAMENTO DE VALA, TIPO PONTALETEAMENTO, COM PROFUNDIDADE DE 0 A 1,5 M, LARGURA MAIOR OU IGUAL A 1,5 M E MENOR QUE 2,5 M. AF_08/2020</t>
  </si>
  <si>
    <t>29,55</t>
  </si>
  <si>
    <t>101572</t>
  </si>
  <si>
    <t>ESCORAMENTO DE VALA, TIPO PONTALETEAMENTO, COM PROFUNDIDADE DE 1,5 A 3,0 M, LARGURA MENOR QUE 1,5 M. AF_08/2020</t>
  </si>
  <si>
    <t>17,22</t>
  </si>
  <si>
    <t>101573</t>
  </si>
  <si>
    <t>ESCORAMENTO DE VALA, TIPO PONTALETEAMENTO, COM PROFUNDIDADE DE 1,5 A 3,0 M, LARGURA MAIOR OU IGUAL A 1,5 M E MENOR QUE 2,5 M. AF_08/2020</t>
  </si>
  <si>
    <t>24,90</t>
  </si>
  <si>
    <t>101574</t>
  </si>
  <si>
    <t>ESCORAMENTO DE VALA, TIPO PONTALETEAMENTO, COM PROFUNDIDADE DE 3,0 A 4,5 M, LARGURA MENOR QUE 1,5 M. AF_08/2020</t>
  </si>
  <si>
    <t>101575</t>
  </si>
  <si>
    <t>ESCORAMENTO DE VALA, TIPO PONTALETEAMENTO, COM PROFUNDIDADE DE 3,0 A 4,5 M, LARGURA MAIOR OU IGUAL A 1,5 M E MENOR QUE 2,5 M. AF_08/2020</t>
  </si>
  <si>
    <t>21,10</t>
  </si>
  <si>
    <t>101576</t>
  </si>
  <si>
    <t>ESCORAMENTO DE VALA, TIPO DESCONTÍNUO, COM PROFUNDIDADE DE 0 A 1,5 M, LARGURA MENOR QUE 1,5 M. AF_08/2020</t>
  </si>
  <si>
    <t>39,70</t>
  </si>
  <si>
    <t>101577</t>
  </si>
  <si>
    <t>ESCORAMENTO DE VALA, TIPO DESCONTÍNUO, COM PROFUNDIDADE DE 0 A 1,5 M, LARGURA MAIOR OU IGUAL A 1,5 M E MENOR QUE 2,5 M. AF_08/2020</t>
  </si>
  <si>
    <t>49,54</t>
  </si>
  <si>
    <t>101578</t>
  </si>
  <si>
    <t>ESCORAMENTO DE VALA, TIPO DESCONTÍNUO, COM PROFUNDIDADE DE 1,5 M A 3,0 M, LARGURA MENOR QUE 1,5 M. AF_08/2020</t>
  </si>
  <si>
    <t>32,93</t>
  </si>
  <si>
    <t>101579</t>
  </si>
  <si>
    <t>ESCORAMENTO DE VALA, TIPO DESCONTÍNUO, COM PROFUNDIDADE DE 1,5 A 3,0 M, LARGURA MAIOR OU IGUAL A 1,5 M E MENOR QUE 2,5 M. AF_08/2020</t>
  </si>
  <si>
    <t>42,77</t>
  </si>
  <si>
    <t>101580</t>
  </si>
  <si>
    <t>ESCORAMENTO DE VALA, TIPO DESCONTÍNUO, COM PROFUNDIDADE DE 3,0 A 4,5 M, LARGURA MENOR QUE 1,5 M. AF_08/2020</t>
  </si>
  <si>
    <t>29,43</t>
  </si>
  <si>
    <t>101581</t>
  </si>
  <si>
    <t>ESCORAMENTO DE VALA, TIPO DESCONTÍNUO, COM PROFUNDIDADE DE 3,0 A 4,5 M, LARGURA MAIOR OU IGUAL A 1,5 E MENOR QUE 2,5 M. AF_08/2020</t>
  </si>
  <si>
    <t>39,41</t>
  </si>
  <si>
    <t>101582</t>
  </si>
  <si>
    <t>ESCORAMENTO DE VALA, TIPO CONTÍNUO, COM PROFUNDIDADE DE 0 A 1,5 M, LARGURA MENOR QUE 1,5 M. AF_08/2020</t>
  </si>
  <si>
    <t>101583</t>
  </si>
  <si>
    <t>ESCORAMENTO DE VALA, TIPO CONTÍNUO, COM PROFUNDIDADE DE 0 A 1,5 M, LARGURA MAIOR OU IGUAL A 1,5 M E MENOR QUE 2,5 M. AF_08/2020</t>
  </si>
  <si>
    <t>80,60</t>
  </si>
  <si>
    <t>101584</t>
  </si>
  <si>
    <t>ESCORAMENTO DE VALA, TIPO CONTÍNUO, COM PROFUNDIDADE DE 1,5 M A 3,0 M, LARGURA MENOR QUE 1,5 M. AF_08/2020</t>
  </si>
  <si>
    <t>53,86</t>
  </si>
  <si>
    <t>101585</t>
  </si>
  <si>
    <t>ESCORAMENTO DE VALA, TIPO CONTÍNUO, COM PROFUNDIDADE DE 1,5 A 3,0 M, LARGURA MAIOR OU IGUAL A 1,5 M E MENOR QUE 2,5 M. AF_08/2020</t>
  </si>
  <si>
    <t>69,18</t>
  </si>
  <si>
    <t>101586</t>
  </si>
  <si>
    <t>ESCORAMENTO DE VALA, TIPO CONTÍNUO, COM PROFUNDIDADE DE 3,0 A 4,5 M, LARGURA MENOR QUE 1,5 M. AF_08/2020</t>
  </si>
  <si>
    <t>101587</t>
  </si>
  <si>
    <t>ESCORAMENTO DE VALA, TIPO CONTÍNUO, COM PROFUNDIDADE DE 3,0 A 4,5 M, LARGURA MAIOR OU IGUAL A 1,5 E MENOR QUE 2,5 M. AF_08/2020</t>
  </si>
  <si>
    <t>62,46</t>
  </si>
  <si>
    <t>101588</t>
  </si>
  <si>
    <t>ESCORAMENTO DE VALA, TIPO CONTÍNUO COM PERFIL METÁLICO "U", COM PROFUNDIDADE DE 0 A 1,5 M, LARGURA MENOR QUE 1,5 M. AF_08/2020</t>
  </si>
  <si>
    <t>84,84</t>
  </si>
  <si>
    <t>101589</t>
  </si>
  <si>
    <t>ESCORAMENTO DE VALA,TIPO CONTÍNUO COM PERFIL METÁLICO "U", COM PROFUNDIDADE DE 0 A 1,5 M, LARGURA MAIOR OU IGUAL A 1,5 E MENOR QUE 2,5 M. AF_08/2020</t>
  </si>
  <si>
    <t>123,18</t>
  </si>
  <si>
    <t>101590</t>
  </si>
  <si>
    <t>ESCORAMENTO DE VALA, TIPO CONTÍNUO COM PERFIL METÁLICO "U", COM PROFUNDIDADE DE 1,5 A 3,0 M, LARGURA MENOR QUE 1,5 M. AF_08/2020</t>
  </si>
  <si>
    <t>64,42</t>
  </si>
  <si>
    <t>101591</t>
  </si>
  <si>
    <t>ESCORAMENTO DE VALA, TIPO CONTÍNUO COM PERFIL METÁLICO "U", COM PROFUNDIDADE DE 1,5 A 3,0 M, LARGURA MAIOR OU IGUAL 1,5 M E MENOR QUE 2,5 M. AF_08/2020</t>
  </si>
  <si>
    <t>102,75</t>
  </si>
  <si>
    <t>101592</t>
  </si>
  <si>
    <t>ESCORAMENTO DE VALA, TIPO CONTÍNUO COM PERFIL METÁLICO "U", COM PROFUNDIDADE DE 3,0 A 4,5 M, LARGURA MENOR QUE 1,5 M. AF_08/2020</t>
  </si>
  <si>
    <t>45,64</t>
  </si>
  <si>
    <t>101593</t>
  </si>
  <si>
    <t>ESCORAMENTO DE VALA, TIPO CONTÍNUO COM PERFIL METÁLICO "U", COM PROFUNDIDADE DE 3,0 A 4,5 M, LARGURA MAIOR OU IGUAL A 1,5 M E MENOR QUE 2,5 M. AF_08/2020</t>
  </si>
  <si>
    <t>84,08</t>
  </si>
  <si>
    <t>101600</t>
  </si>
  <si>
    <t>ESCORAMENTO DE VALA, TIPO BLINDAGEM, COM PROFUNDIDADE DE 0 A 1,5 M, LARGURA MENOR QUE 1,5 M - EXECUÇÃO, NÃO INCLUI MATERIAL. AF_08/2020</t>
  </si>
  <si>
    <t>15,71</t>
  </si>
  <si>
    <t>101601</t>
  </si>
  <si>
    <t>ESCORAMENTO DE VALA, TIPO BLINDAGEM COM PROFUNDIDADE DE 0 A 1,5 M, LARGURA MAIOR OU IGUAL A 1,5 M E MENOR QUE 2,5 M - EXECUÇÃO, NÃO INCLUI MATERIAL. AF_08/2020</t>
  </si>
  <si>
    <t>23,27</t>
  </si>
  <si>
    <t>101602</t>
  </si>
  <si>
    <t>ESCORAMENTO DE VALA, TIPO BLINDAGEM, COM PROFUNDIDADE DE 1,5 A 3,0 M, LARGURA MENOR QUE 1,5 M - EXECUÇÃO, NÃO INCLUI MATERIAL. AF_08/2020</t>
  </si>
  <si>
    <t>11,65</t>
  </si>
  <si>
    <t>101603</t>
  </si>
  <si>
    <t>ESCORAMENTO DE VALA, TIPO BLINDAGEM, COM PROFUNDIDADE DE 1,5 A 3,0 M, LARGURA MAIOR OU IGUAL A 1,5 M E MENOR QUE 2,5 M - EXECUÇÃO, NÃO INCLUI MATERIAL. AF_08/2020</t>
  </si>
  <si>
    <t>101604</t>
  </si>
  <si>
    <t>ESCORAMENTO DE VALA, TIPO BLINDAGEM, COM PROFUNDIDADE DE 3,0 A 4,5 M, LARGURA MENOR QUE 1,5 M - EXECUÇÃO, NÃO INCLUI MATERIAL. AF_08/2020</t>
  </si>
  <si>
    <t>7,63</t>
  </si>
  <si>
    <t>101605</t>
  </si>
  <si>
    <t>ESCORAMENTO DE VALA, TIPO BLINDAGEM, COM PROFUNDIDADE DE 3,0 A 4,5 M, LARGURA MAIOR OU IGUAL A 1,5 M E MENOR QUE 2,5 M - EXECUÇÃO, NÃO INCLUI MATERIAL. AF_08/2020</t>
  </si>
  <si>
    <t>15,19</t>
  </si>
  <si>
    <t>90788</t>
  </si>
  <si>
    <t>KIT DE PORTA-PRONTA DE MADEIRA EM ACABAMENTO MELAMÍNICO BRANCO, FOLHA LEVE OU MÉDIA, 60X210CM, EXCLUSIVE FECHADURA, FIXAÇÃO COM PREENCHIMENTO PARCIAL DE ESPUMA EXPANSIVA - FORNECIMENTO E INSTALAÇÃO. AF_12/2019</t>
  </si>
  <si>
    <t>638,50</t>
  </si>
  <si>
    <t>90789</t>
  </si>
  <si>
    <t>KIT DE PORTA-PRONTA DE MADEIRA EM ACABAMENTO MELAMÍNICO BRANCO, FOLHA LEVE OU MÉDIA, 70X210CM, EXCLUSIVE FECHADURA, FIXAÇÃO COM PREENCHIMENTO PARCIAL DE ESPUMA EXPANSIVA - FORNECIMENTO E INSTALAÇÃO. AF_12/2019</t>
  </si>
  <si>
    <t>639,99</t>
  </si>
  <si>
    <t>90790</t>
  </si>
  <si>
    <t>KIT DE PORTA-PRONTA DE MADEIRA EM ACABAMENTO MELAMÍNICO BRANCO, FOLHA LEVE OU MÉDIA, 80X210CM, EXCLUSIVE FECHADURA, FIXAÇÃO COM PREENCHIMENTO PARCIAL DE ESPUMA EXPANSIVA - FORNECIMENTO E INSTALAÇÃO. AF_12/2019</t>
  </si>
  <si>
    <t>660,19</t>
  </si>
  <si>
    <t>90791</t>
  </si>
  <si>
    <t>KIT DE PORTA-PRONTA DE MADEIRA EM ACABAMENTO MELAMÍNICO BRANCO, FOLHA PESADA OU SUPERPESADA, 80X210CM, FIXAÇÃO COM PREENCHIMENTO PARCIAL DE ESPUMA EXPANSIVA - FORNECIMENTO E INSTALAÇÃO. AF_12/2019</t>
  </si>
  <si>
    <t>774,04</t>
  </si>
  <si>
    <t>90793</t>
  </si>
  <si>
    <t>KIT DE PORTA-PRONTA DE MADEIRA EM ACABAMENTO MELAMÍNICO BRANCO, FOLHA PESADA OU SUPERPESADA, 90X210CM, FIXAÇÃO COM PREENCHIMENTO TOTAL DE ESPUMA EXPANSIVA - FORNECIMENTO E INSTALAÇÃO. AF_12/2019</t>
  </si>
  <si>
    <t>820,08</t>
  </si>
  <si>
    <t>90794</t>
  </si>
  <si>
    <t>KIT DE PORTA-PRONTA DE MADEIRA EM ACABAMENTO MELAMÍNICO BRANCO, FOLHA LEVE OU MÉDIA, E BATENTE METÁLICO, 60X210CM, FIXAÇÃO COM ARGAMASSA - FORNECIMENTO E INSTALAÇÃO. AF_12/2019</t>
  </si>
  <si>
    <t>559,09</t>
  </si>
  <si>
    <t>90795</t>
  </si>
  <si>
    <t>KIT DE PORTA-PRONTA DE MADEIRA EM ACABAMENTO MELAMÍNICO BRANCO, FOLHA LEVE OU MÉDIA, E BATENTE METÁLICO, 70X210CM, FIXAÇÃO COM ARGAMASSA - FORNECIMENTO E INSTALAÇÃO. AF_12/2019</t>
  </si>
  <si>
    <t>565,75</t>
  </si>
  <si>
    <t>90796</t>
  </si>
  <si>
    <t>KIT DE PORTA-PRONTA DE MADEIRA EM ACABAMENTO MELAMÍNICO BRANCO, FOLHA LEVE OU MÉDIA, E BATENTE METÁLICO, 80X210CM, FIXAÇÃO COM ARGAMASSA - FORNECIMENTO E INSTALAÇÃO. AF_12/2019</t>
  </si>
  <si>
    <t>572,40</t>
  </si>
  <si>
    <t>90797</t>
  </si>
  <si>
    <t>KIT DE PORTA-PRONTA DE MADEIRA EM ACABAMENTO MELAMÍNICO BRANCO, FOLHA LEVE OU MÉDIA, E BATENTE METÁLICO, 90X210CM, FIXAÇÃO COM ARGAMASSA - FORNECIMENTO E INSTALAÇÃO. AF_12/2019</t>
  </si>
  <si>
    <t>579,04</t>
  </si>
  <si>
    <t>90798</t>
  </si>
  <si>
    <t>KIT DE PORTA-PRONTA DE MADEIRA EM ACABAMENTO MELAMÍNICO BRANCO, FOLHA PESADA OU SUPERPESADA, E BATENTE METÁLICO, 80X210CM, FIXAÇÃO COM ARGAMASSA - FORNECIMENTO E INSTALAÇÃO. AF_12/2019</t>
  </si>
  <si>
    <t>833,87</t>
  </si>
  <si>
    <t>90799</t>
  </si>
  <si>
    <t>KIT DE PORTA-PRONTA DE MADEIRA EM ACABAMENTO MELAMÍNICO BRANCO, FOLHA PESADA OU SUPERPESADA, E BATENTE METÁLICO, 90X210CM, FIXAÇÃO COM ARGAMASSA - FORNECIMENTO E INSTALAÇÃO. AF_12/2019</t>
  </si>
  <si>
    <t>861,39</t>
  </si>
  <si>
    <t>90801</t>
  </si>
  <si>
    <t>BATENTE PARA PORTA DE MADEIRA, PADRÃO MÉDIO - FORNECIMENTO E MONTAGEM. AF_12/2019</t>
  </si>
  <si>
    <t>303,81</t>
  </si>
  <si>
    <t>90806</t>
  </si>
  <si>
    <t>BATENTE PARA PORTA DE MADEIRA, FIXAÇÃO COM ARGAMASSA, PADRÃO MÉDIO - FORNECIMENTO E INSTALAÇÃO. AF_12/2019_P</t>
  </si>
  <si>
    <t>385,45</t>
  </si>
  <si>
    <t>90820</t>
  </si>
  <si>
    <t>PORTA DE MADEIRA PARA PINTURA, SEMI-OCA (LEVE OU MÉDIA), 60X210CM, ESPESSURA DE 3,5CM, INCLUSO DOBRADIÇAS - FORNECIMENTO E INSTALAÇÃO. AF_12/2019</t>
  </si>
  <si>
    <t>248,09</t>
  </si>
  <si>
    <t>90821</t>
  </si>
  <si>
    <t>PORTA DE MADEIRA PARA PINTURA, SEMI-OCA (LEVE OU MÉDIA), 70X210CM, ESPESSURA DE 3,5CM, INCLUSO DOBRADIÇAS - FORNECIMENTO E INSTALAÇÃO. AF_12/2019</t>
  </si>
  <si>
    <t>253,63</t>
  </si>
  <si>
    <t>90822</t>
  </si>
  <si>
    <t>PORTA DE MADEIRA PARA PINTURA, SEMI-OCA (LEVE OU MÉDIA), 80X210CM, ESPESSURA DE 3,5CM, INCLUSO DOBRADIÇAS - FORNECIMENTO E INSTALAÇÃO. AF_12/2019</t>
  </si>
  <si>
    <t>272,30</t>
  </si>
  <si>
    <t>90823</t>
  </si>
  <si>
    <t>PORTA DE MADEIRA PARA PINTURA, SEMI-OCA (LEVE OU MÉDIA), 90X210CM, ESPESSURA DE 3,5CM, INCLUSO DOBRADIÇAS - FORNECIMENTO E INSTALAÇÃO. AF_12/2019</t>
  </si>
  <si>
    <t>334,28</t>
  </si>
  <si>
    <t>90824</t>
  </si>
  <si>
    <t>PORTA DE MADEIRA PARA PINTURA, SEMI-OCA (PESADA OU SUPERPESADA), 80X210CM, ESPESSURA DE 3,5CM, INCLUSO DOBRADIÇAS - FORNECIMENTO E INSTALAÇÃO. AF_12/2019</t>
  </si>
  <si>
    <t>477,85</t>
  </si>
  <si>
    <t>90825</t>
  </si>
  <si>
    <t>PORTA DE MADEIRA, MACIÇA (PESADA OU SUPERPESADA), 90X210CM, ESPESSURA DE 3,5CM, INCLUSO DOBRADIÇAS - FORNECIMENTO E INSTALAÇÃO. AF_12/2019</t>
  </si>
  <si>
    <t>532,17</t>
  </si>
  <si>
    <t>90830</t>
  </si>
  <si>
    <t>FECHADURA DE EMBUTIR COM CILINDRO, EXTERNA, COMPLETA, ACABAMENTO PADRÃO MÉDIO, INCLUSO EXECUÇÃO DE FURO - FORNECIMENTO E INSTALAÇÃO. AF_12/2019</t>
  </si>
  <si>
    <t>134,92</t>
  </si>
  <si>
    <t>90831</t>
  </si>
  <si>
    <t>FECHADURA DE EMBUTIR PARA PORTA DE BANHEIRO, COMPLETA, ACABAMENTO PADRÃO MÉDIO, INCLUSO EXECUÇÃO DE FURO - FORNECIMENTO E INSTALAÇÃO. AF_12/2019</t>
  </si>
  <si>
    <t>117,87</t>
  </si>
  <si>
    <t>90841</t>
  </si>
  <si>
    <t>KIT DE PORTA DE MADEIRA PARA PINTURA, SEMI-OCA (LEVE OU MÉDIA), PADRÃO MÉDIO, 60X210CM, ESPESSURA DE 3,5CM, ITENS INCLUSOS: DOBRADIÇAS, MONTAGEM E INSTALAÇÃO DO BATENTE, FECHADURA COM EXECUÇÃO DO FURO - FORNECIMENTO E INSTALAÇÃO. AF_12/2019</t>
  </si>
  <si>
    <t>861,61</t>
  </si>
  <si>
    <t>90842</t>
  </si>
  <si>
    <t>KIT DE PORTA DE MADEIRA PARA PINTURA, SEMI-OCA (LEVE OU MÉDIA), PADRÃO MÉDIO, 70X210CM, ESPESSURA DE 3,5CM, ITENS INCLUSOS: DOBRADIÇAS, MONTAGEM E INSTALAÇÃO DO BATENTE, FECHADURA COM EXECUÇÃO DO FURO - FORNECIMENTO E INSTALAÇÃO. AF_12/2019</t>
  </si>
  <si>
    <t>869,45</t>
  </si>
  <si>
    <t>90843</t>
  </si>
  <si>
    <t>KIT DE PORTA DE MADEIRA PARA PINTURA, SEMI-OCA (LEVE OU MÉDIA), PADRÃO MÉDIO, 80X210CM, ESPESSURA DE 3,5CM, ITENS INCLUSOS: DOBRADIÇAS, MONTAGEM E INSTALAÇÃO DO BATENTE, FECHADURA COM EXECUÇÃO DO FURO - FORNECIMENTO E INSTALAÇÃO. AF_12/2019</t>
  </si>
  <si>
    <t>907,47</t>
  </si>
  <si>
    <t>90844</t>
  </si>
  <si>
    <t>KIT DE PORTA DE MADEIRA PARA PINTURA, SEMI-OCA (LEVE OU MÉDIA), PADRÃO MÉDIO, 90X210CM, ESPESSURA DE 3,5CM, ITENS INCLUSOS: DOBRADIÇAS, MONTAGEM E INSTALAÇÃO DO BATENTE, FECHADURA COM EXECUÇÃO DO FURO - FORNECIMENTO E INSTALAÇÃO. AF_12/2019</t>
  </si>
  <si>
    <t>971,74</t>
  </si>
  <si>
    <t>90845</t>
  </si>
  <si>
    <t>KIT DE PORTA DE MADEIRA PARA PINTURA, SEMI-OCA (PESADA OU SUPERPESADA), PADRÃO MÉDIO, 80X210CM, ESPESSURA DE 3,5CM, ITENS INCLUSOS: DOBRADIÇAS, MONTAGEM E INSTALAÇÃO DO BATENTE, FECHADURA COM EXECUÇÃO DO FURO - FORNECIMENTO E INSTALAÇÃO. AF_12/2019</t>
  </si>
  <si>
    <t>1.113,02</t>
  </si>
  <si>
    <t>90846</t>
  </si>
  <si>
    <t>KIT DE PORTA DE MADEIRA PARA PINTURA, SEMI-OCA (PESADA OU SUPERPESADA), PADRÃO MÉDIO, 90X210CM, ESPESSURA DE 3,5CM, ITENS INCLUSOS: DOBRADIÇAS, MONTAGEM E INSTALAÇÃO DO BATENTE, FECHADURA COM EXECUÇÃO DO FURO - FORNECIMENTO E INSTALAÇÃO. AF_12/2019</t>
  </si>
  <si>
    <t>1.169,63</t>
  </si>
  <si>
    <t>90847</t>
  </si>
  <si>
    <t>KIT DE PORTA DE MADEIRA PARA PINTURA, SEMI-OCA (LEVE OU MÉDIA), PADRÃO MÉDIO, 60X210CM, ESPESSURA DE 3,5CM, ITENS INCLUSOS: DOBRADIÇAS, MONTAGEM E INSTALAÇÃO DO BATENTE, SEM FECHADURA - FORNECIMENTO E INSTALAÇÃO. AF_12/2019</t>
  </si>
  <si>
    <t>743,74</t>
  </si>
  <si>
    <t>90848</t>
  </si>
  <si>
    <t>KIT DE PORTA DE MADEIRA PARA PINTURA, SEMI-OCA (LEVE OU MÉDIA), PADRÃO MÉDIO, 70X210CM, ESPESSURA DE 3,5CM, ITENS INCLUSOS: DOBRADIÇAS, MONTAGEM E INSTALAÇÃO DO BATENTE, SEM FECHADURA - FORNECIMENTO E INSTALAÇÃO. AF_12/2019</t>
  </si>
  <si>
    <t>751,58</t>
  </si>
  <si>
    <t>90849</t>
  </si>
  <si>
    <t>KIT DE PORTA DE MADEIRA PARA PINTURA, SEMI-OCA (LEVE OU MÉDIA), PADRÃO MÉDIO, 80X210CM, ESPESSURA DE 3,5CM, ITENS INCLUSOS: DOBRADIÇAS, MONTAGEM E INSTALAÇÃO DO BATENTE, SEM FECHADURA - FORNECIMENTO E INSTALAÇÃO. AF_12/2019</t>
  </si>
  <si>
    <t>772,55</t>
  </si>
  <si>
    <t>90850</t>
  </si>
  <si>
    <t>KIT DE PORTA DE MADEIRA PARA PINTURA, SEMI-OCA (LEVE OU MÉDIA), PADRÃO MÉDIO, 90X210CM, ESPESSURA DE 3,5CM, ITENS INCLUSOS: DOBRADIÇAS, MONTAGEM E INSTALAÇÃO DO BATENTE, SEM FECHADURA - FORNECIMENTO E INSTALAÇÃO. AF_12/2019</t>
  </si>
  <si>
    <t>836,82</t>
  </si>
  <si>
    <t>90851</t>
  </si>
  <si>
    <t>KIT DE PORTA DE MADEIRA PARA PINTURA, SEMI-OCA (PESADA OU SUPERPESADA), PADRÃO MÉDIO, 80X210CM, ESPESSURA DE 3,5CM, ITENS INCLUSOS: DOBRADIÇAS, MONTAGEM E INSTALAÇÃO DO BATENTE, SEM FECHADURA - FORNECIMENTO E INSTALAÇÃO. AF_12/2019</t>
  </si>
  <si>
    <t>978,10</t>
  </si>
  <si>
    <t>90852</t>
  </si>
  <si>
    <t>KIT DE PORTA DE MADEIRA PARA PINTURA, SEMI-OCA (PESADA OU SUPERPESADA), PADRÃO MÉDIO, 90X210CM, ESPESSURA DE 3,5CM, ITENS INCLUSOS: DOBRADIÇAS, MONTAGEM E INSTALAÇÃO DO BATENTE, SEM FECHADURA - FORNECIMENTO E INSTALAÇÃO. AF_12/2019</t>
  </si>
  <si>
    <t>1.034,71</t>
  </si>
  <si>
    <t>91009</t>
  </si>
  <si>
    <t>PORTA DE MADEIRA PARA VERNIZ, SEMI-OCA (LEVE OU MÉDIA), 60X210CM, ESPESSURA DE 3,5CM, INCLUSO DOBRADIÇAS - FORNECIMENTO E INSTALAÇÃO. AF_12/2019</t>
  </si>
  <si>
    <t>256,75</t>
  </si>
  <si>
    <t>91010</t>
  </si>
  <si>
    <t>PORTA DE MADEIRA PARA VERNIZ, SEMI-OCA (LEVE OU MÉDIA), 70X210CM, ESPESSURA DE 3,5CM, INCLUSO DOBRADIÇAS - FORNECIMENTO E INSTALAÇÃO. AF_12/2019</t>
  </si>
  <si>
    <t>262,70</t>
  </si>
  <si>
    <t>91011</t>
  </si>
  <si>
    <t>PORTA DE MADEIRA PARA VERNIZ, SEMI-OCA (LEVE OU MÉDIA), 80X210CM, ESPESSURA DE 3,5CM, INCLUSO DOBRADIÇAS - FORNECIMENTO E INSTALAÇÃO. AF_12/2019</t>
  </si>
  <si>
    <t>307,48</t>
  </si>
  <si>
    <t>91012</t>
  </si>
  <si>
    <t>PORTA DE MADEIRA PARA VERNIZ, SEMI-OCA (LEVE OU MÉDIA), 90X210CM, ESPESSURA DE 3,5CM, INCLUSO DOBRADIÇAS - FORNECIMENTO E INSTALAÇÃO. AF_12/2019</t>
  </si>
  <si>
    <t>341,96</t>
  </si>
  <si>
    <t>91013</t>
  </si>
  <si>
    <t>KIT DE PORTA DE MADEIRA PARA VERNIZ, SEMI-OCA (LEVE OU MÉDIA), PADRÃO MÉDIO, 60X210CM, ESPESSURA DE 3,5CM, ITENS INCLUSOS: DOBRADIÇAS, MONTAGEM E INSTALAÇÃO DO BATENTE, SEM FECHADURA - FORNECIMENTO E INSTALAÇÃO. AF_12/2019</t>
  </si>
  <si>
    <t>752,40</t>
  </si>
  <si>
    <t>91014</t>
  </si>
  <si>
    <t>KIT DE PORTA DE MADEIRA PARA VERNIZ, SEMI-OCA (LEVE OU MÉDIA), PADRÃO MÉDIO, 70X210CM, ESPESSURA DE 3,5CM, ITENS INCLUSOS: DOBRADIÇAS, MONTAGEM E INSTALAÇÃO DO BATENTE, SEM FECHADURA - FORNECIMENTO E INSTALAÇÃO. AF_12/2019</t>
  </si>
  <si>
    <t>760,65</t>
  </si>
  <si>
    <t>91015</t>
  </si>
  <si>
    <t>KIT DE PORTA DE MADEIRA PARA VERNIZ, SEMI-OCA (LEVE OU MÉDIA), PADRÃO MÉDIO, 80X210CM, ESPESSURA DE 3,5CM, ITENS INCLUSOS: DOBRADIÇAS, MONTAGEM E INSTALAÇÃO DO BATENTE, SEM FECHADURA - FORNECIMENTO E INSTALAÇÃO. AF_12/2019</t>
  </si>
  <si>
    <t>807,73</t>
  </si>
  <si>
    <t>91016</t>
  </si>
  <si>
    <t>KIT DE PORTA DE MADEIRA PARA VERNIZ, SEMI-OCA (LEVE OU MÉDIA), PADRÃO MÉDIO, 90X210CM, ESPESSURA DE 3,5CM, ITENS INCLUSOS: DOBRADIÇAS, MONTAGEM E INSTALAÇÃO DO BATENTE, SEM FECHADURA - FORNECIMENTO E INSTALAÇÃO. AF_12/2019</t>
  </si>
  <si>
    <t>844,50</t>
  </si>
  <si>
    <t>91287</t>
  </si>
  <si>
    <t>BATENTE PARA PORTA DE MADEIRA, PADRÃO POPULAR - FORNECIMENTO E MONTAGEM. AF_12/2019</t>
  </si>
  <si>
    <t>221,34</t>
  </si>
  <si>
    <t>91292</t>
  </si>
  <si>
    <t>BATENTE PARA PORTA DE MADEIRA, FIXAÇÃO COM ARGAMASSA, PADRÃO POPULAR. FORNECIMENTO E INSTALAÇÃO. AF_12/2019_P</t>
  </si>
  <si>
    <t>302,98</t>
  </si>
  <si>
    <t>91295</t>
  </si>
  <si>
    <t>PORTA DE MADEIRA FRISADA, SEMI-OCA (LEVE OU MÉDIA), 60X210CM, ESPESSURA DE 3CM, INCLUSO DOBRADIÇAS - FORNECIMENTO E INSTALAÇÃO. AF_12/2019</t>
  </si>
  <si>
    <t>264,25</t>
  </si>
  <si>
    <t>91296</t>
  </si>
  <si>
    <t>PORTA DE MADEIRA FRISADA, SEMI-OCA (LEVE OU MÉDIA), 70X210CM, ESPESSURA DE 3CM, INCLUSO DOBRADIÇAS - FORNECIMENTO E INSTALAÇÃO. AF_12/2019</t>
  </si>
  <si>
    <t>283,65</t>
  </si>
  <si>
    <t>91297</t>
  </si>
  <si>
    <t>PORTA DE MADEIRA FRISADA, SEMI-OCA (LEVE OU MÉDIA), 80X210CM, ESPESSURA DE 3,5CM, INCLUSO DOBRADIÇAS - FORNECIMENTO E INSTALAÇÃO. AF_12/2019</t>
  </si>
  <si>
    <t>312,47</t>
  </si>
  <si>
    <t>91298</t>
  </si>
  <si>
    <t>PORTA DE MADEIRA TIPO VENEZIANA, 80X210CM, ESPESSURA DE 3CM, INCLUSO DOBRADIÇAS - FORNECIMENTO E INSTALAÇÃO. AF_12/2019</t>
  </si>
  <si>
    <t>828,26</t>
  </si>
  <si>
    <t>91299</t>
  </si>
  <si>
    <t>PORTA DE MADEIRA, TIPO MEXICANA, MACIÇA (PESADA OU SUPERPESADA), 80X210CM, ESPESSURA DE 3,5CM, INCLUSO DOBRADIÇAS - FORNECIMENTO E INSTALAÇÃO. AF_12/2019</t>
  </si>
  <si>
    <t>1.166,51</t>
  </si>
  <si>
    <t>91304</t>
  </si>
  <si>
    <t>FECHADURA DE EMBUTIR COM CILINDRO, EXTERNA, COMPLETA, ACABAMENTO PADRÃO POPULAR, INCLUSO EXECUÇÃO DE FURO - FORNECIMENTO E INSTALAÇÃO. AF_12/2019</t>
  </si>
  <si>
    <t>83,65</t>
  </si>
  <si>
    <t>91305</t>
  </si>
  <si>
    <t>FECHADURA DE EMBUTIR PARA PORTA DE BANHEIRO, COMPLETA, ACABAMENTO PADRÃO POPULAR, INCLUSO EXECUÇÃO DE FURO - FORNECIMENTO E INSTALAÇÃO. AF_12/2019</t>
  </si>
  <si>
    <t>82,60</t>
  </si>
  <si>
    <t>91306</t>
  </si>
  <si>
    <t>FECHADURA DE EMBUTIR PARA PORTAS INTERNAS, COMPLETA, ACABAMENTO PADRÃO MÉDIO, COM EXECUÇÃO DE FURO - FORNECIMENTO E INSTALAÇÃO. AF_12/2019</t>
  </si>
  <si>
    <t>91307</t>
  </si>
  <si>
    <t>FECHADURA DE EMBUTIR PARA PORTAS INTERNAS, COMPLETA, ACABAMENTO PADRÃO POPULAR, COM EXECUÇÃO DE FURO - FORNECIMENTO E INSTALAÇÃO. AF_12/2019</t>
  </si>
  <si>
    <t>70,70</t>
  </si>
  <si>
    <t>91312</t>
  </si>
  <si>
    <t>KIT DE PORTA DE MADEIRA PARA PINTURA, SEMI-OCA (LEVE OU MÉDIA), PADRÃO POPULAR, 60X210CM, ESPESSURA DE 3,5CM, ITENS INCLUSOS: DOBRADIÇAS, MONTAGEM E INSTALAÇÃO DO BATENTE, FECHADURA COM EXECUÇÃO DO FURO - FORNECIMENTO E INSTALAÇÃO. AF_12/2019</t>
  </si>
  <si>
    <t>708,26</t>
  </si>
  <si>
    <t>91313</t>
  </si>
  <si>
    <t>KIT DE PORTA DE MADEIRA PARA PINTURA, SEMI-OCA (LEVE OU MÉDIA), PADRÃO POPULAR, 70X210CM, ESPESSURA DE 3,5CM, ITENS INCLUSOS: DOBRADIÇAS, MONTAGEM E INSTALAÇÃO DO BATENTE, FECHADURA COM EXECUÇÃO DO FURO - FORNECIMENTO E INSTALAÇÃO. AF_12/2019</t>
  </si>
  <si>
    <t>703,45</t>
  </si>
  <si>
    <t>91314</t>
  </si>
  <si>
    <t>KIT DE PORTA DE MADEIRA PARA PINTURA, SEMI-OCA (LEVE OU MÉDIA), PADRÃO POPULAR, 80X210CM, ESPESSURA DE 3,5CM, ITENS INCLUSOS: DOBRADIÇAS, MONTAGEM E INSTALAÇÃO DO BATENTE, FECHADURA COM EXECUÇÃO DO FURO - FORNECIMENTO E INSTALAÇÃO. AF_12/2019</t>
  </si>
  <si>
    <t>736,63</t>
  </si>
  <si>
    <t>91315</t>
  </si>
  <si>
    <t>KIT DE PORTA DE MADEIRA PARA PINTURA, SEMI-OCA (LEVE OU MÉDIA), PADRÃO POPULAR, 90X210CM, ESPESSURA DE 3,5CM, ITENS INCLUSOS: DOBRADIÇAS, MONTAGEM E INSTALAÇÃO DO BATENTE, FECHADURA COM EXECUÇÃO DO FURO - FORNECIMENTO E INSTALAÇÃO. AF_12/2019</t>
  </si>
  <si>
    <t>800,16</t>
  </si>
  <si>
    <t>91316</t>
  </si>
  <si>
    <t>KIT DE PORTA DE MADEIRA PARA PINTURA, SEMI-OCA (PESADA OU SUPERPESADA), PADRÃO POPULAR, 80X210CM, ESPESSURA DE 3,5CM, ITENS INCLUSOS: DOBRADIÇAS, MONTAGEM E INSTALAÇÃO DO BATENTE, FECHADURA COM EXECUÇÃO DO FURO - FORNECIMENTO E INSTALAÇÃO. AF_12/2019</t>
  </si>
  <si>
    <t>942,18</t>
  </si>
  <si>
    <t>91317</t>
  </si>
  <si>
    <t>KIT DE PORTA DE MADEIRA PARA PINTURA, SEMI-OCA (PESADA OU SUPERPESADA), PADRÃO POPULAR, 90X210CM, ESPESSURA DE 3,5CM, ITENS INCLUSOS: DOBRADIÇAS, MONTAGEM E INSTALAÇÃO DO BATENTE, FECHADURA COM EXECUÇÃO DO FURO - FORNECIMENTO E INSTALAÇÃO. AF_12/2019</t>
  </si>
  <si>
    <t>998,05</t>
  </si>
  <si>
    <t>91318</t>
  </si>
  <si>
    <t>KIT DE PORTA DE MADEIRA PARA PINTURA, SEMI-OCA (LEVE OU MÉDIA), PADRÃO POPULAR, 60X210CM, ESPESSURA DE 3,5CM, ITENS INCLUSOS: DOBRADIÇAS, MONTAGEM E INSTALAÇÃO DO BATENTE, SEM FECHADURA - FORNECIMENTO E INSTALAÇÃO. AF_12/2019</t>
  </si>
  <si>
    <t>625,66</t>
  </si>
  <si>
    <t>91319</t>
  </si>
  <si>
    <t>KIT DE PORTA DE MADEIRA PARA PINTURA, SEMI-OCA (LEVE OU MÉDIA), PADRÃO POPULAR, 70X210CM, ESPESSURA DE 3,5CM, ITENS INCLUSOS: DOBRADIÇAS, MONTAGEM E INSTALAÇÃO DO BATENTE, SEM FECHADURA - FORNECIMENTO E INSTALAÇÃO. AF_12/2019</t>
  </si>
  <si>
    <t>632,75</t>
  </si>
  <si>
    <t>91320</t>
  </si>
  <si>
    <t>KIT DE PORTA DE MADEIRA PARA PINTURA, SEMI-OCA (LEVE OU MÉDIA), PADRÃO POPULAR, 80X210CM, ESPESSURA DE 3,5CM, ITENS INCLUSOS: DOBRADIÇAS, MONTAGEM E INSTALAÇÃO DO BATENTE, SEM FECHADURA - FORNECIMENTO E INSTALAÇÃO. AF_12/2019</t>
  </si>
  <si>
    <t>652,98</t>
  </si>
  <si>
    <t>91321</t>
  </si>
  <si>
    <t>KIT DE PORTA DE MADEIRA PARA PINTURA, SEMI-OCA (LEVE OU MÉDIA), PADRÃO POPULAR, 90X210CM, ESPESSURA DE 3,5CM, ITENS INCLUSOS: DOBRADIÇAS, MONTAGEM E INSTALAÇÃO DO BATENTE, SEM FECHADURA - FORNECIMENTO E INSTALAÇÃO. AF_12/2019</t>
  </si>
  <si>
    <t>716,51</t>
  </si>
  <si>
    <t>91322</t>
  </si>
  <si>
    <t>KIT DE PORTA DE MADEIRA PARA PINTURA, SEMI-OCA (PESADA OU SUPERPESADA), PADRÃO POPULAR, 80X210CM, ESPESSURA DE 3,5CM, ITENS INCLUSOS: DOBRADIÇAS, MONTAGEM E INSTALAÇÃO DO BATENTE, SEM FECHADURA - FORNECIMENTO E INSTALAÇÃO. AF_12/2019</t>
  </si>
  <si>
    <t>858,53</t>
  </si>
  <si>
    <t>91323</t>
  </si>
  <si>
    <t>KIT DE PORTA DE MADEIRA PARA PINTURA, SEMI-OCA (PESADA OU SUPERPESADA), PADRÃO POPULAR, 90X210CM, ESPESSURA DE 3,5CM, ITENS INCLUSOS: DOBRADIÇAS, MONTAGEM E INSTALAÇÃO DO BATENTE, SEM FECHADURA - FORNECIMENTO E INSTALAÇÃO. AF_12/2019</t>
  </si>
  <si>
    <t>914,40</t>
  </si>
  <si>
    <t>91324</t>
  </si>
  <si>
    <t>KIT DE PORTA DE MADEIRA PARA VERNIZ, SEMI-OCA (LEVE OU MÉDIA), PADRÃO POPULAR, 60X210CM, ESPESSURA DE 3,5CM, ITENS INCLUSOS: DOBRADIÇAS, MONTAGEM E INSTALAÇÃO DO BATENTE, SEM FECHADURA - FORNECIMENTO E INSTALAÇÃO. AF_12/2019</t>
  </si>
  <si>
    <t>634,32</t>
  </si>
  <si>
    <t>91325</t>
  </si>
  <si>
    <t>KIT DE PORTA DE MADEIRA PARA VERNIZ, SEMI-OCA (LEVE OU MÉDIA), PADRÃO POPULAR, 70X210CM, ESPESSURA DE 3,5CM, ITENS INCLUSOS: DOBRADIÇAS, MONTAGEM E INSTALAÇÃO DO BATENTE, SEM FECHADURA - FORNECIMENTO E INSTALAÇÃO. AF_12/2019</t>
  </si>
  <si>
    <t>641,82</t>
  </si>
  <si>
    <t>91326</t>
  </si>
  <si>
    <t>KIT DE PORTA DE MADEIRA PARA VERNIZ, SEMI-OCA (LEVE OU MÉDIA), PADRÃO POPULAR, 80X210CM, ESPESSURA DE 3,5CM, ITENS INCLUSOS: DOBRADIÇAS, MONTAGEM E INSTALAÇÃO DO BATENTE, SEM FECHADURA - FORNECIMENTO E INSTALAÇÃO. AF_12/2019</t>
  </si>
  <si>
    <t>688,16</t>
  </si>
  <si>
    <t>91327</t>
  </si>
  <si>
    <t>KIT DE PORTA DE MADEIRA PARA VERNIZ, SEMI-OCA (LEVE OU MÉDIA), PADRÃO POPULAR, 90X210CM, ESPESSURA DE 3,5CM, ITENS INCLUSOS: DOBRADIÇAS, MONTAGEM E INSTALAÇÃO DO BATENTE, SEM FECHADURA - FORNECIMENTO E INSTALAÇÃO. AF_12/2019</t>
  </si>
  <si>
    <t>724,19</t>
  </si>
  <si>
    <t>91328</t>
  </si>
  <si>
    <t>KIT DE PORTA DE MADEIRA FRISADA, SEMI-OCA (LEVE OU MÉDIA), PADRÃO MÉDIO 60X210CM, ESPESSURA DE 3CM, ITENS INCLUSOS: DOBRADIÇAS, MONTAGEM E INSTALAÇÃO DO BATENTE, SEM FECHADURA - FORNECIMENTO E INSTALAÇÃO. AF_12/2019</t>
  </si>
  <si>
    <t>759,90</t>
  </si>
  <si>
    <t>91329</t>
  </si>
  <si>
    <t>KIT DE PORTA DE MADEIRA FRISADA, SEMI-OCA (LEVE OU MÉDIA), PADRÃO POPULAR, 60X210CM, ESPESSURA DE 3CM, ITENS INCLUSOS: DOBRADIÇAS, MONTAGEM E INSTALAÇÃO DO BATENTE, SEM FECHADURA - FORNECIMENTO E INSTALAÇÃO. AF_12/2019</t>
  </si>
  <si>
    <t>91330</t>
  </si>
  <si>
    <t>KIT DE PORTA DE MADEIRA FRISADA, SEMI-OCA (LEVE OU MÉDIA), PADRÃO MÉDIO, 70X210CM, ESPESSURA DE 3CM, ITENS INCLUSOS: DOBRADIÇAS, MONTAGEM E INSTALAÇÃO DO BATENTE, SEM FECHADURA - FORNECIMENTO E INSTALAÇÃO. AF_12/2019</t>
  </si>
  <si>
    <t>781,60</t>
  </si>
  <si>
    <t>91331</t>
  </si>
  <si>
    <t>KIT DE PORTA DE MADEIRA FRISADA, SEMI-OCA (LEVE OU MÉDIA), PADRÃO POPULAR, 70X210CM, ESPESSURA DE 3CM, ITENS INCLUSOS: DOBRADIÇAS, MONTAGEM E INSTALAÇÃO DO BATENTE, SEM FECHADURA - FORNECIMENTO E INSTALAÇÃO. AF_12/2019</t>
  </si>
  <si>
    <t>662,77</t>
  </si>
  <si>
    <t>91332</t>
  </si>
  <si>
    <t>KIT DE PORTA DE MADEIRA FRISADA, SEMI-OCA (LEVE OU MÉDIA), PADRÃO MÉDIO, 80X210CM, ESPESSURA DE 3,5CM, ITENS INCLUSOS: DOBRADIÇAS, MONTAGEM E INSTALAÇÃO DO BATENTE, SEM FECHADURA - FORNECIMENTO E INSTALAÇÃO. AF_12/2019</t>
  </si>
  <si>
    <t>812,72</t>
  </si>
  <si>
    <t>91333</t>
  </si>
  <si>
    <t>KIT DE PORTA DE MADEIRA FRISADA, SEMI-OCA (LEVE OU MÉDIA), PADRÃO POPULAR, 80X210CM, ESPESSURA DE 3,5CM, ITENS INCLUSOS: DOBRADIÇAS, MONTAGEM E INSTALAÇÃO DO BATENTE, SEM FECHADURA - FORNECIMENTO E INSTALAÇÃO. AF_12/2019</t>
  </si>
  <si>
    <t>693,15</t>
  </si>
  <si>
    <t>91334</t>
  </si>
  <si>
    <t>KIT DE PORTA DE MADEIRA TIPO VENEZIANA, PADRÃO MÉDIO, 80X210CM, ESPESSURA DE 3CM, ITENS INCLUSOS: DOBRADIÇAS, MONTAGEM E INSTALAÇÃO DO BATENTE, SEM FECHADURA - FORNECIMENTO E INSTALAÇÃO. AF_12/2019</t>
  </si>
  <si>
    <t>1.328,51</t>
  </si>
  <si>
    <t>91335</t>
  </si>
  <si>
    <t>KIT DE PORTA DE MADEIRA TIPO VENEZIANA, PADRÃO POPULAR, 80X210CM, ESPESSURA DE 3CM, ITENS INCLUSOS: DOBRADIÇAS, MONTAGEM E INSTALAÇÃO DO BATENTE, SEM FECHADURA - FORNECIMENTO E INSTALAÇÃO. AF_12/2019</t>
  </si>
  <si>
    <t>1.208,94</t>
  </si>
  <si>
    <t>91336</t>
  </si>
  <si>
    <t>KIT DE PORTA DE MADEIRA TIPO MEXICANA, MACIÇA (PESADA OU SUPERPESADA), PADRÃO MÉDIO, 80X210CM, ESPESSURA DE 3CM, ITENS INCLUSOS: DOBRADIÇAS, MONTAGEM E INSTALAÇÃO DO BATENTE, SEM FECHADURA - FORNECIMENTO E INSTALAÇÃO. AF_12/2019</t>
  </si>
  <si>
    <t>1.666,76</t>
  </si>
  <si>
    <t>91337</t>
  </si>
  <si>
    <t>KIT DE PORTA DE MADEIRA TIPO MEXICANA, MACIÇA (PESADA OU SUPERPESADA), PADRÃO POPULAR, 80X210CM, ESPESSURA DE 3CM, ITENS INCLUSOS: DOBRADIÇAS, MONTAGEM E INSTALAÇÃO DO BATENTE, SEM FECHADURA - FORNECIMENTO E INSTALAÇÃO. AF_12/2019</t>
  </si>
  <si>
    <t>1.547,19</t>
  </si>
  <si>
    <t>100659</t>
  </si>
  <si>
    <t>ALIZAR DE 5X1,5CM PARA PORTA FIXADO COM PREGOS, PADRÃO MÉDIO - FORNECIMENTO E INSTALAÇÃO. AF_12/2019</t>
  </si>
  <si>
    <t>11,48</t>
  </si>
  <si>
    <t>100660</t>
  </si>
  <si>
    <t>ALIZAR DE 5X1,5CM PARA PORTA FIXADO COM PREGOS, PADRÃO POPULAR - FORNECIMENTO E INSTALAÇÃO. AF_12/2019</t>
  </si>
  <si>
    <t>7,77</t>
  </si>
  <si>
    <t>100675</t>
  </si>
  <si>
    <t>KIT DE PORTA-PRONTA DE MADEIRA EM ACABAMENTO MELAMÍNICO BRANCO, FOLHA LEVE OU MÉDIA, 90X210, EXCLUSIVE FECHADURA, FIXAÇÃO COM PREENCHIMENTO TOTAL DE ESPUMA EXPANSIVA - FORNECIMENTO E INSTALAÇÃO. AF_12/2019</t>
  </si>
  <si>
    <t>730,48</t>
  </si>
  <si>
    <t>100676</t>
  </si>
  <si>
    <t>BATENTE PARA PORTA COM BANDEIRA, FIXAÇÃO COM PARAFUSO E BUCHA. AF_12/2019</t>
  </si>
  <si>
    <t>184,26</t>
  </si>
  <si>
    <t>100678</t>
  </si>
  <si>
    <t>KIT DE PORTA DE MADEIRA PARA VERNIZ, SEMI-OCA (LEVE OU MÉDIA), PADRÃO MÉDIO, 60X210CM, ESPESSURA DE 3,5CM, ITENS INCLUSOS: DOBRADIÇAS, MONTAGEM E INSTALAÇÃO DE BATENTE, FECHADURA COM EXECUÇÃO DO FURO - FORNECIMENTO E INSTALAÇÃO. AF_12/2019</t>
  </si>
  <si>
    <t>870,27</t>
  </si>
  <si>
    <t>100679</t>
  </si>
  <si>
    <t>KIT DE PORTA DE MADEIRA PARA VERNIZ, SEMI-OCA (LEVE OU MÉDIA), PADRÃO POPULAR, 60X210CM, ESPESSURA DE 3,5CM, ITENS INCLUSOS: DOBRADIÇAS, MONTAGEM E INSTALAÇÃO DE BATENTE, FECHADURA COM EXECUÇÃO DO FURO - FORNECIMENTO E INSTALAÇÃO. AF_12/2019</t>
  </si>
  <si>
    <t>716,92</t>
  </si>
  <si>
    <t>100680</t>
  </si>
  <si>
    <t>KIT DE PORTA DE MADEIRA PARA VERNIZ, SEMI-OCA (LEVE OU MÉDIA), PADRÃO MÉDIO, 70X210CM, ESPESSURA DE 3,5CM, ITENS INCLUSOS: DOBRADIÇAS, MONTAGEM E INSTALAÇÃO DE BATENTE, FECHADURA COM EXECUÇÃO DO FURO - FORNECIMENTO E INSTALAÇÃO. AF_12/2019</t>
  </si>
  <si>
    <t>878,52</t>
  </si>
  <si>
    <t>100681</t>
  </si>
  <si>
    <t>KIT DE PORTA DE MADEIRA FRISADA, SEMI-OCA (LEVE OU MÉDIA), PADRÃO MÉDIO, 70X210CM, ESPESSURA DE 3CM, ITENS INCLUSOS: DOBRADIÇAS, MONTAGEM E INSTALAÇÃO DE BATENTE, FECHADURA COM EXECUÇÃO DO FURO - FORNECIMENTO E INSTALAÇÃO. AF_12/2019</t>
  </si>
  <si>
    <t>899,47</t>
  </si>
  <si>
    <t>100682</t>
  </si>
  <si>
    <t>KIT DE PORTA DE MADEIRA FRISADA, SEMI-OCA (LEVE OU MÉDIA), PADRÃO POPULAR, 70X210CM, ESPESSURA DE 3CM, ITENS INCLUSOS: DOBRADIÇAS, MONTAGEM E INSTALAÇÃO DE BATENTE, FECHADURA COM EXECUÇÃO DO FURO - FORNECIMENTO E INSTALAÇÃO. AF_12/2019</t>
  </si>
  <si>
    <t>733,47</t>
  </si>
  <si>
    <t>100683</t>
  </si>
  <si>
    <t>KIT DE PORTA DE MADEIRA PARA VERNIZ, SEMI-OCA (LEVE OU MÉDIA), PADRÃO MÉDIO, 80X210CM, ESPESSURA DE 3,5CM, ITENS INCLUSOS: DOBRADIÇAS, MONTAGEM E INSTALAÇÃO DE BATENTE, FECHADURA COM EXECUÇÃO DO FURO - FORNECIMENTO E INSTALAÇÃO. AF_12/2019</t>
  </si>
  <si>
    <t>942,65</t>
  </si>
  <si>
    <t>100684</t>
  </si>
  <si>
    <t>KIT DE PORTA DE MADEIRA PARA VERNIZ, SEMI-OCA (LEVE OU MÉDIA), PADRÃO POPULAR, 80X210CM, ESPESSURA DE 3,5CM, ITENS INCLUSOS: DOBRADIÇAS, MONTAGEM E INSTALAÇÃO DE BATENTE, FECHADURA COM EXECUÇÃO DO FURO - FORNECIMENTO E INSTALAÇÃO. AF_12/2019</t>
  </si>
  <si>
    <t>771,81</t>
  </si>
  <si>
    <t>100685</t>
  </si>
  <si>
    <t>KIT DE PORTA DE MADEIRA PARA VERNIZ, SEMI-OCA (LEVE OU MÉDIA), PADRÃO MÉDIO, 90X210CM, ESPESSURA DE 3,5CM, ITENS INCLUSOS: DOBRADIÇAS, MONTAGEM E INSTALAÇÃO DE BATENTE, FECHADURA COM EXECUÇÃO DO FURO - FORNECIMENTO E INSTALAÇÃO. AF_12/2019</t>
  </si>
  <si>
    <t>979,42</t>
  </si>
  <si>
    <t>100686</t>
  </si>
  <si>
    <t>KIT DE PORTA DE MADEIRA PARA VERNIZ, SEMI-OCA (LEVE OU MÉDIA), PADRÃO POPULAR, 90X210CM, ESPESSURA DE 3CM, ITENS INCLUSOS: DOBRADIÇAS, MONTAGEM E INSTALAÇÃO DE BATENTE, FECHADURA COM EXECUÇÃO DO FURO - FORNECIMENTO E INSTALAÇÃO. AF_12/2019</t>
  </si>
  <si>
    <t>807,84</t>
  </si>
  <si>
    <t>100687</t>
  </si>
  <si>
    <t>KIT DE PORTA DE MADEIRA FRISADA, SEMI-OCA (LEVE OU MÉDIA), PADRÃO MÉDIO, 60X210CM, ESPESSURA DE 3,5CM, ITENS INCLUSOS: DOBRADIÇAS, MONTAGEM E INSTALAÇÃO DE BATENTE, FECHADURA COM EXECUÇÃO DO FURO - FORNECIMENTO E INSTALAÇÃO. AF_12/2019</t>
  </si>
  <si>
    <t>877,77</t>
  </si>
  <si>
    <t>100688</t>
  </si>
  <si>
    <t>KIT DE PORTA DE MADEIRA FRISADA, SEMI-OCA (LEVE OU MÉDIA), PADRÃO POPULAR, 60X210CM, ESPESSURA DE 3CM, ITENS INCLUSOS: DOBRADIÇAS, MONTAGEM E INSTALAÇÃO DE BATENTE, FECHADURA COM EXECUÇÃO DO FURO - FORNECIMENTO E INSTALAÇÃO. AF_12/2019</t>
  </si>
  <si>
    <t>724,42</t>
  </si>
  <si>
    <t>100689</t>
  </si>
  <si>
    <t>KIT DE PORTA DE MADEIRA FRISADA, SEMI-OCA (LEVE OU MÉDIA), PADRÃO MÉDIO, 80X210CM, ESPESSURA DE 3,5CM, ITENS INCLUSOS: DOBRADIÇAS, MONTAGEM E INSTALAÇÃO DE BATENTE, FECHADURA COM EXECUÇÃO DO FURO - FORNECIMENTO E INSTALAÇÃO. AF_12/2019</t>
  </si>
  <si>
    <t>947,64</t>
  </si>
  <si>
    <t>100690</t>
  </si>
  <si>
    <t>KIT DE PORTA DE MADEIRA FRISADA, SEMI-OCA (LEVE OU MÉDIA), PADRÃO POPULAR, 80X210CM, ESPESSURA DE 3,5CM, ITENS INCLUSOS: DOBRADIÇAS, MONTAGEM E INSTALAÇÃO DE BATENTE, FECHADURA COM EXECUÇÃO DO FURO - FORNECIMENTO E INSTALAÇÃO. AF_12/2019</t>
  </si>
  <si>
    <t>776,80</t>
  </si>
  <si>
    <t>100691</t>
  </si>
  <si>
    <t>KIT DE PORTA DE MADEIRA TIPO VENEZIANA, 80X210CM (ESPESSURA DE 3CM), PADRÃO MÉDIO, ITENS INCLUSOS: DOBRADIÇAS, MONTAGEM E INSTALAÇÃO DE BATENTE, FECHADURA COM EXECUÇÃO DO FURO - FORNECIMENTO E INSTALAÇÃO. AF_12/2019</t>
  </si>
  <si>
    <t>1.463,43</t>
  </si>
  <si>
    <t>100692</t>
  </si>
  <si>
    <t>KIT DE PORTA DE MADEIRA TIPO VENEZIANA, 80X210CM (ESPESSURA DE 3CM), PADRÃO POPULAR, ITENS INCLUSOS: DOBRADIÇAS, MONTAGEM E INSTALAÇÃO DE BATENTE, FECHADURA COM EXECUÇÃO DO FURO - FORNECIMENTO E INSTALAÇÃO. AF_12/2019</t>
  </si>
  <si>
    <t>1.292,59</t>
  </si>
  <si>
    <t>100693</t>
  </si>
  <si>
    <t>KIT DE PORTA DE MADEIRA TIPO MEXICANA, MACIÇA (PESADA OU SUPERPESADA), PADRÃO MÉDIO, 80X210CM, ESPESSURA DE 3,5CM, ITENS INCLUSOS: DOBRADIÇAS, MONTAGEM E INSTALAÇÃO DE BATENTE, FECHADURA COM EXECUÇÃO DO FURO - FORNECIMENTO E INSTALAÇÃO. AF_12/2019</t>
  </si>
  <si>
    <t>1.801,68</t>
  </si>
  <si>
    <t>100694</t>
  </si>
  <si>
    <t>KIT DE PORTA DE MADEIRA TIPO MEXICANA, MACIÇA (PESADA OU SUPERPESADA), PADRÃO POPULAR, 80X210CM, ESPESSURA DE 3,5CM, ITENS INCLUSOS: DOBRADIÇAS, MONTAGEM E INSTALAÇÃO DE BATENTE, FECHADURA COM EXECUÇÃO DO FURO - FORNECIMENTO E INSTALAÇÃO. AF_12/2019</t>
  </si>
  <si>
    <t>1.630,84</t>
  </si>
  <si>
    <t>100695</t>
  </si>
  <si>
    <t>RECOLOCAÇÃO DE FOLHAS DE PORTA DE MADEIRA LEVE OU MÉDIA DE 60CM DE LARGURA, CONSIDERANDO REAPROVEITAMENTO DO MATERIAL. AF_12/2019</t>
  </si>
  <si>
    <t>52,04</t>
  </si>
  <si>
    <t>100696</t>
  </si>
  <si>
    <t>RECOLOCAÇÃO DE FOLHAS DE PORTA DE MADEIRA LEVE OU MÉDIA DE 70CM DE LARGURA, CONSIDERANDO REAPROVEITAMENTO DO MATERIAL. AF_12/2019</t>
  </si>
  <si>
    <t>57,81</t>
  </si>
  <si>
    <t>100697</t>
  </si>
  <si>
    <t>RECOLOCAÇÃO DE FOLHAS DE PORTA DE MADEIRA LEVE OU MÉDIA DE 80CM DE LARGURA, CONSIDERANDO REAPROVEITAMENTO DO MATERIAL. AF_12/2019</t>
  </si>
  <si>
    <t>63,63</t>
  </si>
  <si>
    <t>100698</t>
  </si>
  <si>
    <t>RECOLOCAÇÃO DE FOLHAS DE PORTA DE MADEIRA LEVE OU MÉDIA DE 90CM DE LARGURA, CONSIDERANDO REAPROVEITAMENTO DO MATERIAL. AF_12/2019</t>
  </si>
  <si>
    <t>69,44</t>
  </si>
  <si>
    <t>100699</t>
  </si>
  <si>
    <t>RECOLOCAÇÃO DE FOLHAS DE PORTA DE MADEIRA PESADA OU SUPERPESADA DE 80CM DE LARGURA, CONSIDERANDO REAPROVEITAMENTO DO MATERIAL. AF_12/2019</t>
  </si>
  <si>
    <t>82,32</t>
  </si>
  <si>
    <t>100700</t>
  </si>
  <si>
    <t>PORTA DE MADEIRA COMPENSADA LISA PARA PINTURA, 120X210X3,5CM, 2 FOLHAS, INCLUSO ADUELA 2A, ALIZAR 2A E DOBRADIÇAS. AF_12/2019</t>
  </si>
  <si>
    <t>713,62</t>
  </si>
  <si>
    <t>100712</t>
  </si>
  <si>
    <t>KIT DE PORTA DE MADEIRA PARA VERNIZ, SEMI-OCA (LEVE OU MÉDIA), PADRÃO POPULAR, 70X210CM, ESPESSURA DE 3,5CM, ITENS INCLUSOS: DOBRADIÇAS, MONTAGEM E INSTALAÇÃO DE BATENTE, FECHADURA COM EXECUÇÃO DO FURO - FORNECIMENTO E INSTALAÇÃO. AF_12/2019</t>
  </si>
  <si>
    <t>712,52</t>
  </si>
  <si>
    <t>100665</t>
  </si>
  <si>
    <t>JANELA DE MADEIRA - CEDRINHO/ANGELIM OU EQUIVALENTE DA REGIÃO - DE ABRIR COM 4 FOLHAS (2 VENEZIANAS E 2 GUILHOTINAS PARA VIDRO), COM BATENTE, ALIZAR E FERRAGENS. EXCLUSIVE VIDROS, ACABAMENTO E CONTRAMARCO. FORNECIMENTO E INSTALAÇÃO. AF_12/2019</t>
  </si>
  <si>
    <t>831,63</t>
  </si>
  <si>
    <t>100666</t>
  </si>
  <si>
    <t>JANELA DE MADEIRA (PINUS/EUCALIPTO OU EQUIV.) DE ABRIR COM 4 FOLHAS (2 VENEZIANAS E 2 GUILHOTINAS PARA VIDRO), COM BATENTE, ALIZAR E FERRAGENS. EXCLUSIVE VIDROS, ACABAMENTO E CONTRAMARCO. FORNECIMENTO E INSTALAÇÃO. AF_12/2019</t>
  </si>
  <si>
    <t>659,04</t>
  </si>
  <si>
    <t>100667</t>
  </si>
  <si>
    <t>JANELA DE MADEIRA (IMBUIA/CEDRO OU EQUIV.) DE ABRIR COM 4 FOLHAS (2 VENEZIANAS E 2 GUILHOTINAS PARA VIDRO), COM BATENTE, ALIZAR E FERRAGENS. EXCLUSIVE VIDROS, ACABAMENTO E CONTRAMARCO. FORNECIMENTO E INSTALAÇÃO. AF_12/2019</t>
  </si>
  <si>
    <t>1.075,64</t>
  </si>
  <si>
    <t>100668</t>
  </si>
  <si>
    <t>JANELA DE MADEIRA (CEDRINHO/ANGELIM OU EQUIV.) TIPO MAXIM-AR, PARA VIDRO, COM BATENTE, ALIZAR E FERRAGENS. EXCLUSIVE VIDRO, ACABAMENTO E CONTRAMARCO. FORNECIMENTO E INSTALAÇÃO. AF_12/2019</t>
  </si>
  <si>
    <t>1.306,13</t>
  </si>
  <si>
    <t>100669</t>
  </si>
  <si>
    <t>JANELA DE MADEIRA (PINUS/EUCALIPTO OU EQUIV.) TIPO BASCULANTE COM 2 FOLHAS PARA VIDRO, COM BATENTE, ALIZAR E FERRAGENS. EXCLUSIVE VIDROS, ACABAMENTO E CONTRAMARCO. FORNECIMENTO E INSTALAÇÃO. AF_12/2019</t>
  </si>
  <si>
    <t>777,78</t>
  </si>
  <si>
    <t>100670</t>
  </si>
  <si>
    <t>JANELA DE MADEIRA (CEDRINHO/ANGELIM OU EQUIV.) DE CORRER COM 6 FOLHAS (2 VENEZ. FIXAS, 2 VENEZ. DE CORRER E 2 DE CORRER PARA VIDRO), COM BATENTE, ALIZAR E FERRAGENS. EXCLUSIVE VIDROS, ACABAMENTO E CONTRAMARCO. FORNECIMENTO E INSTALAÇÃO. AF_12/2019</t>
  </si>
  <si>
    <t>1.040,24</t>
  </si>
  <si>
    <t>100671</t>
  </si>
  <si>
    <t>JANELA DE MADEIRA (IMBUIA/CEDRO OU EQUIV) DE CORRER COM 6 FOLHAS (2 VENEZIANAS FIXAS, 2 VENEZIANAS DE CORRER E 2 DE CORRER PARA VIDRO), COM BATENTE, ALIZAR E FERRAGENS. EXCLUSIVE VIDROS, ACABAMENTO E CONTRAMARCO. FORNECIMENTO E INSTALAÇÃO. AF_12/2019</t>
  </si>
  <si>
    <t>1.288,39</t>
  </si>
  <si>
    <t>100672</t>
  </si>
  <si>
    <t>JANELA DE MADEIRA (PINUS/EUCALIPTO OU EQUIV.) DE CORRER COM 6 FOLHAS (2 VENEZ. FIXAS, 2 VENEZ. DE CORRER E 2 DE CORRER PARA VIDRO), COM BATENTE, ALIZAR E FERRAGENS. EXCLUSIVE VIDROS, ACABAMENTO E CONTRAMARCO. FORNECIMENTO EINSTALAÇÃO. AF_12/2019</t>
  </si>
  <si>
    <t>835,86</t>
  </si>
  <si>
    <t>100701</t>
  </si>
  <si>
    <t>PORTA DE FERRO, DE ABRIR, TIPO GRADE COM CHAPA, COM GUARNIÇÕES. AF_12/2019</t>
  </si>
  <si>
    <t>563,11</t>
  </si>
  <si>
    <t>94559</t>
  </si>
  <si>
    <t>JANELA DE AÇO TIPO BASCULANTE PARA VIDROS, COM BATENTE, FERRAGENS E PINTURA ANTICORROSIVA. EXCLUSIVE VIDROS, ACABAMENTO, ALIZAR E CONTRAMARCO. FORNECIMENTO E INSTALAÇÃO. AF_12/2019</t>
  </si>
  <si>
    <t>803,37</t>
  </si>
  <si>
    <t>94562</t>
  </si>
  <si>
    <t>JANELA DE AÇO DE CORRER COM 4 FOLHAS PARA VIDRO, COM BATENTE, FERRAGENS E PINTURA ANTICORROSIVA. EXCLUSIVE VIDROS, ALIZAR E CONTRAMARCO. FORNECIMENTO E INSTALAÇÃO. AF_12/2019</t>
  </si>
  <si>
    <t>778,73</t>
  </si>
  <si>
    <t>94587</t>
  </si>
  <si>
    <t>CONTRAMARCO DE AÇO, FIXAÇÃO COM ARGAMASSA - FORNECIMENTO E INSTALAÇÃO. AF_12/2019</t>
  </si>
  <si>
    <t>89,54</t>
  </si>
  <si>
    <t>94588</t>
  </si>
  <si>
    <t>CONTRAMARCO DE AÇO, FIXAÇÃO COM PARAFUSO - FORNECIMENTO E INSTALAÇÃO. AF_12/2019</t>
  </si>
  <si>
    <t>82,38</t>
  </si>
  <si>
    <t>99837</t>
  </si>
  <si>
    <t>GUARDA-CORPO DE AÇO GALVANIZADO DE 1,10M, MONTANTES TUBULARES DE 1.1/4" ESPAÇADOS DE 1,20M, TRAVESSA SUPERIOR DE 1.1/2", GRADIL FORMADO POR TUBOS HORIZONTAIS DE 1" E VERTICAIS DE 3/4", FIXADO COM CHUMBADOR MECÂNICO. AF_04/2019_P</t>
  </si>
  <si>
    <t>712,19</t>
  </si>
  <si>
    <t>99839</t>
  </si>
  <si>
    <t>GUARDA-CORPO DE AÇO GALVANIZADO DE 1,10M DE ALTURA, MONTANTES TUBULARES DE 1.1/2 ESPAÇADOS DE 1,20M, TRAVESSA SUPERIOR DE 2, GRADIL FORMADO POR BARRAS CHATAS EM FERRO DE 32X4,8MM, FIXADO COM CHUMBADOR MECÂNICO. AF_04/2019_P</t>
  </si>
  <si>
    <t>568,77</t>
  </si>
  <si>
    <t>99841</t>
  </si>
  <si>
    <t>GUARDA-CORPO PANORÂMICO COM PERFIS DE ALUMÍNIO E VIDRO LAMINADO 8 MM, FIXADO COM CHUMBADOR MECÂNICO. AF_04/2019_P</t>
  </si>
  <si>
    <t>1.394,55</t>
  </si>
  <si>
    <t>99855</t>
  </si>
  <si>
    <t>CORRIMÃO SIMPLES, DIÂMETRO EXTERNO = 1 1/2", EM AÇO GALVANIZADO. AF_04/2019_P</t>
  </si>
  <si>
    <t>130,43</t>
  </si>
  <si>
    <t>99857</t>
  </si>
  <si>
    <t>CORRIMÃO SIMPLES, DIÂMETRO EXTERNO = 1 1/2", EM ALUMÍNIO. AF_04/2019_P</t>
  </si>
  <si>
    <t>88,84</t>
  </si>
  <si>
    <t>99861</t>
  </si>
  <si>
    <t>GRADIL EM FERRO FIXADO EM VÃOS DE JANELAS, FORMADO POR BARRAS CHATAS DE 25X4,8 MM. AF_04/2019</t>
  </si>
  <si>
    <t>700,42</t>
  </si>
  <si>
    <t>99862</t>
  </si>
  <si>
    <t>GRADIL EM ALUMÍNIO FIXADO EM VÃOS DE JANELAS, FORMADO POR TUBOS DE 3/4". AF_04/2019</t>
  </si>
  <si>
    <t>573,60</t>
  </si>
  <si>
    <t>90838</t>
  </si>
  <si>
    <t>PORTA CORTA-FOGO 90X210X4CM - FORNECIMENTO E INSTALAÇÃO. AF_12/2019</t>
  </si>
  <si>
    <t>1.418,02</t>
  </si>
  <si>
    <t>91338</t>
  </si>
  <si>
    <t>PORTA DE ALUMÍNIO DE ABRIR COM LAMBRI, COM GUARNIÇÃO, FIXAÇÃO COM PARAFUSOS - FORNECIMENTO E INSTALAÇÃO. AF_12/2019</t>
  </si>
  <si>
    <t>983,58</t>
  </si>
  <si>
    <t>91341</t>
  </si>
  <si>
    <t>PORTA EM ALUMÍNIO DE ABRIR TIPO VENEZIANA COM GUARNIÇÃO, FIXAÇÃO COM PARAFUSOS - FORNECIMENTO E INSTALAÇÃO. AF_12/2019</t>
  </si>
  <si>
    <t>797,48</t>
  </si>
  <si>
    <t>94805</t>
  </si>
  <si>
    <t>PORTA DE ALUMÍNIO DE ABRIR PARA VIDRO SEM GUARNIÇÃO, 87X210CM, FIXAÇÃO COM PARAFUSOS, INCLUSIVE VIDROS - FORNECIMENTO E INSTALAÇÃO. AF_12/2019</t>
  </si>
  <si>
    <t>825,03</t>
  </si>
  <si>
    <t>94806</t>
  </si>
  <si>
    <t>PORTA EM AÇO DE ABRIR PARA VIDRO SEM GUARNIÇÃO, 87X210CM, FIXAÇÃO COM PARAFUSOS, EXCLUSIVE VIDROS - FORNECIMENTO E INSTALAÇÃO. AF_12/2019</t>
  </si>
  <si>
    <t>661,16</t>
  </si>
  <si>
    <t>94807</t>
  </si>
  <si>
    <t>PORTA EM AÇO DE ABRIR TIPO VENEZIANA SEM GUARNIÇÃO, 87X210CM, FIXAÇÃO COM PARAFUSOS - FORNECIMENTO E INSTALAÇÃO. AF_12/2019</t>
  </si>
  <si>
    <t>602,77</t>
  </si>
  <si>
    <t>100702</t>
  </si>
  <si>
    <t>PORTA DE CORRER DE ALUMÍNIO, COM DUAS FOLHAS PARA VIDRO, INCLUSO VIDRO LISO INCOLOR, FECHADURA E PUXADOR, SEM ALIZAR. AF_12/2019</t>
  </si>
  <si>
    <t>511,09</t>
  </si>
  <si>
    <t>102188</t>
  </si>
  <si>
    <t>MOLA HIDRAULICA DE PISO PARA PORTA DE VIDRO TEMPERADO. AF_01/2021</t>
  </si>
  <si>
    <t>727,00</t>
  </si>
  <si>
    <t>102189</t>
  </si>
  <si>
    <t>JOGO DE FERRAGENS CROMADAS PARA PORTA DE VIDRO TEMPERADO, UMA FOLHA COMPOSTO DE DOBRADICAS SUPERIOR E INFERIOR, TRINCO, FECHADURA, CONTRA FECHADURA COM CAPUCHINHO SEM MOLA E PUXADOR. AF_01/2021</t>
  </si>
  <si>
    <t>205,31</t>
  </si>
  <si>
    <t>100703</t>
  </si>
  <si>
    <t>PUXADOR CENTRAL PARA ESQUADRIA DE MADEIRA. AF_12/2019</t>
  </si>
  <si>
    <t>27,94</t>
  </si>
  <si>
    <t>100704</t>
  </si>
  <si>
    <t>PORTA CADEADO ZINCADO OXIDADO PRETO COM CADEADO DE AÇO INOX, LARGURA DE *50* MM. AF_12/2019</t>
  </si>
  <si>
    <t>59,25</t>
  </si>
  <si>
    <t>100705</t>
  </si>
  <si>
    <t>TARJETA TIPO LIVRE/OCUPADO PARA PORTA DE BANHEIRO. AF_12/2019</t>
  </si>
  <si>
    <t>68,23</t>
  </si>
  <si>
    <t>100706</t>
  </si>
  <si>
    <t>CREMONA EM LATÃO CROMADO OU POLIDO, COMPLETA. AF_12/2019</t>
  </si>
  <si>
    <t>60,83</t>
  </si>
  <si>
    <t>100707</t>
  </si>
  <si>
    <t>FECHO DE EMBUTIR TIPO UNHA 22CM. AF_12/2019</t>
  </si>
  <si>
    <t>125,34</t>
  </si>
  <si>
    <t>100708</t>
  </si>
  <si>
    <t>FECHO DE EMBUTIR TIPO UNHA 40CM. AF_12/2019</t>
  </si>
  <si>
    <t>156,97</t>
  </si>
  <si>
    <t>100709</t>
  </si>
  <si>
    <t>DOBRADIÇA EM AÇO/FERRO, 3" X 21/2", E=1,9 A 2MM, SEN ANEL, CROMADO OU ZINCADO, TAMPA BOLA, COM PARAFUSOS. AF_12/2019</t>
  </si>
  <si>
    <t>37,61</t>
  </si>
  <si>
    <t>100710</t>
  </si>
  <si>
    <t>DOBRADIÇA TIPO VAI E VEM EM LATÃO POLIDO 3". AF_12/2019</t>
  </si>
  <si>
    <t>86,02</t>
  </si>
  <si>
    <t>102151</t>
  </si>
  <si>
    <t>INSTALAÇÃO DE VIDRO LISO INCOLOR, E = 3 MM, EM ESQUADRIA DE MADEIRA, FIXADO COM BAGUETE. AF_01/2021</t>
  </si>
  <si>
    <t>199,24</t>
  </si>
  <si>
    <t>102152</t>
  </si>
  <si>
    <t>INSTALAÇÃO DE VIDRO LISO, E = 4 MM, EM ESQUADRIA DE MADEIRA, FIXADO COM BAGUETE. AF_01/2021</t>
  </si>
  <si>
    <t>252,57</t>
  </si>
  <si>
    <t>102153</t>
  </si>
  <si>
    <t>INSTALAÇÃO DE VIDRO LISO FUME, E = 4 MM, EM ESQUADRIA DE MADEIRA, FIXADO COM BAGUETE. AF_01/2021</t>
  </si>
  <si>
    <t>323,68</t>
  </si>
  <si>
    <t>102154</t>
  </si>
  <si>
    <t>INSTALAÇÃO DE VIDRO LISO INCOLOR, E = 5 MM, EM ESQUADRIA DE MADEIRA, FIXADO COM BAGUETE. AF_01/2021</t>
  </si>
  <si>
    <t>280,43</t>
  </si>
  <si>
    <t>102155</t>
  </si>
  <si>
    <t>INSTALAÇÃO DE VIDRO LISO FUME, E = 5 MM, EM ESQUADRIA DE MADEIRA, FIXADO COM BAGUETE. AF_01/2021</t>
  </si>
  <si>
    <t>338,59</t>
  </si>
  <si>
    <t>102156</t>
  </si>
  <si>
    <t>INSTALAÇÃO DE VIDRO LISO INCOLOR, E = 6 MM, EM ESQUADRIA DE MADEIRA, FIXADO COM BAGUETE. AF_01/2021</t>
  </si>
  <si>
    <t>326,41</t>
  </si>
  <si>
    <t>102157</t>
  </si>
  <si>
    <t>INSTALAÇÃO DE VIDRO LISO FUME, E = 6 MM, EM ESQUADRIA DE MADEIRA, FIXADO COM BAGUETE. AF_01/2021</t>
  </si>
  <si>
    <t>450,85</t>
  </si>
  <si>
    <t>102158</t>
  </si>
  <si>
    <t>INSTALAÇÃO DE VIDRO LISO INCOLOR, E = 8 MM, EM ESQUADRIA DE MADEIRA, FIXADO COM BAGUETE. AF_01/2021</t>
  </si>
  <si>
    <t>458,84</t>
  </si>
  <si>
    <t>102159</t>
  </si>
  <si>
    <t>INSTALAÇÃO DE VIDRO LISO INCOLOR, E = 10 MM, EM ESQUADRIA DE MADEIRA, FIXADO COM BAGUETE. AF_01/2021</t>
  </si>
  <si>
    <t>549,04</t>
  </si>
  <si>
    <t>102160</t>
  </si>
  <si>
    <t>INSTALAÇÃO DE VIDRO IMPRESSO, E = 4 MM, EM ESQUADRIA DE MADEIRA, FIXADO COM BAGUETE. AF_01/2021</t>
  </si>
  <si>
    <t>217,01</t>
  </si>
  <si>
    <t>102161</t>
  </si>
  <si>
    <t>INSTALAÇÃO DE VIDRO LISO INCOLOR, E = 3 MM, EM ESQUADRIA DE ALUMÍNIO OU PVC, FIXADO COM BAGUETE. AF_01/2021_P</t>
  </si>
  <si>
    <t>286,84</t>
  </si>
  <si>
    <t>102162</t>
  </si>
  <si>
    <t>INSTALAÇÃO DE VIDRO LISO INCOLOR, E = 4 MM, EM ESQUADRIA DE ALUMÍNIO OU PVC, FIXADO COM BAGUETE. AF_01/2021_P</t>
  </si>
  <si>
    <t>340,17</t>
  </si>
  <si>
    <t>102163</t>
  </si>
  <si>
    <t>INSTALAÇÃO DE VIDRO LISO FUME, E = 4 MM, EM ESQUADRIA DE ALUMÍNIO OU PVC, FIXADO COM BAGUETE. AF_01/2021_P</t>
  </si>
  <si>
    <t>411,28</t>
  </si>
  <si>
    <t>102164</t>
  </si>
  <si>
    <t>INSTALAÇÃO DE VIDRO LISO INCOLOR, E = 5 MM, EM ESQUADRIA DE ALUMÍNIO OU PVC, FIXADO COM BAGUETE. AF_01/2021_P</t>
  </si>
  <si>
    <t>351,90</t>
  </si>
  <si>
    <t>102165</t>
  </si>
  <si>
    <t>INSTALAÇÃO DE VIDRO LISO FUME, E = 5 MM, EM ESQUADRIA DE ALUMÍNIO OU PVC, FIXADO COM BAGUETE. AF_01/2021_P</t>
  </si>
  <si>
    <t>410,06</t>
  </si>
  <si>
    <t>102166</t>
  </si>
  <si>
    <t>INSTALAÇÃO DE VIDRO LISO INCOLOR, E = 6 MM, EM ESQUADRIA DE ALUMÍNIO OU PVC, FIXADO COM BAGUETE. AF_01/2021_P</t>
  </si>
  <si>
    <t>381,76</t>
  </si>
  <si>
    <t>102167</t>
  </si>
  <si>
    <t>INSTALAÇÃO DE VIDRO LISO FUME, E = 6 MM, EM ESQUADRIA DE ALUMÍNIO OU PVC, FIXADO COM BAGUETE. AF_01/2021_P</t>
  </si>
  <si>
    <t>506,20</t>
  </si>
  <si>
    <t>102168</t>
  </si>
  <si>
    <t>INSTALAÇÃO DE VIDRO LISO INCOLOR, E = 8 MM, EM ESQUADRIA DE ALUMÍNIO OU PVC, FIXADO COM BAGUETE. AF_01/2021_P</t>
  </si>
  <si>
    <t>499,86</t>
  </si>
  <si>
    <t>102169</t>
  </si>
  <si>
    <t>INSTALAÇÃO DE VIDRO LISO INCOLOR, E = 10 MM, EM ESQUADRIA DE ALUMÍNIO OU PVC, FIXADO COM BAGUETE. AF_01/2021_P</t>
  </si>
  <si>
    <t>584,77</t>
  </si>
  <si>
    <t>102170</t>
  </si>
  <si>
    <t>INSTALAÇÃO DE VIDRO IMPRESSO, E = 4 MM, EM ESQUADRIA DE ALUMÍNIO OU PVC, FIXADO COM BAGUETE. AF_01/2021_P</t>
  </si>
  <si>
    <t>304,61</t>
  </si>
  <si>
    <t>102171</t>
  </si>
  <si>
    <t>INSTALAÇÃO DE VIDRO ARAMADO, E = 6 MM, EM ESQUADRIA DE ALUMÍNIO OU PVC, FIXADO COM BAGUETE. AF_01/2021_P</t>
  </si>
  <si>
    <t>636,35</t>
  </si>
  <si>
    <t>102172</t>
  </si>
  <si>
    <t>INSTALAÇÃO DE VIDRO ARAMADO, E = 7 MM, EM ESQUADRIA DE ALUMÍNIO OU PVC, FIXADO COM BAGUETE. AF_01/2021_P</t>
  </si>
  <si>
    <t>630,65</t>
  </si>
  <si>
    <t>102176</t>
  </si>
  <si>
    <t>INSTALAÇÃO DE VIDRO LAMINADO, E = 8 MM (4+4), ENCAIXADO EM PERFIL U. AF_01/2021_P</t>
  </si>
  <si>
    <t>1.179,41</t>
  </si>
  <si>
    <t>102177</t>
  </si>
  <si>
    <t>INSTALAÇÃO DE VIDRO LAMINADO, E = 12 MM (4+4+4), ENCAIXADO EM PERFIL U. AF_01/2021_P</t>
  </si>
  <si>
    <t>2.451,63</t>
  </si>
  <si>
    <t>102178</t>
  </si>
  <si>
    <t>INSTALAÇÃO DE VIDRO LAMINADO, E = 15 MM (5+5+5), ENCAIXADO EM PERFIL U. AF_01/2021_P</t>
  </si>
  <si>
    <t>2.829,05</t>
  </si>
  <si>
    <t>102179</t>
  </si>
  <si>
    <t>INSTALAÇÃO DE VIDRO TEMPERADO, E = 6 MM, ENCAIXADO EM PERFIL U. AF_01/2021_P</t>
  </si>
  <si>
    <t>421,97</t>
  </si>
  <si>
    <t>102180</t>
  </si>
  <si>
    <t>INSTALAÇÃO DE VIDRO TEMPERADO, E = 8 MM, ENCAIXADO EM PERFIL U. AF_01/2021_P</t>
  </si>
  <si>
    <t>501,43</t>
  </si>
  <si>
    <t>102181</t>
  </si>
  <si>
    <t>INSTALAÇÃO DE VIDRO TEMPERADO, E = 10 MM, ENCAIXADO EM PERFIL U. AF_01/2021_P</t>
  </si>
  <si>
    <t>607,01</t>
  </si>
  <si>
    <t>102182</t>
  </si>
  <si>
    <t>PORTA PIVOTANTE DE VIDRO TEMPERADO, 90X210 CM, ESPESSURA 10 MM, INCLUSIVE ACESSÓRIOS. AF_01/2021</t>
  </si>
  <si>
    <t>1.225,77</t>
  </si>
  <si>
    <t>102183</t>
  </si>
  <si>
    <t>PORTA PIVOTANTE DE VIDRO TEMPERADO, 2 FOLHAS DE 90X210 CM, ESPESSURA DE 10MM, INCLUSIVE ACESSÓRIOS. AF_01/2021</t>
  </si>
  <si>
    <t>2.462,47</t>
  </si>
  <si>
    <t>102184</t>
  </si>
  <si>
    <t>PORTA DE ABRIR COM MOLA HIDRÁULICA, EM VIDRO TEMPERADO, 90X210 CM, ESPESSURA 10 MM, INCLUSIVE ACESSÓRIOS. AF_01/2021</t>
  </si>
  <si>
    <t>1.932,45</t>
  </si>
  <si>
    <t>102185</t>
  </si>
  <si>
    <t>PORTA DE ABRIR COM MOLA HIDRÁULICA, EM VIDRO TEMPERADO, 2 FOLHAS DE 90X210 CM, ESPESSURA DD 10MM, INCLUSIVE ACESSÓRIOS. AF_01/2021</t>
  </si>
  <si>
    <t>3.875,54</t>
  </si>
  <si>
    <t>102190</t>
  </si>
  <si>
    <t>REMOÇÃO DE VIDRO LISO COMUM DE ESQUADRIA COM BAGUETE DE MADEIRA. AF_01/2021</t>
  </si>
  <si>
    <t>16,79</t>
  </si>
  <si>
    <t>102191</t>
  </si>
  <si>
    <t>REMOÇÃO DE VIDRO LISO COMUM DE ESQUADRIA COM BAGUETE DE ALUMÍNIO OU PVC. AF_01/2021</t>
  </si>
  <si>
    <t>20,40</t>
  </si>
  <si>
    <t>102192</t>
  </si>
  <si>
    <t>REMOÇÃO DE VIDRO TEMPERADO FIXADO EM PERFIL U. AF_01/2021</t>
  </si>
  <si>
    <t>14,56</t>
  </si>
  <si>
    <t>94569</t>
  </si>
  <si>
    <t>JANELA DE ALUMÍNIO TIPO MAXIM-AR, COM VIDROS, BATENTE E FERRAGENS. EXCLUSIVE ALIZAR, ACABAMENTO E CONTRAMARCO. FORNECIMENTO E INSTALAÇÃO. AF_12/2019</t>
  </si>
  <si>
    <t>1.109,23</t>
  </si>
  <si>
    <t>94570</t>
  </si>
  <si>
    <t>JANELA DE ALUMÍNIO DE CORRER COM 2 FOLHAS PARA VIDROS, COM VIDROS, BATENTE, ACABAMENTO COM ACETATO OU BRILHANTE E FERRAGENS. EXCLUSIVE ALIZAR E CONTRAMARCO. FORNECIMENTO E INSTALAÇÃO. AF_12/2019</t>
  </si>
  <si>
    <t>586,77</t>
  </si>
  <si>
    <t>94572</t>
  </si>
  <si>
    <t>JANELA DE ALUMÍNIO DE CORRER COM 3 FOLHAS (2 VENEZIANAS E 1 PARA VIDRO), COM VIDROS, BATENTE E FERRAGENS. EXCLUSIVE ACABAMENTO, ALIZAR E CONTRAMARCO. FORNECIMENTO E INSTALAÇÃO. AF_12/2019</t>
  </si>
  <si>
    <t>843,42</t>
  </si>
  <si>
    <t>94573</t>
  </si>
  <si>
    <t>JANELA DE ALUMÍNIO DE CORRER COM 4 FOLHAS PARA VIDROS, COM VIDROS, BATENTE, ACABAMENTO COM ACETATO OU BRILHANTE E FERRAGENS. EXCLUSIVE ALIZAR E CONTRAMARCO. FORNECIMENTO E INSTALAÇÃO. AF_12/2019</t>
  </si>
  <si>
    <t>672,73</t>
  </si>
  <si>
    <t>94580</t>
  </si>
  <si>
    <t>JANELA DE ALUMÍNIO DE CORRER COM 6 FOLHAS (2 VENEZIANAS FIXAS, 2 VENEZIANAS DE CORRER E 2 PARA VIDRO), COM VIDROS, BATENTE, ACABAMENTO COM ACETATO OU BRILHANTE E FERRAGENS. EXCLUSIVE ALIZAR E CONTRAMARCO. FORNECIMENTO E INSTALAÇÃO. AF_12/2019</t>
  </si>
  <si>
    <t>932,94</t>
  </si>
  <si>
    <t>94589</t>
  </si>
  <si>
    <t>CONTRAMARCO DE ALUMÍNIO, FIXAÇÃO COM ARGAMASSA - FORNECIMENTO E INSTALAÇÃO. AF_12/2019</t>
  </si>
  <si>
    <t>25,67</t>
  </si>
  <si>
    <t>94590</t>
  </si>
  <si>
    <t>CONTRAMARCO DE ALUMÍNIO, FIXAÇÃO COM PARAFUSO - FORNECIMENTO E INSTALAÇÃO. AF_12/2019</t>
  </si>
  <si>
    <t>22,49</t>
  </si>
  <si>
    <t>100674</t>
  </si>
  <si>
    <t>JANELA FIXA DE ALUMÍNIO PARA VIDRO, COM VIDRO, BATENTE E FERRAGENS. EXCLUSIVE ACABAMENTO, ALIZAR E CONTRAMARCO. FORNECIMENTO E INSTALAÇÃO. AF_12/2019</t>
  </si>
  <si>
    <t>1.250,96</t>
  </si>
  <si>
    <t>101096</t>
  </si>
  <si>
    <t>TUBULÃO A CÉU ABERTO, DIÂMETRO DO FUSTE DE 70CM, ESCAVAÇÃO MANUAL, SEM ALARGAMENTO DE BASE, CONCRETO FEITO EM OBRA E LANÇADO COM JERICA. AF_05/2020</t>
  </si>
  <si>
    <t>1.134,25</t>
  </si>
  <si>
    <t>101097</t>
  </si>
  <si>
    <t>TUBULÃO A CÉU ABERTO, DIÂMETRO DO FUSTE DE 80CM, ESCAVAÇÃO MANUAL, SEM ALARGAMENTO DE BASE, CONCRETO FEITO EM OBRA E LANÇADO COM JERICA. AF_05/2020</t>
  </si>
  <si>
    <t>1.072,86</t>
  </si>
  <si>
    <t>101098</t>
  </si>
  <si>
    <t>TUBULÃO A CÉU ABERTO, DIÂMETRO DO FUSTE DE 100CM, ESCAVAÇÃO MANUAL, SEM ALARGAMENTO DE BASE, CONCRETO FEITO EM OBRA E LANÇADO COM JERICA. AF_05/2020</t>
  </si>
  <si>
    <t>999,50</t>
  </si>
  <si>
    <t>101099</t>
  </si>
  <si>
    <t>TUBULÃO A CÉU ABERTO, DIÂMETRO DO FUSTE DE 120CM, ESCAVAÇÃO MANUAL, SEM ALARGAMENTO DE BASE, CONCRETO FEITO EM OBRA E LANÇADO COM JERICA. AF_05/2020</t>
  </si>
  <si>
    <t>907,04</t>
  </si>
  <si>
    <t>101100</t>
  </si>
  <si>
    <t>TUBULÃO A CÉU ABERTO, DIÂMETRO DO FUSTE DE 70CM, ESCAVAÇÃO MECÂNICA, SEM ALARGAMENTO DE BASE, CONCRETO FEITO EM OBRA E LANÇADO COM JERICA. AF_05/2020</t>
  </si>
  <si>
    <t>811,22</t>
  </si>
  <si>
    <t>101101</t>
  </si>
  <si>
    <t>TUBULÃO A CÉU ABERTO, DIÂMETRO DO FUSTE DE 80CM, ESCAVAÇÃO MECÂNICA, SEM ALARGAMENTO DE BASE, CONCRETO FEITO EM OBRA E LANÇADO COM JERICA. AF_05/2020</t>
  </si>
  <si>
    <t>794,72</t>
  </si>
  <si>
    <t>101102</t>
  </si>
  <si>
    <t>TUBULÃO A CÉU ABERTO, DIÂMETRO DO FUSTE DE 100CM, ESCAVAÇÃO MECÂNICA, SEM ALARGAMENTO DE BASE, CONCRETO FEITO EM OBRA E LANÇADO COM JERICA. AF_05/2020</t>
  </si>
  <si>
    <t>783,29</t>
  </si>
  <si>
    <t>101103</t>
  </si>
  <si>
    <t>TUBULÃO A CÉU ABERTO, DIÂMETRO DO FUSTE DE 120CM, ESCAVAÇÃO MECÂNICA, SEM ALARGAMENTO DE BASE, CONCRETO FEITO EM OBRA E LANÇADO COM JERICA. AF_05/2020</t>
  </si>
  <si>
    <t>731,08</t>
  </si>
  <si>
    <t>101104</t>
  </si>
  <si>
    <t>TUBULÃO A CÉU ABERTO, DIÂMETRO DO FUSTE DE 70CM, ESCAVAÇÃO MANUAL, SEM ALARGAMENTO DE BASE, CONCRETO USINADO E LANÇADO COM BOMBA OU DIRETAMENTE DO CAMINHÃO. AF_05/2020</t>
  </si>
  <si>
    <t>1.063,29</t>
  </si>
  <si>
    <t>101105</t>
  </si>
  <si>
    <t>TUBULÃO A CÉU ABERTO, DIÂMETRO DO FUSTE DE 80CM, ESCAVAÇÃO MANUAL, SEM ALARGAMENTO DE BASE, CONCRETO USINADO E LANÇADO COM BOMBA OU DIRETAMENTE DO CAMINHÃO. AF_05/2020</t>
  </si>
  <si>
    <t>1.003,19</t>
  </si>
  <si>
    <t>101106</t>
  </si>
  <si>
    <t>TUBULÃO A CÉU ABERTO, DIÂMETRO DO FUSTE DE 100CM, ESCAVAÇÃO MANUAL, SEM ALARGAMENTO DE BASE, CONCRETO USINADO E LANÇADO COM BOMBA OU DIRETAMENTE DO CAMINHÃO. AF_05/2020</t>
  </si>
  <si>
    <t>932,20</t>
  </si>
  <si>
    <t>101107</t>
  </si>
  <si>
    <t>TUBULÃO A CÉU ABERTO, DIÂMETRO DO FUSTE DE 120CM, ESCAVAÇÃO MANUAL, SEM ALARGAMENTO DE BASE, CONCRETO USINADO E LANÇADO COM BOMBA OU DIRETAMENTE DO CAMINHÃO. AF_05/2020</t>
  </si>
  <si>
    <t>842,41</t>
  </si>
  <si>
    <t>101108</t>
  </si>
  <si>
    <t>TUBULÃO A CÉU ABERTO, DIÂMETRO DO FUSTE DE 70CM, ESCAVAÇÃO MECÂNICA, SEM ALARGAMENTO DE BASE, CONCRETO USINADO E LANÇADO COM BOMBA OU DIRETAMENTE DO CAMINHÃO. AF_05/2020</t>
  </si>
  <si>
    <t>734,83</t>
  </si>
  <si>
    <t>101109</t>
  </si>
  <si>
    <t>TUBULÃO A CÉU ABERTO, DIÂMETRO DO FUSTE DE 80CM, ESCAVAÇÃO MECÂNICA, SEM ALARGAMENTO DE BASE, CONCRETO USINADO E LANÇADO COM BOMBA OU DIRETAMENTE DO CAMINHÃO. AF_05/2020</t>
  </si>
  <si>
    <t>719,92</t>
  </si>
  <si>
    <t>101110</t>
  </si>
  <si>
    <t>TUBULÃO A CÉU ABERTO, DIÂMETRO DO FUSTE DE 100CM, ESCAVAÇÃO MECÂNICA, SEM ALARGAMENTO DE BASE, CONCRETO USINADO E LANÇADO COM BOMBA OU DIRETAMENTE DO CAMINHÃO. AF_05/2020</t>
  </si>
  <si>
    <t>711,47</t>
  </si>
  <si>
    <t>101111</t>
  </si>
  <si>
    <t>TUBULÃO A CÉU ABERTO, DIÂMETRO DO FUSTE DE 120CM, ESCAVAÇÃO MECÂNICA, SEM ALARGAMENTO DE BASE, CONCRETO USINADO E LANÇADO COM BOMBA OU DIRETAMENTE DO CAMINHÃO. AF_05/2020</t>
  </si>
  <si>
    <t>662,54</t>
  </si>
  <si>
    <t>101112</t>
  </si>
  <si>
    <t>ALARGAMENTO DE BASE DE TUBULÃO A CÉU ABERTO, ESCAVAÇÃO MANUAL, CONCRETO FEITO EM OBRA E LANÇADO COM JERICA. AF_05/2020</t>
  </si>
  <si>
    <t>727,12</t>
  </si>
  <si>
    <t>101113</t>
  </si>
  <si>
    <t>ALARGAMENTO DE BASE DE TUBULÃO A CÉU ABERTO, ESCAVAÇÃO MANUAL, CONCRETO USINADO E LANÇADO COM BOMBA OU DIRETAMENTE DO CAMINHÃO. AF_05/2020</t>
  </si>
  <si>
    <t>658,99</t>
  </si>
  <si>
    <t>95601</t>
  </si>
  <si>
    <t>ARRASAMENTO MECANICO DE ESTACA DE CONCRETO ARMADO, DIAMETROS DE ATÉ 40 CM. AF_05/2021</t>
  </si>
  <si>
    <t>13,14</t>
  </si>
  <si>
    <t>95602</t>
  </si>
  <si>
    <t>ARRASAMENTO MECANICO DE ESTACA DE CONCRETO ARMADO, DIAMETROS DE 41 CM A 60 CM. AF_05/2021</t>
  </si>
  <si>
    <t>21,03</t>
  </si>
  <si>
    <t>95603</t>
  </si>
  <si>
    <t>ARRASAMENTO MECANICO DE ESTACA DE CONCRETO ARMADO, DIAMETROS DE 61 CM A 80 CM. AF_05/2021</t>
  </si>
  <si>
    <t>35,88</t>
  </si>
  <si>
    <t>95604</t>
  </si>
  <si>
    <t>ARRASAMENTO MECANICO DE ESTACA DE CONCRETO ARMADO, DIAMETROS DE 81 CM A 100 CM. AF_05/2021</t>
  </si>
  <si>
    <t>55,68</t>
  </si>
  <si>
    <t>95605</t>
  </si>
  <si>
    <t>ARRASAMENTO MECANICO DE ESTACA DE CONCRETO ARMADO, DIAMETROS DE 101 CM A 150 CM. AF_05/2021</t>
  </si>
  <si>
    <t>102,26</t>
  </si>
  <si>
    <t>95607</t>
  </si>
  <si>
    <t>ARRASAMENTO DE ESTACA METÁLICA, PERFIL LAMINADO TIPO  I  FAMÍLIA 250. AF_05/2021</t>
  </si>
  <si>
    <t>13,93</t>
  </si>
  <si>
    <t>95608</t>
  </si>
  <si>
    <t>ARRASAMENTO MECÂNICO DE ESTACA METÁLICA, PERFIL LAMINADO TIPO  H - FAMÍLIA 250. AF_05/2021</t>
  </si>
  <si>
    <t>20,22</t>
  </si>
  <si>
    <t>95609</t>
  </si>
  <si>
    <t>ARRASAMENTO MECÂNICO DE ESTACA METÁLICA, PERFIL LAMINADO TIPO  H - FAMÍLIA 310. AF_05/2021</t>
  </si>
  <si>
    <t>100651</t>
  </si>
  <si>
    <t>ESTACA HÉLICE CONTÍNUA, DIÂMETRO DE 30 CM, INCLUSO CONCRETO FCK=30MPA E ARMADURA MÍNIMA (EXCLUSIVE MOBILIZAÇÃO, DESMOBILIZAÇÃO E BOMBEAMENTO). AF_12/2019</t>
  </si>
  <si>
    <t>116,32</t>
  </si>
  <si>
    <t>100652</t>
  </si>
  <si>
    <t>ESTACA HÉLICE CONTÍNUA , DIÂMETRO DE 50 CM, INCLUSO CONCRETO FCK=30MPA E ARMADURA MÍNIMA (EXCLUSIVE MOBILIZAÇÃO, DESMOBILIZAÇÃO E BOMBEAMENTO). AF_12/2019</t>
  </si>
  <si>
    <t>206,81</t>
  </si>
  <si>
    <t>100653</t>
  </si>
  <si>
    <t>ESTACA HÉLICE CONTÍNUA, DIÂMETRO DE 70 CM, INCLUSO CONCRETO FCK=30MPA E ARMADURA MÍNIMA (EXCLUSIVE MOBILIZAÇÃO, DESMOBILIZAÇÃO E BOMBEAMENTO). AF_12/2019</t>
  </si>
  <si>
    <t>334,76</t>
  </si>
  <si>
    <t>100654</t>
  </si>
  <si>
    <t>ESTACA HÉLICE CONTÍNUA, DIÂMETRO DE 80 CM, INCLUSO CONCRETO FCK=30MPA E ARMADURA MÍNIMA (EXCLUSIVE MOBILIZAÇÃO, DESMOBILIZAÇÃO E BOMBEAMENTO). AF_12/2019.</t>
  </si>
  <si>
    <t>473,95</t>
  </si>
  <si>
    <t>100655</t>
  </si>
  <si>
    <t>ESTACA HÉLICE CONTÍNUA, DIÂMETRO DE 90 CM, INCLUSO CONCRETO FCK=30MPA E ARMADURA MÍNIMA (EXCLUSIVE MOBILIZAÇÃO, DESMOBILIZAÇÃO E BOMBEAMENTO). AF_12/2019.</t>
  </si>
  <si>
    <t>536,02</t>
  </si>
  <si>
    <t>100656</t>
  </si>
  <si>
    <t>ESTACA PRÉ-MOLDADA DE CONCRETO, SEÇÃO QUADRADA, CAPACIDADE DE 25 TONELADAS, INCLUSO EMENDA (EXCLUSIVE MOBILIZAÇÃO E DESMOBILIZAÇÃO). AF_12/2019</t>
  </si>
  <si>
    <t>73,66</t>
  </si>
  <si>
    <t>100657</t>
  </si>
  <si>
    <t>ESTACA PRÉ-MOLDADA DE CONCRETO SEÇÃO QUADRADA, CAPACIDADE DE 50 TONELADAS, INCLUSO EMENDA (EXCLUSIVE MOBILIZAÇÃO E DESMOBILIZAÇÃO). AF_12/2019</t>
  </si>
  <si>
    <t>92,95</t>
  </si>
  <si>
    <t>100658</t>
  </si>
  <si>
    <t>ESTACA PRÉ-MOLDADA DE CONCRETO CENTRIFUGADO, SEÇÃO CIRCULAR, CAPACIDADE DE 100 TONELADAS, INCLUSO EMENDA (EXCLUSIVE MOBILIZAÇÃO E DESMOBILIZAÇÃO). AF_12/2019</t>
  </si>
  <si>
    <t>203,67</t>
  </si>
  <si>
    <t>100889</t>
  </si>
  <si>
    <t>ESTACA METÁLICA PARA FUNDAÇÃO, UTILIZANDO PERFIL LAMINADO HP250X62 (EXCLUSIVE MOBILIZAÇÃO E DESMOBILIZAÇÃO). AF_01/2020</t>
  </si>
  <si>
    <t>22,61</t>
  </si>
  <si>
    <t>100890</t>
  </si>
  <si>
    <t>ESTACA METÁLICA PARA FUNDAÇÃO, UTILIZANDO PERFIL LAMINADO HP310X79 (EXCLUSIVE MOBILIZAÇÃO E DESMOBILIZAÇÃO). AF_01/2020</t>
  </si>
  <si>
    <t>100892</t>
  </si>
  <si>
    <t>ESTACA METÁLICA PARA CONTENÇÃO, UTILIZANDO PERFIL LAMINADO W250X32,7 (EXCLUSIVE MOBILIZAÇÃO E DESMOBILIZAÇÃO). AF_01/2020</t>
  </si>
  <si>
    <t>21,23</t>
  </si>
  <si>
    <t>100893</t>
  </si>
  <si>
    <t>ESTACA METÁLICA PARA CONTENÇÃO, UTILIZANDO PERFIL LAMINADO W250X38,5 (EXCLUSIVE MOBILIZAÇÃO E DESMOBILIZAÇÃO). AF_01/2020</t>
  </si>
  <si>
    <t>21,04</t>
  </si>
  <si>
    <t>100894</t>
  </si>
  <si>
    <t>ESTACA METÁLICA PARA CONTENÇÃO, UTILIZANDO PERFIL LAMINADO W250X44,8 (EXCLUSIVE MOBILIZAÇÃO E DESMOBILIZAÇÃO). AF_01/2020</t>
  </si>
  <si>
    <t>20,93</t>
  </si>
  <si>
    <t>100896</t>
  </si>
  <si>
    <t>ESTACA ESCAVADA MECANICAMENTE, SEM FLUIDO ESTABILIZANTE, COM 25CM DE DIÂMETRO, CONCRETO LANÇADO POR CAMINHÃO BETONEIRA (EXCLUSIVE MOBILIZAÇÃO E DESMOBILIZAÇÃO). AF_01/2020</t>
  </si>
  <si>
    <t>50,69</t>
  </si>
  <si>
    <t>100897</t>
  </si>
  <si>
    <t>ESTACA ESCAVADA MECANICAMENTE, SEM FLUIDO ESTABILIZANTE, COM 40CM DE DIÂMETRO, CONCRETO LANÇADO POR CAMINHÃO BETONEIRA (EXCLUSIVE MOBILIZAÇÃO E DESMOBILIZAÇÃO). AF_01/2020</t>
  </si>
  <si>
    <t>92,45</t>
  </si>
  <si>
    <t>100898</t>
  </si>
  <si>
    <t>ESTACA ESCAVADA MECANICAMENTE, SEM FLUIDO ESTABILIZANTE, COM 60CM DE DIÂMETRO, CONCRETO LANÇADO POR CAMINHÃO BETONEIRA (EXCLUSIVE MOBILIZAÇÃO E DESMOBILIZAÇÃO). AF_01/2020</t>
  </si>
  <si>
    <t>170,51</t>
  </si>
  <si>
    <t>100899</t>
  </si>
  <si>
    <t>ESTACA ESCAVADA MECANICAMENTE, SEM FLUIDO ESTABILIZANTE, COM 25CM DE DIÂMETRO, CONCRETO LANÇADO MANUALMENTE (EXCLUSIVE MOBILIZAÇÃO E DESMOBILIZAÇÃO). AF_01/2020</t>
  </si>
  <si>
    <t>71,69</t>
  </si>
  <si>
    <t>100900</t>
  </si>
  <si>
    <t>ESTACA ESCAVADA MECANICAMENTE, SEM FLUIDO ESTABILIZANTE, COM 60CM DE DIÂMETRO, CONCRETO LANÇADO POR BOMBA LANÇA (EXCLUSIVE MOBILIZAÇÃO E DESMOBILIZAÇÃO). AF_01/2020</t>
  </si>
  <si>
    <t>101173</t>
  </si>
  <si>
    <t>ESTACA BROCA DE CONCRETO, DIÂMETRO DE 20CM, ESCAVAÇÃO MANUAL COM TRADO CONCHA, COM ARMADURA DE ARRANQUE. AF_05/2020</t>
  </si>
  <si>
    <t>56,94</t>
  </si>
  <si>
    <t>101174</t>
  </si>
  <si>
    <t>ESTACA BROCA DE CONCRETO, DIÂMETRO DE 25CM, ESCAVAÇÃO MANUAL COM TRADO CONCHA, COM ARMADURA DE ARRANQUE. AF_05/2020</t>
  </si>
  <si>
    <t>77,17</t>
  </si>
  <si>
    <t>101175</t>
  </si>
  <si>
    <t>ESTACA BROCA DE CONCRETO, DIÂMETRO DE 30CM, ESCAVAÇÃO MANUAL COM TRADO CONCHA, COM ARMADURA DE ARRANQUE. AF_05/2020</t>
  </si>
  <si>
    <t>105,19</t>
  </si>
  <si>
    <t>101176</t>
  </si>
  <si>
    <t>ESTACA BROCA DE CONCRETO, DIÂMETRO DE 30CM, ESCAVAÇÃO MANUAL COM TRADO CONCHA, INTEIRAMENTE ARMADA. AF_05/2020</t>
  </si>
  <si>
    <t>140,40</t>
  </si>
  <si>
    <t>102521</t>
  </si>
  <si>
    <t>ARRASAMENTO MECÂNICO DE ESTACA BARRETE DE CONCRETO ARMADO, SEÇÃO DE 0,40 X 2,50 M. AF_05/2021</t>
  </si>
  <si>
    <t>84,35</t>
  </si>
  <si>
    <t>102522</t>
  </si>
  <si>
    <t>ARRASAMENTO MECÂNICO DE ESTACA BARRETE DE CONCRETO ARMADO, SEÇÃO DE 0,60 X 2,50 M. AF_05/2021</t>
  </si>
  <si>
    <t>102523</t>
  </si>
  <si>
    <t>ARRASAMENTO MECÂNICO DE ESTACA BARRETE DE CONCRETO ARMADO, SEÇÃO DE 0,80 X 2,50 M. AF_05/2021</t>
  </si>
  <si>
    <t>163,15</t>
  </si>
  <si>
    <t>95240</t>
  </si>
  <si>
    <t>LASTRO DE CONCRETO MAGRO, APLICADO EM PISOS, LAJES SOBRE SOLO OU RADIERS, ESPESSURA DE 3 CM. AF_07/2016</t>
  </si>
  <si>
    <t>14,35</t>
  </si>
  <si>
    <t>95241</t>
  </si>
  <si>
    <t>LASTRO DE CONCRETO MAGRO, APLICADO EM PISOS, LAJES SOBRE SOLO OU RADIERS, ESPESSURA DE 5 CM. AF_07/2016</t>
  </si>
  <si>
    <t>23,94</t>
  </si>
  <si>
    <t>96616</t>
  </si>
  <si>
    <t>LASTRO DE CONCRETO MAGRO, APLICADO EM BLOCOS DE COROAMENTO OU SAPATAS. AF_08/2017</t>
  </si>
  <si>
    <t>502,50</t>
  </si>
  <si>
    <t>96617</t>
  </si>
  <si>
    <t>LASTRO DE CONCRETO MAGRO, APLICADO EM BLOCOS DE COROAMENTO OU SAPATAS, ESPESSURA DE 3 CM. AF_08/2017</t>
  </si>
  <si>
    <t>15,05</t>
  </si>
  <si>
    <t>96619</t>
  </si>
  <si>
    <t>LASTRO DE CONCRETO MAGRO, APLICADO EM BLOCOS DE COROAMENTO OU SAPATAS, ESPESSURA DE 5 CM. AF_08/2017</t>
  </si>
  <si>
    <t>96620</t>
  </si>
  <si>
    <t>LASTRO DE CONCRETO MAGRO, APLICADO EM PISOS, LAJES SOBRE SOLO OU RADIERS. AF_08/2017</t>
  </si>
  <si>
    <t>479,11</t>
  </si>
  <si>
    <t>96621</t>
  </si>
  <si>
    <t>LASTRO COM MATERIAL GRANULAR, APLICAÇÃO EM BLOCOS DE COROAMENTO, ESPESSURA DE *5 CM*. AF_08/2017</t>
  </si>
  <si>
    <t>198,98</t>
  </si>
  <si>
    <t>96622</t>
  </si>
  <si>
    <t>LASTRO COM MATERIAL GRANULAR, APLICADO EM PISOS OU LAJES SOBRE SOLO, ESPESSURA DE *5 CM*. AF_08/2017</t>
  </si>
  <si>
    <t>130,23</t>
  </si>
  <si>
    <t>96623</t>
  </si>
  <si>
    <t>LASTRO COM MATERIAL GRANULAR, APLICADO EM BLOCOS DE COROAMENTO, ESPESSURA DE *10 CM*. AF_08/2017</t>
  </si>
  <si>
    <t>182,97</t>
  </si>
  <si>
    <t>96624</t>
  </si>
  <si>
    <t>LASTRO COM MATERIAL GRANULAR (PEDRA BRITADA N.2), APLICADO EM PISOS OU LAJES SOBRE SOLO, ESPESSURA DE *10 CM*. AF_08/2017</t>
  </si>
  <si>
    <t>124,59</t>
  </si>
  <si>
    <t>97082</t>
  </si>
  <si>
    <t>ESCAVAÇÃO MANUAL DE VIGA DE BORDA PARA RADIER. AF_09/2021</t>
  </si>
  <si>
    <t>52,59</t>
  </si>
  <si>
    <t>97083</t>
  </si>
  <si>
    <t>COMPACTAÇÃO MECÂNICA DE SOLO PARA EXECUÇÃO DE RADIER, PISO DE CONCRETO OU LAJE SOBRE SOLO, COM COMPACTADOR DE SOLOS A PERCUSSÃO. AF_09/2021</t>
  </si>
  <si>
    <t>2,93</t>
  </si>
  <si>
    <t>97084</t>
  </si>
  <si>
    <t>COMPACTAÇÃO MECÂNICA DE SOLO PARA EXECUÇÃO DE RADIER, PISO DE CONCRETO OU LAJE SOBRE SOLO, COM COMPACTADOR DE SOLOS TIPO PLACA VIBRATÓRIA. AF_09/2021</t>
  </si>
  <si>
    <t>97086</t>
  </si>
  <si>
    <t>FABRICAÇÃO, MONTAGEM E DESMONTAGEM DE FORMA PARA RADIER, PISO DE CONCRETO OU LAJE SOBRE SOLO, EM MADEIRA SERRADA, 4 UTILIZAÇÕES. AF_09/2021</t>
  </si>
  <si>
    <t>123,12</t>
  </si>
  <si>
    <t>97087</t>
  </si>
  <si>
    <t>CAMADA SEPARADORA PARA EXECUÇÃO DE RADIER, PISO DE CONCRETO OU LAJE SOBRE SOLO, EM LONA PLÁSTICA. AF_09/2021</t>
  </si>
  <si>
    <t>2,05</t>
  </si>
  <si>
    <t>97088</t>
  </si>
  <si>
    <t>ARMAÇÃO PARA EXECUÇÃO DE RADIER, PISO DE CONCRETO OU LAJE SOBRE SOLO, COM USO DE TELA Q-92. AF_09/2021</t>
  </si>
  <si>
    <t>97089</t>
  </si>
  <si>
    <t>ARMAÇÃO PARA EXECUÇÃO DE RADIER, PISO DE CONCRETO OU LAJE SOBRE SOLO, COM USO DE TELA Q-113. AF_09/2021</t>
  </si>
  <si>
    <t>27,76</t>
  </si>
  <si>
    <t>97090</t>
  </si>
  <si>
    <t>ARMAÇÃO PARA EXECUÇÃO DE RADIER, PISO DE CONCRETO OU LAJE SOBRE SOLO, COM USO DE TELA Q-138. AF_09/2021</t>
  </si>
  <si>
    <t>27,36</t>
  </si>
  <si>
    <t>97091</t>
  </si>
  <si>
    <t>ARMAÇÃO PARA EXECUÇÃO DE RADIER, PISO DE CONCRETO OU LAJE SOBRE SOLO, COM USO DE TELA Q-159. AF_09/2021</t>
  </si>
  <si>
    <t>26,57</t>
  </si>
  <si>
    <t>97092</t>
  </si>
  <si>
    <t>ARMAÇÃO PARA EXECUÇÃO DE RADIER, PISO DE CONCRETO OU LAJE SOBRE SOLO, COM USO DE TELA Q-196. AF_09/2021</t>
  </si>
  <si>
    <t>25,79</t>
  </si>
  <si>
    <t>97093</t>
  </si>
  <si>
    <t>ARMAÇÃO PARA EXECUÇÃO DE RADIER, PISO DE CONCRETO OU LAJE SOBRE SOLO, COM USO DE TELA Q-283. AF_09/2021</t>
  </si>
  <si>
    <t>24,28</t>
  </si>
  <si>
    <t>97096</t>
  </si>
  <si>
    <t>CONCRETAGEM DE RADIER, PISO DE CONCRETO OU LAJE SOBRE SOLO, FCK 30 MPA - LANÇAMENTO, ADENSAMENTO E ACABAMENTO. AF_09/2021</t>
  </si>
  <si>
    <t>384,25</t>
  </si>
  <si>
    <t>97097</t>
  </si>
  <si>
    <t>ACABAMENTO POLIDO PARA PISO DE CONCRETO ARMADO OU LAJE SOBRE SOLO DE ALTA RESISTÊNCIA. AF_09/2021</t>
  </si>
  <si>
    <t>33,01</t>
  </si>
  <si>
    <t>97101</t>
  </si>
  <si>
    <t>EXECUÇÃO DE RADIER, ESPESSURA DE 10 CM, FCK = 30 MPA, COM USO DE FORMAS EM MADEIRA SERRADA. AF_09/2021</t>
  </si>
  <si>
    <t>181,40</t>
  </si>
  <si>
    <t>97102</t>
  </si>
  <si>
    <t>EXECUÇÃO DE RADIER, ESPESSURA DE 15 CM, FCK = 30 MPA, COM USO DE FORMAS EM MADEIRA SERRADA. AF_09/2021</t>
  </si>
  <si>
    <t>223,53</t>
  </si>
  <si>
    <t>97103</t>
  </si>
  <si>
    <t>EXECUÇÃO DE RADIER, ESPESSURA DE 20 CM, FCK = 30 MPA, COM USO DE FORMAS EM MADEIRA SERRADA. AF_09/2021</t>
  </si>
  <si>
    <t>258,73</t>
  </si>
  <si>
    <t>100322</t>
  </si>
  <si>
    <t>LASTRO COM MATERIAL GRANULAR (PEDRA BRITADA N.3), APLICADO EM PISOS OU LAJES SOBRE SOLO, ESPESSURA DE *10 CM*. AF_07/2019</t>
  </si>
  <si>
    <t>119,03</t>
  </si>
  <si>
    <t>100323</t>
  </si>
  <si>
    <t>LASTRO COM MATERIAL GRANULAR (AREIA MÉDIA), APLICADO EM PISOS OU LAJES SOBRE SOLO, ESPESSURA DE *10 CM*. AF_07/2019</t>
  </si>
  <si>
    <t>100324</t>
  </si>
  <si>
    <t>LASTRO COM MATERIAL GRANULAR (PEDRA BRITADA N.1 E PEDRA BRITADA N.2), APLICADO EM PISOS OU LAJES SOBRE SOLO, ESPESSURA DE *10 CM*. AF_07/2019</t>
  </si>
  <si>
    <t>124,34</t>
  </si>
  <si>
    <t>103072</t>
  </si>
  <si>
    <t>EXECUÇÃO DE RADIER, ESPESSURA DE 25 CM, FCK = 30 MPA, COM USO DE FORMAS EM MADEIRA SERRADA. AF_09/2021</t>
  </si>
  <si>
    <t>306,91</t>
  </si>
  <si>
    <t>103073</t>
  </si>
  <si>
    <t>EXECUÇÃO DE RADIER, ESPESSURA DE 30 CM, FCK = 30 MPA, COM USO DE FORMAS EM MADEIRA SERRADA. AF_09/2021</t>
  </si>
  <si>
    <t>385,71</t>
  </si>
  <si>
    <t>103074</t>
  </si>
  <si>
    <t>EXECUÇÃO DE PISO DE CONCRETO, SEM ACABAMENTO SUPERFICIAL, ESPESSURA DE 15 CM, FCK = 30 MPA, COM USO DE FORMAS EM MADEIRA SERRADA. AF_09/2021</t>
  </si>
  <si>
    <t>167,57</t>
  </si>
  <si>
    <t>103075</t>
  </si>
  <si>
    <t>EXECUÇÃO DE PISO DE CONCRETO, COM ACABAMENTO SUPERFICIAL, ESPESSURA DE 15 CM, FCK = 30 MPA, COM USO DE FORMAS EM MADEIRA SERRADA. AF_09/2021</t>
  </si>
  <si>
    <t>200,58</t>
  </si>
  <si>
    <t>103076</t>
  </si>
  <si>
    <t>EXECUÇÃO DE LAJE SOBRE SOLO, ESPESSURA DE 10 CM, FCK = 30 MPA, COM USO DE FORMAS EM MADEIRA SERRADA. AF_09/2021</t>
  </si>
  <si>
    <t>165,62</t>
  </si>
  <si>
    <t>103077</t>
  </si>
  <si>
    <t>EXECUÇÃO DE LAJE SOBRE SOLO, ESPESSURA DE 15 CM, FCK = 30 MPA, COM USO DE FORMAS EM MADEIRA SERRADA. AF_09/2021</t>
  </si>
  <si>
    <t>207,75</t>
  </si>
  <si>
    <t>103078</t>
  </si>
  <si>
    <t>EXECUÇÃO DE LAJE SOBRE SOLO, ESPESSURA DE 20 CM, FCK = 30 MPA, COM USO DE FORMAS EM MADEIRA SERRADA. AF_09/2021</t>
  </si>
  <si>
    <t>242,96</t>
  </si>
  <si>
    <t>103079</t>
  </si>
  <si>
    <t>EXECUÇÃO DE LAJE SOBRE SOLO, ESPESSURA DE 25 CM, FCK = 30 MPA, COM USO DE FORMAS EM MADEIRA SERRADA. AF_09/2021</t>
  </si>
  <si>
    <t>291,13</t>
  </si>
  <si>
    <t>103080</t>
  </si>
  <si>
    <t>EXECUÇÃO DE LAJE SOBRE SOLO, ESPESSURA DE 30 CM, FCK = 30 MPA, COM USO DE FORMAS EM MADEIRA SERRADA. AF_09/2021</t>
  </si>
  <si>
    <t>369,93</t>
  </si>
  <si>
    <t>92263</t>
  </si>
  <si>
    <t>FABRICAÇÃO DE FÔRMA PARA PILARES E ESTRUTURAS SIMILARES, EM CHAPA DE MADEIRA COMPENSADA RESINADA, E = 17 MM. AF_09/2020</t>
  </si>
  <si>
    <t>168,02</t>
  </si>
  <si>
    <t>92264</t>
  </si>
  <si>
    <t>FABRICAÇÃO DE FÔRMA PARA PILARES E ESTRUTURAS SIMILARES, EM CHAPA DE MADEIRA COMPENSADA PLASTIFICADA, E = 18 MM. AF_09/2020</t>
  </si>
  <si>
    <t>220,77</t>
  </si>
  <si>
    <t>92265</t>
  </si>
  <si>
    <t>FABRICAÇÃO DE FÔRMA PARA VIGAS, EM CHAPA DE MADEIRA COMPENSADA RESINADA, E = 17 MM. AF_09/2020</t>
  </si>
  <si>
    <t>125,05</t>
  </si>
  <si>
    <t>92266</t>
  </si>
  <si>
    <t>FABRICAÇÃO DE FÔRMA PARA VIGAS, EM CHAPA DE MADEIRA COMPENSADA PLASTIFICADA, E = 18 MM. AF_09/2020</t>
  </si>
  <si>
    <t>170,29</t>
  </si>
  <si>
    <t>92267</t>
  </si>
  <si>
    <t>FABRICAÇÃO DE FÔRMA PARA LAJES, EM CHAPA DE MADEIRA COMPENSADA RESINADA, E = 17 MM. AF_09/2020</t>
  </si>
  <si>
    <t>60,71</t>
  </si>
  <si>
    <t>92268</t>
  </si>
  <si>
    <t>FABRICAÇÃO DE FÔRMA PARA LAJES, EM CHAPA DE MADEIRA COMPENSADA PLASTIFICADA, E = 18 MM. AF_09/2020</t>
  </si>
  <si>
    <t>102,17</t>
  </si>
  <si>
    <t>92269</t>
  </si>
  <si>
    <t>FABRICAÇÃO DE FÔRMA PARA PILARES E ESTRUTURAS SIMILARES, EM MADEIRA SERRADA, E=25 MM. AF_09/2020</t>
  </si>
  <si>
    <t>222,57</t>
  </si>
  <si>
    <t>92270</t>
  </si>
  <si>
    <t>FABRICAÇÃO DE FÔRMA PARA VIGAS, COM MADEIRA SERRADA, E = 25 MM. AF_09/2020</t>
  </si>
  <si>
    <t>171,05</t>
  </si>
  <si>
    <t>92271</t>
  </si>
  <si>
    <t>FABRICAÇÃO DE FÔRMA PARA LAJES, EM MADEIRA SERRADA, E=25 MM. AF_09/2020</t>
  </si>
  <si>
    <t>108,60</t>
  </si>
  <si>
    <t>92272</t>
  </si>
  <si>
    <t>FABRICAÇÃO DE ESCORAS DE VIGA DO TIPO GARFO, EM MADEIRA. AF_09/2020</t>
  </si>
  <si>
    <t>37,01</t>
  </si>
  <si>
    <t>92273</t>
  </si>
  <si>
    <t>FABRICAÇÃO DE ESCORAS DO TIPO PONTALETE, EM MADEIRA, PARA PÉ-DIREITO SIMPLES. AF_09/2020</t>
  </si>
  <si>
    <t>14,33</t>
  </si>
  <si>
    <t>92409</t>
  </si>
  <si>
    <t>MONTAGEM E DESMONTAGEM DE FÔRMA DE PILARES RETANGULARES E ESTRUTURAS SIMILARES, PÉ-DIREITO SIMPLES, EM MADEIRA SERRADA, 1 UTILIZAÇÃO. AF_09/2020</t>
  </si>
  <si>
    <t>315,87</t>
  </si>
  <si>
    <t>92411</t>
  </si>
  <si>
    <t>MONTAGEM E DESMONTAGEM DE FÔRMA DE PILARES RETANGULARES E ESTRUTURAS SIMILARES, PÉ-DIREITO SIMPLES, EM MADEIRA SERRADA, 2 UTILIZAÇÕES. AF_09/2020</t>
  </si>
  <si>
    <t>196,50</t>
  </si>
  <si>
    <t>92413</t>
  </si>
  <si>
    <t>MONTAGEM E DESMONTAGEM DE FÔRMA DE PILARES RETANGULARES E ESTRUTURAS SIMILARES, PÉ-DIREITO SIMPLES, EM MADEIRA SERRADA, 4 UTILIZAÇÕES. AF_09/2020</t>
  </si>
  <si>
    <t>121,83</t>
  </si>
  <si>
    <t>92415</t>
  </si>
  <si>
    <t>MONTAGEM E DESMONTAGEM DE FÔRMA DE PILARES RETANGULARES E ESTRUTURAS SIMILARES, PÉ-DIREITO SIMPLES, EM CHAPA DE MADEIRA COMPENSADA RESINADA, 2 UTILIZAÇÕES. AF_09/2020</t>
  </si>
  <si>
    <t>130,15</t>
  </si>
  <si>
    <t>92417</t>
  </si>
  <si>
    <t>MONTAGEM E DESMONTAGEM DE FÔRMA DE PILARES RETANGULARES E ESTRUTURAS SIMILARES, PÉ-DIREITO DUPLO, EM CHAPA DE MADEIRA COMPENSADA RESINADA, 2 UTILIZAÇÕES. AF_09/2020</t>
  </si>
  <si>
    <t>151,30</t>
  </si>
  <si>
    <t>92419</t>
  </si>
  <si>
    <t>MONTAGEM E DESMONTAGEM DE FÔRMA DE PILARES RETANGULARES E ESTRUTURAS SIMILARES, PÉ-DIREITO SIMPLES, EM CHAPA DE MADEIRA COMPENSADA RESINADA, 4 UTILIZAÇÕES. AF_09/2020</t>
  </si>
  <si>
    <t>78,61</t>
  </si>
  <si>
    <t>92421</t>
  </si>
  <si>
    <t>MONTAGEM E DESMONTAGEM DE FÔRMA DE PILARES RETANGULARES E ESTRUTURAS SIMILARES, PÉ-DIREITO DUPLO, EM CHAPA DE MADEIRA COMPENSADA RESINADA, 4 UTILIZAÇÕES. AF_09/2020</t>
  </si>
  <si>
    <t>92423</t>
  </si>
  <si>
    <t>MONTAGEM E DESMONTAGEM DE FÔRMA DE PILARES RETANGULARES E ESTRUTURAS SIMILARES, PÉ-DIREITO SIMPLES, EM CHAPA DE MADEIRA COMPENSADA RESINADA, 6 UTILIZAÇÕES. AF_09/2020</t>
  </si>
  <si>
    <t>62,70</t>
  </si>
  <si>
    <t>92425</t>
  </si>
  <si>
    <t>MONTAGEM E DESMONTAGEM DE FÔRMA DE PILARES RETANGULARES E ESTRUTURAS SIMILARES, PÉ-DIREITO DUPLO, EM CHAPA DE MADEIRA COMPENSADA RESINADA, 6 UTILIZAÇÕES. AF_09/2020</t>
  </si>
  <si>
    <t>76,79</t>
  </si>
  <si>
    <t>92427</t>
  </si>
  <si>
    <t>MONTAGEM E DESMONTAGEM DE FÔRMA DE PILARES RETANGULARES E ESTRUTURAS SIMILARES, PÉ-DIREITO SIMPLES, EM CHAPA DE MADEIRA COMPENSADA RESINADA, 8 UTILIZAÇÕES. AF_09/2020</t>
  </si>
  <si>
    <t>54,65</t>
  </si>
  <si>
    <t>92429</t>
  </si>
  <si>
    <t>MONTAGEM E DESMONTAGEM DE FÔRMA DE PILARES RETANGULARES E ESTRUTURAS SIMILARES, PÉ-DIREITO DUPLO, EM CHAPA DE MADEIRA COMPENSADA RESINADA, 8 UTILIZAÇÕES. AF_09/2020</t>
  </si>
  <si>
    <t>67,71</t>
  </si>
  <si>
    <t>92431</t>
  </si>
  <si>
    <t>MONTAGEM E DESMONTAGEM DE FÔRMA DE PILARES RETANGULARES E ESTRUTURAS SIMILARES, PÉ-DIREITO SIMPLES, EM CHAPA DE MADEIRA COMPENSADA PLASTIFICADA, 10 UTILIZAÇÕES. AF_09/2020</t>
  </si>
  <si>
    <t>51,62</t>
  </si>
  <si>
    <t>92433</t>
  </si>
  <si>
    <t>MONTAGEM E DESMONTAGEM DE FÔRMA DE PILARES RETANGULARES E ESTRUTURAS SIMILARES, PÉ-DIREITO DUPLO, EM CHAPA DE MADEIRA COMPENSADA PLASTIFICADA, 10 UTILIZAÇÕES. AF_09/2020</t>
  </si>
  <si>
    <t>64,02</t>
  </si>
  <si>
    <t>92435</t>
  </si>
  <si>
    <t>MONTAGEM E DESMONTAGEM DE FÔRMA DE PILARES RETANGULARES E ESTRUTURAS SIMILARES, PÉ-DIREITO SIMPLES, EM CHAPA DE MADEIRA COMPENSADA PLASTIFICADA, 12 UTILIZAÇÕES. AF_09/2020</t>
  </si>
  <si>
    <t>48,52</t>
  </si>
  <si>
    <t>92437</t>
  </si>
  <si>
    <t>MONTAGEM E DESMONTAGEM DE FÔRMA DE PILARES RETANGULARES E ESTRUTURAS SIMILARES, PÉ-DIREITO DUPLO, EM CHAPA DE MADEIRA COMPENSADA PLASTIFICADA, 12 UTILIZAÇÕES. AF_09/2020</t>
  </si>
  <si>
    <t>60,50</t>
  </si>
  <si>
    <t>92439</t>
  </si>
  <si>
    <t>MONTAGEM E DESMONTAGEM DE FÔRMA DE PILARES RETANGULARES E ESTRUTURAS SIMILARES, PÉ-DIREITO SIMPLES, EM CHAPA DE MADEIRA COMPENSADA PLASTIFICADA, 14 UTILIZAÇÕES. AF_09/2020</t>
  </si>
  <si>
    <t>46,29</t>
  </si>
  <si>
    <t>92441</t>
  </si>
  <si>
    <t>MONTAGEM E DESMONTAGEM DE FÔRMA DE PILARES RETANGULARES E ESTRUTURAS SIMILARES, PÉ-DIREITO DUPLO, EM CHAPA DE MADEIRA COMPENSADA PLASTIFICADA, 14 UTILIZAÇÕES. AF_09/2020</t>
  </si>
  <si>
    <t>57,97</t>
  </si>
  <si>
    <t>92443</t>
  </si>
  <si>
    <t>MONTAGEM E DESMONTAGEM DE FÔRMA DE PILARES RETANGULARES E ESTRUTURAS SIMILARES, PÉ-DIREITO SIMPLES, EM CHAPA DE MADEIRA COMPENSADA PLASTIFICADA, 18 UTILIZAÇÕES. AF_09/2020</t>
  </si>
  <si>
    <t>41,45</t>
  </si>
  <si>
    <t>92445</t>
  </si>
  <si>
    <t>MONTAGEM E DESMONTAGEM DE FÔRMA DE PILARES RETANGULARES E ESTRUTURAS SIMILARES, PÉ-DIREITO DUPLO, EM CHAPA DE MADEIRA COMPENSADA PLASTIFICADA, 18 UTILIZAÇÕES. AF_09/2020</t>
  </si>
  <si>
    <t>52,72</t>
  </si>
  <si>
    <t>92446</t>
  </si>
  <si>
    <t>MONTAGEM E DESMONTAGEM DE FÔRMA DE VIGA, ESCORAMENTO COM PONTALETE DE MADEIRA, PÉ-DIREITO SIMPLES, EM MADEIRA SERRADA, 1 UTILIZAÇÃO. AF_09/2020</t>
  </si>
  <si>
    <t>290,53</t>
  </si>
  <si>
    <t>92447</t>
  </si>
  <si>
    <t>MONTAGEM E DESMONTAGEM DE FÔRMA DE VIGA, ESCORAMENTO COM PONTALETE DE MADEIRA, PÉ-DIREITO SIMPLES, EM MADEIRA SERRADA, 2 UTILIZAÇÕES. AF_09/2020</t>
  </si>
  <si>
    <t>200,88</t>
  </si>
  <si>
    <t>92448</t>
  </si>
  <si>
    <t>MONTAGEM E DESMONTAGEM DE FÔRMA DE VIGA, ESCORAMENTO COM PONTALETE DE MADEIRA, PÉ-DIREITO SIMPLES, EM MADEIRA SERRADA, 4 UTILIZAÇÕES. AF_09/2020</t>
  </si>
  <si>
    <t>156,20</t>
  </si>
  <si>
    <t>92449</t>
  </si>
  <si>
    <t>MONTAGEM E DESMONTAGEM DE FÔRMA DE VIGA, ESCORAMENTO COM GARFO DE MADEIRA, PÉ-DIREITO DUPLO, EM CHAPA DE MADEIRA RESINADA, 2 UTILIZAÇÕES. AF_09/2020</t>
  </si>
  <si>
    <t>275,33</t>
  </si>
  <si>
    <t>92450</t>
  </si>
  <si>
    <t>MONTAGEM E DESMONTAGEM DE FÔRMA DE VIGA, ESCORAMENTO METÁLICO, PÉ-DIREITO DUPLO, EM CHAPA DE MADEIRA RESINADA, 2 UTILIZAÇÕES. AF_09/2020</t>
  </si>
  <si>
    <t>252,46</t>
  </si>
  <si>
    <t>92451</t>
  </si>
  <si>
    <t>MONTAGEM E DESMONTAGEM DE FÔRMA DE VIGA, ESCORAMENTO COM GARFO DE MADEIRA, PÉ-DIREITO SIMPLES, EM CHAPA DE MADEIRA RESINADA, 2 UTILIZAÇÕES. AF_09/2020</t>
  </si>
  <si>
    <t>188,21</t>
  </si>
  <si>
    <t>92452</t>
  </si>
  <si>
    <t>MONTAGEM E DESMONTAGEM DE FÔRMA DE VIGA, ESCORAMENTO METÁLICO, PÉ-DIREITO SIMPLES, EM CHAPA DE MADEIRA RESINADA, 2 UTILIZAÇÕES. AF_09/2020</t>
  </si>
  <si>
    <t>151,50</t>
  </si>
  <si>
    <t>92453</t>
  </si>
  <si>
    <t>MONTAGEM E DESMONTAGEM DE FÔRMA DE VIGA, ESCORAMENTO COM GARFO DE MADEIRA, PÉ-DIREITO DUPLO, EM CHAPA DE MADEIRA RESINADA, 4 UTILIZAÇÕES. AF_09/2020</t>
  </si>
  <si>
    <t>235,27</t>
  </si>
  <si>
    <t>92454</t>
  </si>
  <si>
    <t>MONTAGEM E DESMONTAGEM DE FÔRMA DE VIGA, ESCORAMENTO METÁLICO, PÉ-DIREITO DUPLO, EM CHAPA DE MADEIRA RESINADA, 4 UTILIZAÇÕES. AF_09/2020</t>
  </si>
  <si>
    <t>221,42</t>
  </si>
  <si>
    <t>92455</t>
  </si>
  <si>
    <t>MONTAGEM E DESMONTAGEM DE FÔRMA DE VIGA, ESCORAMENTO COM GARFO DE MADEIRA, PÉ-DIREITO SIMPLES, EM CHAPA DE MADEIRA RESINADA, 4 UTILIZAÇÕES. AF_09/2020</t>
  </si>
  <si>
    <t>153,85</t>
  </si>
  <si>
    <t>92456</t>
  </si>
  <si>
    <t>MONTAGEM E DESMONTAGEM DE FÔRMA DE VIGA, ESCORAMENTO METÁLICO, PÉ-DIREITO SIMPLES, EM CHAPA DE MADEIRA RESINADA, 4 UTILIZAÇÕES. AF_09/2020</t>
  </si>
  <si>
    <t>120,15</t>
  </si>
  <si>
    <t>92457</t>
  </si>
  <si>
    <t>MONTAGEM E DESMONTAGEM DE FÔRMA DE VIGA, ESCORAMENTO COM GARFO DE MADEIRA, PÉ-DIREITO DUPLO, EM CHAPA DE MADEIRA RESINADA, 6 UTILIZAÇÕES. AF_09/2020</t>
  </si>
  <si>
    <t>92458</t>
  </si>
  <si>
    <t>MONTAGEM E DESMONTAGEM DE FÔRMA DE VIGA, ESCORAMENTO METÁLICO, PÉ-DIREITO DUPLO, EM CHAPA DE MADEIRA RESINADA, 6 UTILIZAÇÕES. AF_12/2015</t>
  </si>
  <si>
    <t>201,97</t>
  </si>
  <si>
    <t>92459</t>
  </si>
  <si>
    <t>MONTAGEM E DESMONTAGEM DE FÔRMA DE VIGA, ESCORAMENTO COM GARFO DE MADEIRA, PÉ-DIREITO SIMPLES, EM CHAPA DE MADEIRA RESINADA, 6 UTILIZAÇÕES. AF_09/2020</t>
  </si>
  <si>
    <t>130,33</t>
  </si>
  <si>
    <t>92460</t>
  </si>
  <si>
    <t>MONTAGEM E DESMONTAGEM DE FÔRMA DE VIGA, ESCORAMENTO METÁLICO, PÉ-DIREITO SIMPLES, EM CHAPA DE MADEIRA RESINADA, 6 UTILIZAÇÕES. AF_09/2020</t>
  </si>
  <si>
    <t>97,60</t>
  </si>
  <si>
    <t>92461</t>
  </si>
  <si>
    <t>MONTAGEM E DESMONTAGEM DE FÔRMA DE VIGA, ESCORAMENTO COM GARFO DE MADEIRA, PÉ-DIREITO DUPLO, EM CHAPA DE MADEIRA RESINADA, 8 UTILIZAÇÕES. AF_09/2020</t>
  </si>
  <si>
    <t>188,23</t>
  </si>
  <si>
    <t>92462</t>
  </si>
  <si>
    <t>MONTAGEM E DESMONTAGEM DE FÔRMA DE VIGA, ESCORAMENTO METÁLICO, PÉ-DIREITO DUPLO, EM CHAPA DE MADEIRA RESINADA, 8 UTILIZAÇÕES. AF_09/2020</t>
  </si>
  <si>
    <t>189,90</t>
  </si>
  <si>
    <t>92463</t>
  </si>
  <si>
    <t>MONTAGEM E DESMONTAGEM DE FÔRMA DE VIGA, ESCORAMENTO COM GARFO DE MADEIRA, PÉ-DIREITO SIMPLES, EM CHAPA DE MADEIRA RESINADA, 8 UTILIZAÇÕES. AF_09/2020</t>
  </si>
  <si>
    <t>118,03</t>
  </si>
  <si>
    <t>92464</t>
  </si>
  <si>
    <t>MONTAGEM E DESMONTAGEM DE FÔRMA DE VIGA, ESCORAMENTO METÁLICO, PÉ-DIREITO SIMPLES, EM CHAPA DE MADEIRA RESINADA, 8 UTILIZAÇÕES. AF_09/2020</t>
  </si>
  <si>
    <t>89,27</t>
  </si>
  <si>
    <t>92465</t>
  </si>
  <si>
    <t>MONTAGEM E DESMONTAGEM DE FÔRMA DE VIGA, ESCORAMENTO COM GARFO DE MADEIRA, PÉ-DIREITO DUPLO, EM CHAPA DE MADEIRA PLASTIFICADA, 10 UTILIZAÇÕES. AF_09/2020</t>
  </si>
  <si>
    <t>151,01</t>
  </si>
  <si>
    <t>92466</t>
  </si>
  <si>
    <t>MONTAGEM E DESMONTAGEM DE FÔRMA DE VIGA, ESCORAMENTO METÁLICO, PÉ-DIREITO DUPLO, EM CHAPA DE MADEIRA PLASTIFICADA, 10 UTILIZAÇÕES. AF_09/2020</t>
  </si>
  <si>
    <t>184,37</t>
  </si>
  <si>
    <t>92467</t>
  </si>
  <si>
    <t>MONTAGEM E DESMONTAGEM DE FÔRMA DE VIGA, ESCORAMENTO COM GARFO DE MADEIRA, PÉ-DIREITO SIMPLES, EM CHAPA DE MADEIRA PLASTIFICADA, 10 UTILIZAÇÕES. AF_09/2020</t>
  </si>
  <si>
    <t>98,22</t>
  </si>
  <si>
    <t>92468</t>
  </si>
  <si>
    <t>MONTAGEM E DESMONTAGEM DE FÔRMA DE VIGA, ESCORAMENTO METÁLICO, PÉ-DIREITO SIMPLES, EM CHAPA DE MADEIRA PLASTIFICADA, 10 UTILIZAÇÕES. AF_09/2020</t>
  </si>
  <si>
    <t>84,07</t>
  </si>
  <si>
    <t>92469</t>
  </si>
  <si>
    <t>MONTAGEM E DESMONTAGEM DE FÔRMA DE VIGA, ESCORAMENTO COM GARFO DE MADEIRA, PÉ-DIREITO DUPLO, EM CHAPA DE MADEIRA PLASTIFICADA, 12 UTILIZAÇÕES. AF_09/2020</t>
  </si>
  <si>
    <t>137,52</t>
  </si>
  <si>
    <t>92470</t>
  </si>
  <si>
    <t>MONTAGEM E DESMONTAGEM DE FÔRMA DE VIGA, ESCORAMENTO METÁLICO, PÉ-DIREITO DUPLO, EM CHAPA DE MADEIRA PLASTIFICADA, 12 UTILIZAÇÕES. AF_09/2020</t>
  </si>
  <si>
    <t>177,70</t>
  </si>
  <si>
    <t>92471</t>
  </si>
  <si>
    <t>MONTAGEM E DESMONTAGEM DE FÔRMA DE VIGA, ESCORAMENTO COM GARFO DE MADEIRA, PÉ-DIREITO SIMPLES, EM CHAPA DE MADEIRA PLASTIFICADA, 12 UTILIZAÇÕES. AF_09/2020</t>
  </si>
  <si>
    <t>89,58</t>
  </si>
  <si>
    <t>92472</t>
  </si>
  <si>
    <t>MONTAGEM E DESMONTAGEM DE FÔRMA DE VIGA, ESCORAMENTO METÁLICO, PÉ-DIREITO SIMPLES, EM CHAPA DE MADEIRA PLASTIFICADA, 12 UTILIZAÇÕES. AF_09/2020</t>
  </si>
  <si>
    <t>78,17</t>
  </si>
  <si>
    <t>92473</t>
  </si>
  <si>
    <t>MONTAGEM E DESMONTAGEM DE FÔRMA DE VIGA, ESCORAMENTO COM GARFO DE MADEIRA, PÉ-DIREITO DUPLO, EM CHAPA DE MADEIRA PLASTIFICADA, 14 UTILIZAÇÕES. AF_09/2020</t>
  </si>
  <si>
    <t>126,64</t>
  </si>
  <si>
    <t>92474</t>
  </si>
  <si>
    <t>MONTAGEM E DESMONTAGEM DE FÔRMA DE VIGA, ESCORAMENTO METÁLICO, PÉ-DIREITO DUPLO, EM CHAPA DE MADEIRA PLASTIFICADA, 14 UTILIZAÇÕES. AF_09/2020</t>
  </si>
  <si>
    <t>172,00</t>
  </si>
  <si>
    <t>92475</t>
  </si>
  <si>
    <t>MONTAGEM E DESMONTAGEM DE FÔRMA DE VIGA, ESCORAMENTO COM GARFO DE MADEIRA, PÉ-DIREITO SIMPLES, EM CHAPA DE MADEIRA PLASTIFICADA, 14 UTILIZAÇÕES. AF_09/2020</t>
  </si>
  <si>
    <t>82,57</t>
  </si>
  <si>
    <t>92476</t>
  </si>
  <si>
    <t>MONTAGEM E DESMONTAGEM DE FÔRMA DE VIGA, ESCORAMENTO METÁLICO, PÉ-DIREITO SIMPLES, EM CHAPA DE MADEIRA PLASTIFICADA, 14 UTILIZAÇÕES. AF_09/2020</t>
  </si>
  <si>
    <t>73,20</t>
  </si>
  <si>
    <t>92477</t>
  </si>
  <si>
    <t>MONTAGEM E DESMONTAGEM DE FÔRMA DE VIGA, ESCORAMENTO COM GARFO DE MADEIRA, PÉ-DIREITO DUPLO, EM CHAPA DE MADEIRA PLASTIFICADA, 18 UTILIZAÇÕES. AF_09/2020</t>
  </si>
  <si>
    <t>103,27</t>
  </si>
  <si>
    <t>92478</t>
  </si>
  <si>
    <t>MONTAGEM E DESMONTAGEM DE FÔRMA DE VIGA, ESCORAMENTO METÁLICO, PÉ-DIREITO DUPLO, EM CHAPA DE MADEIRA PLASTIFICADA, 18 UTILIZAÇÕES. AF_09/2020</t>
  </si>
  <si>
    <t>160,64</t>
  </si>
  <si>
    <t>92479</t>
  </si>
  <si>
    <t>MONTAGEM E DESMONTAGEM DE FÔRMA DE VIGA, ESCORAMENTO COM GARFO DE MADEIRA, PÉ-DIREITO SIMPLES, EM CHAPA DE MADEIRA PLASTIFICADA, 18 UTILIZAÇÕES. AF_09/2020</t>
  </si>
  <si>
    <t>67,54</t>
  </si>
  <si>
    <t>92480</t>
  </si>
  <si>
    <t>MONTAGEM E DESMONTAGEM DE FÔRMA DE VIGA, ESCORAMENTO METÁLICO, PÉ-DIREITO SIMPLES, EM CHAPA DE MADEIRA PLASTIFICADA, 18 UTILIZAÇÕES. AF_09/2020</t>
  </si>
  <si>
    <t>63,14</t>
  </si>
  <si>
    <t>92482</t>
  </si>
  <si>
    <t>MONTAGEM E DESMONTAGEM DE FÔRMA DE LAJE MACIÇA, PÉ-DIREITO SIMPLES, EM MADEIRA SERRADA, 1 UTILIZAÇÃO. AF_09/2020</t>
  </si>
  <si>
    <t>322,10</t>
  </si>
  <si>
    <t>92484</t>
  </si>
  <si>
    <t>MONTAGEM E DESMONTAGEM DE FÔRMA DE LAJE MACIÇA, PÉ-DIREITO SIMPLES, EM MADEIRA SERRADA, 2 UTILIZAÇÕES. AF_09/2020</t>
  </si>
  <si>
    <t>227,80</t>
  </si>
  <si>
    <t>92486</t>
  </si>
  <si>
    <t>MONTAGEM E DESMONTAGEM DE FÔRMA DE LAJE MACIÇA, PÉ-DIREITO SIMPLES, EM MADEIRA SERRADA, 4 UTILIZAÇÕES. AF_09/2020</t>
  </si>
  <si>
    <t>156,89</t>
  </si>
  <si>
    <t>92488</t>
  </si>
  <si>
    <t>MONTAGEM E DESMONTAGEM DE FÔRMA DE LAJE NERVURADA COM CUBETA E ASSOALHO, PÉ-DIREITO DUPLO, EM CHAPA DE MADEIRA COMPENSADA RESINADA, 8 UTILIZAÇÕES. AF_09/2020</t>
  </si>
  <si>
    <t>77,99</t>
  </si>
  <si>
    <t>92490</t>
  </si>
  <si>
    <t>MONTAGEM E DESMONTAGEM DE FÔRMA DE LAJE NERVURADA COM CUBETA E ASSOALHO, PÉ-DIREITO SIMPLES, EM CHAPA DE MADEIRA COMPENSADA RESINADA, 8 UTILIZAÇÕES. AF_09/2020</t>
  </si>
  <si>
    <t>49,23</t>
  </si>
  <si>
    <t>92492</t>
  </si>
  <si>
    <t>MONTAGEM E DESMONTAGEM DE FÔRMA DE LAJE NERVURADA COM CUBETA E ASSOALHO, PÉ-DIREITO DUPLO, EM CHAPA DE MADEIRA COMPENSADA RESINADA, 10 UTILIZAÇÕES. AF_09/2020</t>
  </si>
  <si>
    <t>74,09</t>
  </si>
  <si>
    <t>92494</t>
  </si>
  <si>
    <t>MONTAGEM E DESMONTAGEM DE FÔRMA DE LAJE NERVURADA COM CUBETA E ASSOALHO, PÉ-DIREITO SIMPLES, EM CHAPA DE MADEIRA COMPENSADA RESINADA, 10 UTILIZAÇÕES. AF_09/2020</t>
  </si>
  <si>
    <t>45,80</t>
  </si>
  <si>
    <t>92496</t>
  </si>
  <si>
    <t>MONTAGEM E DESMONTAGEM DE FÔRMA DE LAJE NERVURADA COM CUBETA E ASSOALHO, PÉ-DIREITO DUPLO, EM CHAPA DE MADEIRA COMPENSADA RESINADA, 12 UTILIZAÇÕES. AF_09/2020</t>
  </si>
  <si>
    <t>71,44</t>
  </si>
  <si>
    <t>92498</t>
  </si>
  <si>
    <t>MONTAGEM E DESMONTAGEM DE FÔRMA DE LAJE NERVURADA COM CUBETA E ASSOALHO, PÉ-DIREITO SIMPLES, EM CHAPA DE MADEIRA COMPENSADA RESINADA, 12 UTILIZAÇÕES. AF_09/2020</t>
  </si>
  <si>
    <t>43,47</t>
  </si>
  <si>
    <t>92500</t>
  </si>
  <si>
    <t>MONTAGEM E DESMONTAGEM DE FÔRMA DE LAJE NERVURADA COM CUBETA E ASSOALHO, PÉ-DIREITO DUPLO, EM CHAPA DE MADEIRA COMPENSADA RESINADA, 14 UTILIZAÇÕES. AF_09/2020</t>
  </si>
  <si>
    <t>69,95</t>
  </si>
  <si>
    <t>92502</t>
  </si>
  <si>
    <t>MONTAGEM E DESMONTAGEM DE FÔRMA DE LAJE NERVURADA COM CUBETA E ASSOALHO, PÉ-DIREITO SIMPLES, EM CHAPA DE MADEIRA COMPENSADA RESINADA, 14 UTILIZAÇÕES. AF_09/2020</t>
  </si>
  <si>
    <t>42,21</t>
  </si>
  <si>
    <t>92504</t>
  </si>
  <si>
    <t>MONTAGEM E DESMONTAGEM DE FÔRMA DE LAJE NERVURADA COM CUBETA E ASSOALHO, PÉ-DIREITO DUPLO, EM CHAPA DE MADEIRA COMPENSADA RESINADA, 18 UTILIZAÇÕES. AF_09/2020</t>
  </si>
  <si>
    <t>48,57</t>
  </si>
  <si>
    <t>92506</t>
  </si>
  <si>
    <t>MONTAGEM E DESMONTAGEM DE FÔRMA DE LAJE NERVURADA COM CUBETA E ASSOALHO, PÉ-DIREITO SIMPLES, EM CHAPA DE MADEIRA COMPENSADA RESINADA, 18 UTILIZAÇÕES. AF_09/2020</t>
  </si>
  <si>
    <t>39,97</t>
  </si>
  <si>
    <t>92508</t>
  </si>
  <si>
    <t>MONTAGEM E DESMONTAGEM DE FÔRMA DE LAJE MACIÇA, PÉ-DIREITO DUPLO, EM CHAPA DE MADEIRA COMPENSADA RESINADA, 2 UTILIZAÇÕES. AF_09/2020</t>
  </si>
  <si>
    <t>93,28</t>
  </si>
  <si>
    <t>92510</t>
  </si>
  <si>
    <t>MONTAGEM E DESMONTAGEM DE FÔRMA DE LAJE MACIÇA, PÉ-DIREITO SIMPLES, EM CHAPA DE MADEIRA COMPENSADA RESINADA, 2 UTILIZAÇÕES. AF_09/2020</t>
  </si>
  <si>
    <t>59,95</t>
  </si>
  <si>
    <t>92512</t>
  </si>
  <si>
    <t>MONTAGEM E DESMONTAGEM DE FÔRMA DE LAJE MACIÇA, PÉ-DIREITO DUPLO, EM CHAPA DE MADEIRA COMPENSADA RESINADA, 4 UTILIZAÇÕES. AF_09/2020</t>
  </si>
  <si>
    <t>71,00</t>
  </si>
  <si>
    <t>92514</t>
  </si>
  <si>
    <t>MONTAGEM E DESMONTAGEM DE FÔRMA DE LAJE MACIÇA, PÉ-DIREITO SIMPLES, EM CHAPA DE MADEIRA COMPENSADA RESINADA, 4 UTILIZAÇÕES. AF_09/2020</t>
  </si>
  <si>
    <t>41,02</t>
  </si>
  <si>
    <t>92515</t>
  </si>
  <si>
    <t>MONTAGEM E DESMONTAGEM DE FÔRMA DE LAJE MACIÇA, PÉ-DIREITO DUPLO, EM CHAPA DE MADEIRA COMPENSADA RESINADA, 6 UTILIZAÇÕES. AF_09/2020</t>
  </si>
  <si>
    <t>61,68</t>
  </si>
  <si>
    <t>92518</t>
  </si>
  <si>
    <t>MONTAGEM E DESMONTAGEM DE FÔRMA DE LAJE MACIÇA, PÉ-DIREITO SIMPLES, EM CHAPA DE MADEIRA COMPENSADA RESINADA, 6 UTILIZAÇÕES. AF_09/2020</t>
  </si>
  <si>
    <t>33,17</t>
  </si>
  <si>
    <t>92520</t>
  </si>
  <si>
    <t>MONTAGEM E DESMONTAGEM DE FÔRMA DE LAJE MACIÇA, PÉ-DIREITO DUPLO, EM CHAPA DE MADEIRA COMPENSADA RESINADA, 8 UTILIZAÇÕES. AF_09/2020</t>
  </si>
  <si>
    <t>56,90</t>
  </si>
  <si>
    <t>92522</t>
  </si>
  <si>
    <t>MONTAGEM E DESMONTAGEM DE FÔRMA DE LAJE MACIÇA, PÉ-DIREITO SIMPLES, EM CHAPA DE MADEIRA COMPENSADA RESINADA, 8 UTILIZAÇÕES. AF_09/2020</t>
  </si>
  <si>
    <t>29,13</t>
  </si>
  <si>
    <t>92524</t>
  </si>
  <si>
    <t>MONTAGEM E DESMONTAGEM DE FÔRMA DE LAJE MACIÇA, PÉ-DIREITO DUPLO, EM CHAPA DE MADEIRA COMPENSADA PLASTIFICADA, 10 UTILIZAÇÕES. AF-09/2020</t>
  </si>
  <si>
    <t>57,87</t>
  </si>
  <si>
    <t>92526</t>
  </si>
  <si>
    <t>MONTAGEM E DESMONTAGEM DE FÔRMA DE LAJE MACIÇA, PÉ-DIREITO SIMPLES, EM CHAPA DE MADEIRA COMPENSADA PLASTIFICADA, 10 UTILIZAÇÕES. AF_09/2020</t>
  </si>
  <si>
    <t>30,54</t>
  </si>
  <si>
    <t>92528</t>
  </si>
  <si>
    <t>MONTAGEM E DESMONTAGEM DE FÔRMA DE LAJE MACIÇA, PÉ-DIREITO DUPLO, EM CHAPA DE MADEIRA COMPENSADA PLASTIFICADA, 12 UTILIZAÇÕES. AF_09/2020</t>
  </si>
  <si>
    <t>55,76</t>
  </si>
  <si>
    <t>92530</t>
  </si>
  <si>
    <t>MONTAGEM E DESMONTAGEM DE FÔRMA DE LAJE MACIÇA, PÉ-DIREITO SIMPLES, EM CHAPA DE MADEIRA COMPENSADA PLASTIFICADA, 12 UTILIZAÇÕES. AF_09/2020</t>
  </si>
  <si>
    <t>28,70</t>
  </si>
  <si>
    <t>92532</t>
  </si>
  <si>
    <t>MONTAGEM E DESMONTAGEM DE FÔRMA DE LAJE MACIÇA, PÉ-DIREITO DUPLO, EM CHAPA DE MADEIRA COMPENSADA PLASTIFICADA, 14 UTILIZAÇÕES. AF_09/2020</t>
  </si>
  <si>
    <t>54,12</t>
  </si>
  <si>
    <t>92534</t>
  </si>
  <si>
    <t>MONTAGEM E DESMONTAGEM DE FÔRMA DE LAJE MACIÇA, PÉ-DIREITO SIMPLES, EM CHAPA DE MADEIRA COMPENSADA PLASTIFICADA, 14 UTILIZAÇÕES. AF_09/2020</t>
  </si>
  <si>
    <t>27,33</t>
  </si>
  <si>
    <t>92536</t>
  </si>
  <si>
    <t>MONTAGEM E DESMONTAGEM DE FÔRMA DE LAJE MACIÇA, PÉ-DIREITO DUPLO, EM CHAPA DE MADEIRA COMPENSADA PLASTIFICADA, 18 UTILIZAÇÕES. AF_09/2020</t>
  </si>
  <si>
    <t>51,00</t>
  </si>
  <si>
    <t>92538</t>
  </si>
  <si>
    <t>MONTAGEM E DESMONTAGEM DE FÔRMA DE LAJE MACIÇA, PÉ-DIREITO SIMPLES, EM CHAPA DE MADEIRA COMPENSADA PLASTIFICADA, 18 UTILIZAÇÕES. AF_09/2020</t>
  </si>
  <si>
    <t>24,45</t>
  </si>
  <si>
    <t>96252</t>
  </si>
  <si>
    <t>FABRICAÇÃO DE FÔRMA PARA PILARES CIRCULARES, EM CHAPA DE MADEIRA COMPENSADA RESINADA. AF_06/2017</t>
  </si>
  <si>
    <t>250,88</t>
  </si>
  <si>
    <t>96257</t>
  </si>
  <si>
    <t>MONTAGEM E DESMONTAGEM DE FÔRMA DE PILARES CIRCULARES, COM ÁREA MÉDIA DAS SEÇÕES MENOR OU IGUAL A 0,28 M², PÉ-DIREITO SIMPLES, EM MADEIRA, 2 UTILIZAÇÕES. AF_06/2017</t>
  </si>
  <si>
    <t>198,51</t>
  </si>
  <si>
    <t>96258</t>
  </si>
  <si>
    <t>MONTAGEM E DESMONTAGEM DE FÔRMA DE PILARES CIRCULARES, COM ÁREA MÉDIA DAS SEÇÕES MAIOR QUE 0,28 M², PÉ-DIREITO SIMPLES, EM MADEIRA, 2 UTILIZAÇÕES. AF_06/2017</t>
  </si>
  <si>
    <t>187,10</t>
  </si>
  <si>
    <t>96259</t>
  </si>
  <si>
    <t>MONTAGEM E DESMONTAGEM DE FÔRMA DE PILARES CIRCULARES, COM ÁREA MÉDIA DAS SEÇÕES MENOR OU IGUAL A 0,28 M², PÉ-DIREITO DUPLO, EM MADEIRA, 2 UTILIZAÇÕES. AF_06/2017</t>
  </si>
  <si>
    <t>221,47</t>
  </si>
  <si>
    <t>96529</t>
  </si>
  <si>
    <t>FABRICAÇÃO, MONTAGEM E DESMONTAGEM DE FÔRMA PARA SAPATA, EM MADEIRA SERRADA, E=25 MM, 1 UTILIZAÇÃO. AF_06/2017</t>
  </si>
  <si>
    <t>338,97</t>
  </si>
  <si>
    <t>96530</t>
  </si>
  <si>
    <t>FABRICAÇÃO, MONTAGEM E DESMONTAGEM DE FÔRMA PARA VIGA BALDRAME, EM MADEIRA SERRADA, E=25 MM, 1 UTILIZAÇÃO. AF_06/2017</t>
  </si>
  <si>
    <t>186,17</t>
  </si>
  <si>
    <t>96531</t>
  </si>
  <si>
    <t>FABRICAÇÃO, MONTAGEM E DESMONTAGEM DE FÔRMA PARA BLOCO DE COROAMENTO, EM MADEIRA SERRADA, E=25 MM, 2 UTILIZAÇÕES. AF_06/2017</t>
  </si>
  <si>
    <t>127,79</t>
  </si>
  <si>
    <t>96532</t>
  </si>
  <si>
    <t>FABRICAÇÃO, MONTAGEM E DESMONTAGEM DE FÔRMA PARA SAPATA, EM MADEIRA SERRADA, E=25 MM, 2 UTILIZAÇÕES. AF_06/2017</t>
  </si>
  <si>
    <t>212,51</t>
  </si>
  <si>
    <t>96533</t>
  </si>
  <si>
    <t>FABRICAÇÃO, MONTAGEM E DESMONTAGEM DE FÔRMA PARA VIGA BALDRAME, EM MADEIRA SERRADA, E=25 MM, 2 UTILIZAÇÕES. AF_06/2017</t>
  </si>
  <si>
    <t>113,75</t>
  </si>
  <si>
    <t>96534</t>
  </si>
  <si>
    <t>FABRICAÇÃO, MONTAGEM E DESMONTAGEM DE FÔRMA PARA BLOCO DE COROAMENTO, EM MADEIRA SERRADA, E=25 MM, 4 UTILIZAÇÕES. AF_06/2017</t>
  </si>
  <si>
    <t>87,84</t>
  </si>
  <si>
    <t>96535</t>
  </si>
  <si>
    <t>FABRICAÇÃO, MONTAGEM E DESMONTAGEM DE FÔRMA PARA SAPATA, EM MADEIRA SERRADA, E=25 MM, 4 UTILIZAÇÕES. AF_06/2017</t>
  </si>
  <si>
    <t>146,66</t>
  </si>
  <si>
    <t>96536</t>
  </si>
  <si>
    <t>FABRICAÇÃO, MONTAGEM E DESMONTAGEM DE FÔRMA PARA VIGA BALDRAME, EM MADEIRA SERRADA, E=25 MM, 4 UTILIZAÇÕES. AF_06/2017</t>
  </si>
  <si>
    <t>76,09</t>
  </si>
  <si>
    <t>96537</t>
  </si>
  <si>
    <t>FABRICAÇÃO, MONTAGEM E DESMONTAGEM DE FÔRMA PARA BLOCO DE COROAMENTO, EM CHAPA DE MADEIRA COMPENSADA RESINADA, E=17 MM, 2 UTILIZAÇÕES. AF_06/2017</t>
  </si>
  <si>
    <t>191,49</t>
  </si>
  <si>
    <t>96538</t>
  </si>
  <si>
    <t>FABRICAÇÃO, MONTAGEM E DESMONTAGEM DE FÔRMA PARA SAPATA, EM CHAPA DE MADEIRA COMPENSADA RESINADA, E=17 MM, 2 UTILIZAÇÕES. AF_06/2017</t>
  </si>
  <si>
    <t>267,60</t>
  </si>
  <si>
    <t>96539</t>
  </si>
  <si>
    <t>FABRICAÇÃO, MONTAGEM E DESMONTAGEM DE FÔRMA PARA VIGA BALDRAME, EM CHAPA DE MADEIRA COMPENSADA RESINADA, E=17 MM, 2 UTILIZAÇÕES. AF_06/2017</t>
  </si>
  <si>
    <t>123,76</t>
  </si>
  <si>
    <t>96540</t>
  </si>
  <si>
    <t>FABRICAÇÃO, MONTAGEM E DESMONTAGEM DE FÔRMA PARA BLOCO DE COROAMENTO, EM CHAPA DE MADEIRA COMPENSADA RESINADA, E=17 MM, 4 UTILIZAÇÕES. AF_06/2017</t>
  </si>
  <si>
    <t>131,22</t>
  </si>
  <si>
    <t>96541</t>
  </si>
  <si>
    <t>FABRICAÇÃO, MONTAGEM E DESMONTAGEM DE FÔRMA PARA SAPATA, EM CHAPA DE MADEIRA COMPENSADA RESINADA, E=17 MM, 4 UTILIZAÇÕES. AF_06/2017</t>
  </si>
  <si>
    <t>186,66</t>
  </si>
  <si>
    <t>96542</t>
  </si>
  <si>
    <t>FABRICAÇÃO, MONTAGEM E DESMONTAGEM DE FÔRMA PARA VIGA BALDRAME, EM CHAPA DE MADEIRA COMPENSADA RESINADA, E=17 MM, 4 UTILIZAÇÕES. AF_06/2017</t>
  </si>
  <si>
    <t>90,81</t>
  </si>
  <si>
    <t>96543</t>
  </si>
  <si>
    <t>ARMAÇÃO DE BLOCO, VIGA BALDRAME E SAPATA UTILIZANDO AÇO CA-60 DE 5 MM - MONTAGEM. AF_06/2017</t>
  </si>
  <si>
    <t>21,25</t>
  </si>
  <si>
    <t>97747</t>
  </si>
  <si>
    <t>MONTAGEM E DESMONTAGEM DE FÔRMA DE PILARES CIRCULARES, COM ÁREA MÉDIA DAS SEÇÕES MAIOR QUE 0,28 M², PÉ-DIREITO DUPLO, EM MADEIRA, 2 UTILIZAÇÕES.  AF_06/2017</t>
  </si>
  <si>
    <t>206,82</t>
  </si>
  <si>
    <t>101791</t>
  </si>
  <si>
    <t>FABRICAÇÃO DE ESCORAS DO TIPO PONTALETE, EM MADEIRA, PARA PÉ-DIREITO DUPLO. AF_09/2020</t>
  </si>
  <si>
    <t>24,31</t>
  </si>
  <si>
    <t>101792</t>
  </si>
  <si>
    <t>ESCORAMENTO DE FÔRMAS DE LAJE EM MADEIRA NÃO APARELHADA, PÉ-DIREITO SIMPLES, INCLUSO TRAVAMENTO, 4 UTILIZAÇÕES. AF_09/2020</t>
  </si>
  <si>
    <t>101793</t>
  </si>
  <si>
    <t>ESCORAMENTO DE FÔRMAS DE LAJE EM MADEIRA NÃO APARELHADA, PÉ-DIREITO DUPLO, INCLUSO TRAVAMENTO, 4 UTILIZAÇÕES. AF_09/2020</t>
  </si>
  <si>
    <t>24,10</t>
  </si>
  <si>
    <t>101969</t>
  </si>
  <si>
    <t>FABRICAÇÃO DE FÔRMA PARA ESCADAS, COM 2 LANCES EM "U" E LAJE PLANA, EM CHAPA DE MADEIRA COMPENSADA PLASTIFICADA, E=18 MM. AF_11/2020</t>
  </si>
  <si>
    <t>199,61</t>
  </si>
  <si>
    <t>101971</t>
  </si>
  <si>
    <t>FABRICAÇÃO DE FÔRMA PARA ESCADAS, COM 2 LANCES EM "U" E LAJE PLANA, EM CHAPA DE MADEIRA COMPENSADA RESINADA, E= 17 MM. AF_11/2020</t>
  </si>
  <si>
    <t>152,32</t>
  </si>
  <si>
    <t>101973</t>
  </si>
  <si>
    <t>FABRICAÇÃO DE FÔRMA PARA ESCADAS, COM 2 LANCES EM "U" E LAJE PLANA, EM MADEIRA SERRADA, E=25 MM. AF_11/2020</t>
  </si>
  <si>
    <t>208,13</t>
  </si>
  <si>
    <t>101974</t>
  </si>
  <si>
    <t>MONTAGEM E DESMONTAGEM DE FÔRMA PARA ESCADAS, COM 2 LANCES EM "U" E LAJE PLANA, EM MADEIRA SERRADA, 1 UTILIZAÇÃO. AF_11/2020</t>
  </si>
  <si>
    <t>467,89</t>
  </si>
  <si>
    <t>101975</t>
  </si>
  <si>
    <t>MONTAGEM E DESMONTAGEM DE FÔRMA PARA ESCADAS, COM 2 LANCES EM "U"  E LAJE PLANA, EM MADEIRA SERRADA, 2 UTILIZAÇÕES. AF_11/2020</t>
  </si>
  <si>
    <t>398,74</t>
  </si>
  <si>
    <t>101977</t>
  </si>
  <si>
    <t>MONTAGEM E DESMONTAGEM DE FÔRMA PARA ESCADAS, COM 2 LANCES EM "U" E LAJE PLANA, EM CHAPA DE MADEIRA COMPENSADA RESINADA, 2 UTILIZAÇÕES. AF_11/2020</t>
  </si>
  <si>
    <t>278,57</t>
  </si>
  <si>
    <t>101980</t>
  </si>
  <si>
    <t>MONTAGEM E DESMONTAGEM DE FÔRMA PARA ESCADAS, COM 2 LANCES EM "U" E LAJE PLANA, EM CHAPA DE MADEIRA COMPENSADA RESINADA, 4 UTILIZAÇÕES. AF_11/2020</t>
  </si>
  <si>
    <t>249,85</t>
  </si>
  <si>
    <t>101981</t>
  </si>
  <si>
    <t>MONTAGEM E DESMONTAGEM DE FÔRMA PARA ESCADAS, COM 2 LANCES EM "U" E LAJE PLANA, EM CHAPA DE MADEIRA COMPENSADA PLASTIFICADA, 6 UTILIZAÇÕES. AF_11/2020</t>
  </si>
  <si>
    <t>214,43</t>
  </si>
  <si>
    <t>101982</t>
  </si>
  <si>
    <t>MONTAGEM E DESMONTAGEM DE FÔRMA PARA ESCADAS, COM 2 LANCES EM "U" E LAJE PLANA, EM CHAPA DE MADEIRA COMPENSADA PLASTIFICADA, 8 UTILIZAÇÕES. AF_11/2020</t>
  </si>
  <si>
    <t>187,43</t>
  </si>
  <si>
    <t>101983</t>
  </si>
  <si>
    <t>MONTAGEM E DESMONTAGEM DE FÔRMA PARA ESCADAS, COM 2 LANCES EM "U" E LAJE PLANA, EM CHAPA DE MADEIRA COMPENSADA PLASTIFICADA, 10 UTILIZAÇÕES. AF_11/2020</t>
  </si>
  <si>
    <t>170,43</t>
  </si>
  <si>
    <t>101985</t>
  </si>
  <si>
    <t>FABRICAÇÃO DE FÔRMA PARA ESCADAS, COM 2 LANCES EM "U" E LAJE CASCATA, EM CHAPA DE MADEIRA COMPENSADA PLASTIFICADA, E=18 MM. AF_11/2020</t>
  </si>
  <si>
    <t>213,11</t>
  </si>
  <si>
    <t>101986</t>
  </si>
  <si>
    <t>FABRICAÇÃO DE FÔRMA PARA ESCADAS, COM 2 LANCES EM "U" E LAJE CASCATA, EM CHAPA DE MADEIRA COMPENSADA RESINADA, E= 17 MM. AF_11/2020</t>
  </si>
  <si>
    <t>152,98</t>
  </si>
  <si>
    <t>101987</t>
  </si>
  <si>
    <t>FABRICAÇÃO DE FÔRMA PARA ESCADAS, COM 2 LANCES EM "U" E LAJE CASCATA, EM MADEIRA SERRADA, E=25 MM. AF_11/2020</t>
  </si>
  <si>
    <t>245,27</t>
  </si>
  <si>
    <t>101988</t>
  </si>
  <si>
    <t>FABRICAÇÃO DE FÔRMA PARA ESCADAS, COM 2 LANCES EM "L" E LAJE PLANA, EM CHAPA DE MADEIRA COMPENSADA PLASTIFICADA, E=18 MM. AF_11/2020</t>
  </si>
  <si>
    <t>206,51</t>
  </si>
  <si>
    <t>101989</t>
  </si>
  <si>
    <t>FABRICAÇÃO DE FÔRMA PARA ESCADAS, COM 2 LANCES EM "L" E LAJE PLANA, EM CHAPA DE MADEIRA COMPENSADA RESINADA, E= 17 MM. AF_11/2020</t>
  </si>
  <si>
    <t>159,80</t>
  </si>
  <si>
    <t>101990</t>
  </si>
  <si>
    <t>FABRICAÇÃO DE FÔRMA PARA ESCADAS, COM 2 LANCES EM "L" E LAJE PLANA, EM MADEIRA SERRADA, E=25 MM. AF_11/2020</t>
  </si>
  <si>
    <t>224,00</t>
  </si>
  <si>
    <t>101991</t>
  </si>
  <si>
    <t>FABRICAÇÃO DE FÔRMA PARA ESCADAS, COM 2 LANCES EM "L" E LAJE CASCATA, EM CHAPA DE MADEIRA COMPENSADA PLASTIFICADA, E=18 MM. AF_11/2020</t>
  </si>
  <si>
    <t>212,42</t>
  </si>
  <si>
    <t>101992</t>
  </si>
  <si>
    <t>FABRICAÇÃO DE FÔRMA PARA ESCADAS, COM 2 LANCES EM "L" E LAJE CASCATA, EM CHAPA DE MADEIRA COMPENSADA RESINADA, E= 17 MM. AF_11/2020</t>
  </si>
  <si>
    <t>154,94</t>
  </si>
  <si>
    <t>101993</t>
  </si>
  <si>
    <t>FABRICAÇÃO DE FÔRMA PARA ESCADAS, COM 2 LANCES EM "L" E LAJE CASCATA, EM MADEIRA SERRADA, E=25 MM. AF_11/2020</t>
  </si>
  <si>
    <t>288,01</t>
  </si>
  <si>
    <t>101994</t>
  </si>
  <si>
    <t>FABRICAÇÃO DE FÔRMA PARA ESCADAS, COM 1 LANCE E LAJE PLANA, EM CHAPA DE MADEIRA COMPENSADA PLASTIFICADA, E=18 MM. AF_11/2020</t>
  </si>
  <si>
    <t>220,21</t>
  </si>
  <si>
    <t>101995</t>
  </si>
  <si>
    <t>FABRICAÇÃO DE FÔRMA PARA ESCADAS, COM 1 LANCE E LAJE PLANA, EM CHAPA DE MADEIRA COMPENSADA RESINADA, E= 17 MM. AF_11/2020</t>
  </si>
  <si>
    <t>167,78</t>
  </si>
  <si>
    <t>101996</t>
  </si>
  <si>
    <t>FABRICAÇÃO DE FÔRMA PARA ESCADAS, COM 1 LANCE E LAJE PLANA, EM MADEIRA SERRADA, E=25 MM. AF_11/2020</t>
  </si>
  <si>
    <t>240,83</t>
  </si>
  <si>
    <t>101997</t>
  </si>
  <si>
    <t>FABRICAÇÃO DE FÔRMA PARA ESCADAS, COM 1 LANCE E LAJE CASCATA, EM CHAPA DE MADEIRA COMPENSADA PLASTIFICADA, E=18 MM. AF_11/2020</t>
  </si>
  <si>
    <t>212,74</t>
  </si>
  <si>
    <t>101998</t>
  </si>
  <si>
    <t>FABRICAÇÃO DE FÔRMA PARA ESCADAS, COM 1 LANCE E LAJE CASCATA, EM CHAPA DE MADEIRA COMPENSADA RESINADA, E= 17 MM. AF_11/2020</t>
  </si>
  <si>
    <t>153,95</t>
  </si>
  <si>
    <t>101999</t>
  </si>
  <si>
    <t>FABRICAÇÃO DE FÔRMA PARA ESCADAS, COM 1 LANCE E LAJE CASCATA, EM MADEIRA SERRADA, E=25 MM. AF_11/2020</t>
  </si>
  <si>
    <t>308,66</t>
  </si>
  <si>
    <t>102000</t>
  </si>
  <si>
    <t>MONTAGEM E DESMONTAGEM DE FÔRMA PARA ESCADAS, COM 2 LANCES EM "U" E LAJE CASCATA, EM MADEIRA SERRADA, 1 UTILIZAÇÃO. AF_11/2020</t>
  </si>
  <si>
    <t>479,50</t>
  </si>
  <si>
    <t>102001</t>
  </si>
  <si>
    <t>MONTAGEM E DESMONTAGEM DE FÔRMA PARA ESCADAS, COM 2 LANCES EM "U" E LAJE CASCATA, EM MADEIRA SERRADA, 2 UTILIZAÇÕES. AF_11/2020</t>
  </si>
  <si>
    <t>413,98</t>
  </si>
  <si>
    <t>102002</t>
  </si>
  <si>
    <t>MONTAGEM E DESMONTAGEM DE FÔRMA PARA ESCADAS, COM 2 LANCES EM "U" E LAJE CASCATA, EM CHAPA DE MADEIRA COMPENSADA RESINADA, 2 UTILIZAÇÕES. AF_11/2020</t>
  </si>
  <si>
    <t>280,21</t>
  </si>
  <si>
    <t>102003</t>
  </si>
  <si>
    <t>MONTAGEM E DESMONTAGEM DE FÔRMA PARA ESCADAS, COM 2 LANCES EM "U" E LAJE CASCATA, EM CHAPA DE MADEIRA COMPENSADA RESINADA, 4 UTILIZAÇÕES. AF_11/2020</t>
  </si>
  <si>
    <t>253,50</t>
  </si>
  <si>
    <t>102004</t>
  </si>
  <si>
    <t>MONTAGEM E DESMONTAGEM DE FÔRMA PARA ESCADAS, COM 2 LANCES EM "U" E LAJE CASCATA, EM CHAPA DE MADEIRA COMPENSADA PLASTIFICADA, 6 UTILIZAÇÕES. AF_11/2020</t>
  </si>
  <si>
    <t>223,18</t>
  </si>
  <si>
    <t>102005</t>
  </si>
  <si>
    <t>MONTAGEM E DESMONTAGEM DE FÔRMA PARA ESCADAS, COM 2 LANCES EM "U" E LAJE CASCATA, EM CHAPA DE MADEIRA COMPENSADA PLASTIFICADA, 8 UTILIZAÇÕES. AF_11/2020</t>
  </si>
  <si>
    <t>194,70</t>
  </si>
  <si>
    <t>102006</t>
  </si>
  <si>
    <t>MONTAGEM E DESMONTAGEM DE FÔRMA PARA ESCADAS, COM 2 LANCES EM "U" E LAJE CASCATA, EM CHAPA DE MADEIRA COMPENSADA PLASTIFICADA, 10 UTILIZAÇÕES. AF_11/2020</t>
  </si>
  <si>
    <t>176,75</t>
  </si>
  <si>
    <t>102007</t>
  </si>
  <si>
    <t>MONTAGEM E DESMONTAGEM DE FÔRMA PARA ESCADAS, COM 2 LANCES EM "L" E LAJE PLANA, EM MADEIRA SERRADA, 1 UTILIZAÇÃO. AF_11/2020</t>
  </si>
  <si>
    <t>464,39</t>
  </si>
  <si>
    <t>102008</t>
  </si>
  <si>
    <t>MONTAGEM E DESMONTAGEM DE FÔRMA PARA ESCADAS, COM 2 LANCES EM "L" E LAJE PLANA, EM MADEIRA SERRADA, 2 UTILIZAÇÕES. AF_11/2020</t>
  </si>
  <si>
    <t>388,77</t>
  </si>
  <si>
    <t>102009</t>
  </si>
  <si>
    <t>MONTAGEM E DESMONTAGEM DE FÔRMA PARA ESCADAS, COM 2 LANCES EM "L" E LAJE PLANA, EM CHAPA DE MADEIRA COMPENSADA RESINADA, 2 UTILIZAÇÕES. AF_11/2020</t>
  </si>
  <si>
    <t>281,81</t>
  </si>
  <si>
    <t>102010</t>
  </si>
  <si>
    <t>MONTAGEM E DESMONTAGEM DE FÔRMA PARA ESCADAS, COM 2 LANCES EM "L" E LAJE PLANA, EM CHAPA DE MADEIRA COMPENSADA RESINADA, 4 UTILIZAÇÕES. AF_11/2020</t>
  </si>
  <si>
    <t>251,10</t>
  </si>
  <si>
    <t>102011</t>
  </si>
  <si>
    <t>MONTAGEM E DESMONTAGEM DE FÔRMA PARA ESCADAS, COM 2 LANCES EM "L" E LAJE PLANA, EM CHAPA DE MADEIRA COMPENSADA PLASTIFICADA, 6 UTILIZAÇÕES. AF_11/2020</t>
  </si>
  <si>
    <t>213,47</t>
  </si>
  <si>
    <t>102012</t>
  </si>
  <si>
    <t>MONTAGEM E DESMONTAGEM DE FÔRMA PARA ESCADAS, COM 2 LANCES EM "L" E LAJE PLANA, EM CHAPA DE MADEIRA COMPENSADA PLASTIFICADA, 8 UTILIZAÇÕES. AF_11/2020</t>
  </si>
  <si>
    <t>185,71</t>
  </si>
  <si>
    <t>102013</t>
  </si>
  <si>
    <t>MONTAGEM E DESMONTAGEM DE FÔRMA PARA ESCADAS, COM 2 LANCES EM "L" E LAJE PLANA, EM CHAPA DE MADEIRA COMPENSADA PLASTIFICADA, 10 UTILIZAÇÕES. AF_11/2020</t>
  </si>
  <si>
    <t>102014</t>
  </si>
  <si>
    <t>MONTAGEM E DESMONTAGEM DE FÔRMA PARA ESCADAS, COM 2 LANCES EM "L" E LAJE CASCATA, EM MADEIRA SERRADA, 1 UTILIZAÇÃO. AF_11/2020</t>
  </si>
  <si>
    <t>522,38</t>
  </si>
  <si>
    <t>102015</t>
  </si>
  <si>
    <t>MONTAGEM E DESMONTAGEM DE FÔRMA PARA ESCADAS, COM 2 LANCES EM "L" E LAJE CASCATA, EM MADEIRA SERRADA, 2 UTILIZAÇÕES. AF_11/2020</t>
  </si>
  <si>
    <t>438,43</t>
  </si>
  <si>
    <t>102016</t>
  </si>
  <si>
    <t>MONTAGEM E DESMONTAGEM DE FÔRMA PARA ESCADAS, COM 2 LANCES EM "L" E LAJE CASCATA, EM CHAPA DE MADEIRA COMPENSADA RESINADA, 2 UTILIZAÇÕES. AF_11/2020</t>
  </si>
  <si>
    <t>278,87</t>
  </si>
  <si>
    <t>102017</t>
  </si>
  <si>
    <t>MONTAGEM E DESMONTAGEM DE FÔRMA PARA ESCADAS, COM 2 LANCES EM "L" E LAJE CASCATA, EM CHAPA DE MADEIRA COMPENSADA RESINADA, 4 UTILIZAÇÕES. AF_11/2020</t>
  </si>
  <si>
    <t>250,46</t>
  </si>
  <si>
    <t>102036</t>
  </si>
  <si>
    <t>MONTAGEM E DESMONTAGEM DE FÔRMA PARA ESCADAS, COM 2 LANCES EM "L" E LAJE CASCATA, EM CHAPA DE MADEIRA COMPENSADA PLASTIFICADA, 6 UTILIZAÇÕES. AF_11/2020</t>
  </si>
  <si>
    <t>218,30</t>
  </si>
  <si>
    <t>102037</t>
  </si>
  <si>
    <t>MONTAGEM E DESMONTAGEM DE FÔRMA PARA ESCADAS, COM 2 LANCES EM "L" E LAJE CASCATA, EM CHAPA DE MADEIRA COMPENSADA PLASTIFICADA, 8 UTILIZAÇÕES. AF_11/2020</t>
  </si>
  <si>
    <t>189,89</t>
  </si>
  <si>
    <t>102038</t>
  </si>
  <si>
    <t>MONTAGEM E DESMONTAGEM DE FÔRMA PARA ESCADAS, COM 2 LANCES EM "L" E LAJE CASCATA, EM CHAPA DE MADEIRA COMPENSADA PLASTIFICADA, 10 UTILIZAÇÕES. AF_11/2020</t>
  </si>
  <si>
    <t>174,12</t>
  </si>
  <si>
    <t>102039</t>
  </si>
  <si>
    <t>MONTAGEM E DESMONTAGEM DE FÔRMA PARA ESCADAS, COM 1 LANCE E LAJE PLANA, EM MADEIRA SERRADA, 1 UTILIZAÇÃO. AF_11/2020</t>
  </si>
  <si>
    <t>484,72</t>
  </si>
  <si>
    <t>102040</t>
  </si>
  <si>
    <t>MONTAGEM E DESMONTAGEM DE FÔRMA PARA ESCADAS, COM 1 LANCE E LAJE PLANA, EM MADEIRA SERRADA, 2 UTILIZAÇÕES. AF_11/2020</t>
  </si>
  <si>
    <t>404,52</t>
  </si>
  <si>
    <t>102041</t>
  </si>
  <si>
    <t>MONTAGEM E DESMONTAGEM DE FÔRMA PARA ESCADAS, COM 1 LANCE E LAJE PLANA, EM CHAPA DE MADEIRA COMPENSADA RESINADA, 2 UTILIZAÇÕES. AF_11/2020</t>
  </si>
  <si>
    <t>285,14</t>
  </si>
  <si>
    <t>102042</t>
  </si>
  <si>
    <t>MONTAGEM E DESMONTAGEM DE FÔRMA PARA ESCADAS, COM 1 LANCE E LAJE PLANA, EM CHAPA DE MADEIRA COMPENSADA RESINADA, 4 UTILIZAÇÕES. AF_11/2020</t>
  </si>
  <si>
    <t>252,30</t>
  </si>
  <si>
    <t>102043</t>
  </si>
  <si>
    <t>MONTAGEM E DESMONTAGEM DE FÔRMA PARA ESCADAS, COM 1 LANCE E LAJE PLANA, EM CHAPA DE MADEIRA COMPENSADA PLASTIFICADA, 6 UTILIZAÇÕES. AF_11/2020</t>
  </si>
  <si>
    <t>215,75</t>
  </si>
  <si>
    <t>102044</t>
  </si>
  <si>
    <t>MONTAGEM E DESMONTAGEM DE FÔRMA PARA ESCADAS, COM 1 LANCE E LAJE PLANA, EM CHAPA DE MADEIRA COMPENSADA PLASTIFICADA, 8 UTILIZAÇÕES. AF_11/2020</t>
  </si>
  <si>
    <t>188,69</t>
  </si>
  <si>
    <t>102045</t>
  </si>
  <si>
    <t>MONTAGEM E DESMONTAGEM DE FÔRMA PARA ESCADAS, COM 1 LANCE E LAJE PLANA, EM CHAPA DE MADEIRA COMPENSADA PLASTIFICADA, 10 UTILIZAÇÕES. AF_11/2020</t>
  </si>
  <si>
    <t>172,45</t>
  </si>
  <si>
    <t>102046</t>
  </si>
  <si>
    <t>MONTAGEM E DESMONTAGEM DE FÔRMA PARA ESCADAS, COM 1 LANCE E LAJE CASCATA, EM MADEIRA SERRADA, 1 UTILIZAÇÃO. AF_11/2020</t>
  </si>
  <si>
    <t>532,80</t>
  </si>
  <si>
    <t>102047</t>
  </si>
  <si>
    <t>MONTAGEM E DESMONTAGEM DE FÔRMA PARA ESCADAS, COM 1 LANCE E LAJE CASCATA, EM MADEIRA SERRADA, 2 UTILIZAÇÕES. AF_11/2020</t>
  </si>
  <si>
    <t>455,28</t>
  </si>
  <si>
    <t>102048</t>
  </si>
  <si>
    <t>MONTAGEM E DESMONTAGEM DE FÔRMA PARA ESCADAS, COM 1 LANCE E LAJE CASCATA, EM CHAPA DE MADEIRA COMPENSADA RESINADA, 2 UTILIZAÇÕES. AF_11/2020</t>
  </si>
  <si>
    <t>275,38</t>
  </si>
  <si>
    <t>102049</t>
  </si>
  <si>
    <t>MONTAGEM E DESMONTAGEM DE FÔRMA PARA ESCADAS, COM 1 LANCE E LAJE CASCATA, EM CHAPA DE MADEIRA COMPENSADA RESINADA, 4 UTILIZAÇÕES. AF_11/2020</t>
  </si>
  <si>
    <t>244,83</t>
  </si>
  <si>
    <t>102050</t>
  </si>
  <si>
    <t>MONTAGEM E DESMONTAGEM DE FÔRMA PARA ESCADAS, COM 1 LANCE E LAJE CASCATA, EM CHAPA DE MADEIRA COMPENSADA PLASTIFICADA, 6 UTILIZAÇÕES. AF_11/2020</t>
  </si>
  <si>
    <t>214,70</t>
  </si>
  <si>
    <t>102051</t>
  </si>
  <si>
    <t>MONTAGEM E DESMONTAGEM DE FÔRMA PARA ESCADAS, COM 1 LANCE E LAJE CASCATA, EM CHAPA DE MADEIRA COMPENSADA PLASTIFICADA, 8 UTILIZAÇÕES. AF_11/2020</t>
  </si>
  <si>
    <t>186,26</t>
  </si>
  <si>
    <t>102052</t>
  </si>
  <si>
    <t>MONTAGEM E DESMONTAGEM DE FÔRMA PARA ESCADAS, COM 1 LANCE E LAJE CASCATA, EM CHAPA DE MADEIRA COMPENSADA PLASTIFICADA, 10 UTILIZAÇÕES. AF_11/2020</t>
  </si>
  <si>
    <t>170,47</t>
  </si>
  <si>
    <t>102059</t>
  </si>
  <si>
    <t>MONTAGEM E DESMONTAGEM DE FÔRMA PARA ESCADA DUPLA COM 2 LANCES EM "X" E LAJE PLANA, EM MADEIRA SERRADA, 1 UTILIZAÇÃO. AF_11/2020</t>
  </si>
  <si>
    <t>453,34</t>
  </si>
  <si>
    <t>102060</t>
  </si>
  <si>
    <t>MONTAGEM E DESMONTAGEM DE FÔRMA PARA ESCADA DUPLA COM 2 LANCES EM "X" E LAJE PLANA, EM MADEIRA SERRADA, 2 UTILIZAÇÕES. AF_11/2020</t>
  </si>
  <si>
    <t>381,69</t>
  </si>
  <si>
    <t>102061</t>
  </si>
  <si>
    <t>MONTAGEM E DESMONTAGEM DE FÔRMA PARA ESCADA DUPLA COM 2 LANCES EM "X" E LAJE PLANA, EM CHAPA DE MADEIRA COMPENSADA RESINADA, 2 UTILIZAÇÕES. AF_11/2020</t>
  </si>
  <si>
    <t>262,27</t>
  </si>
  <si>
    <t>102062</t>
  </si>
  <si>
    <t>MONTAGEM E DESMONTAGEM DE FÔRMA PARA ESCADA DUPLA COM 2 LANCES EM "X" E LAJE PLANA, EM CHAPA DE MADEIRA COMPENSADA RESINADA, 4 UTILIZAÇÕES. AF_11/2020</t>
  </si>
  <si>
    <t>236,44</t>
  </si>
  <si>
    <t>102063</t>
  </si>
  <si>
    <t>MONTAGEM E DESMONTAGEM DE FÔRMA PARA ESCADA DUPLA COM 2 LANCES EM "X" E LAJE PLANA, EM CHAPA DE MADEIRA COMPENSADA PLASTIFICADA, 6 UTILIZAÇÕES. AF_11/2020</t>
  </si>
  <si>
    <t>201,11</t>
  </si>
  <si>
    <t>102064</t>
  </si>
  <si>
    <t>MONTAGEM E DESMONTAGEM DE FÔRMA PARA ESCADA DUPLA COM 2 LANCES EM "X" E LAJE PLANA, EM CHAPA DE MADEIRA COMPENSADA PLASTIFICADA, 8 UTILIZAÇÕES. AF_11/2020</t>
  </si>
  <si>
    <t>173,70</t>
  </si>
  <si>
    <t>102065</t>
  </si>
  <si>
    <t>MONTAGEM E DESMONTAGEM DE FÔRMA PARA ESCADA DUPLA COM 2 LANCES EM "X" E LAJE PLANA, EM CHAPA DE MADEIRA COMPENSADA PLASTIFICADA, 10 UTILIZAÇÕES. AF_11/2020</t>
  </si>
  <si>
    <t>158,53</t>
  </si>
  <si>
    <t>102066</t>
  </si>
  <si>
    <t>MONTAGEM E DESMONTAGEM DE FÔRMA PARA ESCADA DUPLA COM 2 LANCES EM "X" E LAJE CASCATA, EM MADEIRA SERRADA, 1 UTILIZAÇÃO. AF_11/2020</t>
  </si>
  <si>
    <t>473,63</t>
  </si>
  <si>
    <t>102067</t>
  </si>
  <si>
    <t>MONTAGEM E DESMONTAGEM DE FÔRMA PARA ESCADA DUPLA COM 2 LANCES EM "X" E LAJE CASCATA, EM MADEIRA SERRADA, 2 UTILIZAÇÕES. AF_11/2020</t>
  </si>
  <si>
    <t>406,64</t>
  </si>
  <si>
    <t>102068</t>
  </si>
  <si>
    <t>MONTAGEM E DESMONTAGEM DE FÔRMA PARA ESCADA DUPLA COM 2 LANCES EM "X" E LAJE CASCATA, EM CHAPA DE MADEIRA COMPENSADA RESINADA, 2 UTILIZAÇÕES. AF_11/2020</t>
  </si>
  <si>
    <t>249,77</t>
  </si>
  <si>
    <t>102069</t>
  </si>
  <si>
    <t>MONTAGEM E DESMONTAGEM DE FÔRMA PARA ESCADA DUPLA COM 2 LANCES EM "X" E LAJE CASCATA, EM CHAPA DE MADEIRA COMPENSADA RESINADA, 4 UTILIZAÇÕES. AF_11/2020</t>
  </si>
  <si>
    <t>226,28</t>
  </si>
  <si>
    <t>102070</t>
  </si>
  <si>
    <t>MONTAGEM E DESMONTAGEM DE FÔRMA PARA ESCADA DUPLA COM 2 LANCES EM "X" E LAJE CASCATA, EM CHAPA DE MADEIRA COMPENSADA PLASTIFICADA, 6 UTILIZAÇÕES. AF_11/2020</t>
  </si>
  <si>
    <t>197,78</t>
  </si>
  <si>
    <t>102071</t>
  </si>
  <si>
    <t>MONTAGEM E DESMONTAGEM DE FÔRMA PARA ESCADA DUPLA COM 2 LANCES EM "X" E LAJE CASCATA, EM CHAPA DE MADEIRA COMPENSADA PLASTIFICADA, 8 UTILIZAÇÕES. AF_11/2020</t>
  </si>
  <si>
    <t>171,34</t>
  </si>
  <si>
    <t>102072</t>
  </si>
  <si>
    <t>MONTAGEM E DESMONTAGEM DE FÔRMA PARA ESCADA DUPLA COM 2 LANCES EM "X" E LAJE CASCATA, EM CHAPA DE MADEIRA COMPENSADA PLASTIFICADA, 10 UTILIZAÇÕES. AF_11/2020</t>
  </si>
  <si>
    <t>159,91</t>
  </si>
  <si>
    <t>102073</t>
  </si>
  <si>
    <t>ESCADA EM CONCRETO ARMADO MOLDADO IN LOCO, FCK 20 MPA, COM 1 LANCE E LAJE PLANA, FÔRMA EM CHAPA DE MADEIRA COMPENSADA RESINADA. AF_11/2020</t>
  </si>
  <si>
    <t>3.422,35</t>
  </si>
  <si>
    <t>102074</t>
  </si>
  <si>
    <t>ESCADA EM CONCRETO ARMADO MOLDADO IN LOCO, FCK 20 MPA, COM 2 LANCES EM "U" E LAJE PLANA, FÔRMA EM CHAPA DE MADEIRA COMPENSADA RESINADA. AF_11/2020</t>
  </si>
  <si>
    <t>4.283,40</t>
  </si>
  <si>
    <t>102075</t>
  </si>
  <si>
    <t>ESCADA EM CONCRETO ARMADO MOLDADO IN LOCO, FCK 20 MPA, COM 2 LANCES EM "L" E LAJE PLANA, FÔRMA EM CHAPA DE MADEIRA COMPENSADA RESINADA. AF_11/2020</t>
  </si>
  <si>
    <t>4.557,94</t>
  </si>
  <si>
    <t>102076</t>
  </si>
  <si>
    <t>ESCADA EM CONCRETO ARMADO MOLDADO IN LOCO, FCK 20 MPA, COM 2 LANCES EM "X" E LAJE PLANA, FÔRMA EM CHAPA DE MADEIRA COMPENSADA RESINADA. AF_11/2020</t>
  </si>
  <si>
    <t>4.666,86</t>
  </si>
  <si>
    <t>102077</t>
  </si>
  <si>
    <t>ESCADA EM CONCRETO ARMADO MOLDADO IN LOCO, FCK 20 MPA, COM 1 LANCE E LAJE CASCATA, FÔRMA EM CHAPA DE MADEIRA COMPENSADA RESINADA. AF_11/2020</t>
  </si>
  <si>
    <t>5.160,35</t>
  </si>
  <si>
    <t>102078</t>
  </si>
  <si>
    <t>ESCADA EM CONCRETO ARMADO MOLDADO IN LOCO, FCK 20 MPA, COM 2 LANCES EM "U" E LAJE CASCATA, FÔRMA EM CHAPA DE MADEIRA COMPENSADA RESINADA. AF_11/2020</t>
  </si>
  <si>
    <t>5.174,22</t>
  </si>
  <si>
    <t>102079</t>
  </si>
  <si>
    <t>ESCADA EM CONCRETO ARMADO MOLDADO IN LOCO, FCK 20 MPA, COM 2 LANCES EM "L" E LAJE CASCATA, FÔRMA EM CHAPA DE MADEIRA COMPENSADA RESINADA. AF_11/2020</t>
  </si>
  <si>
    <t>5.036,15</t>
  </si>
  <si>
    <t>102080</t>
  </si>
  <si>
    <t>ESCADA EM CONCRETO ARMADO MOLDADO IN LOCO, FCK 20 MPA, COM 2 LANCES EM "X" E LAJE CASCATA, FÔRMA EM CHAPA DE MADEIRA COMPENSADA RESINADA. AF_11/2020</t>
  </si>
  <si>
    <t>4.459,81</t>
  </si>
  <si>
    <t>102086</t>
  </si>
  <si>
    <t>FABRICAÇÃO DE FÔRMA PARA ESCADA DUPLA COM 2 LANCES EM "X" E LAJE PLANA, EM CHAPA DE MADEIRA COMPENSADA PLASTIFICADA, E=18 MM. AF_11/2020</t>
  </si>
  <si>
    <t>210,67</t>
  </si>
  <si>
    <t>102087</t>
  </si>
  <si>
    <t>FABRICAÇÃO DE FÔRMA PARA ESCADA DUPLA COM 2 LANCES EM "X" E LAJE PLANA, EM CHAPA DE MADEIRA COMPENSADA RESINADA, E= 17 MM. AF_11/2020</t>
  </si>
  <si>
    <t>161,63</t>
  </si>
  <si>
    <t>102088</t>
  </si>
  <si>
    <t>FABRICAÇÃO DE FÔRMA PARA ESCADA DUPLA COM 2 LANCES EM X E LAJE PLANA, EM MADEIRA SERRADA, E=25 MM. AF_11/2020</t>
  </si>
  <si>
    <t>224,14</t>
  </si>
  <si>
    <t>102089</t>
  </si>
  <si>
    <t>FABRICAÇÃO DE FÔRMA PARA ESCADA DUPLA COM 2 LANCES EM "X" E LAJE CASCATA, EM CHAPA DE MADEIRA COMPENSADA PLASTIFICADA, E=18 MM. AF_11/2020</t>
  </si>
  <si>
    <t>201,86</t>
  </si>
  <si>
    <t>102090</t>
  </si>
  <si>
    <t>FABRICAÇÃO DE FÔRMA PARA ESCADA DUPLA COM 2 LANCES EM "X" E LAJE CASCATA, EM CHAPA DE MADEIRA COMPENSADA RESINADA, E= 17 MM. AF_11/2020</t>
  </si>
  <si>
    <t>146,23</t>
  </si>
  <si>
    <t>102091</t>
  </si>
  <si>
    <t>FABRICAÇÃO DE FÔRMA PARA ESCADA DUPLA COM 2 LANCES EM X E LAJE CASCATA, EM MADEIRA SERRADA, E=25 MM. AF_11/2020</t>
  </si>
  <si>
    <t>261,06</t>
  </si>
  <si>
    <t>89996</t>
  </si>
  <si>
    <t>ARMAÇÃO VERTICAL DE ALVENARIA ESTRUTURAL; DIÂMETRO DE 10,0 MM. AF_09/2021</t>
  </si>
  <si>
    <t>89997</t>
  </si>
  <si>
    <t>ARMAÇÃO VERTICAL DE ALVENARIA ESTRUTURAL; DIÂMETRO DE 12,5 MM. AF_09/2021</t>
  </si>
  <si>
    <t>11,64</t>
  </si>
  <si>
    <t>89998</t>
  </si>
  <si>
    <t>ARMAÇÃO DE CINTA DE ALVENARIA ESTRUTURAL; DIÂMETRO DE 10,0 MM. AF_09/2021</t>
  </si>
  <si>
    <t>13,57</t>
  </si>
  <si>
    <t>89999</t>
  </si>
  <si>
    <t>ARMAÇÃO DE VERGA E CONTRAVERGA DE ALVENARIA ESTRUTURAL; DIÂMETRO DE 8,0 MM. AF_09/2021</t>
  </si>
  <si>
    <t>19,23</t>
  </si>
  <si>
    <t>90000</t>
  </si>
  <si>
    <t>ARMAÇÃO DE VERGA E CONTRAVERGA DE ALVENARIA ESTRUTURAL; DIÂMETRO DE 10,0 MM. AF_09/2021</t>
  </si>
  <si>
    <t>16,07</t>
  </si>
  <si>
    <t>91593</t>
  </si>
  <si>
    <t>ARMAÇÃO DO SISTEMA DE PAREDES DE CONCRETO, EXECUTADA EM PAREDES DE EDIFICAÇÕES DE MÚLTIPLOS PAVIMENTOS, TELA Q-138. AF_06/2019</t>
  </si>
  <si>
    <t>18,96</t>
  </si>
  <si>
    <t>91594</t>
  </si>
  <si>
    <t>ARMAÇÃO DO SISTEMA DE PAREDES DE CONCRETO, EXECUTADA EM PAREDES DE EDIFICAÇÕES TÉRREAS OU DE MÚLTIPLOS PAVIMENTOS, TELA Q-92. AF_06/2019</t>
  </si>
  <si>
    <t>19,34</t>
  </si>
  <si>
    <t>91595</t>
  </si>
  <si>
    <t>ARMAÇÃO DO SISTEMA DE PAREDES DE CONCRETO, EXECUTADA EM PAREDES DE EDIFICAÇÕES TÉRREAS, TELA Q-61. AF_06/2019</t>
  </si>
  <si>
    <t>19,88</t>
  </si>
  <si>
    <t>91596</t>
  </si>
  <si>
    <t>ARMAÇÃO DO SISTEMA DE PAREDES DE CONCRETO, EXECUTADA COMO ARMADURA POSITIVA DE LAJES, TELA Q-138. AF_06/2019</t>
  </si>
  <si>
    <t>19,26</t>
  </si>
  <si>
    <t>91597</t>
  </si>
  <si>
    <t>ARMAÇÃO DO SISTEMA DE PAREDES DE CONCRETO, EXECUTADA COMO ARMADURA NEGATIVA DE LAJES, TELA T-196. AF_06/2019</t>
  </si>
  <si>
    <t>13,40</t>
  </si>
  <si>
    <t>91598</t>
  </si>
  <si>
    <t>ARMAÇÃO DO SISTEMA DE PAREDES DE CONCRETO, EXECUTADA COMO ARMADURA POSITIVA DE LAJES, TELA Q-113. AF_06/2019</t>
  </si>
  <si>
    <t>91599</t>
  </si>
  <si>
    <t>ARMAÇÃO DO SISTEMA DE PAREDES DE CONCRETO, EXECUTADA COMO ARMADURA NEGATIVA DE LAJES, TELA L-159. AF_06/2019</t>
  </si>
  <si>
    <t>13,83</t>
  </si>
  <si>
    <t>91600</t>
  </si>
  <si>
    <t>ARMAÇÃO DO SISTEMA DE PAREDES DE CONCRETO, EXECUTADA EM PLATIBANDAS, TELA Q-92. AF_06/2019</t>
  </si>
  <si>
    <t>21,65</t>
  </si>
  <si>
    <t>91601</t>
  </si>
  <si>
    <t>ARMAÇÃO DO SISTEMA DE PAREDES DE CONCRETO, EXECUTADA COMO REFORÇO, VERGALHÃO DE 6,3 MM DE DIÂMETRO. AF_06/2019</t>
  </si>
  <si>
    <t>16,46</t>
  </si>
  <si>
    <t>91602</t>
  </si>
  <si>
    <t>ARMAÇÃO DO SISTEMA DE PAREDES DE CONCRETO, EXECUTADA COMO REFORÇO, VERGALHÃO DE 8,0 MM DE DIÂMETRO. AF_06/2019</t>
  </si>
  <si>
    <t>15,57</t>
  </si>
  <si>
    <t>91603</t>
  </si>
  <si>
    <t>ARMAÇÃO DO SISTEMA DE PAREDES DE CONCRETO, EXECUTADA COMO REFORÇO, VERGALHÃO DE 10,0 MM DE DIÂMETRO. AF_06/2019</t>
  </si>
  <si>
    <t>92759</t>
  </si>
  <si>
    <t>ARMAÇÃO DE PILAR OU VIGA DE UMA ESTRUTURA CONVENCIONAL DE CONCRETO ARMADO EM UM EDIFÍCIO DE MÚLTIPLOS PAVIMENTOS UTILIZANDO AÇO CA-60 DE 5,0 MM - MONTAGEM. AF_12/2015</t>
  </si>
  <si>
    <t>18,48</t>
  </si>
  <si>
    <t>92760</t>
  </si>
  <si>
    <t>ARMAÇÃO DE PILAR OU VIGA DE UMA ESTRUTURA CONVENCIONAL DE CONCRETO ARMADO EM UM EDIFÍCIO DE MÚLTIPLOS PAVIMENTOS UTILIZANDO AÇO CA-50 DE 6,3 MM - MONTAGEM. AF_12/2015</t>
  </si>
  <si>
    <t>18,00</t>
  </si>
  <si>
    <t>92761</t>
  </si>
  <si>
    <t>ARMAÇÃO DE PILAR OU VIGA DE UMA ESTRUTURA CONVENCIONAL DE CONCRETO ARMADO EM UM EDIFÍCIO DE MÚLTIPLOS PAVIMENTOS UTILIZANDO AÇO CA-50 DE 8,0 MM - MONTAGEM. AF_12/2015</t>
  </si>
  <si>
    <t>17,30</t>
  </si>
  <si>
    <t>92762</t>
  </si>
  <si>
    <t>ARMAÇÃO DE PILAR OU VIGA DE UMA ESTRUTURA CONVENCIONAL DE CONCRETO ARMADO EM UM EDIFÍCIO DE MÚLTIPLOS PAVIMENTOS UTILIZANDO AÇO CA-50 DE 10,0 MM - MONTAGEM. AF_12/2015</t>
  </si>
  <si>
    <t>15,68</t>
  </si>
  <si>
    <t>92763</t>
  </si>
  <si>
    <t>ARMAÇÃO DE PILAR OU VIGA DE UMA ESTRUTURA CONVENCIONAL DE CONCRETO ARMADO EM UM EDIFÍCIO DE MÚLTIPLOS PAVIMENTOS UTILIZANDO AÇO CA-50 DE 12,5 MM - MONTAGEM. AF_12/2015</t>
  </si>
  <si>
    <t>13,35</t>
  </si>
  <si>
    <t>92764</t>
  </si>
  <si>
    <t>ARMAÇÃO DE PILAR OU VIGA DE UMA ESTRUTURA CONVENCIONAL DE CONCRETO ARMADO EM UM EDIFÍCIO DE MÚLTIPLOS PAVIMENTOS UTILIZANDO AÇO CA-50 DE 16,0 MM - MONTAGEM. AF_12/2015</t>
  </si>
  <si>
    <t>12,88</t>
  </si>
  <si>
    <t>92765</t>
  </si>
  <si>
    <t>ARMAÇÃO DE PILAR OU VIGA DE UMA ESTRUTURA CONVENCIONAL DE CONCRETO ARMADO EM UM EDIFÍCIO DE MÚLTIPLOS PAVIMENTOS UTILIZANDO AÇO CA-50 DE 20,0 MM - MONTAGEM. AF_12/2015</t>
  </si>
  <si>
    <t>14,64</t>
  </si>
  <si>
    <t>92766</t>
  </si>
  <si>
    <t>ARMAÇÃO DE PILAR OU VIGA DE UMA ESTRUTURA CONVENCIONAL DE CONCRETO ARMADO EM UM EDIFÍCIO DE MÚLTIPLOS PAVIMENTOS UTILIZANDO AÇO CA-50 DE 25,0 MM - MONTAGEM. AF_12/2015</t>
  </si>
  <si>
    <t>14,39</t>
  </si>
  <si>
    <t>92767</t>
  </si>
  <si>
    <t>ARMAÇÃO DE LAJE DE UMA ESTRUTURA CONVENCIONAL DE CONCRETO ARMADO EM UM EDIFÍCIO DE MÚLTIPLOS PAVIMENTOS UTILIZANDO AÇO CA-60 DE 4,2 MM - MONTAGEM. AF_12/2015</t>
  </si>
  <si>
    <t>92768</t>
  </si>
  <si>
    <t>ARMAÇÃO DE LAJE DE UMA ESTRUTURA CONVENCIONAL DE CONCRETO ARMADO EM UM EDIFÍCIO DE MÚLTIPLOS PAVIMENTOS UTILIZANDO AÇO CA-60 DE 5,0 MM - MONTAGEM. AF_12/2015</t>
  </si>
  <si>
    <t>17,05</t>
  </si>
  <si>
    <t>92769</t>
  </si>
  <si>
    <t>ARMAÇÃO DE LAJE DE UMA ESTRUTURA CONVENCIONAL DE CONCRETO ARMADO EM UM EDIFÍCIO DE MÚLTIPLOS PAVIMENTOS UTILIZANDO AÇO CA-50 DE 6,3 MM - MONTAGEM. AF_12/2015</t>
  </si>
  <si>
    <t>16,91</t>
  </si>
  <si>
    <t>92770</t>
  </si>
  <si>
    <t>ARMAÇÃO DE LAJE DE UMA ESTRUTURA CONVENCIONAL DE CONCRETO ARMADO EM UM EDIFÍCIO DE MÚLTIPLOS PAVIMENTOS UTILIZANDO AÇO CA-50 DE 8,0 MM - MONTAGEM. AF_12/2015</t>
  </si>
  <si>
    <t>16,47</t>
  </si>
  <si>
    <t>92771</t>
  </si>
  <si>
    <t>ARMAÇÃO DE LAJE DE UMA ESTRUTURA CONVENCIONAL DE CONCRETO ARMADO EM UM EDIFÍCIO DE MÚLTIPLOS PAVIMENTOS UTILIZANDO AÇO CA-50 DE 10,0 MM - MONTAGEM. AF_12/2015</t>
  </si>
  <si>
    <t>92772</t>
  </si>
  <si>
    <t>ARMAÇÃO DE LAJE DE UMA ESTRUTURA CONVENCIONAL DE CONCRETO ARMADO EM UM EDIFÍCIO DE MÚLTIPLOS PAVIMENTOS UTILIZANDO AÇO CA-50 DE 12,5 MM - MONTAGEM. AF_12/2015</t>
  </si>
  <si>
    <t>12,85</t>
  </si>
  <si>
    <t>92773</t>
  </si>
  <si>
    <t>ARMAÇÃO DE LAJE DE UMA ESTRUTURA CONVENCIONAL DE CONCRETO ARMADO EM UM EDIFÍCIO DE MÚLTIPLOS PAVIMENTOS UTILIZANDO AÇO CA-50 DE 16,0 MM - MONTAGEM. AF_12/2015</t>
  </si>
  <si>
    <t>12,52</t>
  </si>
  <si>
    <t>92774</t>
  </si>
  <si>
    <t>ARMAÇÃO DE LAJE DE UMA ESTRUTURA CONVENCIONAL DE CONCRETO ARMADO EM UM EDIFÍCIO DE MÚLTIPLOS PAVIMENTOS UTILIZANDO AÇO CA-50 DE 20,0 MM - MONTAGEM. AF_12/2015</t>
  </si>
  <si>
    <t>14,37</t>
  </si>
  <si>
    <t>92775</t>
  </si>
  <si>
    <t>ARMAÇÃO DE PILAR OU VIGA DE UMA ESTRUTURA CONVENCIONAL DE CONCRETO ARMADO EM UMA EDIFICAÇÃO TÉRREA OU SOBRADO UTILIZANDO AÇO CA-60 DE 5,0 MM - MONTAGEM. AF_12/2015</t>
  </si>
  <si>
    <t>21,32</t>
  </si>
  <si>
    <t>92776</t>
  </si>
  <si>
    <t>ARMAÇÃO DE PILAR OU VIGA DE UMA ESTRUTURA CONVENCIONAL DE CONCRETO ARMADO EM UMA EDIFICAÇÃO TÉRREA OU SOBRADO UTILIZANDO AÇO CA-50 DE 6,3 MM - MONTAGEM. AF_12/2015</t>
  </si>
  <si>
    <t>92777</t>
  </si>
  <si>
    <t>ARMAÇÃO DE PILAR OU VIGA DE UMA ESTRUTURA CONVENCIONAL DE CONCRETO ARMADO EM UMA EDIFICAÇÃO TÉRREA OU SOBRADO UTILIZANDO AÇO CA-50 DE 8,0 MM - MONTAGEM. AF_12/2015</t>
  </si>
  <si>
    <t>18,91</t>
  </si>
  <si>
    <t>92778</t>
  </si>
  <si>
    <t>ARMAÇÃO DE PILAR OU VIGA DE UMA ESTRUTURA CONVENCIONAL DE CONCRETO ARMADO EM UMA EDIFICAÇÃO TÉRREA OU SOBRADO UTILIZANDO AÇO CA-50 DE 10,0 MM - MONTAGEM. AF_12/2015</t>
  </si>
  <si>
    <t>16,89</t>
  </si>
  <si>
    <t>92779</t>
  </si>
  <si>
    <t>ARMAÇÃO DE PILAR OU VIGA DE UMA ESTRUTURA CONVENCIONAL DE CONCRETO ARMADO EM UMA EDIFICAÇÃO TÉRREA OU SOBRADO UTILIZANDO AÇO CA-50 DE 12,5 MM - MONTAGEM. AF_12/2015</t>
  </si>
  <si>
    <t>14,24</t>
  </si>
  <si>
    <t>92780</t>
  </si>
  <si>
    <t>ARMAÇÃO DE PILAR OU VIGA DE UMA ESTRUTURA CONVENCIONAL DE CONCRETO ARMADO EM UMA EDIFICAÇÃO TÉRREA OU SOBRADO UTILIZANDO AÇO CA-50 DE 16,0 MM - MONTAGEM. AF_12/2015</t>
  </si>
  <si>
    <t>13,47</t>
  </si>
  <si>
    <t>92781</t>
  </si>
  <si>
    <t>ARMAÇÃO DE PILAR OU VIGA DE UMA ESTRUTURA CONVENCIONAL DE CONCRETO ARMADO EM UMA EDIFICAÇÃO TÉRREA OU SOBRADO UTILIZANDO AÇO CA-50 DE 20,0 MM - MONTAGEM. AF_12/2015</t>
  </si>
  <si>
    <t>15,03</t>
  </si>
  <si>
    <t>92782</t>
  </si>
  <si>
    <t>ARMAÇÃO DE PILAR OU VIGA DE UMA ESTRUTURA CONVENCIONAL DE CONCRETO ARMADO EM UMA EDIFICAÇÃO TÉRREA OU SOBRADO UTILIZANDO AÇO CA-50 DE 25,0 MM - MONTAGEM. AF_12/2015</t>
  </si>
  <si>
    <t>14,61</t>
  </si>
  <si>
    <t>92783</t>
  </si>
  <si>
    <t>ARMAÇÃO DE LAJE DE UMA ESTRUTURA CONVENCIONAL DE CONCRETO ARMADO EM UMA EDIFICAÇÃO TÉRREA OU SOBRADO UTILIZANDO AÇO CA-60 DE 4,2 MM - MONTAGEM. AF_12/2015</t>
  </si>
  <si>
    <t>92784</t>
  </si>
  <si>
    <t>ARMAÇÃO DE LAJE DE UMA ESTRUTURA CONVENCIONAL DE CONCRETO ARMADO EM UMA EDIFICAÇÃO TÉRREA OU SOBRADO UTILIZANDO AÇO CA-60 DE 5,0 MM - MONTAGEM. AF_12/2015</t>
  </si>
  <si>
    <t>19,01</t>
  </si>
  <si>
    <t>92785</t>
  </si>
  <si>
    <t>ARMAÇÃO DE LAJE DE UMA ESTRUTURA CONVENCIONAL DE CONCRETO ARMADO EM UMA EDIFICAÇÃO TÉRREA OU SOBRADO UTILIZANDO AÇO CA-50 DE 6,3 MM - MONTAGEM. AF_12/2015</t>
  </si>
  <si>
    <t>18,39</t>
  </si>
  <si>
    <t>92786</t>
  </si>
  <si>
    <t>ARMAÇÃO DE LAJE DE UMA ESTRUTURA CONVENCIONAL DE CONCRETO ARMADO EM UMA EDIFICAÇÃO TÉRREA OU SOBRADO UTILIZANDO AÇO CA-50 DE 8,0 MM - MONTAGEM. AF_12/2015</t>
  </si>
  <si>
    <t>17,55</t>
  </si>
  <si>
    <t>92787</t>
  </si>
  <si>
    <t>ARMAÇÃO DE LAJE DE UMA ESTRUTURA CONVENCIONAL DE CONCRETO ARMADO EM UMA EDIFICAÇÃO TÉRREA OU SOBRADO UTILIZANDO AÇO CA-50 DE 10,0 MM - MONTAGEM. AF_12/2015</t>
  </si>
  <si>
    <t>15,83</t>
  </si>
  <si>
    <t>92788</t>
  </si>
  <si>
    <t>ARMAÇÃO DE LAJE DE UMA ESTRUTURA CONVENCIONAL DE CONCRETO ARMADO EM UMA EDIFICAÇÃO TÉRREA OU SOBRADO UTILIZANDO AÇO CA-50 DE 12,5 MM - MONTAGEM. AF_12/2015</t>
  </si>
  <si>
    <t>13,42</t>
  </si>
  <si>
    <t>92789</t>
  </si>
  <si>
    <t>ARMAÇÃO DE LAJE DE UMA ESTRUTURA CONVENCIONAL DE CONCRETO ARMADO EM UMA EDIFICAÇÃO TÉRREA OU SOBRADO UTILIZANDO AÇO CA-50 DE 16,0 MM - MONTAGEM. AF_12/2015</t>
  </si>
  <si>
    <t>92790</t>
  </si>
  <si>
    <t>ARMAÇÃO DE LAJE DE UMA ESTRUTURA CONVENCIONAL DE CONCRETO ARMADO EM UMA EDIFICAÇÃO TÉRREA OU SOBRADO UTILIZANDO AÇO CA-50 DE 20,0 MM - MONTAGEM. AF_12/2015</t>
  </si>
  <si>
    <t>14,59</t>
  </si>
  <si>
    <t>92791</t>
  </si>
  <si>
    <t>CORTE E DOBRA DE AÇO CA-60, DIÂMETRO DE 5,0 MM, UTILIZADO EM ESTRUTURAS DIVERSAS, EXCETO LAJES. AF_12/2015</t>
  </si>
  <si>
    <t>13,99</t>
  </si>
  <si>
    <t>92792</t>
  </si>
  <si>
    <t>CORTE E DOBRA DE AÇO CA-50, DIÂMETRO DE 6,3 MM, UTILIZADO EM ESTRUTURAS DIVERSAS, EXCETO LAJES. AF_12/2015</t>
  </si>
  <si>
    <t>14,38</t>
  </si>
  <si>
    <t>92793</t>
  </si>
  <si>
    <t>CORTE E DOBRA DE AÇO CA-50, DIÂMETRO DE 8,0 MM, UTILIZADO EM ESTRUTURAS DIVERSAS, EXCETO LAJES. AF_12/2015</t>
  </si>
  <si>
    <t>14,41</t>
  </si>
  <si>
    <t>92794</t>
  </si>
  <si>
    <t>CORTE E DOBRA DE AÇO CA-50, DIÂMETRO DE 10,0 MM, UTILIZADO EM ESTRUTURAS DIVERSAS, EXCETO LAJES. AF_12/2015</t>
  </si>
  <si>
    <t>13,34</t>
  </si>
  <si>
    <t>92795</t>
  </si>
  <si>
    <t>CORTE E DOBRA DE AÇO CA-50, DIÂMETRO DE 12,5 MM, UTILIZADO EM ESTRUTURAS DIVERSAS, EXCETO LAJES. AF_12/2015</t>
  </si>
  <si>
    <t>92796</t>
  </si>
  <si>
    <t>CORTE E DOBRA DE AÇO CA-50, DIÂMETRO DE 16,0 MM, UTILIZADO EM ESTRUTURAS DIVERSAS, EXCETO LAJES. AF_12/2015</t>
  </si>
  <si>
    <t>11,35</t>
  </si>
  <si>
    <t>92797</t>
  </si>
  <si>
    <t>CORTE E DOBRA DE AÇO CA-50, DIÂMETRO DE 20,0 MM, UTILIZADO EM ESTRUTURAS DIVERSAS, EXCETO LAJES. AF_12/2015</t>
  </si>
  <si>
    <t>13,38</t>
  </si>
  <si>
    <t>92798</t>
  </si>
  <si>
    <t>CORTE E DOBRA DE AÇO CA-50, DIÂMETRO DE 25,0 MM, UTILIZADO EM ESTRUTURAS DIVERSAS, EXCETO LAJES. AF_12/2015</t>
  </si>
  <si>
    <t>92799</t>
  </si>
  <si>
    <t>CORTE E DOBRA DE AÇO CA-60, DIÂMETRO DE 4,2 MM, UTILIZADO EM LAJE. AF_12/2015</t>
  </si>
  <si>
    <t>14,45</t>
  </si>
  <si>
    <t>92800</t>
  </si>
  <si>
    <t>CORTE E DOBRA DE AÇO CA-60, DIÂMETRO DE 5,0 MM, UTILIZADO EM LAJE. AF_12/2015</t>
  </si>
  <si>
    <t>13,46</t>
  </si>
  <si>
    <t>92801</t>
  </si>
  <si>
    <t>CORTE E DOBRA DE AÇO CA-50, DIÂMETRO DE 6,3 MM, UTILIZADO EM LAJE. AF_12/2015</t>
  </si>
  <si>
    <t>14,07</t>
  </si>
  <si>
    <t>92802</t>
  </si>
  <si>
    <t>CORTE E DOBRA DE AÇO CA-50, DIÂMETRO DE 8,0 MM, UTILIZADO EM LAJE. AF_12/2015</t>
  </si>
  <si>
    <t>14,23</t>
  </si>
  <si>
    <t>92803</t>
  </si>
  <si>
    <t>CORTE E DOBRA DE AÇO CA-50, DIÂMETRO DE 10,0 MM, UTILIZADO EM LAJE. AF_12/2015</t>
  </si>
  <si>
    <t>13,24</t>
  </si>
  <si>
    <t>92804</t>
  </si>
  <si>
    <t>CORTE E DOBRA DE AÇO CA-50, DIÂMETRO DE 12,5 MM, UTILIZADO EM LAJE. AF_12/2015</t>
  </si>
  <si>
    <t>11,39</t>
  </si>
  <si>
    <t>92805</t>
  </si>
  <si>
    <t>CORTE E DOBRA DE AÇO CA-50, DIÂMETRO DE 16,0 MM, UTILIZADO EM LAJE. AF_12/2015</t>
  </si>
  <si>
    <t>11,32</t>
  </si>
  <si>
    <t>92806</t>
  </si>
  <si>
    <t>CORTE E DOBRA DE AÇO CA-50, DIÂMETRO DE 20,0 MM, UTILIZADO EM LAJE. AF_12/2015</t>
  </si>
  <si>
    <t>13,36</t>
  </si>
  <si>
    <t>92875</t>
  </si>
  <si>
    <t>CORTE E DOBRA DE AÇO CA-25, DIÂMETRO DE 6,3 MM. AF_12/2015</t>
  </si>
  <si>
    <t>13,19</t>
  </si>
  <si>
    <t>92876</t>
  </si>
  <si>
    <t>CORTE E DOBRA DE AÇO CA-25, DIÂMETRO DE 8,0 MM. AF_12/2015</t>
  </si>
  <si>
    <t>13,10</t>
  </si>
  <si>
    <t>92877</t>
  </si>
  <si>
    <t>CORTE E DOBRA DE AÇO CA-25, DIÂMETRO DE 10,0 MM. AF_12/2015</t>
  </si>
  <si>
    <t>14,31</t>
  </si>
  <si>
    <t>92878</t>
  </si>
  <si>
    <t>CORTE E DOBRA DE AÇO CA-25, DIÂMETRO DE 12,5 MM. AF_12/2015</t>
  </si>
  <si>
    <t>14,15</t>
  </si>
  <si>
    <t>92879</t>
  </si>
  <si>
    <t>CORTE E DOBRA DE AÇO CA-25, DIÂMETRO DE 16,0 MM. AF_12/2015</t>
  </si>
  <si>
    <t>14,06</t>
  </si>
  <si>
    <t>92880</t>
  </si>
  <si>
    <t>CORTE E DOBRA DE AÇO CA-25, DIÂMETRO DE 20,0 MM. AF_12/2015</t>
  </si>
  <si>
    <t>14,40</t>
  </si>
  <si>
    <t>92881</t>
  </si>
  <si>
    <t>CORTE E DOBRA DE AÇO CA-25, DIÂMETRO DE 25,0 MM. AF_12/2015</t>
  </si>
  <si>
    <t>92882</t>
  </si>
  <si>
    <t>ARMAÇÃO UTILIZANDO AÇO CA-25 DE 6,3 MM - MONTAGEM. AF_12/2015</t>
  </si>
  <si>
    <t>16,81</t>
  </si>
  <si>
    <t>92883</t>
  </si>
  <si>
    <t>ARMAÇÃO UTILIZANDO AÇO CA-25 DE 8,0 MM - MONTAGEM. AF_12/2015</t>
  </si>
  <si>
    <t>92884</t>
  </si>
  <si>
    <t>ARMAÇÃO UTILIZANDO AÇO CA-25 DE 10,0 MM - MONTAGEM. AF_12/2015</t>
  </si>
  <si>
    <t>16,65</t>
  </si>
  <si>
    <t>92885</t>
  </si>
  <si>
    <t>ARMAÇÃO UTILIZANDO AÇO CA-25 DE 12,5 MM - MONTAGEM. AF_12/2015</t>
  </si>
  <si>
    <t>92886</t>
  </si>
  <si>
    <t>ARMAÇÃO UTILIZANDO AÇO CA-25 DE 16,0 MM - MONTAGEM. AF_12/2015</t>
  </si>
  <si>
    <t>15,59</t>
  </si>
  <si>
    <t>92887</t>
  </si>
  <si>
    <t>ARMAÇÃO UTILIZANDO AÇO CA-25 DE 20,0 MM - MONTAGEM. AF_12/2015</t>
  </si>
  <si>
    <t>15,66</t>
  </si>
  <si>
    <t>92888</t>
  </si>
  <si>
    <t>ARMAÇÃO UTILIZANDO AÇO CA-25 DE 25,0 MM - MONTAGEM. AF_12/2015</t>
  </si>
  <si>
    <t>15,41</t>
  </si>
  <si>
    <t>92915</t>
  </si>
  <si>
    <t>ARMAÇÃO DE ESTRUTURAS DE CONCRETO ARMADO, EXCETO VIGAS, PILARES, LAJES E FUNDAÇÕES, UTILIZANDO AÇO CA-60 DE 5,0 MM - MONTAGEM. AF_12/2015</t>
  </si>
  <si>
    <t>19,90</t>
  </si>
  <si>
    <t>92916</t>
  </si>
  <si>
    <t>ARMAÇÃO DE ESTRUTURAS DE CONCRETO ARMADO, EXCETO VIGAS, PILARES, LAJES E FUNDAÇÕES, UTILIZANDO AÇO CA-50 DE 6,3 MM - MONTAGEM. AF_12/2015</t>
  </si>
  <si>
    <t>19,08</t>
  </si>
  <si>
    <t>92917</t>
  </si>
  <si>
    <t>ARMAÇÃO DE ESTRUTURAS DE CONCRETO ARMADO, EXCETO VIGAS, PILARES, LAJES E FUNDAÇÕES, UTILIZANDO AÇO CA-50 DE 8,0 MM - MONTAGEM. AF_12/2015</t>
  </si>
  <si>
    <t>18,11</t>
  </si>
  <si>
    <t>92919</t>
  </si>
  <si>
    <t>ARMAÇÃO DE ESTRUTURAS DE CONCRETO ARMADO, EXCETO VIGAS, PILARES, LAJES E FUNDAÇÕES, UTILIZANDO AÇO CA-50 DE 10,0 MM - MONTAGEM. AF_12/2015</t>
  </si>
  <si>
    <t>16,29</t>
  </si>
  <si>
    <t>92921</t>
  </si>
  <si>
    <t>ARMAÇÃO DE ESTRUTURAS DE CONCRETO ARMADO, EXCETO VIGAS, PILARES, LAJES E FUNDAÇÕES, UTILIZANDO AÇO CA-50 DE 12,5 MM - MONTAGEM. AF_12/2015</t>
  </si>
  <si>
    <t>13,80</t>
  </si>
  <si>
    <t>92922</t>
  </si>
  <si>
    <t>ARMAÇÃO DE ESTRUTURAS DE CONCRETO ARMADO, EXCETO VIGAS, PILARES, LAJES E FUNDAÇÕES, UTILIZANDO AÇO CA-50 DE 16,0 MM - MONTAGEM. AF_12/2015</t>
  </si>
  <si>
    <t>13,18</t>
  </si>
  <si>
    <t>92923</t>
  </si>
  <si>
    <t>ARMAÇÃO DE ESTRUTURAS DE CONCRETO ARMADO, EXCETO VIGAS, PILARES, LAJES E FUNDAÇÕES, UTILIZANDO AÇO CA-50 DE 20,0 MM - MONTAGEM. AF_12/2015</t>
  </si>
  <si>
    <t>14,83</t>
  </si>
  <si>
    <t>92924</t>
  </si>
  <si>
    <t>ARMAÇÃO DE ESTRUTURAS DE CONCRETO ARMADO, EXCETO VIGAS, PILARES, LAJES E FUNDAÇÕES, UTILIZANDO AÇO CA-50 DE 25,0 MM - MONTAGEM. AF_12/2015</t>
  </si>
  <si>
    <t>14,50</t>
  </si>
  <si>
    <t>95445</t>
  </si>
  <si>
    <t>CORTE E DOBRA DE AÇO CA-60, DIÂMETRO DE 5,0 MM, UTILIZADO EM ESTRIBO CONTÍNUO HELICOIDAL. AF_09/2021</t>
  </si>
  <si>
    <t>12,49</t>
  </si>
  <si>
    <t>95446</t>
  </si>
  <si>
    <t>CORTE E DOBRA DE AÇO CA-50, DIÂMETRO DE 6,3 MM, UTILIZADO EM ESTRIBO CONTÍNUO HELICOIDAL. AF_09/2021</t>
  </si>
  <si>
    <t>13,56</t>
  </si>
  <si>
    <t>95448</t>
  </si>
  <si>
    <t>CORTE E DOBRA DE AÇO CA-50, DIÂMERO DE 32 MM, UTILIZADO EM ESTRUTURAS DIVERSAS, EXCETO LAJE. AF_10/2016</t>
  </si>
  <si>
    <t>14,68</t>
  </si>
  <si>
    <t>95576</t>
  </si>
  <si>
    <t>MONTAGEM DE ARMADURA DE ESTACAS, DIÂMETRO = 8,0 MM. AF_09/2021</t>
  </si>
  <si>
    <t>16,87</t>
  </si>
  <si>
    <t>95577</t>
  </si>
  <si>
    <t>MONTAGEM DE ARMADURA DE ESTACAS, DIÂMETRO = 10,0 MM. AF_09/2021</t>
  </si>
  <si>
    <t>14,81</t>
  </si>
  <si>
    <t>95578</t>
  </si>
  <si>
    <t>MONTAGEM DE ARMADURA DE ESTACAS, DIÂMETRO = 12,5 MM. AF_09/2021</t>
  </si>
  <si>
    <t>12,51</t>
  </si>
  <si>
    <t>95579</t>
  </si>
  <si>
    <t>MONTAGEM DE ARMADURA DE ESTACAS, DIÂMETRO = 16,0 MM. AF_09/2021</t>
  </si>
  <si>
    <t>12,25</t>
  </si>
  <si>
    <t>95580</t>
  </si>
  <si>
    <t>MONTAGEM DE ARMADURA DE ESTACAS, DIÂMETRO = 20,0 MM. AF_09/2021</t>
  </si>
  <si>
    <t>14,22</t>
  </si>
  <si>
    <t>95581</t>
  </si>
  <si>
    <t>MONTAGEM DE ARMADURA DE ESTACAS, DIÂMETRO = 25,0 MM. AF_09/2021</t>
  </si>
  <si>
    <t>14,16</t>
  </si>
  <si>
    <t>95582</t>
  </si>
  <si>
    <t>MONTAGEM DE ARMADURA DE ESTACAS, DIÂMETRO = 32,0 MM. AF_09/2021</t>
  </si>
  <si>
    <t>15,48</t>
  </si>
  <si>
    <t>95583</t>
  </si>
  <si>
    <t>MONTAGEM DE ARMADURA TRANSVERSAL DE ESTACAS DE SEÇÃO CIRCULAR, DIÂMETRO = 5,0 MM. AF_09/2021</t>
  </si>
  <si>
    <t>17,87</t>
  </si>
  <si>
    <t>95584</t>
  </si>
  <si>
    <t>MONTAGEM DE ARMADURA TRANSVERSAL DE ESTACAS DE SEÇÃO CIRCULAR, DIÂMETRO = 6,30 MM. AF_09/2021</t>
  </si>
  <si>
    <t>17,17</t>
  </si>
  <si>
    <t>95592</t>
  </si>
  <si>
    <t>MONTAGEM DE ARMADURA TRANVERSAL DE ESTACAS DE SEÇÃO RETANGULAR, DIÂMETRO = 5,0 MM. AF_09/2021</t>
  </si>
  <si>
    <t>19,37</t>
  </si>
  <si>
    <t>95593</t>
  </si>
  <si>
    <t>MONTAGEM DE ARMADURA TRANSVERSAL DE ESTACAS DE SEÇÃO RETANGULAR, DIÂMETRO = 6,30 MM. AF_09/2021</t>
  </si>
  <si>
    <t>17,99</t>
  </si>
  <si>
    <t>95943</t>
  </si>
  <si>
    <t>ARMAÇÃO DE ESCADA, DE UMA ESTRUTURA CONVENCIONAL DE CONCRETO ARMADO UTILIZANDO AÇO CA-60 DE 5,0 MM - MONTAGEM. AF_11/2020</t>
  </si>
  <si>
    <t>24,72</t>
  </si>
  <si>
    <t>95944</t>
  </si>
  <si>
    <t>ARMAÇÃO DE ESCADA, DE UMA ESTRUTURA CONVENCIONAL DE CONCRETO ARMADO UTILIZANDO AÇO CA-50 DE 6,3 MM - MONTAGEM. AF_11/2020</t>
  </si>
  <si>
    <t>23,35</t>
  </si>
  <si>
    <t>95945</t>
  </si>
  <si>
    <t>ARMAÇÃO DE ESCADA, DE UMA ESTRUTURA CONVENCIONAL DE CONCRETO ARMADO UTILIZANDO AÇO CA-50 DE 8,0 MM - MONTAGEM. AF_11/2020</t>
  </si>
  <si>
    <t>20,04</t>
  </si>
  <si>
    <t>95946</t>
  </si>
  <si>
    <t>ARMAÇÃO DE ESCADA, DE UMA ESTRUTURA CONVENCIONAL DE CONCRETO ARMADO UTILIZANDO AÇO CA-50 DE 10,0 MM - MONTAGEM. AF_11/2020</t>
  </si>
  <si>
    <t>16,72</t>
  </si>
  <si>
    <t>95947</t>
  </si>
  <si>
    <t>ARMAÇÃO DE ESCADA, DE UMA ESTRUTURA CONVENCIONAL DE CONCRETO ARMADO UTILIZANDO AÇO CA-50 DE 12,5 MM - MONTAGEM. AF_11/2020</t>
  </si>
  <si>
    <t>95948</t>
  </si>
  <si>
    <t>ARMAÇÃO DE ESCADA, DE UMA ESTRUTURA CONVENCIONAL DE CONCRETO ARMADO UTILIZANDO AÇO CA-50 DE 16,0 MM - MONTAGEM. AF_11/2020</t>
  </si>
  <si>
    <t>12,29</t>
  </si>
  <si>
    <t>96544</t>
  </si>
  <si>
    <t>ARMAÇÃO DE BLOCO, VIGA BALDRAME OU SAPATA UTILIZANDO AÇO CA-50 DE 6,3 MM - MONTAGEM. AF_06/2017</t>
  </si>
  <si>
    <t>96545</t>
  </si>
  <si>
    <t>ARMAÇÃO DE BLOCO, VIGA BALDRAME OU SAPATA UTILIZANDO AÇO CA-50 DE 8 MM - MONTAGEM. AF_06/2017</t>
  </si>
  <si>
    <t>18,92</t>
  </si>
  <si>
    <t>96546</t>
  </si>
  <si>
    <t>ARMAÇÃO DE BLOCO, VIGA BALDRAME OU SAPATA UTILIZANDO AÇO CA-50 DE 10 MM - MONTAGEM. AF_06/2017</t>
  </si>
  <si>
    <t>96547</t>
  </si>
  <si>
    <t>ARMAÇÃO DE BLOCO, VIGA BALDRAME OU SAPATA UTILIZANDO AÇO CA-50 DE 12,5 MM - MONTAGEM. AF_06/2017</t>
  </si>
  <si>
    <t>96548</t>
  </si>
  <si>
    <t>ARMAÇÃO DE BLOCO, VIGA BALDRAME OU SAPATA UTILIZANDO AÇO CA-50 DE 16 MM - MONTAGEM. AF_06/2017</t>
  </si>
  <si>
    <t>13,69</t>
  </si>
  <si>
    <t>96549</t>
  </si>
  <si>
    <t>ARMAÇÃO DE BLOCO, VIGA BALDRAME OU SAPATA UTILIZANDO AÇO CA-50 DE 20 MM - MONTAGEM. AF_06/2017</t>
  </si>
  <si>
    <t>15,30</t>
  </si>
  <si>
    <t>96550</t>
  </si>
  <si>
    <t>ARMAÇÃO DE BLOCO, VIGA BALDRAME OU SAPATA UTILIZANDO AÇO CA-50 DE 25 MM - MONTAGEM. AF_06/2017</t>
  </si>
  <si>
    <t>14,93</t>
  </si>
  <si>
    <t>100064</t>
  </si>
  <si>
    <t>ARMAÇÃO DO SISTEMA DE PAREDES DE CONCRETO, EXECUTADA COMO ARMADURA POSITIVA DE LAJES, TELA Q-159. AF_06/2019</t>
  </si>
  <si>
    <t>100066</t>
  </si>
  <si>
    <t>ARMAÇÃO DO SISTEMA DE PAREDES DE CONCRETO, EXECUTADA COMO ARMADURA POSITIVA DE LAJES, TELA Q-196. AF_06/2019</t>
  </si>
  <si>
    <t>19,27</t>
  </si>
  <si>
    <t>100067</t>
  </si>
  <si>
    <t>ARMAÇÃO DO SISTEMA DE PAREDES DE CONCRETO, EXECUTADA COMO REFORÇO, VERGALHÃO DE 5,0 MM DE DIÂMETRO. AF_06/2019</t>
  </si>
  <si>
    <t>100068</t>
  </si>
  <si>
    <t>ARMAÇÃO DO SISTEMA DE PAREDES DE CONCRETO, EXECUTADA COMO REFORÇO, VERGALHÃO DE 12,5 MM DE DIÂMETRO. AF_06/2019</t>
  </si>
  <si>
    <t>12,65</t>
  </si>
  <si>
    <t>102920</t>
  </si>
  <si>
    <t>ARMAÇÃO DE CINTA DE ALVENARIA ESTRUTURAL; DIÂMETRO DE 12,5 MM. AF_09/2021</t>
  </si>
  <si>
    <t>11,33</t>
  </si>
  <si>
    <t>102921</t>
  </si>
  <si>
    <t>ARMAÇÃO VERTICAL DE ALVENARIA ESTRUTURAL; DIÂMETRO DE 16,0 MM. AF_09/2021</t>
  </si>
  <si>
    <t>11,06</t>
  </si>
  <si>
    <t>102922</t>
  </si>
  <si>
    <t>ARMAÇÃO DE VERGA E CONTRAVERGA DE ALVENARIA ESTRUTURAL; DIÂMETRO DE 16,0 MM. AF_09/2021</t>
  </si>
  <si>
    <t>11,85</t>
  </si>
  <si>
    <t>102923</t>
  </si>
  <si>
    <t>ARMAÇÃO DE CINTA DE ALVENARIA ESTRUTURAL; DIÂMETRO DE 16,0 MM. AF_09/2021</t>
  </si>
  <si>
    <t>10,86</t>
  </si>
  <si>
    <t>103088</t>
  </si>
  <si>
    <t>ARMAÇÃO DE VERGA E CONTRAVERGA DE ALVENARIA ESTRUTURAL; DIÂMETRO DE 12,5 MM. AF_09/2021</t>
  </si>
  <si>
    <t>12,94</t>
  </si>
  <si>
    <t>89993</t>
  </si>
  <si>
    <t>GRAUTEAMENTO VERTICAL EM ALVENARIA ESTRUTURAL. AF_09/2021</t>
  </si>
  <si>
    <t>828,39</t>
  </si>
  <si>
    <t>89994</t>
  </si>
  <si>
    <t>GRAUTEAMENTO DE CINTA INTERMEDIÁRIA OU DE CONTRAVERGA EM ALVENARIA ESTRUTURAL. AF_09/2021</t>
  </si>
  <si>
    <t>699,61</t>
  </si>
  <si>
    <t>89995</t>
  </si>
  <si>
    <t>GRAUTEAMENTO DE CINTA SUPERIOR OU DE VERGA EM ALVENARIA ESTRUTURAL. AF_09/2021</t>
  </si>
  <si>
    <t>795,46</t>
  </si>
  <si>
    <t>90278</t>
  </si>
  <si>
    <t>GRAUTE FGK=15 MPA; TRAÇO 1:0,04:2,2:2,5 (EM MASSA SECA DE CIMENTO/CAL/AREIA GROSSA/BRITA 0) - PREPARO MECÂNICO COM BETONEIRA 400 L. AF_09/2021</t>
  </si>
  <si>
    <t>388,80</t>
  </si>
  <si>
    <t>90279</t>
  </si>
  <si>
    <t>GRAUTE FGK=20 MPA; TRAÇO 1:0,04:1,8:2,1 (EM MASSA SECA DE CIMENTO/ CAL/ AREIA GROSSA/ BRITA 0) - PREPARO MECÂNICO COM BETONEIRA 400 L. AF_09/2021</t>
  </si>
  <si>
    <t>431,19</t>
  </si>
  <si>
    <t>90280</t>
  </si>
  <si>
    <t>GRAUTE FGK=25 MPA; TRAÇO 1:0,02:1,3:1,6 (EM MASSA SECA DE CIMENTO/ CAL/ AREIA GROSSA/ BRITA 0) - PREPARO MECÂNICO COM BETONEIRA 400 L. AF_09/2021</t>
  </si>
  <si>
    <t>477,87</t>
  </si>
  <si>
    <t>90281</t>
  </si>
  <si>
    <t>GRAUTE FGK=30 MPA; TRAÇO 1:0,02:0,9:1,2 (EM MASSA SECA DE CIMENTO/ CAL/ AREIA GROSSA/ BRITA 0) - PREPARO MECÂNICO COM BETONEIRA 400 L. AF_09/2021</t>
  </si>
  <si>
    <t>556,22</t>
  </si>
  <si>
    <t>90282</t>
  </si>
  <si>
    <t>GRAUTE FGK=15 MPA; TRAÇO 1:2,2:2,5:0,3 (EM MASSA SECA DE CIMENTO/ AREIA GROSSA/ BRITA 0/ ADITIVO) - PREPARO MECÂNICO COM BETONEIRA 400 L. AF_09/2021</t>
  </si>
  <si>
    <t>378,82</t>
  </si>
  <si>
    <t>90283</t>
  </si>
  <si>
    <t>GRAUTE FGK=20 MPA; TRAÇO 1:1,8:2,1:0,4 (EM MASSA SECA DE CIMENTO/ AREIA GROSSA/ BRITA 0/ ADITIVO) - PREPARO MECÂNICO COM BETONEIRA 400 L. AF_09/2021</t>
  </si>
  <si>
    <t>421,15</t>
  </si>
  <si>
    <t>90284</t>
  </si>
  <si>
    <t>GRAUTE FGK=25 MPA; TRAÇO 1:1,3:1,6:0,4 (EM MASSA SECA DE CIMENTO/ AREIA GROSSA/ BRITA 0/ ADITIVO) - PREPARO MECÂNICO COM BETONEIRA 400 L. AF_09/2021</t>
  </si>
  <si>
    <t>471,54</t>
  </si>
  <si>
    <t>90285</t>
  </si>
  <si>
    <t>GRAUTE FGK=30 MPA; TRAÇO 1:0,9:1,2:0,6 (EM MASSA SECA DE CIMENTO/ AREIA GROSSA/ BRITA 0/ ADITIVO) - PREPARO MECÂNICO COM BETONEIRA 400 L. AF_09/2021</t>
  </si>
  <si>
    <t>554,82</t>
  </si>
  <si>
    <t>92718</t>
  </si>
  <si>
    <t>CONCRETAGEM DE PILARES, FCK = 25 MPA,  COM USO DE BALDES EM EDIFICAÇÃO COM SEÇÃO MÉDIA DE PILARES MENOR OU IGUAL A 0,25 M² - LANÇAMENTO, ADENSAMENTO E ACABAMENTO. AF_12/2015</t>
  </si>
  <si>
    <t>536,50</t>
  </si>
  <si>
    <t>92719</t>
  </si>
  <si>
    <t>CONCRETAGEM DE PILARES, FCK = 25 MPA, COM USO DE GRUA EM EDIFICAÇÃO COM SEÇÃO MÉDIA DE PILARES MENOR OU IGUAL A 0,25 M² - LANÇAMENTO, ADENSAMENTO E ACABAMENTO. AF_12/2015</t>
  </si>
  <si>
    <t>378,67</t>
  </si>
  <si>
    <t>92720</t>
  </si>
  <si>
    <t>CONCRETAGEM DE PILARES, FCK = 25 MPA, COM USO DE BOMBA EM EDIFICAÇÃO COM SEÇÃO MÉDIA DE PILARES MENOR OU IGUAL A 0,25 M² - LANÇAMENTO, ADENSAMENTO E ACABAMENTO. AF_12/2015</t>
  </si>
  <si>
    <t>401,58</t>
  </si>
  <si>
    <t>92721</t>
  </si>
  <si>
    <t>CONCRETAGEM DE PILARES, FCK = 25 MPA, COM USO DE GRUA EM EDIFICAÇÃO COM SEÇÃO MÉDIA DE PILARES MAIOR QUE 0,25 M² - LANÇAMENTO, ADENSAMENTO E ACABAMENTO. AF_12/2015</t>
  </si>
  <si>
    <t>369,01</t>
  </si>
  <si>
    <t>92722</t>
  </si>
  <si>
    <t>CONCRETAGEM DE PILARES, FCK = 25 MPA, COM USO DE BOMBA EM EDIFICAÇÃO COM SEÇÃO MÉDIA DE PILARES MAIOR QUE 0,25 M² - LANÇAMENTO, ADENSAMENTO E ACABAMENTO. AF_12/2015</t>
  </si>
  <si>
    <t>397,64</t>
  </si>
  <si>
    <t>92723</t>
  </si>
  <si>
    <t>CONCRETAGEM DE VIGAS E LAJES, FCK=20 MPA, PARA LAJES PREMOLDADAS COM USO DE BOMBA EM EDIFICAÇÃO COM ÁREA MÉDIA DE LAJES MENOR OU IGUAL A 20 M² - LANÇAMENTO, ADENSAMENTO E ACABAMENTO. AF_12/2015</t>
  </si>
  <si>
    <t>391,82</t>
  </si>
  <si>
    <t>92724</t>
  </si>
  <si>
    <t>CONCRETAGEM DE VIGAS E LAJES, FCK=20 MPA, PARA LAJES PREMOLDADAS COM USO DE BOMBA EM EDIFICAÇÃO COM ÁREA MÉDIA DE LAJES MAIOR QUE 20 M² - LANÇAMENTO, ADENSAMENTO E ACABAMENTO. AF_12/2015</t>
  </si>
  <si>
    <t>388,23</t>
  </si>
  <si>
    <t>92725</t>
  </si>
  <si>
    <t>CONCRETAGEM DE VIGAS E LAJES, FCK=20 MPA, PARA LAJES MACIÇAS OU NERVURADAS COM USO DE BOMBA EM EDIFICAÇÃO COM ÁREA MÉDIA DE LAJES MENOR OU IGUAL A 20 M² - LANÇAMENTO, ADENSAMENTO E ACABAMENTO. AF_12/2015</t>
  </si>
  <si>
    <t>386,73</t>
  </si>
  <si>
    <t>92726</t>
  </si>
  <si>
    <t>CONCRETAGEM DE VIGAS E LAJES, FCK=20 MPA, PARA LAJES MACIÇAS OU NERVURADAS COM USO DE BOMBA EM EDIFICAÇÃO COM ÁREA MÉDIA DE LAJES MAIOR QUE 20 M² - LANÇAMENTO, ADENSAMENTO E ACABAMENTO. AF_12/2015</t>
  </si>
  <si>
    <t>384,21</t>
  </si>
  <si>
    <t>92727</t>
  </si>
  <si>
    <t>CONCRETAGEM DE VIGAS E LAJES, FCK=20 MPA, PARA LAJES PREMOLDADAS COM JERICAS EM ELEVADOR DE CABO EM EDIFICAÇÃO DE MULTIPAVIMENTOS ATÉ 16 ANDARES, COM ÁREA MÉDIA DE LAJES MENOR OU IGUAL A 20 M² - LANÇAMENTO, ADENSAMENTO E ACABAMENTO. AF_12/2015</t>
  </si>
  <si>
    <t>467,57</t>
  </si>
  <si>
    <t>92728</t>
  </si>
  <si>
    <t>CONCRETAGEM DE VIGAS E LAJES, FCK=20 MPA, PARA LAJES PREMOLDADAS COM JERICAS EM ELEVADOR DE CABO EM EDIFICAÇÃO DE MULTIPAVIMENTOS ATÉ 16 ANDARES, COM ÁREA MÉDIA DE LAJES MAIOR QUE 20 M² - LANÇAMENTO, ADENSAMENTO E ACABAMENTO. AF_12/2015</t>
  </si>
  <si>
    <t>442,66</t>
  </si>
  <si>
    <t>92729</t>
  </si>
  <si>
    <t>CONCRETAGEM DE VIGAS E LAJES, FCK=20 MPA, PARA LAJES MACIÇAS OU NERVURADAS COM JERICAS EM ELEVADOR DE CABO EM EDIFICAÇÃO DE ATÉ 16 ANDARES, COM ÁREA MÉDIA DE LAJES MENOR OU IGUAL A 20 M² - LANÇAMENTO, ADENSAMENTO E ACABAMENTO. AF_12/2015</t>
  </si>
  <si>
    <t>432,11</t>
  </si>
  <si>
    <t>92730</t>
  </si>
  <si>
    <t>CONCRETAGEM DE VIGAS E LAJES, FCK=20 MPA, PARA LAJES MACIÇAS OU NERVURADAS COM JERICAS EM ELEVADOR DE CABO EM EDIFICAÇÃO DE MULTIPAVIMENTOS ATÉ 16 ANDARES, COM ÁREA MÉDIA DE LAJES MAIOR QUE 20 M² - LANÇAMENTO, ADENSAMENTO E ACABAMENTO. AF_12/2015</t>
  </si>
  <si>
    <t>414,52</t>
  </si>
  <si>
    <t>92731</t>
  </si>
  <si>
    <t>CONCRETAGEM DE VIGAS E LAJES, FCK=20 MPA, PARA LAJES PREMOLDADAS COM JERICAS EM CREMALHEIRA EM EDIFICAÇÃO DE MULTIPAVIMENTOS ATÉ 16 ANDARES, COM ÁREA MÉDIA DE LAJES MENOR OU IGUAL A 20 M² - LANÇAMENTO, ADENSAMENTO E ACABAMENTO. AF_12/2015</t>
  </si>
  <si>
    <t>434,56</t>
  </si>
  <si>
    <t>92732</t>
  </si>
  <si>
    <t>CONCRETAGEM DE VIGAS E LAJES, FCK=20 MPA, PARA LAJES PREMOLDADAS COM JERICAS EM CREMALHEIRA EM EDIFICAÇÃO DE MULTIPAVIMENTOS ATÉ 16 ANDARES, COM ÁREA MÉDIA DE LAJES MAIOR QUE 20 M² - LANÇAMENTO, ADENSAMENTO E ACABAMENTO. AF_12/2015</t>
  </si>
  <si>
    <t>417,54</t>
  </si>
  <si>
    <t>92733</t>
  </si>
  <si>
    <t>CONCRETAGEM DE VIGAS E LAJES, FCK=20 MPA, PARA LAJES MACIÇAS OU NERVURADAS COM JERICAS EM CREMALHEIRA EM EDIFICAÇÃO DE MULTIPAVIMENTOS ATÉ 16 ANDARES, COM ÁREA MÉDIA DE LAJES MENOR OU IGUAL A 20 M² - LANÇAMENTO, ADENSAMENTO E ACABAMENTO. AF_12/2015</t>
  </si>
  <si>
    <t>410,30</t>
  </si>
  <si>
    <t>92734</t>
  </si>
  <si>
    <t>CONCRETAGEM DE VIGAS E LAJES, FCK=20 MPA, PARA LAJES MACIÇAS OU NERVURADAS COM JERICAS EM CREMALHEIRA EM EDIFICAÇÃO DE MULTIPAVIMENTOS ATÉ 16 ANDARES, COM ÁREA MÉDIA DE LAJES MAIOR QUE 20 M² - LANÇAMENTO, ADENSAMENTO E ACABAMENTO. AF_12/2015</t>
  </si>
  <si>
    <t>398,30</t>
  </si>
  <si>
    <t>92735</t>
  </si>
  <si>
    <t>CONCRETAGEM DE VIGAS E LAJES, FCK=20 MPA, PARA LAJES PREMOLDADAS COM GRUA DE CAÇAMBA DE 350 L EM EDIFICAÇÃO DE MULTIPAVIMENTOS ATÉ 16 ANDARES, COM ÁREA MÉDIA DE LAJES MENOR OU IGUAL A 20 M² - LANÇAMENTO, ADENSAMENTO E ACABAMENTO. AF_12/2015</t>
  </si>
  <si>
    <t>407,84</t>
  </si>
  <si>
    <t>92736</t>
  </si>
  <si>
    <t>CONCRETAGEM DE VIGAS E LAJES, FCK=20 MPA, PARA LAJES PREMOLDADAS COM GRUA DE CAÇAMBA DE 350 L EM EDIFICAÇÃO DE MULTIPAVIMENTOS ATÉ 16 ANDARES, COM ÁREA MÉDIA DE LAJES MAIOR QUE 20 M² - LANÇAMENTO, ADENSAMENTO E ACABAMENTO. AF_12/2015</t>
  </si>
  <si>
    <t>394,39</t>
  </si>
  <si>
    <t>92739</t>
  </si>
  <si>
    <t>CONCRETAGEM DE VIGAS E LAJES, FCK=20 MPA, PARA LAJES MACIÇAS OU NERVURADAS COM GRUA DE CAÇAMBA DE 500 L EM EDIFICAÇÃO DE MULTIPAVIMENTOS ATÉ 16 ANDARES, COM ÁREA MÉDIA DE LAJES MENOR OU IGUAL A 20 M² - LANÇAMENTO, ADENSAMENTO E ACABAMENTO. AF_12/2015</t>
  </si>
  <si>
    <t>374,88</t>
  </si>
  <si>
    <t>92740</t>
  </si>
  <si>
    <t>CONCRETAGEM DE VIGAS E LAJES, FCK=20 MPA, PARA LAJES MACIÇAS OU NERVURADAS COM GRUA DE CAÇAMBA DE 500 L EM EDIFICAÇÃO DE MULTIPAVIMENTOS ATÉ 16 ANDARES, COM ÁREA MÉDIA DE LAJES MAIOR QUE 20 M² - LANÇAMENTO, ADENSAMENTO E ACABAMENTO. AF_12/2015</t>
  </si>
  <si>
    <t>368,22</t>
  </si>
  <si>
    <t>92741</t>
  </si>
  <si>
    <t>CONCRETAGEM DE VIGAS E LAJES, FCK=20 MPA, PARA QUALQUER TIPO DE LAJE COM BALDES EM EDIFICAÇÃO TÉRREA, COM ÁREA MÉDIA DE LAJES MENOR OU IGUAL A 20 M² - LANÇAMENTO, ADENSAMENTO E ACABAMENTO. AF_12/2015</t>
  </si>
  <si>
    <t>605,77</t>
  </si>
  <si>
    <t>92742</t>
  </si>
  <si>
    <t>CONCRETAGEM DE VIGAS E LAJES, FCK=20 MPA, PARA QUALQUER TIPO DE LAJE COM BALDES EM EDIFICAÇÃO DE MULTIPAVIMENTOS ATÉ 04 ANDARES, COM ÁREA MÉDIA DE LAJES MENOR OU IGUAL A 20 M² - LANÇAMENTO, ADENSAMENTO E ACABAMENTO. AF_12/2015</t>
  </si>
  <si>
    <t>856,50</t>
  </si>
  <si>
    <t>92873</t>
  </si>
  <si>
    <t>LANÇAMENTO COM USO DE BALDES, ADENSAMENTO E ACABAMENTO DE CONCRETO EM ESTRUTURAS. AF_12/2015</t>
  </si>
  <si>
    <t>195,15</t>
  </si>
  <si>
    <t>92874</t>
  </si>
  <si>
    <t>LANÇAMENTO COM USO DE BOMBA, ADENSAMENTO E ACABAMENTO DE CONCRETO EM ESTRUTURAS. AF_12/2015</t>
  </si>
  <si>
    <t>31,78</t>
  </si>
  <si>
    <t>94962</t>
  </si>
  <si>
    <t>CONCRETO MAGRO PARA LASTRO, TRAÇO 1:4,5:4,5 (EM MASSA SECA DE CIMENTO/ AREIA MÉDIA/ BRITA 1) - PREPARO MECÂNICO COM BETONEIRA 400 L. AF_05/2021</t>
  </si>
  <si>
    <t>282,29</t>
  </si>
  <si>
    <t>94963</t>
  </si>
  <si>
    <t>CONCRETO FCK = 15MPA, TRAÇO 1:3,4:3,5 (EM MASSA SECA DE CIMENTO/ AREIA MÉDIA/ BRITA 1) - PREPARO MECÂNICO COM BETONEIRA 400 L. AF_05/2021</t>
  </si>
  <si>
    <t>315,59</t>
  </si>
  <si>
    <t>94964</t>
  </si>
  <si>
    <t>CONCRETO FCK = 20MPA, TRAÇO 1:2,7:3 (EM MASSA SECA DE CIMENTO/ AREIA MÉDIA/ BRITA 1) - PREPARO MECÂNICO COM BETONEIRA 400 L. AF_05/2021</t>
  </si>
  <si>
    <t>349,42</t>
  </si>
  <si>
    <t>94965</t>
  </si>
  <si>
    <t>CONCRETO FCK = 25MPA, TRAÇO 1:2,3:2,7 (EM MASSA SECA DE CIMENTO/ AREIA MÉDIA/ BRITA 1) - PREPARO MECÂNICO COM BETONEIRA 400 L. AF_05/2021</t>
  </si>
  <si>
    <t>363,72</t>
  </si>
  <si>
    <t>94966</t>
  </si>
  <si>
    <t>CONCRETO FCK = 30MPA, TRAÇO 1:2,1:2,5 (EM MASSA SECA DE CIMENTO/ AREIA MÉDIA/ BRITA 1) - PREPARO MECÂNICO COM BETONEIRA 400 L. AF_05/2021</t>
  </si>
  <si>
    <t>377,01</t>
  </si>
  <si>
    <t>94967</t>
  </si>
  <si>
    <t>CONCRETO FCK = 40MPA, TRAÇO 1:1,6:1,9 (EM MASSA SECA DE CIMENTO/ AREIA MÉDIA/ BRITA 1) - PREPARO MECÂNICO COM BETONEIRA 400 L. AF_05/2021</t>
  </si>
  <si>
    <t>433,83</t>
  </si>
  <si>
    <t>94968</t>
  </si>
  <si>
    <t>CONCRETO MAGRO PARA LASTRO, TRAÇO 1:4,5:4,5 (EM MASSA SECA DE CIMENTO/ AREIA MÉDIA/ BRITA 1) - PREPARO MECÂNICO COM BETONEIRA 600 L. AF_05/2021</t>
  </si>
  <si>
    <t>278,75</t>
  </si>
  <si>
    <t>94969</t>
  </si>
  <si>
    <t>CONCRETO FCK = 15MPA, TRAÇO 1:3,4:3,5 (EM MASSA SECA DE CIMENTO/ AREIA MÉDIA/ BRITA 1) - PREPARO MECÂNICO COM BETONEIRA 600 L. AF_05/2021</t>
  </si>
  <si>
    <t>309,41</t>
  </si>
  <si>
    <t>94970</t>
  </si>
  <si>
    <t>CONCRETO FCK = 20MPA, TRAÇO 1:2,7:3 (EM MASSA SECA DE CIMENTO/ AREIA MÉDIA/ BRITA 1) - PREPARO MECÂNICO COM BETONEIRA 600 L. AF_05/2021</t>
  </si>
  <si>
    <t>337,09</t>
  </si>
  <si>
    <t>94971</t>
  </si>
  <si>
    <t>CONCRETO FCK = 25MPA, TRAÇO 1:2,3:2,7 (EM MASSA SECA DE CIMENTO/ AREIA MÉDIA/ BRITA 1) - PREPARO MECÂNICO COM BETONEIRA 600 L. AF_05/2021</t>
  </si>
  <si>
    <t>357,18</t>
  </si>
  <si>
    <t>94972</t>
  </si>
  <si>
    <t>CONCRETO FCK = 30MPA, TRAÇO 1:2,1:2,5 (EM MASSA SECA DE CIMENTO/ AREIA MÉDIA/ BRITA 1) - PREPARO MECÂNICO COM BETONEIRA 600 L. AF_05/2021</t>
  </si>
  <si>
    <t>370,54</t>
  </si>
  <si>
    <t>94973</t>
  </si>
  <si>
    <t>CONCRETO FCK = 40MPA, TRAÇO 1:1,6:1,9 (EM MASSA SECA DE CIMENTO/ AREIA MÉDIA/ BRITA 1) - PREPARO MECÂNICO COM BETONEIRA 600 L. AF_05/2021</t>
  </si>
  <si>
    <t>425,48</t>
  </si>
  <si>
    <t>94974</t>
  </si>
  <si>
    <t>CONCRETO MAGRO PARA LASTRO, TRAÇO 1:4,5:4,5 (EM MASSA SECA DE CIMENTO/ AREIA MÉDIA/ BRITA 1) - PREPARO MANUAL. AF_05/2021</t>
  </si>
  <si>
    <t>325,41</t>
  </si>
  <si>
    <t>94975</t>
  </si>
  <si>
    <t>CONCRETO FCK = 15MPA, TRAÇO 1:3,4:3,5 (EM MASSA SECA DE CIMENTO/ AREIA MÉDIA/ BRITA 1) - PREPARO MANUAL. AF_05/2021</t>
  </si>
  <si>
    <t>355,35</t>
  </si>
  <si>
    <t>96555</t>
  </si>
  <si>
    <t>CONCRETAGEM DE BLOCOS DE COROAMENTO E VIGAS BALDRAME, FCK 30 MPA, COM USO DE JERICA  LANÇAMENTO, ADENSAMENTO E ACABAMENTO. AF_06/2017</t>
  </si>
  <si>
    <t>531,70</t>
  </si>
  <si>
    <t>96556</t>
  </si>
  <si>
    <t>CONCRETAGEM DE SAPATAS, FCK 30 MPA, COM USO DE JERICA  LANÇAMENTO, ADENSAMENTO E ACABAMENTO. AF_06/2017</t>
  </si>
  <si>
    <t>611,00</t>
  </si>
  <si>
    <t>96557</t>
  </si>
  <si>
    <t>CONCRETAGEM DE BLOCOS DE COROAMENTO E VIGAS BALDRAMES, FCK 30 MPA, COM USO DE BOMBA  LANÇAMENTO, ADENSAMENTO E ACABAMENTO. AF_06/2017</t>
  </si>
  <si>
    <t>416,62</t>
  </si>
  <si>
    <t>96558</t>
  </si>
  <si>
    <t>CONCRETAGEM DE SAPATAS, FCK 30 MPA, COM USO DE BOMBA  LANÇAMENTO, ADENSAMENTO E ACABAMENTO. AF_11/2016</t>
  </si>
  <si>
    <t>423,53</t>
  </si>
  <si>
    <t>99235</t>
  </si>
  <si>
    <t>CONCRETAGEM DE EDIFICAÇÕES (PAREDES E LAJES) FEITAS COM SISTEMA DE FÔRMAS MANUSEÁVEIS, COM CONCRETO USINADO AUTOADENSÁVEL FCK 25 MPA - LANÇAMENTO E ACABAMENTO. AF_10/2021</t>
  </si>
  <si>
    <t>402,82</t>
  </si>
  <si>
    <t>99431</t>
  </si>
  <si>
    <t>CONCRETAGEM DE LAJES EM EDIFICAÇÕES UNIFAMILIARES FEITAS COM SISTEMA DE FÔRMAS MANUSEÁVEIS, COM CONCRETO USINADO BOMBEÁVEL FCK 25 MPA - LANÇAMENTO, ADENSAMENTO E ACABAMENTO (EXCLUSIVE BOMBA LANÇA). AF_10/2021</t>
  </si>
  <si>
    <t>420,13</t>
  </si>
  <si>
    <t>99432</t>
  </si>
  <si>
    <t>CONCRETAGEM DE PAREDES EM EDIFICAÇÕES UNIFAMILIARES FEITAS COM SISTEMA DE FÔRMAS MANUSEÁVEIS, COM CONCRETO USINADO BOMBEÁVEL FCK 25 MPA - LANÇAMENTO, ADENSAMENTO E ACABAMENTO (EXCLUSIVE BOMBA LANÇA). AF_10/2021</t>
  </si>
  <si>
    <t>407,62</t>
  </si>
  <si>
    <t>99433</t>
  </si>
  <si>
    <t>CONCRETAGEM DE PLATIBANDA EM EDIFICAÇÕES UNIFAMILIARES FEITAS COM SISTEMA DE FÔRMAS MANUSEÁVEIS, COM CONCRETO USINADO BOMBEÁVEL FCK 25 MPA, - LANÇAMENTO, ADENSAMENTO E ACABAMENTO (EXCLUSIVE BOMBA LANÇA). AF_10/2021</t>
  </si>
  <si>
    <t>445,75</t>
  </si>
  <si>
    <t>99434</t>
  </si>
  <si>
    <t>CONCRETAGEM DE LAJES EM EDIFICAÇÕES MULTIFAMILIARES FEITAS COM SISTEMA DE FÔRMAS MANUSEÁVEIS, COM CONCRETO USINADO BOMBEÁVEL FCK 25 MPA - LANÇAMENTO, ADENSAMENTO E ACABAMENTO (EXCLUSIVE BOMBA LANÇA). AF_10/2021</t>
  </si>
  <si>
    <t>423,89</t>
  </si>
  <si>
    <t>99435</t>
  </si>
  <si>
    <t>CONCRETAGEM DE PAREDES EM EDIFICAÇÕES MULTIFAMILIARES FEITAS COM SISTEMA DE FÔRMAS MANUSEÁVEIS, COM CONCRETO USINADO BOMBEÁVEL FCK 25 MPA - LANÇAMENTO, ADENSAMENTO E ACABAMENTO (EXCLUSIVE BOMBA LANÇA). AF_10/2021</t>
  </si>
  <si>
    <t>410,19</t>
  </si>
  <si>
    <t>99436</t>
  </si>
  <si>
    <t>CONCRETAGEM DE PLATIBANDA EM EDIFICAÇÕES MULTIFAMILIARES FEITAS COM SISTEMA DE FÔRMAS MANUSEÁVEIS, COM CONCRETO USINADO BOMBEÁVEL FCK 25 MPA - LANÇAMENTO, ADENSAMENTO E ACABAMENTO (EXCLUSIVE BOMBA LANÇA). AF_10/2021</t>
  </si>
  <si>
    <t>465,34</t>
  </si>
  <si>
    <t>99437</t>
  </si>
  <si>
    <t>CONCRETAGEM DE PLATIBANDA EM EDIFICAÇÕES UNIFAMILIARES FEITAS COM SISTEMA DE FÔRMAS MANUSEÁVEIS, COM CONCRETO USINADO AUTOADENSÁVEL FCK 25 MPA - LANÇAMENTO E ACABAMENTO. AF_10/2021</t>
  </si>
  <si>
    <t>428,16</t>
  </si>
  <si>
    <t>99438</t>
  </si>
  <si>
    <t>CONCRETAGEM DE PLATIBANDA EM EDIFICAÇÕES MULTIFAMILIARES FEITAS COM SISTEMA DE FÔRMAS MANUSEÁVEIS, COM CONCRETO USINADO AUTOADENSÁVEL FCK 25 MPA - LANÇAMENTO E ACABAMENTO. AF_10/2021</t>
  </si>
  <si>
    <t>433,53</t>
  </si>
  <si>
    <t>99439</t>
  </si>
  <si>
    <t>CONCRETAGEM DE EDIFICAÇÕES (PAREDES E LAJES) FEITAS COM SISTEMA DE FÔRMAS MANUSEÁVEIS, COM CONCRETO USINADO BOMBEÁVEL FCK 25 MPA - LANÇAMENTO, ADENSAMENTO E ACABAMENTO (EXCLUSIVE BOMBA LANÇA). AF_10/2021</t>
  </si>
  <si>
    <t>414,09</t>
  </si>
  <si>
    <t>102473</t>
  </si>
  <si>
    <t>CONCRETO MAGRO PARA LASTRO, TRAÇO 1:4,5:4,5 (EM MASSA SECA DE CIMENTO/ AREIA MÉDIA/ SEIXO ROLADO) - PREPARO MECÂNICO COM BETONEIRA 400 L. AF_05/2021</t>
  </si>
  <si>
    <t>302,11</t>
  </si>
  <si>
    <t>102474</t>
  </si>
  <si>
    <t>CONCRETO FCK = 15MPA, TRAÇO 1:3,4:3,4 (EM MASSA SECA DE CIMENTO/ AREIA MÉDIA/ SEIXO ROLADO) - PREPARO MECÂNICO COM BETONEIRA 400 L. AF_05/2021</t>
  </si>
  <si>
    <t>335,07</t>
  </si>
  <si>
    <t>102475</t>
  </si>
  <si>
    <t>CONCRETO FCK = 20MPA, TRAÇO 1:2,6:2,9 (EM MASSA SECA DE CIMENTO/ AREIA MÉDIA/ SEIXO ROLADO) - PREPARO MECÂNICO COM BETONEIRA 400 L. AF_05/2021</t>
  </si>
  <si>
    <t>372,01</t>
  </si>
  <si>
    <t>102476</t>
  </si>
  <si>
    <t>CONCRETO FCK = 25MPA, TRAÇO 1:2,2:2,5 (EM MASSA SECA DE CIMENTO/ AREIA MÉDIA/ SEIXO ROLADO) - PREPARO MECÂNICO COM BETONEIRA 400 L. AF_05/2021</t>
  </si>
  <si>
    <t>385,95</t>
  </si>
  <si>
    <t>102477</t>
  </si>
  <si>
    <t>CONCRETO FCK = 30MPA, TRAÇO 1:1,9:2,3 (EM MASSA SECA DE CIMENTO/ AREIA MÉDIA/ SEIXO ROLADO) - PREPARO MECÂNICO COM BETONEIRA 400 L. AF_05/2021</t>
  </si>
  <si>
    <t>414,66</t>
  </si>
  <si>
    <t>102478</t>
  </si>
  <si>
    <t>CONCRETO FCK = 40MPA, TRAÇO 1:1,4:1,8 (EM MASSA SECA DE CIMENTO/ AREIA MÉDIA/ SEIXO ROLADO) - PREPARO MECÂNICO COM BETONEIRA 400 L. AF_05/2021</t>
  </si>
  <si>
    <t>458,49</t>
  </si>
  <si>
    <t>102479</t>
  </si>
  <si>
    <t>CONCRETO MAGRO PARA LASTRO, TRAÇO 1:4,5:4,5 (EM MASSA SECA DE CIMENTO/ AREIA MÉDIA/ SEIXO ROLADO) - PREPARO MECÂNICO COM BETONEIRA 600 L. AF_05/2021</t>
  </si>
  <si>
    <t>298,38</t>
  </si>
  <si>
    <t>102480</t>
  </si>
  <si>
    <t>CONCRETO FCK = 15MPA, TRAÇO 1:3,4:3,4 (EM MASSA SECA DE CIMENTO/ AREIA MÉDIA/ SEIXO ROLADO) - PREPARO MECÂNICO COM BETONEIRA 600 L. AF_05/2021</t>
  </si>
  <si>
    <t>328,91</t>
  </si>
  <si>
    <t>102481</t>
  </si>
  <si>
    <t>CONCRETO FCK = 20MPA, TRAÇO 1:2,6:2,9 (EM MASSA SECA DE CIMENTO/ AREIA MÉDIA/ SEIXO ROLADO) - PREPARO MECÂNICO COM BETONEIRA 600 L. AF_05/2021</t>
  </si>
  <si>
    <t>359,36</t>
  </si>
  <si>
    <t>102482</t>
  </si>
  <si>
    <t>CONCRETO FCK = 25MPA, TRAÇO 1:2,2:2,5 (EM MASSA SECA DE CIMENTO/ AREIA MÉDIA/ SEIXO ROLADO) - PREPARO MECÂNICO COM BETONEIRA 600 L. AF_05/2021</t>
  </si>
  <si>
    <t>382,32</t>
  </si>
  <si>
    <t>102483</t>
  </si>
  <si>
    <t>CONCRETO FCK = 30MPA, TRAÇO 1:1,9:2,3 (EM MASSA SECA DE CIMENTO/ AREIA MÉDIA/ SEIXO ROLADO) - PREPARO MECÂNICO COM BETONEIRA 600 L. AF_05/2021</t>
  </si>
  <si>
    <t>406,62</t>
  </si>
  <si>
    <t>102484</t>
  </si>
  <si>
    <t>CONCRETO FCK = 40MPA, TRAÇO 1:1,4:1,8 (EM MASSA SECA DE CIMENTO/ AREIA MÉDIA/ SEIXO ROLADO) - PREPARO MECÂNICO COM BETONEIRA 600 L. AF_05/2021</t>
  </si>
  <si>
    <t>456,86</t>
  </si>
  <si>
    <t>102485</t>
  </si>
  <si>
    <t>CONCRETO MAGRO PARA LASTRO, TRAÇO 1:4,5:4,5 (EM MASSA SECA DE CIMENTO/ AREIA MÉDIA/ SEIXO ROLADO) - PREPARO MANUAL. AF_05/2021</t>
  </si>
  <si>
    <t>344,48</t>
  </si>
  <si>
    <t>102486</t>
  </si>
  <si>
    <t>CONCRETO FCK = 15MPA, TRAÇO 1:3,4:3,4 (EM MASSA SECA DE CIMENTO/ AREIA MÉDIA/ SEIXO ROLADO) - PREPARO MANUAL. AF_05/2021</t>
  </si>
  <si>
    <t>373,97</t>
  </si>
  <si>
    <t>102487</t>
  </si>
  <si>
    <t>CONCRETO CICLÓPICO FCK = 15MPA, 30% PEDRA DE MÃO EM VOLUME REAL, INCLUSIVE LANÇAMENTO. AF_05/2021</t>
  </si>
  <si>
    <t>448,62</t>
  </si>
  <si>
    <t>103183</t>
  </si>
  <si>
    <t>CONCRETAGEM DE ESCADAS EM EDIFICAÇÕES MULTIFAMILIARES FEITAS COM SISTEMA DE FÔRMAS MANUSEÁVEIS - CONCRETO USINADO BOMBEÁVEL, FCK 25 MPA - LANÇAMENTO, ADENSAMENTO E ACABAMENTO (EXCLUSIVE BOMBA LANÇA). AF_10/2021</t>
  </si>
  <si>
    <t>451,13</t>
  </si>
  <si>
    <t>103184</t>
  </si>
  <si>
    <t>CONCRETAGEM DE ESCADAS EM EDIFICAÇÕES MULTIFAMILIARES FEITAS COM SISTEMA DE FÔRMAS MANUSEÁVEIS - CONCRETO USINADO AUTOADENSÁVEL, FCK 25 MPA - LANÇAMENTO, ADENSAMENTO E ACABAMENTO. AF_10/2021</t>
  </si>
  <si>
    <t>413,67</t>
  </si>
  <si>
    <t>101963</t>
  </si>
  <si>
    <t>LAJE PRÉ-MOLDADA UNIDIRECIONAL, BIAPOIADA, PARA PISO, ENCHIMENTO EM CERÂMICA, VIGOTA CONVENCIONAL, ALTURA TOTAL DA LAJE (ENCHIMENTO+CAPA) = (8+4). AF_11/2020</t>
  </si>
  <si>
    <t>163,68</t>
  </si>
  <si>
    <t>101964</t>
  </si>
  <si>
    <t>LAJE PRÉ-MOLDADA UNIDIRECIONAL, BIAPOIADA, PARA FORRO, ENCHIMENTO EM CERÂMICA, VIGOTA CONVENCIONAL, ALTURA TOTAL DA LAJE (ENCHIMENTO+CAPA) = (8+3). AF_11/2020</t>
  </si>
  <si>
    <t>153,38</t>
  </si>
  <si>
    <t>101165</t>
  </si>
  <si>
    <t>ALVENARIA DE EMBASAMENTO COM BLOCO ESTRUTURAL DE CONCRETO, DE 14X19X29CM E ARGAMASSA DE ASSENTAMENTO COM PREPARO EM BETONEIRA. AF_05/2020</t>
  </si>
  <si>
    <t>739,80</t>
  </si>
  <si>
    <t>101166</t>
  </si>
  <si>
    <t>ALVENARIA DE EMBASAMENTO COM BLOCO ESTRUTURAL DE CERÂMICA, DE 14X19X29CM E ARGAMASSA DE ASSENTAMENTO COM PREPARO EM BETONEIRA. AF_05/2020</t>
  </si>
  <si>
    <t>513,77</t>
  </si>
  <si>
    <t>98575</t>
  </si>
  <si>
    <t>TRATAMENTO DE JUNTA DE DILATAÇÃO, COM TARUGO DE POLIETILENO E SELANTE PU, INCLUSO PREENCHIMENTO COM ESPUMA EXPANSIVA PU. AF_06/2018</t>
  </si>
  <si>
    <t>93,49</t>
  </si>
  <si>
    <t>98576</t>
  </si>
  <si>
    <t>TRATAMENTO DE JUNTA DE DILATAÇÃO COM MANTA ASFÁLTICA ADERIDA COM MAÇARICO. AF_06/2018</t>
  </si>
  <si>
    <t>98577</t>
  </si>
  <si>
    <t>TRATAMENTO DE JUNTA SERRADA, COM TARUGO DE POLIETILENO E SELANTE À BASE DE SILICONE. AF_06/2018</t>
  </si>
  <si>
    <t>43,03</t>
  </si>
  <si>
    <t>93182</t>
  </si>
  <si>
    <t>VERGA PRÉ-MOLDADA PARA JANELAS COM ATÉ 1,5 M DE VÃO. AF_03/2016</t>
  </si>
  <si>
    <t>48,13</t>
  </si>
  <si>
    <t>93183</t>
  </si>
  <si>
    <t>VERGA PRÉ-MOLDADA PARA JANELAS COM MAIS DE 1,5 M DE VÃO. AF_03/2016</t>
  </si>
  <si>
    <t>62,00</t>
  </si>
  <si>
    <t>93184</t>
  </si>
  <si>
    <t>VERGA PRÉ-MOLDADA PARA PORTAS COM ATÉ 1,5 M DE VÃO. AF_03/2016</t>
  </si>
  <si>
    <t>35,49</t>
  </si>
  <si>
    <t>93185</t>
  </si>
  <si>
    <t>VERGA PRÉ-MOLDADA PARA PORTAS COM MAIS DE 1,5 M DE VÃO. AF_03/2016</t>
  </si>
  <si>
    <t>61,09</t>
  </si>
  <si>
    <t>93186</t>
  </si>
  <si>
    <t>VERGA MOLDADA IN LOCO EM CONCRETO PARA JANELAS COM ATÉ 1,5 M DE VÃO. AF_03/2016</t>
  </si>
  <si>
    <t>89,76</t>
  </si>
  <si>
    <t>93187</t>
  </si>
  <si>
    <t>VERGA MOLDADA IN LOCO EM CONCRETO PARA JANELAS COM MAIS DE 1,5 M DE VÃO. AF_03/2016</t>
  </si>
  <si>
    <t>103,15</t>
  </si>
  <si>
    <t>93188</t>
  </si>
  <si>
    <t>VERGA MOLDADA IN LOCO EM CONCRETO PARA PORTAS COM ATÉ 1,5 M DE VÃO. AF_03/2016</t>
  </si>
  <si>
    <t>83,43</t>
  </si>
  <si>
    <t>93189</t>
  </si>
  <si>
    <t>VERGA MOLDADA IN LOCO EM CONCRETO PARA PORTAS COM MAIS DE 1,5 M DE VÃO. AF_03/2016</t>
  </si>
  <si>
    <t>104,01</t>
  </si>
  <si>
    <t>93190</t>
  </si>
  <si>
    <t>VERGA MOLDADA IN LOCO COM UTILIZAÇÃO DE BLOCOS CANALETA PARA JANELAS COM ATÉ 1,5 M DE VÃO. AF_03/2016</t>
  </si>
  <si>
    <t>40,91</t>
  </si>
  <si>
    <t>93191</t>
  </si>
  <si>
    <t>VERGA MOLDADA IN LOCO COM UTILIZAÇÃO DE BLOCOS CANALETA PARA JANELAS COM MAIS DE 1,5 M DE VÃO. AF_03/2016</t>
  </si>
  <si>
    <t>43,83</t>
  </si>
  <si>
    <t>93192</t>
  </si>
  <si>
    <t>VERGA MOLDADA IN LOCO COM UTILIZAÇÃO DE BLOCOS CANALETA PARA PORTAS COM ATÉ 1,5 M DE VÃO. AF_03/2016</t>
  </si>
  <si>
    <t>45,06</t>
  </si>
  <si>
    <t>93193</t>
  </si>
  <si>
    <t>VERGA MOLDADA IN LOCO COM UTILIZAÇÃO DE BLOCOS CANALETA PARA PORTAS COM MAIS DE 1,5 M DE VÃO. AF_03/2016</t>
  </si>
  <si>
    <t>44,84</t>
  </si>
  <si>
    <t>93194</t>
  </si>
  <si>
    <t>CONTRAVERGA PRÉ-MOLDADA PARA VÃOS DE ATÉ 1,5 M DE COMPRIMENTO. AF_03/2016</t>
  </si>
  <si>
    <t>47,11</t>
  </si>
  <si>
    <t>93195</t>
  </si>
  <si>
    <t>CONTRAVERGA PRÉ-MOLDADA PARA VÃOS DE MAIS DE 1,5 M DE COMPRIMENTO. AF_03/2016</t>
  </si>
  <si>
    <t>56,98</t>
  </si>
  <si>
    <t>93196</t>
  </si>
  <si>
    <t>CONTRAVERGA MOLDADA IN LOCO EM CONCRETO PARA VÃOS DE ATÉ 1,5 M DE COMPRIMENTO. AF_03/2016</t>
  </si>
  <si>
    <t>87,08</t>
  </si>
  <si>
    <t>93197</t>
  </si>
  <si>
    <t>CONTRAVERGA MOLDADA IN LOCO EM CONCRETO PARA VÃOS DE MAIS DE 1,5 M DE COMPRIMENTO. AF_03/2016</t>
  </si>
  <si>
    <t>97,13</t>
  </si>
  <si>
    <t>93198</t>
  </si>
  <si>
    <t>CONTRAVERGA MOLDADA IN LOCO COM UTILIZAÇÃO DE BLOCOS CANALETA PARA VÃOS DE ATÉ 1,5 M DE COMPRIMENTO. AF_03/2016</t>
  </si>
  <si>
    <t>34,85</t>
  </si>
  <si>
    <t>93199</t>
  </si>
  <si>
    <t>CONTRAVERGA MOLDADA IN LOCO COM UTILIZAÇÃO DE BLOCOS CANALETA PARA VÃOS DE MAIS DE 1,5 M DE COMPRIMENTO. AF_03/2016</t>
  </si>
  <si>
    <t>34,30</t>
  </si>
  <si>
    <t>93200</t>
  </si>
  <si>
    <t>FIXAÇÃO (ENCUNHAMENTO) DE ALVENARIA DE VEDAÇÃO COM ARGAMASSA APLICADA COM BISNAGA. AF_03/2016</t>
  </si>
  <si>
    <t>2,66</t>
  </si>
  <si>
    <t>93201</t>
  </si>
  <si>
    <t>FIXAÇÃO (ENCUNHAMENTO) DE ALVENARIA DE VEDAÇÃO COM ARGAMASSA APLICADA COM COLHER. AF_03/2016</t>
  </si>
  <si>
    <t>5,74</t>
  </si>
  <si>
    <t>93202</t>
  </si>
  <si>
    <t>FIXAÇÃO (ENCUNHAMENTO) DE ALVENARIA DE VEDAÇÃO COM TIJOLO MACIÇO. AF_03/2016</t>
  </si>
  <si>
    <t>22,19</t>
  </si>
  <si>
    <t>93203</t>
  </si>
  <si>
    <t>FIXAÇÃO (ENCUNHAMENTO) DE ALVENARIA DE VEDAÇÃO COM ESPUMA DE POLIURETANO EXPANSIVA. AF_03/2016</t>
  </si>
  <si>
    <t>13,05</t>
  </si>
  <si>
    <t>93204</t>
  </si>
  <si>
    <t>CINTA DE AMARRAÇÃO DE ALVENARIA MOLDADA IN LOCO EM CONCRETO. AF_03/2016</t>
  </si>
  <si>
    <t>64,34</t>
  </si>
  <si>
    <t>93205</t>
  </si>
  <si>
    <t>CINTA DE AMARRAÇÃO DE ALVENARIA MOLDADA IN LOCO COM UTILIZAÇÃO DE BLOCOS CANALETA. AF_03/2016</t>
  </si>
  <si>
    <t>35,39</t>
  </si>
  <si>
    <t>95952</t>
  </si>
  <si>
    <t>(COMPOSIÇÃO REPRESENTATIVA) EXECUÇÃO DE ESTRUTURAS DE CONCRETO ARMADO CONVENCIONAL, PARA EDIFICAÇÃO HABITACIONAL MULTIFAMILIAR (PRÉDIO), FCK = 25 MPA. AF_01/2017</t>
  </si>
  <si>
    <t>2.229,91</t>
  </si>
  <si>
    <t>95953</t>
  </si>
  <si>
    <t>(COMPOSIÇÃO REPRESENTATIVA) EXECUÇÃO DE ESTRUTURAS DE CONCRETO ARMADO, PARA EDIFICAÇÃO HABITACIONAL UNIFAMILIAR COM DOIS PAVIMENTOS (CASA ISOLADA), FCK = 25 MPA. AF_01/2017</t>
  </si>
  <si>
    <t>3.716,06</t>
  </si>
  <si>
    <t>95954</t>
  </si>
  <si>
    <t>(COMPOSIÇÃO REPRESENTATIVA) EXECUÇÃO DE ESTRUTURAS DE CONCRETO ARMADO, PARA EDIFICAÇÃO HABITACIONAL UNIFAMILIAR COM DOIS PAVIMENTOS (CASA EM EMPREENDIMENTOS), FCK = 25 MPA. AF_01/2017</t>
  </si>
  <si>
    <t>2.601,27</t>
  </si>
  <si>
    <t>95955</t>
  </si>
  <si>
    <t>(COMPOSIÇÃO REPRESENTATIVA) EXECUÇÃO DE ESTRUTURAS DE CONCRETO ARMADO, PARA EDIFICAÇÃO HABITACIONAL UNIFAMILIAR TÉRREA (CASA ISOLADA), FCK = 25 MPA. AF_01/2017</t>
  </si>
  <si>
    <t>3.281,04</t>
  </si>
  <si>
    <t>95956</t>
  </si>
  <si>
    <t>(COMPOSIÇÃO REPRESENTATIVA) EXECUÇÃO DE ESTRUTURAS DE CONCRETO ARMADO, PARA EDIFICAÇÃO HABITACIONAL UNIFAMILIAR TÉRREA (CASA EM EMPREENDIMENTOS), FCK = 25 MPA. AF_01/2017</t>
  </si>
  <si>
    <t>2.535,32</t>
  </si>
  <si>
    <t>95957</t>
  </si>
  <si>
    <t>(COMPOSIÇÃO REPRESENTATIVA) EXECUÇÃO DE ESTRUTURAS DE CONCRETO ARMADO, PARA EDIFICAÇÃO INSTITUCIONAL TÉRREA, FCK = 25 MPA. AF_01/2017</t>
  </si>
  <si>
    <t>3.390,12</t>
  </si>
  <si>
    <t>95969</t>
  </si>
  <si>
    <t>(COMPOSIÇÃO REPRESENTATIVA) EXECUÇÃO DE ESCADA EM CONCRETO ARMADO, MOLDADA IN LOCO, FCK = 25 MPA. AF_02/2017</t>
  </si>
  <si>
    <t>3.121,39</t>
  </si>
  <si>
    <t>97733</t>
  </si>
  <si>
    <t>PEÇA RETANGULAR PRÉ-MOLDADA, VOLUME DE CONCRETO DE ATÉ 10 LITROS, TAXA DE AÇO APROXIMADA DE 30KG/M³. AF_01/2018</t>
  </si>
  <si>
    <t>3.228,42</t>
  </si>
  <si>
    <t>97734</t>
  </si>
  <si>
    <t>PEÇA RETANGULAR PRÉ-MOLDADA, VOLUME DE CONCRETO DE 10 A 30 LITROS, TAXA DE AÇO APROXIMADA DE 30KG/M³. AF_01/2018</t>
  </si>
  <si>
    <t>2.737,77</t>
  </si>
  <si>
    <t>97735</t>
  </si>
  <si>
    <t>PEÇA RETANGULAR PRÉ-MOLDADA, VOLUME DE CONCRETO DE 30 A 100 LITROS, TAXA DE AÇO APROXIMADA DE 30KG/M³. AF_01/2018</t>
  </si>
  <si>
    <t>2.276,53</t>
  </si>
  <si>
    <t>97736</t>
  </si>
  <si>
    <t>PEÇA RETANGULAR PRÉ-MOLDADA, VOLUME DE CONCRETO ACIMA DE 100 LITROS, TAXA DE AÇO APROXIMADA DE 30KG/M³. AF_01/2018</t>
  </si>
  <si>
    <t>1.447,65</t>
  </si>
  <si>
    <t>97737</t>
  </si>
  <si>
    <t>PEÇA RETANGULAR PRÉ-MOLDADA, VOLUME DE CONCRETO DE 30 A 70 LITROS , TAXA DE AÇO APROXIMADA DE 70KG/M³. AF_01/2018</t>
  </si>
  <si>
    <t>3.354,70</t>
  </si>
  <si>
    <t>97738</t>
  </si>
  <si>
    <t>PEÇA CIRCULAR PRÉ-MOLDADA, VOLUME DE CONCRETO DE 10 A 30 LITROS, TAXA DE FIBRA DE POLIPROPILENO APROXIMADA DE 6 KG/M³. AF_01/2018_P</t>
  </si>
  <si>
    <t>4.913,55</t>
  </si>
  <si>
    <t>97739</t>
  </si>
  <si>
    <t>PEÇA CIRCULAR PRÉ-MOLDADA, VOLUME DE CONCRETO DE 30 A 100 LITROS, TAXA DE AÇO APROXIMADA DE 30KG/M³. AF_01/2018</t>
  </si>
  <si>
    <t>2.729,14</t>
  </si>
  <si>
    <t>97740</t>
  </si>
  <si>
    <t>PEÇA CIRCULAR PRÉ-MOLDADA, VOLUME DE CONCRETO ACIMA DE 100 LITROS, TAXA DE AÇO APROXIMADA DE 30KG/M³. AF_01/2018</t>
  </si>
  <si>
    <t>2.031,14</t>
  </si>
  <si>
    <t>98615</t>
  </si>
  <si>
    <t>CONTENÇÃO EM CORTINA COM ESTACAS ESPAÇADAS COM 30 CM DE DIÂMETRO E PROFUNDIDADE MENOR OU IGUAL A 10 M. AF_06/2018</t>
  </si>
  <si>
    <t>110,78</t>
  </si>
  <si>
    <t>98616</t>
  </si>
  <si>
    <t>CONTENÇÃO EM CORTINA COM ESTACAS ESPAÇADAS COM 30 CM DE DIÂMETRO E PROFUNDIDADE MAIOR QUE 10 M E MENOR OU IGUAL A 15 M. AF_06/2018</t>
  </si>
  <si>
    <t>83,11</t>
  </si>
  <si>
    <t>98617</t>
  </si>
  <si>
    <t>CONTENÇÃO EM CORTINA COM ESTACAS ESPAÇADAS COM 30 CM DE DIÂMETRO E PROFUNDIDADE MAIOR QUE 15 M. AF_06/2018</t>
  </si>
  <si>
    <t>75,19</t>
  </si>
  <si>
    <t>98618</t>
  </si>
  <si>
    <t>CONTENÇÃO EM CORTINA COM ESTACAS ESPAÇADAS COM 40 CM DE DIÂMETRO E PROFUNDIDADE MENOR OU IGUAL A 10 M. AF_06/2018</t>
  </si>
  <si>
    <t>104,09</t>
  </si>
  <si>
    <t>98619</t>
  </si>
  <si>
    <t>CONTENÇÃO EM CORTINA COM ESTACAS ESPAÇADAS COM 40 CM DE DIÂMETRO E PROFUNDIDADE MAIOR QUE 10 M E MENOR OU IGUAL A 15 M. AF_06/2018</t>
  </si>
  <si>
    <t>92,13</t>
  </si>
  <si>
    <t>98620</t>
  </si>
  <si>
    <t>CONTENÇÃO EM CORTINA COM ESTACAS ESPAÇADAS COM 40 CM DE DIÂMETRO E PROFUNDIDADE MAIOR QUE 15 M. AF_06/2018</t>
  </si>
  <si>
    <t>86,12</t>
  </si>
  <si>
    <t>98621</t>
  </si>
  <si>
    <t>CONTENÇÃO EM CORTINA COM ESTACAS ESPAÇADAS COM 50 CM DE DIÂMETRO E PROFUNDIDADE MENOR OU IGUAL A 10 M. AF_06/2018</t>
  </si>
  <si>
    <t>114,57</t>
  </si>
  <si>
    <t>98622</t>
  </si>
  <si>
    <t>CONTENÇÃO EM CORTINA COM ESTACAS ESPAÇADAS COM 50 CM DE DIÂMETRO E PROFUNDIDADE MAIOR QUE 10 M E MENOR OU IGUAL A 15 M. AF_06/2018</t>
  </si>
  <si>
    <t>105,00</t>
  </si>
  <si>
    <t>98623</t>
  </si>
  <si>
    <t>CONTENÇÃO EM CORTINA COM ESTACAS ESPAÇADAS COM 50 CM DE DIÂMETRO E PROFUNDIDADE MAIOR QUE 15 M. AF_06/2018</t>
  </si>
  <si>
    <t>100,12</t>
  </si>
  <si>
    <t>98624</t>
  </si>
  <si>
    <t>CONTENÇÃO EM CORTINA COM ESTACAS ESPAÇADAS COM 60 CM DE DIÂMETRO E PROFUNDIDADE MENOR OU IGUAL A 10 M. AF_06/2018</t>
  </si>
  <si>
    <t>126,75</t>
  </si>
  <si>
    <t>98625</t>
  </si>
  <si>
    <t>CONTENÇÃO EM CORTINA COM ESTACAS ESPAÇADAS COM 60 CM DE DIÂMETRO E PROFUNDIDADE MAIOR QUE 10 M E MENOR OU IGUAL A 15 M. AF_06/2018</t>
  </si>
  <si>
    <t>118,68</t>
  </si>
  <si>
    <t>98626</t>
  </si>
  <si>
    <t>CONTENÇÃO EM CORTINA COM ESTACAS ESPAÇADAS COM 60 CM DE DIÂMETRO E PROFUNDIDADE MAIOR QUE 15 M. AF_06/2018</t>
  </si>
  <si>
    <t>114,56</t>
  </si>
  <si>
    <t>98655</t>
  </si>
  <si>
    <t>EXECUÇÃO DE MURETA GUIA PARA CONTENÇÃO/ FUNDAÇÃO COM 30 CM DE ESPESSURA. AF_06/2018</t>
  </si>
  <si>
    <t>660,64</t>
  </si>
  <si>
    <t>98656</t>
  </si>
  <si>
    <t>EXECUÇÃO DE MURETA GUIA PARA CONTENÇÃO/ FUNDAÇÃO COM 40 CM DE ESPESSURA. AF_06/2018</t>
  </si>
  <si>
    <t>670,34</t>
  </si>
  <si>
    <t>98657</t>
  </si>
  <si>
    <t>EXECUÇÃO DE MURETA GUIA PARA CONTENÇÃO/ FUNDAÇÃO COM 50 CM DE ESPESSURA. AF_06/2018</t>
  </si>
  <si>
    <t>680,03</t>
  </si>
  <si>
    <t>98658</t>
  </si>
  <si>
    <t>EXECUÇÃO DE MURETA GUIA PARA CONTENÇÃO/ FUNDAÇÃO COM 60 CM DE ESPESSURA. AF_06/2018</t>
  </si>
  <si>
    <t>689,72</t>
  </si>
  <si>
    <t>98659</t>
  </si>
  <si>
    <t>EXECUÇÃO DE MURETA GUIA PARA CONTENÇÃO/ FUNDAÇÃO COM 80 CM DE ESPESSURA. AF_06/2018</t>
  </si>
  <si>
    <t>709,12</t>
  </si>
  <si>
    <t>98746</t>
  </si>
  <si>
    <t>SOLDA DE TOPO EM CHAPA/PERFIL/TUBO DE AÇO CHANFRADO, ESPESSURA=1/4''. AF_06/2018</t>
  </si>
  <si>
    <t>63,64</t>
  </si>
  <si>
    <t>98749</t>
  </si>
  <si>
    <t>SOLDA DE TOPO EM CHAPA/PERFIL/TUBO DE AÇO CHANFRADO, ESPESSURA=5/16''. AF_06/2018</t>
  </si>
  <si>
    <t>75,04</t>
  </si>
  <si>
    <t>98750</t>
  </si>
  <si>
    <t>SOLDA DE TOPO EM CHAPA/PERFIL/TUBO DE AÇO CHANFRADO, ESPESSURA=3/8''. AF_06/2018</t>
  </si>
  <si>
    <t>88,73</t>
  </si>
  <si>
    <t>98751</t>
  </si>
  <si>
    <t>SOLDA DE TOPO EM CHAPA/PERFIL/TUBO DE AÇO CHANFRADO, ESPESSURA=1/2''. AF_06/2018</t>
  </si>
  <si>
    <t>124,42</t>
  </si>
  <si>
    <t>98752</t>
  </si>
  <si>
    <t>SOLDA DE TOPO EM CHAPA/PERFIL/TUBO DE AÇO CHANFRADO, ESPESSURA=5/8''. AF_06/2018</t>
  </si>
  <si>
    <t>167,25</t>
  </si>
  <si>
    <t>98753</t>
  </si>
  <si>
    <t>SOLDA DE TOPO EM CHAPA/PERFIL/TUBO DE AÇO CHANFRADO, ESPESSURA=3/4''. AF_06/2018</t>
  </si>
  <si>
    <t>220,39</t>
  </si>
  <si>
    <t>100763</t>
  </si>
  <si>
    <t>VIGA METÁLICA EM PERFIL LAMINADO OU SOLDADO EM AÇO ESTRUTURAL, COM CONEXÕES PARAFUSADAS, INCLUSOS MÃO DE OBRA, TRANSPORTE E IÇAMENTO UTILIZANDO GUINDASTE - FORNECIMENTO E INSTALAÇÃO. AF_01/2020_P</t>
  </si>
  <si>
    <t>23,22</t>
  </si>
  <si>
    <t>100764</t>
  </si>
  <si>
    <t>VIGA METÁLICA EM PERFIL LAMINADO OU SOLDADO EM AÇO ESTRUTURAL, COM CONEXÕES SOLDADAS, INCLUSOS MÃO DE OBRA, TRANSPORTE E IÇAMENTO UTILIZANDO GUINDASTE - FORNECIMENTO E INSTALAÇÃO. AF_01/2020_P</t>
  </si>
  <si>
    <t>100765</t>
  </si>
  <si>
    <t>PILAR METÁLICO PERFIL LAMINADO/SOLDADO EM AÇO ESTRUTURAL, COM CONEXÕES PARAFUSADAS, INCLUSOS MÃO DE OBRA, TRANSPORTE E IÇAMENTO UTILIZANDO GUINDASTE - FORNECIMENTO E INSTALAÇÃO. AF_01/2020_P</t>
  </si>
  <si>
    <t>22,81</t>
  </si>
  <si>
    <t>100766</t>
  </si>
  <si>
    <t>PILAR METÁLICO PERFIL LAMINADO OU SOLDADO EM AÇO ESTRUTURAL, COM CONEXÕES SOLDADAS, INCLUSOS MÃO DE OBRA, TRANSPORTE E IÇAMENTO UTILIZANDO GUINDASTE - FORNECIMENTO E INSTALAÇÃO. AF_01/2020_P</t>
  </si>
  <si>
    <t>23,11</t>
  </si>
  <si>
    <t>100767</t>
  </si>
  <si>
    <t>CONTRAVENTAMENTO COM CANTONEIRAS DE AÇO, ABAS IGUAIS, COM CONEXÕES PARAFUSADAS, INCLUSOS MÃO DE OBRA, TRANSPORTE E IÇAMENTO UTILIZANDO TALHA MANUAL, PARA EDIFÍCIOS DE ATÉ 2 PAVIMENTOS - FORNECIMENTO E INSTALAÇÃO. AF_01/2020_P</t>
  </si>
  <si>
    <t>22,07</t>
  </si>
  <si>
    <t>100768</t>
  </si>
  <si>
    <t>CONTRAVENTAMENTO COM CANTONEIRAS DE AÇO, ABAS IGUAIS, COM CONEXÕES SOLDADAS, INCLUSOS MÃO DE OBRA, TRANSPORTE E IÇAMENTO UTILIZANDO TALHA MANUAL, PARA EDIFÍCIOS DE ATÉ 2 PAVIMENTOS - FORNECIMENTO E INSTALAÇÃO. AF_01/2020_P</t>
  </si>
  <si>
    <t>27,68</t>
  </si>
  <si>
    <t>100769</t>
  </si>
  <si>
    <t>CONTRAVENTAMENTO COM CANTONEIRAS DE AÇO, ABAS IGUAIS, COM CONEXÕES PARAFUSADAS, INCLUSOS MÃO DE OBRA, TRANSPORTE E IÇAMENTO UTILIZANDO GUINDASTE, PARA EDIFÍCIOS DE 3 A 5 PAVIMENTOS - FORNECIMENTO E INSTALAÇÃO. AF_01/2020_P</t>
  </si>
  <si>
    <t>29,29</t>
  </si>
  <si>
    <t>100770</t>
  </si>
  <si>
    <t>CONTRAVENTAMENTO COM CANTONEIRAS DE AÇO, ABAS IGUAIS, COM CONEXÕES SOLDADAS, INCLUSOS MÃO DE OBRA, TRANSPORTE E IÇAMENTO UTILIZANDO GUINDASTE, PARA EDIFÍCIOS DE 3 A 5 PAVIMENTOS - FORNECIMENTO E INSTALAÇÃO. AF_01/2020_P</t>
  </si>
  <si>
    <t>28,63</t>
  </si>
  <si>
    <t>100771</t>
  </si>
  <si>
    <t>CONTRAVENTAMENTO COM CANTONEIRAS DE AÇO, ABAS IGUAIS, COM CONEXÕES PARAFUSADAS, INCLUSOS MÃO DE OBRA, TRANSPORTE E IÇAMENTO UTILIZANDO GRUA, PARA EDIFÍCIOS DE 6 A 10 PAVIMENTOS - FORNECIMENTO E INSTALAÇÃO. AF_01/2020_P</t>
  </si>
  <si>
    <t>33,93</t>
  </si>
  <si>
    <t>100772</t>
  </si>
  <si>
    <t>CONTRAVENTAMENTO COM CANTONEIRAS DE AÇO, ABAS IGUAIS, COM CONEXÕES SOLDADAS, INCLUSOS MÃO DE OBRA, TRANSPORTE E IÇAMENTO UTILIZANDO GRUA, PARA EDIFÍCIOS DE 6 A 10 PAVIMENTOS - FORNECIMENTO E INSTALAÇÃO. AF_01/2020_P</t>
  </si>
  <si>
    <t>22,13</t>
  </si>
  <si>
    <t>100773</t>
  </si>
  <si>
    <t>ESTRUTURA TRELIÇADA DE COBERTURA, TIPO ARCO, COM LIGAÇÕES SOLDADAS, INCLUSOS PERFIS METÁLICOS, CHAPAS METÁLICAS, MÃO DE OBRA E TRANSPORTE COM GUINDASTE - FORNECIMENTO E INSTALAÇÃO. AF_01/2020_P</t>
  </si>
  <si>
    <t>24,99</t>
  </si>
  <si>
    <t>100774</t>
  </si>
  <si>
    <t>ESTRUTURA TRELIÇADA DE COBERTURA, TIPO SHED, COM LIGAÇÕES SOLDADAS, INCLUSOS PERFIS METÁLICOS, CHAPAS METÁLICAS, MÃO DE OBRA E TRANSPORTE COM GUINDASTE - FORNECIMENTO E INSTALAÇÃO. AF_01/2020_P</t>
  </si>
  <si>
    <t>17,35</t>
  </si>
  <si>
    <t>100775</t>
  </si>
  <si>
    <t>ESTRUTURA TRELIÇADA DE COBERTURA, TIPO FINK, COM LIGAÇÕES SOLDADAS, INCLUSOS PERFIS METÁLICOS, CHAPAS METÁLICAS, MÃO DE OBRA E TRANSPORTE COM GUINDASTE - FORNECIMENTO E INSTALAÇÃO. AF_01/2020_P</t>
  </si>
  <si>
    <t>19,38</t>
  </si>
  <si>
    <t>100776</t>
  </si>
  <si>
    <t>ESTRUTURA TRELIÇADA DE COBERTURA, TIPO ARCO, COM LIGAÇÕES PARAFUSADAS, INCLUSOS PERFIS METÁLICOS, CHAPAS METÁLICAS, MÃO DE OBRA E TRANSPORTE COM GUINDASTE - FORNECIMENTO E INSTALAÇÃO. AF_01/2020_P</t>
  </si>
  <si>
    <t>25,05</t>
  </si>
  <si>
    <t>100777</t>
  </si>
  <si>
    <t>ESTRUTURA TRELIÇADA DE COBERTURA, TIPO SHED, COM LIGAÇÕES PARAFUSADAS, INCLUSOS PERFIS METÁLICOS, CHAPAS METÁLICAS, MÃO DE OBRA E TRANSPORTE COM GUINDASTE - FORNECIMENTO E INSTALAÇÃO. AF_01/2020_P</t>
  </si>
  <si>
    <t>20,54</t>
  </si>
  <si>
    <t>100778</t>
  </si>
  <si>
    <t>ESTRUTURA TRELIÇADA DE COBERTURA, TIPO FINK, COM LIGAÇÕES PARAFUSADAS, INCLUSOS PERFIS METÁLICOS, CHAPAS METÁLICAS, MÃO DE OBRA E TRANSPORTE COM GUINDASTE - FORNECIMENTO E INSTALAÇÃO. AF_01/2020_P</t>
  </si>
  <si>
    <t>15,74</t>
  </si>
  <si>
    <t>98560</t>
  </si>
  <si>
    <t>IMPERMEABILIZAÇÃO DE PISO COM ARGAMASSA DE CIMENTO E AREIA, COM ADITIVO IMPERMEABILIZANTE, E = 2CM. AF_06/2018</t>
  </si>
  <si>
    <t>42,07</t>
  </si>
  <si>
    <t>98561</t>
  </si>
  <si>
    <t>IMPERMEABILIZAÇÃO DE PAREDES COM ARGAMASSA DE CIMENTO E AREIA, COM ADITIVO IMPERMEABILIZANTE, E = 2CM. AF_06/2018</t>
  </si>
  <si>
    <t>38,33</t>
  </si>
  <si>
    <t>98562</t>
  </si>
  <si>
    <t>IMPERMEABILIZAÇÃO DE FLOREIRA OU VIGA BALDRAME COM ARGAMASSA DE CIMENTO E AREIA, COM ADITIVO IMPERMEABILIZANTE, E = 2 CM. AF_06/2018</t>
  </si>
  <si>
    <t>98555</t>
  </si>
  <si>
    <t>IMPERMEABILIZAÇÃO DE SUPERFÍCIE COM ARGAMASSA POLIMÉRICA / MEMBRANA ACRÍLICA, 3 DEMÃOS. AF_06/2018</t>
  </si>
  <si>
    <t>24,16</t>
  </si>
  <si>
    <t>98556</t>
  </si>
  <si>
    <t>IMPERMEABILIZAÇÃO DE SUPERFÍCIE COM ARGAMASSA POLIMÉRICA / MEMBRANA ACRÍLICA, 4 DEMÃOS, REFORÇADA COM VÉU DE POLIÉSTER (MAV). AF_06/2018</t>
  </si>
  <si>
    <t>47,87</t>
  </si>
  <si>
    <t>98558</t>
  </si>
  <si>
    <t>TRATAMENTO DE RALO OU PONTO EMERGENTE COM ARGAMASSA POLIMÉRICA / MEMBRANA ACRÍLICA REFORÇADO COM VÉU DE POLIÉSTER (MAV). AF_06/2018</t>
  </si>
  <si>
    <t>98559</t>
  </si>
  <si>
    <t>TRATAMENTO DE RODAPÉ COM VÉU DE POLIÉSTER. AF_06/2018</t>
  </si>
  <si>
    <t>4,91</t>
  </si>
  <si>
    <t>98546</t>
  </si>
  <si>
    <t>IMPERMEABILIZAÇÃO DE SUPERFÍCIE COM MANTA ASFÁLTICA, UMA CAMADA, INCLUSIVE APLICAÇÃO DE PRIMER ASFÁLTICO, E=3MM. AF_06/2018</t>
  </si>
  <si>
    <t>104,72</t>
  </si>
  <si>
    <t>98547</t>
  </si>
  <si>
    <t>IMPERMEABILIZAÇÃO DE SUPERFÍCIE COM MANTA ASFÁLTICA, DUAS CAMADAS, INCLUSIVE APLICAÇÃO DE PRIMER ASFÁLTICO, E=3MM E E=4MM. AF_06/2018</t>
  </si>
  <si>
    <t>204,62</t>
  </si>
  <si>
    <t>98553</t>
  </si>
  <si>
    <t>IMPERMEABILIZAÇÃO DE SUPERFÍCIE COM MEMBRANA À BASE DE POLIURETANO, 2 DEMÃOS. AF_06/2018</t>
  </si>
  <si>
    <t>117,21</t>
  </si>
  <si>
    <t>98554</t>
  </si>
  <si>
    <t>IMPERMEABILIZAÇÃO DE SUPERFÍCIE COM MEMBRANA À BASE DE RESINA ACRÍLICA, 3 DEMÃOS. AF_06/2018</t>
  </si>
  <si>
    <t>40,43</t>
  </si>
  <si>
    <t>98557</t>
  </si>
  <si>
    <t>IMPERMEABILIZAÇÃO DE SUPERFÍCIE COM EMULSÃO ASFÁLTICA, 2 DEMÃOS AF_06/2018</t>
  </si>
  <si>
    <t>34,70</t>
  </si>
  <si>
    <t>98563</t>
  </si>
  <si>
    <t>PROTEÇÃO MECÂNICA DE SUPERFÍCIE HORIZONTAL COM ARGAMASSA DE CIMENTO E AREIA, TRAÇO 1:3, E=2CM. AF_06/2018</t>
  </si>
  <si>
    <t>29,31</t>
  </si>
  <si>
    <t>98564</t>
  </si>
  <si>
    <t>PROTEÇÃO MECÂNICA DE SUPERFÍCIE VERTICAL COM ARGAMASSA DE CIMENTO E AREIA, TRAÇO 1:3, E=2CM. AF_06/2018</t>
  </si>
  <si>
    <t>42,30</t>
  </si>
  <si>
    <t>98565</t>
  </si>
  <si>
    <t>PROTEÇÃO MECÂNICA DE SUPERFICIE HORIZONTAL COM ARGAMASSA DE CIMENTO E AREIA, TRAÇO 1:3, E=3CM. AF_06/2018</t>
  </si>
  <si>
    <t>42,12</t>
  </si>
  <si>
    <t>98566</t>
  </si>
  <si>
    <t>PROTEÇÃO MECÂNICA DE SUPERFÍCIE VERTICAL COM ARGAMASSA DE CIMENTO E AREIA, TRAÇO 1:3, E=3CM. AF_06/2018</t>
  </si>
  <si>
    <t>55,09</t>
  </si>
  <si>
    <t>98567</t>
  </si>
  <si>
    <t>PROTEÇÃO MECÂNICA DE SUPERFICIE HORIZONTAL COM ARGAMASSA DE CIMENTO E AREIA, TRAÇO 1:3, E=4CM. AF_06/2018</t>
  </si>
  <si>
    <t>54,37</t>
  </si>
  <si>
    <t>98568</t>
  </si>
  <si>
    <t>PROTEÇÃO MECÂNICA DE SUPERFÍCIE VERTICAL COM ARGAMASSA DE CIMENTO E AREIA, TRAÇO 1:3, E=4CM. AF_06/2018</t>
  </si>
  <si>
    <t>67,32</t>
  </si>
  <si>
    <t>98569</t>
  </si>
  <si>
    <t>PROTEÇÃO MECÂNICA DE SUPERFICIE HORIZONTAL COM ARGAMASSA DE CIMENTO E AREIA, TRAÇO 1:3, E=5CM. AF_06/2018</t>
  </si>
  <si>
    <t>98570</t>
  </si>
  <si>
    <t>PROTEÇÃO MECÂNICA DE SUPERFÍCIE VERTICAL COM ARGAMASSA DE CIMENTO E AREIA, TRAÇO 1:3, E=5CM. AF_06/2018</t>
  </si>
  <si>
    <t>80,15</t>
  </si>
  <si>
    <t>98571</t>
  </si>
  <si>
    <t>PROTEÇÃO MECÂNICA DE SUPERFICIE HORIZONTAL COM CONCRETO 15 MPA, E=4CM. AF_06/2018</t>
  </si>
  <si>
    <t>33,61</t>
  </si>
  <si>
    <t>98572</t>
  </si>
  <si>
    <t>PROTEÇÃO MECÂNICA DE SUPERFICIE HORIZONTAL COM CONCRETO 15 MPA, E=5CM. AF_06/2018</t>
  </si>
  <si>
    <t>41,36</t>
  </si>
  <si>
    <t>98573</t>
  </si>
  <si>
    <t>PROTEÇÃO MECÂNICA DE SUPERFÍCIE VERTICAL COM CONCRETO 15 MPA, E=5CM. AF_06/2018</t>
  </si>
  <si>
    <t>53,94</t>
  </si>
  <si>
    <t>91831</t>
  </si>
  <si>
    <t>ELETRODUTO FLEXÍVEL CORRUGADO, PVC, DN 20 MM (1/2"), PARA CIRCUITOS TERMINAIS, INSTALADO EM FORRO - FORNECIMENTO E INSTALAÇÃO. AF_12/2015</t>
  </si>
  <si>
    <t>7,87</t>
  </si>
  <si>
    <t>91833</t>
  </si>
  <si>
    <t>ELETRODUTO FLEXÍVEL CORRUGADO REFORÇADO, PVC, DN 20 MM (1/2"), PARA CIRCUITOS TERMINAIS, INSTALADO EM FORRO - FORNECIMENTO E INSTALAÇÃO. AF_12/2015</t>
  </si>
  <si>
    <t>8,40</t>
  </si>
  <si>
    <t>91834</t>
  </si>
  <si>
    <t>ELETRODUTO FLEXÍVEL CORRUGADO, PVC, DN 25 MM (3/4"), PARA CIRCUITOS TERMINAIS, INSTALADO EM FORRO - FORNECIMENTO E INSTALAÇÃO. AF_12/2015</t>
  </si>
  <si>
    <t>91835</t>
  </si>
  <si>
    <t>ELETRODUTO FLEXÍVEL CORRUGADO REFORÇADO, PVC, DN 25 MM (3/4"), PARA CIRCUITOS TERMINAIS, INSTALADO EM FORRO - FORNECIMENTO E INSTALAÇÃO. AF_12/2015</t>
  </si>
  <si>
    <t>10,13</t>
  </si>
  <si>
    <t>91836</t>
  </si>
  <si>
    <t>ELETRODUTO FLEXÍVEL CORRUGADO, PVC, DN 32 MM (1"), PARA CIRCUITOS TERMINAIS, INSTALADO EM FORRO - FORNECIMENTO E INSTALAÇÃO. AF_12/2015</t>
  </si>
  <si>
    <t>11,56</t>
  </si>
  <si>
    <t>91837</t>
  </si>
  <si>
    <t>ELETRODUTO FLEXÍVEL CORRUGADO REFORÇADO, PVC, DN 32 MM (1"), PARA CIRCUITOS TERMINAIS, INSTALADO EM FORRO - FORNECIMENTO E INSTALAÇÃO. AF_12/2015</t>
  </si>
  <si>
    <t>91839</t>
  </si>
  <si>
    <t>ELETRODUTO FLEXÍVEL LISO, PEAD, DN 32 MM (1"), PARA CIRCUITOS TERMINAIS, INSTALADO EM FORRO - FORNECIMENTO E INSTALAÇÃO. AF_12/2015</t>
  </si>
  <si>
    <t>9,90</t>
  </si>
  <si>
    <t>91840</t>
  </si>
  <si>
    <t>ELETRODUTO FLEXÍVEL CORRUGADO, PEAD, DN 40 MM (1 1/4"), PARA CIRCUITOS TERMINAIS, INSTALADO EM FORRO - FORNECIMENTO E INSTALAÇÃO. AF_12/2015</t>
  </si>
  <si>
    <t>91841</t>
  </si>
  <si>
    <t>ELETRODUTO FLEXÍVEL LISO, PEAD, DN 40 MM (1 1/4"), PARA CIRCUITOS TERMINAIS, INSTALADO EM FORRO - FORNECIMENTO E INSTALAÇÃO. AF_12/2015</t>
  </si>
  <si>
    <t>11,78</t>
  </si>
  <si>
    <t>91842</t>
  </si>
  <si>
    <t>ELETRODUTO FLEXÍVEL CORRUGADO, PVC, DN 20 MM (1/2"), PARA CIRCUITOS TERMINAIS, INSTALADO EM LAJE - FORNECIMENTO E INSTALAÇÃO. AF_12/2015</t>
  </si>
  <si>
    <t>91843</t>
  </si>
  <si>
    <t>ELETRODUTO FLEXÍVEL CORRUGADO REFORÇADO, PVC, DN 20 MM (1/2"), PARA CIRCUITOS TERMINAIS, INSTALADO EM LAJE - FORNECIMENTO E INSTALAÇÃO. AF_12/2015</t>
  </si>
  <si>
    <t>6,34</t>
  </si>
  <si>
    <t>91844</t>
  </si>
  <si>
    <t>ELETRODUTO FLEXÍVEL CORRUGADO, PVC, DN 25 MM (3/4"), PARA CIRCUITOS TERMINAIS, INSTALADO EM LAJE - FORNECIMENTO E INSTALAÇÃO. AF_12/2015</t>
  </si>
  <si>
    <t>6,73</t>
  </si>
  <si>
    <t>91845</t>
  </si>
  <si>
    <t>ELETRODUTO FLEXÍVEL CORRUGADO REFORÇADO, PVC, DN 25 MM (3/4"), PARA CIRCUITOS TERMINAIS, INSTALADO EM LAJE - FORNECIMENTO E INSTALAÇÃO. AF_12/2015</t>
  </si>
  <si>
    <t>8,08</t>
  </si>
  <si>
    <t>91846</t>
  </si>
  <si>
    <t>ELETRODUTO FLEXÍVEL CORRUGADO, PVC, DN 32 MM (1"), PARA CIRCUITOS TERMINAIS, INSTALADO EM LAJE - FORNECIMENTO E INSTALAÇÃO. AF_12/2015</t>
  </si>
  <si>
    <t>9,53</t>
  </si>
  <si>
    <t>91847</t>
  </si>
  <si>
    <t>ELETRODUTO FLEXÍVEL CORRUGADO REFORÇADO, PVC, DN 32 MM (1"), PARA CIRCUITOS TERMINAIS, INSTALADO EM LAJE - FORNECIMENTO E INSTALAÇÃO. AF_12/2015</t>
  </si>
  <si>
    <t>12,67</t>
  </si>
  <si>
    <t>91849</t>
  </si>
  <si>
    <t>ELETRODUTO FLEXÍVEL LISO, PEAD, DN 32 MM (1"), PARA CIRCUITOS TERMINAIS, INSTALADO EM LAJE - FORNECIMENTO E INSTALAÇÃO. AF_12/2015</t>
  </si>
  <si>
    <t>91850</t>
  </si>
  <si>
    <t>ELETRODUTO FLEXÍVEL CORRUGADO, PEAD, DN 40 MM (1 1/4"), PARA CIRCUITOS TERMINAIS, INSTALADO EM LAJE - FORNECIMENTO E INSTALAÇÃO. AF_12/2015</t>
  </si>
  <si>
    <t>10,43</t>
  </si>
  <si>
    <t>91851</t>
  </si>
  <si>
    <t>ELETRODUTO FLEXÍVEL LISO, PEAD, DN 40 MM (1 1/4"), PARA CIRCUITOS TERMINAIS, INSTALADO EM LAJE - FORNECIMENTO E INSTALAÇÃO. AF_12/2015</t>
  </si>
  <si>
    <t>9,80</t>
  </si>
  <si>
    <t>91852</t>
  </si>
  <si>
    <t>ELETRODUTO FLEXÍVEL CORRUGADO, PVC, DN 20 MM (1/2"), PARA CIRCUITOS TERMINAIS, INSTALADO EM PAREDE - FORNECIMENTO E INSTALAÇÃO. AF_12/2015</t>
  </si>
  <si>
    <t>8,29</t>
  </si>
  <si>
    <t>91853</t>
  </si>
  <si>
    <t>ELETRODUTO FLEXÍVEL CORRUGADO REFORÇADO, PVC, DN 20 MM (1/2"), PARA CIRCUITOS TERMINAIS, INSTALADO EM PAREDE - FORNECIMENTO E INSTALAÇÃO. AF_12/2015</t>
  </si>
  <si>
    <t>91854</t>
  </si>
  <si>
    <t>ELETRODUTO FLEXÍVEL CORRUGADO, PVC, DN 25 MM (3/4"), PARA CIRCUITOS TERMINAIS, INSTALADO EM PAREDE - FORNECIMENTO E INSTALAÇÃO. AF_12/2015</t>
  </si>
  <si>
    <t>9,18</t>
  </si>
  <si>
    <t>91855</t>
  </si>
  <si>
    <t>ELETRODUTO FLEXÍVEL CORRUGADO REFORÇADO, PVC, DN 25 MM (3/4"), PARA CIRCUITOS TERMINAIS, INSTALADO EM PAREDE - FORNECIMENTO E INSTALAÇÃO. AF_12/2015</t>
  </si>
  <si>
    <t>10,44</t>
  </si>
  <si>
    <t>91856</t>
  </si>
  <si>
    <t>ELETRODUTO FLEXÍVEL CORRUGADO, PVC, DN 32 MM (1"), PARA CIRCUITOS TERMINAIS, INSTALADO EM PAREDE - FORNECIMENTO E INSTALAÇÃO. AF_12/2015</t>
  </si>
  <si>
    <t>91857</t>
  </si>
  <si>
    <t>ELETRODUTO FLEXÍVEL CORRUGADO REFORÇADO, PVC, DN 32 MM (1"), PARA CIRCUITOS TERMINAIS, INSTALADO EM PAREDE - FORNECIMENTO E INSTALAÇÃO. AF_12/2015</t>
  </si>
  <si>
    <t>14,74</t>
  </si>
  <si>
    <t>91859</t>
  </si>
  <si>
    <t>ELETRODUTO FLEXÍVEL LISO, PEAD, DN 32 MM (1"), PARA CIRCUITOS TERMINAIS, INSTALADO EM PAREDE - FORNECIMENTO E INSTALAÇÃO. AF_12/2015</t>
  </si>
  <si>
    <t>10,30</t>
  </si>
  <si>
    <t>91860</t>
  </si>
  <si>
    <t>ELETRODUTO FLEXÍVEL CORRUGADO, PEAD, DN 40 MM (1 1/4"), PARA CIRCUITOS TERMINAIS, INSTALADO EM PAREDE - FORNECIMENTO E INSTALAÇÃO. AF_12/2015</t>
  </si>
  <si>
    <t>12,75</t>
  </si>
  <si>
    <t>91861</t>
  </si>
  <si>
    <t>ELETRODUTO FLEXÍVEL LISO, PEAD, DN 40 MM (1 1/4"), PARA CIRCUITOS TERMINAIS, INSTALADO EM PAREDE - FORNECIMENTO E INSTALAÇÃO. AF_12/2015</t>
  </si>
  <si>
    <t>12,16</t>
  </si>
  <si>
    <t>91862</t>
  </si>
  <si>
    <t>ELETRODUTO RÍGIDO ROSCÁVEL, PVC, DN 20 MM (1/2"), PARA CIRCUITOS TERMINAIS, INSTALADO EM FORRO - FORNECIMENTO E INSTALAÇÃO. AF_12/2015</t>
  </si>
  <si>
    <t>91863</t>
  </si>
  <si>
    <t>ELETRODUTO RÍGIDO ROSCÁVEL, PVC, DN 25 MM (3/4"), PARA CIRCUITOS TERMINAIS, INSTALADO EM FORRO - FORNECIMENTO E INSTALAÇÃO. AF_12/2015</t>
  </si>
  <si>
    <t>11,30</t>
  </si>
  <si>
    <t>91864</t>
  </si>
  <si>
    <t>ELETRODUTO RÍGIDO ROSCÁVEL, PVC, DN 32 MM (1"), PARA CIRCUITOS TERMINAIS, INSTALADO EM FORRO - FORNECIMENTO E INSTALAÇÃO. AF_12/2015</t>
  </si>
  <si>
    <t>14,98</t>
  </si>
  <si>
    <t>91865</t>
  </si>
  <si>
    <t>ELETRODUTO RÍGIDO ROSCÁVEL, PVC, DN 40 MM (1 1/4"), PARA CIRCUITOS TERMINAIS, INSTALADO EM FORRO - FORNECIMENTO E INSTALAÇÃO. AF_12/2015</t>
  </si>
  <si>
    <t>18,66</t>
  </si>
  <si>
    <t>91866</t>
  </si>
  <si>
    <t>ELETRODUTO RÍGIDO ROSCÁVEL, PVC, DN 20 MM (1/2"), PARA CIRCUITOS TERMINAIS, INSTALADO EM LAJE - FORNECIMENTO E INSTALAÇÃO. AF_12/2015</t>
  </si>
  <si>
    <t>7,70</t>
  </si>
  <si>
    <t>91867</t>
  </si>
  <si>
    <t>ELETRODUTO RÍGIDO ROSCÁVEL, PVC, DN 25 MM (3/4"), PARA CIRCUITOS TERMINAIS, INSTALADO EM LAJE - FORNECIMENTO E INSTALAÇÃO. AF_12/2015</t>
  </si>
  <si>
    <t>9,39</t>
  </si>
  <si>
    <t>91868</t>
  </si>
  <si>
    <t>ELETRODUTO RÍGIDO ROSCÁVEL, PVC, DN 32 MM (1"), PARA CIRCUITOS TERMINAIS, INSTALADO EM LAJE - FORNECIMENTO E INSTALAÇÃO. AF_12/2015</t>
  </si>
  <si>
    <t>13,09</t>
  </si>
  <si>
    <t>91869</t>
  </si>
  <si>
    <t>ELETRODUTO RÍGIDO ROSCÁVEL, PVC, DN 40 MM (1 1/4"), PARA CIRCUITOS TERMINAIS, INSTALADO EM LAJE - FORNECIMENTO E INSTALAÇÃO. AF_12/2015</t>
  </si>
  <si>
    <t>16,78</t>
  </si>
  <si>
    <t>91870</t>
  </si>
  <si>
    <t>ELETRODUTO RÍGIDO ROSCÁVEL, PVC, DN 20 MM (1/2"), PARA CIRCUITOS TERMINAIS, INSTALADO EM PAREDE - FORNECIMENTO E INSTALAÇÃO. AF_12/2015</t>
  </si>
  <si>
    <t>10,83</t>
  </si>
  <si>
    <t>91871</t>
  </si>
  <si>
    <t>ELETRODUTO RÍGIDO ROSCÁVEL, PVC, DN 25 MM (3/4"), PARA CIRCUITOS TERMINAIS, INSTALADO EM PAREDE - FORNECIMENTO E INSTALAÇÃO. AF_12/2015</t>
  </si>
  <si>
    <t>12,57</t>
  </si>
  <si>
    <t>91872</t>
  </si>
  <si>
    <t>ELETRODUTO RÍGIDO ROSCÁVEL, PVC, DN 32 MM (1"), PARA CIRCUITOS TERMINAIS, INSTALADO EM PAREDE - FORNECIMENTO E INSTALAÇÃO. AF_12/2015</t>
  </si>
  <si>
    <t>91873</t>
  </si>
  <si>
    <t>ELETRODUTO RÍGIDO ROSCÁVEL, PVC, DN 40 MM (1 1/4"), PARA CIRCUITOS TERMINAIS, INSTALADO EM PAREDE - FORNECIMENTO E INSTALAÇÃO. AF_12/2015</t>
  </si>
  <si>
    <t>93008</t>
  </si>
  <si>
    <t>ELETRODUTO RÍGIDO ROSCÁVEL, PVC, DN 50 MM (1 1/2") - FORNECIMENTO E INSTALAÇÃO. AF_12/2015</t>
  </si>
  <si>
    <t>16,50</t>
  </si>
  <si>
    <t>93009</t>
  </si>
  <si>
    <t>ELETRODUTO RÍGIDO ROSCÁVEL, PVC, DN 60 MM (2") - FORNECIMENTO E INSTALAÇÃO. AF_12/2015</t>
  </si>
  <si>
    <t>24,42</t>
  </si>
  <si>
    <t>93010</t>
  </si>
  <si>
    <t>ELETRODUTO RÍGIDO ROSCÁVEL, PVC, DN 75 MM (2 1/2") - FORNECIMENTO E INSTALAÇÃO. AF_12/2015</t>
  </si>
  <si>
    <t>34,02</t>
  </si>
  <si>
    <t>93011</t>
  </si>
  <si>
    <t>ELETRODUTO RÍGIDO ROSCÁVEL, PVC, DN 85 MM (3") - FORNECIMENTO E INSTALAÇÃO. AF_12/2015</t>
  </si>
  <si>
    <t>41,62</t>
  </si>
  <si>
    <t>93012</t>
  </si>
  <si>
    <t>ELETRODUTO RÍGIDO ROSCÁVEL, PVC, DN 110 MM (4") - FORNECIMENTO E INSTALAÇÃO. AF_12/2015</t>
  </si>
  <si>
    <t>62,90</t>
  </si>
  <si>
    <t>95726</t>
  </si>
  <si>
    <t>ELETRODUTO RÍGIDO SOLDÁVEL, PVC, DN 20 MM (½), APARENTE, INSTALADO EM TETO - FORNECIMENTO E INSTALAÇÃO. AF_11/2016_P</t>
  </si>
  <si>
    <t>6,53</t>
  </si>
  <si>
    <t>95727</t>
  </si>
  <si>
    <t>ELETRODUTO RÍGIDO SOLDÁVEL, PVC, DN 25 MM (3/4), APARENTE, INSTALADO EM TETO - FORNECIMENTO E INSTALAÇÃO. AF_11/2016_P</t>
  </si>
  <si>
    <t>7,46</t>
  </si>
  <si>
    <t>95728</t>
  </si>
  <si>
    <t>ELETRODUTO RÍGIDO SOLDÁVEL, PVC, DN 32 MM (1), APARENTE, INSTALADO EM TETO - FORNECIMENTO E INSTALAÇÃO. AF_11/2016_P</t>
  </si>
  <si>
    <t>9,50</t>
  </si>
  <si>
    <t>95729</t>
  </si>
  <si>
    <t>ELETRODUTO RÍGIDO SOLDÁVEL, PVC, DN 20 MM (½), APARENTE, INSTALADO EM PAREDE - FORNECIMENTO E INSTALAÇÃO. AF_11/2016_P</t>
  </si>
  <si>
    <t>8,54</t>
  </si>
  <si>
    <t>95730</t>
  </si>
  <si>
    <t>ELETRODUTO RÍGIDO SOLDÁVEL, PVC, DN 25 MM (3/4), APARENTE, INSTALADO EM PAREDE - FORNECIMENTO E INSTALAÇÃO. AF_11/2016_P</t>
  </si>
  <si>
    <t>9,47</t>
  </si>
  <si>
    <t>95731</t>
  </si>
  <si>
    <t>ELETRODUTO RÍGIDO SOLDÁVEL, PVC, DN 32 MM (1), APARENTE, INSTALADO EM PAREDE - FORNECIMENTO E INSTALAÇÃO. AF_11/2016_P</t>
  </si>
  <si>
    <t>11,51</t>
  </si>
  <si>
    <t>95732</t>
  </si>
  <si>
    <t>LUVA PARA ELETRODUTO, PVC, SOLDÁVEL, DN 20 MM (1/2), APARENTE, INSTALADA EM TETO - FORNECIMENTO E INSTALAÇÃO. AF_11/2016_P</t>
  </si>
  <si>
    <t>4,45</t>
  </si>
  <si>
    <t>95745</t>
  </si>
  <si>
    <t>ELETRODUTO DE AÇO GALVANIZADO, CLASSE LEVE, DN 20 MM (3/4), APARENTE, INSTALADO EM TETO - FORNECIMENTO E INSTALAÇÃO. AF_11/2016_P</t>
  </si>
  <si>
    <t>22,40</t>
  </si>
  <si>
    <t>95746</t>
  </si>
  <si>
    <t>ELETRODUTO DE AÇO GALVANIZADO, CLASSE LEVE, DN 25 MM (1), APARENTE, INSTALADO EM TETO - FORNECIMENTO E INSTALAÇÃO. AF_11/2016_P</t>
  </si>
  <si>
    <t>27,89</t>
  </si>
  <si>
    <t>95747</t>
  </si>
  <si>
    <t>ELETRODUTO DE AÇO GALVANIZADO, CLASSE SEMI PESADO, DN 32 MM (1 1/4), APARENTE, INSTALADO EM TETO - FORNECIMENTO E INSTALAÇÃO. AF_11/2016_P</t>
  </si>
  <si>
    <t>95748</t>
  </si>
  <si>
    <t>ELETRODUTO DE AÇO GALVANIZADO, CLASSE SEMI PESADO, DN 40 MM (1 1/2 ), APARENTE, INSTALADO EM TETO - FORNECIMENTO E INSTALAÇÃO. AF_11/2016_P</t>
  </si>
  <si>
    <t>50,07</t>
  </si>
  <si>
    <t>95749</t>
  </si>
  <si>
    <t>ELETRODUTO DE AÇO GALVANIZADO, CLASSE LEVE, DN 20 MM (3/4), APARENTE, INSTALADO EM PAREDE - FORNECIMENTO E INSTALAÇÃO. AF_11/2016_P</t>
  </si>
  <si>
    <t>95750</t>
  </si>
  <si>
    <t>ELETRODUTO DE AÇO GALVANIZADO, CLASSE LEVE, DN 25 MM (1), APARENTE, INSTALADO EM PAREDE - FORNECIMENTO E INSTALAÇÃO. AF_11/2016_P</t>
  </si>
  <si>
    <t>34,29</t>
  </si>
  <si>
    <t>95751</t>
  </si>
  <si>
    <t>ELETRODUTO DE AÇO GALVANIZADO, CLASSE SEMI PESADO, DN 32 MM (1 1/4), APARENTE, INSTALADO EM PAREDE - FORNECIMENTO E INSTALAÇÃO. AF_11/2016_P</t>
  </si>
  <si>
    <t>52,62</t>
  </si>
  <si>
    <t>95752</t>
  </si>
  <si>
    <t>ELETRODUTO DE AÇO GALVANIZADO, CLASSE SEMI PESADO, DN 40 MM (1 1/2  ), APARENTE, INSTALADO EM PAREDE - FORNECIMENTO E INSTALAÇÃO. AF_11/2016_P</t>
  </si>
  <si>
    <t>56,04</t>
  </si>
  <si>
    <t>97667</t>
  </si>
  <si>
    <t>ELETRODUTO FLEXÍVEL CORRUGADO, PEAD, DN 50 (1 ½)  - FORNECIMENTO E INSTALAÇÃO. AF_04/2016</t>
  </si>
  <si>
    <t>7,71</t>
  </si>
  <si>
    <t>97668</t>
  </si>
  <si>
    <t>ELETRODUTO FLEXÍVEL CORRUGADO, PEAD, DN 63 (2")  - FORNECIMENTO E INSTALAÇÃO. AF_04/2016</t>
  </si>
  <si>
    <t>97669</t>
  </si>
  <si>
    <t>ELETRODUTO FLEXÍVEL CORRUGADO, PEAD, DN 90 (3) - FORNECIMENTO E INSTALAÇÃO. AF_04/2016</t>
  </si>
  <si>
    <t>18,89</t>
  </si>
  <si>
    <t>97670</t>
  </si>
  <si>
    <t>ELETRODUTO FLEXÍVEL CORRUGADO, PEAD, DN 100 (4) - FORNECIMENTO E INSTALAÇÃO. AF_04/2016</t>
  </si>
  <si>
    <t>24,30</t>
  </si>
  <si>
    <t>91874</t>
  </si>
  <si>
    <t>LUVA PARA ELETRODUTO, PVC, ROSCÁVEL, DN 20 MM (1/2"), PARA CIRCUITOS TERMINAIS, INSTALADA EM FORRO - FORNECIMENTO E INSTALAÇÃO. AF_12/2015</t>
  </si>
  <si>
    <t>4,89</t>
  </si>
  <si>
    <t>91875</t>
  </si>
  <si>
    <t>LUVA PARA ELETRODUTO, PVC, ROSCÁVEL, DN 25 MM (3/4"), PARA CIRCUITOS TERMINAIS, INSTALADA EM FORRO - FORNECIMENTO E INSTALAÇÃO. AF_12/2015</t>
  </si>
  <si>
    <t>91876</t>
  </si>
  <si>
    <t>LUVA PARA ELETRODUTO, PVC, ROSCÁVEL, DN 32 MM (1"), PARA CIRCUITOS TERMINAIS, INSTALADA EM FORRO - FORNECIMENTO E INSTALAÇÃO. AF_12/2015</t>
  </si>
  <si>
    <t>8,58</t>
  </si>
  <si>
    <t>91877</t>
  </si>
  <si>
    <t>LUVA PARA ELETRODUTO, PVC, ROSCÁVEL, DN 40 MM (1 1/4"), PARA CIRCUITOS TERMINAIS, INSTALADA EM FORRO - FORNECIMENTO E INSTALAÇÃO. AF_12/2015</t>
  </si>
  <si>
    <t>91878</t>
  </si>
  <si>
    <t>LUVA PARA ELETRODUTO, PVC, ROSCÁVEL, DN 20 MM (1/2"), PARA CIRCUITOS TERMINAIS, INSTALADA EM LAJE - FORNECIMENTO E INSTALAÇÃO. AF_12/2015</t>
  </si>
  <si>
    <t>6,27</t>
  </si>
  <si>
    <t>91879</t>
  </si>
  <si>
    <t>LUVA PARA ELETRODUTO, PVC, ROSCÁVEL, DN 25 MM (3/4"), PARA CIRCUITOS TERMINAIS, INSTALADA EM LAJE - FORNECIMENTO E INSTALAÇÃO. AF_12/2015</t>
  </si>
  <si>
    <t>7,82</t>
  </si>
  <si>
    <t>91880</t>
  </si>
  <si>
    <t>LUVA PARA ELETRODUTO, PVC, ROSCÁVEL, DN 32 MM (1"), PARA CIRCUITOS TERMINAIS, INSTALADA EM LAJE - FORNECIMENTO E INSTALAÇÃO. AF_12/2015</t>
  </si>
  <si>
    <t>9,95</t>
  </si>
  <si>
    <t>91881</t>
  </si>
  <si>
    <t>LUVA PARA ELETRODUTO, PVC, ROSCÁVEL, DN 40 MM (1 1/4"), PARA CIRCUITOS TERMINAIS, INSTALADA EM LAJE - FORNECIMENTO E INSTALAÇÃO. AF_12/2015</t>
  </si>
  <si>
    <t>12,81</t>
  </si>
  <si>
    <t>91882</t>
  </si>
  <si>
    <t>LUVA PARA ELETRODUTO, PVC, ROSCÁVEL, DN 20 MM (1/2"), PARA CIRCUITOS TERMINAIS, INSTALADA EM PAREDE - FORNECIMENTO E INSTALAÇÃO. AF_12/2015</t>
  </si>
  <si>
    <t>91884</t>
  </si>
  <si>
    <t>LUVA PARA ELETRODUTO, PVC, ROSCÁVEL, DN 25 MM (3/4"), PARA CIRCUITOS TERMINAIS, INSTALADA EM PAREDE - FORNECIMENTO E INSTALAÇÃO. AF_12/2015</t>
  </si>
  <si>
    <t>8,97</t>
  </si>
  <si>
    <t>91885</t>
  </si>
  <si>
    <t>LUVA PARA ELETRODUTO, PVC, ROSCÁVEL, DN 32 MM (1"), PARA CIRCUITOS TERMINAIS, INSTALADA EM PAREDE - FORNECIMENTO E INSTALAÇÃO. AF_12/2015</t>
  </si>
  <si>
    <t>10,61</t>
  </si>
  <si>
    <t>91886</t>
  </si>
  <si>
    <t>LUVA PARA ELETRODUTO, PVC, ROSCÁVEL, DN 40 MM (1 1/4"), PARA CIRCUITOS TERMINAIS, INSTALADA EM PAREDE - FORNECIMENTO E INSTALAÇÃO. AF_12/2015</t>
  </si>
  <si>
    <t>12,95</t>
  </si>
  <si>
    <t>91887</t>
  </si>
  <si>
    <t>CURVA 90 GRAUS PARA ELETRODUTO, PVC, ROSCÁVEL, DN 20 MM (1/2"), PARA CIRCUITOS TERMINAIS, INSTALADA EM FORRO - FORNECIMENTO E INSTALAÇÃO. AF_12/2015</t>
  </si>
  <si>
    <t>9,19</t>
  </si>
  <si>
    <t>91889</t>
  </si>
  <si>
    <t>CURVA 180 GRAUS PARA ELETRODUTO, PVC, ROSCÁVEL, DN 20 MM (1/2"), PARA CIRCUITOS TERMINAIS, INSTALADA EM FORRO - FORNECIMENTO E INSTALAÇÃO. AF_12/2015</t>
  </si>
  <si>
    <t>91890</t>
  </si>
  <si>
    <t>CURVA 90 GRAUS PARA ELETRODUTO, PVC, ROSCÁVEL, DN 25 MM (3/4"), PARA CIRCUITOS TERMINAIS, INSTALADA EM FORRO - FORNECIMENTO E INSTALAÇÃO. AF_12/2015</t>
  </si>
  <si>
    <t>10,88</t>
  </si>
  <si>
    <t>91892</t>
  </si>
  <si>
    <t>CURVA 180 GRAUS PARA ELETRODUTO, PVC, ROSCÁVEL, DN 25 MM (3/4"), PARA CIRCUITOS TERMINAIS, INSTALADA EM FORRO - FORNECIMENTO E INSTALAÇÃO. AF_12/2015</t>
  </si>
  <si>
    <t>13,25</t>
  </si>
  <si>
    <t>91893</t>
  </si>
  <si>
    <t>CURVA 90 GRAUS PARA ELETRODUTO, PVC, ROSCÁVEL, DN 32 MM (1"), PARA CIRCUITOS TERMINAIS, INSTALADA EM FORRO - FORNECIMENTO E INSTALAÇÃO. AF_12/2015</t>
  </si>
  <si>
    <t>14,91</t>
  </si>
  <si>
    <t>91895</t>
  </si>
  <si>
    <t>CURVA 180 GRAUS PARA ELETRODUTO, PVC, ROSCÁVEL, DN 32 MM (1"), PARA CIRCUITOS TERMINAIS, INSTALADA EM FORRO - FORNECIMENTO E INSTALAÇÃO. AF_12/2015</t>
  </si>
  <si>
    <t>17,32</t>
  </si>
  <si>
    <t>91896</t>
  </si>
  <si>
    <t>CURVA 90 GRAUS PARA ELETRODUTO, PVC, ROSCÁVEL, DN 40 MM (1 1/4"), PARA CIRCUITOS TERMINAIS, INSTALADA EM FORRO - FORNECIMENTO E INSTALAÇÃO. AF_12/2015</t>
  </si>
  <si>
    <t>91898</t>
  </si>
  <si>
    <t>CURVA 180 GRAUS PARA ELETRODUTO, PVC, ROSCÁVEL, DN 40 MM (1 1/4"), PARA CIRCUITOS TERMINAIS, INSTALADA EM FORRO - FORNECIMENTO E INSTALAÇÃO. AF_12/2015</t>
  </si>
  <si>
    <t>20,74</t>
  </si>
  <si>
    <t>91899</t>
  </si>
  <si>
    <t>CURVA 90 GRAUS PARA ELETRODUTO, PVC, ROSCÁVEL, DN 20 MM (1/2"), PARA CIRCUITOS TERMINAIS, INSTALADA EM LAJE - FORNECIMENTO E INSTALAÇÃO. AF_12/2015</t>
  </si>
  <si>
    <t>11,17</t>
  </si>
  <si>
    <t>91901</t>
  </si>
  <si>
    <t>CURVA 180 GRAUS PARA ELETRODUTO, PVC, ROSCÁVEL, DN 20 MM (1/2"), PARA CIRCUITOS TERMINAIS, INSTALADA EM LAJE - FORNECIMENTO E INSTALAÇÃO. AF_12/2015</t>
  </si>
  <si>
    <t>10,81</t>
  </si>
  <si>
    <t>91902</t>
  </si>
  <si>
    <t>CURVA 90 GRAUS PARA ELETRODUTO, PVC, ROSCÁVEL, DN 25 MM (3/4"), PARA CIRCUITOS TERMINAIS, INSTALADA EM LAJE - FORNECIMENTO E INSTALAÇÃO. AF_12/2015</t>
  </si>
  <si>
    <t>12,87</t>
  </si>
  <si>
    <t>91904</t>
  </si>
  <si>
    <t>CURVA 180 GRAUS PARA ELETRODUTO, PVC, ROSCÁVEL, DN 25 MM (3/4"), PARA CIRCUITOS TERMINAIS, INSTALADA EM LAJE - FORNECIMENTO E INSTALAÇÃO. AF_12/2015</t>
  </si>
  <si>
    <t>15,24</t>
  </si>
  <si>
    <t>91905</t>
  </si>
  <si>
    <t>CURVA 90 GRAUS PARA ELETRODUTO, PVC, ROSCÁVEL, DN 32 MM (1"), PARA CIRCUITOS TERMINAIS, INSTALADA EM LAJE - FORNECIMENTO E INSTALAÇÃO. AF_12/2015</t>
  </si>
  <si>
    <t>16,90</t>
  </si>
  <si>
    <t>91907</t>
  </si>
  <si>
    <t>CURVA 180 GRAUS PARA ELETRODUTO, PVC, ROSCÁVEL, DN 32 MM (1), PARA CIRCUITOS TERMINAIS, INSTALADA EM LAJE - FORNECIMENTO E INSTALAÇÃO. AF_12/2015</t>
  </si>
  <si>
    <t>91908</t>
  </si>
  <si>
    <t>CURVA 90 GRAUS PARA ELETRODUTO, PVC, ROSCÁVEL, DN 40 MM (1 1/4"), PARA CIRCUITOS TERMINAIS, INSTALADA EM LAJE - FORNECIMENTO E INSTALAÇÃO. AF_12/2015</t>
  </si>
  <si>
    <t>20,19</t>
  </si>
  <si>
    <t>91910</t>
  </si>
  <si>
    <t>CURVA 180 GRAUS PARA ELETRODUTO, PVC, ROSCÁVEL, DN 40 MM (1 1/4"), PARA CIRCUITOS TERMINAIS, INSTALADA EM LAJE - FORNECIMENTO E INSTALAÇÃO. AF_12/2015</t>
  </si>
  <si>
    <t>22,77</t>
  </si>
  <si>
    <t>91911</t>
  </si>
  <si>
    <t>CURVA 90 GRAUS PARA ELETRODUTO, PVC, ROSCÁVEL, DN 20 MM (1/2"), PARA CIRCUITOS TERMINAIS, INSTALADA EM PAREDE - FORNECIMENTO E INSTALAÇÃO. AF_12/2015</t>
  </si>
  <si>
    <t>13,44</t>
  </si>
  <si>
    <t>91913</t>
  </si>
  <si>
    <t>CURVA 180 GRAUS PARA ELETRODUTO, PVC, ROSCÁVEL, DN 20 MM (1/2"), PARA CIRCUITOS TERMINAIS, INSTALADA EM PAREDE - FORNECIMENTO E INSTALAÇÃO. AF_12/2015</t>
  </si>
  <si>
    <t>91914</t>
  </si>
  <si>
    <t>CURVA 90 GRAUS PARA ELETRODUTO, PVC, ROSCÁVEL, DN 25 MM (3/4"), PARA CIRCUITOS TERMINAIS, INSTALADA EM PAREDE - FORNECIMENTO E INSTALAÇÃO. AF_12/2015</t>
  </si>
  <si>
    <t>91916</t>
  </si>
  <si>
    <t>CURVA 180 GRAUS PARA ELETRODUTO, PVC, ROSCÁVEL, DN 25 MM (3/4"), PARA CIRCUITOS TERMINAIS, INSTALADA EM PAREDE - FORNECIMENTO E INSTALAÇÃO. AF_12/2015</t>
  </si>
  <si>
    <t>16,99</t>
  </si>
  <si>
    <t>91917</t>
  </si>
  <si>
    <t>CURVA 90 GRAUS PARA ELETRODUTO, PVC, ROSCÁVEL, DN 32 MM (1"), PARA CIRCUITOS TERMINAIS, INSTALADA EM PAREDE - FORNECIMENTO E INSTALAÇÃO. AF_12/2015</t>
  </si>
  <si>
    <t>17,94</t>
  </si>
  <si>
    <t>91919</t>
  </si>
  <si>
    <t>CURVA 180 GRAUS PARA ELETRODUTO, PVC, ROSCÁVEL, DN 32 MM (1), PARA CIRCUITOS TERMINAIS, INSTALADA EM PAREDE - FORNECIMENTO E INSTALAÇÃO. AF_12/2015</t>
  </si>
  <si>
    <t>20,35</t>
  </si>
  <si>
    <t>91920</t>
  </si>
  <si>
    <t>CURVA 90 GRAUS PARA ELETRODUTO, PVC, ROSCÁVEL, DN 40 MM (1 1/4"), PARA CIRCUITOS TERMINAIS, INSTALADA EM PAREDE - FORNECIMENTO E INSTALAÇÃO. AF_12/2015</t>
  </si>
  <si>
    <t>20,43</t>
  </si>
  <si>
    <t>91922</t>
  </si>
  <si>
    <t>CURVA 180 GRAUS PARA ELETRODUTO, PVC, ROSCÁVEL, DN 40 MM (1 1/4"), PARA CIRCUITOS TERMINAIS, INSTALADA EM PAREDE - FORNECIMENTO E INSTALAÇÃO. AF_12/2015</t>
  </si>
  <si>
    <t>23,01</t>
  </si>
  <si>
    <t>93013</t>
  </si>
  <si>
    <t>LUVA PARA ELETRODUTO, PVC, ROSCÁVEL, DN 50 MM (1 1/2") - FORNECIMENTO E INSTALAÇÃO. AF_12/2015</t>
  </si>
  <si>
    <t>14,88</t>
  </si>
  <si>
    <t>93014</t>
  </si>
  <si>
    <t>LUVA PARA ELETRODUTO, PVC, ROSCÁVEL, DN 60 MM (2") - FORNECIMENTO E INSTALAÇÃO. AF_12/2015</t>
  </si>
  <si>
    <t>18,40</t>
  </si>
  <si>
    <t>93015</t>
  </si>
  <si>
    <t>LUVA PARA ELETRODUTO, PVC, ROSCÁVEL, DN 75 MM (2 1/2") - FORNECIMENTO E INSTALAÇÃO. AF_12/2015</t>
  </si>
  <si>
    <t>28,37</t>
  </si>
  <si>
    <t>93016</t>
  </si>
  <si>
    <t>LUVA PARA ELETRODUTO, PVC, ROSCÁVEL, DN 85 MM (3") - FORNECIMENTO E INSTALAÇÃO. AF_12/2015</t>
  </si>
  <si>
    <t>93017</t>
  </si>
  <si>
    <t>LUVA PARA ELETRODUTO, PVC, ROSCÁVEL, DN 110 MM (4") - FORNECIMENTO E INSTALAÇÃO. AF_12/2015</t>
  </si>
  <si>
    <t>52,68</t>
  </si>
  <si>
    <t>93018</t>
  </si>
  <si>
    <t>CURVA 90 GRAUS PARA ELETRODUTO, PVC, ROSCÁVEL, DN 50 MM (1 1/2") - FORNECIMENTO E INSTALAÇÃO. AF_12/2015</t>
  </si>
  <si>
    <t>93020</t>
  </si>
  <si>
    <t>CURVA 90 GRAUS PARA ELETRODUTO, PVC, ROSCÁVEL, DN 60 MM (2") - FORNECIMENTO E INSTALAÇÃO. AF_12/2015</t>
  </si>
  <si>
    <t>29,47</t>
  </si>
  <si>
    <t>93022</t>
  </si>
  <si>
    <t>CURVA 90 GRAUS PARA ELETRODUTO, PVC, ROSCÁVEL, DN 75 MM (2 1/2") - FORNECIMENTO E INSTALAÇÃO. AF_12/2015</t>
  </si>
  <si>
    <t>50,36</t>
  </si>
  <si>
    <t>93024</t>
  </si>
  <si>
    <t>CURVA 90 GRAUS PARA ELETRODUTO, PVC, ROSCÁVEL, DN 85 MM (3") - FORNECIMENTO E INSTALAÇÃO. AF_12/2015</t>
  </si>
  <si>
    <t>52,77</t>
  </si>
  <si>
    <t>93026</t>
  </si>
  <si>
    <t>CURVA 90 GRAUS PARA ELETRODUTO, PVC, ROSCÁVEL, DN 110 MM (4") - FORNECIMENTO E INSTALAÇÃO. AF_12/2015</t>
  </si>
  <si>
    <t>87,47</t>
  </si>
  <si>
    <t>95733</t>
  </si>
  <si>
    <t>LUVA PARA ELETRODUTO, PVC, SOLDÁVEL, DN 25 MM (3/4), APARENTE, INSTALADA EM TETO - FORNECIMENTO E INSTALAÇÃO. AF_11/2016_P</t>
  </si>
  <si>
    <t>5,85</t>
  </si>
  <si>
    <t>95734</t>
  </si>
  <si>
    <t>LUVA PARA ELETRODUTO, PVC, SOLDÁVEL, DN 32 MM (1), APARENTE, INSTALADA EM TETO - FORNECIMENTO E INSTALAÇÃO. AF_11/2016_P</t>
  </si>
  <si>
    <t>7,79</t>
  </si>
  <si>
    <t>95735</t>
  </si>
  <si>
    <t>LUVA PARA ELETRODUTO, PVC, SOLDÁVEL, DN 20 MM (1/2), APARENTE, INSTALADA EM PAREDE - FORNECIMENTO E INSTALAÇÃO. AF_11/2016_P</t>
  </si>
  <si>
    <t>95736</t>
  </si>
  <si>
    <t>LUVA PARA ELETRODUTO, PVC, SOLDÁVEL, DN 25 MM (3/4), APARENTE, INSTALADA EM PAREDE - FORNECIMENTO E INSTALAÇÃO. AF_11/2016_P</t>
  </si>
  <si>
    <t>95738</t>
  </si>
  <si>
    <t>LUVA PARA ELETRODUTO, PVC, SOLDÁVEL, DN 32 MM (1), APARENTE, INSTALADA EM PAREDE - FORNECIMENTO E INSTALAÇÃO. AF_11/2016_P</t>
  </si>
  <si>
    <t>9,29</t>
  </si>
  <si>
    <t>95753</t>
  </si>
  <si>
    <t>LUVA DE EMENDA PARA ELETRODUTO, AÇO GALVANIZADO, DN 20 MM (3/4  ), APARENTE, INSTALADA EM TETO - FORNECIMENTO E INSTALAÇÃO. AF_11/2016_P</t>
  </si>
  <si>
    <t>7,31</t>
  </si>
  <si>
    <t>95754</t>
  </si>
  <si>
    <t>LUVA DE EMENDA PARA ELETRODUTO, AÇO GALVANIZADO, DN 25 MM (1''), APARENTE, INSTALADA EM TETO - FORNECIMENTO E INSTALAÇÃO. AF_11/2016_P</t>
  </si>
  <si>
    <t>9,09</t>
  </si>
  <si>
    <t>95755</t>
  </si>
  <si>
    <t>LUVA DE EMENDA PARA ELETRODUTO, AÇO GALVANIZADO, DN 32 MM (1 1/4''), APARENTE, INSTALADA EM TETO - FORNECIMENTO E INSTALAÇÃO. AF_11/2016_P</t>
  </si>
  <si>
    <t>95756</t>
  </si>
  <si>
    <t>LUVA DE EMENDA PARA ELETRODUTO, AÇO GALVANIZADO, DN 40 MM (1 1/2''), APARENTE, INSTALADA EM TETO - FORNECIMENTO E INSTALAÇÃO. AF_11/2016_P</t>
  </si>
  <si>
    <t>17,53</t>
  </si>
  <si>
    <t>95757</t>
  </si>
  <si>
    <t>LUVA DE EMENDA PARA ELETRODUTO, AÇO GALVANIZADO, DN 20 MM (3/4''), APARENTE, INSTALADA EM PAREDE - FORNECIMENTO E INSTALAÇÃO. AF_11/2016_P</t>
  </si>
  <si>
    <t>10,96</t>
  </si>
  <si>
    <t>95758</t>
  </si>
  <si>
    <t>LUVA DE EMENDA PARA ELETRODUTO, AÇO GALVANIZADO, DN 25 MM (1''), APARENTE, INSTALADA EM PAREDE - FORNECIMENTO E INSTALAÇÃO. AF_11/2016_P</t>
  </si>
  <si>
    <t>12,31</t>
  </si>
  <si>
    <t>95759</t>
  </si>
  <si>
    <t>LUVA DE EMENDA PARA ELETRODUTO, AÇO GALVANIZADO, DN 32 MM (1 1/4''), APARENTE, INSTALADA EM PAREDE - FORNECIMENTO E INSTALAÇÃO. AF_11/2016_P</t>
  </si>
  <si>
    <t>15,75</t>
  </si>
  <si>
    <t>95760</t>
  </si>
  <si>
    <t>LUVA DE EMENDA PARA ELETRODUTO, AÇO GALVANIZADO, DN 40 MM (1 1/2''), APARENTE, INSTALADA EM PAREDE - FORNECIMENTO E INSTALAÇÃO. AF_11/2016_P</t>
  </si>
  <si>
    <t>19,45</t>
  </si>
  <si>
    <t>97559</t>
  </si>
  <si>
    <t>CURVA 135 GRAUS PARA ELETRODUTO, PVC, ROSCÁVEL, DN 25 MM (3/4), PARA CIRCUITOS TERMINAIS, INSTALADA EM FORRO - FORNECIMENTO E INSTALAÇÃO. AF_12/2015</t>
  </si>
  <si>
    <t>10,62</t>
  </si>
  <si>
    <t>97562</t>
  </si>
  <si>
    <t>CURVA 135 GRAUS PARA ELETRODUTO, PVC, ROSCÁVEL, DN 25 MM (3/4), PARA CIRCUITOS TERMINAIS, INSTALADA EM LAJE - FORNECIMENTO E INSTALAÇÃO. AF_12/2015</t>
  </si>
  <si>
    <t>12,61</t>
  </si>
  <si>
    <t>97564</t>
  </si>
  <si>
    <t>CURVA 135 GRAUS PARA ELETRODUTO, PVC, ROSCÁVEL, DN 25 MM (3/4), PARA CIRCUITOS TERMINAIS, INSTALADA EM PAREDE - FORNECIMENTO E INSTALAÇÃO. AF_12/2015</t>
  </si>
  <si>
    <t>14,36</t>
  </si>
  <si>
    <t>91924</t>
  </si>
  <si>
    <t>CABO DE COBRE FLEXÍVEL ISOLADO, 1,5 MM², ANTI-CHAMA 450/750 V, PARA CIRCUITOS TERMINAIS - FORNECIMENTO E INSTALAÇÃO. AF_12/2015</t>
  </si>
  <si>
    <t>2,83</t>
  </si>
  <si>
    <t>91925</t>
  </si>
  <si>
    <t>CABO DE COBRE FLEXÍVEL ISOLADO, 1,5 MM², ANTI-CHAMA 0,6/1,0 KV, PARA CIRCUITOS TERMINAIS - FORNECIMENTO E INSTALAÇÃO. AF_12/2015</t>
  </si>
  <si>
    <t>91926</t>
  </si>
  <si>
    <t>CABO DE COBRE FLEXÍVEL ISOLADO, 2,5 MM², ANTI-CHAMA 450/750 V, PARA CIRCUITOS TERMINAIS - FORNECIMENTO E INSTALAÇÃO. AF_12/2015</t>
  </si>
  <si>
    <t>4,11</t>
  </si>
  <si>
    <t>91927</t>
  </si>
  <si>
    <t>CABO DE COBRE FLEXÍVEL ISOLADO, 2,5 MM², ANTI-CHAMA 0,6/1,0 KV, PARA CIRCUITOS TERMINAIS - FORNECIMENTO E INSTALAÇÃO. AF_12/2015</t>
  </si>
  <si>
    <t>91928</t>
  </si>
  <si>
    <t>CABO DE COBRE FLEXÍVEL ISOLADO, 4 MM², ANTI-CHAMA 450/750 V, PARA CIRCUITOS TERMINAIS - FORNECIMENTO E INSTALAÇÃO. AF_12/2015</t>
  </si>
  <si>
    <t>6,68</t>
  </si>
  <si>
    <t>91929</t>
  </si>
  <si>
    <t>CABO DE COBRE FLEXÍVEL ISOLADO, 4 MM², ANTI-CHAMA 0,6/1,0 KV, PARA CIRCUITOS TERMINAIS - FORNECIMENTO E INSTALAÇÃO. AF_12/2015</t>
  </si>
  <si>
    <t>7,58</t>
  </si>
  <si>
    <t>91930</t>
  </si>
  <si>
    <t>CABO DE COBRE FLEXÍVEL ISOLADO, 6 MM², ANTI-CHAMA 450/750 V, PARA CIRCUITOS TERMINAIS - FORNECIMENTO E INSTALAÇÃO. AF_12/2015</t>
  </si>
  <si>
    <t>9,14</t>
  </si>
  <si>
    <t>91931</t>
  </si>
  <si>
    <t>CABO DE COBRE FLEXÍVEL ISOLADO, 6 MM², ANTI-CHAMA 0,6/1,0 KV, PARA CIRCUITOS TERMINAIS - FORNECIMENTO E INSTALAÇÃO. AF_12/2015</t>
  </si>
  <si>
    <t>10,23</t>
  </si>
  <si>
    <t>91932</t>
  </si>
  <si>
    <t>CABO DE COBRE FLEXÍVEL ISOLADO, 10 MM², ANTI-CHAMA 450/750 V, PARA CIRCUITOS TERMINAIS - FORNECIMENTO E INSTALAÇÃO. AF_12/2015</t>
  </si>
  <si>
    <t>91933</t>
  </si>
  <si>
    <t>CABO DE COBRE FLEXÍVEL ISOLADO, 10 MM², ANTI-CHAMA 0,6/1,0 KV, PARA CIRCUITOS TERMINAIS - FORNECIMENTO E INSTALAÇÃO. AF_12/2015</t>
  </si>
  <si>
    <t>91934</t>
  </si>
  <si>
    <t>CABO DE COBRE FLEXÍVEL ISOLADO, 16 MM², ANTI-CHAMA 450/750 V, PARA CIRCUITOS TERMINAIS - FORNECIMENTO E INSTALAÇÃO. AF_12/2015</t>
  </si>
  <si>
    <t>23,00</t>
  </si>
  <si>
    <t>91935</t>
  </si>
  <si>
    <t>CABO DE COBRE FLEXÍVEL ISOLADO, 16 MM², ANTI-CHAMA 0,6/1,0 KV, PARA CIRCUITOS TERMINAIS - FORNECIMENTO E INSTALAÇÃO. AF_12/2015</t>
  </si>
  <si>
    <t>24,50</t>
  </si>
  <si>
    <t>92979</t>
  </si>
  <si>
    <t>CABO DE COBRE FLEXÍVEL ISOLADO, 10 MM², ANTI-CHAMA 450/750 V, PARA DISTRIBUIÇÃO - FORNECIMENTO E INSTALAÇÃO. AF_12/2015</t>
  </si>
  <si>
    <t>10,27</t>
  </si>
  <si>
    <t>92980</t>
  </si>
  <si>
    <t>CABO DE COBRE FLEXÍVEL ISOLADO, 10 MM², ANTI-CHAMA 0,6/1,0 KV, PARA DISTRIBUIÇÃO - FORNECIMENTO E INSTALAÇÃO. AF_12/2015</t>
  </si>
  <si>
    <t>92981</t>
  </si>
  <si>
    <t>CABO DE COBRE FLEXÍVEL ISOLADO, 16 MM², ANTI-CHAMA 450/750 V, PARA DISTRIBUIÇÃO - FORNECIMENTO E INSTALAÇÃO. AF_12/2015</t>
  </si>
  <si>
    <t>15,76</t>
  </si>
  <si>
    <t>92982</t>
  </si>
  <si>
    <t>CABO DE COBRE FLEXÍVEL ISOLADO, 16 MM², ANTI-CHAMA 0,6/1,0 KV, PARA DISTRIBUIÇÃO - FORNECIMENTO E INSTALAÇÃO. AF_12/2015</t>
  </si>
  <si>
    <t>17,06</t>
  </si>
  <si>
    <t>92983</t>
  </si>
  <si>
    <t>CABO DE COBRE FLEXÍVEL ISOLADO, 25 MM², ANTI-CHAMA 450/750 V, PARA DISTRIBUIÇÃO - FORNECIMENTO E INSTALAÇÃO. AF_12/2015</t>
  </si>
  <si>
    <t>27,06</t>
  </si>
  <si>
    <t>92984</t>
  </si>
  <si>
    <t>CABO DE COBRE FLEXÍVEL ISOLADO, 25 MM², ANTI-CHAMA 0,6/1,0 KV, PARA DISTRIBUIÇÃO - FORNECIMENTO E INSTALAÇÃO. AF_12/2015</t>
  </si>
  <si>
    <t>27,78</t>
  </si>
  <si>
    <t>92985</t>
  </si>
  <si>
    <t>CABO DE COBRE FLEXÍVEL ISOLADO, 35 MM², ANTI-CHAMA 450/750 V, PARA DISTRIBUIÇÃO - FORNECIMENTO E INSTALAÇÃO. AF_12/2015</t>
  </si>
  <si>
    <t>36,48</t>
  </si>
  <si>
    <t>92986</t>
  </si>
  <si>
    <t>CABO DE COBRE FLEXÍVEL ISOLADO, 35 MM², ANTI-CHAMA 0,6/1,0 KV, PARA DISTRIBUIÇÃO - FORNECIMENTO E INSTALAÇÃO. AF_12/2015</t>
  </si>
  <si>
    <t>37,55</t>
  </si>
  <si>
    <t>92987</t>
  </si>
  <si>
    <t>CABO DE COBRE FLEXÍVEL ISOLADO, 50 MM², ANTI-CHAMA 450/750 V, PARA DISTRIBUIÇÃO - FORNECIMENTO E INSTALAÇÃO. AF_12/2015</t>
  </si>
  <si>
    <t>52,57</t>
  </si>
  <si>
    <t>92988</t>
  </si>
  <si>
    <t>CABO DE COBRE FLEXÍVEL ISOLADO, 50 MM², ANTI-CHAMA 0,6/1,0 KV, PARA DISTRIBUIÇÃO - FORNECIMENTO E INSTALAÇÃO. AF_12/2015</t>
  </si>
  <si>
    <t>52,69</t>
  </si>
  <si>
    <t>92989</t>
  </si>
  <si>
    <t>CABO DE COBRE FLEXÍVEL ISOLADO, 70 MM², ANTI-CHAMA 450/750 V, PARA DISTRIBUIÇÃO - FORNECIMENTO E INSTALAÇÃO. AF_12/2015</t>
  </si>
  <si>
    <t>73,10</t>
  </si>
  <si>
    <t>92990</t>
  </si>
  <si>
    <t>CABO DE COBRE FLEXÍVEL ISOLADO, 70 MM², ANTI-CHAMA 0,6/1,0 KV, PARA DISTRIBUIÇÃO - FORNECIMENTO E INSTALAÇÃO. AF_12/2015</t>
  </si>
  <si>
    <t>72,26</t>
  </si>
  <si>
    <t>92991</t>
  </si>
  <si>
    <t>CABO DE COBRE FLEXÍVEL ISOLADO, 95 MM², ANTI-CHAMA 450/750 V, PARA DISTRIBUIÇÃO - FORNECIMENTO E INSTALAÇÃO. AF_12/2015</t>
  </si>
  <si>
    <t>95,37</t>
  </si>
  <si>
    <t>92992</t>
  </si>
  <si>
    <t>CABO DE COBRE FLEXÍVEL ISOLADO, 95 MM², ANTI-CHAMA 0,6/1,0 KV, PARA DISTRIBUIÇÃO - FORNECIMENTO E INSTALAÇÃO. AF_12/2015</t>
  </si>
  <si>
    <t>95,45</t>
  </si>
  <si>
    <t>92993</t>
  </si>
  <si>
    <t>CABO DE COBRE FLEXÍVEL ISOLADO, 120 MM², ANTI-CHAMA 450/750 V, PARA DISTRIBUIÇÃO - FORNECIMENTO E INSTALAÇÃO. AF_12/2015</t>
  </si>
  <si>
    <t>122,32</t>
  </si>
  <si>
    <t>92994</t>
  </si>
  <si>
    <t>CABO DE COBRE FLEXÍVEL ISOLADO, 120 MM², ANTI-CHAMA 0,6/1,0 KV, PARA DISTRIBUIÇÃO - FORNECIMENTO E INSTALAÇÃO. AF_12/2015</t>
  </si>
  <si>
    <t>123,53</t>
  </si>
  <si>
    <t>92995</t>
  </si>
  <si>
    <t>CABO DE COBRE FLEXÍVEL ISOLADO, 150 MM², ANTI-CHAMA 450/750 V, PARA DISTRIBUIÇÃO - FORNECIMENTO E INSTALAÇÃO. AF_12/2015</t>
  </si>
  <si>
    <t>152,19</t>
  </si>
  <si>
    <t>92996</t>
  </si>
  <si>
    <t>CABO DE COBRE FLEXÍVEL ISOLADO, 150 MM², ANTI-CHAMA 0,6/1,0 KV, PARA DISTRIBUIÇÃO - FORNECIMENTO E INSTALAÇÃO. AF_12/2015</t>
  </si>
  <si>
    <t>152,61</t>
  </si>
  <si>
    <t>92997</t>
  </si>
  <si>
    <t>CABO DE COBRE FLEXÍVEL ISOLADO, 185 MM², ANTI-CHAMA 450/750 V, PARA DISTRIBUIÇÃO - FORNECIMENTO E INSTALAÇÃO. AF_12/2015</t>
  </si>
  <si>
    <t>184,93</t>
  </si>
  <si>
    <t>92998</t>
  </si>
  <si>
    <t>CABO DE COBRE FLEXÍVEL ISOLADO, 185 MM², ANTI-CHAMA 0,6/1,0 KV, PARA DISTRIBUIÇÃO - FORNECIMENTO E INSTALAÇÃO. AF_12/2015</t>
  </si>
  <si>
    <t>186,72</t>
  </si>
  <si>
    <t>92999</t>
  </si>
  <si>
    <t>CABO DE COBRE FLEXÍVEL ISOLADO, 240 MM², ANTI-CHAMA 450/750 V, PARA DISTRIBUIÇÃO - FORNECIMENTO E INSTALAÇÃO. AF_12/2015</t>
  </si>
  <si>
    <t>243,60</t>
  </si>
  <si>
    <t>93000</t>
  </si>
  <si>
    <t>CABO DE COBRE FLEXÍVEL ISOLADO, 240 MM², ANTI-CHAMA 0,6/1,0 KV, PARA DISTRIBUIÇÃO - FORNECIMENTO E INSTALAÇÃO. AF_12/2015</t>
  </si>
  <si>
    <t>245,10</t>
  </si>
  <si>
    <t>93001</t>
  </si>
  <si>
    <t>CABO DE COBRE RÍGIDO ISOLADO, 300 MM², ANTI-CHAMA 450/750 V, PARA DISTRIBUIÇÃO - FORNECIMENTO E INSTALAÇÃO. AF_12/2015</t>
  </si>
  <si>
    <t>297,55</t>
  </si>
  <si>
    <t>93002</t>
  </si>
  <si>
    <t>CABO DE COBRE FLEXÍVEL ISOLADO, 300 MM², ANTI-CHAMA 0,6/1,0 KV, PARA DISTRIBUIÇÃO - FORNECIMENTO E INSTALAÇÃO. AF_12/2015</t>
  </si>
  <si>
    <t>305,87</t>
  </si>
  <si>
    <t>101884</t>
  </si>
  <si>
    <t>CABO DE COBRE ISOLADO, 10 MM², ANTI-CHAMA 450/750 V, INSTALADO EM ELETROCALHA OU PERFILADO - FORNECIMENTO E INSTALAÇÃO. AF_10/2020</t>
  </si>
  <si>
    <t>10,02</t>
  </si>
  <si>
    <t>101885</t>
  </si>
  <si>
    <t>CABO DE COBRE ISOLADO, 10 MM², ANTI-CHAMA 0,6/1 KV, INSTALADO EM ELETROCALHA OU PERFILADO - FORNECIMENTO E INSTALAÇÃO. AF_10/2020</t>
  </si>
  <si>
    <t>10,92</t>
  </si>
  <si>
    <t>101886</t>
  </si>
  <si>
    <t>CABO DE COBRE ISOLADO, 16 MM², ANTI-CHAMA 450/750 V, INSTALADO EM ELETROCALHA OU PERFILADO - FORNECIMENTO E INSTALAÇÃO. AF_10/2020</t>
  </si>
  <si>
    <t>101887</t>
  </si>
  <si>
    <t>CABO DE COBRE ISOLADO, 16 MM², ANTI-CHAMA 0,6/1 KV, INSTALADO EM ELETROCALHA OU PERFILADO - FORNECIMENTO E INSTALAÇÃO. AF_10/2020</t>
  </si>
  <si>
    <t>101888</t>
  </si>
  <si>
    <t>CABO DE COBRE ISOLADO, 25 MM², ANTI-CHAMA 450/750 V, INSTALADO EM ELETROCALHA OU PERFILADO - FORNECIMENTO E INSTALAÇÃO. AF_10/2020</t>
  </si>
  <si>
    <t>24,86</t>
  </si>
  <si>
    <t>101889</t>
  </si>
  <si>
    <t>CABO DE COBRE ISOLADO, 25 MM², ANTI-CHAMA 0,6/1 KV, INSTALADO EM ELETROCALHA OU PERFILADO - FORNECIMENTO E INSTALAÇÃO. AF_10/2020</t>
  </si>
  <si>
    <t>25,59</t>
  </si>
  <si>
    <t>91936</t>
  </si>
  <si>
    <t>CAIXA OCTOGONAL 4" X 4", PVC, INSTALADA EM LAJE - FORNECIMENTO E INSTALAÇÃO. AF_12/2015</t>
  </si>
  <si>
    <t>91937</t>
  </si>
  <si>
    <t>CAIXA OCTOGONAL 3" X 3", PVC, INSTALADA EM LAJE - FORNECIMENTO E INSTALAÇÃO. AF_12/2015</t>
  </si>
  <si>
    <t>11,88</t>
  </si>
  <si>
    <t>91939</t>
  </si>
  <si>
    <t>CAIXA RETANGULAR 4" X 2" ALTA (2,00 M DO PISO), PVC, INSTALADA EM PAREDE - FORNECIMENTO E INSTALAÇÃO. AF_12/2015</t>
  </si>
  <si>
    <t>27,87</t>
  </si>
  <si>
    <t>91940</t>
  </si>
  <si>
    <t>CAIXA RETANGULAR 4" X 2" MÉDIA (1,30 M DO PISO), PVC, INSTALADA EM PAREDE - FORNECIMENTO E INSTALAÇÃO. AF_12/2015</t>
  </si>
  <si>
    <t>91941</t>
  </si>
  <si>
    <t>CAIXA RETANGULAR 4" X 2" BAIXA (0,30 M DO PISO), PVC, INSTALADA EM PAREDE - FORNECIMENTO E INSTALAÇÃO. AF_12/2015</t>
  </si>
  <si>
    <t>10,15</t>
  </si>
  <si>
    <t>91942</t>
  </si>
  <si>
    <t>CAIXA RETANGULAR 4" X 4" ALTA (2,00 M DO PISO), PVC, INSTALADA EM PAREDE - FORNECIMENTO E INSTALAÇÃO. AF_12/2015</t>
  </si>
  <si>
    <t>34,48</t>
  </si>
  <si>
    <t>91943</t>
  </si>
  <si>
    <t>CAIXA RETANGULAR 4" X 4" MÉDIA (1,30 M DO PISO), PVC, INSTALADA EM PAREDE - FORNECIMENTO E INSTALAÇÃO. AF_12/2015</t>
  </si>
  <si>
    <t>19,65</t>
  </si>
  <si>
    <t>91944</t>
  </si>
  <si>
    <t>CAIXA RETANGULAR 4" X 4" BAIXA (0,30 M DO PISO), PVC, INSTALADA EM PAREDE - FORNECIMENTO E INSTALAÇÃO. AF_12/2015</t>
  </si>
  <si>
    <t>14,10</t>
  </si>
  <si>
    <t>92865</t>
  </si>
  <si>
    <t>CAIXA OCTOGONAL 4" X 4", METÁLICA, INSTALADA EM LAJE - FORNECIMENTO E INSTALAÇÃO. AF_12/2015</t>
  </si>
  <si>
    <t>11,82</t>
  </si>
  <si>
    <t>92866</t>
  </si>
  <si>
    <t>CAIXA SEXTAVADA 3" X 3", METÁLICA, INSTALADA EM LAJE - FORNECIMENTO E INSTALAÇÃO. AF_12/2015</t>
  </si>
  <si>
    <t>9,08</t>
  </si>
  <si>
    <t>92867</t>
  </si>
  <si>
    <t>CAIXA RETANGULAR 4" X 2" ALTA (2,00 M DO PISO), METÁLICA, INSTALADA EM PAREDE - FORNECIMENTO E INSTALAÇÃO. AF_12/2015</t>
  </si>
  <si>
    <t>27,40</t>
  </si>
  <si>
    <t>92868</t>
  </si>
  <si>
    <t>CAIXA RETANGULAR 4" X 2" MÉDIA (1,30 M DO PISO), METÁLICA, INSTALADA EM PAREDE - FORNECIMENTO E INSTALAÇÃO. AF_12/2015</t>
  </si>
  <si>
    <t>14,52</t>
  </si>
  <si>
    <t>92869</t>
  </si>
  <si>
    <t>CAIXA RETANGULAR 4" X 2" BAIXA (0,30 M DO PISO), METÁLICA, INSTALADA EM PAREDE - FORNECIMENTO E INSTALAÇÃO. AF_12/2015</t>
  </si>
  <si>
    <t>9,68</t>
  </si>
  <si>
    <t>92870</t>
  </si>
  <si>
    <t>CAIXA RETANGULAR 4" X 4" ALTA (2,00 M DO PISO), METÁLICA, INSTALADA EM PAREDE - FORNECIMENTO E INSTALAÇÃO. AF_12/2015</t>
  </si>
  <si>
    <t>33,85</t>
  </si>
  <si>
    <t>92871</t>
  </si>
  <si>
    <t>CAIXA RETANGULAR 4" X 4" MÉDIA (1,30 M DO PISO), METÁLICA, INSTALADA EM PAREDE - FORNECIMENTO E INSTALAÇÃO. AF_12/2015</t>
  </si>
  <si>
    <t>92872</t>
  </si>
  <si>
    <t>CAIXA RETANGULAR 4" X 4" BAIXA (0,30 M DO PISO), METÁLICA, INSTALADA EM PAREDE - FORNECIMENTO E INSTALAÇÃO. AF_12/2015</t>
  </si>
  <si>
    <t>95777</t>
  </si>
  <si>
    <t>CONDULETE DE ALUMÍNIO, TIPO B, PARA ELETRODUTO DE AÇO GALVANIZADO DN 20 MM (3/4''), APARENTE - FORNECIMENTO E INSTALAÇÃO. AF_11/2016_P</t>
  </si>
  <si>
    <t>29,87</t>
  </si>
  <si>
    <t>95778</t>
  </si>
  <si>
    <t>CONDULETE DE ALUMÍNIO, TIPO C, PARA ELETRODUTO DE AÇO GALVANIZADO DN 20 MM (3/4''), APARENTE - FORNECIMENTO E INSTALAÇÃO. AF_11/2016_P</t>
  </si>
  <si>
    <t>30,66</t>
  </si>
  <si>
    <t>95779</t>
  </si>
  <si>
    <t>CONDULETE DE ALUMÍNIO, TIPO E, PARA ELETRODUTO DE AÇO GALVANIZADO DN 20 MM (3/4''), APARENTE - FORNECIMENTO E INSTALAÇÃO. AF_11/2016_P</t>
  </si>
  <si>
    <t>28,00</t>
  </si>
  <si>
    <t>95780</t>
  </si>
  <si>
    <t>CONDULETE DE ALUMÍNIO, TIPO B, PARA ELETRODUTO DE AÇO GALVANIZADO DN 25 MM (1''), APARENTE - FORNECIMENTO E INSTALAÇÃO. AF_11/2016_P</t>
  </si>
  <si>
    <t>34,22</t>
  </si>
  <si>
    <t>95781</t>
  </si>
  <si>
    <t>CONDULETE DE ALUMÍNIO, TIPO C, PARA ELETRODUTO DE AÇO GALVANIZADO DN 25 MM (1''), APARENTE - FORNECIMENTO E INSTALAÇÃO. AF_11/2016_P</t>
  </si>
  <si>
    <t>34,81</t>
  </si>
  <si>
    <t>95782</t>
  </si>
  <si>
    <t>CONDULETE DE ALUMÍNIO, TIPO E, ELETRODUTO DE AÇO GALVANIZADO DN 25 MM (1''), APARENTE - FORNECIMENTO E INSTALAÇÃO. AF_11/2016_P</t>
  </si>
  <si>
    <t>95785</t>
  </si>
  <si>
    <t>CONDULETE DE ALUMÍNIO, TIPO E, PARA ELETRODUTO DE AÇO GALVANIZADO DN 32 MM (1 1/4''), APARENTE - FORNECIMENTO E INSTALAÇÃO. AF_11/2016_P</t>
  </si>
  <si>
    <t>41,56</t>
  </si>
  <si>
    <t>95787</t>
  </si>
  <si>
    <t>CONDULETE DE ALUMÍNIO, TIPO LR, PARA ELETRODUTO DE AÇO GALVANIZADO DN 20 MM (3/4''), APARENTE - FORNECIMENTO E INSTALAÇÃO. AF_11/2016_P</t>
  </si>
  <si>
    <t>95789</t>
  </si>
  <si>
    <t>CONDULETE DE ALUMÍNIO, TIPO LR, PARA ELETRODUTO DE AÇO GALVANIZADO DN 25 MM (1''), APARENTE - FORNECIMENTO E INSTALAÇÃO. AF_11/2016_P</t>
  </si>
  <si>
    <t>37,66</t>
  </si>
  <si>
    <t>95791</t>
  </si>
  <si>
    <t>CONDULETE DE ALUMÍNIO, TIPO LR, PARA ELETRODUTO DE AÇO GALVANIZADO DN 32 MM (1 1/4''), APARENTE - FORNECIMENTO E INSTALAÇÃO. AF_11/2016_P</t>
  </si>
  <si>
    <t>49,14</t>
  </si>
  <si>
    <t>95795</t>
  </si>
  <si>
    <t>CONDULETE DE ALUMÍNIO, TIPO T, PARA ELETRODUTO DE AÇO GALVANIZADO DN 20 MM (3/4''), APARENTE - FORNECIMENTO E INSTALAÇÃO. AF_11/2016_P</t>
  </si>
  <si>
    <t>34,59</t>
  </si>
  <si>
    <t>95796</t>
  </si>
  <si>
    <t>CONDULETE DE ALUMÍNIO, TIPO T, PARA ELETRODUTO DE AÇO GALVANIZADO DN 25 MM (1''), APARENTE - FORNECIMENTO E INSTALAÇÃO. AF_11/2016_P</t>
  </si>
  <si>
    <t>44,33</t>
  </si>
  <si>
    <t>95797</t>
  </si>
  <si>
    <t>CONDULETE DE ALUMÍNIO, TIPO T, PARA ELETRODUTO DE AÇO GALVANIZADO DN 32 MM (1 1/4''), APARENTE - FORNECIMENTO E INSTALAÇÃO. AF_11/2016_P</t>
  </si>
  <si>
    <t>95801</t>
  </si>
  <si>
    <t>CONDULETE DE ALUMÍNIO, TIPO X, PARA ELETRODUTO DE AÇO GALVANIZADO DN 20 MM (3/4''), APARENTE - FORNECIMENTO E INSTALAÇÃO. AF_11/2016_P</t>
  </si>
  <si>
    <t>41,76</t>
  </si>
  <si>
    <t>95802</t>
  </si>
  <si>
    <t>CONDULETE DE ALUMÍNIO, TIPO X, PARA ELETRODUTO DE AÇO GALVANIZADO DN 25 MM (1''), APARENTE - FORNECIMENTO E INSTALAÇÃO. AF_11/2016_P</t>
  </si>
  <si>
    <t>46,74</t>
  </si>
  <si>
    <t>95803</t>
  </si>
  <si>
    <t>CONDULETE DE ALUMÍNIO, TIPO X, PARA ELETRODUTO DE AÇO GALVANIZADO DN 32 MM (1 1/4''), APARENTE - FORNECIMENTO E INSTALAÇÃO. AF_11/2016_P</t>
  </si>
  <si>
    <t>62,88</t>
  </si>
  <si>
    <t>95804</t>
  </si>
  <si>
    <t>CONDULETE DE PVC, TIPO B, PARA ELETRODUTO DE PVC SOLDÁVEL DN 20 MM (1/2''), APARENTE - FORNECIMENTO E INSTALAÇÃO. AF_11/2016</t>
  </si>
  <si>
    <t>25,86</t>
  </si>
  <si>
    <t>95805</t>
  </si>
  <si>
    <t>CONDULETE DE PVC, TIPO B, PARA ELETRODUTO DE PVC SOLDÁVEL DN 25 MM (3/4''), APARENTE - FORNECIMENTO E INSTALAÇÃO. AF_11/2016</t>
  </si>
  <si>
    <t>26,09</t>
  </si>
  <si>
    <t>95806</t>
  </si>
  <si>
    <t>CONDULETE DE PVC, TIPO B, PARA ELETRODUTO DE PVC SOLDÁVEL DN 32 MM (1''), APARENTE - FORNECIMENTO E INSTALAÇÃO. AF_11/2016</t>
  </si>
  <si>
    <t>26,95</t>
  </si>
  <si>
    <t>95807</t>
  </si>
  <si>
    <t>CONDULETE DE PVC, TIPO LL, PARA ELETRODUTO DE PVC SOLDÁVEL DN 20 MM (1/2''), APARENTE - FORNECIMENTO E INSTALAÇÃO. AF_11/2016</t>
  </si>
  <si>
    <t>29,66</t>
  </si>
  <si>
    <t>95808</t>
  </si>
  <si>
    <t>CONDULETE DE PVC, TIPO LL, PARA ELETRODUTO DE PVC SOLDÁVEL DN 25 MM (3/4''), APARENTE - FORNECIMENTO E INSTALAÇÃO. AF_11/2016</t>
  </si>
  <si>
    <t>95809</t>
  </si>
  <si>
    <t>CONDULETE DE PVC, TIPO LL, PARA ELETRODUTO DE PVC SOLDÁVEL DN 32 MM (1''), APARENTE - FORNECIMENTO E INSTALAÇÃO. AF_11/2016</t>
  </si>
  <si>
    <t>33,43</t>
  </si>
  <si>
    <t>95810</t>
  </si>
  <si>
    <t>CONDULETE DE PVC, TIPO LB, PARA ELETRODUTO DE PVC SOLDÁVEL DN 20 MM (1/2''), APARENTE - FORNECIMENTO E INSTALAÇÃO. AF_11/2016</t>
  </si>
  <si>
    <t>17,07</t>
  </si>
  <si>
    <t>95811</t>
  </si>
  <si>
    <t>CONDULETE DE PVC, TIPO LB, PARA ELETRODUTO DE PVC SOLDÁVEL DN 25 MM (3/4''), APARENTE - FORNECIMENTO E INSTALAÇÃO. AF_11/2016</t>
  </si>
  <si>
    <t>95812</t>
  </si>
  <si>
    <t>CONDULETE DE PVC, TIPO LB, PARA ELETRODUTO DE PVC SOLDÁVEL DN 32 MM (1''), APARENTE - FORNECIMENTO E INSTALAÇÃO. AF_11/2016</t>
  </si>
  <si>
    <t>20,85</t>
  </si>
  <si>
    <t>95813</t>
  </si>
  <si>
    <t>CONDULETE DE PVC, TIPO TB, PARA ELETRODUTO DE PVC SOLDÁVEL DN 20 MM (1/2''), APARENTE - FORNECIMENTO E INSTALAÇÃO. AF_11/2016</t>
  </si>
  <si>
    <t>20,36</t>
  </si>
  <si>
    <t>95814</t>
  </si>
  <si>
    <t>CONDULETE DE PVC, TIPO TB, PARA ELETRODUTO DE PVC SOLDÁVEL DN 25 MM (3/4''), APARENTE - FORNECIMENTO E INSTALAÇÃO. AF_11/2016</t>
  </si>
  <si>
    <t>21,35</t>
  </si>
  <si>
    <t>95815</t>
  </si>
  <si>
    <t>CONDULETE DE PVC, TIPO TB, PARA ELETRODUTO DE PVC SOLDÁVEL DN 32 MM (1''), APARENTE - FORNECIMENTO E INSTALAÇÃO. AF_11/2016</t>
  </si>
  <si>
    <t>27,42</t>
  </si>
  <si>
    <t>95816</t>
  </si>
  <si>
    <t>CONDULETE DE PVC, TIPO X, PARA ELETRODUTO DE PVC SOLDÁVEL DN 20 MM (1/2''), APARENTE - FORNECIMENTO E INSTALAÇÃO. AF_11/2016</t>
  </si>
  <si>
    <t>36,51</t>
  </si>
  <si>
    <t>95817</t>
  </si>
  <si>
    <t>CONDULETE DE PVC, TIPO X, PARA ELETRODUTO DE PVC SOLDÁVEL DN 25 MM (3/4''), APARENTE - FORNECIMENTO E INSTALAÇÃO. AF_11/2016</t>
  </si>
  <si>
    <t>95818</t>
  </si>
  <si>
    <t>CONDULETE DE PVC, TIPO X, PARA ELETRODUTO DE PVC SOLDÁVEL DN 32 MM (1''), APARENTE - FORNECIMENTO E INSTALAÇÃO. AF_11/2016</t>
  </si>
  <si>
    <t>45,48</t>
  </si>
  <si>
    <t>97881</t>
  </si>
  <si>
    <t>CAIXA ENTERRADA ELÉTRICA RETANGULAR, EM CONCRETO PRÉ-MOLDADO, FUNDO COM BRITA, DIMENSÕES INTERNAS: 0,3X0,3X0,3 M. AF_12/2020</t>
  </si>
  <si>
    <t>100,83</t>
  </si>
  <si>
    <t>97882</t>
  </si>
  <si>
    <t>CAIXA ENTERRADA ELÉTRICA RETANGULAR, EM CONCRETO PRÉ-MOLDADO, FUNDO COM BRITA, DIMENSÕES INTERNAS: 0,4X0,4X0,4 M. AF_12/2020</t>
  </si>
  <si>
    <t>155,60</t>
  </si>
  <si>
    <t>97883</t>
  </si>
  <si>
    <t>CAIXA ENTERRADA ELÉTRICA RETANGULAR, EM CONCRETO PRÉ-MOLDADO, FUNDO COM BRITA, DIMENSÕES INTERNAS: 0,6X0,6X0,5 M. AF_12/2020</t>
  </si>
  <si>
    <t>299,07</t>
  </si>
  <si>
    <t>97884</t>
  </si>
  <si>
    <t>CAIXA ENTERRADA ELÉTRICA RETANGULAR, EM CONCRETO PRÉ-MOLDADO, FUNDO COM BRITA, DIMENSÕES INTERNAS: 0,8X0,8X0,5 M. AF_12/2020</t>
  </si>
  <si>
    <t>573,22</t>
  </si>
  <si>
    <t>97885</t>
  </si>
  <si>
    <t>CAIXA ENTERRADA ELÉTRICA RETANGULAR, EM CONCRETO PRÉ-MOLDADO, FUNDO COM BRITA, DIMENSÕES INTERNAS: 1X1X0,5 M. AF_12/2020</t>
  </si>
  <si>
    <t>882,73</t>
  </si>
  <si>
    <t>97886</t>
  </si>
  <si>
    <t>CAIXA ENTERRADA ELÉTRICA RETANGULAR, EM ALVENARIA COM TIJOLOS CERÂMICOS MACIÇOS, FUNDO COM BRITA, DIMENSÕES INTERNAS: 0,3X0,3X0,3 M. AF_12/2020</t>
  </si>
  <si>
    <t>155,38</t>
  </si>
  <si>
    <t>97887</t>
  </si>
  <si>
    <t>CAIXA ENTERRADA ELÉTRICA RETANGULAR, EM ALVENARIA COM TIJOLOS CERÂMICOS MACIÇOS, FUNDO COM BRITA, DIMENSÕES INTERNAS: 0,4X0,4X0,4 M. AF_12/2020</t>
  </si>
  <si>
    <t>244,87</t>
  </si>
  <si>
    <t>97888</t>
  </si>
  <si>
    <t>CAIXA ENTERRADA ELÉTRICA RETANGULAR, EM ALVENARIA COM TIJOLOS CERÂMICOS MACIÇOS, FUNDO COM BRITA, DIMENSÕES INTERNAS: 0,6X0,6X0,6 M. AF_12/2020</t>
  </si>
  <si>
    <t>471,99</t>
  </si>
  <si>
    <t>97889</t>
  </si>
  <si>
    <t>CAIXA ENTERRADA ELÉTRICA RETANGULAR, EM ALVENARIA COM TIJOLOS CERÂMICOS MACIÇOS, FUNDO COM BRITA, DIMENSÕES INTERNAS: 0,8X0,8X0,6 M. AF_12/2020</t>
  </si>
  <si>
    <t>634,07</t>
  </si>
  <si>
    <t>97890</t>
  </si>
  <si>
    <t>CAIXA ENTERRADA ELÉTRICA RETANGULAR, EM ALVENARIA COM TIJOLOS CERÂMICOS MACIÇOS, FUNDO COM BRITA, DIMENSÕES INTERNAS: 1X1X0,6 M. AF_12/2020</t>
  </si>
  <si>
    <t>728,84</t>
  </si>
  <si>
    <t>97891</t>
  </si>
  <si>
    <t>CAIXA ENTERRADA ELÉTRICA RETANGULAR, EM ALVENARIA COM BLOCOS DE CONCRETO, FUNDO COM BRITA, DIMENSÕES INTERNAS: 0,4X0,4X0,4 M. AF_12/2020</t>
  </si>
  <si>
    <t>184,56</t>
  </si>
  <si>
    <t>97892</t>
  </si>
  <si>
    <t>CAIXA ENTERRADA ELÉTRICA RETANGULAR, EM ALVENARIA COM BLOCOS DE CONCRETO, FUNDO COM BRITA, DIMENSÕES INTERNAS: 0,6X0,6X0,6 M. AF_12/2020</t>
  </si>
  <si>
    <t>344,45</t>
  </si>
  <si>
    <t>97893</t>
  </si>
  <si>
    <t>CAIXA ENTERRADA ELÉTRICA RETANGULAR, EM ALVENARIA COM BLOCOS DE CONCRETO, FUNDO COM BRITA, DIMENSÕES INTERNAS: 0,8X0,8X0,6 M. AF_12/2020</t>
  </si>
  <si>
    <t>471,43</t>
  </si>
  <si>
    <t>97894</t>
  </si>
  <si>
    <t>CAIXA ENTERRADA ELÉTRICA RETANGULAR, EM ALVENARIA COM BLOCOS DE CONCRETO, FUNDO COM BRITA, DIMENSÕES INTERNAS: 1X1X0,6 M. AF_12/2020</t>
  </si>
  <si>
    <t>531,75</t>
  </si>
  <si>
    <t>93653</t>
  </si>
  <si>
    <t>DISJUNTOR MONOPOLAR TIPO DIN, CORRENTE NOMINAL DE 10A - FORNECIMENTO E INSTALAÇÃO. AF_10/2020</t>
  </si>
  <si>
    <t>11,20</t>
  </si>
  <si>
    <t>93654</t>
  </si>
  <si>
    <t>DISJUNTOR MONOPOLAR TIPO DIN, CORRENTE NOMINAL DE 16A - FORNECIMENTO E INSTALAÇÃO. AF_10/2020</t>
  </si>
  <si>
    <t>11,79</t>
  </si>
  <si>
    <t>93655</t>
  </si>
  <si>
    <t>DISJUNTOR MONOPOLAR TIPO DIN, CORRENTE NOMINAL DE 20A - FORNECIMENTO E INSTALAÇÃO. AF_10/2020</t>
  </si>
  <si>
    <t>12,93</t>
  </si>
  <si>
    <t>93656</t>
  </si>
  <si>
    <t>DISJUNTOR MONOPOLAR TIPO DIN, CORRENTE NOMINAL DE 25A - FORNECIMENTO E INSTALAÇÃO. AF_10/2020</t>
  </si>
  <si>
    <t>93657</t>
  </si>
  <si>
    <t>DISJUNTOR MONOPOLAR TIPO DIN, CORRENTE NOMINAL DE 32A - FORNECIMENTO E INSTALAÇÃO. AF_10/2020</t>
  </si>
  <si>
    <t>93658</t>
  </si>
  <si>
    <t>DISJUNTOR MONOPOLAR TIPO DIN, CORRENTE NOMINAL DE 40A - FORNECIMENTO E INSTALAÇÃO. AF_10/2020</t>
  </si>
  <si>
    <t>20,71</t>
  </si>
  <si>
    <t>93659</t>
  </si>
  <si>
    <t>DISJUNTOR MONOPOLAR TIPO DIN, CORRENTE NOMINAL DE 50A - FORNECIMENTO E INSTALAÇÃO. AF_10/2020</t>
  </si>
  <si>
    <t>23,54</t>
  </si>
  <si>
    <t>93660</t>
  </si>
  <si>
    <t>DISJUNTOR BIPOLAR TIPO DIN, CORRENTE NOMINAL DE 10A - FORNECIMENTO E INSTALAÇÃO. AF_10/2020</t>
  </si>
  <si>
    <t>54,76</t>
  </si>
  <si>
    <t>93661</t>
  </si>
  <si>
    <t>DISJUNTOR BIPOLAR TIPO DIN, CORRENTE NOMINAL DE 16A - FORNECIMENTO E INSTALAÇÃO. AF_10/2020</t>
  </si>
  <si>
    <t>55,94</t>
  </si>
  <si>
    <t>93662</t>
  </si>
  <si>
    <t>DISJUNTOR BIPOLAR TIPO DIN, CORRENTE NOMINAL DE 20A - FORNECIMENTO E INSTALAÇÃO. AF_10/2020</t>
  </si>
  <si>
    <t>58,23</t>
  </si>
  <si>
    <t>93663</t>
  </si>
  <si>
    <t>DISJUNTOR BIPOLAR TIPO DIN, CORRENTE NOMINAL DE 25A - FORNECIMENTO E INSTALAÇÃO. AF_10/2020</t>
  </si>
  <si>
    <t>93664</t>
  </si>
  <si>
    <t>DISJUNTOR BIPOLAR TIPO DIN, CORRENTE NOMINAL DE 32A - FORNECIMENTO E INSTALAÇÃO. AF_10/2020</t>
  </si>
  <si>
    <t>61,03</t>
  </si>
  <si>
    <t>93665</t>
  </si>
  <si>
    <t>DISJUNTOR BIPOLAR TIPO DIN, CORRENTE NOMINAL DE 40A - FORNECIMENTO E INSTALAÇÃO. AF_10/2020</t>
  </si>
  <si>
    <t>64,67</t>
  </si>
  <si>
    <t>93666</t>
  </si>
  <si>
    <t>DISJUNTOR BIPOLAR TIPO DIN, CORRENTE NOMINAL DE 50A - FORNECIMENTO E INSTALAÇÃO. AF_10/2020</t>
  </si>
  <si>
    <t>70,34</t>
  </si>
  <si>
    <t>93667</t>
  </si>
  <si>
    <t>DISJUNTOR TRIPOLAR TIPO DIN, CORRENTE NOMINAL DE 10A - FORNECIMENTO E INSTALAÇÃO. AF_10/2020</t>
  </si>
  <si>
    <t>68,49</t>
  </si>
  <si>
    <t>93668</t>
  </si>
  <si>
    <t>DISJUNTOR TRIPOLAR TIPO DIN, CORRENTE NOMINAL DE 16A - FORNECIMENTO E INSTALAÇÃO. AF_10/2020</t>
  </si>
  <si>
    <t>70,25</t>
  </si>
  <si>
    <t>93669</t>
  </si>
  <si>
    <t>DISJUNTOR TRIPOLAR TIPO DIN, CORRENTE NOMINAL DE 20A - FORNECIMENTO E INSTALAÇÃO. AF_10/2020</t>
  </si>
  <si>
    <t>73,69</t>
  </si>
  <si>
    <t>93670</t>
  </si>
  <si>
    <t>DISJUNTOR TRIPOLAR TIPO DIN, CORRENTE NOMINAL DE 25A - FORNECIMENTO E INSTALAÇÃO. AF_10/2020</t>
  </si>
  <si>
    <t>93671</t>
  </si>
  <si>
    <t>DISJUNTOR TRIPOLAR TIPO DIN, CORRENTE NOMINAL DE 32A - FORNECIMENTO E INSTALAÇÃO. AF_10/2020</t>
  </si>
  <si>
    <t>77,88</t>
  </si>
  <si>
    <t>93672</t>
  </si>
  <si>
    <t>DISJUNTOR TRIPOLAR TIPO DIN, CORRENTE NOMINAL DE 40A - FORNECIMENTO E INSTALAÇÃO. AF_10/2020</t>
  </si>
  <si>
    <t>84,48</t>
  </si>
  <si>
    <t>93673</t>
  </si>
  <si>
    <t>DISJUNTOR TRIPOLAR TIPO DIN, CORRENTE NOMINAL DE 50A - FORNECIMENTO E INSTALAÇÃO. AF_10/2020</t>
  </si>
  <si>
    <t>93,00</t>
  </si>
  <si>
    <t>97359</t>
  </si>
  <si>
    <t>QUADRO DE MEDIÇÃO GERAL DE ENERGIA COM 8 MEDIDORES - FORNECIMENTO E INSTALAÇÃO. AF_10/2020</t>
  </si>
  <si>
    <t>3.133,04</t>
  </si>
  <si>
    <t>97360</t>
  </si>
  <si>
    <t>QUADRO DE MEDIÇÃO GERAL DE ENERGIA COM 12 MEDIDORES - FORNECIMENTO E INSTALAÇÃO. AF_10/2020</t>
  </si>
  <si>
    <t>6.031,41</t>
  </si>
  <si>
    <t>97361</t>
  </si>
  <si>
    <t>QUADRO DE MEDIÇÃO GERAL DE ENERGIA COM 16 MEDIDORES - FORNECIMENTO E INSTALAÇÃO. AF_10/2020</t>
  </si>
  <si>
    <t>8.041,89</t>
  </si>
  <si>
    <t>97362</t>
  </si>
  <si>
    <t>QUADRO DE MEDIÇÃO GERAL DE ENERGIA PARA BARRAMENTO BLINDADO COM 4 MEDIDORES - FORNECIMENTO E INSTALAÇÃO. AF_10/2020</t>
  </si>
  <si>
    <t>2.710,22</t>
  </si>
  <si>
    <t>101875</t>
  </si>
  <si>
    <t>QUADRO DE DISTRIBUIÇÃO DE ENERGIA EM CHAPA DE AÇO GALVANIZADO, DE EMBUTIR, COM BARRAMENTO TRIFÁSICO, PARA 12 DISJUNTORES DIN 100A - FORNECIMENTO E INSTALAÇÃO. AF_10/2020</t>
  </si>
  <si>
    <t>569,77</t>
  </si>
  <si>
    <t>101876</t>
  </si>
  <si>
    <t>QUADRO DE DISTRIBUIÇÃO DE ENERGIA EM PVC, DE EMBUTIR, SEM BARRAMENTO, PARA 6 DISJUNTORES - FORNECIMENTO E INSTALAÇÃO. AF_10/2020</t>
  </si>
  <si>
    <t>71,24</t>
  </si>
  <si>
    <t>101877</t>
  </si>
  <si>
    <t>QUADRO DE DISTRIBUIÇÃO DE ENERGIA EM PVC, DE EMBUTIR, SEM BARRAMENTO, PARA 3 DISJUNTORES - FORNECIMENTO E INSTALAÇÃO. AF_10/2020</t>
  </si>
  <si>
    <t>49,43</t>
  </si>
  <si>
    <t>101878</t>
  </si>
  <si>
    <t>QUADRO DE DISTRIBUIÇÃO DE ENERGIA EM CHAPA DE AÇO GALVANIZADO, DE SOBREPOR, COM BARRAMENTO TRIFÁSICO, PARA 18 DISJUNTORES DIN 100A - FORNECIMENTO E INSTALAÇÃO. AF_10/2020</t>
  </si>
  <si>
    <t>773,80</t>
  </si>
  <si>
    <t>101879</t>
  </si>
  <si>
    <t>QUADRO DE DISTRIBUIÇÃO DE ENERGIA EM CHAPA DE AÇO GALVANIZADO, DE EMBUTIR, COM BARRAMENTO TRIFÁSICO, PARA 24 DISJUNTORES DIN 100A - FORNECIMENTO E INSTALAÇÃO. AF_10/2020</t>
  </si>
  <si>
    <t>829,41</t>
  </si>
  <si>
    <t>101880</t>
  </si>
  <si>
    <t>QUADRO DE DISTRIBUIÇÃO DE ENERGIA EM CHAPA DE AÇO GALVANIZADO, DE EMBUTIR, COM BARRAMENTO TRIFÁSICO, PARA 30 DISJUNTORES DIN 150A - FORNECIMENTO E INSTALAÇÃO. AF_10/2020</t>
  </si>
  <si>
    <t>953,54</t>
  </si>
  <si>
    <t>101881</t>
  </si>
  <si>
    <t>QUADRO DE DISTRIBUIÇÃO DE ENERGIA EM CHAPA DE AÇO GALVANIZADO, DE EMBUTIR, COM BARRAMENTO TRIFÁSICO, PARA 40 DISJUNTORES DIN 100A - FORNECIMENTO E INSTALAÇÃO. AF_10/2020</t>
  </si>
  <si>
    <t>1.380,60</t>
  </si>
  <si>
    <t>101882</t>
  </si>
  <si>
    <t>QUADRO DE DISTRIBUIÇÃO DE ENERGIA EM CHAPA DE AÇO GALVANIZADO, DE EMBUTIR, COM BARRAMENTO TRIFÁSICO, PARA 30 DISJUNTORES DIN 225A - FORNECIMENTO E INSTALAÇÃO. AF_10/2020</t>
  </si>
  <si>
    <t>1.969,03</t>
  </si>
  <si>
    <t>101883</t>
  </si>
  <si>
    <t>QUADRO DE DISTRIBUIÇÃO DE ENERGIA EM CHAPA DE AÇO GALVANIZADO, DE EMBUTIR, COM BARRAMENTO TRIFÁSICO, PARA 18 DISJUNTORES DIN 100A - FORNECIMENTO E INSTALAÇÃO. AF_10/2020</t>
  </si>
  <si>
    <t>790,26</t>
  </si>
  <si>
    <t>101890</t>
  </si>
  <si>
    <t>DISJUNTOR MONOPOLAR TIPO NEMA, CORRENTE NOMINAL DE 10 ATÉ 30A - FORNECIMENTO E INSTALAÇÃO. AF_10/2020</t>
  </si>
  <si>
    <t>15,49</t>
  </si>
  <si>
    <t>101891</t>
  </si>
  <si>
    <t>DISJUNTOR MONOPOLAR TIPO NEMA, CORRENTE NOMINAL DE 35 ATÉ 50A - FORNECIMENTO E INSTALAÇÃO. AF_10/2020</t>
  </si>
  <si>
    <t>26,70</t>
  </si>
  <si>
    <t>101892</t>
  </si>
  <si>
    <t>DISJUNTOR BIPOLAR TIPO NEMA, CORRENTE NOMINAL DE 10 ATÉ 50A - FORNECIMENTO E INSTALAÇÃO. AF_10/2020</t>
  </si>
  <si>
    <t>68,97</t>
  </si>
  <si>
    <t>101893</t>
  </si>
  <si>
    <t>DISJUNTOR TRIPOLAR TIPO NEMA, CORRENTE NOMINAL DE 10 ATÉ 50A - FORNECIMENTO E INSTALAÇÃO. AF_10/2020</t>
  </si>
  <si>
    <t>88,18</t>
  </si>
  <si>
    <t>101894</t>
  </si>
  <si>
    <t>DISJUNTOR TRIPOLAR TIPO NEMA, CORRENTE NOMINAL DE 60 ATÉ 100A - FORNECIMENTO E INSTALAÇÃO. AF_10/2020</t>
  </si>
  <si>
    <t>150,49</t>
  </si>
  <si>
    <t>101895</t>
  </si>
  <si>
    <t>DISJUNTOR TERMOMAGNÉTICO TRIPOLAR , CORRENTE NOMINAL DE 125A - FORNECIMENTO E INSTALAÇÃO. AF_10/2020</t>
  </si>
  <si>
    <t>408,96</t>
  </si>
  <si>
    <t>101896</t>
  </si>
  <si>
    <t>DISJUNTOR TERMOMAGNÉTICO TRIPOLAR , CORRENTE NOMINAL DE 200A - FORNECIMENTO E INSTALAÇÃO. AF_10/2020</t>
  </si>
  <si>
    <t>613,17</t>
  </si>
  <si>
    <t>101897</t>
  </si>
  <si>
    <t>DISJUNTOR TERMOMAGNÉTICO TRIPOLAR , CORRENTE NOMINAL DE 250A - FORNECIMENTO E INSTALAÇÃO. AF_10/2020</t>
  </si>
  <si>
    <t>978,75</t>
  </si>
  <si>
    <t>101898</t>
  </si>
  <si>
    <t>DISJUNTOR TERMOMAGNÉTICO TRIPOLAR , CORRENTE NOMINAL DE 400A - FORNECIMENTO E INSTALAÇÃO. AF_10/2020</t>
  </si>
  <si>
    <t>1.309,64</t>
  </si>
  <si>
    <t>101899</t>
  </si>
  <si>
    <t>DISJUNTOR TERMOMAGNÉTICO TRIPOLAR , CORRENTE NOMINAL DE 600A - FORNECIMENTO E INSTALAÇÃO. AF_10/2020</t>
  </si>
  <si>
    <t>2.096,70</t>
  </si>
  <si>
    <t>101900</t>
  </si>
  <si>
    <t>DISJUNTOR BAIXA TENSÃO TRIPOLAR A SECO  800A/600V - FORNECIMENTO E INSTALAÇÃO. AF_10/2020</t>
  </si>
  <si>
    <t>4.376,37</t>
  </si>
  <si>
    <t>101901</t>
  </si>
  <si>
    <t>CONTATOR TRIPOLAR I NOMINAL 12A - FORNECIMENTO E INSTALAÇÃO. AF_10/2020</t>
  </si>
  <si>
    <t>233,28</t>
  </si>
  <si>
    <t>101902</t>
  </si>
  <si>
    <t>CONTATOR TRIPOLAR I NOMINAL 22A - FORNECIMENTO E INSTALAÇÃO. AF_10/2020</t>
  </si>
  <si>
    <t>287,37</t>
  </si>
  <si>
    <t>101903</t>
  </si>
  <si>
    <t>CONTATOR TRIPOLAR I NOMINAL 38A - FORNECIMENTO E INSTALAÇÃO. AF_10/2020</t>
  </si>
  <si>
    <t>601,97</t>
  </si>
  <si>
    <t>101904</t>
  </si>
  <si>
    <t>CONTATOR TRIPOLAR I NOMIMAL 95A - FORNECIMENTO E INSTALAÇÃO. AF_10/2020</t>
  </si>
  <si>
    <t>2.244,33</t>
  </si>
  <si>
    <t>101938</t>
  </si>
  <si>
    <t>CAIXA DE PROTEÇÃO PARA MEDIDOR MONOFÁSICO DE EMBUTIR - FORNECIMENTO E INSTALAÇÃO. AF_10/2020</t>
  </si>
  <si>
    <t>95,27</t>
  </si>
  <si>
    <t>101946</t>
  </si>
  <si>
    <t>QUADRO DE MEDIÇÃO GERAL DE ENERGIA PARA 1 MEDIDOR DE SOBREPOR - FORNECIMENTO E INSTALAÇÃO. AF_10/2020</t>
  </si>
  <si>
    <t>145,10</t>
  </si>
  <si>
    <t>91945</t>
  </si>
  <si>
    <t>SUPORTE PARAFUSADO COM PLACA DE ENCAIXE 4" X 2" ALTO (2,00 M DO PISO) PARA PONTO ELÉTRICO - FORNECIMENTO E INSTALAÇÃO. AF_12/2015</t>
  </si>
  <si>
    <t>8,82</t>
  </si>
  <si>
    <t>91946</t>
  </si>
  <si>
    <t>SUPORTE PARAFUSADO COM PLACA DE ENCAIXE 4" X 2" MÉDIO (1,30 M DO PISO) PARA PONTO ELÉTRICO - FORNECIMENTO E INSTALAÇÃO. AF_12/2015</t>
  </si>
  <si>
    <t>7,27</t>
  </si>
  <si>
    <t>91947</t>
  </si>
  <si>
    <t>SUPORTE PARAFUSADO COM PLACA DE ENCAIXE 4" X 2" BAIXO (0,30 M DO PISO) PARA PONTO ELÉTRICO - FORNECIMENTO E INSTALAÇÃO. AF_12/2015</t>
  </si>
  <si>
    <t>6,31</t>
  </si>
  <si>
    <t>91949</t>
  </si>
  <si>
    <t>SUPORTE PARAFUSADO COM PLACA DE ENCAIXE 4" X 4" ALTO (2,00 M DO PISO) PARA PONTO ELÉTRICO - FORNECIMENTO E INSTALAÇÃO. AF_12/2015</t>
  </si>
  <si>
    <t>13,30</t>
  </si>
  <si>
    <t>91950</t>
  </si>
  <si>
    <t>SUPORTE PARAFUSADO COM PLACA DE ENCAIXE 4" X 4" MÉDIO (1,30 M DO PISO) PARA PONTO ELÉTRICO - FORNECIMENTO E INSTALAÇÃO. AF_12/2015</t>
  </si>
  <si>
    <t>11,43</t>
  </si>
  <si>
    <t>91951</t>
  </si>
  <si>
    <t>SUPORTE PARAFUSADO COM PLACA DE ENCAIXE 4" X 4" BAIXO (0,30 M DO PISO) PARA PONTO ELÉTRICO - FORNECIMENTO E INSTALAÇÃO. AF_12/2015</t>
  </si>
  <si>
    <t>91952</t>
  </si>
  <si>
    <t>INTERRUPTOR SIMPLES (1 MÓDULO), 10A/250V, SEM SUPORTE E SEM PLACA - FORNECIMENTO E INSTALAÇÃO. AF_12/2015</t>
  </si>
  <si>
    <t>16,82</t>
  </si>
  <si>
    <t>91953</t>
  </si>
  <si>
    <t>INTERRUPTOR SIMPLES (1 MÓDULO), 10A/250V, INCLUINDO SUPORTE E PLACA - FORNECIMENTO E INSTALAÇÃO. AF_12/2015</t>
  </si>
  <si>
    <t>24,09</t>
  </si>
  <si>
    <t>91954</t>
  </si>
  <si>
    <t>INTERRUPTOR PARALELO (1 MÓDULO), 10A/250V, SEM SUPORTE E SEM PLACA - FORNECIMENTO E INSTALAÇÃO. AF_12/2015</t>
  </si>
  <si>
    <t>22,62</t>
  </si>
  <si>
    <t>91955</t>
  </si>
  <si>
    <t>INTERRUPTOR PARALELO (1 MÓDULO), 10A/250V, INCLUINDO SUPORTE E PLACA - FORNECIMENTO E INSTALAÇÃO. AF_12/2015</t>
  </si>
  <si>
    <t>29,89</t>
  </si>
  <si>
    <t>91956</t>
  </si>
  <si>
    <t>INTERRUPTOR SIMPLES (1 MÓDULO) COM INTERRUPTOR PARALELO (1 MÓDULO), 10A/250V, SEM SUPORTE E SEM PLACA - FORNECIMENTO E INSTALAÇÃO. AF_12/2015</t>
  </si>
  <si>
    <t>36,55</t>
  </si>
  <si>
    <t>91957</t>
  </si>
  <si>
    <t>INTERRUPTOR SIMPLES (1 MÓDULO) COM INTERRUPTOR PARALELO (1 MÓDULO), 10A/250V, INCLUINDO SUPORTE E PLACA - FORNECIMENTO E INSTALAÇÃO. AF_12/2015</t>
  </si>
  <si>
    <t>43,82</t>
  </si>
  <si>
    <t>91958</t>
  </si>
  <si>
    <t>INTERRUPTOR SIMPLES (2 MÓDULOS), 10A/250V, SEM SUPORTE E SEM PLACA - FORNECIMENTO E INSTALAÇÃO. AF_12/2015</t>
  </si>
  <si>
    <t>30,81</t>
  </si>
  <si>
    <t>91959</t>
  </si>
  <si>
    <t>INTERRUPTOR SIMPLES (2 MÓDULOS), 10A/250V, INCLUINDO SUPORTE E PLACA - FORNECIMENTO E INSTALAÇÃO. AF_12/2015</t>
  </si>
  <si>
    <t>38,08</t>
  </si>
  <si>
    <t>91960</t>
  </si>
  <si>
    <t>INTERRUPTOR PARALELO (2 MÓDULOS), 10A/250V, SEM SUPORTE E SEM PLACA - FORNECIMENTO E INSTALAÇÃO. AF_12/2015</t>
  </si>
  <si>
    <t>42,35</t>
  </si>
  <si>
    <t>91961</t>
  </si>
  <si>
    <t>INTERRUPTOR PARALELO (2 MÓDULOS), 10A/250V, INCLUINDO SUPORTE E PLACA - FORNECIMENTO E INSTALAÇÃO. AF_12/2015</t>
  </si>
  <si>
    <t>49,62</t>
  </si>
  <si>
    <t>91962</t>
  </si>
  <si>
    <t>INTERRUPTOR SIMPLES (1 MÓDULO) COM INTERRUPTOR PARALELO (2 MÓDULOS), 10A/250V, SEM SUPORTE E SEM PLACA - FORNECIMENTO E INSTALAÇÃO. AF_12/2015</t>
  </si>
  <si>
    <t>56,33</t>
  </si>
  <si>
    <t>91963</t>
  </si>
  <si>
    <t>INTERRUPTOR SIMPLES (1 MÓDULO) COM INTERRUPTOR PARALELO (2 MÓDULOS), 10A/250V, INCLUINDO SUPORTE E PLACA - FORNECIMENTO E INSTALAÇÃO. AF_12/2015</t>
  </si>
  <si>
    <t>63,60</t>
  </si>
  <si>
    <t>91964</t>
  </si>
  <si>
    <t>INTERRUPTOR SIMPLES (2 MÓDULOS) COM INTERRUPTOR PARALELO (1 MÓDULO), 10A/250V, SEM SUPORTE E SEM PLACA - FORNECIMENTO E INSTALAÇÃO. AF_12/2015</t>
  </si>
  <si>
    <t>50,54</t>
  </si>
  <si>
    <t>91965</t>
  </si>
  <si>
    <t>INTERRUPTOR SIMPLES (2 MÓDULOS) COM INTERRUPTOR PARALELO (1 MÓDULO), 10A/250V, INCLUINDO SUPORTE E PLACA - FORNECIMENTO E INSTALAÇÃO. AF_12/2015</t>
  </si>
  <si>
    <t>91966</t>
  </si>
  <si>
    <t>INTERRUPTOR SIMPLES (3 MÓDULOS), 10A/250V, SEM SUPORTE E SEM PLACA - FORNECIMENTO E INSTALAÇÃO. AF_12/2015</t>
  </si>
  <si>
    <t>44,80</t>
  </si>
  <si>
    <t>91967</t>
  </si>
  <si>
    <t>INTERRUPTOR SIMPLES (3 MÓDULOS), 10A/250V, INCLUINDO SUPORTE E PLACA - FORNECIMENTO E INSTALAÇÃO. AF_12/2015</t>
  </si>
  <si>
    <t>52,07</t>
  </si>
  <si>
    <t>91968</t>
  </si>
  <si>
    <t>INTERRUPTOR PARALELO (3 MÓDULOS), 10A/250V, SEM SUPORTE E SEM PLACA - FORNECIMENTO E INSTALAÇÃO. AF_12/2015</t>
  </si>
  <si>
    <t>62,08</t>
  </si>
  <si>
    <t>91969</t>
  </si>
  <si>
    <t>INTERRUPTOR PARALELO (3 MÓDULOS), 10A/250V, INCLUINDO SUPORTE E PLACA - FORNECIMENTO E INSTALAÇÃO. AF_12/2015</t>
  </si>
  <si>
    <t>69,35</t>
  </si>
  <si>
    <t>91970</t>
  </si>
  <si>
    <t>INTERRUPTOR SIMPLES (3 MÓDULOS) COM INTERRUPTOR PARALELO (1 MÓDULO), 10A/250V, SEM SUPORTE E SEM PLACA - FORNECIMENTO E INSTALAÇÃO. AF_12/2015</t>
  </si>
  <si>
    <t>64,86</t>
  </si>
  <si>
    <t>91971</t>
  </si>
  <si>
    <t>INTERRUPTOR SIMPLES (3 MÓDULOS) COM INTERRUPTOR PARALELO (1 MÓDULO), 10A/250V, INCLUINDO SUPORTE E PLACA - FORNECIMENTO E INSTALAÇÃO. AF_12/2015</t>
  </si>
  <si>
    <t>76,29</t>
  </si>
  <si>
    <t>91972</t>
  </si>
  <si>
    <t>INTERRUPTOR SIMPLES (2 MÓDULOS) COM INTERRUPTOR PARALELO (2 MÓDULOS), 10A/250V, SEM SUPORTE E SEM PLACA - FORNECIMENTO E INSTALAÇÃO. AF_12/2015</t>
  </si>
  <si>
    <t>70,65</t>
  </si>
  <si>
    <t>91973</t>
  </si>
  <si>
    <t>INTERRUPTOR SIMPLES (2 MÓDULOS) COM INTERRUPTOR PARALELO (2 MÓDULOS), 10A/250V, INCLUINDO SUPORTE E PLACA - FORNECIMENTO E INSTALAÇÃO. AF_12/2015</t>
  </si>
  <si>
    <t>82,08</t>
  </si>
  <si>
    <t>91974</t>
  </si>
  <si>
    <t>INTERRUPTOR SIMPLES (4 MÓDULOS), 10A/250V, SEM SUPORTE E SEM PLACA - FORNECIMENTO E INSTALAÇÃO. AF_12/2015</t>
  </si>
  <si>
    <t>59,07</t>
  </si>
  <si>
    <t>91975</t>
  </si>
  <si>
    <t>INTERRUPTOR SIMPLES (4 MÓDULOS), 10A/250V, INCLUINDO SUPORTE E PLACA - FORNECIMENTO E INSTALAÇÃO. AF_12/2015</t>
  </si>
  <si>
    <t>70,50</t>
  </si>
  <si>
    <t>91976</t>
  </si>
  <si>
    <t>INTERRUPTOR SIMPLES (6 MÓDULOS), 10A/250V, SEM SUPORTE E SEM PLACA - FORNECIMENTO E INSTALAÇÃO. AF_12/2015</t>
  </si>
  <si>
    <t>87,14</t>
  </si>
  <si>
    <t>91977</t>
  </si>
  <si>
    <t>INTERRUPTOR SIMPLES (6 MÓDULOS), 10A/250V, INCLUINDO SUPORTE E PLACA - FORNECIMENTO E INSTALAÇÃO. AF_12/2015</t>
  </si>
  <si>
    <t>98,57</t>
  </si>
  <si>
    <t>91978</t>
  </si>
  <si>
    <t>INTERRUPTOR INTERMEDIÁRIO (1 MÓDULO), 10A/250V, SEM SUPORTE E SEM PLACA - FORNECIMENTO E INSTALAÇÃO. AF_09/2017</t>
  </si>
  <si>
    <t>35,54</t>
  </si>
  <si>
    <t>91979</t>
  </si>
  <si>
    <t>INTERRUPTOR INTERMEDIÁRIO (1 MÓDULO), 10A/250V, INCLUINDO SUPORTE E PLACA - FORNECIMENTO E INSTALAÇÃO. AF_09/2017</t>
  </si>
  <si>
    <t>42,81</t>
  </si>
  <si>
    <t>91980</t>
  </si>
  <si>
    <t>INTERRUPTOR BIPOLAR (1 MÓDULO), 10A/250V, SEM SUPORTE E SEM PLACA - FORNECIMENTO E INSTALAÇÃO. AF_09/2017</t>
  </si>
  <si>
    <t>34,45</t>
  </si>
  <si>
    <t>91981</t>
  </si>
  <si>
    <t>INTERRUPTOR BIPOLAR (1 MÓDULO), 10A/250V, INCLUINDO SUPORTE E PLACA - FORNECIMENTO E INSTALAÇÃO. AF_09/2017</t>
  </si>
  <si>
    <t>41,72</t>
  </si>
  <si>
    <t>91982</t>
  </si>
  <si>
    <t>DIMMER ROTATIVO (1 MÓDULO), 220V/600W, SEM SUPORTE E SEM PLACA - FORNECIMENTO E INSTALAÇÃO. AF_09/2017</t>
  </si>
  <si>
    <t>79,32</t>
  </si>
  <si>
    <t>91983</t>
  </si>
  <si>
    <t>DIMMER ROTATIVO (1 MÓDULO), 220V/600W, INCLUINDO SUPORTE E PLACA - FORNECIMENTO E INSTALAÇÃO. AF_09/2017</t>
  </si>
  <si>
    <t>86,59</t>
  </si>
  <si>
    <t>91984</t>
  </si>
  <si>
    <t>INTERRUPTOR PULSADOR CAMPAINHA (1 MÓDULO), 10A/250V, SEM SUPORTE E SEM PLACA - FORNECIMENTO E INSTALAÇÃO. AF_09/2017</t>
  </si>
  <si>
    <t>15,82</t>
  </si>
  <si>
    <t>91985</t>
  </si>
  <si>
    <t>INTERRUPTOR PULSADOR CAMPAINHA (1 MÓDULO), 10A/250V, INCLUINDO SUPORTE E PLACA - FORNECIMENTO E INSTALAÇÃO. AF_09/2017</t>
  </si>
  <si>
    <t>23,09</t>
  </si>
  <si>
    <t>91986</t>
  </si>
  <si>
    <t>CAMPAINHA CIGARRA (1 MÓDULO), 10A/250V, SEM SUPORTE E SEM PLACA - FORNECIMENTO E INSTALAÇÃO. AF_09/2017</t>
  </si>
  <si>
    <t>33,15</t>
  </si>
  <si>
    <t>91987</t>
  </si>
  <si>
    <t>CAMPAINHA CIGARRA (1 MÓDULO), 10A/250V, INCLUINDO SUPORTE E PLACA - FORNECIMENTO E INSTALAÇÃO. AF_09/2017</t>
  </si>
  <si>
    <t>40,42</t>
  </si>
  <si>
    <t>91988</t>
  </si>
  <si>
    <t>INTERRUPTOR PULSADOR MINUTERIA (1 MÓDULO), 10A/250V, SEM SUPORTE E SEM PLACA - FORNECIMENTO E INSTALAÇÃO. AF_09/2017</t>
  </si>
  <si>
    <t>91989</t>
  </si>
  <si>
    <t>INTERRUPTOR PULSADOR MINUTERIA (1 MÓDULO), 10A/250V, INCLUINDO SUPORTE E PLACA - FORNECIMENTO E INSTALAÇÃO. AF_09/2017</t>
  </si>
  <si>
    <t>26,72</t>
  </si>
  <si>
    <t>91990</t>
  </si>
  <si>
    <t>TOMADA ALTA DE EMBUTIR (1 MÓDULO), 2P+T 10 A, SEM SUPORTE E SEM PLACA - FORNECIMENTO E INSTALAÇÃO. AF_12/2015</t>
  </si>
  <si>
    <t>30,51</t>
  </si>
  <si>
    <t>91991</t>
  </si>
  <si>
    <t>TOMADA ALTA DE EMBUTIR (1 MÓDULO), 2P+T 20 A, SEM SUPORTE E SEM PLACA - FORNECIMENTO E INSTALAÇÃO. AF_12/2015</t>
  </si>
  <si>
    <t>32,47</t>
  </si>
  <si>
    <t>91992</t>
  </si>
  <si>
    <t>TOMADA ALTA DE EMBUTIR (1 MÓDULO), 2P+T 10 A, INCLUINDO SUPORTE E PLACA - FORNECIMENTO E INSTALAÇÃO. AF_12/2015</t>
  </si>
  <si>
    <t>37,78</t>
  </si>
  <si>
    <t>91993</t>
  </si>
  <si>
    <t>TOMADA ALTA DE EMBUTIR (1 MÓDULO), 2P+T 20 A, INCLUINDO SUPORTE E PLACA - FORNECIMENTO E INSTALAÇÃO. AF_12/2015</t>
  </si>
  <si>
    <t>39,74</t>
  </si>
  <si>
    <t>91994</t>
  </si>
  <si>
    <t>TOMADA MÉDIA DE EMBUTIR (1 MÓDULO), 2P+T 10 A, SEM SUPORTE E SEM PLACA - FORNECIMENTO E INSTALAÇÃO. AF_12/2015</t>
  </si>
  <si>
    <t>21,61</t>
  </si>
  <si>
    <t>91995</t>
  </si>
  <si>
    <t>TOMADA MÉDIA DE EMBUTIR (1 MÓDULO), 2P+T 20 A, SEM SUPORTE E SEM PLACA - FORNECIMENTO E INSTALAÇÃO. AF_12/2015</t>
  </si>
  <si>
    <t>23,57</t>
  </si>
  <si>
    <t>91996</t>
  </si>
  <si>
    <t>TOMADA MÉDIA DE EMBUTIR (1 MÓDULO), 2P+T 10 A, INCLUINDO SUPORTE E PLACA - FORNECIMENTO E INSTALAÇÃO. AF_12/2015</t>
  </si>
  <si>
    <t>28,88</t>
  </si>
  <si>
    <t>91997</t>
  </si>
  <si>
    <t>TOMADA MÉDIA DE EMBUTIR (1 MÓDULO), 2P+T 20 A, INCLUINDO SUPORTE E PLACA - FORNECIMENTO E INSTALAÇÃO. AF_12/2015</t>
  </si>
  <si>
    <t>30,84</t>
  </si>
  <si>
    <t>91998</t>
  </si>
  <si>
    <t>TOMADA BAIXA DE EMBUTIR (1 MÓDULO), 2P+T 10 A, SEM SUPORTE E SEM PLACA - FORNECIMENTO E INSTALAÇÃO. AF_12/2015</t>
  </si>
  <si>
    <t>18,15</t>
  </si>
  <si>
    <t>91999</t>
  </si>
  <si>
    <t>TOMADA BAIXA DE EMBUTIR (1 MÓDULO), 2P+T 20 A, SEM SUPORTE E SEM PLACA - FORNECIMENTO E INSTALAÇÃO. AF_12/2015</t>
  </si>
  <si>
    <t>92000</t>
  </si>
  <si>
    <t>TOMADA BAIXA DE EMBUTIR (1 MÓDULO), 2P+T 10 A, INCLUINDO SUPORTE E PLACA - FORNECIMENTO E INSTALAÇÃO. AF_12/2015</t>
  </si>
  <si>
    <t>25,42</t>
  </si>
  <si>
    <t>92001</t>
  </si>
  <si>
    <t>TOMADA BAIXA DE EMBUTIR (1 MÓDULO), 2P+T 20 A, INCLUINDO SUPORTE E PLACA - FORNECIMENTO E INSTALAÇÃO. AF_12/2015</t>
  </si>
  <si>
    <t>27,38</t>
  </si>
  <si>
    <t>92002</t>
  </si>
  <si>
    <t>TOMADA MÉDIA DE EMBUTIR (2 MÓDULOS), 2P+T 10 A, SEM SUPORTE E SEM PLACA - FORNECIMENTO E INSTALAÇÃO. AF_12/2015</t>
  </si>
  <si>
    <t>40,33</t>
  </si>
  <si>
    <t>92003</t>
  </si>
  <si>
    <t>TOMADA MÉDIA DE EMBUTIR (2 MÓDULOS), 2P+T 20 A, SEM SUPORTE E SEM PLACA - FORNECIMENTO E INSTALAÇÃO. AF_12/2015</t>
  </si>
  <si>
    <t>44,25</t>
  </si>
  <si>
    <t>92004</t>
  </si>
  <si>
    <t>TOMADA MÉDIA DE EMBUTIR (2 MÓDULOS), 2P+T 10 A, INCLUINDO SUPORTE E PLACA - FORNECIMENTO E INSTALAÇÃO. AF_12/2015</t>
  </si>
  <si>
    <t>92005</t>
  </si>
  <si>
    <t>TOMADA MÉDIA DE EMBUTIR (2 MÓDULOS), 2P+T 20 A, INCLUINDO SUPORTE E PLACA - FORNECIMENTO E INSTALAÇÃO. AF_12/2015</t>
  </si>
  <si>
    <t>51,52</t>
  </si>
  <si>
    <t>92006</t>
  </si>
  <si>
    <t>TOMADA BAIXA DE EMBUTIR (2 MÓDULOS), 2P+T 10 A, SEM SUPORTE E SEM PLACA - FORNECIMENTO E INSTALAÇÃO. AF_12/2015</t>
  </si>
  <si>
    <t>92007</t>
  </si>
  <si>
    <t>TOMADA BAIXA DE EMBUTIR (2 MÓDULOS), 2P+T 20 A, SEM SUPORTE E SEM PLACA - FORNECIMENTO E INSTALAÇÃO. AF_12/2015</t>
  </si>
  <si>
    <t>37,33</t>
  </si>
  <si>
    <t>92008</t>
  </si>
  <si>
    <t>TOMADA BAIXA DE EMBUTIR (2 MÓDULOS), 2P+T 10 A, INCLUINDO SUPORTE E PLACA - FORNECIMENTO E INSTALAÇÃO. AF_12/2015</t>
  </si>
  <si>
    <t>40,68</t>
  </si>
  <si>
    <t>92009</t>
  </si>
  <si>
    <t>TOMADA BAIXA DE EMBUTIR (2 MÓDULOS), 2P+T 20 A, INCLUINDO SUPORTE E PLACA - FORNECIMENTO E INSTALAÇÃO. AF_12/2015</t>
  </si>
  <si>
    <t>44,60</t>
  </si>
  <si>
    <t>92010</t>
  </si>
  <si>
    <t>TOMADA MÉDIA DE EMBUTIR (3 MÓDULOS), 2P+T 10 A, SEM SUPORTE E SEM PLACA - FORNECIMENTO E INSTALAÇÃO. AF_12/2015</t>
  </si>
  <si>
    <t>59,05</t>
  </si>
  <si>
    <t>92011</t>
  </si>
  <si>
    <t>TOMADA MÉDIA DE EMBUTIR (3 MÓDULOS), 2P+T 20 A, SEM SUPORTE E SEM PLACA - FORNECIMENTO E INSTALAÇÃO. AF_12/2015</t>
  </si>
  <si>
    <t>64,93</t>
  </si>
  <si>
    <t>92012</t>
  </si>
  <si>
    <t>TOMADA MÉDIA DE EMBUTIR (3 MÓDULOS), 2P+T 10 A, INCLUINDO SUPORTE E PLACA - FORNECIMENTO E INSTALAÇÃO. AF_12/2015</t>
  </si>
  <si>
    <t>66,32</t>
  </si>
  <si>
    <t>92013</t>
  </si>
  <si>
    <t>TOMADA MÉDIA DE EMBUTIR (3 MÓDULOS), 2P+T 20 A, INCLUINDO SUPORTE E PLACA - FORNECIMENTO E INSTALAÇÃO. AF_12/2015</t>
  </si>
  <si>
    <t>72,20</t>
  </si>
  <si>
    <t>92014</t>
  </si>
  <si>
    <t>TOMADA BAIXA DE EMBUTIR (3 MÓDULOS), 2P+T 10 A, SEM SUPORTE E SEM PLACA - FORNECIMENTO E INSTALAÇÃO. AF_12/2015</t>
  </si>
  <si>
    <t>48,67</t>
  </si>
  <si>
    <t>92015</t>
  </si>
  <si>
    <t>TOMADA BAIXA DE EMBUTIR (3 MÓDULOS), 2P+T 20 A, SEM SUPORTE E SEM PLACA - FORNECIMENTO E INSTALAÇÃO. AF_12/2015</t>
  </si>
  <si>
    <t>54,55</t>
  </si>
  <si>
    <t>92016</t>
  </si>
  <si>
    <t>TOMADA BAIXA DE EMBUTIR (3 MÓDULOS), 2P+T 10 A, INCLUINDO SUPORTE E PLACA - FORNECIMENTO E INSTALAÇÃO. AF_12/2015</t>
  </si>
  <si>
    <t>92017</t>
  </si>
  <si>
    <t>TOMADA BAIXA DE EMBUTIR (3 MÓDULOS), 2P+T 20 A, INCLUINDO SUPORTE E PLACA - FORNECIMENTO E INSTALAÇÃO. AF_12/2015</t>
  </si>
  <si>
    <t>61,82</t>
  </si>
  <si>
    <t>92018</t>
  </si>
  <si>
    <t>TOMADA BAIXA DE EMBUTIR (4 MÓDULOS), 2P+T 10 A, SEM SUPORTE E SEM PLACA - FORNECIMENTO E INSTALAÇÃO. AF_12/2015</t>
  </si>
  <si>
    <t>64,41</t>
  </si>
  <si>
    <t>92019</t>
  </si>
  <si>
    <t>TOMADA BAIXA DE EMBUTIR (4 MÓDULOS), 2P+T 10 A, INCLUINDO SUPORTE E PLACA - FORNECIMENTO E INSTALAÇÃO. AF_12/2015</t>
  </si>
  <si>
    <t>75,84</t>
  </si>
  <si>
    <t>92020</t>
  </si>
  <si>
    <t>TOMADA BAIXA DE EMBUTIR (6 MÓDULOS), 2P+T 10 A, SEM SUPORTE E SEM PLACA - FORNECIMENTO E INSTALAÇÃO. AF_12/2015</t>
  </si>
  <si>
    <t>95,17</t>
  </si>
  <si>
    <t>92021</t>
  </si>
  <si>
    <t>TOMADA BAIXA DE EMBUTIR (6 MÓDULOS), 2P+T 10 A, INCLUINDO SUPORTE E PLACA - FORNECIMENTO E INSTALAÇÃO. AF_12/2015</t>
  </si>
  <si>
    <t>106,60</t>
  </si>
  <si>
    <t>92022</t>
  </si>
  <si>
    <t>INTERRUPTOR SIMPLES (1 MÓDULO) COM 1 TOMADA DE EMBUTIR 2P+T 10 A,  SEM SUPORTE E SEM PLACA - FORNECIMENTO E INSTALAÇÃO. AF_12/2015</t>
  </si>
  <si>
    <t>92023</t>
  </si>
  <si>
    <t>INTERRUPTOR SIMPLES (1 MÓDULO) COM 1 TOMADA DE EMBUTIR 2P+T 10 A,  INCLUINDO SUPORTE E PLACA - FORNECIMENTO E INSTALAÇÃO. AF_12/2015</t>
  </si>
  <si>
    <t>92024</t>
  </si>
  <si>
    <t>INTERRUPTOR SIMPLES (1 MÓDULO) COM 2 TOMADAS DE EMBUTIR 2P+T 10 A,  SEM SUPORTE E SEM PLACA - FORNECIMENTO E INSTALAÇÃO. AF_12/2015</t>
  </si>
  <si>
    <t>54,31</t>
  </si>
  <si>
    <t>92025</t>
  </si>
  <si>
    <t>INTERRUPTOR SIMPLES (1 MÓDULO) COM 2 TOMADAS DE EMBUTIR 2P+T 10 A,  INCLUINDO SUPORTE E PLACA - FORNECIMENTO E INSTALAÇÃO. AF_12/2015</t>
  </si>
  <si>
    <t>61,58</t>
  </si>
  <si>
    <t>92026</t>
  </si>
  <si>
    <t>INTERRUPTOR SIMPLES (2 MÓDULOS) COM 1 TOMADA DE EMBUTIR 2P+T 10 A,  SEM SUPORTE E SEM PLACA - FORNECIMENTO E INSTALAÇÃO. AF_12/2015</t>
  </si>
  <si>
    <t>92027</t>
  </si>
  <si>
    <t>INTERRUPTOR SIMPLES (2 MÓDULOS) COM 1 TOMADA DE EMBUTIR 2P+T 10 A,  INCLUINDO SUPORTE E PLACA - FORNECIMENTO E INSTALAÇÃO. AF_12/2015</t>
  </si>
  <si>
    <t>92028</t>
  </si>
  <si>
    <t>INTERRUPTOR PARALELO (1 MÓDULO) COM 1 TOMADA DE EMBUTIR 2P+T 10 A,  SEM SUPORTE E SEM PLACA - FORNECIMENTO E INSTALAÇÃO. AF_12/2015</t>
  </si>
  <si>
    <t>41,34</t>
  </si>
  <si>
    <t>92029</t>
  </si>
  <si>
    <t>INTERRUPTOR PARALELO (1 MÓDULO) COM 1 TOMADA DE EMBUTIR 2P+T 10 A,  INCLUINDO SUPORTE E PLACA - FORNECIMENTO E INSTALAÇÃO. AF_12/2015</t>
  </si>
  <si>
    <t>48,61</t>
  </si>
  <si>
    <t>92030</t>
  </si>
  <si>
    <t>INTERRUPTOR PARALELO (1 MÓDULO) COM 2 TOMADAS DE EMBUTIR 2P+T 10 A,  SEM SUPORTE E SEM PLACA - FORNECIMENTO E INSTALAÇÃO. AF_12/2015</t>
  </si>
  <si>
    <t>60,06</t>
  </si>
  <si>
    <t>92031</t>
  </si>
  <si>
    <t>INTERRUPTOR PARALELO (1 MÓDULO) COM 2 TOMADAS DE EMBUTIR 2P+T 10 A,  INCLUINDO SUPORTE E PLACA - FORNECIMENTO E INSTALAÇÃO. AF_12/2015</t>
  </si>
  <si>
    <t>67,33</t>
  </si>
  <si>
    <t>92032</t>
  </si>
  <si>
    <t>INTERRUPTOR PARALELO (2 MÓDULOS) COM 1 TOMADA DE EMBUTIR 2P+T 10 A,  SEM SUPORTE E SEM PLACA - FORNECIMENTO E INSTALAÇÃO. AF_12/2015</t>
  </si>
  <si>
    <t>61,07</t>
  </si>
  <si>
    <t>92033</t>
  </si>
  <si>
    <t>INTERRUPTOR PARALELO (2 MÓDULOS) COM 1 TOMADA DE EMBUTIR 2P+T 10 A,  INCLUINDO SUPORTE E PLACA - FORNECIMENTO E INSTALAÇÃO. AF_12/2015</t>
  </si>
  <si>
    <t>68,34</t>
  </si>
  <si>
    <t>92034</t>
  </si>
  <si>
    <t>INTERRUPTOR SIMPLES (1 MÓDULO), INTERRUPTOR PARALELO (1 MÓDULO) E 1 TOMADA DE EMBUTIR 2P+T 10 A,  SEM SUPORTE E SEM PLACA - FORNECIMENTO E INSTALAÇÃO. AF_12/2015</t>
  </si>
  <si>
    <t>55,32</t>
  </si>
  <si>
    <t>92035</t>
  </si>
  <si>
    <t>INTERRUPTOR SIMPLES (1 MÓDULO), INTERRUPTOR PARALELO (1 MÓDULO) E 1 TOMADA DE EMBUTIR 2P+T 10 A,  INCLUINDO SUPORTE E PLACA - FORNECIMENTO E INSTALAÇÃO. AF_12/2015</t>
  </si>
  <si>
    <t>62,59</t>
  </si>
  <si>
    <t>97583</t>
  </si>
  <si>
    <t>LUMINÁRIA TIPO CALHA, DE SOBREPOR, COM 1 LÂMPADA TUBULAR FLUORESCENTE DE 18 W, COM REATOR DE PARTIDA RÁPIDA - FORNECIMENTO E INSTALAÇÃO. AF_02/2020</t>
  </si>
  <si>
    <t>93,08</t>
  </si>
  <si>
    <t>97584</t>
  </si>
  <si>
    <t>LUMINÁRIA TIPO CALHA, DE SOBREPOR, COM 1 LÂMPADA TUBULAR FLUORESCENTE DE 36 W, COM REATOR DE PARTIDA RÁPIDA - FORNECIMENTO E INSTALAÇÃO. AF_02/2020</t>
  </si>
  <si>
    <t>131,21</t>
  </si>
  <si>
    <t>97585</t>
  </si>
  <si>
    <t>LUMINÁRIA TIPO CALHA, DE SOBREPOR, COM 2 LÂMPADAS TUBULARES FLUORESCENTES DE 18 W, COM REATOR DE PARTIDA RÁPIDA - FORNECIMENTO E INSTALAÇÃO. AF_02/2020</t>
  </si>
  <si>
    <t>125,79</t>
  </si>
  <si>
    <t>97586</t>
  </si>
  <si>
    <t>LUMINÁRIA TIPO CALHA, DE SOBREPOR, COM 2 LÂMPADAS TUBULARES FLUORESCENTES DE 36 W, COM REATOR DE PARTIDA RÁPIDA - FORNECIMENTO E INSTALAÇÃO. AF_02/2020</t>
  </si>
  <si>
    <t>171,83</t>
  </si>
  <si>
    <t>97587</t>
  </si>
  <si>
    <t>LUMINÁRIA TIPO CALHA, DE EMBUTIR, COM 2 LÂMPADAS FLUORESCENTES DE 14 W, COM REATOR DE PARTIDA RÁPIDA - FORNECIMENTO E INSTALAÇÃO. AF_02/2020</t>
  </si>
  <si>
    <t>316,32</t>
  </si>
  <si>
    <t>97589</t>
  </si>
  <si>
    <t>LUMINÁRIA TIPO PLAFON EM PLÁSTICO, DE SOBREPOR, COM 1 LÂMPADA FLUORESCENTE DE 15 W, SEM REATOR - FORNECIMENTO E INSTALAÇÃO. AF_02/2020</t>
  </si>
  <si>
    <t>41,29</t>
  </si>
  <si>
    <t>97590</t>
  </si>
  <si>
    <t>LUMINÁRIA TIPO PLAFON REDONDO COM VIDRO FOSCO, DE SOBREPOR, COM 1 LÂMPADA FLUORESCENTE DE 15 W, SEM REATOR - FORNECIMENTO E INSTALAÇÃO. AF_02/2020</t>
  </si>
  <si>
    <t>104,91</t>
  </si>
  <si>
    <t>97591</t>
  </si>
  <si>
    <t>LUMINÁRIA TIPO PLAFON REDONDO COM VIDRO FOSCO, DE SOBREPOR, COM 2 LÂMPADAS FLUORESCENTES DE 15 W, SEM REATOR - FORNECIMENTO E INSTALAÇÃO. AF_02/2020</t>
  </si>
  <si>
    <t>136,51</t>
  </si>
  <si>
    <t>97592</t>
  </si>
  <si>
    <t>LUMINÁRIA TIPO PLAFON, DE SOBREPOR, COM 1 LÂMPADA LED DE 12/13 W, SEM REATOR - FORNECIMENTO E INSTALAÇÃO. AF_02/2020</t>
  </si>
  <si>
    <t>39,82</t>
  </si>
  <si>
    <t>97593</t>
  </si>
  <si>
    <t>LUMINÁRIA TIPO SPOT, DE SOBREPOR, COM 1 LÂMPADA FLUORESCENTE DE 15 W, SEM REATOR - FORNECIMENTO E INSTALAÇÃO. AF_02/2020</t>
  </si>
  <si>
    <t>154,29</t>
  </si>
  <si>
    <t>97594</t>
  </si>
  <si>
    <t>LUMINÁRIA TIPO SPOT, DE SOBREPOR, COM 2 LÂMPADAS FLUORESCENTES DE 15 W, SEM REATOR - FORNECIMENTO E INSTALAÇÃO. AF_02/2020</t>
  </si>
  <si>
    <t>137,92</t>
  </si>
  <si>
    <t>97595</t>
  </si>
  <si>
    <t>SENSOR DE PRESENÇA COM FOTOCÉLULA, FIXAÇÃO EM PAREDE - FORNECIMENTO E INSTALAÇÃO. AF_02/2020</t>
  </si>
  <si>
    <t>110,02</t>
  </si>
  <si>
    <t>97596</t>
  </si>
  <si>
    <t>SENSOR DE PRESENÇA SEM FOTOCÉLULA, FIXAÇÃO EM PAREDE - FORNECIMENTO E INSTALAÇÃO. AF_02/2020</t>
  </si>
  <si>
    <t>75,64</t>
  </si>
  <si>
    <t>97597</t>
  </si>
  <si>
    <t>SENSOR DE PRESENÇA COM FOTOCÉLULA, FIXAÇÃO EM TETO - FORNECIMENTO E INSTALAÇÃO. AF_02/2020</t>
  </si>
  <si>
    <t>75,98</t>
  </si>
  <si>
    <t>97598</t>
  </si>
  <si>
    <t>SENSOR DE PRESENÇA SEM FOTOCÉLULA, FIXAÇÃO EM TETO - FORNECIMENTO E INSTALAÇÃO. AF_02/2020</t>
  </si>
  <si>
    <t>71,58</t>
  </si>
  <si>
    <t>97599</t>
  </si>
  <si>
    <t>LUMINÁRIA DE EMERGÊNCIA, COM 30 LÂMPADAS LED DE 2 W, SEM REATOR - FORNECIMENTO E INSTALAÇÃO. AF_02/2020</t>
  </si>
  <si>
    <t>29,19</t>
  </si>
  <si>
    <t>97609</t>
  </si>
  <si>
    <t>LÂMPADA COMPACTA DE LED 6 W, BASE E27 - FORNECIMENTO E INSTALAÇÃO. AF_02/2020</t>
  </si>
  <si>
    <t>17,20</t>
  </si>
  <si>
    <t>97610</t>
  </si>
  <si>
    <t>LÂMPADA COMPACTA DE LED 10 W, BASE E27 - FORNECIMENTO E INSTALAÇÃO. AF_02/2020</t>
  </si>
  <si>
    <t>97611</t>
  </si>
  <si>
    <t>LÂMPADA COMPACTA FLUORESCENTE DE 15 W, BASE E27 - FORNECIMENTO E INSTALAÇÃO. AF_02/2020</t>
  </si>
  <si>
    <t>24,12</t>
  </si>
  <si>
    <t>97612</t>
  </si>
  <si>
    <t>LÂMPADA COMPACTA FLUORESCENTE DE 20 W, BASE E27 - FORNECIMENTO E INSTALAÇÃO. AF_02/2020</t>
  </si>
  <si>
    <t>26,22</t>
  </si>
  <si>
    <t>97613</t>
  </si>
  <si>
    <t>LÂMPADA COMPACTA DE VAPOR MERCURIO 125 W, BASE E27 - FORNECIMENTO E INSTALAÇÃO. AF_02/2020</t>
  </si>
  <si>
    <t>33,16</t>
  </si>
  <si>
    <t>97614</t>
  </si>
  <si>
    <t>LÂMPADA COMPACTA DE VAPOR METÁLICO OVOIDE 150 W, BASE E27 - FORNECIMENTO E INSTALAÇÃO. AF_02/2020</t>
  </si>
  <si>
    <t>58,24</t>
  </si>
  <si>
    <t>97615</t>
  </si>
  <si>
    <t>LÂMPADA TUBULAR FLUORESCENTE T8 DE 16/18 W, BASE G13 - FORNECIMENTO E INSTALAÇÃO. AF_02/2020_P</t>
  </si>
  <si>
    <t>57,49</t>
  </si>
  <si>
    <t>97616</t>
  </si>
  <si>
    <t>LÂMPADA TUBULAR FLUORESCENTE T8 DE 32/36 W, BASE G13 - FORNECIMENTO E INSTALAÇÃO. AF_02/2020_P</t>
  </si>
  <si>
    <t>97617</t>
  </si>
  <si>
    <t>LÂMPADA TUBULAR FLUORESCENTE T10 DE 20/40 W, BASE G13 - FORNECIMENTO E INSTALAÇÃO. AF_02/2020_P</t>
  </si>
  <si>
    <t>65,92</t>
  </si>
  <si>
    <t>97618</t>
  </si>
  <si>
    <t>LÂMPADA TUBULAR FLUORESCENTE T5 DE 14 W, BASE G13 - FORNECIMENTO E INSTALAÇÃO. AF_02/2020_P</t>
  </si>
  <si>
    <t>60,43</t>
  </si>
  <si>
    <t>100902</t>
  </si>
  <si>
    <t>LÂMPADA TUBULAR LED DE 9/10 W, BASE G13 - FORNECIMENTO E INSTALAÇÃO. AF_02/2020_P</t>
  </si>
  <si>
    <t>27,81</t>
  </si>
  <si>
    <t>100903</t>
  </si>
  <si>
    <t>LÂMPADA TUBULAR LED DE 18/20 W, BASE G13 - FORNECIMENTO E INSTALAÇÃO. AF_02/2020_P</t>
  </si>
  <si>
    <t>33,10</t>
  </si>
  <si>
    <t>100904</t>
  </si>
  <si>
    <t>LUMINÁRIA TIPO CALHA, DE SOBREPOR, COM 1 LÂMPADA TUBULAR FLUORESCENTE DE 20 W, COM REATOR DE PARTIDA CONVENCIONAL - FORNECIMENTO E INSTALAÇÃO. AF_02/2020</t>
  </si>
  <si>
    <t>100905</t>
  </si>
  <si>
    <t>LUMINÁRIA DUPLA TIPO CALHA, DE SOBREPOR, COM 4 LÂMPADAS TUBULARES FLUORESCENTES DE 18 W,COM REATORES DE PARTIDA RÁPIDA - FORNECIMENTO E INSTALAÇÃO. AF_02/2020</t>
  </si>
  <si>
    <t>251,60</t>
  </si>
  <si>
    <t>100906</t>
  </si>
  <si>
    <t>LUMINÁRIA DUPLA TIPO CALHA, DE SOBREPOR, COM 4 LÂMPADAS TUBULARES FLUORESCENTES DE 36 W, COM REATORES DE PARTIDA RÁPIDA -FORNECIMENTO E INSTALAÇÃO. AF_02/2020</t>
  </si>
  <si>
    <t>343,68</t>
  </si>
  <si>
    <t>100919</t>
  </si>
  <si>
    <t>LÂMPADA FLUORESCENTE ESPIRAL BRANCA 45 W, BASE E27 - FORNECIMENTO E INSTALAÇÃO. AF_02/2020</t>
  </si>
  <si>
    <t>66,43</t>
  </si>
  <si>
    <t>100920</t>
  </si>
  <si>
    <t>LÂMPADA FLUORESCENTE ESPIRAL BRANCA 65 W, BASE E27 - FORNECIMENTO E INSTALAÇÃO. AF_02/2020</t>
  </si>
  <si>
    <t>112,69</t>
  </si>
  <si>
    <t>100921</t>
  </si>
  <si>
    <t>REATOR DE PARTIDA RÁPIDA PARA LÂMPADA FLUORESCENTE 2X40W - FORNECIMENTO E INSTALAÇÃO. AF_02/2020</t>
  </si>
  <si>
    <t>69,11</t>
  </si>
  <si>
    <t>100922</t>
  </si>
  <si>
    <t>REATOR DE PARTIDA RÁPIDA PARA LÂMPADA FLUORESCENTE 1X20W - FORNECIMENTO E INSTALAÇÃO. AF_02/2020</t>
  </si>
  <si>
    <t>49,76</t>
  </si>
  <si>
    <t>100923</t>
  </si>
  <si>
    <t>REATOR DE PARTIDA RÁPIDA PARA LÂMPADA FLUORESCENTE 1X40W - FORNECIMENTO E INSTALAÇÃO. AF_02/2020</t>
  </si>
  <si>
    <t>57,98</t>
  </si>
  <si>
    <t>101489</t>
  </si>
  <si>
    <t>ENTRADA DE ENERGIA ELÉTRICA, AÉREA, MONOFÁSICA, COM CAIXA DE SOBREPOR, CABO DE 10 MM2 E DISJUNTOR DIN 50A (NÃO INCLUSO O POSTE DE CONCRETO). AF_07/2020_P</t>
  </si>
  <si>
    <t>1.323,17</t>
  </si>
  <si>
    <t>101490</t>
  </si>
  <si>
    <t>ENTRADA DE ENERGIA ELÉTRICA, AÉREA, MONOFÁSICA, COM CAIXA DE SOBREPOR, CABO DE 16 MM2 E DISJUNTOR DIN 50A (NÃO INCLUSO O POSTE DE CONCRETO). AF_07/2020_P</t>
  </si>
  <si>
    <t>1.415,68</t>
  </si>
  <si>
    <t>101491</t>
  </si>
  <si>
    <t>ENTRADA DE ENERGIA ELÉTRICA, AÉREA, MONOFÁSICA, COM CAIXA DE SOBREPOR, CABO DE 25 MM2 E DISJUNTOR DIN 50A (NÃO INCLUSO O POSTE DE CONCRETO). AF_07/2020_P</t>
  </si>
  <si>
    <t>1.451,76</t>
  </si>
  <si>
    <t>101492</t>
  </si>
  <si>
    <t>ENTRADA DE ENERGIA ELÉTRICA, AÉREA, MONOFÁSICA, COM CAIXA DE SOBREPOR, CABO DE 35 MM2 E DISJUNTOR DIN 50A (NÃO INCLUSO O POSTE DE CONCRETO). AF_07/2020_P</t>
  </si>
  <si>
    <t>1.588,68</t>
  </si>
  <si>
    <t>101493</t>
  </si>
  <si>
    <t>ENTRADA DE ENERGIA ELÉTRICA, AÉREA, MONOFÁSICA, COM CAIXA DE EMBUTIR, CABO DE 10 MM2 E DISJUNTOR DIN 50A (NÃO INCLUSO O POSTE DE CONCRETO). AF_07/2020_P</t>
  </si>
  <si>
    <t>1.307,29</t>
  </si>
  <si>
    <t>101494</t>
  </si>
  <si>
    <t>ENTRADA DE ENERGIA ELÉTRICA, AÉREA, MONOFÁSICA, COM CAIXA DE EMBUTIR, CABO DE 16 MM2 E DISJUNTOR DIN 50A (NÃO INCLUSO O POSTE DE CONCRETO). AF_07/2020_P</t>
  </si>
  <si>
    <t>1.399,80</t>
  </si>
  <si>
    <t>101495</t>
  </si>
  <si>
    <t>ENTRADA DE ENERGIA ELÉTRICA, AÉREA, MONOFÁSICA, COM CAIXA DE EMBUTIR, CABO DE 25 MM2 E DISJUNTOR DIN 50A (NÃO INCLUSO O POSTE DE CONCRETO). AF_07/2020_P</t>
  </si>
  <si>
    <t>1.435,88</t>
  </si>
  <si>
    <t>101496</t>
  </si>
  <si>
    <t>ENTRADA DE ENERGIA ELÉTRICA, AÉREA, MONOFÁSICA, COM CAIXA DE EMBUTIR, CABO DE 35 MM2 E DISJUNTOR DIN 50A (NÃO INCLUSO O POSTE DE CONCRETO). AF_07/2020_P</t>
  </si>
  <si>
    <t>1.572,80</t>
  </si>
  <si>
    <t>101497</t>
  </si>
  <si>
    <t>ENTRADA DE ENERGIA ELÉTRICA, AÉREA, BIFÁSICA, COM CAIXA DE SOBREPOR, CABO DE 10 MM2 E DISJUNTOR DIN 50A (NÃO INCLUSO O POSTE DE CONCRETO). AF_07/2020_P</t>
  </si>
  <si>
    <t>1.559,83</t>
  </si>
  <si>
    <t>101498</t>
  </si>
  <si>
    <t>ENTRADA DE ENERGIA ELÉTRICA, AÉREA, BIFÁSICA, COM CAIXA DE SOBREPOR, CABO DE 16 MM2 E DISJUNTOR DIN 50A (NÃO INCLUSO O POSTE DE CONCRETO). AF_07/2020_P</t>
  </si>
  <si>
    <t>1.699,86</t>
  </si>
  <si>
    <t>101499</t>
  </si>
  <si>
    <t>ENTRADA DE ENERGIA ELÉTRICA, AÉREA, BIFÁSICA, COM CAIXA DE SOBREPOR, CABO DE 25 MM2 E DISJUNTOR DIN 50A (NÃO INCLUSO O POSTE DE CONCRETO). AF_07/2020_P</t>
  </si>
  <si>
    <t>1.754,47</t>
  </si>
  <si>
    <t>101500</t>
  </si>
  <si>
    <t>ENTRADA DE ENERGIA ELÉTRICA, AÉREA, BIFÁSICA, COM CAIXA DE SOBREPOR, CABO DE 35 MM2 E DISJUNTOR DIN 50A (NÃO INCLUSO O POSTE DE CONCRETO). AF_07/2020_P</t>
  </si>
  <si>
    <t>1.946,59</t>
  </si>
  <si>
    <t>101501</t>
  </si>
  <si>
    <t>ENTRADA DE ENERGIA ELÉTRICA, AÉREA, BIFÁSICA, COM CAIXA DE EMBUTIR, CABO DE 10 MM2 E DISJUNTOR DIN 50A (NÃO INCLUSO O POSTE DE CONCRETO). AF_07/2020_P</t>
  </si>
  <si>
    <t>1.550,23</t>
  </si>
  <si>
    <t>101502</t>
  </si>
  <si>
    <t>ENTRADA DE ENERGIA ELÉTRICA, AÉREA, BIFÁSICA, COM CAIXA DE EMBUTIR, CABO DE 16 MM2 E DISJUNTOR DIN 50A (NÃO INCLUSO O POSTE DE CONCRETO). AF_07/2020_P</t>
  </si>
  <si>
    <t>1.690,26</t>
  </si>
  <si>
    <t>101503</t>
  </si>
  <si>
    <t>ENTRADA DE ENERGIA ELÉTRICA, AÉREA, BIFÁSICA, COM CAIXA DE EMBUTIR, CABO DE 25 MM2 E DISJUNTOR DIN 50A (NÃO INCLUSO O POSTE DE CONCRETO). AF_07/2020_P</t>
  </si>
  <si>
    <t>1.744,87</t>
  </si>
  <si>
    <t>101504</t>
  </si>
  <si>
    <t>ENTRADA DE ENERGIA ELÉTRICA, AÉREA, BIFÁSICA, COM CAIXA DE EMBUTIR, CABO DE 35 MM2 E DISJUNTOR DIN 50A (NÃO INCLUSO O POSTE DE CONCRETO). AF_07/2020_P</t>
  </si>
  <si>
    <t>1.936,99</t>
  </si>
  <si>
    <t>101505</t>
  </si>
  <si>
    <t>ENTRADA DE ENERGIA ELÉTRICA, AÉREA, TRIFÁSICA, COM CAIXA DE SOBREPOR, CABO DE 10 MM2 E DISJUNTOR DIN 50A (NÃO INCLUSO O POSTE DE CONCRETO). AF_07/2020_P</t>
  </si>
  <si>
    <t>1.671,79</t>
  </si>
  <si>
    <t>101506</t>
  </si>
  <si>
    <t>ENTRADA DE ENERGIA ELÉTRICA, AÉREA, TRIFÁSICA, COM CAIXA DE SOBREPOR, CABO DE 16 MM2 E DISJUNTOR DIN 50A (NÃO INCLUSO O POSTE DE CONCRETO). AF_07/2020_P</t>
  </si>
  <si>
    <t>1.858,50</t>
  </si>
  <si>
    <t>101507</t>
  </si>
  <si>
    <t>ENTRADA DE ENERGIA ELÉTRICA, AÉREA, TRIFÁSICA, COM CAIXA DE SOBREPOR, CABO DE 25 MM2 E DISJUNTOR DIN 50A (NÃO INCLUSO O POSTE DE CONCRETO). AF_07/2020_P</t>
  </si>
  <si>
    <t>1.931,31</t>
  </si>
  <si>
    <t>101508</t>
  </si>
  <si>
    <t>ENTRADA DE ENERGIA ELÉTRICA, AÉREA, TRIFÁSICA, COM CAIXA DE SOBREPOR, CABO DE 35 MM2 E DISJUNTOR DIN 50A (NÃO INCLUSO O POSTE DE CONCRETO). AF_07/2020_P</t>
  </si>
  <si>
    <t>2.177,66</t>
  </si>
  <si>
    <t>101509</t>
  </si>
  <si>
    <t>ENTRADA DE ENERGIA ELÉTRICA, AÉREA, TRIFÁSICA, COM CAIXA DE EMBUTIR, CABO DE 10 MM2 E DISJUNTOR DIN 50A (NÃO INCLUSO O POSTE DE CONCRETO). AF_07/2020</t>
  </si>
  <si>
    <t>1.897,32</t>
  </si>
  <si>
    <t>101510</t>
  </si>
  <si>
    <t>ENTRADA DE ENERGIA ELÉTRICA, AÉREA, TRIFÁSICA, COM CAIXA DE EMBUTIR, CABO DE 16 MM2 E DISJUNTOR DIN 50A (NÃO INCLUSO O POSTE DE CONCRETO). AF_07/2020</t>
  </si>
  <si>
    <t>2.084,03</t>
  </si>
  <si>
    <t>101511</t>
  </si>
  <si>
    <t>ENTRADA DE ENERGIA ELÉTRICA, AÉREA, TRIFÁSICA, COM CAIXA DE EMBUTIR, CABO DE 25 MM2 E DISJUNTOR DIN 50A (NÃO INCLUSO O POSTE DE CONCRETO). AF_07/2020</t>
  </si>
  <si>
    <t>2.156,84</t>
  </si>
  <si>
    <t>101512</t>
  </si>
  <si>
    <t>ENTRADA DE ENERGIA ELÉTRICA, AÉREA, TRIFÁSICA, COM CAIXA DE EMBUTIR, CABO DE 35 MM2 E DISJUNTOR DIN 50A (NÃO INCLUSO O POSTE DE CONCRETO). AF_07/2020</t>
  </si>
  <si>
    <t>2.403,19</t>
  </si>
  <si>
    <t>101513</t>
  </si>
  <si>
    <t>ENTRADA DE ENERGIA ELÉTRICA, SUBTERRÂNEA, MONOFÁSICA, COM CAIXA DE SOBREPOR, CABO DE 10 MM2 E DISJUNTOR DIN 50A (NÃO INCLUSA MURETA DE ALVENARIA). AF_07/2020_P</t>
  </si>
  <si>
    <t>738,71</t>
  </si>
  <si>
    <t>101514</t>
  </si>
  <si>
    <t>ENTRADA DE ENERGIA ELÉTRICA, SUBTERRÂNEA, MONOFÁSICA, COM CAIXA DE SOBREPOR, CABO DE 16 MM2 E DISJUNTOR DIN 50A (NÃO INCLUSA MURETA DE ALVENARIA). AF_07/2020_P</t>
  </si>
  <si>
    <t>849,73</t>
  </si>
  <si>
    <t>101515</t>
  </si>
  <si>
    <t>ENTRADA DE ENERGIA ELÉTRICA, SUBTERRÂNEA, MONOFÁSICA, COM CAIXA DE SOBREPOR, CABO DE 25 MM2 E DISJUNTOR DIN 50A (NÃO INCLUSA MURETA DE ALVENARIA). AF_07/2020_P</t>
  </si>
  <si>
    <t>893,02</t>
  </si>
  <si>
    <t>101516</t>
  </si>
  <si>
    <t>ENTRADA DE ENERGIA ELÉTRICA, SUBTERRÂNEA, MONOFÁSICA, COM CAIXA DE SOBREPOR, CABO DE 35 MM2 E DISJUNTOR DIN 50A (NÃO INCLUSA MURETA DE ALVENARIA). AF_07/2020_P</t>
  </si>
  <si>
    <t>1.021,99</t>
  </si>
  <si>
    <t>101517</t>
  </si>
  <si>
    <t>ENTRADA DE ENERGIA ELÉTRICA, SUBTERRÂNEA, MONOFÁSICA, COM CAIXA DE EMBUTIR, CABO DE 10 MM2 E DISJUNTOR DIN 50A (NÃO INCLUSA MURETA DE ALVENARIA). AF_07/2020_P</t>
  </si>
  <si>
    <t>722,84</t>
  </si>
  <si>
    <t>101518</t>
  </si>
  <si>
    <t>ENTRADA DE ENERGIA ELÉTRICA, SUBTERRÂNEA, MONOFÁSICA, COM CAIXA DE EMBUTIR, CABO DE 16 MM2 E DISJUNTOR DIN 50A (NÃO INCLUSA MURETA DE ALVENARIA). AF_07/2020_P</t>
  </si>
  <si>
    <t>833,86</t>
  </si>
  <si>
    <t>101519</t>
  </si>
  <si>
    <t>ENTRADA DE ENERGIA ELÉTRICA, SUBTERRÂNEA, MONOFÁSICA, COM CAIXA DE EMBUTIR, CABO DE 25 MM2 E DISJUNTOR DIN 50A (NÃO INCLUSA MURETA DE ALVENARIA). AF_07/2020_P</t>
  </si>
  <si>
    <t>877,15</t>
  </si>
  <si>
    <t>101520</t>
  </si>
  <si>
    <t>ENTRADA DE ENERGIA ELÉTRICA, SUBTERRÂNEA, MONOFÁSICA, COM CAIXA DE EMBUTIR, CABO DE 35 MM2 E DISJUNTOR DIN 50A (NÃO INCLUSA MURETA DE ALVENARIA). AF_07/2020_P</t>
  </si>
  <si>
    <t>1.006,12</t>
  </si>
  <si>
    <t>101521</t>
  </si>
  <si>
    <t>ENTRADA DE ENERGIA ELÉTRICA, SUBTERRÂNEA, BIFÁSICA, COM CAIXA DE SOBREPOR, CABO DE 10 MM2 E DISJUNTOR DIN 50A (NÃO INCLUSA MURETA DE ALVENARIA). AF_07/2020_P</t>
  </si>
  <si>
    <t>990,67</t>
  </si>
  <si>
    <t>101522</t>
  </si>
  <si>
    <t>ENTRADA DE ENERGIA ELÉTRICA, SUBTERRÂNEA, BIFÁSICA, COM CAIXA DE SOBREPOR, CABO DE 16 MM2 E DISJUNTOR DIN 50A (NÃO INCLUSA MURETA DE ALVENARIA). AF_07/2020_P</t>
  </si>
  <si>
    <t>1.157,19</t>
  </si>
  <si>
    <t>101523</t>
  </si>
  <si>
    <t>ENTRADA DE ENERGIA ELÉTRICA, SUBTERRÂNEA, BIFÁSICA, COM CAIXA DE SOBREPOR, CABO DE 25 MM2 E DISJUNTOR DIN 50A (NÃO INCLUSA MURETA DE ALVENARIA). AF_07/2020_P</t>
  </si>
  <si>
    <t>1.222,13</t>
  </si>
  <si>
    <t>101524</t>
  </si>
  <si>
    <t>ENTRADA DE ENERGIA ELÉTRICA, SUBTERRÂNEA, BIFÁSICA, COM CAIXA DE SOBREPOR, CABO DE 35 MM2 E DISJUNTOR DIN 50A (NÃO INCLUSA MURETA DE ALVENARIA). AF_07/2020_P</t>
  </si>
  <si>
    <t>1.415,58</t>
  </si>
  <si>
    <t>101525</t>
  </si>
  <si>
    <t>ENTRADA DE ENERGIA ELÉTRICA, SUBTERRÂNEA, BIFÁSICA, COM CAIXA DE EMBUTIR, CABO DE 10 MM2 E DISJUNTOR DIN 50A (NÃO INCLUSA MURETA DE ALVENARIA). AF_07/2020_P</t>
  </si>
  <si>
    <t>981,08</t>
  </si>
  <si>
    <t>101526</t>
  </si>
  <si>
    <t>ENTRADA DE ENERGIA ELÉTRICA, SUBTERRÂNEA, BIFÁSICA, COM CAIXA DE EMBUTIR, CABO DE 16 MM2 E DISJUNTOR DIN 50A (NÃO INCLUSA MURETA DE ALVENARIA). AF_07/2020_P</t>
  </si>
  <si>
    <t>1.147,60</t>
  </si>
  <si>
    <t>101527</t>
  </si>
  <si>
    <t>ENTRADA DE ENERGIA ELÉTRICA, SUBTERRÂNEA, BIFÁSICA, COM CAIXA DE EMBUTIR, CABO DE 25 MM2 E DISJUNTOR DIN 50A (NÃO INCLUSA MURETA DE ALVENARIA). AF_07/2020_P</t>
  </si>
  <si>
    <t>1.212,54</t>
  </si>
  <si>
    <t>101528</t>
  </si>
  <si>
    <t>ENTRADA DE ENERGIA ELÉTRICA, SUBTERRÂNEA, BIFÁSICA, COM CAIXA DE EMBUTIR, CABO DE 35 MM2 E DISJUNTOR DIN 50A (NÃO INCLUSA MURETA DE ALVENARIA). AF_07/2020_P</t>
  </si>
  <si>
    <t>1.405,99</t>
  </si>
  <si>
    <t>101529</t>
  </si>
  <si>
    <t>ENTRADA DE ENERGIA ELÉTRICA, SUBTERRÂNEA, TRIFÁSICA, COM CAIXA DE SOBREPOR, CABO DE 10 MM2 E DISJUNTOR DIN 50A (NÃO INCLUSA MURETA DE ALVENARIA). AF_07/2020_P</t>
  </si>
  <si>
    <t>1.119,52</t>
  </si>
  <si>
    <t>101530</t>
  </si>
  <si>
    <t>ENTRADA DE ENERGIA ELÉTRICA, SUBTERRÂNEA, TRIFÁSICA, COM CAIXA DE SOBREPOR, CABO DE 16 MM2 E DISJUNTOR DIN 50A (NÃO INCLUSA MURETA DE ALVENARIA). AF_07/2020_P</t>
  </si>
  <si>
    <t>1.341,55</t>
  </si>
  <si>
    <t>101531</t>
  </si>
  <si>
    <t>ENTRADA DE ENERGIA ELÉTRICA, SUBTERRÂNEA, TRIFÁSICA, COM CAIXA DE SOBREPOR, CABO DE 25 MM2 E DISJUNTOR DIN 50A (NÃO INCLUSA MURETA DE ALVENARIA). AF_07/2020_P</t>
  </si>
  <si>
    <t>1.428,14</t>
  </si>
  <si>
    <t>101532</t>
  </si>
  <si>
    <t>ENTRADA DE ENERGIA ELÉTRICA, SUBTERRÂNEA, TRIFÁSICA, COM CAIXA DE SOBREPOR, CABO DE 35 MM2 E DISJUNTOR DIN 50A (NÃO INCLUSA MURETA DE ALVENARIA). AF_07/2020_P</t>
  </si>
  <si>
    <t>1.686,07</t>
  </si>
  <si>
    <t>101533</t>
  </si>
  <si>
    <t>ENTRADA DE ENERGIA ELÉTRICA, SUBTERRÂNEA, TRIFÁSICA, COM CAIXA DE EMBUTIR, CABO DE 10 MM2 E DISJUNTOR DIN 50A (NÃO INCLUSA MURETA DE ALVENARIA). AF_07/2020</t>
  </si>
  <si>
    <t>1.345,06</t>
  </si>
  <si>
    <t>101534</t>
  </si>
  <si>
    <t>ENTRADA DE ENERGIA ELÉTRICA, SUBTERRÂNEA, TRIFÁSICA, COM CAIXA DE EMBUTIR, CABO DE 16 MM2 E DISJUNTOR DIN 50A (NÃO INCLUSA MURETA DE ALVENARIA). AF_07/2020</t>
  </si>
  <si>
    <t>1.567,09</t>
  </si>
  <si>
    <t>101535</t>
  </si>
  <si>
    <t>ENTRADA DE ENERGIA ELÉTRICA, SUBTERRÂNEA, TRIFÁSICA, COM CAIXA DE EMBUTIR, CABO DE 25 MM2 E DISJUNTOR DIN 50A (NÃO INCLUSA MURETA DE ALVENARIA). AF_07/2020</t>
  </si>
  <si>
    <t>1.653,68</t>
  </si>
  <si>
    <t>101536</t>
  </si>
  <si>
    <t>ENTRADA DE ENERGIA ELÉTRICA, SUBTERRÂNEA, TRIFÁSICA, COM CAIXA DE EMBUTIR, CABO DE 35 MM2 E DISJUNTOR DIN 50A (NÃO INCLUSA MURETA DE ALVENARIA). AF_07/2020</t>
  </si>
  <si>
    <t>1.911,61</t>
  </si>
  <si>
    <t>101537</t>
  </si>
  <si>
    <t>APARELHO SINALIZADOR DE SAÍDA DE GARAGEM, COM CÉLULA FOTOELÉTRICA - FORNECIMENTO E INSTALAÇÃO. AF_07/2020</t>
  </si>
  <si>
    <t>139,25</t>
  </si>
  <si>
    <t>101538</t>
  </si>
  <si>
    <t>ARMAÇÃO SECUNDÁRIA, COM 1 ESTRIBO E 1 ISOLADOR - FORNECIMENTO E INSTALAÇÃO. AF_07/2020</t>
  </si>
  <si>
    <t>42,41</t>
  </si>
  <si>
    <t>101539</t>
  </si>
  <si>
    <t>ARMAÇÃO SECUNDÁRIA, COM 2 ESTRIBOS E 2 ISOLADORES - FORNECIMENTO E INSTALAÇÃO. AF_07/2020</t>
  </si>
  <si>
    <t>70,19</t>
  </si>
  <si>
    <t>101540</t>
  </si>
  <si>
    <t>ARMAÇÃO SECUNDÁRIA, COM 3 ESTRIBOS E 3 ISOLADORES - FORNECIMENTO E INSTALAÇÃO. AF_07/2020</t>
  </si>
  <si>
    <t>118,30</t>
  </si>
  <si>
    <t>101541</t>
  </si>
  <si>
    <t>ARMAÇÃO SECUNDÁRIA, COM 4 ESTRIBOS E 4 ISOLADORES - FORNECIMENTO E INSTALAÇÃO. AF_07/2020</t>
  </si>
  <si>
    <t>154,31</t>
  </si>
  <si>
    <t>101542</t>
  </si>
  <si>
    <t>ARMAÇÃO SECUNDÁRIA, COM 1 ESTRIBO, SEM ISOLADOR - FORNECIMENTO E INSTALAÇÃO. AF_07/2020</t>
  </si>
  <si>
    <t>32,04</t>
  </si>
  <si>
    <t>101543</t>
  </si>
  <si>
    <t>ARMAÇÃO SECUNDÁRIA, COM 2 ESTRIBOS, SEM ISOLADOR - FORNECIMENTO E INSTALAÇÃO. AF_07/2020</t>
  </si>
  <si>
    <t>101544</t>
  </si>
  <si>
    <t>ARMAÇÃO SECUNDÁRIA, COM 3 ESTRIBOS, SEM ISOLADOR - FORNECIMENTO E INSTALAÇÃO. AF_07/2020</t>
  </si>
  <si>
    <t>91,15</t>
  </si>
  <si>
    <t>101545</t>
  </si>
  <si>
    <t>ARMAÇÃO SECUNDÁRIA, COM 4 ESTRIBOS, SEM ISOLADOR - FORNECIMENTO E INSTALAÇÃO. AF_07/2020</t>
  </si>
  <si>
    <t>132,20</t>
  </si>
  <si>
    <t>101546</t>
  </si>
  <si>
    <t>ISOLADOR, TIPO PINO, PARA TENSÃO 15 KV - FORNECIMENTO E INSTALAÇÃO. AF_07/2020</t>
  </si>
  <si>
    <t>101547</t>
  </si>
  <si>
    <t>ISOLADOR, TIPO DISCO, PARA TENSÃO 15 KV - FORNECIMENTO E INSTALAÇÃO. AF_07/2020</t>
  </si>
  <si>
    <t>83,00</t>
  </si>
  <si>
    <t>101548</t>
  </si>
  <si>
    <t>ISOLADOR, TIPO ROLDANA, PARA BAIXA TENSÃO - FORNECIMENTO E INSTALAÇÃO. AF_07/2020</t>
  </si>
  <si>
    <t>101549</t>
  </si>
  <si>
    <t>GRAMPO PARALELO METÁLICO, PARA REDES AÉREAS DE DISTRIBUIÇÃO DE ENERGIA ELÉTRICA DE BAIXA TENSÃO - FORNECIMENTO E INSTALAÇÃO. AF_07/2020</t>
  </si>
  <si>
    <t>16,18</t>
  </si>
  <si>
    <t>101553</t>
  </si>
  <si>
    <t>ALÇA PREFORMADA DE DISTRIBUIÇÃO, EM  AÇO GALVANIZADO, AWG 1 - FORNECIMENTO E INSTALAÇÃO. AF_07/2020</t>
  </si>
  <si>
    <t>15,02</t>
  </si>
  <si>
    <t>101554</t>
  </si>
  <si>
    <t>ALÇA PREFORMADA DE DISTRIBUIÇÃO, EM  AÇO GALVANIZADO, AWG 2 - FORNECIMENTO E INSTALAÇÃO. AF_07/2020</t>
  </si>
  <si>
    <t>10,87</t>
  </si>
  <si>
    <t>101555</t>
  </si>
  <si>
    <t>ALÇA PREFORMADA DE DISTRIBUIÇÃO, EM  AÇO GALVANIZADO, AWG 4 - FORNECIMENTO E INSTALAÇÃO. AF_07/2020</t>
  </si>
  <si>
    <t>7,08</t>
  </si>
  <si>
    <t>101556</t>
  </si>
  <si>
    <t>ALÇA PREFORMADA DE DISTRIBUIÇÃO, EM  AÇO GALVANIZADO, AWG 6 - FORNECIMENTO E INSTALAÇÃO. AF_07/2020</t>
  </si>
  <si>
    <t>6,48</t>
  </si>
  <si>
    <t>101560</t>
  </si>
  <si>
    <t>CABO DE COBRE FLEXÍVEL ISOLADO, 10 MM², 0,6/1,0 KV, PARA REDE AÉREA DE DISTRIBUIÇÃO DE ENERGIA ELÉTRICA DE BAIXA TENSÃO - FORNECIMENTO E INSTALAÇÃO. AF_07/2020</t>
  </si>
  <si>
    <t>10,91</t>
  </si>
  <si>
    <t>101561</t>
  </si>
  <si>
    <t>CABO DE COBRE FLEXÍVEL ISOLADO, 16 MM², 0,6/1,0 KV, PARA REDE AÉREA DE DISTRIBUIÇÃO DE ENERGIA ELÉTRICA DE BAIXA TENSÃO - FORNECIMENTO E INSTALAÇÃO. AF_07/2020</t>
  </si>
  <si>
    <t>16,70</t>
  </si>
  <si>
    <t>101562</t>
  </si>
  <si>
    <t>CABO DE COBRE FLEXÍVEL ISOLADO, 25 MM², 0,6/1,0 KV, PARA REDE AÉREA DE DISTRIBUIÇÃO DE ENERGIA ELÉTRICA DE BAIXA TENSÃO - FORNECIMENTO E INSTALAÇÃO. AF_07/2020</t>
  </si>
  <si>
    <t>25,39</t>
  </si>
  <si>
    <t>101563</t>
  </si>
  <si>
    <t>CABO DE COBRE FLEXÍVEL ISOLADO, 35 MM², 0,6/1,0 KV, PARA REDE AÉREA DE DISTRIBUIÇÃO DE ENERGIA ELÉTRICA DE BAIXA TENSÃO - FORNECIMENTO E INSTALAÇÃO. AF_07/2020</t>
  </si>
  <si>
    <t>34,98</t>
  </si>
  <si>
    <t>101564</t>
  </si>
  <si>
    <t>CABO DE COBRE FLEXÍVEL ISOLADO, 50 MM², 0,6/1,0 KV, PARA REDE AÉREA DE DISTRIBUIÇÃO DE ENERGIA ELÉTRICA DE BAIXA TENSÃO - FORNECIMENTO E INSTALAÇÃO. AF_07/2020</t>
  </si>
  <si>
    <t>49,82</t>
  </si>
  <si>
    <t>101565</t>
  </si>
  <si>
    <t>CABO DE COBRE FLEXÍVEL ISOLADO, 70 MM², 0,6/1,0 KV, PARA REDE AÉREA DE DISTRIBUIÇÃO DE ENERGIA ELÉTRICA DE BAIXA TENSÃO - FORNECIMENTO E INSTALAÇÃO. AF_07/2020</t>
  </si>
  <si>
    <t>69,00</t>
  </si>
  <si>
    <t>101567</t>
  </si>
  <si>
    <t>CABO DE COBRE FLEXÍVEL ISOLADO, 95 MM², 0,6/1,0 KV, PARA REDE AÉREA DE DISTRIBUIÇÃO DE ENERGIA ELÉTRICA DE BAIXA TENSÃO - FORNECIMENTO E INSTALAÇÃO. AF_07/2020</t>
  </si>
  <si>
    <t>91,64</t>
  </si>
  <si>
    <t>101568</t>
  </si>
  <si>
    <t>CABO DE COBRE FLEXÍVEL ISOLADO, 120 MM², 0,6/1,0 KV, PARA REDE AÉREA DE DISTRIBUIÇÃO DE ENERGIA ELÉTRICA DE BAIXA TENSÃO - FORNECIMENTO E INSTALAÇÃO. AF_07/2020</t>
  </si>
  <si>
    <t>119,26</t>
  </si>
  <si>
    <t>101626</t>
  </si>
  <si>
    <t>REATOR PARA LÂMPADA VAPOR DE MERCÚRIO 400 W, USO EXTERNO - FORNECIMENTO E INSTALAÇÃO. AF_08/2020</t>
  </si>
  <si>
    <t>186,59</t>
  </si>
  <si>
    <t>101627</t>
  </si>
  <si>
    <t>REATOR PARA LÂMPADA VAPOR DE SÓDIO 250 W, USO EXTERNO - FORNECIMENTO E INSTALAÇÃO. AF_08/2020</t>
  </si>
  <si>
    <t>290,86</t>
  </si>
  <si>
    <t>101628</t>
  </si>
  <si>
    <t>REATOR PARA LÂMPADA VAPOR DE MERCÚRIO 125 W, USO EXTERNO - FORNECIMENTO E INSTALAÇÃO. AF_08/2020</t>
  </si>
  <si>
    <t>138,36</t>
  </si>
  <si>
    <t>101629</t>
  </si>
  <si>
    <t>REATOR PARA LÂMPADA VAPOR DE MERCÚRIO 250 W, USO EXTERNO - FORNECIMENTO E INSTALAÇÃO. AF_08/2020</t>
  </si>
  <si>
    <t>163,20</t>
  </si>
  <si>
    <t>101630</t>
  </si>
  <si>
    <t>SUBSTITUIÇÃO DE REATOR PARA ILUMINAÇÃO PÚBLICA (NÃO INCLUI FORNECIMENTO). AF_08/2020</t>
  </si>
  <si>
    <t>63,62</t>
  </si>
  <si>
    <t>101631</t>
  </si>
  <si>
    <t>IGNITOR PARA PARTIDA LÂMPADA VAPOR SÓDIO / VAPOR METÁLICO ATÉ 400 W - FORNECIMENTO E INSTALAÇÃO. AF_08/2020</t>
  </si>
  <si>
    <t>22,29</t>
  </si>
  <si>
    <t>101632</t>
  </si>
  <si>
    <t>RELÉ FOTOELÉTRICO PARA COMANDO DE ILUMINAÇÃO EXTERNA 1000 W - FORNECIMENTO E INSTALAÇÃO. AF_08/2020</t>
  </si>
  <si>
    <t>41,65</t>
  </si>
  <si>
    <t>101633</t>
  </si>
  <si>
    <t>SUBSTITUIÇÃO DE RELÉ FOTOELÉTRICO PARA COMANDO DE ILUMINAÇÃO EXTERNA 1000 W - FORNECIMENTO E INSTALAÇÃO. AF_08/2020</t>
  </si>
  <si>
    <t>92,92</t>
  </si>
  <si>
    <t>101636</t>
  </si>
  <si>
    <t>BRAÇO PARA ILUMINAÇÃO PÚBLICA, EM TUBO DE AÇO GALVANIZADO, COMPRIMENTO DE 1,50 M, PARA FIXAÇÃO EM POSTE DE CONCRETO - FORNECIMENTO E INSTALAÇÃO. AF_08/2020</t>
  </si>
  <si>
    <t>143,79</t>
  </si>
  <si>
    <t>101637</t>
  </si>
  <si>
    <t>BRAÇO PARA ILUMINAÇÃO PÚBLICA, EM TUBO DE AÇO GALVANIZADO, COMPRIMENTO DE 1,50 M, PARA FIXAÇÃO EM POSTE METÁLICO - FORNECIMENTO E INSTALAÇÃO. AF_08/2020</t>
  </si>
  <si>
    <t>137,15</t>
  </si>
  <si>
    <t>101640</t>
  </si>
  <si>
    <t>LÂMPADA VAPOR METÁLICO 400 W - FORNECIMENTO E INSTALAÇÃO. AF_08/2020</t>
  </si>
  <si>
    <t>97,08</t>
  </si>
  <si>
    <t>101641</t>
  </si>
  <si>
    <t>LÂMPADA VAPOR METÁLICO 150 W - FORNECIMENTO E INSTALAÇÃO. AF_08/2020</t>
  </si>
  <si>
    <t>50,24</t>
  </si>
  <si>
    <t>101642</t>
  </si>
  <si>
    <t>LÂMPADA VAPOR DE MERCÚRIO 125 W - FORNECIMENTO E INSTALAÇÃO. AF_08/2020</t>
  </si>
  <si>
    <t>25,16</t>
  </si>
  <si>
    <t>101643</t>
  </si>
  <si>
    <t>LÂMPADA VAPOR DE MERCÚRIO 250 W - FORNECIMENTO E INSTALAÇÃO. AF_08/2020</t>
  </si>
  <si>
    <t>43,84</t>
  </si>
  <si>
    <t>101644</t>
  </si>
  <si>
    <t>LÂMPADA VAPOR DE MERCÚRIO 400 W - FORNECIMENTO E INSTALAÇÃO. AF_08/2020</t>
  </si>
  <si>
    <t>101645</t>
  </si>
  <si>
    <t>LÂMPADA MISTA 160 W - FORNECIMENTO E INSTALAÇÃO. AF_08/2020</t>
  </si>
  <si>
    <t>28,06</t>
  </si>
  <si>
    <t>101646</t>
  </si>
  <si>
    <t>LÂMPADA MISTA 250 W - FORNECIMENTO E INSTALAÇÃO. AF_08/2020</t>
  </si>
  <si>
    <t>37,28</t>
  </si>
  <si>
    <t>101647</t>
  </si>
  <si>
    <t>LÂMPADA MISTA 500 W - FORNECIMENTO E INSTALAÇÃO. AF_08/2020</t>
  </si>
  <si>
    <t>68,55</t>
  </si>
  <si>
    <t>101648</t>
  </si>
  <si>
    <t>LÂMPADA VAPOR DE SÓDIO 150 W - FORNECIMENTO E INSTALAÇÃO. AF_08/2020</t>
  </si>
  <si>
    <t>53,00</t>
  </si>
  <si>
    <t>101649</t>
  </si>
  <si>
    <t>LÂMPADA VAPOR DE SÓDIO 250 W - FORNECIMENTO E INSTALAÇÃO. AF_08/2020</t>
  </si>
  <si>
    <t>61,08</t>
  </si>
  <si>
    <t>101650</t>
  </si>
  <si>
    <t>LÂMPADA VAPOR DE SÓDIO 400 W - FORNECIMENTO E INSTALAÇÃO. AF_08/2020</t>
  </si>
  <si>
    <t>71,01</t>
  </si>
  <si>
    <t>101651</t>
  </si>
  <si>
    <t>SUBSTITUIÇÃO DE LÂMPADA PARA ILUMINAÇÃO PÚBLICA (NÃO INCLUI FORNECIMENTO). AF_08/2020</t>
  </si>
  <si>
    <t>53,23</t>
  </si>
  <si>
    <t>101652</t>
  </si>
  <si>
    <t>LUMINÁRIA FECHADA, PARA ILUMINAÇÃO PÚBLICA, PARA LÂMPADA DE VAPOR - FORNECIMENTO E INSTALAÇÃO (EXCLUSIVE LÂMPADA E REATOR). AF_08/2020</t>
  </si>
  <si>
    <t>537,43</t>
  </si>
  <si>
    <t>101653</t>
  </si>
  <si>
    <t>LUMINÁRIA ABERTA PARA ILUMINAÇÃO PÚBLICA, PARA LÂMPADA VAPOR DE MERCÚRIO ATÉ 400 W E MISTA ATÉ 500 W, COM BRAÇO EM TUBO DE AÇO GALV 1", COMPRIMENTO DE 1,50 M, PARA POSTE DE CONCRETO - FORNECIMENTO E INSTALAÇÃO (EXCLUSIVE LÂMPADA E REATOR). AF_08/2020</t>
  </si>
  <si>
    <t>278,38</t>
  </si>
  <si>
    <t>101654</t>
  </si>
  <si>
    <t>LUMINÁRIA DE LED PARA ILUMINAÇÃO PÚBLICA, DE 33 W ATÉ 50 W - FORNECIMENTO E INSTALAÇÃO. AF_08/2020</t>
  </si>
  <si>
    <t>296,30</t>
  </si>
  <si>
    <t>101655</t>
  </si>
  <si>
    <t>LUMINÁRIA DE LED PARA ILUMINAÇÃO PÚBLICA, DE 51 W ATÉ 67 W - FORNECIMENTO E INSTALAÇÃO. AF_08/2020</t>
  </si>
  <si>
    <t>494,53</t>
  </si>
  <si>
    <t>101656</t>
  </si>
  <si>
    <t>LUMINÁRIA DE LED PARA ILUMINAÇÃO PÚBLICA, DE 68 W ATÉ 97 W - FORNECIMENTO E INSTALAÇÃO. AF_08/2020</t>
  </si>
  <si>
    <t>540,81</t>
  </si>
  <si>
    <t>101657</t>
  </si>
  <si>
    <t>LUMINÁRIA DE LED PARA ILUMINAÇÃO PÚBLICA, DE 98 W ATÉ 137 W - FORNECIMENTO E INSTALAÇÃO. AF_08/2020</t>
  </si>
  <si>
    <t>639,39</t>
  </si>
  <si>
    <t>101658</t>
  </si>
  <si>
    <t>LUMINÁRIA DE LED PARA ILUMINAÇÃO PÚBLICA, DE 138 W ATÉ 180 W - FORNECIMENTO E INSTALAÇÃO. AF_08/2020</t>
  </si>
  <si>
    <t>842,11</t>
  </si>
  <si>
    <t>101659</t>
  </si>
  <si>
    <t>LUMINÁRIA DE LED PARA ILUMINAÇÃO PÚBLICA, DE 181 W ATÉ 239 W - FORNECIMENTO E INSTALAÇÃO. AF_08/2020</t>
  </si>
  <si>
    <t>968,19</t>
  </si>
  <si>
    <t>101660</t>
  </si>
  <si>
    <t>LUMINÁRIA DE LED PARA ILUMINAÇÃO PÚBLICA, DE 240 W ATÉ 350 W - FORNECIMENTO E INSTALAÇÃO. AF_08/2020</t>
  </si>
  <si>
    <t>1.563,37</t>
  </si>
  <si>
    <t>101661</t>
  </si>
  <si>
    <t>SUBSTITUIÇÃO DE LUMINÁRIA DE VAPOR DE MERCÚRIO/VAPOR DE SÓDIO POR LUMINÁRIA DE LED PARA ILUMINAÇÃO PÚBLICA (NÃO INCLUI FORNECIMENTO). AF_08/2020</t>
  </si>
  <si>
    <t>100,15</t>
  </si>
  <si>
    <t>101662</t>
  </si>
  <si>
    <t>LUMINÁRIA FECHADA PARA ILUMINAÇÃO PÚBLICA, COM REATOR DE PARTIDA RÁPIDA, COM LÂMPADA VAPOR DE MERCÚRIO 250 W - FORNECIMENTO E INSTALAÇÃO. AF_08/2020</t>
  </si>
  <si>
    <t>744,49</t>
  </si>
  <si>
    <t>101663</t>
  </si>
  <si>
    <t>ABRAÇADEIRA DE FIXAÇÃO DE BRAÇOS DE LUMINÁRIAS DE 2" - FORNECIMENTO E INSTALAÇÃO. AF_08/2020</t>
  </si>
  <si>
    <t>101664</t>
  </si>
  <si>
    <t>ABRAÇADEIRA DE FIXAÇÃO DE BRAÇOS DE LUMINÁRIAS DE 3" - FORNECIMENTO E INSTALAÇÃO. AF_08/2020</t>
  </si>
  <si>
    <t>25,07</t>
  </si>
  <si>
    <t>101665</t>
  </si>
  <si>
    <t>ABRAÇADEIRA DE FIXAÇÃO DE BRAÇOS DE LUMINÁRIAS DE 4" - FORNECIMENTO E INSTALAÇÃO. AF_08/2020</t>
  </si>
  <si>
    <t>29,27</t>
  </si>
  <si>
    <t>101666</t>
  </si>
  <si>
    <t>REFLETOR RETANGULAR FECHADO, COM LÂMPADA VAPOR METÁLICO 400 W - FORNECIMENTO E INSTALAÇÃO. AF_08/2020</t>
  </si>
  <si>
    <t>425,32</t>
  </si>
  <si>
    <t>102085</t>
  </si>
  <si>
    <t>LUMINÁRIA ESTANQUE COM PROTEÇÃO CONTRA ÁGUA, POEIRA OU IMPACTOS - FORNECIMENTO E INSTALAÇÃO. AF_08/2020</t>
  </si>
  <si>
    <t>214,33</t>
  </si>
  <si>
    <t>100578</t>
  </si>
  <si>
    <t>ASSENTAMENTO DE POSTE DE CONCRETO COM COMPRIMENTO NOMINAL DE 9 M, CARGA NOMINAL MENOR OU IGUAL A 1000 DAN, ENGASTAMENTO SIMPLES COM 1,5 M DE SOLO (NÃO INCLUI FORNECIMENTO). AF_11/2019</t>
  </si>
  <si>
    <t>464,94</t>
  </si>
  <si>
    <t>100579</t>
  </si>
  <si>
    <t>ASSENTAMENTO DE POSTE DE CONCRETO COM COMPRIMENTO NOMINAL DE 10 M, CARGA NOMINAL MENOR OU IGUAL A 1000 DAN, ENGASTAMENTO SIMPLES COM 1,6 M DE SOLO (NÃO INCLUI FORNECIMENTO). AF_11/2019</t>
  </si>
  <si>
    <t>510,33</t>
  </si>
  <si>
    <t>100580</t>
  </si>
  <si>
    <t>ASSENTAMENTO DE POSTE DE CONCRETO COM COMPRIMENTO NOMINAL DE 10 M, CARGA NOMINAL MAIOR QUE 1000 DAN, ENGASTAMENTO SIMPLES COM 1,6 M DE SOLO (NÃO INCLUI FORNECIMENTO). AF_11/2019</t>
  </si>
  <si>
    <t>556,08</t>
  </si>
  <si>
    <t>100581</t>
  </si>
  <si>
    <t>ASSENTAMENTO DE POSTE DE CONCRETO COM COMPRIMENTO NOMINAL DE 10,5 M, CARGA NOMINAL MENOR OU IGUAL A 1000 DAN, ENGASTAMENTO SIMPLES COM 1,65 M DE SOLO (NÃO INCLUI FORNECIMENTO). AF_11/2019</t>
  </si>
  <si>
    <t>532,85</t>
  </si>
  <si>
    <t>100582</t>
  </si>
  <si>
    <t>ASSENTAMENTO DE POSTE DE CONCRETO COM COMPRIMENTO NOMINAL DE 10,5 M, CARGA NOMINAL MAIOR QUE 1000 DAN, ENGASTAMENTO SIMPLES COM 1,65 M DE SOLO (NÃO INCLUI FORNECIMENTO). AF_11/2019</t>
  </si>
  <si>
    <t>615,37</t>
  </si>
  <si>
    <t>100583</t>
  </si>
  <si>
    <t>ASSENTAMENTO DE POSTE DE CONCRETO COM COMPRIMENTO NOMINAL DE 11 M, CARGA NOMINAL MENOR OU IGUAL A 1000 DAN, ENGASTAMENTO SIMPLES COM 1,7 M DE SOLO (NÃO INCLUI FORNECIMENTO). AF_11/2019</t>
  </si>
  <si>
    <t>556,85</t>
  </si>
  <si>
    <t>100584</t>
  </si>
  <si>
    <t>ASSENTAMENTO DE POSTE DE CONCRETO COM COMPRIMENTO NOMINAL DE 11 M, CARGA NOMINAL MAIOR QUE 1000 DAN, ENGASTAMENTO SIMPLES COM 1,7 M DE SOLO (NÃO INCLUI FORNECIMENTO). AF_11/2019</t>
  </si>
  <si>
    <t>606,44</t>
  </si>
  <si>
    <t>100585</t>
  </si>
  <si>
    <t>ASSENTAMENTO DE POSTE DE CONCRETO COM COMPRIMENTO NOMINAL DE 12 M, CARGA NOMINAL MENOR OU IGUAL A 1000 DAN, ENGASTAMENTO SIMPLES COM 1,8 M DE SOLO (NÃO INCLUI FORNECIMENTO). AF_11/2019</t>
  </si>
  <si>
    <t>603,58</t>
  </si>
  <si>
    <t>100586</t>
  </si>
  <si>
    <t>ASSENTAMENTO DE POSTE DE CONCRETO COM COMPRIMENTO NOMINAL DE 12 M, CARGA NOMINAL MAIOR QUE 1000 DAN, ENGASTAMENTO SIMPLES COM 1,8 M DE SOLO (NÃO INCLUI FORNECIMENTO). AF_11/2019</t>
  </si>
  <si>
    <t>682,57</t>
  </si>
  <si>
    <t>100587</t>
  </si>
  <si>
    <t>ASSENTAMENTO DE POSTE DE CONCRETO COM COMPRIMENTO NOMINAL DE 13 M, CARGA NOMINAL MENOR OU IGUAL A 1000 DAN, ENGASTAMENTO SIMPLES COM 1,9 M DE SOLO (NÃO INCLUI FORNECIMENTO). AF_11/2019</t>
  </si>
  <si>
    <t>651,90</t>
  </si>
  <si>
    <t>100588</t>
  </si>
  <si>
    <t>ASSENTAMENTO DE POSTE DE CONCRETO COM COMPRIMENTO NOMINAL DE 13 M, CARGA NOMINAL MAIOR QUE 1000 DAN, ENGASTAMENTO SIMPLES COM 1,9 M DE SOLO (NÃO INCLUI FORNECIMENTO). AF_11/2019</t>
  </si>
  <si>
    <t>713,28</t>
  </si>
  <si>
    <t>100589</t>
  </si>
  <si>
    <t>ASSENTAMENTO DE POSTE DE CONCRETO COM COMPRIMENTO NOMINAL DE 13,5 M, CARGA NOMINAL MENOR OU IGUAL A 1000 DAN, ENGASTAMENTO SIMPLES COM 1,95 M DE SOLO (NÃO INCLUI FORNECIMENTO). AF_11/2019</t>
  </si>
  <si>
    <t>718,74</t>
  </si>
  <si>
    <t>100590</t>
  </si>
  <si>
    <t>ASSENTAMENTO DE POSTE DE CONCRETO COM COMPRIMENTO NOMINAL DE 13,5 M, CARGA NOMINAL MAIOR QUE 1000 DAN, ENGASTAMENTO SIMPLES COM 1,95 M DE SOLO (NÃO INCLUI FORNECIMENTO). AF_11/2019</t>
  </si>
  <si>
    <t>779,52</t>
  </si>
  <si>
    <t>100591</t>
  </si>
  <si>
    <t>ASSENTAMENTO DE POSTE DE CONCRETO COM COMPRIMENTO NOMINAL DE 14 M, CARGA NOMINAL MENOR OU IGUAL A 1000 DAN, ENGASTAMENTO SIMPLES COM 2 M DE SOLO (NÃO INCLUI FORNECIMENTO). AF_11/2019</t>
  </si>
  <si>
    <t>716,25</t>
  </si>
  <si>
    <t>100592</t>
  </si>
  <si>
    <t>ASSENTAMENTO DE POSTE DE CONCRETO COM COMPRIMENTO NOMINAL DE 14 M, CARGA NOMINAL MAIOR QUE 1000 DAN, ENGASTAMENTO SIMPLES COM 2 M DE SOLO (NÃO INCLUI FORNECIMENTO). AF_11/2019</t>
  </si>
  <si>
    <t>766,59</t>
  </si>
  <si>
    <t>100593</t>
  </si>
  <si>
    <t>ASSENTAMENTO DE POSTE DE CONCRETO COM COMPRIMENTO NOMINAL DE 15 M, CARGA NOMINAL MENOR OU IGUAL A 1000 DAN, ENGASTAMENTO SIMPLES COM 2,1 M DE SOLO (NÃO INCLUI FORNECIMENTO). AF_11/2019</t>
  </si>
  <si>
    <t>767,30</t>
  </si>
  <si>
    <t>100594</t>
  </si>
  <si>
    <t>ASSENTAMENTO DE POSTE DE CONCRETO COM COMPRIMENTO NOMINAL DE 15 M, CARGA NOMINAL MAIOR QUE 1000 DAN, ENGASTAMENTO SIMPLES COM 2,1 M DE SOLO (NÃO INCLUI FORNECIMENTO). AF_11/2019</t>
  </si>
  <si>
    <t>852,55</t>
  </si>
  <si>
    <t>100595</t>
  </si>
  <si>
    <t>ASSENTAMENTO DE POSTE DE CONCRETO COM COMPRIMENTO NOMINAL DE 18 M, CARGA NOMINAL MENOR OU IGUAL A 1000 DAN, ENGASTAMENTO SIMPLES COM 2,4 M DE SOLO (NÃO INCLUI FORNECIMENTO). AF_11/2019</t>
  </si>
  <si>
    <t>920,52</t>
  </si>
  <si>
    <t>100596</t>
  </si>
  <si>
    <t>ASSENTAMENTO DE POSTE DE CONCRETO COM COMPRIMENTO NOMINAL DE 18 M, CARGA NOMINAL MAIOR QUE 1000 DAN, ENGASTAMENTO SIMPLES COM 2,4 M DE SOLO (NÃO INCLUI FORNECIMENTO). AF_11/2019</t>
  </si>
  <si>
    <t>1.035,46</t>
  </si>
  <si>
    <t>100597</t>
  </si>
  <si>
    <t>ASSENTAMENTO DE POSTE DE CONCRETO COM COMPRIMENTO NOMINAL DE 20 M, CARGA NOMINAL MENOR OU IGUAL A 1000 DAN, ENGASTAMENTO SIMPLES COM 2,6 M DE SOLO (NÃO INCLUI FORNECIMENTO). AF_11/2019</t>
  </si>
  <si>
    <t>1.061,78</t>
  </si>
  <si>
    <t>100598</t>
  </si>
  <si>
    <t>ASSENTAMENTO DE POSTE DE CONCRETO COM COMPRIMENTO NOMINAL DE 20 M, CARGA NOMINAL MAIOR QUE 1000, ENGASTAMENTO SIMPLES COM 2,6 M DE SOLO (NÃO INCLUI FORNECIMENTO). AF_11/2019</t>
  </si>
  <si>
    <t>1.156,54</t>
  </si>
  <si>
    <t>100599</t>
  </si>
  <si>
    <t>ASSENTAMENTO DE POSTE DE CONCRETO COM COMPRIMENTO NOMINAL DE 9 M, CARGA NOMINAL DE 150 DAN, ENGASTAMENTO BASE CONCRETADA COM 1 M DE CONCRETO E 0,5 M DE SOLO (NÃO INCLUI FORNECIMENTO). AF_11/2019</t>
  </si>
  <si>
    <t>472,06</t>
  </si>
  <si>
    <t>100600</t>
  </si>
  <si>
    <t>ASSENTAMENTO DE POSTE DE CONCRETO COM COMPRIMENTO NOMINAL DE 9 M, CARGA NOMINAL DE 300 DAN, ENGASTAMENTO BASE CONCRETADA COM 1 M DE CONCRETO E 0,5 M DE SOLO (NÃO INCLUI FORNECIMENTO). AF_11/2019</t>
  </si>
  <si>
    <t>550,07</t>
  </si>
  <si>
    <t>100601</t>
  </si>
  <si>
    <t>ASSENTAMENTO DE POSTE DE CONCRETO COM COMPRIMENTO NOMINAL DE 9 M, CARGA NOMINAL DE 400 DAN, ENGASTAMENTO BASE CONCRETADA COM 1 M DE CONCRETO E 0,5 M DE SOLO (NÃO INCLUI FORNECIMENTO). AF_11/2019</t>
  </si>
  <si>
    <t>679,59</t>
  </si>
  <si>
    <t>100602</t>
  </si>
  <si>
    <t>ASSENTAMENTO DE POSTE DE CONCRETO COM COMPRIMENTO NOMINAL DE 9 M, CARGA NOMINAL DE 600 DAN, ENGASTAMENTO BASE CONCRETADA COM 1 M DE CONCRETO E 0,5 M DE SOLO (NÃO INCLUI FORNECIMENTO). AF_11/2019</t>
  </si>
  <si>
    <t>841,20</t>
  </si>
  <si>
    <t>100603</t>
  </si>
  <si>
    <t>ASSENTAMENTO DE POSTE DE CONCRETO COM COMPRIMENTO NOMINAL DE 9 M, CARGA NOMINAL DE 1000 DAN, ENGASTAMENTO BASE CONCRETADA COM 1 M DE CONCRETO E 0,5 M DE SOLO (NÃO INCLUI FORNECIMENTO). AF_11/2019</t>
  </si>
  <si>
    <t>1.257,71</t>
  </si>
  <si>
    <t>100604</t>
  </si>
  <si>
    <t>ASSENTAMENTO DE POSTE DE CONCRETO COM COMPRIMENTO NOMINAL DE 10 M, CARGA NOMINAL DE 300 DAN, ENGASTAMENTO BASE CONCRETADA COM 1 M DE CONCRETO E 0,6 M DE SOLO (NÃO INCLUI FORNECIMENTO). AF_11/2019</t>
  </si>
  <si>
    <t>587,63</t>
  </si>
  <si>
    <t>100605</t>
  </si>
  <si>
    <t>ASSENTAMENTO DE POSTE DE CONCRETO COM COMPRIMENTO NOMINAL DE 10 M, CARGA NOMINAL DE 600 DAN, ENGASTAMENTO BASE CONCRETADA COM 1 M DE CONCRETO E 0,6 M DE SOLO (NÃO INCLUI FORNECIMENTO). AF_11/2019</t>
  </si>
  <si>
    <t>887,20</t>
  </si>
  <si>
    <t>100606</t>
  </si>
  <si>
    <t>ASSENTAMENTO DE POSTE DE CONCRETO COM COMPRIMENTO NOMINAL DE 10 M, CARGA NOMINAL DE 1000 DAN, ENGASTAMENTO BASE CONCRETADA COM 1 M DE CONCRETO E 0,6 M DE SOLO (NÃO INCLUI FORNECIMENTO). AF_11/2019</t>
  </si>
  <si>
    <t>1.314,69</t>
  </si>
  <si>
    <t>100607</t>
  </si>
  <si>
    <t>ASSENTAMENTO DE POSTE DE CONCRETO COM COMPRIMENTO NOMINAL DE 10,5 M, CARGA NOMINAL DE 300 DAN, ENGASTAMENTO BASE CONCRETADA COM 1 M DE CONCRETO E 0,65 M DE SOLO (NÃO INCLUI FORNECIMENTO). AF_11/2019</t>
  </si>
  <si>
    <t>605,71</t>
  </si>
  <si>
    <t>100608</t>
  </si>
  <si>
    <t>ASSENTAMENTO DE POSTE DE CONCRETO COM COMPRIMENTO NOMINAL DE 10,5 M, CARGA NOMINAL DE 600 DAN, ENGASTAMENTO BASE CONCRETADA COM 1 M DE CONCRETO E 0,65 M DE SOLO (NÃO INCLUI FORNECIMENTO). AF_11/2019</t>
  </si>
  <si>
    <t>909,94</t>
  </si>
  <si>
    <t>100609</t>
  </si>
  <si>
    <t>ASSENTAMENTO DE POSTE DE CONCRETO COM COMPRIMENTO NOMINAL DE 10,5 M, CARGA NOMINAL DE 1000 DAN, ENGASTAMENTO BASE CONCRETADA COM 1 M DE CONCRETO E 0,65 M DE SOLO (NÃO INCLUI FORNECIMENTO). AF_11/2019</t>
  </si>
  <si>
    <t>1.345,00</t>
  </si>
  <si>
    <t>100610</t>
  </si>
  <si>
    <t>ASSENTAMENTO DE POSTE DE CONCRETO COM COMPRIMENTO NOMINAL DE 11 M, CARGA NOMINAL DE 300 DAN, ENGASTAMENTO BASE CONCRETADA COM 1 M DE CONCRETO E 0,7 M DE SOLO (NÃO INCLUI FORNECIMENTO). AF_11/2019</t>
  </si>
  <si>
    <t>623,69</t>
  </si>
  <si>
    <t>100611</t>
  </si>
  <si>
    <t>ASSENTAMENTO DE POSTE DE CONCRETO COM COMPRIMENTO NOMINAL DE 11 M, CARGA NOMINAL DE 400 DAN, ENGASTAMENTO BASE CONCRETADA COM 1 M DE CONCRETO E 0,7 M DE SOLO (NÃO INCLUI FORNECIMENTO). AF_11/2019</t>
  </si>
  <si>
    <t>760,70</t>
  </si>
  <si>
    <t>100612</t>
  </si>
  <si>
    <t>ASSENTAMENTO DE POSTE DE CONCRETO COM COMPRIMENTO NOMINAL DE 11 M, CARGA NOMINAL DE 600 DAN, ENGASTAMENTO BASE CONCRETADA COM 1 M DE CONCRETO E 0,7 M DE SOLO (NÃO INCLUI FORNECIMENTO). AF_11/2019</t>
  </si>
  <si>
    <t>932,32</t>
  </si>
  <si>
    <t>100613</t>
  </si>
  <si>
    <t>ASSENTAMENTO DE POSTE DE CONCRETO COM COMPRIMENTO NOMINAL DE 11 M, CARGA NOMINAL DE 1000 DAN, ENGASTAMENTO BASE CONCRETADA COM 1 M DE CONCRETO E 0,7 M DE SOLO (NÃO INCLUI FORNECIMENTO). AF_11/2019</t>
  </si>
  <si>
    <t>1.374,72</t>
  </si>
  <si>
    <t>100614</t>
  </si>
  <si>
    <t>ASSENTAMENTO DE POSTE DE CONCRETO COM COMPRIMENTO NOMINAL DE 12 M, CARGA NOMINAL DE 400 DAN, ENGASTAMENTO BASE CONCRETADA COM 1 M DE CONCRETO E 0,8 M DE SOLO (NÃO INCLUI FORNECIMENTO). AF_11/2019</t>
  </si>
  <si>
    <t>800,66</t>
  </si>
  <si>
    <t>100615</t>
  </si>
  <si>
    <t>ASSENTAMENTO DE POSTE DE CONCRETO COM COMPRIMENTO NOMINAL DE 12 M, CARGA NOMINAL DE 600 DAN, ENGASTAMENTO BASE CONCRETADA COM 1 M DE CONCRETO E 0,8 M DE SOLO (NÃO INCLUI FORNECIMENTO). AF_11/2019</t>
  </si>
  <si>
    <t>976,86</t>
  </si>
  <si>
    <t>100616</t>
  </si>
  <si>
    <t>ASSENTAMENTO DE POSTE DE CONCRETO COM COMPRIMENTO NOMINAL DE 12 M, CARGA NOMINAL DE 1000 DAN, ENGASTAMENTO BASE CONCRETADA COM 1 M DE CONCRETO E 0,8 M DE SOLO (NÃO INCLUI FORNECIMENTO). AF_11/2019</t>
  </si>
  <si>
    <t>1.436,96</t>
  </si>
  <si>
    <t>100617</t>
  </si>
  <si>
    <t>ASSENTAMENTO DE POSTE DE CONCRETO COM COMPRIMENTO NOMINAL DE 13 M, CARGA NOMINAL DE 600 DAN, ENGASTAMENTO BASE CONCRETADA COM 1 M DE CONCRETO E 0,9 M DE SOLO (NÃO INCLUI FORNECIMENTO). AF_11/2019</t>
  </si>
  <si>
    <t>1.021,28</t>
  </si>
  <si>
    <t>100618</t>
  </si>
  <si>
    <t>ASSENTAMENTO DE POSTE DE CONCRETO COM COMPRIMENTO NOMINAL DE 13 M, CARGA NOMINAL DE 1000 DAN, ENGASTAMENTO BASE CONCRETADA COM 1 M DE CONCRETO E 0,9 M DE SOLO - SOMENTE INSTALAÇÃO, SEM FORNECIMENTO. AF_11/2019</t>
  </si>
  <si>
    <t>1.502,10</t>
  </si>
  <si>
    <t>100619</t>
  </si>
  <si>
    <t>POSTE DECORATIVO PARA JARDIM EM AÇO TUBULAR, H = *2,5* M, SEM LUMINÁRIA - FORNECIMENTO E INSTALAÇÃO. AF_11/2019</t>
  </si>
  <si>
    <t>610,92</t>
  </si>
  <si>
    <t>100620</t>
  </si>
  <si>
    <t>POSTE DE AÇO CONICO CONTÍNUO CURVO SIMPLES, FLANGEADO, H=9M, INCLUSIVE LUMINÁRIA, SEM LÂMPADA - FORNECIMENTO E INSTALACAO. AF_11/2019</t>
  </si>
  <si>
    <t>3.690,36</t>
  </si>
  <si>
    <t>100621</t>
  </si>
  <si>
    <t>POSTE DE AÇO CONICO CONTÍNUO CURVO DUPLO, FLANGEADO, H=9M, INCLUSIVE LUMINÁRIAS, SEM LÂMPADAS - FORNECIMENTO E INSTALACAO. AF_11/2019</t>
  </si>
  <si>
    <t>4.220,07</t>
  </si>
  <si>
    <t>100622</t>
  </si>
  <si>
    <t>POSTE DE AÇO CONICO CONTÍNUO CURVO SIMPLES, ENGASTADO, H=9M, INCLUSIVE LUMINÁRIA, SEM LÂMPADA - FORNECIMENTO E INSTALACAO. AF_11/2019</t>
  </si>
  <si>
    <t>2.827,07</t>
  </si>
  <si>
    <t>100623</t>
  </si>
  <si>
    <t>POSTE DE AÇO CONICO CONTÍNUO CURVO DUPLO, ENGASTADO, H=9M, INCLUSIVE LUMINÁRIAS, SEM LÂMPADAS - FORNECIMENTO E INSTALACAO. AF_11/2019</t>
  </si>
  <si>
    <t>3.032,66</t>
  </si>
  <si>
    <t>97600</t>
  </si>
  <si>
    <t>REFLETOR EM ALUMÍNIO, DE SUPORTE E ALÇA, COM 1 LÂMPADA VAPOR DE MERCÚRIO DE 125 W, COM REATOR ALTO FATOR DE POTÊNCIA - FORNECIMENTO E INSTALAÇÃO. AF_02/2020</t>
  </si>
  <si>
    <t>310,58</t>
  </si>
  <si>
    <t>97601</t>
  </si>
  <si>
    <t>REFLETOR EM ALUMÍNIO, DE SUPORTE E ALÇA, COM LÂMPADA VAPOR DE MERCÚRIO DE 250 W, COM REATOR ALTO FATOR DE POTÊNCIA - FORNECIMENTO E INSTALAÇÃO. AF_02/2020</t>
  </si>
  <si>
    <t>329,26</t>
  </si>
  <si>
    <t>97605</t>
  </si>
  <si>
    <t>LUMINÁRIA ARANDELA TIPO MEIA LUA, DE SOBREPOR, COM 1 LÂMPADA LED DE 6 W, SEM REATOR - FORNECIMENTO E INSTALAÇÃO. AF_02/2020</t>
  </si>
  <si>
    <t>99,68</t>
  </si>
  <si>
    <t>97606</t>
  </si>
  <si>
    <t>LUMINÁRIA ARANDELA TIPO MEIA LUA, DE SOBREPOR, COM 1 LÂMPADA FLUORESCENTE DE 15 W, SEM REATOR - FORNECIMENTO E INSTALAÇÃO. AF_02/2020</t>
  </si>
  <si>
    <t>97607</t>
  </si>
  <si>
    <t>LUMINÁRIA ARANDELA TIPO TARTARUGA, DE SOBREPOR, COM 1 LÂMPADA LED DE 6 W, SEM REATOR - FORNECIMENTO E INSTALAÇÃO. AF_02/2020</t>
  </si>
  <si>
    <t>120,30</t>
  </si>
  <si>
    <t>97608</t>
  </si>
  <si>
    <t>LUMINÁRIA ARANDELA TIPO TARTARUGA, COM GRADE, DE SOBREPOR, COM 1 LÂMPADA FLUORESCENTE DE 15 W, SEM REATOR - FORNECIMENTO E INSTALAÇÃO. AF_02/2020</t>
  </si>
  <si>
    <t>127,22</t>
  </si>
  <si>
    <t>102102</t>
  </si>
  <si>
    <t>TRANSFORMADOR DE DISTRIBUIÇÃO, 30 KVA, TRIFÁSICO, 60 HZ, CLASSE 15 KV, IMERSO EM ÓLEO MINERAL, INSTALAÇÃO EM POSTE (NÃO INCLUSO SUPORTE) - FORNECIMENTO E INSTALAÇÃO. AF_12/2020</t>
  </si>
  <si>
    <t>8.579,74</t>
  </si>
  <si>
    <t>102103</t>
  </si>
  <si>
    <t>TRANSFORMADOR DE DISTRIBUIÇÃO, 45 KVA, TRIFÁSICO, 60 HZ, CLASSE 15 KV, IMERSO EM ÓLEO MINERAL, INSTALAÇÃO EM POSTE (NÃO INCLUSO SUPORTE) - FORNECIMENTO E INSTALAÇÃO. AF_12/2020</t>
  </si>
  <si>
    <t>9.542,40</t>
  </si>
  <si>
    <t>102104</t>
  </si>
  <si>
    <t>TRANSFORMADOR DE DISTRIBUIÇÃO, 75 KVA, TRIFÁSICO, 60 HZ, CLASSE 15 KV, IMERSO EM ÓLEO MINERAL, INSTALAÇÃO EM POSTE (NÃO INCLUSO SUPORTE) - FORNECIMENTO E INSTALAÇÃO. AF_12/2020</t>
  </si>
  <si>
    <t>12.225,57</t>
  </si>
  <si>
    <t>102105</t>
  </si>
  <si>
    <t>TRANSFORMADOR DE DISTRIBUIÇÃO, 112,5 KVA, TRIFÁSICO, 60 HZ, CLASSE 15 KV, IMERSO EM ÓLEO MINERAL, INSTALAÇÃO EM POSTE (NÃO INCLUSO SUPORTE) - FORNECIMENTO E INSTALAÇÃO. AF_12/2020</t>
  </si>
  <si>
    <t>15.013,42</t>
  </si>
  <si>
    <t>102106</t>
  </si>
  <si>
    <t>TRANSFORMADOR DE DISTRIBUIÇÃO, 150 KVA, TRIFÁSICO, 60 HZ, CLASSE 15 KV, IMERSO EM ÓLEO MINERAL, INSTALAÇÃO EM POSTE (NÃO INCLUSO SUPORTE) - FORNECIMENTO E INSTALAÇÃO. AF_12/2020</t>
  </si>
  <si>
    <t>18.817,30</t>
  </si>
  <si>
    <t>102107</t>
  </si>
  <si>
    <t>TRANSFORMADOR DE DISTRIBUIÇÃO, 225 KVA, TRIFÁSICO, 60 HZ, CLASSE 15 KV, IMERSO EM ÓLEO MINERAL, INSTALAÇÃO EM POSTE (NÃO INCLUSO SUPORTE) - FORNECIMENTO E INSTALAÇÃO. AF_12/2020</t>
  </si>
  <si>
    <t>26.235,65</t>
  </si>
  <si>
    <t>102108</t>
  </si>
  <si>
    <t>TRANSFORMADOR DE DISTRIBUIÇÃO, 300 KVA, TRIFÁSICO, 60 HZ, CLASSE 15 KV, IMERSO EM ÓLEO MINERAL, INSTALAÇÃO EM POSTE (NÃO INCLUSO SUPORTE) - FORNECIMENTO E INSTALAÇÃO. AF_12/2020</t>
  </si>
  <si>
    <t>30.542,61</t>
  </si>
  <si>
    <t>102109</t>
  </si>
  <si>
    <t>SUPORTE PARA TRANSFORMADOR EM POSTE DE CONCRETO CIRCULAR - FORNECIMENTO E INSTALAÇÃO. AF_12/2020</t>
  </si>
  <si>
    <t>56,45</t>
  </si>
  <si>
    <t>102110</t>
  </si>
  <si>
    <t>SUPORTE PARA TRANSFORMADOR EM POSTE DE CONCRETO DUPLO T - FORNECIMENTO E INSTALAÇÃO. AF_12/2020</t>
  </si>
  <si>
    <t>175,55</t>
  </si>
  <si>
    <t>93128</t>
  </si>
  <si>
    <t>PONTO DE ILUMINAÇÃO RESIDENCIAL INCLUINDO INTERRUPTOR SIMPLES, CAIXA ELÉTRICA, ELETRODUTO, CABO, RASGO, QUEBRA E CHUMBAMENTO (EXCLUINDO LUMINÁRIA E LÂMPADA). AF_01/2016</t>
  </si>
  <si>
    <t>138,98</t>
  </si>
  <si>
    <t>93137</t>
  </si>
  <si>
    <t>PONTO DE ILUMINAÇÃO RESIDENCIAL INCLUINDO INTERRUPTOR SIMPLES (2 MÓDULOS), CAIXA ELÉTRICA, ELETRODUTO, CABO, RASGO, QUEBRA E CHUMBAMENTO (EXCLUINDO LUMINÁRIA E LÂMPADA). AF_01/2016</t>
  </si>
  <si>
    <t>164,85</t>
  </si>
  <si>
    <t>93138</t>
  </si>
  <si>
    <t>PONTO DE ILUMINAÇÃO RESIDENCIAL INCLUINDO INTERRUPTOR PARALELO, CAIXA ELÉTRICA, ELETRODUTO, CABO, RASGO, QUEBRA E CHUMBAMENTO (EXCLUINDO LUMINÁRIA E LÂMPADA). AF_01/2016</t>
  </si>
  <si>
    <t>156,66</t>
  </si>
  <si>
    <t>93139</t>
  </si>
  <si>
    <t>PONTO DE ILUMINAÇÃO RESIDENCIAL INCLUINDO INTERRUPTOR PARALELO (2 MÓDULOS), CAIXA ELÉTRICA, ELETRODUTO, CABO, RASGO, QUEBRA E CHUMBAMENTO (EXCLUINDO LUMINÁRIA E LÂMPADA). AF_01/2016</t>
  </si>
  <si>
    <t>200,17</t>
  </si>
  <si>
    <t>93140</t>
  </si>
  <si>
    <t>PONTO DE ILUMINAÇÃO RESIDENCIAL INCLUINDO INTERRUPTOR SIMPLES CONJUGADO COM PARALELO, CAIXA ELÉTRICA, ELETRODUTO, CABO, RASGO, QUEBRA E CHUMBAMENTO (EXCLUINDO LUMINÁRIA E LÂMPADA). AF_01/2016</t>
  </si>
  <si>
    <t>188,42</t>
  </si>
  <si>
    <t>93141</t>
  </si>
  <si>
    <t>PONTO DE TOMADA RESIDENCIAL INCLUINDO TOMADA 10A/250V, CAIXA ELÉTRICA, ELETRODUTO, CABO, RASGO, QUEBRA E CHUMBAMENTO. AF_01/2016</t>
  </si>
  <si>
    <t>171,78</t>
  </si>
  <si>
    <t>93142</t>
  </si>
  <si>
    <t>PONTO DE TOMADA RESIDENCIAL INCLUINDO TOMADA (2 MÓDULOS) 10A/250V, CAIXA ELÉTRICA, ELETRODUTO, CABO, RASGO, QUEBRA E CHUMBAMENTO. AF_01/2016</t>
  </si>
  <si>
    <t>190,50</t>
  </si>
  <si>
    <t>93143</t>
  </si>
  <si>
    <t>PONTO DE TOMADA RESIDENCIAL INCLUINDO TOMADA 20A/250V, CAIXA ELÉTRICA, ELETRODUTO, CABO, RASGO, QUEBRA E CHUMBAMENTO. AF_01/2016</t>
  </si>
  <si>
    <t>93144</t>
  </si>
  <si>
    <t>PONTO DE UTILIZAÇÃO DE EQUIPAMENTOS ELÉTRICOS, RESIDENCIAL, INCLUINDO SUPORTE E PLACA, CAIXA ELÉTRICA, ELETRODUTO, CABO, RASGO, QUEBRA E CHUMBAMENTO. AF_01/2016</t>
  </si>
  <si>
    <t>231,80</t>
  </si>
  <si>
    <t>93145</t>
  </si>
  <si>
    <t>PONTO DE ILUMINAÇÃO E TOMADA, RESIDENCIAL, INCLUINDO INTERRUPTOR SIMPLES E TOMADA 10A/250V, CAIXA ELÉTRICA, ELETRODUTO, CABO, RASGO, QUEBRA E CHUMBAMENTO (EXCLUINDO LUMINÁRIA E LÂMPADA). AF_01/2016</t>
  </si>
  <si>
    <t>209,48</t>
  </si>
  <si>
    <t>93146</t>
  </si>
  <si>
    <t>PONTO DE ILUMINAÇÃO E TOMADA, RESIDENCIAL, INCLUINDO INTERRUPTOR PARALELO E TOMADA 10A/250V, CAIXA ELÉTRICA, ELETRODUTO, CABO, RASGO, QUEBRA E CHUMBAMENTO (EXCLUINDO LUMINÁRIA E LÂMPADA). AF_01/2016</t>
  </si>
  <si>
    <t>227,16</t>
  </si>
  <si>
    <t>93147</t>
  </si>
  <si>
    <t>PONTO DE ILUMINAÇÃO E TOMADA, RESIDENCIAL, INCLUINDO INTERRUPTOR SIMPLES, INTERRUPTOR PARALELO E TOMADA 10A/250V, CAIXA ELÉTRICA, ELETRODUTO, CABO, RASGO, QUEBRA E CHUMBAMENTO (EXCLUINDO LUMINÁRIA E LÂMPADA). AF_01/2016</t>
  </si>
  <si>
    <t>258,97</t>
  </si>
  <si>
    <t>96971</t>
  </si>
  <si>
    <t>CORDOALHA DE COBRE NU 16 MM², NÃO ENTERRADA, COM ISOLADOR - FORNECIMENTO E INSTALAÇÃO. AF_12/2017</t>
  </si>
  <si>
    <t>32,48</t>
  </si>
  <si>
    <t>96972</t>
  </si>
  <si>
    <t>CORDOALHA DE COBRE NU 25 MM², NÃO ENTERRADA, COM ISOLADOR - FORNECIMENTO E INSTALAÇÃO. AF_12/2017</t>
  </si>
  <si>
    <t>46,15</t>
  </si>
  <si>
    <t>96973</t>
  </si>
  <si>
    <t>CORDOALHA DE COBRE NU 35 MM², NÃO ENTERRADA, COM ISOLADOR - FORNECIMENTO E INSTALAÇÃO. AF_12/2017</t>
  </si>
  <si>
    <t>59,55</t>
  </si>
  <si>
    <t>96974</t>
  </si>
  <si>
    <t>CORDOALHA DE COBRE NU 50 MM², NÃO ENTERRADA, COM ISOLADOR - FORNECIMENTO E INSTALAÇÃO. AF_12/2017</t>
  </si>
  <si>
    <t>77,42</t>
  </si>
  <si>
    <t>96975</t>
  </si>
  <si>
    <t>CORDOALHA DE COBRE NU 70 MM², NÃO ENTERRADA, COM ISOLADOR - FORNECIMENTO E INSTALAÇÃO. AF_12/2017</t>
  </si>
  <si>
    <t>101,63</t>
  </si>
  <si>
    <t>96976</t>
  </si>
  <si>
    <t>CORDOALHA DE COBRE NU 95 MM², NÃO ENTERRADA, COM ISOLADOR - FORNECIMENTO E INSTALAÇÃO. AF_12/2017</t>
  </si>
  <si>
    <t>134,11</t>
  </si>
  <si>
    <t>96977</t>
  </si>
  <si>
    <t>CORDOALHA DE COBRE NU 50 MM², ENTERRADA, SEM ISOLADOR - FORNECIMENTO E INSTALAÇÃO. AF_12/2017</t>
  </si>
  <si>
    <t>55,39</t>
  </si>
  <si>
    <t>96978</t>
  </si>
  <si>
    <t>CORDOALHA DE COBRE NU 70 MM², ENTERRADA, SEM ISOLADOR - FORNECIMENTO E INSTALAÇÃO. AF_12/2017</t>
  </si>
  <si>
    <t>77,72</t>
  </si>
  <si>
    <t>96979</t>
  </si>
  <si>
    <t>CORDOALHA DE COBRE NU 95 MM², ENTERRADA, SEM ISOLADOR - FORNECIMENTO E INSTALAÇÃO. AF_12/2017</t>
  </si>
  <si>
    <t>108,98</t>
  </si>
  <si>
    <t>96984</t>
  </si>
  <si>
    <t>ELETRODUTO PVC 40MM (1 ¼ ) PARA SPDA - FORNECIMENTO E INSTALAÇÃO. AF_12/2017</t>
  </si>
  <si>
    <t>57,31</t>
  </si>
  <si>
    <t>96985</t>
  </si>
  <si>
    <t>HASTE DE ATERRAMENTO 5/8  PARA SPDA - FORNECIMENTO E INSTALAÇÃO. AF_12/2017</t>
  </si>
  <si>
    <t>65,32</t>
  </si>
  <si>
    <t>96986</t>
  </si>
  <si>
    <t>HASTE DE ATERRAMENTO 3/4  PARA SPDA - FORNECIMENTO E INSTALAÇÃO. AF_12/2017</t>
  </si>
  <si>
    <t>97,65</t>
  </si>
  <si>
    <t>96987</t>
  </si>
  <si>
    <t>BASE METÁLICA PARA MASTRO 1 ½  PARA SPDA - FORNECIMENTO E INSTALAÇÃO. AF_12/2017</t>
  </si>
  <si>
    <t>94,78</t>
  </si>
  <si>
    <t>96988</t>
  </si>
  <si>
    <t>MASTRO 1 ½  PARA SPDA - FORNECIMENTO E INSTALAÇÃO. AF_12/2017</t>
  </si>
  <si>
    <t>128,98</t>
  </si>
  <si>
    <t>96989</t>
  </si>
  <si>
    <t>CAPTOR TIPO FRANKLIN PARA SPDA - FORNECIMENTO E INSTALAÇÃO. AF_12/2017</t>
  </si>
  <si>
    <t>107,89</t>
  </si>
  <si>
    <t>98463</t>
  </si>
  <si>
    <t>SUPORTE ISOLADOR PARA CORDOALHA DE COBRE - FORNECIMENTO E INSTALAÇÃO. AF_12/2017</t>
  </si>
  <si>
    <t>96765</t>
  </si>
  <si>
    <t>ABRIGO PARA HIDRANTE, 90X60X17CM, COM REGISTRO GLOBO ANGULAR 45 GRAUS 2 1/2", ADAPTADOR STORZ 2 1/2", MANGUEIRA DE INCÊNDIO 20M, REDUÇÃO 2 1/2" X 1 1/2" E ESGUICHO EM LATÃO 1 1/2" - FORNECIMENTO E INSTALAÇÃO. AF_10/2020</t>
  </si>
  <si>
    <t>1.481,74</t>
  </si>
  <si>
    <t>101905</t>
  </si>
  <si>
    <t>EXTINTOR DE INCÊNDIO PORTÁTIL COM CARGA DE ÁGUA PRESSURIZADA DE 10 L, CLASSE A - FORNECIMENTO E INSTALAÇÃO. AF_10/2020_P</t>
  </si>
  <si>
    <t>193,99</t>
  </si>
  <si>
    <t>101906</t>
  </si>
  <si>
    <t>EXTINTOR DE INCÊNDIO PORTÁTIL COM CARGA DE CO2 DE 4 KG, CLASSE BC - FORNECIMENTO E INSTALAÇÃO. AF_10/2020_P</t>
  </si>
  <si>
    <t>572,83</t>
  </si>
  <si>
    <t>101907</t>
  </si>
  <si>
    <t>EXTINTOR DE INCÊNDIO PORTÁTIL COM CARGA DE CO2 DE 6 KG, CLASSE BC - FORNECIMENTO E INSTALAÇÃO. AF_10/2020_P</t>
  </si>
  <si>
    <t>618,99</t>
  </si>
  <si>
    <t>101908</t>
  </si>
  <si>
    <t>EXTINTOR DE INCÊNDIO PORTÁTIL COM CARGA DE PQS DE 4 KG, CLASSE BC - FORNECIMENTO E INSTALAÇÃO. AF_10/2020_P</t>
  </si>
  <si>
    <t>188,22</t>
  </si>
  <si>
    <t>101909</t>
  </si>
  <si>
    <t>EXTINTOR DE INCÊNDIO PORTÁTIL COM CARGA DE PQS DE 6 KG, CLASSE BC - FORNECIMENTO E INSTALAÇÃO. AF_10/2020_P</t>
  </si>
  <si>
    <t>218,99</t>
  </si>
  <si>
    <t>101910</t>
  </si>
  <si>
    <t>EXTINTOR DE INCÊNDIO PORTÁTIL COM CARGA DE PQS DE 8 KG, CLASSE BC - FORNECIMENTO E INSTALAÇÃO. AF_10/2020_P</t>
  </si>
  <si>
    <t>257,45</t>
  </si>
  <si>
    <t>101911</t>
  </si>
  <si>
    <t>EXTINTOR DE INCÊNDIO PORTÁTIL COM CARGA DE PQS DE 12 KG, CLASSE BC - FORNECIMENTO E INSTALAÇÃO. AF_10/2020_P</t>
  </si>
  <si>
    <t>295,91</t>
  </si>
  <si>
    <t>101912</t>
  </si>
  <si>
    <t>ABRIGO PARA HIDRANTE, 75X45X17CM, COM REGISTRO GLOBO ANGULAR 45 GRAUS 2 1/2", ADAPTADOR STORZ 2 1/2", MANGUEIRA DE INCÊNDIO 15M 2 1/2" E ESGUICHO EM LATÃO 2 1/2" - FORNECIMENTO E INSTALAÇÃO. AF_10/2020</t>
  </si>
  <si>
    <t>1.793,95</t>
  </si>
  <si>
    <t>101913</t>
  </si>
  <si>
    <t>CAIXA DE INCÊNDIO 45X75X17CM - FORNECIMENTO E INSTALAÇÃO. AF_10/2020</t>
  </si>
  <si>
    <t>560,92</t>
  </si>
  <si>
    <t>101914</t>
  </si>
  <si>
    <t>CAIXA DE INCÊNDIO 60X90X17CM - FORNECIMENTO E INSTALAÇÃO. AF_10/2020</t>
  </si>
  <si>
    <t>539,02</t>
  </si>
  <si>
    <t>101915</t>
  </si>
  <si>
    <t>CONJUNTO DE MANGUEIRA PARA COMBATE A INCÊNDIO EM FIBRA DE POLIESTER PURA, COM 1.1/2", REVESTIDA INTERNAMENTE, COMPRIMENTO DE 15M - FORNECIMENTO E INSTALAÇÃO. AF_10/2020</t>
  </si>
  <si>
    <t>334,02</t>
  </si>
  <si>
    <t>101916</t>
  </si>
  <si>
    <t>HIDRANTE SUBTERRÂNEO PREDIAL (COM CURVA LONGA E CAIXA), DN 75 MM - FORNECIMENTO E INSTALAÇÃO. AF_10/2020</t>
  </si>
  <si>
    <t>2.782,28</t>
  </si>
  <si>
    <t>101917</t>
  </si>
  <si>
    <t>MANÔMETRO 0 A 200 PSI (0 A 14 KGF/CM2), D = 50MM - FORNECIMENTO E INSTALAÇÃO. AF_10/2020</t>
  </si>
  <si>
    <t>121,95</t>
  </si>
  <si>
    <t>98261</t>
  </si>
  <si>
    <t>CABO TELEFÔNICO CCI-50 1 PAR, INSTALADO EM ENTRADA DE EDIFICAÇÃO - FORNECIMENTO E INSTALAÇÃO. AF_11/2019</t>
  </si>
  <si>
    <t>98262</t>
  </si>
  <si>
    <t>CABO TELEFÔNICO CCI-50 2 PARES, SEM BLINDAGEM, INSTALADO EM ENTRADA DE EDIFICAÇÃO - FORNECIMENTO E INSTALAÇÃO. AF_11/2019</t>
  </si>
  <si>
    <t>98263</t>
  </si>
  <si>
    <t>CABO TELEFÔNICO CCI-50 3 PARES, SEM BLINDAGEM, INSTALADO EM ENTRADA DE EDIFICAÇÃO - FORNECIMENTO E INSTALAÇÃO. AF_11/2019</t>
  </si>
  <si>
    <t>4,84</t>
  </si>
  <si>
    <t>98264</t>
  </si>
  <si>
    <t>CABO TELEFÔNICO CCI-50 4 PARES, SEM BLINDAGEM, INSTALADO EM ENTRADA DE EDIFICAÇÃO - FORNECIMENTO E INSTALAÇÃO. AF_11/2019</t>
  </si>
  <si>
    <t>5,39</t>
  </si>
  <si>
    <t>98265</t>
  </si>
  <si>
    <t>CABO TELEFÔNICO CCI-50 5 PARES, SEM BLINDAGEM, INSTALADO EM ENTRADA DE EDIFICAÇÃO - FORNECIMENTO E INSTALAÇÃO. AF_11/2019</t>
  </si>
  <si>
    <t>98266</t>
  </si>
  <si>
    <t>CABO TELEFÔNICO CCI-50 6 PARES, SEM BLINDAGEM, INSTALADO EM ENTRADA DE EDIFICAÇÃO - FORNECIMENTO E INSTALAÇÃO. AF_11/2019</t>
  </si>
  <si>
    <t>98267</t>
  </si>
  <si>
    <t>CABO TELEFÔNICO CI-50 10 PARES INSTALADO EM ENTRADA DE EDIFICAÇÃO - FORNECIMENTO E INSTALAÇÃO. AF_11/2019</t>
  </si>
  <si>
    <t>10,90</t>
  </si>
  <si>
    <t>98268</t>
  </si>
  <si>
    <t>CABO TELEFÔNICO CI-50 20 PARES INSTALADO EM ENTRADA DE EDIFICAÇÃO - FORNECIMENTO E INSTALAÇÃO. AF_11/2019</t>
  </si>
  <si>
    <t>17,63</t>
  </si>
  <si>
    <t>98269</t>
  </si>
  <si>
    <t>CABO TELEFÔNICO CI-50 30 PARES INSTALADO EM ENTRADA DE EDIFICAÇÃO - FORNECIMENTO E INSTALAÇÃO. AF_11/2019</t>
  </si>
  <si>
    <t>22,71</t>
  </si>
  <si>
    <t>98270</t>
  </si>
  <si>
    <t>CABO TELEFÔNICO CI-50 50 PARES INSTALADO EM ENTRADA DE EDIFICAÇÃO - FORNECIMENTO E INSTALAÇÃO. AF_11/2019</t>
  </si>
  <si>
    <t>36,71</t>
  </si>
  <si>
    <t>98271</t>
  </si>
  <si>
    <t>CABO TELEFÔNICO CI-50 75 PARES INSTALADO EM ENTRADA DE EDIFICAÇÃO - FORNECIMENTO E INSTALAÇÃO. AF_11/2019</t>
  </si>
  <si>
    <t>56,76</t>
  </si>
  <si>
    <t>98272</t>
  </si>
  <si>
    <t>CABO TELEFÔNICO CI-50 200 PARES INSTALADO EM ENTRADA DE EDIFICAÇÃO - FORNECIMENTO E INSTALAÇÃO. AF_11/2019</t>
  </si>
  <si>
    <t>132,60</t>
  </si>
  <si>
    <t>98273</t>
  </si>
  <si>
    <t>CABO TELEFÔNICO CCI-50 4 PARES, SEM BLINDAGEM, INSTALADO EM PRUMADA - FORNECIMENTO E INSTALAÇÃO. AF_11/2019</t>
  </si>
  <si>
    <t>98274</t>
  </si>
  <si>
    <t>CABO TELEFÔNICO CCI-50 5 PARES, SEM BLINDAGEM, INSTALADO EM PRUMADA - FORNECIMENTO E INSTALAÇÃO. AF_11/2019</t>
  </si>
  <si>
    <t>98275</t>
  </si>
  <si>
    <t>CABO TELEFÔNICO CCI-50 6 PARES, SEM BLINDAGEM, INSTALADO EM PRUMADA - FORNECIMENTO E INSTALAÇÃO. AF_11/2019</t>
  </si>
  <si>
    <t>3,83</t>
  </si>
  <si>
    <t>98276</t>
  </si>
  <si>
    <t>CABO TELEFÔNICO CI-50 10 PARES INSTALADO EM PRUMADA - FORNECIMENTO E INSTALAÇÃO. AF_11/2019</t>
  </si>
  <si>
    <t>8,05</t>
  </si>
  <si>
    <t>98277</t>
  </si>
  <si>
    <t>CABO TELEFÔNICO CI-50 20 PARES INSTALADO EM PRUMADA - FORNECIMENTO E INSTALAÇÃO. AF_11/2019</t>
  </si>
  <si>
    <t>14,78</t>
  </si>
  <si>
    <t>98278</t>
  </si>
  <si>
    <t>CABO TELEFÔNICO CI-50 30 PARES INSTALADO EM PRUMADA - FORNECIMENTO E INSTALAÇÃO. AF_11/2019</t>
  </si>
  <si>
    <t>19,85</t>
  </si>
  <si>
    <t>98279</t>
  </si>
  <si>
    <t>CABO TELEFÔNICO CI-50 50 PARES INSTALADO EM PRUMADA - FORNECIMENTO E INSTALAÇÃO. AF_11/2019</t>
  </si>
  <si>
    <t>98280</t>
  </si>
  <si>
    <t>CABO TELEFÔNICO CCI-50 1 PAR, SEM BLINDAGEM, INSTALADO EM DISTRIBUIÇÃO DE EDIFICAÇÃO RESIDENCIAL - FORNECIMENTO E INSTALAÇÃO. AF_11/2019</t>
  </si>
  <si>
    <t>7,20</t>
  </si>
  <si>
    <t>98281</t>
  </si>
  <si>
    <t>CABO TELEFÔNICO CCI-50 2 PARES, SEM BLINDAGEM, INSTALADO EM DISTRIBUIÇÃO DE EDIFICAÇÃO RESIDENCIAL - FORNECIMENTO E INSTALAÇÃO. AF_11/2019</t>
  </si>
  <si>
    <t>98282</t>
  </si>
  <si>
    <t>CABO TELEFÔNICO CCI-50 3 PARES, SEM BLINDAGEM, INSTALADO EM DISTRIBUIÇÃO DE EDIFICAÇÃO RESIDENCIAL - FORNECIMENTO E INSTALAÇÃO. AF_11/2019</t>
  </si>
  <si>
    <t>98283</t>
  </si>
  <si>
    <t>CABO TELEFÔNICO CCI-50 4 PARES, SEM BLINDAGEM, INSTALADO EM DISTRIBUIÇÃO DE EDIFICAÇÃO RESIDENCIAL - FORNECIMENTO E INSTALAÇÃO. AF_11/2019</t>
  </si>
  <si>
    <t>9,06</t>
  </si>
  <si>
    <t>98284</t>
  </si>
  <si>
    <t>CABO TELEFÔNICO CCI-50 5 PARES, SEM BLINDAGEM, INSTALADO EM DISTRIBUIÇÃO DE EDIFICAÇÃO RESIDENCIAL - FORNECIMENTO E INSTALAÇÃO. AF_11/2019</t>
  </si>
  <si>
    <t>98285</t>
  </si>
  <si>
    <t>CABO TELEFÔNICO CCI-50 6 PARES, SEM BLINDAGEM, INSTALADO EM DISTRIBUIÇÃO DE EDIFICAÇÃO RESIDENCIAL - FORNECIMENTO E INSTALAÇÃO. AF_11/2019</t>
  </si>
  <si>
    <t>10,36</t>
  </si>
  <si>
    <t>98286</t>
  </si>
  <si>
    <t>CABO TELEFÔNICO CI-50 10 PARES INSTALADO EM DISTRIBUIÇÃO DE EDIFICAÇÃO RESIDENCIAL - FORNECIMENTO E INSTALAÇÃO. AF_11/2019</t>
  </si>
  <si>
    <t>14,57</t>
  </si>
  <si>
    <t>98287</t>
  </si>
  <si>
    <t>CABO TELEFÔNICO CCI-50 1 PAR, SEM BLINDAGEM, INSTALADO EM DISTRIBUIÇÃO DE EDIFICAÇÃO INSTITUCIONAL - FORNECIMENTO E INSTALAÇÃO. AF_11/2019</t>
  </si>
  <si>
    <t>98288</t>
  </si>
  <si>
    <t>CABO TELEFÔNICO CCI-50 2 PARES, SEM BLINDAGEM, INSTALADO EM DISTRIBUIÇÃO DE EDIFICAÇÃO INSTITUCIONAL - FORNECIMENTO E INSTALAÇÃO. AF_11/2019</t>
  </si>
  <si>
    <t>1,92</t>
  </si>
  <si>
    <t>98289</t>
  </si>
  <si>
    <t>CABO TELEFÔNICO CCI-50 3 PARES, SEM BLINDAGEM, INSTALADO EM DISTRIBUIÇÃO DE EDIFICAÇÃO INSTITUCIONAL - FORNECIMENTO E INSTALAÇÃO. AF_11/2019</t>
  </si>
  <si>
    <t>2,63</t>
  </si>
  <si>
    <t>98290</t>
  </si>
  <si>
    <t>CABO TELEFÔNICO CCI-50 4 PARES, SEM BLINDAGEM, INSTALADO EM DISTRIBUIÇÃO DE EDIFICAÇÃO INSTITUCIONAL - FORNECIMENTO E INSTALAÇÃO. AF_11/2019</t>
  </si>
  <si>
    <t>98291</t>
  </si>
  <si>
    <t>CABO TELEFÔNICO CCI-50 5 PARES, SEM BLINDAGEM, INSTALADO EM DISTRIBUIÇÃO DE EDIFICAÇÃO INSTITUCIONAL - FORNECIMENTO E INSTALAÇÃO. AF_11/2019</t>
  </si>
  <si>
    <t>98292</t>
  </si>
  <si>
    <t>CABO TELEFÔNICO CCI-50 6 PARES, SEM BLINDAGEM, INSTALADO EM DISTRIBUIÇÃO DE EDIFICAÇÃO INSTITUCIONAL - FORNECIMENTO E INSTALAÇÃO. AF_11/2019</t>
  </si>
  <si>
    <t>98293</t>
  </si>
  <si>
    <t>CABO TELEFÔNICO CI-50 10 PARES INSTALADO EM DISTRIBUIÇÃO DE EDIFICAÇÃO INSTITUCIONAL - FORNECIMENTO E INSTALAÇÃO. AF_11/2019</t>
  </si>
  <si>
    <t>8,70</t>
  </si>
  <si>
    <t>98400</t>
  </si>
  <si>
    <t>CABO TELEFÔNICO CTP-APL-50 10 PARES INSTALADO EM ENTRADA DE EDIFICAÇÃO - FORNECIMENTO E INSTALAÇÃO. AF_11/2019</t>
  </si>
  <si>
    <t>98401</t>
  </si>
  <si>
    <t>CABO TELEFÔNICO CTP-APL-50 20 PARES INSTALADO EM ENTRADA DE EDIFICAÇÃO - FORNECIMENTO E INSTALAÇÃO. AF_11/2019</t>
  </si>
  <si>
    <t>19,73</t>
  </si>
  <si>
    <t>98402</t>
  </si>
  <si>
    <t>CABO TELEFÔNICO CTP-APL-50 30 PARES INSTALADO EM ENTRADA DE EDIFICAÇÃO - FORNECIMENTO E INSTALAÇÃO. AF_11/2019</t>
  </si>
  <si>
    <t>25,51</t>
  </si>
  <si>
    <t>100556</t>
  </si>
  <si>
    <t>CAIXA DE PASSAGEM PARA TELEFONE 15X15X10CM (SOBREPOR), FORNECIMENTO E INSTALACAO. AF_11/2019</t>
  </si>
  <si>
    <t>50,40</t>
  </si>
  <si>
    <t>100557</t>
  </si>
  <si>
    <t>CAIXA DE PASSAGEM PARA TELEFONE 80X80X15CM (SOBREPOR) FORNECIMENTO E INSTALACAO. AF_11/2019</t>
  </si>
  <si>
    <t>684,57</t>
  </si>
  <si>
    <t>100560</t>
  </si>
  <si>
    <t>QUADRO DE DISTRIBUIÇÃO PARA TELEFONE N.2, 20X20X12CM EM CHAPA METALICA, DE EMBUTIR, SEM ACESSORIOS, PADRÃO TELEBRAS, FORNECIMENTO E INSTALAÇÃO. AF_11/2019</t>
  </si>
  <si>
    <t>136,37</t>
  </si>
  <si>
    <t>100561</t>
  </si>
  <si>
    <t>QUADRO DE DISTRIBUICAO PARA TELEFONE N.3, 40X40X12CM EM CHAPA METALICA, DE EMBUTIR, SEM ACESSORIOS, PADRAO TELEBRAS, FORNECIMENTO E INSTALAÇÃO. AF_11/2019</t>
  </si>
  <si>
    <t>257,74</t>
  </si>
  <si>
    <t>100562</t>
  </si>
  <si>
    <t>QUADRO DE DISTRIBUICAO PARA TELEFONE N.4, 60X60X12CM EM CHAPA METALICA, DE EMBUTIR, SEM ACESSORIOS, PADRAO TELEBRAS, FORNECIMENTO E INSTALAÇÃO. AF_11/2019</t>
  </si>
  <si>
    <t>403,80</t>
  </si>
  <si>
    <t>100563</t>
  </si>
  <si>
    <t>QUADRO DE DISTRIBUIÇÃO PARA TELEFONE N.5, 80X80X12CM EM CHAPA METALICA, SEM ACESSORIOS, PADRAO TELEBRAS, FORNECIMENTO E INSTALAÇÃO. AF_11/2019</t>
  </si>
  <si>
    <t>585,80</t>
  </si>
  <si>
    <t>101795</t>
  </si>
  <si>
    <t>CAIXA ENTERRADA PARA INSTALAÇÕES TELEFÔNICAS TIPO R1, EM ALVENARIA COM BLOCOS DE CONCRETO, DIMENSÕES INTERNAS: 0,35X0,60X0,60 M, EXCLUINDO TAMPÃO. AF_12/2020</t>
  </si>
  <si>
    <t>477,02</t>
  </si>
  <si>
    <t>101798</t>
  </si>
  <si>
    <t>TAMPA PARA CAIXA TIPO R1, EM FERRO FUNDIDO, DIMENSÕES INTERNAS: 0,40 X 0,60 M - FORNECIMENTO E INSTALAÇÃO. AF_12/2020</t>
  </si>
  <si>
    <t>379,26</t>
  </si>
  <si>
    <t>101799</t>
  </si>
  <si>
    <t>TAMPA PARA CAIXA TIPO R2 E R3, EM FERRO FUNDIDO, DIMENSÕES INTERNAS: 0,55 X 1,10 M - FORNECIMENTO E INSTALAÇÃO. AF_12/2020</t>
  </si>
  <si>
    <t>925,35</t>
  </si>
  <si>
    <t>98397</t>
  </si>
  <si>
    <t>PINTURA ANTICORROSIVA DE DUTO METÁLICO. AF_04/2018</t>
  </si>
  <si>
    <t>11,62</t>
  </si>
  <si>
    <t>103244</t>
  </si>
  <si>
    <t>AR CONDICIONADO SPLIT INVERTER, HI-WALL (PAREDE), 9000 BTU/H, CICLO FRIO - FORNECIMENTO E INSTALAÇÃO. AF_11/2021_P</t>
  </si>
  <si>
    <t>2.066,32</t>
  </si>
  <si>
    <t>103245</t>
  </si>
  <si>
    <t>AR CONDICIONADO SPLIT ON/OFF, HI-WALL (PAREDE), 9000 BTUS/H, CICLO FRIO - FORNECIMENTO E INSTALAÇÃO. AF_11/2021_P</t>
  </si>
  <si>
    <t>1.637,22</t>
  </si>
  <si>
    <t>103246</t>
  </si>
  <si>
    <t>AR CONDICIONADO SPLIT ON/OFF, HI-WALL (PAREDE), 9000 BTUS/H, CICLO QUENTE/FRIO - FORNECIMENTO E INSTALAÇÃO. AF_11/2021_P</t>
  </si>
  <si>
    <t>1.782,34</t>
  </si>
  <si>
    <t>103247</t>
  </si>
  <si>
    <t>AR CONDICIONADO SPLIT INVERTER, HI-WALL (PAREDE), 12000 BTU/H, CICLO FRIO - FORNECIMENTO E INSTALAÇÃO. AF_11/2021_P</t>
  </si>
  <si>
    <t>2.289,50</t>
  </si>
  <si>
    <t>103248</t>
  </si>
  <si>
    <t>AR CONDICIONADO SPLIT ON/OFF, HI-WALL (PAREDE), 12000 BTUS/H, CICLO FRIO - FORNECIMENTO E INSTALAÇÃO. AF_11/2021_P</t>
  </si>
  <si>
    <t>1.877,35</t>
  </si>
  <si>
    <t>103249</t>
  </si>
  <si>
    <t>AR CONDICIONADO SPLIT ON/OFF, HI-WALL (PAREDE), 12000 BTUS/H, CICLO QUENTE/FRIO - FORNECIMENTO E INSTALAÇÃO. AF_11/2021_P</t>
  </si>
  <si>
    <t>2.014,30</t>
  </si>
  <si>
    <t>103250</t>
  </si>
  <si>
    <t>AR CONDICIONADO SPLIT INVERTER, HI-WALL (PAREDE), 18000 BTU/H, CICLO FRIO - FORNECIMENTO E INSTALAÇÃO. AF_11/2021_P</t>
  </si>
  <si>
    <t>3.309,67</t>
  </si>
  <si>
    <t>103251</t>
  </si>
  <si>
    <t>AR CONDICIONADO SPLIT ON/OFF, HI-WALL (PAREDE), 18000 BTUS/H, CICLO FRIO - FORNECIMENTO E INSTALAÇÃO. AF_11/2021_P</t>
  </si>
  <si>
    <t>2.621,31</t>
  </si>
  <si>
    <t>103252</t>
  </si>
  <si>
    <t>AR CONDICIONADO SPLIT ON/OFF, HI-WALL (PAREDE), 18000 BTUS/H, CICLO QUENTE/FRIO - FORNECIMENTO E INSTALAÇÃO. AF_11/2021_P</t>
  </si>
  <si>
    <t>2.898,91</t>
  </si>
  <si>
    <t>103253</t>
  </si>
  <si>
    <t>AR CONDICIONADO SPLIT INVERTER, HI-WALL (PAREDE), 24000 BTU/H, CICLO FRIO - FORNECIMENTO E INSTALAÇÃO. AF_11/2021_P</t>
  </si>
  <si>
    <t>4.498,85</t>
  </si>
  <si>
    <t>103254</t>
  </si>
  <si>
    <t>AR CONDICIONADO SPLIT ON/OFF, HI-WALL (PAREDE), 24000 BTUS/H, CICLO FRIO - FORNECIMENTO E INSTALAÇÃO. AF_11/2021_P</t>
  </si>
  <si>
    <t>3.373,46</t>
  </si>
  <si>
    <t>103255</t>
  </si>
  <si>
    <t>AR CONDICIONADO SPLIT ON/OFF, HI-WALL (PAREDE), 24000 BTUS/H, CICLO QUENTE/FRIO - FORNECIMENTO E INSTALAÇÃO. AF_11/2021_P</t>
  </si>
  <si>
    <t>3.770,53</t>
  </si>
  <si>
    <t>103256</t>
  </si>
  <si>
    <t>AR CONDICIONADO SPLIT INVERTER, PISO TETO, 18000 BTU/H, CICLO FRIO - FORNECIMENTO E INSTALAÇÃO. AF_11/2021_P</t>
  </si>
  <si>
    <t>8.321,50</t>
  </si>
  <si>
    <t>103257</t>
  </si>
  <si>
    <t>AR CONDICIONADO SPLIT ON/OFF, PISO TETO, 18.000 BTU/H, CICLO FRIO - FORNECIMENTO E INSTALAÇÃO. AF_11/2021_P</t>
  </si>
  <si>
    <t>4.769,13</t>
  </si>
  <si>
    <t>103258</t>
  </si>
  <si>
    <t>AR CONDICIONADO SPLIT INVERTER, PISO TETO, 24000 BTU/H, CICLO FRIO - FORNECIMENTO E INSTALAÇÃO. AF_11/2021_P</t>
  </si>
  <si>
    <t>9.299,35</t>
  </si>
  <si>
    <t>103259</t>
  </si>
  <si>
    <t>AR CONDICIONADO SPLIT ON/OFF, PISO TETO, 24.000 BTU/H, CICLO FRIO - FORNECIMENTO E INSTALAÇÃO. AF_11/2021_P</t>
  </si>
  <si>
    <t>5.026,45</t>
  </si>
  <si>
    <t>103260</t>
  </si>
  <si>
    <t>AR CONDICIONADO SPLIT INVERTER, PISO TETO, 24000 BTU/H, QUENTE/FRIO - FORNECIMENTO E INSTALAÇÃO. AF_11/2021_P</t>
  </si>
  <si>
    <t>5.162,43</t>
  </si>
  <si>
    <t>103261</t>
  </si>
  <si>
    <t>AR CONDICIONADO SPLIT INVERTER, PISO TETO, 36000 BTU/H, CICLO FRIO - FORNECIMENTO E INSTALAÇÃO. AF_11/2021_P</t>
  </si>
  <si>
    <t>10.486,60</t>
  </si>
  <si>
    <t>103262</t>
  </si>
  <si>
    <t>AR CONDICIONADO SPLIT ON/OFF, PISO TETO, 36.000 BTU/H, CICLO FRIO - FORNECIMENTO E INSTALAÇÃO. AF_11/2021_P</t>
  </si>
  <si>
    <t>6.593,41</t>
  </si>
  <si>
    <t>103263</t>
  </si>
  <si>
    <t>AR CONDICIONADO SPLIT INVERTER, PISO TETO, 48000 BTU/H, CICLO FRIO - FORNECIMENTO E INSTALAÇÃO. AF_11/2021_P</t>
  </si>
  <si>
    <t>14.545,07</t>
  </si>
  <si>
    <t>103264</t>
  </si>
  <si>
    <t>AR CONDICIONADO SPLIT ON/OFF, PISO TETO, 48.000 BTU/H, CICLO FRIO - FORNECIMENTO E INSTALAÇÃO. AF_11/2021_P</t>
  </si>
  <si>
    <t>8.170,81</t>
  </si>
  <si>
    <t>103265</t>
  </si>
  <si>
    <t>AR CONDICIONADO SPLIT INVERTER, PISO TETO, APRESENTANDO ENTRE 54000 E 58000 BTU/H, CICLO FRIO - FORNECIMENTO E INSTALAÇÃO. AF_11/2021_P</t>
  </si>
  <si>
    <t>17.528,74</t>
  </si>
  <si>
    <t>103266</t>
  </si>
  <si>
    <t>AR CONDICIONADO SPLIT ON/OFF, PISO TETO, 60.000 BTU/H, CICLO FRIO - FORNECIMENTO E INSTALAÇÃO. AF_11/2021_P</t>
  </si>
  <si>
    <t>9.121,63</t>
  </si>
  <si>
    <t>103267</t>
  </si>
  <si>
    <t>AR CONDICIONADO SPLIT ON/OFF, CASSETE (TETO), FRIO 4 VIAS 18000 BTU/H - FORNECIMENTO E INSTALAÇÃO. AF_11/2021_P</t>
  </si>
  <si>
    <t>5.214,40</t>
  </si>
  <si>
    <t>103268</t>
  </si>
  <si>
    <t>AR CONDICIONADO SPLIT ON/OFF, CASSETE (TETO), 18000 BTU/H, CICLO QUENTE/FRIO - FORNECIMENTO E INSTALAÇÃO. AF_11/2021_P</t>
  </si>
  <si>
    <t>6.182,89</t>
  </si>
  <si>
    <t>103269</t>
  </si>
  <si>
    <t>AR CONDICIONADO SPLIT ON/OFF, CASSETE (TETO), FRIO 4 VIAS 24000 BTU/H - FORNECIMENTO E INSTALAÇÃO. AF_11/2021_P</t>
  </si>
  <si>
    <t>6.400,80</t>
  </si>
  <si>
    <t>103270</t>
  </si>
  <si>
    <t>AR CONDICIONADO SPLIT ON/OFF, CASSETE (TETO), 24000 BTU/H, CICLO QUENTE/FRIO - FORNECIMENTO E INSTALAÇÃO. AF_11/2021_P</t>
  </si>
  <si>
    <t>6.642,75</t>
  </si>
  <si>
    <t>103271</t>
  </si>
  <si>
    <t>AR CONDICIONADO SPLIT ON/OFF, CASSETE (TETO), FRIO 4 VIAS 36000 BTU/H - FORNECIMENTO E INSTALAÇÃO. AF_11/2021_P</t>
  </si>
  <si>
    <t>9.396,60</t>
  </si>
  <si>
    <t>103272</t>
  </si>
  <si>
    <t>AR CONDICIONADO SPLIT ON/OFF, CASSETE (TETO), 36000 BTU/H, CICLO QUENTE/FRIO - FORNECIMENTO E INSTALAÇÃO. AF_11/2021_P</t>
  </si>
  <si>
    <t>9.704,27</t>
  </si>
  <si>
    <t>103273</t>
  </si>
  <si>
    <t>AR CONDICIONADO SPLIT ON/OFF, CASSETE (TETO), FRIO 4 VIAS 48000 BTU/H - FORNECIMENTO E INSTALAÇÃO. AF_11/2021_P</t>
  </si>
  <si>
    <t>9.978,05</t>
  </si>
  <si>
    <t>103274</t>
  </si>
  <si>
    <t>AR CONDICIONADO SPLIT ON/OFF, CASSETE (TETO), 48000 BTU/H, CICLO QUENTE/FRIO - FORNECIMENTO E INSTALAÇÃO. AF_11/2021_P</t>
  </si>
  <si>
    <t>11.425,08</t>
  </si>
  <si>
    <t>103275</t>
  </si>
  <si>
    <t>AR CONDICIONADO SPLIT ON/OFF, CASSETE (TETO), FRIO 4 VIAS 60000 BTU/H - FORNECIMENTO E INSTALAÇÃO. AF_11/2021_P</t>
  </si>
  <si>
    <t>11.366,01</t>
  </si>
  <si>
    <t>103276</t>
  </si>
  <si>
    <t>AR CONDICIONADO SPLIT ON/OFF, CASSETE (TETO), 60000 BTU/H, CICLO QUENTE/FRIO - FORNECIMENTO E INSTALAÇÃO. AF_11/2021_P</t>
  </si>
  <si>
    <t>11.925,67</t>
  </si>
  <si>
    <t>103277</t>
  </si>
  <si>
    <t>AR CONDICIONADO SPLITÃO 10 TR - FORNECIMENTO E INSTALAÇÃO. AF_11/2021_P</t>
  </si>
  <si>
    <t>22.022,76</t>
  </si>
  <si>
    <t>103278</t>
  </si>
  <si>
    <t>AR CONDICIONADO SPLITÃO 15 TR - FORNECIMENTO E INSTALAÇÃO. AF_11/2021_P</t>
  </si>
  <si>
    <t>28.171,52</t>
  </si>
  <si>
    <t>103288</t>
  </si>
  <si>
    <t>RASGO E CHUMBAMENTO EM ALVENARIA PARA TUBOS DE SPLIT PAREDE DE 9000 A 24000 BTUS/H. AF_11/2021</t>
  </si>
  <si>
    <t>14,29</t>
  </si>
  <si>
    <t>103289</t>
  </si>
  <si>
    <t>TUBO EM COBRE FLEXÍVEL, DN 1/4", COM ISOLAMENTO, INSTALADO EM FORRO, PARA RAMAL DE ALIMENTAÇÃO DE AR CONDICIONADO, INCLUSO FIXADOR. AF_11/2021</t>
  </si>
  <si>
    <t>34,05</t>
  </si>
  <si>
    <t>103290</t>
  </si>
  <si>
    <t>TUBO EM COBRE FLEXÍVEL, DN 3/8", COM ISOLAMENTO, INSTALADO EM FORRO, PARA RAMAL DE ALIMENTAÇÃO DE AR CONDICIONADO, INCLUSO FIXADOR. AF_11/2021</t>
  </si>
  <si>
    <t>55,10</t>
  </si>
  <si>
    <t>103291</t>
  </si>
  <si>
    <t>TUBO EM COBRE FLEXÍVEL, DN 1/2", COM ISOLAMENTO, INSTALADO EM FORRO, PARA RAMAL DE ALIMENTAÇÃO DE AR CONDICIONADO, INCLUSO FIXADOR. AF_11/2021</t>
  </si>
  <si>
    <t>69,23</t>
  </si>
  <si>
    <t>103292</t>
  </si>
  <si>
    <t>TUBO EM COBRE FLEXÍVEL, DN 5/8", COM ISOLAMENTO, INSTALADO EM FORRO, PARA RAMAL DE ALIMENTAÇÃO DE AR CONDICIONADO, INCLUSO FIXADOR. AF_11/2021</t>
  </si>
  <si>
    <t>84,02</t>
  </si>
  <si>
    <t>101936</t>
  </si>
  <si>
    <t>INSTALAÇÃO DE TUBOS E CONEXÕES, EM AÇO/FERRO GALVANIZADO, PARA O CENTRO DE MEDIÇÃO DE GÁS DE EDIFÍCIO RESIDENCIAL, COM 4 PAVIMENTOS, 16 UNIDADES HABITACIONAIS, DN 32 (1 1/4) - FORNECIMENTO E INSTALAÇÃO. AF_10/2020</t>
  </si>
  <si>
    <t>7.226,41</t>
  </si>
  <si>
    <t>101937</t>
  </si>
  <si>
    <t>INSTALAÇÃO DE TUBOS E CONEXÕES, EM AÇO/FERRO GALVANIZADO, PARA O CENTRO DE MEDIÇÃO DE GÁS DE EDIFÍCIO RESIDENCIAL, COM 4 PAVIMENTOS, 16 UNIDADES HABITACIONAIS, DN 50 (2) - FORNECIMENTO E INSTALAÇÃO. AF_10/2020</t>
  </si>
  <si>
    <t>12.852,85</t>
  </si>
  <si>
    <t>98294</t>
  </si>
  <si>
    <t>CABO ELETRÔNICO CATEGORIA 5E, INSTALADO EM EDIFICAÇÃO RESIDENCIAL - FORNECIMENTO E INSTALAÇÃO. AF_11/2019</t>
  </si>
  <si>
    <t>98295</t>
  </si>
  <si>
    <t>CABO ELETRÔNICO CATEGORIA 5E, INSTALADO EM EDIFICAÇÃO INSTITUCIONAL - FORNECIMENTO E INSTALAÇÃO. AF_11/2019</t>
  </si>
  <si>
    <t>98296</t>
  </si>
  <si>
    <t>CABO ELETRÔNICO CATEGORIA 6, INSTALADO EM EDIFICAÇÃO RESIDENCIAL - FORNECIMENTO E INSTALAÇÃO. AF_11/2019</t>
  </si>
  <si>
    <t>6,96</t>
  </si>
  <si>
    <t>98297</t>
  </si>
  <si>
    <t>CABO ELETRÔNICO CATEGORIA 6, INSTALADO EM EDIFICAÇÃO INSTITUCIONAL - FORNECIMENTO E INSTALAÇÃO. AF_11/2019</t>
  </si>
  <si>
    <t>5,91</t>
  </si>
  <si>
    <t>98301</t>
  </si>
  <si>
    <t>PATCH PANEL 24 PORTAS, CATEGORIA 5E - FORNECIMENTO E INSTALAÇÃO. AF_11/2019</t>
  </si>
  <si>
    <t>873,78</t>
  </si>
  <si>
    <t>98302</t>
  </si>
  <si>
    <t>PATCH PANEL 24 PORTAS, CATEGORIA 6 - FORNECIMENTO E INSTALAÇÃO. AF_11/2019</t>
  </si>
  <si>
    <t>1.304,70</t>
  </si>
  <si>
    <t>98304</t>
  </si>
  <si>
    <t>PATCH PANEL 48 PORTAS, CATEGORIA 6 - FORNECIMENTO E INSTALAÇÃO. AF_11/2019</t>
  </si>
  <si>
    <t>1.947,15</t>
  </si>
  <si>
    <t>98307</t>
  </si>
  <si>
    <t>TOMADA DE REDE RJ45 - FORNECIMENTO E INSTALAÇÃO. AF_11/2019</t>
  </si>
  <si>
    <t>41,85</t>
  </si>
  <si>
    <t>98308</t>
  </si>
  <si>
    <t>TOMADA PARA TELEFONE RJ11 - FORNECIMENTO E INSTALAÇÃO. AF_11/2019</t>
  </si>
  <si>
    <t>98593</t>
  </si>
  <si>
    <t>PATCH PANEL 48 PORTAS, CATEGORIA 5E - FORNECIMENTO E INSTALAÇÃO. AF_11/2019</t>
  </si>
  <si>
    <t>1.432,46</t>
  </si>
  <si>
    <t>89355</t>
  </si>
  <si>
    <t>TUBO, PVC, SOLDÁVEL, DN 20MM, INSTALADO EM RAMAL OU SUB-RAMAL DE ÁGUA - FORNECIMENTO E INSTALAÇÃO. AF_12/2014</t>
  </si>
  <si>
    <t>17,47</t>
  </si>
  <si>
    <t>89356</t>
  </si>
  <si>
    <t>TUBO, PVC, SOLDÁVEL, DN 25MM, INSTALADO EM RAMAL OU SUB-RAMAL DE ÁGUA - FORNECIMENTO E INSTALAÇÃO. AF_12/2014</t>
  </si>
  <si>
    <t>20,82</t>
  </si>
  <si>
    <t>89357</t>
  </si>
  <si>
    <t>TUBO, PVC, SOLDÁVEL, DN 32MM, INSTALADO EM RAMAL OU SUB-RAMAL DE ÁGUA - FORNECIMENTO E INSTALAÇÃO. AF_12/2014</t>
  </si>
  <si>
    <t>31,31</t>
  </si>
  <si>
    <t>89401</t>
  </si>
  <si>
    <t>TUBO, PVC, SOLDÁVEL, DN 20MM, INSTALADO EM RAMAL DE DISTRIBUIÇÃO DE ÁGUA - FORNECIMENTO E INSTALAÇÃO. AF_12/2014</t>
  </si>
  <si>
    <t>8,63</t>
  </si>
  <si>
    <t>89402</t>
  </si>
  <si>
    <t>TUBO, PVC, SOLDÁVEL, DN 25MM, INSTALADO EM RAMAL DE DISTRIBUIÇÃO DE ÁGUA - FORNECIMENTO E INSTALAÇÃO. AF_12/2014</t>
  </si>
  <si>
    <t>10,63</t>
  </si>
  <si>
    <t>89403</t>
  </si>
  <si>
    <t>TUBO, PVC, SOLDÁVEL, DN 32MM, INSTALADO EM RAMAL DE DISTRIBUIÇÃO DE ÁGUA - FORNECIMENTO E INSTALAÇÃO. AF_12/2014</t>
  </si>
  <si>
    <t>19,12</t>
  </si>
  <si>
    <t>89446</t>
  </si>
  <si>
    <t>TUBO, PVC, SOLDÁVEL, DN 25MM, INSTALADO EM PRUMADA DE ÁGUA - FORNECIMENTO E INSTALAÇÃO. AF_12/2014</t>
  </si>
  <si>
    <t>89447</t>
  </si>
  <si>
    <t>TUBO, PVC, SOLDÁVEL, DN 32MM, INSTALADO EM PRUMADA DE ÁGUA - FORNECIMENTO E INSTALAÇÃO. AF_12/2014</t>
  </si>
  <si>
    <t>14,58</t>
  </si>
  <si>
    <t>89448</t>
  </si>
  <si>
    <t>TUBO, PVC, SOLDÁVEL, DN 40MM, INSTALADO EM PRUMADA DE ÁGUA - FORNECIMENTO E INSTALAÇÃO. AF_12/2014</t>
  </si>
  <si>
    <t>21,05</t>
  </si>
  <si>
    <t>89449</t>
  </si>
  <si>
    <t>TUBO, PVC, SOLDÁVEL, DN 50MM, INSTALADO EM PRUMADA DE ÁGUA - FORNECIMENTO E INSTALAÇÃO. AF_12/2014</t>
  </si>
  <si>
    <t>24,17</t>
  </si>
  <si>
    <t>89450</t>
  </si>
  <si>
    <t>TUBO, PVC, SOLDÁVEL, DN 60MM, INSTALADO EM PRUMADA DE ÁGUA - FORNECIMENTO E INSTALAÇÃO. AF_12/2014</t>
  </si>
  <si>
    <t>40,21</t>
  </si>
  <si>
    <t>89451</t>
  </si>
  <si>
    <t>TUBO, PVC, SOLDÁVEL, DN 75MM, INSTALADO EM PRUMADA DE ÁGUA - FORNECIMENTO E INSTALAÇÃO. AF_12/2014</t>
  </si>
  <si>
    <t>66,79</t>
  </si>
  <si>
    <t>89452</t>
  </si>
  <si>
    <t>TUBO, PVC, SOLDÁVEL, DN 85MM, INSTALADO EM PRUMADA DE ÁGUA - FORNECIMENTO E INSTALAÇÃO. AF_12/2014</t>
  </si>
  <si>
    <t>83,23</t>
  </si>
  <si>
    <t>89508</t>
  </si>
  <si>
    <t>TUBO PVC, SÉRIE R, ÁGUA PLUVIAL, DN 40 MM, FORNECIDO E INSTALADO EM RAMAL DE ENCAMINHAMENTO. AF_12/2014</t>
  </si>
  <si>
    <t>89509</t>
  </si>
  <si>
    <t>TUBO PVC, SÉRIE R, ÁGUA PLUVIAL, DN 50 MM, FORNECIDO E INSTALADO EM RAMAL DE ENCAMINHAMENTO. AF_12/2014</t>
  </si>
  <si>
    <t>89511</t>
  </si>
  <si>
    <t>TUBO PVC, SÉRIE R, ÁGUA PLUVIAL, DN 75 MM, FORNECIDO E INSTALADO EM RAMAL DE ENCAMINHAMENTO. AF_12/2014</t>
  </si>
  <si>
    <t>49,71</t>
  </si>
  <si>
    <t>89512</t>
  </si>
  <si>
    <t>TUBO PVC, SÉRIE R, ÁGUA PLUVIAL, DN 100 MM, FORNECIDO E INSTALADO EM RAMAL DE ENCAMINHAMENTO. AF_12/2014</t>
  </si>
  <si>
    <t>89576</t>
  </si>
  <si>
    <t>TUBO PVC, SÉRIE R, ÁGUA PLUVIAL, DN 75 MM, FORNECIDO E INSTALADO EM CONDUTORES VERTICAIS DE ÁGUAS PLUVIAIS. AF_12/2014</t>
  </si>
  <si>
    <t>34,86</t>
  </si>
  <si>
    <t>89578</t>
  </si>
  <si>
    <t>TUBO PVC, SÉRIE R, ÁGUA PLUVIAL, DN 100 MM, FORNECIDO E INSTALADO EM CONDUTORES VERTICAIS DE ÁGUAS PLUVIAIS. AF_12/2014</t>
  </si>
  <si>
    <t>60,44</t>
  </si>
  <si>
    <t>89580</t>
  </si>
  <si>
    <t>TUBO PVC, SÉRIE R, ÁGUA PLUVIAL, DN 150 MM, FORNECIDO E INSTALADO EM CONDUTORES VERTICAIS DE ÁGUAS PLUVIAIS. AF_12/2014</t>
  </si>
  <si>
    <t>120,41</t>
  </si>
  <si>
    <t>89633</t>
  </si>
  <si>
    <t>TUBO, CPVC, SOLDÁVEL, DN 15MM, INSTALADO EM RAMAL OU SUB-RAMAL DE ÁGUA - FORNECIMENTO E INSTALAÇÃO. AF_12/2014</t>
  </si>
  <si>
    <t>23,53</t>
  </si>
  <si>
    <t>89634</t>
  </si>
  <si>
    <t>TUBO, CPVC, SOLDÁVEL, DN 22MM, INSTALADO EM RAMAL OU SUB-RAMAL DE ÁGUA - FORNECIMENTO E INSTALAÇÃO. AF_12/2014</t>
  </si>
  <si>
    <t>36,41</t>
  </si>
  <si>
    <t>89635</t>
  </si>
  <si>
    <t>TUBO, CPVC, SOLDÁVEL, DN 28MM, INSTALADO EM RAMAL OU SUB-RAMAL DE ÁGUA - FORNECIMENTO E INSTALAÇÃO. AF_12/2014</t>
  </si>
  <si>
    <t>52,80</t>
  </si>
  <si>
    <t>89636</t>
  </si>
  <si>
    <t>TUBO, CPVC, SOLDÁVEL, DN 35MM, INSTALADO EM RAMAL OU SUB-RAMAL DE ÁGUA  FORNECIMENTO E INSTALAÇÃO. AF_12/2014</t>
  </si>
  <si>
    <t>64,44</t>
  </si>
  <si>
    <t>89711</t>
  </si>
  <si>
    <t>TUBO PVC, SERIE NORMAL, ESGOTO PREDIAL, DN 40 MM, FORNECIDO E INSTALADO EM RAMAL DE DESCARGA OU RAMAL DE ESGOTO SANITÁRIO. AF_12/2014</t>
  </si>
  <si>
    <t>20,05</t>
  </si>
  <si>
    <t>89712</t>
  </si>
  <si>
    <t>TUBO PVC, SERIE NORMAL, ESGOTO PREDIAL, DN 50 MM, FORNECIDO E INSTALADO EM RAMAL DE DESCARGA OU RAMAL DE ESGOTO SANITÁRIO. AF_12/2014</t>
  </si>
  <si>
    <t>30,88</t>
  </si>
  <si>
    <t>89713</t>
  </si>
  <si>
    <t>TUBO PVC, SERIE NORMAL, ESGOTO PREDIAL, DN 75 MM, FORNECIDO E INSTALADO EM RAMAL DE DESCARGA OU RAMAL DE ESGOTO SANITÁRIO. AF_12/2014</t>
  </si>
  <si>
    <t>46,73</t>
  </si>
  <si>
    <t>89714</t>
  </si>
  <si>
    <t>TUBO PVC, SERIE NORMAL, ESGOTO PREDIAL, DN 100 MM, FORNECIDO E INSTALADO EM RAMAL DE DESCARGA OU RAMAL DE ESGOTO SANITÁRIO. AF_12/2014</t>
  </si>
  <si>
    <t>58,78</t>
  </si>
  <si>
    <t>89716</t>
  </si>
  <si>
    <t>TUBO, CPVC, SOLDÁVEL, DN 22MM, INSTALADO EM RAMAL DE DISTRIBUIÇÃO DE ÁGUA - FORNECIMENTO E INSTALAÇÃO. AF_12/2014</t>
  </si>
  <si>
    <t>27,18</t>
  </si>
  <si>
    <t>89717</t>
  </si>
  <si>
    <t>TUBO, CPVC, SOLDÁVEL, DN 28MM, INSTALADO EM RAMAL DE DISTRIBUIÇÃO DE ÁGUA - FORNECIMENTO E INSTALAÇÃO. AF_12/2014</t>
  </si>
  <si>
    <t>41,92</t>
  </si>
  <si>
    <t>89770</t>
  </si>
  <si>
    <t>TUBO, CPVC, SOLDÁVEL, DN 35MM, INSTALADO EM PRUMADA DE ÁGUA  FORNECIMENTO E INSTALAÇÃO. AF_12/2014</t>
  </si>
  <si>
    <t>46,84</t>
  </si>
  <si>
    <t>89771</t>
  </si>
  <si>
    <t>TUBO, CPVC, SOLDÁVEL, DN 42MM, INSTALADO EM PRUMADA DE ÁGUA  FORNECIMENTO E INSTALAÇÃO. AF_12/2014</t>
  </si>
  <si>
    <t>89773</t>
  </si>
  <si>
    <t>TUBO, CPVC, SOLDÁVEL, DN 73MM, INSTALADO EM PRUMADA DE ÁGUA  FORNECIMENTO E INSTALAÇÃO. AF_12/2014</t>
  </si>
  <si>
    <t>149,27</t>
  </si>
  <si>
    <t>89775</t>
  </si>
  <si>
    <t>TUBO, CPVC, SOLDÁVEL, DN 89MM, INSTALADO EM PRUMADA DE ÁGUA  FORNECIMENTO E INSTALAÇÃO. AF_12/2014</t>
  </si>
  <si>
    <t>235,93</t>
  </si>
  <si>
    <t>89798</t>
  </si>
  <si>
    <t>TUBO PVC, SERIE NORMAL, ESGOTO PREDIAL, DN 50 MM, FORNECIDO E INSTALADO EM PRUMADA DE ESGOTO SANITÁRIO OU VENTILAÇÃO. AF_12/2014</t>
  </si>
  <si>
    <t>16,40</t>
  </si>
  <si>
    <t>89799</t>
  </si>
  <si>
    <t>TUBO PVC, SERIE NORMAL, ESGOTO PREDIAL, DN 75 MM, FORNECIDO E INSTALADO EM PRUMADA DE ESGOTO SANITÁRIO OU VENTILAÇÃO. AF_12/2014</t>
  </si>
  <si>
    <t>25,81</t>
  </si>
  <si>
    <t>89800</t>
  </si>
  <si>
    <t>TUBO PVC, SERIE NORMAL, ESGOTO PREDIAL, DN 100 MM, FORNECIDO E INSTALADO EM PRUMADA DE ESGOTO SANITÁRIO OU VENTILAÇÃO. AF_12/2014</t>
  </si>
  <si>
    <t>31,10</t>
  </si>
  <si>
    <t>89848</t>
  </si>
  <si>
    <t>TUBO PVC, SERIE NORMAL, ESGOTO PREDIAL, DN 100 MM, FORNECIDO E INSTALADO EM SUBCOLETOR AÉREO DE ESGOTO SANITÁRIO. AF_12/2014</t>
  </si>
  <si>
    <t>35,87</t>
  </si>
  <si>
    <t>89849</t>
  </si>
  <si>
    <t>TUBO PVC, SERIE NORMAL, ESGOTO PREDIAL, DN 150 MM, FORNECIDO E INSTALADO EM SUBCOLETOR AÉREO DE ESGOTO SANITÁRIO. AF_12/2014</t>
  </si>
  <si>
    <t>75,67</t>
  </si>
  <si>
    <t>89865</t>
  </si>
  <si>
    <t>TUBO, PVC, SOLDÁVEL, DN 25MM, INSTALADO EM DRENO DE AR-CONDICIONADO - FORNECIMENTO E INSTALAÇÃO. AF_12/2014</t>
  </si>
  <si>
    <t>91784</t>
  </si>
  <si>
    <t>(COMPOSIÇÃO REPRESENTATIVA) DO SERVIÇO DE INSTALAÇÃO DE TUBOS DE PVC, SOLDÁVEL, ÁGUA FRIA, DN 20 MM (INSTALADO EM RAMAL, SUB-RAMAL OU RAMAL DE DISTRIBUIÇÃO), INCLUSIVE CONEXÕES, CORTES E FIXAÇÕES, PARA PRÉDIOS. AF_10/2015</t>
  </si>
  <si>
    <t>41,58</t>
  </si>
  <si>
    <t>91785</t>
  </si>
  <si>
    <t>(COMPOSIÇÃO REPRESENTATIVA) DO SERVIÇO DE INSTALAÇÃO DE TUBOS DE PVC, SOLDÁVEL, ÁGUA FRIA, DN 25 MM (INSTALADO EM RAMAL, SUB-RAMAL, RAMAL DE DISTRIBUIÇÃO OU PRUMADA), INCLUSIVE CONEXÕES, CORTES E FIXAÇÕES, PARA PRÉDIOS. AF_10/2015</t>
  </si>
  <si>
    <t>41,55</t>
  </si>
  <si>
    <t>91786</t>
  </si>
  <si>
    <t>(COMPOSIÇÃO REPRESENTATIVA) DO SERVIÇO DE INSTALAÇÃO TUBOS DE PVC, SOLDÁVEL, ÁGUA FRIA, DN 32 MM (INSTALADO EM RAMAL, SUB-RAMAL, RAMAL DE DISTRIBUIÇÃO OU PRUMADA), INCLUSIVE CONEXÕES, CORTES E FIXAÇÕES, PARA PRÉDIOS. AF_10/2015</t>
  </si>
  <si>
    <t>33,71</t>
  </si>
  <si>
    <t>91787</t>
  </si>
  <si>
    <t>(COMPOSIÇÃO REPRESENTATIVA) DO SERVIÇO DE INSTALAÇÃO DE TUBOS DE PVC, SOLDÁVEL, ÁGUA FRIA, DN 40 MM (INSTALADO EM PRUMADA), INCLUSIVE CONEXÕES, CORTES E FIXAÇÕES, PARA PRÉDIOS. AF_10/2015</t>
  </si>
  <si>
    <t>91788</t>
  </si>
  <si>
    <t>(COMPOSIÇÃO REPRESENTATIVA) DO SERVIÇO DE INSTALAÇÃO DE TUBOS DE PVC, SOLDÁVEL, ÁGUA FRIA, DN 50 MM (INSTALADO EM PRUMADA), INCLUSIVE CONEXÕES, CORTES E FIXAÇÕES, PARA PRÉDIOS. AF_10/2015</t>
  </si>
  <si>
    <t>52,47</t>
  </si>
  <si>
    <t>91789</t>
  </si>
  <si>
    <t>(COMPOSIÇÃO REPRESENTATIVA) DO SERVIÇO DE INSTALAÇÃO DE TUBOS DE PVC, SÉRIE R, ÁGUA PLUVIAL, DN 75 MM (INSTALADO EM RAMAL DE ENCAMINHAMENTO, OU CONDUTORES VERTICAIS), INCLUSIVE CONEXÕES, CORTE E FIXAÇÕES, PARA PRÉDIOS. AF_10/2015</t>
  </si>
  <si>
    <t>59,28</t>
  </si>
  <si>
    <t>91790</t>
  </si>
  <si>
    <t>(COMPOSIÇÃO REPRESENTATIVA) DO SERVIÇO DE INSTALAÇÃO DE TUBOS DE PVC, SÉRIE R, ÁGUA PLUVIAL, DN 100 MM (INSTALADO EM RAMAL DE ENCAMINHAMENTO, OU CONDUTORES VERTICAIS), INCLUSIVE CONEXÕES, CORTES E FIXAÇÕES, PARA PRÉDIOS. AF_10/2015</t>
  </si>
  <si>
    <t>88,50</t>
  </si>
  <si>
    <t>91791</t>
  </si>
  <si>
    <t>(COMPOSIÇÃO REPRESENTATIVA) DO SERVIÇO DE INSTALAÇÃO DE TUBOS DE PVC, SÉRIE R, ÁGUA PLUVIAL, DN 150 MM (INSTALADO EM CONDUTORES VERTICAIS), INCLUSIVE CONEXÕES, CORTES E FIXAÇÕES, PARA PRÉDIOS. AF_10/2015</t>
  </si>
  <si>
    <t>127,40</t>
  </si>
  <si>
    <t>91792</t>
  </si>
  <si>
    <t>(COMPOSIÇÃO REPRESENTATIVA) DO SERVIÇO DE INSTALAÇÃO DE TUBO DE PVC, SÉRIE NORMAL, ESGOTO PREDIAL, DN 40 MM (INSTALADO EM RAMAL DE DESCARGA OU RAMAL DE ESGOTO SANITÁRIO), INCLUSIVE CONEXÕES, CORTES E FIXAÇÕES, PARA PRÉDIOS. AF_10/2015</t>
  </si>
  <si>
    <t>56,56</t>
  </si>
  <si>
    <t>91793</t>
  </si>
  <si>
    <t>(COMPOSIÇÃO REPRESENTATIVA) DO SERVIÇO DE INSTALAÇÃO DE TUBO DE PVC, SÉRIE NORMAL, ESGOTO PREDIAL, DN 50 MM (INSTALADO EM RAMAL DE DESCARGA OU RAMAL DE ESGOTO SANITÁRIO), INCLUSIVE CONEXÕES, CORTES E FIXAÇÕES PARA, PRÉDIOS. AF_10/2015</t>
  </si>
  <si>
    <t>89,14</t>
  </si>
  <si>
    <t>91794</t>
  </si>
  <si>
    <t>(COMPOSIÇÃO REPRESENTATIVA) DO SERVIÇO DE INST. TUBO PVC, SÉRIE N, ESGOTO PREDIAL, DN 75 MM, (INST. EM RAMAL DE DESCARGA, RAMAL DE ESG. SANITÁRIO, PRUMADA DE ESG. SANITÁRIO OU VENTILAÇÃO), INCL. CONEXÕES, CORTES E FIXAÇÕES, P/ PRÉDIOS. AF_10/2015</t>
  </si>
  <si>
    <t>47,81</t>
  </si>
  <si>
    <t>91795</t>
  </si>
  <si>
    <t>(COMPOSIÇÃO REPRESENTATIVA) DO SERVIÇO DE INST. TUBO PVC, SÉRIE N, ESGOTO PREDIAL, 100 MM (INST. RAMAL DESCARGA, RAMAL DE ESG. SANIT., PRUMADA ESG. SANIT., VENTILAÇÃO OU SUB-COLETOR AÉREO), INCL. CONEXÕES E CORTES, FIXAÇÕES, P/ PRÉDIOS. AF_10/2015</t>
  </si>
  <si>
    <t>77,40</t>
  </si>
  <si>
    <t>91796</t>
  </si>
  <si>
    <t>(COMPOSIÇÃO REPRESENTATIVA) DO SERVIÇO DE INSTALAÇÃO DE TUBO DE PVC, SÉRIE NORMAL, ESGOTO PREDIAL, DN 150 MM (INSTALADO EM SUB-COLETOR AÉREO), INCLUSIVE CONEXÕES, CORTES E FIXAÇÕES, PARA PRÉDIOS. AF_10/2015</t>
  </si>
  <si>
    <t>88,93</t>
  </si>
  <si>
    <t>92275</t>
  </si>
  <si>
    <t>TUBO EM COBRE RÍGIDO, DN 22 MM, CLASSE E, SEM ISOLAMENTO, INSTALADO EM PRUMADA  FORNECIMENTO E INSTALAÇÃO. AF_12/2015</t>
  </si>
  <si>
    <t>63,87</t>
  </si>
  <si>
    <t>92276</t>
  </si>
  <si>
    <t>TUBO EM COBRE RÍGIDO, DN 28 MM, CLASSE E, SEM ISOLAMENTO, INSTALADO EM PRUMADA  FORNECIMENTO E INSTALAÇÃO. AF_12/2015</t>
  </si>
  <si>
    <t>80,91</t>
  </si>
  <si>
    <t>92277</t>
  </si>
  <si>
    <t>TUBO EM COBRE RÍGIDO, DN 35 MM, CLASSE E, SEM ISOLAMENTO, INSTALADO EM PRUMADA  FORNECIMENTO E INSTALAÇÃO. AF_12/2015</t>
  </si>
  <si>
    <t>116,91</t>
  </si>
  <si>
    <t>92278</t>
  </si>
  <si>
    <t>TUBO EM COBRE RÍGIDO, DN 42 MM, CLASSE E, SEM ISOLAMENTO, INSTALADO EM PRUMADA  FORNECIMENTO E INSTALAÇÃO. AF_12/2015</t>
  </si>
  <si>
    <t>157,37</t>
  </si>
  <si>
    <t>92279</t>
  </si>
  <si>
    <t>TUBO EM COBRE RÍGIDO, DN 54 MM, CLASSE E, SEM ISOLAMENTO, INSTALADO EM PRUMADA  FORNECIMENTO E INSTALAÇÃO. AF_12/2015</t>
  </si>
  <si>
    <t>227,59</t>
  </si>
  <si>
    <t>92280</t>
  </si>
  <si>
    <t>TUBO EM COBRE RÍGIDO, DN 66 MM, CLASSE E, SEM ISOLAMENTO, INSTALADO EM PRUMADA  FORNECIMENTO E INSTALAÇÃO. AF_12/2015</t>
  </si>
  <si>
    <t>319,79</t>
  </si>
  <si>
    <t>92281</t>
  </si>
  <si>
    <t>TUBO EM COBRE RÍGIDO, DN 22 MM, CLASSE E, COM ISOLAMENTO, INSTALADO EM PRUMADA  FORNECIMENTO E INSTALAÇÃO. AF_12/2015</t>
  </si>
  <si>
    <t>141,84</t>
  </si>
  <si>
    <t>92282</t>
  </si>
  <si>
    <t>TUBO EM COBRE RÍGIDO, DN 28 MM, CLASSE E, COM ISOLAMENTO, INSTALADO EM PRUMADA  FORNECIMENTO E INSTALAÇÃO. AF_12/2015</t>
  </si>
  <si>
    <t>162,02</t>
  </si>
  <si>
    <t>92283</t>
  </si>
  <si>
    <t>TUBO EM COBRE RÍGIDO, DN 35 MM, CLASSE E, COM ISOLAMENTO, INSTALADO EM PRUMADA  FORNECIMENTO E INSTALAÇÃO. AF_12/2015</t>
  </si>
  <si>
    <t>219,47</t>
  </si>
  <si>
    <t>92284</t>
  </si>
  <si>
    <t>TUBO EM COBRE RÍGIDO, DN 42 MM, CLASSE E, COM ISOLAMENTO, INSTALADO EM PRUMADA  FORNECIMENTO E INSTALAÇÃO. AF_12/2015</t>
  </si>
  <si>
    <t>274,35</t>
  </si>
  <si>
    <t>92285</t>
  </si>
  <si>
    <t>TUBO EM COBRE RÍGIDO, DN 54 MM, CLASSE E, COM ISOLAMENTO, INSTALADO EM PRUMADA  FORNECIMENTO E INSTALAÇÃO. AF_12/2015</t>
  </si>
  <si>
    <t>367,37</t>
  </si>
  <si>
    <t>92286</t>
  </si>
  <si>
    <t>TUBO EM COBRE RÍGIDO, DN 66 MM, CLASSE E, COM ISOLAMENTO, INSTALADO EM PRUMADA  FORNECIMENTO E INSTALAÇÃO. AF_12/2015</t>
  </si>
  <si>
    <t>461,54</t>
  </si>
  <si>
    <t>92305</t>
  </si>
  <si>
    <t>TUBO EM COBRE RÍGIDO, DN 15 MM, CLASSE E, SEM ISOLAMENTO, INSTALADO EM RAMAL DE DISTRIBUIÇÃO  FORNECIMENTO E INSTALAÇÃO. AF_12/2015</t>
  </si>
  <si>
    <t>92306</t>
  </si>
  <si>
    <t>TUBO EM COBRE RÍGIDO, DN 22 MM, CLASSE E, SEM ISOLAMENTO, INSTALADO EM RAMAL DE DISTRIBUIÇÃO  FORNECIMENTO E INSTALAÇÃO. AF_12/2015</t>
  </si>
  <si>
    <t>67,66</t>
  </si>
  <si>
    <t>92307</t>
  </si>
  <si>
    <t>TUBO EM COBRE RÍGIDO, DN 28 MM, CLASSE E, SEM ISOLAMENTO, INSTALADO EM RAMAL DE DISTRIBUIÇÃO  FORNECIMENTO E INSTALAÇÃO. AF_12/2015</t>
  </si>
  <si>
    <t>84,99</t>
  </si>
  <si>
    <t>92308</t>
  </si>
  <si>
    <t>TUBO EM COBRE RÍGIDO, DN 15 MM, CLASSE E, COM ISOLAMENTO, INSTALADO EM RAMAL DE DISTRIBUIÇÃO  FORNECIMENTO E INSTALAÇÃO. AF_12/2015</t>
  </si>
  <si>
    <t>59,29</t>
  </si>
  <si>
    <t>92309</t>
  </si>
  <si>
    <t>TUBO EM COBRE RÍGIDO, DN 22 MM, CLASSE E, COM ISOLAMENTO, INSTALADO EM RAMAL DE DISTRIBUIÇÃO  FORNECIMENTO E INSTALAÇÃO. AF_12/2015</t>
  </si>
  <si>
    <t>147,55</t>
  </si>
  <si>
    <t>92310</t>
  </si>
  <si>
    <t>TUBO EM COBRE RÍGIDO, DN 28 MM, CLASSE E, COM ISOLAMENTO, INSTALADO EM RAMAL DE DISTRIBUIÇÃO  FORNECIMENTO E INSTALAÇÃO. AF_12/2015</t>
  </si>
  <si>
    <t>168,05</t>
  </si>
  <si>
    <t>92320</t>
  </si>
  <si>
    <t>TUBO EM COBRE RÍGIDO, DN 15 MM, CLASSE E, SEM ISOLAMENTO, INSTALADO EM RAMAL E SUB-RAMAL  FORNECIMENTO E INSTALAÇÃO. AF_12/2015</t>
  </si>
  <si>
    <t>49,28</t>
  </si>
  <si>
    <t>92321</t>
  </si>
  <si>
    <t>TUBO EM COBRE RÍGIDO, DN 22 MM, CLASSE E, SEM ISOLAMENTO, INSTALADO EM RAMAL E SUB-RAMAL  FORNECIMENTO E INSTALAÇÃO. AF_12/2015</t>
  </si>
  <si>
    <t>81,98</t>
  </si>
  <si>
    <t>92322</t>
  </si>
  <si>
    <t>TUBO EM COBRE RÍGIDO, DN 28 MM, CLASSE E, SEM ISOLAMENTO, INSTALADO EM RAMAL E SUB-RAMAL  FORNECIMENTO E INSTALAÇÃO. AF_12/2015</t>
  </si>
  <si>
    <t>104,50</t>
  </si>
  <si>
    <t>92323</t>
  </si>
  <si>
    <t>TUBO EM COBRE RÍGIDO, DN 15 MM, CLASSE E, COM ISOLAMENTO, INSTALADO EM RAMAL E SUB-RAMAL  FORNECIMENTO E INSTALAÇÃO. AF_12/2015</t>
  </si>
  <si>
    <t>65,63</t>
  </si>
  <si>
    <t>92324</t>
  </si>
  <si>
    <t>TUBO EM COBRE RÍGIDO, DN 22 MM, CLASSE E, COM ISOLAMENTO, INSTALADO EM RAMAL E SUB-RAMAL  FORNECIMENTO E INSTALAÇÃO. AF_12/2015</t>
  </si>
  <si>
    <t>159,88</t>
  </si>
  <si>
    <t>92325</t>
  </si>
  <si>
    <t>TUBO EM COBRE RÍGIDO, DN 28 MM, CLASSE E, COM ISOLAMENTO, INSTALADO EM RAMAL E SUB-RAMAL  FORNECIMENTO E INSTALAÇÃO. AF_12/2015</t>
  </si>
  <si>
    <t>185,54</t>
  </si>
  <si>
    <t>92335</t>
  </si>
  <si>
    <t>TUBO DE AÇO GALVANIZADO COM COSTURA, CLASSE MÉDIA, CONEXÃO RANHURADA, DN 50 (2"), INSTALADO EM PRUMADAS - FORNECIMENTO E INSTALAÇÃO. AF_10/2020</t>
  </si>
  <si>
    <t>125,15</t>
  </si>
  <si>
    <t>92336</t>
  </si>
  <si>
    <t>TUBO DE AÇO GALVANIZADO COM COSTURA, CLASSE MÉDIA, CONEXÃO RANHURADA, DN 65 (2 1/2"), INSTALADO EM PRUMADAS - FORNECIMENTO E INSTALAÇÃO. AF_10/2020</t>
  </si>
  <si>
    <t>154,38</t>
  </si>
  <si>
    <t>92337</t>
  </si>
  <si>
    <t>TUBO DE AÇO GALVANIZADO COM COSTURA, CLASSE MÉDIA, CONEXÃO RANHURADA, DN 80 (3"), INSTALADO EM PRUMADAS - FORNECIMENTO E INSTALAÇÃO. AF_10/2020</t>
  </si>
  <si>
    <t>205,18</t>
  </si>
  <si>
    <t>92338</t>
  </si>
  <si>
    <t>TUBO DE AÇO PRETO SEM COSTURA, CONEXÃO SOLDADA, DN 50 (2"), INSTALADO EM PRUMADAS - FORNECIMENTO E INSTALAÇÃO. AF_10/2020</t>
  </si>
  <si>
    <t>175,66</t>
  </si>
  <si>
    <t>92339</t>
  </si>
  <si>
    <t>TUBO DE AÇO PRETO SEM COSTURA, CONEXÃO SOLDADA, DN 65 (2 1/2"), INSTALADO EM PRUMADAS - FORNECIMENTO E INSTALAÇÃO. AF_10/2020</t>
  </si>
  <si>
    <t>271,51</t>
  </si>
  <si>
    <t>92341</t>
  </si>
  <si>
    <t>TUBO DE AÇO GALVANIZADO COM COSTURA, CLASSE MÉDIA, DN 50 (2"), CONEXÃO ROSQUEADA, INSTALADO EM PRUMADAS - FORNECIMENTO E INSTALAÇÃO. AF_10/2020</t>
  </si>
  <si>
    <t>133,45</t>
  </si>
  <si>
    <t>92342</t>
  </si>
  <si>
    <t>TUBO DE AÇO GALVANIZADO COM COSTURA, CLASSE MÉDIA, DN 65 (2 1/2"), CONEXÃO ROSQUEADA, INSTALADO EM PRUMADAS - FORNECIMENTO E INSTALAÇÃO. AF_10/2020</t>
  </si>
  <si>
    <t>162,74</t>
  </si>
  <si>
    <t>92343</t>
  </si>
  <si>
    <t>TUBO DE AÇO GALVANIZADO COM COSTURA, CLASSE MÉDIA, DN 80 (3"), CONEXÃO ROSQUEADA, INSTALADO EM PRUMADAS - FORNECIMENTO E INSTALAÇÃO. AF_10/2020</t>
  </si>
  <si>
    <t>213,64</t>
  </si>
  <si>
    <t>92359</t>
  </si>
  <si>
    <t>TUBO DE AÇO PRETO SEM COSTURA, CONEXÃO SOLDADA, DN 25 (1"), INSTALADO EM REDE DE ALIMENTAÇÃO PARA HIDRANTE - FORNECIMENTO E INSTALAÇÃO. AF_10/2020</t>
  </si>
  <si>
    <t>87,11</t>
  </si>
  <si>
    <t>92360</t>
  </si>
  <si>
    <t>TUBO DE AÇO PRETO SEM COSTURA, CONEXÃO SOLDADA, DN 32 (1 1/4"), INSTALADO EM REDE DE ALIMENTAÇÃO PARA HIDRANTE - FORNECIMENTO E INSTALAÇÃO. AF_10/2020</t>
  </si>
  <si>
    <t>116,55</t>
  </si>
  <si>
    <t>92361</t>
  </si>
  <si>
    <t>TUBO DE AÇO PRETO SEM COSTURA, CONEXÃO SOLDADA, DN 50 (2"), INSTALADO EM REDE DE ALIMENTAÇÃO PARA HIDRANTE - FORNECIMENTO E INSTALAÇÃO. AF_10/2020</t>
  </si>
  <si>
    <t>156,83</t>
  </si>
  <si>
    <t>92362</t>
  </si>
  <si>
    <t>TUBO DE AÇO PRETO SEM COSTURA, CONEXÃO SOLDADA, DN 65 (2 1/2"), INSTALADO EM REDE DE ALIMENTAÇÃO PARA HIDRANTE - FORNECIMENTO E INSTALAÇÃO. AF_10/2020</t>
  </si>
  <si>
    <t>251,93</t>
  </si>
  <si>
    <t>92364</t>
  </si>
  <si>
    <t>TUBO DE AÇO GALVANIZADO COM COSTURA, CLASSE MÉDIA, DN 32 (1 1/4"), CONEXÃO ROSQUEADA, INSTALADO EM REDE DE ALIMENTAÇÃO PARA HIDRANTE - FORNECIMENTO E INSTALAÇÃO. AF_10/2020</t>
  </si>
  <si>
    <t>75,45</t>
  </si>
  <si>
    <t>92365</t>
  </si>
  <si>
    <t>TUBO DE AÇO GALVANIZADO COM COSTURA, CLASSE MÉDIA, DN 40 (1 1/2"), CONEXÃO ROSQUEADA, INSTALADO EM REDE DE ALIMENTAÇÃO PARA HIDRANTE - FORNECIMENTO E INSTALAÇÃO. AF_10/2020</t>
  </si>
  <si>
    <t>87,16</t>
  </si>
  <si>
    <t>92366</t>
  </si>
  <si>
    <t>TUBO DE AÇO GALVANIZADO COM COSTURA, CLASSE MÉDIA, DN 50 (2"), CONEXÃO ROSQUEADA, INSTALADO EM REDE DE ALIMENTAÇÃO PARA HIDRANTE - FORNECIMENTO E INSTALAÇÃO. AF_10/2020</t>
  </si>
  <si>
    <t>123,16</t>
  </si>
  <si>
    <t>92367</t>
  </si>
  <si>
    <t>TUBO DE AÇO GALVANIZADO COM COSTURA, CLASSE MÉDIA, DN 65 (2 1/2"), CONEXÃO ROSQUEADA, INSTALADO EM REDE DE ALIMENTAÇÃO PARA HIDRANTE - FORNECIMENTO E INSTALAÇÃO. AF_10/2020</t>
  </si>
  <si>
    <t>151,99</t>
  </si>
  <si>
    <t>92368</t>
  </si>
  <si>
    <t>TUBO DE AÇO GALVANIZADO COM COSTURA, CLASSE MÉDIA, DN 80 (3"), CONEXÃO ROSQUEADA, INSTALADO EM REDE DE ALIMENTAÇÃO PARA HIDRANTE - FORNECIMENTO E INSTALAÇÃO. AF_10/2020</t>
  </si>
  <si>
    <t>202,44</t>
  </si>
  <si>
    <t>92645</t>
  </si>
  <si>
    <t>TUBO DE AÇO PRETO SEM COSTURA, CONEXÃO SOLDADA, DN 25 (1"), INSTALADO EM REDE DE ALIMENTAÇÃO PARA SPRINKLER - FORNECIMENTO E INSTALAÇÃO. AF_10/2020</t>
  </si>
  <si>
    <t>90,50</t>
  </si>
  <si>
    <t>92646</t>
  </si>
  <si>
    <t>TUBO DE AÇO PRETO SEM COSTURA, CONEXÃO SOLDADA, DN 32 (1 1/4"), INSTALADO EM REDE DE ALIMENTAÇÃO PARA SPRINKLER - FORNECIMENTO E INSTALAÇÃO. AF_10/2020</t>
  </si>
  <si>
    <t>119,93</t>
  </si>
  <si>
    <t>92648</t>
  </si>
  <si>
    <t>TUBO DE AÇO PRETO SEM COSTURA, CONEXÃO SOLDADA, DN 40 (1 1/2"), INSTALADO EM REDE DE ALIMENTAÇÃO PARA SPRINKLER - FORNECIMENTO E INSTALAÇÃO. AF_10/2020</t>
  </si>
  <si>
    <t>131,09</t>
  </si>
  <si>
    <t>92649</t>
  </si>
  <si>
    <t>TUBO DE AÇO PRETO SEM COSTURA, CONEXÃO SOLDADA, DN 50 (2"), INSTALADO EM REDE DE ALIMENTAÇÃO PARA SPRINKLER - FORNECIMENTO E INSTALAÇÃO. AF_10/2020</t>
  </si>
  <si>
    <t>160,22</t>
  </si>
  <si>
    <t>92650</t>
  </si>
  <si>
    <t>TUBO DE AÇO PRETO SEM COSTURA, CONEXÃO SOLDADA, DN 65 (2 1/2"), INSTALADO EM REDE DE ALIMENTAÇÃO PARA SPRINKLER - FORNECIMENTO E INSTALAÇÃO. AF_10/2020</t>
  </si>
  <si>
    <t>255,31</t>
  </si>
  <si>
    <t>92652</t>
  </si>
  <si>
    <t>TUBO DE AÇO GALVANIZADO COM COSTURA, CLASSE MÉDIA, CONEXÃO ROSQUEADA, DN 32 (1 1/4"), INSTALADO EM REDE DE ALIMENTAÇÃO PARA SPRINKLER - FORNECIMENTO E INSTALAÇÃO. AF_10/2020</t>
  </si>
  <si>
    <t>79,25</t>
  </si>
  <si>
    <t>92653</t>
  </si>
  <si>
    <t>TUBO DE AÇO GALVANIZADO COM COSTURA, CLASSE MÉDIA, CONEXÃO ROSQUEADA, DN 40 (1 1/2"), INSTALADO EM REDE DE ALIMENTAÇÃO PARA SPRINKLER - FORNECIMENTO E INSTALAÇÃO. AF_10/2020</t>
  </si>
  <si>
    <t>90,99</t>
  </si>
  <si>
    <t>92654</t>
  </si>
  <si>
    <t>TUBO DE AÇO GALVANIZADO COM COSTURA, CLASSE MÉDIA, CONEXÃO ROSQUEADA, DN 50 (2"), INSTALADO EM REDE DE ALIMENTAÇÃO PARA SPRINKLER - FORNECIMENTO E INSTALAÇÃO. AF_10/2020</t>
  </si>
  <si>
    <t>127,00</t>
  </si>
  <si>
    <t>92655</t>
  </si>
  <si>
    <t>TUBO DE AÇO GALVANIZADO COM COSTURA, CLASSE MÉDIA, CONEXÃO ROSQUEADA, DN 65 (2 1/2"), INSTALADO EM REDE DE ALIMENTAÇÃO PARA SPRINKLER - FORNECIMENTO E INSTALAÇÃO. AF_10/2020</t>
  </si>
  <si>
    <t>155,90</t>
  </si>
  <si>
    <t>92656</t>
  </si>
  <si>
    <t>TUBO DE AÇO GALVANIZADO COM COSTURA, CLASSE MÉDIA, CONEXÃO ROSQUEADA, DN 80 (3"), INSTALADO EM REDE DE ALIMENTAÇÃO PARA SPRINKLER - FORNECIMENTO E INSTALAÇÃO. AF_10/2020</t>
  </si>
  <si>
    <t>206,35</t>
  </si>
  <si>
    <t>92687</t>
  </si>
  <si>
    <t>TUBO DE AÇO GALVANIZADO COM COSTURA, CLASSE MÉDIA, CONEXÃO ROSQUEADA, DN 15 (1/2"), INSTALADO EM RAMAIS E SUB-RAMAIS DE GÁS - FORNECIMENTO E INSTALAÇÃO. AF_10/2020</t>
  </si>
  <si>
    <t>35,70</t>
  </si>
  <si>
    <t>92688</t>
  </si>
  <si>
    <t>TUBO DE AÇO GALVANIZADO COM COSTURA, CLASSE MÉDIA, CONEXÃO ROSQUEADA, DN 20 (3/4"), INSTALADO EM RAMAIS E SUB-RAMAIS DE GÁS - FORNECIMENTO E INSTALAÇÃO. AF_10/2020</t>
  </si>
  <si>
    <t>48,22</t>
  </si>
  <si>
    <t>92689</t>
  </si>
  <si>
    <t>TUBO DE AÇO PRETO SEM COSTURA, CLASSE MÉDIA, CONEXÃO SOLDADA, DN 15 (1/2"), INSTALADO EM RAMAIS E SUB-RAMAIS DE GÁS - FORNECIMENTO E INSTALAÇÃO. AF_10/2020</t>
  </si>
  <si>
    <t>62,25</t>
  </si>
  <si>
    <t>92690</t>
  </si>
  <si>
    <t>TUBO DE AÇO PRETO SEM COSTURA, CLASSE MÉDIA, CONEXÃO SOLDADA, DN 20 (3/4"), INSTALADO EM RAMAIS E SUB-RAMAIS DE GÁS - FORNECIMENTO E INSTALAÇÃO. AF_10/2020</t>
  </si>
  <si>
    <t>87,67</t>
  </si>
  <si>
    <t>92691</t>
  </si>
  <si>
    <t>TUBO DE AÇO PRETO SEM COSTURA, CLASSE MÉDIA, CONEXÃO SOLDADA, DN 25 (1"), INSTALADO EM RAMAIS  E SUB-RAMAIS DE GÁS - FORNECIMENTO E INSTALAÇÃO. AF_10/2020</t>
  </si>
  <si>
    <t>109,60</t>
  </si>
  <si>
    <t>94462</t>
  </si>
  <si>
    <t>TUBO DE AÇO GALVANIZADO COM COSTURA, CLASSE MÉDIA, DN 50 (2), CONEXÃO ROSQUEADA, INSTALADO EM RESERVAÇÃO DE ÁGUA DE EDIFICAÇÃO QUE POSSUA RESERVATÓRIO DE FIBRA/FIBROCIMENTO  FORNECIMENTO E INSTALAÇÃO. AF_06/2016</t>
  </si>
  <si>
    <t>128,51</t>
  </si>
  <si>
    <t>94463</t>
  </si>
  <si>
    <t>TUBO DE AÇO GALVANIZADO COM COSTURA, CLASSE MÉDIA, DN 65 (2 1/2), CONEXÃO ROSQUEADA, INSTALADO EM RESERVAÇÃO DE ÁGUA DE EDIFICAÇÃO QUE POSSUA RESERVATÓRIO DE FIBRA/FIBROCIMENTO  FORNECIMENTO E INSTALAÇÃO. AF_06/2016</t>
  </si>
  <si>
    <t>154,00</t>
  </si>
  <si>
    <t>94464</t>
  </si>
  <si>
    <t>TUBO DE AÇO GALVANIZADO COM COSTURA, CLASSE MÉDIA, DN 80 (3), CONEXÃO ROSQUEADA, INSTALADO EM RESERVAÇÃO DE ÁGUA DE EDIFICAÇÃO QUE POSSUA RESERVATÓRIO DE FIBRA/FIBROCIMENTO  FORNECIMENTO E INSTALAÇÃO. AF_06/2016</t>
  </si>
  <si>
    <t>220,01</t>
  </si>
  <si>
    <t>94602</t>
  </si>
  <si>
    <t>TUBO EM COBRE RÍGIDO, DN 54 MM, CLASSE E, SEM ISOLAMENTO, INSTALADO EM RESERVAÇÃO DE ÁGUA DE EDIFICAÇÃO QUE POSSUA RESERVATÓRIO DE FIBRA/FIBROCIMENTO  FORNECIMENTO E INSTALAÇÃO. AF_06/2016</t>
  </si>
  <si>
    <t>235,45</t>
  </si>
  <si>
    <t>94603</t>
  </si>
  <si>
    <t>TUBO EM COBRE RÍGIDO, DN 66 MM, CLASSE E, SEM ISOLAMENTO, INSTALADO EM RESERVAÇÃO DE ÁGUA DE EDIFICAÇÃO QUE POSSUA RESERVATÓRIO DE FIBRA/FIBROCIMENTO  FORNECIMENTO E INSTALAÇÃO. AF_06/2016</t>
  </si>
  <si>
    <t>320,80</t>
  </si>
  <si>
    <t>94604</t>
  </si>
  <si>
    <t>TUBO EM COBRE RÍGIDO, DN 79 MM, CLASSE E, SEM ISOLAMENTO, INSTALADO EM RESERVAÇÃO DE ÁGUA DE EDIFICAÇÃO QUE POSSUA RESERVATÓRIO DE FIBRA/FIBROCIMENTO  FORNECIMENTO E INSTALAÇÃO. AF_06/2016</t>
  </si>
  <si>
    <t>441,85</t>
  </si>
  <si>
    <t>94605</t>
  </si>
  <si>
    <t>TUBO EM COBRE RÍGIDO, DN 104 MM, CLASSE E, SEM ISOLAMENTO, INSTALADO EM RESERVAÇÃO DE ÁGUA DE EDIFICAÇÃO QUE POSSUA RESERVATÓRIO DE FIBRA/FIBROCIMENTO  FORNECIMENTO E INSTALAÇÃO. AF_06/2016</t>
  </si>
  <si>
    <t>637,75</t>
  </si>
  <si>
    <t>94648</t>
  </si>
  <si>
    <t>TUBO, PVC, SOLDÁVEL, DN  25 MM, INSTALADO EM RESERVAÇÃO DE ÁGUA DE EDIFICAÇÃO QUE POSSUA RESERVATÓRIO DE FIBRA/FIBROCIMENTO   FORNECIMENTO E INSTALAÇÃO. AF_06/2016</t>
  </si>
  <si>
    <t>11,23</t>
  </si>
  <si>
    <t>94649</t>
  </si>
  <si>
    <t>TUBO, PVC, SOLDÁVEL, DN 32 MM, INSTALADO EM RESERVAÇÃO DE ÁGUA DE EDIFICAÇÃO QUE POSSUA RESERVATÓRIO DE FIBRA/FIBROCIMENTO   FORNECIMENTO E INSTALAÇÃO. AF_06/2016</t>
  </si>
  <si>
    <t>18,76</t>
  </si>
  <si>
    <t>94650</t>
  </si>
  <si>
    <t>TUBO, PVC, SOLDÁVEL, DN 40 MM, INSTALADO EM RESERVAÇÃO DE ÁGUA DE EDIFICAÇÃO QUE POSSUA RESERVATÓRIO DE FIBRA/FIBROCIMENTO   FORNECIMENTO E INSTALAÇÃO. AF_06/2016</t>
  </si>
  <si>
    <t>26,87</t>
  </si>
  <si>
    <t>94651</t>
  </si>
  <si>
    <t>TUBO, PVC, SOLDÁVEL, DN 50 MM, INSTALADO EM RESERVAÇÃO DE ÁGUA DE EDIFICAÇÃO QUE POSSUA RESERVATÓRIO DE FIBRA/FIBROCIMENTO   FORNECIMENTO E INSTALAÇÃO. AF_06/2016</t>
  </si>
  <si>
    <t>29,70</t>
  </si>
  <si>
    <t>94652</t>
  </si>
  <si>
    <t>TUBO, PVC, SOLDÁVEL, DN 60 MM, INSTALADO EM RESERVAÇÃO DE ÁGUA DE EDIFICAÇÃO QUE POSSUA RESERVATÓRIO DE FIBRA/FIBROCIMENTO   FORNECIMENTO E INSTALAÇÃO. AF_06/2016</t>
  </si>
  <si>
    <t>48,34</t>
  </si>
  <si>
    <t>94653</t>
  </si>
  <si>
    <t>TUBO, PVC, SOLDÁVEL, DN 75 MM, INSTALADO EM RESERVAÇÃO DE ÁGUA DE EDIFICAÇÃO QUE POSSUA RESERVATÓRIO DE FIBRA/FIBROCIMENTO   FORNECIMENTO E INSTALAÇÃO. AF_06/2016</t>
  </si>
  <si>
    <t>72,86</t>
  </si>
  <si>
    <t>94654</t>
  </si>
  <si>
    <t>TUBO, PVC, SOLDÁVEL, DN 85 MM, INSTALADO EM RESERVAÇÃO DE ÁGUA DE EDIFICAÇÃO QUE POSSUA RESERVATÓRIO DE FIBRA/FIBROCIMENTO   FORNECIMENTO E INSTALAÇÃO. AF_06/2016</t>
  </si>
  <si>
    <t>93,34</t>
  </si>
  <si>
    <t>94655</t>
  </si>
  <si>
    <t>TUBO, PVC, SOLDÁVEL, DN 110 MM, INSTALADO EM RESERVAÇÃO DE ÁGUA DE EDIFICAÇÃO QUE POSSUA RESERVATÓRIO DE FIBRA/FIBROCIMENTO   FORNECIMENTO E INSTALAÇÃO. AF_06/2016</t>
  </si>
  <si>
    <t>137,00</t>
  </si>
  <si>
    <t>94716</t>
  </si>
  <si>
    <t>TUBO, CPVC, SOLDÁVEL, DN 22 MM, INSTALADO EM RESERVAÇÃO DE ÁGUA DE EDIFICAÇÃO QUE POSSUA RESERVATÓRIO DE FIBRA/FIBROCIMENTO  FORNECIMENTO E INSTALAÇÃO. AF_06/2016</t>
  </si>
  <si>
    <t>27,26</t>
  </si>
  <si>
    <t>94717</t>
  </si>
  <si>
    <t>TUBO, CPVC, SOLDÁVEL, DN 28 MM, INSTALADO EM RESERVAÇÃO DE ÁGUA DE EDIFICAÇÃO QUE POSSUA RESERVATÓRIO DE FIBRA/FIBROCIMENTO  FORNECIMENTO E INSTALAÇÃO. AF_06/2016</t>
  </si>
  <si>
    <t>40,82</t>
  </si>
  <si>
    <t>94718</t>
  </si>
  <si>
    <t>TUBO, CPVC, SOLDÁVEL, DN 35 MM, INSTALADO EM RESERVAÇÃO DE ÁGUA DE EDIFICAÇÃO QUE POSSUA RESERVATÓRIO DE FIBRA/FIBROCIMENTO  FORNECIMENTO E INSTALAÇÃO. AF_06/2016</t>
  </si>
  <si>
    <t>50,34</t>
  </si>
  <si>
    <t>94719</t>
  </si>
  <si>
    <t>TUBO, CPVC, SOLDÁVEL, DN 42 MM, INSTALADO EM RESERVAÇÃO DE ÁGUA DE EDIFICAÇÃO QUE POSSUA RESERVATÓRIO DE FIBRA/FIBROCIMENTO  FORNECIMENTO E INSTALAÇÃO. AF_06/2016</t>
  </si>
  <si>
    <t>94720</t>
  </si>
  <si>
    <t>TUBO, CPVC, SOLDÁVEL, DN 54 MM, INSTALADO EM RESERVAÇÃO DE ÁGUA DE EDIFICAÇÃO QUE POSSUA RESERVATÓRIO DE FIBRA/FIBROCIMENTO  FORNECIMENTO E INSTALAÇÃO. AF_06/2016</t>
  </si>
  <si>
    <t>100,09</t>
  </si>
  <si>
    <t>94721</t>
  </si>
  <si>
    <t>TUBO, CPVC, SOLDÁVEL, DN 73 MM, INSTALADO EM RESERVAÇÃO DE ÁGUA DE EDIFICAÇÃO QUE POSSUA RESERVATÓRIO DE FIBRA/FIBROCIMENTO  FORNECIMENTO E INSTALAÇÃO. AF_06/2016</t>
  </si>
  <si>
    <t>147,79</t>
  </si>
  <si>
    <t>94722</t>
  </si>
  <si>
    <t>TUBO, CPVC, SOLDÁVEL, DN 89 MM, INSTALADO EM RESERVAÇÃO DE ÁGUA DE EDIFICAÇÃO QUE POSSUA RESERVATÓRIO DE FIBRA/FIBROCIMENTO  FORNECIMENTO E INSTALAÇÃO. AF_06/2016</t>
  </si>
  <si>
    <t>256,51</t>
  </si>
  <si>
    <t>95697</t>
  </si>
  <si>
    <t>TUBO DE AÇO PRETO SEM COSTURA, CONEXÃO SOLDADA, DN 40 (1 1/2"), INSTALADO EM REDE DE ALIMENTAÇÃO PARA HIDRANTE - FORNECIMENTO E INSTALAÇÃO. AF_10/2020</t>
  </si>
  <si>
    <t>127,70</t>
  </si>
  <si>
    <t>96635</t>
  </si>
  <si>
    <t>TUBO, PPR, DN 25, CLASSE PN 20,  INSTALADO EM RAMAL OU SUB-RAMAL DE ÁGUA  FORNECIMENTO E INSTALAÇÃO. AF_06/2015</t>
  </si>
  <si>
    <t>96636</t>
  </si>
  <si>
    <t>TUBO, PPR, DN 25, CLASSE PN 25 INSTALADO EM RAMAL OU SUB-RAMAL DE ÁGUA  FORNECIMENTO E INSTALAÇÃO. AF_06/2015</t>
  </si>
  <si>
    <t>30,49</t>
  </si>
  <si>
    <t>96644</t>
  </si>
  <si>
    <t>TUBO, PPR, DN 25, CLASSE PN 20,  INSTALADO EM RAMAL DE DISTRIBUIÇÃO DE ÁGUA  FORNECIMENTO E INSTALAÇÃO. AF_06/2015</t>
  </si>
  <si>
    <t>20,44</t>
  </si>
  <si>
    <t>96645</t>
  </si>
  <si>
    <t>TUBO, PPR, DN 32, CLASSE PN 12,  INSTALADO EM RAMAL DE DISTRIBUIÇÃO DE ÁGUA  FORNECIMENTO E INSTALAÇÃO. AF_06/2015</t>
  </si>
  <si>
    <t>26,31</t>
  </si>
  <si>
    <t>96646</t>
  </si>
  <si>
    <t>TUBO, PPR, DN 40, CLASSE PN 12,  INSTALADO EM RAMAL DE DISTRIBUIÇÃO DE ÁGUA  FORNECIMENTO E INSTALAÇÃO. AF_06/2015</t>
  </si>
  <si>
    <t>40,65</t>
  </si>
  <si>
    <t>96647</t>
  </si>
  <si>
    <t>TUBO, PPR, DN 25, CLASSE PN 25,  INSTALADO EM RAMAL DE DISTRIBUIÇÃO DE ÁGUA  FORNECIMENTO E INSTALAÇÃO. AF_06/2015</t>
  </si>
  <si>
    <t>18,88</t>
  </si>
  <si>
    <t>96648</t>
  </si>
  <si>
    <t>TUBO, PPR, DN 32, CLASSE PN 25,  INSTALADO EM RAMAL DE DISTRIBUIÇÃO DE ÁGUA  FORNECIMENTO E INSTALAÇÃO. AF_06/2015</t>
  </si>
  <si>
    <t>33,74</t>
  </si>
  <si>
    <t>96649</t>
  </si>
  <si>
    <t>TUBO, PPR, DN 40, CLASSE PN 25,  INSTALADO EM RAMAL DE DISTRIBUIÇÃO DE ÁGUA  FORNECIMENTO E INSTALAÇÃO. AF_06/2015</t>
  </si>
  <si>
    <t>49,09</t>
  </si>
  <si>
    <t>96668</t>
  </si>
  <si>
    <t>TUBO, PPR, DN 25, CLASSE PN 20,  INSTALADO EM PRUMADA DE ÁGUA  FORNECIMENTO E INSTALAÇÃO. AF_06/2015</t>
  </si>
  <si>
    <t>14,42</t>
  </si>
  <si>
    <t>96669</t>
  </si>
  <si>
    <t>TUBO, PPR, DN 32, CLASSE PN 12,  INSTALADO EM PRUMADA DE ÁGUA  FORNECIMENTO E INSTALAÇÃO. AF_06/2015</t>
  </si>
  <si>
    <t>17,96</t>
  </si>
  <si>
    <t>96670</t>
  </si>
  <si>
    <t>TUBO, PPR, DN 40, CLASSE PN 12,  INSTALADO EM PRUMADA DE ÁGUA  FORNECIMENTO E INSTALAÇÃO. AF_06/2015</t>
  </si>
  <si>
    <t>27,31</t>
  </si>
  <si>
    <t>96671</t>
  </si>
  <si>
    <t>TUBO, PPR, DN 50, CLASSE PN 12,  INSTALADO EM PRUMADA DE ÁGUA  FORNECIMENTO E INSTALAÇÃO. AF_06/2015</t>
  </si>
  <si>
    <t>36,43</t>
  </si>
  <si>
    <t>96672</t>
  </si>
  <si>
    <t>TUBO, PPR, DN 63, CLASSE PN 12,  INSTALADO EM PRUMADA DE ÁGUA  FORNECIMENTO E INSTALAÇÃO. AF_06/2015</t>
  </si>
  <si>
    <t>53,38</t>
  </si>
  <si>
    <t>96673</t>
  </si>
  <si>
    <t>TUBO, PPR, DN 75, CLASSE PN 12,  INSTALADO EM PRUMADA DE ÁGUA  FORNECIMENTO E INSTALAÇÃO. AF_06/2015</t>
  </si>
  <si>
    <t>96674</t>
  </si>
  <si>
    <t>TUBO, PPR, DN 90, CLASSE PN 12,  INSTALADO EM PRUMADA DE ÁGUA  FORNECIMENTO E INSTALAÇÃO. AF_06/2015</t>
  </si>
  <si>
    <t>123,10</t>
  </si>
  <si>
    <t>96675</t>
  </si>
  <si>
    <t>TUBO, PPR, DN 110, CLASSE PN 12,  INSTALADO EM PRUMADA DE ÁGUA  FORNECIMENTO E INSTALAÇÃO. AF_06/2015</t>
  </si>
  <si>
    <t>214,92</t>
  </si>
  <si>
    <t>96676</t>
  </si>
  <si>
    <t>TUBO, PPR, DN 25, CLASSE PN 25,  INSTALADO EM PRUMADA DE ÁGUA  FORNECIMENTO E INSTALAÇÃO. AF_06/2015</t>
  </si>
  <si>
    <t>96677</t>
  </si>
  <si>
    <t>TUBO, PPR, DN 32, CLASSE PN 25,  INSTALADO EM PRUMADA DE ÁGUA  FORNECIMENTO E INSTALAÇÃO. AF_06/2015</t>
  </si>
  <si>
    <t>23,80</t>
  </si>
  <si>
    <t>96678</t>
  </si>
  <si>
    <t>TUBO, PPR, DN 40, CLASSE PN 25,  INSTALADO EM PRUMADA DE ÁGUA  FORNECIMENTO E INSTALAÇÃO. AF_06/2015</t>
  </si>
  <si>
    <t>33,05</t>
  </si>
  <si>
    <t>96679</t>
  </si>
  <si>
    <t>TUBO, PPR, DN 50, CLASSE PN 25,  INSTALADO EM PRUMADA DE ÁGUA  FORNECIMENTO E INSTALAÇÃO. AF_06/2015</t>
  </si>
  <si>
    <t>96680</t>
  </si>
  <si>
    <t>TUBO, PPR, DN 63, CLASSE PN 25,  INSTALADO EM PRUMADA DE ÁGUA  FORNECIMENTO E INSTALAÇÃO. AF_06/2015</t>
  </si>
  <si>
    <t>64,66</t>
  </si>
  <si>
    <t>96681</t>
  </si>
  <si>
    <t>TUBO, PPR, DN 75, CLASSE PN 25,  INSTALADO EM PRUMADA DE ÁGUA  FORNECIMENTO E INSTALAÇÃO. AF_06/2015</t>
  </si>
  <si>
    <t>121,71</t>
  </si>
  <si>
    <t>96682</t>
  </si>
  <si>
    <t>TUBO, PPR, DN 90, CLASSE PN 25,  INSTALADO EM PRUMADA DE ÁGUA  FORNECIMENTO E INSTALAÇÃO. AF_06/2015</t>
  </si>
  <si>
    <t>179,71</t>
  </si>
  <si>
    <t>96683</t>
  </si>
  <si>
    <t>TUBO, PPR, DN 110, CLASSE PN 25,  INSTALADO EM PRUMADA DE ÁGUA  FORNECIMENTO E INSTALAÇÃO. AF_06/2015</t>
  </si>
  <si>
    <t>245,50</t>
  </si>
  <si>
    <t>96718</t>
  </si>
  <si>
    <t>TUBO, PPR, DN 20, CLASSE PN 20,  INSTALADO EM RESERVAÇÃO DE ÁGUA DE EDIFICAÇÃO QUE POSSUA RESERVATÓRIO DE FIBRA/FIBROCIMENTO  FORNECIMENTO E INSTALAÇÃO. AF_06/2016</t>
  </si>
  <si>
    <t>9,67</t>
  </si>
  <si>
    <t>96719</t>
  </si>
  <si>
    <t>TUBO, PPR, DN 25, CLASSE PN 20,  INSTALADO EM RESERVAÇÃO DE ÁGUA DE EDIFICAÇÃO QUE POSSUA RESERVATÓRIO DE FIBRA/FIBROCIMENTO  FORNECIMENTO E INSTALAÇÃO. AF_06/2016</t>
  </si>
  <si>
    <t>96720</t>
  </si>
  <si>
    <t>TUBO, PPR, DN 32, CLASSE PN 12,  INSTALADO EM RESERVAÇÃO DE ÁGUA DE EDIFICAÇÃO QUE POSSUA RESERVATÓRIO DE FIBRA/FIBROCIMENTO  FORNECIMENTO E INSTALAÇÃO. AF_06/2016</t>
  </si>
  <si>
    <t>21,82</t>
  </si>
  <si>
    <t>96721</t>
  </si>
  <si>
    <t>TUBO, PPR, DN 40, CLASSE PN 12,  INSTALADO EM RESERVAÇÃO DE ÁGUA DE EDIFICAÇÃO QUE POSSUA RESERVATÓRIO DE FIBRA/FIBROCIMENTO  FORNECIMENTO E INSTALAÇÃO. AF_06/2016</t>
  </si>
  <si>
    <t>96722</t>
  </si>
  <si>
    <t>TUBO, PPR, DN 50, CLASSE PN 12,  INSTALADO EM RESERVAÇÃO DE ÁGUA DE EDIFICAÇÃO QUE POSSUA RESERVATÓRIO DE FIBRA/FIBROCIMENTO  FORNECIMENTO E INSTALAÇÃO. AF_06/2016</t>
  </si>
  <si>
    <t>40,74</t>
  </si>
  <si>
    <t>96723</t>
  </si>
  <si>
    <t>TUBO, PPR, DN 63, CLASSE PN 12,  INSTALADO EM RESERVAÇÃO DE ÁGUA DE EDIFICAÇÃO QUE POSSUA RESERVATÓRIO DE FIBRA/FIBROCIMENTO  FORNECIMENTO E INSTALAÇÃO. AF_06/2016</t>
  </si>
  <si>
    <t>55,24</t>
  </si>
  <si>
    <t>96724</t>
  </si>
  <si>
    <t>TUBO, PPR, DN 75, CLASSE PN 12,  INSTALADO EM RESERVAÇÃO DE ÁGUA DE EDIFICAÇÃO QUE POSSUA RESERVATÓRIO DE FIBRA/FIBROCIMENTO  FORNECIMENTO E INSTALAÇÃO. AF_06/2016</t>
  </si>
  <si>
    <t>90,14</t>
  </si>
  <si>
    <t>96725</t>
  </si>
  <si>
    <t>TUBO, PPR, DN 90, CLASSE PN 12,  INSTALADO EM RESERVAÇÃO DE ÁGUA DE EDIFICAÇÃO QUE POSSUA RESERVATÓRIO DE FIBRA/FIBROCIMENTO  FORNECIMENTO E INSTALAÇÃO. AF_06/2016</t>
  </si>
  <si>
    <t>120,37</t>
  </si>
  <si>
    <t>96726</t>
  </si>
  <si>
    <t>TUBO, PPR, DN 110, CLASSE PN 12,  INSTALADO EM RESERVAÇÃO DE ÁGUA DE EDIFICAÇÃO QUE POSSUA RESERVATÓRIO DE FIBRA/FIBROCIMENTO  FORNECIMENTO E INSTALAÇÃO. AF_06/2016</t>
  </si>
  <si>
    <t>196,59</t>
  </si>
  <si>
    <t>96727</t>
  </si>
  <si>
    <t>TUBO, PPR, DN 20, CLASSE PN 25,  INSTALADO EM RESERVAÇÃO DE ÁGUA DE EDIFICAÇÃO QUE POSSUA RESERVATÓRIO DE FIBRA/FIBROCIMENTO  FORNECIMENTO E INSTALAÇÃO. AF_06/2016</t>
  </si>
  <si>
    <t>96728</t>
  </si>
  <si>
    <t>TUBO, PPR, DN 25, CLASSE PN 25,  INSTALADO EM RESERVAÇÃO DE ÁGUA DE EDIFICAÇÃO QUE POSSUA RESERVATÓRIO DE FIBRA/FIBROCIMENTO  FORNECIMENTO E INSTALAÇÃO. AF_06/2016</t>
  </si>
  <si>
    <t>96729</t>
  </si>
  <si>
    <t>TUBO, PPR, DN 32, CLASSE PN 25,  INSTALADO EM RESERVAÇÃO DE ÁGUA DE EDIFICAÇÃO QUE POSSUA RESERVATÓRIO DE FIBRA/FIBROCIMENTO  FORNECIMENTO E INSTALAÇÃO. AF_06/2016</t>
  </si>
  <si>
    <t>28,27</t>
  </si>
  <si>
    <t>96730</t>
  </si>
  <si>
    <t>TUBO, PPR, DN 40, CLASSE PN 25,  INSTALADO EM RESERVAÇÃO DE ÁGUA DE EDIFICAÇÃO QUE POSSUA RESERVATÓRIO DE FIBRA/FIBROCIMENTO  FORNECIMENTO E INSTALAÇÃO. AF_06/2016</t>
  </si>
  <si>
    <t>96731</t>
  </si>
  <si>
    <t>TUBO, PPR, DN 50, CLASSE PN 25,  INSTALADO EM RESERVAÇÃO DE ÁGUA DE EDIFICAÇÃO QUE POSSUA RESERVATÓRIO DE FIBRA/FIBROCIMENTO  FORNECIMENTO E INSTALAÇÃO. AF_06/2016</t>
  </si>
  <si>
    <t>53,09</t>
  </si>
  <si>
    <t>96732</t>
  </si>
  <si>
    <t>TUBO, PPR, DN 63, CLASSE PN 25,  INSTALADO EM RESERVAÇÃO DE ÁGUA DE EDIFICAÇÃO QUE POSSUA RESERVATÓRIO DE FIBRA/FIBROCIMENTO  FORNECIMENTO E INSTALAÇÃO. AF_06/2016</t>
  </si>
  <si>
    <t>66,84</t>
  </si>
  <si>
    <t>96733</t>
  </si>
  <si>
    <t>TUBO, PPR, DN 75, CLASSE PN 25,  INSTALADO EM RESERVAÇÃO DE ÁGUA DE EDIFICAÇÃO QUE POSSUA RESERVATÓRIO DE FIBRA/FIBROCIMENTO  FORNECIMENTO E INSTALAÇÃO. AF_06/2016</t>
  </si>
  <si>
    <t>123,45</t>
  </si>
  <si>
    <t>96734</t>
  </si>
  <si>
    <t>TUBO, PPR, DN 90, CLASSE PN 25,  INSTALADO EM RESERVAÇÃO DE ÁGUA DE EDIFICAÇÃO QUE POSSUA RESERVATÓRIO DE FIBRA/FIBROCIMENTO  FORNECIMENTO E INSTALAÇÃO. AF_06/2016</t>
  </si>
  <si>
    <t>174,10</t>
  </si>
  <si>
    <t>96735</t>
  </si>
  <si>
    <t>TUBO, PPR, DN 110, CLASSE PN 25,  INSTALADO EM RESERVAÇÃO DE ÁGUA DE EDIFICAÇÃO QUE POSSUA RESERVATÓRIO DE FIBRA/FIBROCIMENTO  FORNECIMENTO E INSTALAÇÃO. AF_06/2016</t>
  </si>
  <si>
    <t>225,24</t>
  </si>
  <si>
    <t>96794</t>
  </si>
  <si>
    <t>TUBO, PEX, MONOCAMADA, DN 16, INSTALADO EM RAMAL OU SUB-RAMAL DE ÁGUA  FORNECIMENTO E INSTALAÇÃO. AF_06/2015</t>
  </si>
  <si>
    <t>96795</t>
  </si>
  <si>
    <t>TUBO, PEX, MONOCAMADA, DN 20, INSTALADO EM RAMAL OU SUB-RAMAL DE ÁGUA  FORNECIMENTO E INSTALAÇÃO. AF_06/2015</t>
  </si>
  <si>
    <t>11,26</t>
  </si>
  <si>
    <t>96796</t>
  </si>
  <si>
    <t>TUBO, PEX, MONOCAMADA, DN 25, INSTALADO EM RAMAL OU SUB-RAMAL DE ÁGUA  FORNECIMENTO E INSTALAÇÃO. AF_06/2015</t>
  </si>
  <si>
    <t>96797</t>
  </si>
  <si>
    <t>TUBO, PEX, MONOCAMADA, DN 32, INSTALADO EM RAMAL OU SUB-RAMAL DE ÁGUA  FORNECIMENTO E INSTALAÇÃO. AF_06/2015</t>
  </si>
  <si>
    <t>24,19</t>
  </si>
  <si>
    <t>96798</t>
  </si>
  <si>
    <t>TUBO, PEX, MONOCAMADA, DN 16, INSTALADO EM RAMAL DE DISTRIBUIÇÃO DE ÁGUA  FORNECIMENTO E INSTALAÇÃO. AF_06/2015</t>
  </si>
  <si>
    <t>8,94</t>
  </si>
  <si>
    <t>96799</t>
  </si>
  <si>
    <t>TUBO, PEX, MONOCAMADA, DN 20, INSTALADO EM RAMAL DE DISTRIBUIÇÃO DE ÁGUA  FORNECIMENTO E INSTALAÇÃO. AF_06/2015</t>
  </si>
  <si>
    <t>11,94</t>
  </si>
  <si>
    <t>96800</t>
  </si>
  <si>
    <t>TUBO, PEX, MONOCAMADA, DN 25, INSTALADO EM RAMAL DE DISTRIBUIÇÃO DE ÁGUA  FORNECIMENTO E INSTALAÇÃO. AF_06/2015</t>
  </si>
  <si>
    <t>96801</t>
  </si>
  <si>
    <t>TUBO, PEX, MONOCAMADA, DN 32, INSTALADO EM RAMAL DE DISTRIBUIÇÃO DE ÁGUA  FORNECIMENTO E INSTALAÇÃO. AF_06/2015</t>
  </si>
  <si>
    <t>26,62</t>
  </si>
  <si>
    <t>97327</t>
  </si>
  <si>
    <t>TUBO EM COBRE FLEXÍVEL, DN 1/4, COM ISOLAMENTO, INSTALADO EM RAMAL DE ALIMENTAÇÃO DE AR CONDICIONADO COM CONDENSADORA INDIVIDUAL   FORNECIMENTO E INSTALAÇÃO. AF_12/2015</t>
  </si>
  <si>
    <t>30,44</t>
  </si>
  <si>
    <t>97328</t>
  </si>
  <si>
    <t>TUBO EM COBRE FLEXÍVEL, DN 3/8", COM ISOLAMENTO, INSTALADO EM RAMAL DE ALIMENTAÇÃO DE AR CONDICIONADO COM CONDENSADORA INDIVIDUAL  FORNECIMENTO E INSTALAÇÃO. AF_12/2015</t>
  </si>
  <si>
    <t>51,45</t>
  </si>
  <si>
    <t>97329</t>
  </si>
  <si>
    <t>TUBO EM COBRE FLEXÍVEL, DN 1/2", COM ISOLAMENTO, INSTALADO EM RAMAL DE ALIMENTAÇÃO DE AR CONDICIONADO COM CONDENSADORA INDIVIDUAL  FORNECIMENTO E INSTALAÇÃO. AF_12/2015</t>
  </si>
  <si>
    <t>65,49</t>
  </si>
  <si>
    <t>97330</t>
  </si>
  <si>
    <t>TUBO EM COBRE FLEXÍVEL, DN 5/8", COM ISOLAMENTO, INSTALADO EM RAMAL DE ALIMENTAÇÃO DE AR CONDICIONADO COM CONDENSADORA INDIVIDUAL  FORNECIMENTO E INSTALAÇÃO. AF_12/2015</t>
  </si>
  <si>
    <t>80,26</t>
  </si>
  <si>
    <t>97331</t>
  </si>
  <si>
    <t>TUBO EM COBRE FLEXÍVEL, DN 1/4", COM ISOLAMENTO, INSTALADO EM RAMAL DE ALIMENTAÇÃO DE AR CONDICIONADO COM CONDENSADORA CENTRAL  FORNECIMENTO E INSTALAÇÃO. AF_12/2015</t>
  </si>
  <si>
    <t>30,71</t>
  </si>
  <si>
    <t>97332</t>
  </si>
  <si>
    <t>TUBO EM COBRE FLEXÍVEL, DN 3/8", COM ISOLAMENTO, INSTALADO EM RAMAL DE ALIMENTAÇÃO DE AR CONDICIONADO COM CONDENSADORA CENTRAL  FORNECIMENTO E INSTALAÇÃO. AF_12/2015</t>
  </si>
  <si>
    <t>97333</t>
  </si>
  <si>
    <t>TUBO EM COBRE FLEXÍVEL, DN 1/2", COM ISOLAMENTO, INSTALADO EM RAMAL DE ALIMENTAÇÃO DE AR CONDICIONADO COM CONDENSADORA CENTRAL  FORNECIMENTO E INSTALAÇÃO. AF_12/2015</t>
  </si>
  <si>
    <t>65,89</t>
  </si>
  <si>
    <t>97334</t>
  </si>
  <si>
    <t>TUBO EM COBRE FLEXÍVEL, DN 5/8, COM ISOLAMENTO, INSTALADO EM RAMAL DE ALIMENTAÇÃO DE AR CONDICIONADO COM CONDENSADORA CENTRAL   FORNECIMENTO E INSTALAÇÃO. AF_12/2015</t>
  </si>
  <si>
    <t>80,68</t>
  </si>
  <si>
    <t>97335</t>
  </si>
  <si>
    <t>TUBO EM COBRE RÍGIDO, DN 22 MM, CLASSE A, SEM ISOLAMENTO, INSTALADO EM PRUMADA  FORNECIMENTO E INSTALAÇÃO. AF_12/2015</t>
  </si>
  <si>
    <t>92,17</t>
  </si>
  <si>
    <t>97336</t>
  </si>
  <si>
    <t>TUBO EM COBRE RÍGIDO, DN 28 MM, CLASSE A, SEM ISOLAMENTO, INSTALADO EM PRUMADA  FORNECIMENTO E INSTALAÇÃO. AF_12/2015</t>
  </si>
  <si>
    <t>97337</t>
  </si>
  <si>
    <t>TUBO EM COBRE RÍGIDO, DN 35 MM, CLASSE A, SEM ISOLAMENTO, INSTALADO EM PRUMADA  FORNECIMENTO E INSTALAÇÃO. AF_12/2015</t>
  </si>
  <si>
    <t>176,16</t>
  </si>
  <si>
    <t>97338</t>
  </si>
  <si>
    <t>TUBO EM COBRE RÍGIDO, DN 42 MM, CLASSE A, SEM ISOLAMENTO, INSTALADO EM PRUMADA  FORNECIMENTO E INSTALAÇÃO. AF_12/2015</t>
  </si>
  <si>
    <t>211,81</t>
  </si>
  <si>
    <t>97339</t>
  </si>
  <si>
    <t>TUBO EM COBRE RÍGIDO, DN 54 MM, CLASSE A, SEM ISOLAMENTO, INSTALADO EM PRUMADA  FORNECIMENTO E INSTALAÇÃO. AF_12/2015</t>
  </si>
  <si>
    <t>97340</t>
  </si>
  <si>
    <t>TUBO EM COBRE RÍGIDO, DN 66 MM, CLASSE A, SEM ISOLAMENTO, INSTALADO EM PRUMADA  FORNECIMENTO E INSTALAÇÃO. AF_12/2015</t>
  </si>
  <si>
    <t>228,25</t>
  </si>
  <si>
    <t>97341</t>
  </si>
  <si>
    <t>TUBO EM COBRE RÍGIDO, DN 15 MM, CLASSE A, SEM ISOLAMENTO, INSTALADO EM RAMAL DE DISTRIBUIÇÃO  FORNECIMENTO E INSTALAÇÃO. AF_12/2015</t>
  </si>
  <si>
    <t>97342</t>
  </si>
  <si>
    <t>TUBO EM COBRE RÍGIDO, DN 22 MM, CLASSE A, SEM ISOLAMENTO, INSTALADO EM RAMAL DE DISTRIBUIÇÃO FORNECIMENTO E INSTALAÇÃO. AF_12/2015</t>
  </si>
  <si>
    <t>95,96</t>
  </si>
  <si>
    <t>97343</t>
  </si>
  <si>
    <t>TUBO EM COBRE RÍGIDO, DN 28 MM, CLASSE A, SEM ISOLAMENTO, INSTALADO EM RAMAL DE DISTRIBUIÇÃO FORNECIMENTO E INSTALAÇÃO. AF_12/2015</t>
  </si>
  <si>
    <t>121,19</t>
  </si>
  <si>
    <t>97344</t>
  </si>
  <si>
    <t>TUBO EM COBRE RÍGIDO, DN 15 MM, CLASSE A, SEM ISOLAMENTO, INSTALADO EM RAMAL E SUB-RAMAL  FORNECIMENTO E INSTALAÇÃO. AF_12/2015</t>
  </si>
  <si>
    <t>69,05</t>
  </si>
  <si>
    <t>97345</t>
  </si>
  <si>
    <t>TUBO EM COBRE RÍGIDO, DN 22 MM, CLASSE A, SEM ISOLAMENTO, INSTALADO EM RAMAL E SUB-RAMAL  FORNECIMENTO E INSTALAÇÃO. AF_12/2015</t>
  </si>
  <si>
    <t>110,28</t>
  </si>
  <si>
    <t>97346</t>
  </si>
  <si>
    <t>TUBO EM COBRE RÍGIDO, DN 28 MM, CLASSE A, SEM ISOLAMENTO, INSTALADO EM RAMAL E SUB-RAMAL  FORNECIMENTO E INSTALAÇÃO. AF_12/2015</t>
  </si>
  <si>
    <t>140,70</t>
  </si>
  <si>
    <t>97347</t>
  </si>
  <si>
    <t>TUBO EM COBRE RÍGIDO, DN 22 MM, CLASSE I, SEM ISOLAMENTO, INSTALADO EM PRUMADA  FORNECIMENTO E INSTALAÇÃO. AF_12/2015</t>
  </si>
  <si>
    <t>111,15</t>
  </si>
  <si>
    <t>97348</t>
  </si>
  <si>
    <t>TUBO EM COBRE RÍGIDO, DN 28 MM, CLASSE I, SEM ISOLAMENTO, INSTALADO EM PRUMADA  FORNECIMENTO E INSTALAÇÃO. AF_12/2015</t>
  </si>
  <si>
    <t>153,64</t>
  </si>
  <si>
    <t>97349</t>
  </si>
  <si>
    <t>TUBO EM COBRE RÍGIDO, DN 35 MM, CLASSE I, SEM ISOLAMENTO, INSTALADO EM PRUMADA  FORNECIMENTO E INSTALAÇÃO. AF_12/2015</t>
  </si>
  <si>
    <t>221,64</t>
  </si>
  <si>
    <t>97350</t>
  </si>
  <si>
    <t>TUBO EM COBRE RÍGIDO, DN 42 MM, CLASSE I, SEM ISOLAMENTO, INSTALADO EM PRUMADA  FORNECIMENTO E INSTALAÇÃO. AF_12/2015</t>
  </si>
  <si>
    <t>269,18</t>
  </si>
  <si>
    <t>97351</t>
  </si>
  <si>
    <t>TUBO EM COBRE RÍGIDO, DN 54 MM, CLASSE I, SEM ISOLAMENTO, INSTALADO EM PRUMADA  FORNECIMENTO E INSTALAÇÃO. AF_12/2015</t>
  </si>
  <si>
    <t>372,32</t>
  </si>
  <si>
    <t>97352</t>
  </si>
  <si>
    <t>TUBO EM COBRE RÍGIDO, DN 66 MM, CLASSE I, SEM ISOLAMENTO, INSTALADO EM PRUMADA  FORNECIMENTO E INSTALAÇÃO. AF_12/2015</t>
  </si>
  <si>
    <t>482,65</t>
  </si>
  <si>
    <t>97353</t>
  </si>
  <si>
    <t>TUBO EM COBRE RÍGIDO, DN 15 MM, CLASSE I, SEM ISOLAMENTO, INSTALADO EM RAMAL DE DISTRIBUIÇÃO  FORNECIMENTO E INSTALAÇÃO. AF_12/2015</t>
  </si>
  <si>
    <t>71,95</t>
  </si>
  <si>
    <t>97354</t>
  </si>
  <si>
    <t>TUBO EM COBRE RÍGIDO, DN 22 MM, CLASSE I, SEM ISOLAMENTO, INSTALADO EM RAMAL DE DISTRIBUIÇÃO FORNECIMENTO E INSTALAÇÃO. AF_12/2015</t>
  </si>
  <si>
    <t>114,94</t>
  </si>
  <si>
    <t>97355</t>
  </si>
  <si>
    <t>TUBO EM COBRE RÍGIDO, DN 28 MM, CLASSE I, SEM ISOLAMENTO, INSTALADO EM RAMAL DE DISTRIBUIÇÃO FORNECIMENTO E INSTALAÇÃO. AF_12/2015</t>
  </si>
  <si>
    <t>157,72</t>
  </si>
  <si>
    <t>97356</t>
  </si>
  <si>
    <t>TUBO EM COBRE RÍGIDO, DN 15 MM, CLASSE I, SEM ISOLAMENTO, INSTALADO EM RAMAL E SUB-RAMAL  FORNECIMENTO E INSTALAÇÃO. AF_12/2015</t>
  </si>
  <si>
    <t>80,29</t>
  </si>
  <si>
    <t>97357</t>
  </si>
  <si>
    <t>TUBO EM COBRE RÍGIDO, DN 22 MM, CLASSE I, SEM ISOLAMENTO, INSTALADO EM RAMAL E SUB-RAMAL  FORNECIMENTO E INSTALAÇÃO. AF_12/2015</t>
  </si>
  <si>
    <t>129,26</t>
  </si>
  <si>
    <t>97358</t>
  </si>
  <si>
    <t>TUBO EM COBRE RÍGIDO, DN 28 MM, CLASSE I, SEM ISOLAMENTO, INSTALADO EM RAMAL E SUB-RAMAL  FORNECIMENTO E INSTALAÇÃO. AF_12/2015</t>
  </si>
  <si>
    <t>177,23</t>
  </si>
  <si>
    <t>97498</t>
  </si>
  <si>
    <t>TUBO DE AÇO GALVANIZADO COM COSTURA, CLASSE MÉDIA, DN 25 (1"), CONEXÃO ROSQUEADA, INSTALADO EM REDE DE ALIMENTAÇÃO PARA HIDRANTE - FORNECIMENTO E INSTALAÇÃO. AF_10/2020</t>
  </si>
  <si>
    <t>60,68</t>
  </si>
  <si>
    <t>97535</t>
  </si>
  <si>
    <t>TUBO DE AÇO GALVANIZADO COM COSTURA, CLASSE MÉDIA, CONEXÃO ROSQUEADA, DN 25 (1"), INSTALADO EM REDE DE ALIMENTAÇÃO PARA SPRINKLER - FORNECIMENTO E INSTALAÇÃO. AF_10/2020</t>
  </si>
  <si>
    <t>64,47</t>
  </si>
  <si>
    <t>97536</t>
  </si>
  <si>
    <t>TUBO DE AÇO GALVANIZADO COM COSTURA, CLASSE MÉDIA, CONEXÃO ROSQUEADA, DN 25 (1"), INSTALADO EM RAMAIS  E SUB-RAMAIS DE GÁS - FORNECIMENTO E INSTALAÇÃO. AF_10/2020</t>
  </si>
  <si>
    <t>100788</t>
  </si>
  <si>
    <t>KIT CAVALETE PARA GÁS - SEM MEDIDOR OU REGULADOR - ENTRADA INDIVIDUAL PRINCIPAL, EM AÇO GALVANIZADO DN 15 E 25 MM (1/2" E 1") - FORNECIMENTO E INSTALAÇÃO. AF_01/2020</t>
  </si>
  <si>
    <t>633,15</t>
  </si>
  <si>
    <t>100791</t>
  </si>
  <si>
    <t>TUBO, PEX, MULTICAMADA, DN 16, INSTALADO EM IMPLANTAÇÃO DE INSTALAÇÕES DE GÁS - FORNECIMENTO E INSTALAÇÃO. AF_01/2020</t>
  </si>
  <si>
    <t>18,17</t>
  </si>
  <si>
    <t>100792</t>
  </si>
  <si>
    <t>TUBO, PEX, MULTICAMADA, DN 20, INSTALADO EM IMPLANTAÇÃO DE INSTALAÇÕES DE GÁS - FORNECIMENTO E INSTALAÇÃO. AF_01/2020</t>
  </si>
  <si>
    <t>100793</t>
  </si>
  <si>
    <t>TUBO, PEX, MULTICAMADA, DN 26, INSTALADO EM IMPLANTAÇÃO DE INSTALAÇÕES DE GÁS - FORNECIMENTO E INSTALAÇÃO. AF_01/2020</t>
  </si>
  <si>
    <t>35,97</t>
  </si>
  <si>
    <t>100794</t>
  </si>
  <si>
    <t>TUBO, PEX, MULTICAMADA, DN 32, INSTALADO EM IMPLANTAÇÃO DE INSTALAÇÕES DE GÁS - FORNECIMENTO E INSTALAÇÃO. AF_01/2020</t>
  </si>
  <si>
    <t>48,73</t>
  </si>
  <si>
    <t>100799</t>
  </si>
  <si>
    <t>TUBO, PEX, MULTICAMADA, COM TUBO LUVA, DN 16, INSTALADO EM IMPLANTAÇÃO DE INSTALAÇÕES DE GÁS - FORNECIMENTO E INSTALAÇÃO. AF_01/2020</t>
  </si>
  <si>
    <t>18,56</t>
  </si>
  <si>
    <t>100800</t>
  </si>
  <si>
    <t>TUBO, PEX, MULTICAMADA, COM TUBO LUVA, DN 20, INSTALADO EM IMPLANTAÇÃO DE INSTALAÇÕES DE GÁS - FORNECIMENTO E INSTALAÇÃO. AF_01/2020</t>
  </si>
  <si>
    <t>100801</t>
  </si>
  <si>
    <t>TUBO, PEX, MULTICAMADA, COM TUBO LUVA, DN 26, INSTALADO EM IMPLANTAÇÃO DE INSTALAÇÕES DE GÁS - FORNECIMENTO E INSTALAÇÃO. AF_01/2020</t>
  </si>
  <si>
    <t>100802</t>
  </si>
  <si>
    <t>TUBO, PEX, MULTICAMADA, COM TUBO LUVA, DN 32, INSTALADO EM IMPLANTAÇÃO DE INSTALAÇÕES DE GÁS - FORNECIMENTO E INSTALAÇÃO. AF_01/2020</t>
  </si>
  <si>
    <t>49,12</t>
  </si>
  <si>
    <t>100803</t>
  </si>
  <si>
    <t>TUBO, PEX, MULTICAMADA, DN 16, INSTALADO EM RAMAL INTERNO DE INSTALAÇÕES DE GÁS - FORNECIMENTO E INSTALAÇÃO. AF_01/2020</t>
  </si>
  <si>
    <t>17,37</t>
  </si>
  <si>
    <t>100804</t>
  </si>
  <si>
    <t>TUBO, PEX, MULTICAMADA, DN 20, INSTALADO EM RAMAL INTERNO DE INSTALAÇÕES DE GÁS - FORNECIMENTO E INSTALAÇÃO. AF_01/2020</t>
  </si>
  <si>
    <t>26,02</t>
  </si>
  <si>
    <t>100805</t>
  </si>
  <si>
    <t>TUBO, PEX, MULTICAMADA, DN 26, INSTALADO EM RAMAL INTERNO DE INSTALAÇÕES DE GÁS - FORNECIMENTO E INSTALAÇÃO. AF_01/2020</t>
  </si>
  <si>
    <t>34,83</t>
  </si>
  <si>
    <t>100806</t>
  </si>
  <si>
    <t>TUBO, PEX, MULTICAMADA, DN 32, INSTALADO EM RAMAL INTERNO DE INSTALAÇÕES DE GÁS - FORNECIMENTO E INSTALAÇÃO. AF_01/2020</t>
  </si>
  <si>
    <t>47,33</t>
  </si>
  <si>
    <t>100807</t>
  </si>
  <si>
    <t>TUBO, PEX, MULTICAMADA, COM TUBO LUVA, DN 16, INSTALADO EM RAMAL INTERNO DE INSTALAÇÕES DE GÁS - FORNECIMENTO E INSTALAÇÃO. AF_01/2020</t>
  </si>
  <si>
    <t>23,13</t>
  </si>
  <si>
    <t>100808</t>
  </si>
  <si>
    <t>TUBO, PEX, MULTICAMADA, COM TUBO LUVA, DN 20, INSTALADO EM RAMAL INTERNO DE INSTALAÇÕES DE GÁS - FORNECIMENTO E INSTALAÇÃO. AF_01/2020</t>
  </si>
  <si>
    <t>32,79</t>
  </si>
  <si>
    <t>100809</t>
  </si>
  <si>
    <t>TUBO, PEX, MULTICAMADA, COM TUBO LUVA, DN 26, INSTALADO EM RAMAL INTERNO DE INSTALAÇÕES DE GÁS - FORNECIMENTO E INSTALAÇÃO. AF_01/2020</t>
  </si>
  <si>
    <t>42,85</t>
  </si>
  <si>
    <t>100810</t>
  </si>
  <si>
    <t>TUBO, PEX, MULTICAMADA, COM TUBO LUVA, DN 32, INSTALADO EM RAMAL INTERNO DE INSTALAÇÕES DE GÁS - FORNECIMENTO E INSTALAÇÃO. AF_01/2020</t>
  </si>
  <si>
    <t>57,10</t>
  </si>
  <si>
    <t>101918</t>
  </si>
  <si>
    <t>TUBO DE AÇO GALVANIZADO COM COSTURA, CLASSE MÉDIA, DN 100 (4"), CONEXÃO ROSQUEADA, INSTALADO EM PRUMADAS - FORNECIMENTO E INSTALAÇÃO. AF_10/2020</t>
  </si>
  <si>
    <t>288,28</t>
  </si>
  <si>
    <t>101919</t>
  </si>
  <si>
    <t>UNIÃO, EM FERRO GALVANIZADO, 4", CONEXÃO ROSQUEADA, INSTALADO EM PRUMADAS - FORNECIMENTO E INSTALAÇÃO. AF_10/2020</t>
  </si>
  <si>
    <t>323,24</t>
  </si>
  <si>
    <t>101920</t>
  </si>
  <si>
    <t>LUVA, EM FERRO GALVANIZADO, 4", CONEXÃO ROSQUEADA, INSTALADO EM PRUMADAS - FORNECIMENTO E INSTALAÇÃO. AF_10/2020</t>
  </si>
  <si>
    <t>154,23</t>
  </si>
  <si>
    <t>101921</t>
  </si>
  <si>
    <t>LUVA DE REDUÇÃO, EM FERRO GALVANIZADO, 4" X 2 1/2", CONEXÃO ROSQUEADA, INSTALADO EM PRUMADAS - FORNECIMENTO E INSTALAÇÃO. AF_10/2020</t>
  </si>
  <si>
    <t>175,99</t>
  </si>
  <si>
    <t>101922</t>
  </si>
  <si>
    <t>LUVA DE REDUÇÃO, EM FERRO GALVANIZADO, 4" X 2", CONEXÃO ROSQUEADA, INSTALADO EM PRUMADAS - FORNECIMENTO E INSTALAÇÃO. AF_10/2020</t>
  </si>
  <si>
    <t>101923</t>
  </si>
  <si>
    <t>LUVA DE REDUÇÃO, EM FERRO GALVANIZADO, 4" X 3", CONEXÃO ROSQUEADA, INSTALADO EM PRUMADAS - FORNECIMENTO E INSTALAÇÃO. AF_10/2020</t>
  </si>
  <si>
    <t>101924</t>
  </si>
  <si>
    <t>NIPLE, EM FERRO GALVANIZADO, 4", CONEXÃO ROSQUEADA, INSTALADO EM PRUMADAS - FORNECIMENTO E INSTALAÇÃO. AF_10/2020</t>
  </si>
  <si>
    <t>145,12</t>
  </si>
  <si>
    <t>101925</t>
  </si>
  <si>
    <t>JOELHO 90°, EM FERRO GALVANIZADO, 4", CONEXÃO ROSQUEADA, INSTALADO EM PRUMADAS - FORNECIMENTO E INSTALAÇÃO. AF_10/2020</t>
  </si>
  <si>
    <t>242,60</t>
  </si>
  <si>
    <t>101926</t>
  </si>
  <si>
    <t>TÊ, EM FERRO GALVANIZADO, 4", CONEXÃO ROSQUEADA, INSTALADO EM PRUMADAS - FORNECIMENTO E INSTALAÇÃO. AF_10/2020</t>
  </si>
  <si>
    <t>312,80</t>
  </si>
  <si>
    <t>101927</t>
  </si>
  <si>
    <t>TUBO DE AÇO GALVANIZADO COM COSTURA, CLASSE MÉDIA, DN 100 (4"), CONEXÃO ROSQUEADA, INSTALADO EM REDE DE ALIMENTAÇÃO PARA HIDRANTE - FORNECIMENTO E INSTALAÇÃO. AF_10/2020</t>
  </si>
  <si>
    <t>276,44</t>
  </si>
  <si>
    <t>101928</t>
  </si>
  <si>
    <t>UNIÃO, EM FERRO GALVANIZADO, 4", CONEXÃO ROSQUEADA, INSTALADO EM REDE DE ALIMENTAÇÃO PARA HIDRANTE - FORNECIMENTO E INSTALAÇÃO. AF_10/2020</t>
  </si>
  <si>
    <t>327,77</t>
  </si>
  <si>
    <t>101929</t>
  </si>
  <si>
    <t>LUVA, EM FERRO GALVANIZADO, 4", CONEXÃO ROSQUEADA, INSTALADO EM REDE DE ALIMENTAÇÃO PARA HIDRANTE - FORNECIMENTO E INSTALAÇÃO. AF_10/2020</t>
  </si>
  <si>
    <t>158,76</t>
  </si>
  <si>
    <t>101930</t>
  </si>
  <si>
    <t>LUVA DE REDUÇÃO, EM FERRO GALVANIZADO, 4" X 2 1/2", CONEXÃO ROSQUEADA, INSTALADO EM REDE DE ALIMENTAÇÃO PARA HIDRANTE - FORNECIMENTO E INSTALAÇÃO. AF_10/2020</t>
  </si>
  <si>
    <t>180,52</t>
  </si>
  <si>
    <t>101931</t>
  </si>
  <si>
    <t>LUVA DE REDUÇÃO, EM FERRO GALVANIZADO, 4" X 2", CONEXÃO ROSQUEADA, INSTALADO EM REDE DE ALIMENTAÇÃO PARA HIDRANTE - FORNECIMENTO E INSTALAÇÃO. AF_10/2020</t>
  </si>
  <si>
    <t>101932</t>
  </si>
  <si>
    <t>LUVA DE REDUÇÃO, EM FERRO GALVANIZADO, 4" X 3", CONEXÃO ROSQUEADA, INSTALADO EM REDE DE ALIMENTAÇÃO PARA HIDRANTE - FORNECIMENTO E INSTALAÇÃO. AF_10/2020</t>
  </si>
  <si>
    <t>101933</t>
  </si>
  <si>
    <t>NIPLE, EM FERRO GALVANIZADO, 4", CONEXÃO ROSQUEADA, INSTALADO EM REDE DE ALIMENTAÇÃO PARA HIDRANTE - FORNECIMENTO E INSTALAÇÃO. AF_10/2020</t>
  </si>
  <si>
    <t>149,65</t>
  </si>
  <si>
    <t>101934</t>
  </si>
  <si>
    <t>JOELHO 90°, EM FERRO GALVANIZADO, 4", CONEXÃO ROSQUEADA, INSTALADO EM REDE DE ALIMENTAÇÃO PARA HIDRANTE - FORNECIMENTO E INSTALAÇÃO. AF_10/2020</t>
  </si>
  <si>
    <t>249,40</t>
  </si>
  <si>
    <t>101935</t>
  </si>
  <si>
    <t>TÊ, EM FERRO GALVANIZADO, 4", CONEXÃO ROSQUEADA, INSTALADO EM REDE DE ALIMENTAÇÃO PARA HIDRANTE - FORNECIMENTO E INSTALAÇÃO. AF_10/2020</t>
  </si>
  <si>
    <t>321,87</t>
  </si>
  <si>
    <t>89358</t>
  </si>
  <si>
    <t>JOELHO 90 GRAUS, PVC, SOLDÁVEL, DN 20MM, INSTALADO EM RAMAL OU SUB-RAMAL DE ÁGUA - FORNECIMENTO E INSTALAÇÃO. AF_12/2014</t>
  </si>
  <si>
    <t>6,78</t>
  </si>
  <si>
    <t>89359</t>
  </si>
  <si>
    <t>JOELHO 45 GRAUS, PVC, SOLDÁVEL, DN 20MM, INSTALADO EM RAMAL OU SUB-RAMAL DE ÁGUA - FORNECIMENTO E INSTALAÇÃO. AF_12/2014</t>
  </si>
  <si>
    <t>89360</t>
  </si>
  <si>
    <t>CURVA 90 GRAUS, PVC, SOLDÁVEL, DN 20MM, INSTALADO EM RAMAL OU SUB-RAMAL DE ÁGUA - FORNECIMENTO E INSTALAÇÃO. AF_12/2014</t>
  </si>
  <si>
    <t>89361</t>
  </si>
  <si>
    <t>CURVA 45 GRAUS, PVC, SOLDÁVEL, DN 20MM, INSTALADO EM RAMAL OU SUB-RAMAL DE ÁGUA - FORNECIMENTO E INSTALAÇÃO. AF_12/2014</t>
  </si>
  <si>
    <t>8,76</t>
  </si>
  <si>
    <t>89362</t>
  </si>
  <si>
    <t>JOELHO 90 GRAUS, PVC, SOLDÁVEL, DN 25MM, INSTALADO EM RAMAL OU SUB-RAMAL DE ÁGUA - FORNECIMENTO E INSTALAÇÃO. AF_12/2014</t>
  </si>
  <si>
    <t>89363</t>
  </si>
  <si>
    <t>JOELHO 45 GRAUS, PVC, SOLDÁVEL, DN 25MM, INSTALADO EM RAMAL OU SUB-RAMAL DE ÁGUA - FORNECIMENTO E INSTALAÇÃO. AF_12/2014</t>
  </si>
  <si>
    <t>89364</t>
  </si>
  <si>
    <t>CURVA 90 GRAUS, PVC, SOLDÁVEL, DN 25MM, INSTALADO EM RAMAL OU SUB-RAMAL DE ÁGUA - FORNECIMENTO E INSTALAÇÃO. AF_12/2014</t>
  </si>
  <si>
    <t>89365</t>
  </si>
  <si>
    <t>CURVA 45 GRAUS, PVC, SOLDÁVEL, DN 25MM, INSTALADO EM RAMAL OU SUB-RAMAL DE ÁGUA - FORNECIMENTO E INSTALAÇÃO. AF_12/2014</t>
  </si>
  <si>
    <t>10,69</t>
  </si>
  <si>
    <t>89366</t>
  </si>
  <si>
    <t>JOELHO 90 GRAUS COM BUCHA DE LATÃO, PVC, SOLDÁVEL, DN 25MM, X 3/4 INSTALADO EM RAMAL OU SUB-RAMAL DE ÁGUA - FORNECIMENTO E INSTALAÇÃO. AF_12/2014</t>
  </si>
  <si>
    <t>18,31</t>
  </si>
  <si>
    <t>89367</t>
  </si>
  <si>
    <t>JOELHO 90 GRAUS, PVC, SOLDÁVEL, DN 32MM, INSTALADO EM RAMAL OU SUB-RAMAL DE ÁGUA - FORNECIMENTO E INSTALAÇÃO. AF_12/2014</t>
  </si>
  <si>
    <t>11,90</t>
  </si>
  <si>
    <t>89368</t>
  </si>
  <si>
    <t>JOELHO 45 GRAUS, PVC, SOLDÁVEL, DN 32MM, INSTALADO EM RAMAL OU SUB-RAMAL DE ÁGUA - FORNECIMENTO E INSTALAÇÃO. AF_12/2014</t>
  </si>
  <si>
    <t>15,25</t>
  </si>
  <si>
    <t>89369</t>
  </si>
  <si>
    <t>CURVA 90 GRAUS, PVC, SOLDÁVEL, DN 32MM, INSTALADO EM RAMAL OU SUB-RAMAL DE ÁGUA - FORNECIMENTO E INSTALAÇÃO. AF_12/2014</t>
  </si>
  <si>
    <t>19,40</t>
  </si>
  <si>
    <t>89370</t>
  </si>
  <si>
    <t>CURVA 45 GRAUS, PVC, SOLDÁVEL, DN 32MM, INSTALADO EM RAMAL OU SUB-RAMAL DE ÁGUA - FORNECIMENTO E INSTALAÇÃO. AF_12/2014</t>
  </si>
  <si>
    <t>14,55</t>
  </si>
  <si>
    <t>89371</t>
  </si>
  <si>
    <t>LUVA, PVC, SOLDÁVEL, DN 20MM, INSTALADO EM RAMAL OU SUB-RAMAL DE ÁGUA - FORNECIMENTO E INSTALAÇÃO. AF_12/2014</t>
  </si>
  <si>
    <t>89372</t>
  </si>
  <si>
    <t>LUVA DE CORRER, PVC, SOLDÁVEL, DN 20MM, INSTALADO EM RAMAL OU SUB-RAMAL DE ÁGUA - FORNECIMENTO E INSTALAÇÃO. AF_12/2014</t>
  </si>
  <si>
    <t>16,31</t>
  </si>
  <si>
    <t>89373</t>
  </si>
  <si>
    <t>LUVA DE REDUÇÃO, PVC, SOLDÁVEL, DN 25MM X 20MM, INSTALADO EM RAMAL OU SUB-RAMAL DE ÁGUA - FORNECIMENTO E INSTALAÇÃO. AF_12/2014</t>
  </si>
  <si>
    <t>89374</t>
  </si>
  <si>
    <t>LUVA COM BUCHA DE LATÃO, PVC, SOLDÁVEL, DN 20MM X 1/2, INSTALADO EM RAMAL OU SUB-RAMAL DE ÁGUA - FORNECIMENTO E INSTALAÇÃO. AF_12/2014</t>
  </si>
  <si>
    <t>89375</t>
  </si>
  <si>
    <t>UNIÃO, PVC, SOLDÁVEL, DN 20MM, INSTALADO EM RAMAL OU SUB-RAMAL DE ÁGUA - FORNECIMENTO E INSTALAÇÃO. AF_12/2014</t>
  </si>
  <si>
    <t>15,87</t>
  </si>
  <si>
    <t>89376</t>
  </si>
  <si>
    <t>ADAPTADOR CURTO COM BOLSA E ROSCA PARA REGISTRO, PVC, SOLDÁVEL, DN 20MM X 1/2, INSTALADO EM RAMAL OU SUB-RAMAL DE ÁGUA - FORNECIMENTO E INSTALAÇÃO. AF_12/2014</t>
  </si>
  <si>
    <t>5,37</t>
  </si>
  <si>
    <t>89377</t>
  </si>
  <si>
    <t>CURVA DE TRANSPOSIÇÃO, PVC, SOLDÁVEL, DN 20MM, INSTALADO EM RAMAL OU SUB-RAMAL DE ÁGUA - FORNECIMENTO E INSTALAÇÃO. AF_12/2014</t>
  </si>
  <si>
    <t>89378</t>
  </si>
  <si>
    <t>LUVA, PVC, SOLDÁVEL, DN 25MM, INSTALADO EM RAMAL OU SUB-RAMAL DE ÁGUA - FORNECIMENTO E INSTALAÇÃO. AF_12/2014</t>
  </si>
  <si>
    <t>6,26</t>
  </si>
  <si>
    <t>89379</t>
  </si>
  <si>
    <t>LUVA DE CORRER, PVC, SOLDÁVEL, DN 25MM, INSTALADO EM RAMAL OU SUB-RAMAL DE ÁGUA - FORNECIMENTO E INSTALAÇÃO. AF_12/2014</t>
  </si>
  <si>
    <t>20,98</t>
  </si>
  <si>
    <t>89380</t>
  </si>
  <si>
    <t>LUVA DE REDUÇÃO, PVC, SOLDÁVEL, DN 32MM X 25MM, INSTALADO EM RAMAL OU SUB-RAMAL DE ÁGUA - FORNECIMENTO E INSTALAÇÃO. AF_12/2014</t>
  </si>
  <si>
    <t>10,78</t>
  </si>
  <si>
    <t>89381</t>
  </si>
  <si>
    <t>LUVA COM BUCHA DE LATÃO, PVC, SOLDÁVEL, DN 25MM X 3/4, INSTALADO EM RAMAL OU SUB-RAMAL DE ÁGUA - FORNECIMENTO E INSTALAÇÃO. AF_12/2014</t>
  </si>
  <si>
    <t>89382</t>
  </si>
  <si>
    <t>UNIÃO, PVC, SOLDÁVEL, DN 25MM, INSTALADO EM RAMAL OU SUB-RAMAL DE ÁGUA - FORNECIMENTO E INSTALAÇÃO. AF_12/2014</t>
  </si>
  <si>
    <t>18,94</t>
  </si>
  <si>
    <t>89383</t>
  </si>
  <si>
    <t>ADAPTADOR CURTO COM BOLSA E ROSCA PARA REGISTRO, PVC, SOLDÁVEL, DN 25MM X 3/4, INSTALADO EM RAMAL OU SUB-RAMAL DE ÁGUA - FORNECIMENTO E INSTALAÇÃO. AF_12/2014</t>
  </si>
  <si>
    <t>6,40</t>
  </si>
  <si>
    <t>89384</t>
  </si>
  <si>
    <t>CURVA DE TRANSPOSIÇÃO, PVC, SOLDÁVEL, DN 25MM, INSTALADO EM RAMAL OU SUB-RAMAL DE ÁGUA   FORNECIMENTO E INSTALAÇÃO. AF_12/2014</t>
  </si>
  <si>
    <t>89385</t>
  </si>
  <si>
    <t>LUVA SOLDÁVEL E COM ROSCA, PVC, SOLDÁVEL, DN 25MM X 3/4, INSTALADO EM RAMAL OU SUB-RAMAL DE ÁGUA - FORNECIMENTO E INSTALAÇÃO. AF_12/2014</t>
  </si>
  <si>
    <t>89386</t>
  </si>
  <si>
    <t>LUVA, PVC, SOLDÁVEL, DN 32MM, INSTALADO EM RAMAL OU SUB-RAMAL DE ÁGUA - FORNECIMENTO E INSTALAÇÃO. AF_12/2014</t>
  </si>
  <si>
    <t>89387</t>
  </si>
  <si>
    <t>LUVA DE CORRER, PVC, SOLDÁVEL, DN 32MM, INSTALADO EM RAMAL OU SUB-RAMAL DE ÁGUA   FORNECIMENTO E INSTALAÇÃO. AF_12/2014</t>
  </si>
  <si>
    <t>44,30</t>
  </si>
  <si>
    <t>89388</t>
  </si>
  <si>
    <t>LUVA DE REDUÇÃO, PVC, SOLDÁVEL, DN 40MM X 32MM, INSTALADO EM RAMAL OU SUB-RAMAL DE ÁGUA - FORNECIMENTO E INSTALAÇÃO. AF_12/2014</t>
  </si>
  <si>
    <t>89389</t>
  </si>
  <si>
    <t>LUVA SOLDÁVEL E COM ROSCA, PVC, SOLDÁVEL, DN 32MM X 1, INSTALADO EM RAMAL OU SUB-RAMAL DE ÁGUA - FORNECIMENTO E INSTALAÇÃO. AF_12/2014</t>
  </si>
  <si>
    <t>14,49</t>
  </si>
  <si>
    <t>89390</t>
  </si>
  <si>
    <t>UNIÃO, PVC, SOLDÁVEL, DN 32MM, INSTALADO EM RAMAL OU SUB-RAMAL DE ÁGUA - FORNECIMENTO E INSTALAÇÃO. AF_12/2014</t>
  </si>
  <si>
    <t>28,97</t>
  </si>
  <si>
    <t>89391</t>
  </si>
  <si>
    <t>ADAPTADOR CURTO COM BOLSA E ROSCA PARA REGISTRO, PVC, SOLDÁVEL, DN 32MM X 1, INSTALADO EM RAMAL OU SUB-RAMAL DE ÁGUA - FORNECIMENTO E INSTALAÇÃO. AF_12/2014</t>
  </si>
  <si>
    <t>8,99</t>
  </si>
  <si>
    <t>89392</t>
  </si>
  <si>
    <t>CURVA DE TRANSPOSIÇÃO, PVC, SOLDÁVEL, DN 32MM, INSTALADO EM RAMAL OU SUB-RAMAL DE ÁGUA   FORNECIMENTO E INSTALAÇÃO. AF_12/2014</t>
  </si>
  <si>
    <t>35,02</t>
  </si>
  <si>
    <t>89393</t>
  </si>
  <si>
    <t>TE, PVC, SOLDÁVEL, DN 20MM, INSTALADO EM RAMAL OU SUB-RAMAL DE ÁGUA - FORNECIMENTO E INSTALAÇÃO. AF_12/2014</t>
  </si>
  <si>
    <t>9,56</t>
  </si>
  <si>
    <t>89394</t>
  </si>
  <si>
    <t>TÊ COM BUCHA DE LATÃO NA BOLSA CENTRAL, PVC, SOLDÁVEL, DN 20MM X 1/2, INSTALADO EM RAMAL OU SUB-RAMAL DE ÁGUA - FORNECIMENTO E INSTALAÇÃO. AF_12/2014</t>
  </si>
  <si>
    <t>89395</t>
  </si>
  <si>
    <t>TE, PVC, SOLDÁVEL, DN 25MM, INSTALADO EM RAMAL OU SUB-RAMAL DE ÁGUA - FORNECIMENTO E INSTALAÇÃO. AF_12/2014</t>
  </si>
  <si>
    <t>11,50</t>
  </si>
  <si>
    <t>89396</t>
  </si>
  <si>
    <t>TÊ COM BUCHA DE LATÃO NA BOLSA CENTRAL, PVC, SOLDÁVEL, DN 25MM X 1/2, INSTALADO EM RAMAL OU SUB-RAMAL DE ÁGUA - FORNECIMENTO E INSTALAÇÃO. AF_12/2014</t>
  </si>
  <si>
    <t>89397</t>
  </si>
  <si>
    <t>TÊ DE REDUÇÃO, PVC, SOLDÁVEL, DN 25MM X 20MM, INSTALADO EM RAMAL OU SUB-RAMAL DE ÁGUA - FORNECIMENTO E INSTALAÇÃO. AF_12/2014</t>
  </si>
  <si>
    <t>14,65</t>
  </si>
  <si>
    <t>89398</t>
  </si>
  <si>
    <t>TE, PVC, SOLDÁVEL, DN 32MM, INSTALADO EM RAMAL OU SUB-RAMAL DE ÁGUA - FORNECIMENTO E INSTALAÇÃO. AF_12/2014</t>
  </si>
  <si>
    <t>18,10</t>
  </si>
  <si>
    <t>89399</t>
  </si>
  <si>
    <t>TÊ COM BUCHA DE LATÃO NA BOLSA CENTRAL, PVC, SOLDÁVEL, DN 32MM X 3/4, INSTALADO EM RAMAL OU SUB-RAMAL DE ÁGUA - FORNECIMENTO E INSTALAÇÃO. AF_12/2014</t>
  </si>
  <si>
    <t>38,13</t>
  </si>
  <si>
    <t>89400</t>
  </si>
  <si>
    <t>TÊ DE REDUÇÃO, PVC, SOLDÁVEL, DN 32MM X 25MM, INSTALADO EM RAMAL OU SUB-RAMAL DE ÁGUA - FORNECIMENTO E INSTALAÇÃO. AF_12/2014</t>
  </si>
  <si>
    <t>89404</t>
  </si>
  <si>
    <t>JOELHO 90 GRAUS, PVC, SOLDÁVEL, DN 20MM, INSTALADO EM RAMAL DE DISTRIBUIÇÃO DE ÁGUA - FORNECIMENTO E INSTALAÇÃO. AF_12/2014</t>
  </si>
  <si>
    <t>4,71</t>
  </si>
  <si>
    <t>89405</t>
  </si>
  <si>
    <t>JOELHO 45 GRAUS, PVC, SOLDÁVEL, DN 20MM, INSTALADO EM RAMAL DE DISTRIBUIÇÃO DE ÁGUA - FORNECIMENTO E INSTALAÇÃO. AF_12/2014</t>
  </si>
  <si>
    <t>5,27</t>
  </si>
  <si>
    <t>89406</t>
  </si>
  <si>
    <t>CURVA 90 GRAUS, PVC, SOLDÁVEL, DN 20MM, INSTALADO EM RAMAL DE DISTRIBUIÇÃO DE ÁGUA - FORNECIMENTO E INSTALAÇÃO. AF_12/2014</t>
  </si>
  <si>
    <t>7,60</t>
  </si>
  <si>
    <t>89407</t>
  </si>
  <si>
    <t>CURVA 45 GRAUS, PVC, SOLDÁVEL, DN 20MM, INSTALADO EM RAMAL DE DISTRIBUIÇÃO DE ÁGUA - FORNECIMENTO E INSTALAÇÃO. AF_12/2014</t>
  </si>
  <si>
    <t>89408</t>
  </si>
  <si>
    <t>JOELHO 90 GRAUS, PVC, SOLDÁVEL, DN 25MM, INSTALADO EM RAMAL DE DISTRIBUIÇÃO DE ÁGUA - FORNECIMENTO E INSTALAÇÃO. AF_12/2014</t>
  </si>
  <si>
    <t>89409</t>
  </si>
  <si>
    <t>JOELHO 45 GRAUS, PVC, SOLDÁVEL, DN 25MM, INSTALADO EM RAMAL DE DISTRIBUIÇÃO DE ÁGUA - FORNECIMENTO E INSTALAÇÃO. AF_12/2014</t>
  </si>
  <si>
    <t>89410</t>
  </si>
  <si>
    <t>CURVA 90 GRAUS, PVC, SOLDÁVEL, DN 25MM, INSTALADO EM RAMAL DE DISTRIBUIÇÃO DE ÁGUA - FORNECIMENTO E INSTALAÇÃO. AF_12/2014</t>
  </si>
  <si>
    <t>9,40</t>
  </si>
  <si>
    <t>89411</t>
  </si>
  <si>
    <t>CURVA 45 GRAUS, PVC, SOLDÁVEL, DN 25MM, INSTALADO EM RAMAL DE DISTRIBUIÇÃO DE ÁGUA - FORNECIMENTO E INSTALAÇÃO. AF_12/2014</t>
  </si>
  <si>
    <t>8,30</t>
  </si>
  <si>
    <t>89412</t>
  </si>
  <si>
    <t>JOELHO 90 GRAUS, PVC, SOLDÁVEL, DN 25MM, X 3/4 INSTALADO EM RAMAL DE DISTRIBUIÇÃO DE ÁGUA - FORNECIMENTO E INSTALAÇÃO. AF_12/2014</t>
  </si>
  <si>
    <t>89413</t>
  </si>
  <si>
    <t>JOELHO 90 GRAUS, PVC, SOLDÁVEL, DN 32MM, INSTALADO EM RAMAL DE DISTRIBUIÇÃO DE ÁGUA - FORNECIMENTO E INSTALAÇÃO. AF_12/2014</t>
  </si>
  <si>
    <t>9,04</t>
  </si>
  <si>
    <t>89414</t>
  </si>
  <si>
    <t>JOELHO 45 GRAUS, PVC, SOLDÁVEL, DN 32MM, INSTALADO EM RAMAL DE DISTRIBUIÇÃO DE ÁGUA - FORNECIMENTO E INSTALAÇÃO. AF_12/2014</t>
  </si>
  <si>
    <t>12,39</t>
  </si>
  <si>
    <t>89415</t>
  </si>
  <si>
    <t>CURVA 90 GRAUS, PVC, SOLDÁVEL, DN 32MM, INSTALADO EM RAMAL DE DISTRIBUIÇÃO DE ÁGUA - FORNECIMENTO E INSTALAÇÃO. AF_12/2014</t>
  </si>
  <si>
    <t>89416</t>
  </si>
  <si>
    <t>CURVA 45 GRAUS, PVC, SOLDÁVEL, DN 32MM, INSTALADO EM RAMAL DE DISTRIBUIÇÃO DE ÁGUA - FORNECIMENTO E INSTALAÇÃO. AF_12/2014</t>
  </si>
  <si>
    <t>11,69</t>
  </si>
  <si>
    <t>89417</t>
  </si>
  <si>
    <t>LUVA, PVC, SOLDÁVEL, DN 20MM, INSTALADO EM RAMAL DE DISTRIBUIÇÃO DE ÁGUA - FORNECIMENTO E INSTALAÇÃO. AF_12/2014</t>
  </si>
  <si>
    <t>89418</t>
  </si>
  <si>
    <t>LUVA DE CORRER, PVC, SOLDÁVEL, DN 20MM, INSTALADO EM RAMAL DE DISTRIBUIÇÃO DE ÁGUA - FORNECIMENTO E INSTALAÇÃO. AF_12/2014</t>
  </si>
  <si>
    <t>14,96</t>
  </si>
  <si>
    <t>89419</t>
  </si>
  <si>
    <t>LUVA DE REDUÇÃO, PVC, SOLDÁVEL, DN 25MM X 20MM, INSTALADO EM RAMAL DE DISTRIBUIÇÃO DE ÁGUA - FORNECIMENTO E INSTALAÇÃO. AF_12/2014</t>
  </si>
  <si>
    <t>89420</t>
  </si>
  <si>
    <t>LUVA COM BUCHA DE LATÃO, PVC, SOLDÁVEL, DN 20MM X 1/2, INSTALADO EM RAMAL DE DISTRIBUIÇÃO DE ÁGUA - FORNECIMENTO E INSTALAÇÃO. AF_12/2014</t>
  </si>
  <si>
    <t>89421</t>
  </si>
  <si>
    <t>UNIÃO, PVC, SOLDÁVEL, DN 20MM, INSTALADO EM RAMAL DE DISTRIBUIÇÃO DE ÁGUA - FORNECIMENTO E INSTALAÇÃO. AF_12/2014</t>
  </si>
  <si>
    <t>89422</t>
  </si>
  <si>
    <t>ADAPTADOR CURTO COM BOLSA E ROSCA PARA REGISTRO, PVC, SOLDÁVEL, DN 20MM X 1/2, INSTALADO EM RAMAL DE DISTRIBUIÇÃO DE ÁGUA - FORNECIMENTO E INSTALAÇÃO. AF_12/2014</t>
  </si>
  <si>
    <t>89423</t>
  </si>
  <si>
    <t>CURVA DE TRANSPOSIÇÃO, PVC, SOLDÁVEL, DN 20MM, INSTALADO EM RAMAL DE DISTRIBUIÇÃO DE ÁGUA   FORNECIMENTO E INSTALAÇÃO. AF_12/2014</t>
  </si>
  <si>
    <t>9,82</t>
  </si>
  <si>
    <t>89424</t>
  </si>
  <si>
    <t>LUVA, PVC, SOLDÁVEL, DN 25MM, INSTALADO EM RAMAL DE DISTRIBUIÇÃO DE ÁGUA - FORNECIMENTO E INSTALAÇÃO. AF_12/2014</t>
  </si>
  <si>
    <t>89425</t>
  </si>
  <si>
    <t>LUVA DE CORRER, PVC, SOLDÁVEL, DN 25MM, INSTALADO EM RAMAL DE DISTRIBUIÇÃO DE ÁGUA - FORNECIMENTO E INSTALAÇÃO. AF_12/2014</t>
  </si>
  <si>
    <t>89426</t>
  </si>
  <si>
    <t>LUVA DE REDUÇÃO, PVC, SOLDÁVEL, DN 32MM X 25MM, INSTALADO EM RAMAL DE DISTRIBUIÇÃO DE ÁGUA - FORNECIMENTO E INSTALAÇÃO. AF_12/2014</t>
  </si>
  <si>
    <t>89427</t>
  </si>
  <si>
    <t>LUVA COM BUCHA DE LATÃO, PVC, SOLDÁVEL, DN 25MM X 3/4, INSTALADO EM RAMAL DE DISTRIBUIÇÃO DE ÁGUA - FORNECIMENTO E INSTALAÇÃO. AF_12/2014</t>
  </si>
  <si>
    <t>13,97</t>
  </si>
  <si>
    <t>89428</t>
  </si>
  <si>
    <t>UNIÃO, PVC, SOLDÁVEL, DN 25MM, INSTALADO EM RAMAL DE DISTRIBUIÇÃO DE ÁGUA - FORNECIMENTO E INSTALAÇÃO. AF_12/2014</t>
  </si>
  <si>
    <t>17,34</t>
  </si>
  <si>
    <t>89429</t>
  </si>
  <si>
    <t>ADAPTADOR CURTO COM BOLSA E ROSCA PARA REGISTRO, PVC, SOLDÁVEL, DN 25MM X 3/4, INSTALADO EM RAMAL DE DISTRIBUIÇÃO DE ÁGUA - FORNECIMENTO E INSTALAÇÃO. AF_12/2014</t>
  </si>
  <si>
    <t>89430</t>
  </si>
  <si>
    <t>CURVA DE TRANSPOSIÇÃO, PVC, SOLDÁVEL, DN 25MM, INSTALADO EM RAMAL DE DISTRIBUIÇÃO DE ÁGUA   FORNECIMENTO E INSTALAÇÃO. AF_12/2014</t>
  </si>
  <si>
    <t>14,21</t>
  </si>
  <si>
    <t>89431</t>
  </si>
  <si>
    <t>LUVA, PVC, SOLDÁVEL, DN 32MM, INSTALADO EM RAMAL DE DISTRIBUIÇÃO DE ÁGUA - FORNECIMENTO E INSTALAÇÃO. AF_12/2014</t>
  </si>
  <si>
    <t>7,24</t>
  </si>
  <si>
    <t>89432</t>
  </si>
  <si>
    <t>LUVA DE CORRER, PVC, SOLDÁVEL, DN 32MM, INSTALADO EM RAMAL DE DISTRIBUIÇÃO DE ÁGUA   FORNECIMENTO E INSTALAÇÃO. AF_12/2014</t>
  </si>
  <si>
    <t>42,38</t>
  </si>
  <si>
    <t>89433</t>
  </si>
  <si>
    <t>LUVA DE REDUÇÃO, PVC, SOLDÁVEL, DN 40MM X 32MM, INSTALADO EM RAMAL DE DISTRIBUIÇÃO DE ÁGUA - FORNECIMENTO E INSTALAÇÃO. AF_12/2014</t>
  </si>
  <si>
    <t>11,21</t>
  </si>
  <si>
    <t>89434</t>
  </si>
  <si>
    <t>LUVA SOLDÁVEL E COM ROSCA, PVC, SOLDÁVEL, DN 32MM X 1, INSTALADO EM RAMAL DE DISTRIBUIÇÃO DE ÁGUA - FORNECIMENTO E INSTALAÇÃO. AF_12/2014</t>
  </si>
  <si>
    <t>89435</t>
  </si>
  <si>
    <t>UNIÃO, PVC, SOLDÁVEL, DN 32MM, INSTALADO EM RAMAL DE DISTRIBUIÇÃO DE ÁGUA - FORNECIMENTO E INSTALAÇÃO. AF_12/2014</t>
  </si>
  <si>
    <t>27,05</t>
  </si>
  <si>
    <t>89436</t>
  </si>
  <si>
    <t>ADAPTADOR CURTO COM BOLSA E ROSCA PARA REGISTRO, PVC, SOLDÁVEL, DN 32MM X 1, INSTALADO EM RAMAL DE DISTRIBUIÇÃO DE ÁGUA - FORNECIMENTO E INSTALAÇÃO. AF_12/2014</t>
  </si>
  <si>
    <t>7,07</t>
  </si>
  <si>
    <t>89437</t>
  </si>
  <si>
    <t>CURVA DE TRANSPOSIÇÃO, PVC, SOLDÁVEL, DN 32MM, INSTALADO EM RAMAL DE DISTRIBUIÇÃO DE ÁGUA   FORNECIMENTO E INSTALAÇÃO. AF_12/2014</t>
  </si>
  <si>
    <t>89438</t>
  </si>
  <si>
    <t>TE, PVC, SOLDÁVEL, DN 20MM, INSTALADO EM RAMAL DE DISTRIBUIÇÃO DE ÁGUA - FORNECIMENTO E INSTALAÇÃO. AF_12/2014</t>
  </si>
  <si>
    <t>6,81</t>
  </si>
  <si>
    <t>89439</t>
  </si>
  <si>
    <t>TÊ SOLDÁVEL E COM ROSCA NA BOLSA CENTRAL, PVC, SOLDÁVEL, DN 20MM X 1/2, INSTALADO EM RAMAL DE DISTRIBUIÇÃO DE ÁGUA - FORNECIMENTO E INSTALAÇÃO. AF_12/2014</t>
  </si>
  <si>
    <t>9,97</t>
  </si>
  <si>
    <t>89440</t>
  </si>
  <si>
    <t>TE, PVC, SOLDÁVEL, DN 25MM, INSTALADO EM RAMAL DE DISTRIBUIÇÃO DE ÁGUA - FORNECIMENTO E INSTALAÇÃO. AF_12/2014</t>
  </si>
  <si>
    <t>8,32</t>
  </si>
  <si>
    <t>89441</t>
  </si>
  <si>
    <t>TÊ COM BUCHA DE LATÃO NA BOLSA CENTRAL, PVC, SOLDÁVEL, DN 25MM X 1/2, INSTALADO EM RAMAL DE DISTRIBUIÇÃO DE ÁGUA - FORNECIMENTO E INSTALAÇÃO. AF_12/2014</t>
  </si>
  <si>
    <t>20,12</t>
  </si>
  <si>
    <t>89442</t>
  </si>
  <si>
    <t>TÊ DE REDUÇÃO, PVC, SOLDÁVEL, DN 25MM X 20MM, INSTALADO EM RAMAL DE DISTRIBUIÇÃO DE ÁGUA - FORNECIMENTO E INSTALAÇÃO. AF_12/2014</t>
  </si>
  <si>
    <t>11,47</t>
  </si>
  <si>
    <t>89443</t>
  </si>
  <si>
    <t>TE, PVC, SOLDÁVEL, DN 32MM, INSTALADO EM RAMAL DE DISTRIBUIÇÃO DE ÁGUA - FORNECIMENTO E INSTALAÇÃO. AF_12/2014</t>
  </si>
  <si>
    <t>14,30</t>
  </si>
  <si>
    <t>89444</t>
  </si>
  <si>
    <t>TÊ COM BUCHA DE LATÃO NA BOLSA CENTRAL, PVC, SOLDÁVEL, DN 32MM X 3/4, INSTALADO EM RAMAL DE DISTRIBUIÇÃO DE ÁGUA - FORNECIMENTO E INSTALAÇÃO. AF_12/2014</t>
  </si>
  <si>
    <t>34,33</t>
  </si>
  <si>
    <t>89445</t>
  </si>
  <si>
    <t>TÊ DE REDUÇÃO, PVC, SOLDÁVEL, DN 32MM X 25MM, INSTALADO EM RAMAL DE DISTRIBUIÇÃO DE ÁGUA - FORNECIMENTO E INSTALAÇÃO. AF_12/2014</t>
  </si>
  <si>
    <t>17,43</t>
  </si>
  <si>
    <t>89481</t>
  </si>
  <si>
    <t>JOELHO 90 GRAUS, PVC, SOLDÁVEL, DN 25MM, INSTALADO EM PRUMADA DE ÁGUA - FORNECIMENTO E INSTALAÇÃO. AF_12/2014</t>
  </si>
  <si>
    <t>4,54</t>
  </si>
  <si>
    <t>89485</t>
  </si>
  <si>
    <t>JOELHO 45 GRAUS, PVC, SOLDÁVEL, DN 25MM, INSTALADO EM PRUMADA DE ÁGUA - FORNECIMENTO E INSTALAÇÃO. AF_12/2014</t>
  </si>
  <si>
    <t>89489</t>
  </si>
  <si>
    <t>CURVA 90 GRAUS, PVC, SOLDÁVEL, DN 25MM, INSTALADO EM PRUMADA DE ÁGUA - FORNECIMENTO E INSTALAÇÃO. AF_12/2014</t>
  </si>
  <si>
    <t>8,20</t>
  </si>
  <si>
    <t>89490</t>
  </si>
  <si>
    <t>CURVA 45 GRAUS, PVC, SOLDÁVEL, DN 25MM, INSTALADO EM PRUMADA DE ÁGUA - FORNECIMENTO E INSTALAÇÃO. AF_12/2014</t>
  </si>
  <si>
    <t>7,10</t>
  </si>
  <si>
    <t>89492</t>
  </si>
  <si>
    <t>JOELHO 90 GRAUS, PVC, SOLDÁVEL, DN 32MM, INSTALADO EM PRUMADA DE ÁGUA - FORNECIMENTO E INSTALAÇÃO. AF_12/2014</t>
  </si>
  <si>
    <t>7,68</t>
  </si>
  <si>
    <t>89493</t>
  </si>
  <si>
    <t>JOELHO 45 GRAUS, PVC, SOLDÁVEL, DN 32MM, INSTALADO EM PRUMADA DE ÁGUA - FORNECIMENTO E INSTALAÇÃO. AF_12/2014</t>
  </si>
  <si>
    <t>11,03</t>
  </si>
  <si>
    <t>89494</t>
  </si>
  <si>
    <t>CURVA 90 GRAUS, PVC, SOLDÁVEL, DN 32MM, INSTALADO EM PRUMADA DE ÁGUA - FORNECIMENTO E INSTALAÇÃO. AF_12/2014</t>
  </si>
  <si>
    <t>89496</t>
  </si>
  <si>
    <t>CURVA 45 GRAUS, PVC, SOLDÁVEL, DN 32MM, INSTALADO EM PRUMADA DE ÁGUA - FORNECIMENTO E INSTALAÇÃO. AF_12/2014</t>
  </si>
  <si>
    <t>10,33</t>
  </si>
  <si>
    <t>89497</t>
  </si>
  <si>
    <t>JOELHO 90 GRAUS, PVC, SOLDÁVEL, DN 40MM, INSTALADO EM PRUMADA DE ÁGUA - FORNECIMENTO E INSTALAÇÃO. AF_12/2014</t>
  </si>
  <si>
    <t>13,41</t>
  </si>
  <si>
    <t>89498</t>
  </si>
  <si>
    <t>JOELHO 45 GRAUS, PVC, SOLDÁVEL, DN 40MM, INSTALADO EM PRUMADA DE ÁGUA - FORNECIMENTO E INSTALAÇÃO. AF_12/2014</t>
  </si>
  <si>
    <t>14,94</t>
  </si>
  <si>
    <t>89499</t>
  </si>
  <si>
    <t>CURVA 90 GRAUS, PVC, SOLDÁVEL, DN 40MM, INSTALADO EM PRUMADA DE ÁGUA - FORNECIMENTO E INSTALAÇÃO. AF_12/2014</t>
  </si>
  <si>
    <t>89500</t>
  </si>
  <si>
    <t>CURVA 45 GRAUS, PVC, SOLDÁVEL, DN 40MM, INSTALADO EM PRUMADA DE ÁGUA - FORNECIMENTO E INSTALAÇÃO. AF_12/2014</t>
  </si>
  <si>
    <t>89501</t>
  </si>
  <si>
    <t>JOELHO 90 GRAUS, PVC, SOLDÁVEL, DN 50MM, INSTALADO EM PRUMADA DE ÁGUA - FORNECIMENTO E INSTALAÇÃO. AF_12/2014</t>
  </si>
  <si>
    <t>89502</t>
  </si>
  <si>
    <t>JOELHO 45 GRAUS, PVC, SOLDÁVEL, DN 50MM, INSTALADO EM PRUMADA DE ÁGUA - FORNECIMENTO E INSTALAÇÃO. AF_12/2014</t>
  </si>
  <si>
    <t>18,58</t>
  </si>
  <si>
    <t>89503</t>
  </si>
  <si>
    <t>CURVA 90 GRAUS, PVC, SOLDÁVEL, DN 50MM, INSTALADO EM PRUMADA DE ÁGUA - FORNECIMENTO E INSTALAÇÃO. AF_12/2014</t>
  </si>
  <si>
    <t>30,67</t>
  </si>
  <si>
    <t>89504</t>
  </si>
  <si>
    <t>CURVA 45 GRAUS, PVC, SOLDÁVEL, DN 50MM, INSTALADO EM PRUMADA DE ÁGUA - FORNECIMENTO E INSTALAÇÃO. AF_12/2014</t>
  </si>
  <si>
    <t>26,29</t>
  </si>
  <si>
    <t>89505</t>
  </si>
  <si>
    <t>JOELHO 90 GRAUS, PVC, SOLDÁVEL, DN 60MM, INSTALADO EM PRUMADA DE ÁGUA - FORNECIMENTO E INSTALAÇÃO. AF_12/2014</t>
  </si>
  <si>
    <t>46,88</t>
  </si>
  <si>
    <t>89506</t>
  </si>
  <si>
    <t>JOELHO 45 GRAUS, PVC, SOLDÁVEL, DN 60MM, INSTALADO EM PRUMADA DE ÁGUA - FORNECIMENTO E INSTALAÇÃO. AF_12/2014</t>
  </si>
  <si>
    <t>53,48</t>
  </si>
  <si>
    <t>89507</t>
  </si>
  <si>
    <t>CURVA 90 GRAUS, PVC, SOLDÁVEL, DN 60MM, INSTALADO EM PRUMADA DE ÁGUA - FORNECIMENTO E INSTALAÇÃO. AF_12/2014</t>
  </si>
  <si>
    <t>67,24</t>
  </si>
  <si>
    <t>89510</t>
  </si>
  <si>
    <t>CURVA 45 GRAUS, PVC, SOLDÁVEL, DN 60MM, INSTALADO EM PRUMADA DE ÁGUA - FORNECIMENTO E INSTALAÇÃO. AF_12/2014</t>
  </si>
  <si>
    <t>42,00</t>
  </si>
  <si>
    <t>89513</t>
  </si>
  <si>
    <t>JOELHO 90 GRAUS, PVC, SOLDÁVEL, DN 75MM, INSTALADO EM PRUMADA DE ÁGUA - FORNECIMENTO E INSTALAÇÃO. AF_12/2014</t>
  </si>
  <si>
    <t>155,47</t>
  </si>
  <si>
    <t>89514</t>
  </si>
  <si>
    <t>JOELHO 90 GRAUS, PVC, SERIE R, ÁGUA PLUVIAL, DN 40 MM, JUNTA SOLDÁVEL, FORNECIDO E INSTALADO EM RAMAL DE ENCAMINHAMENTO. AF_12/2014</t>
  </si>
  <si>
    <t>12,40</t>
  </si>
  <si>
    <t>89515</t>
  </si>
  <si>
    <t>JOELHO 45 GRAUS, PVC, SOLDÁVEL, DN 75MM, INSTALADO EM PRUMADA DE ÁGUA - FORNECIMENTO E INSTALAÇÃO. AF_12/2014</t>
  </si>
  <si>
    <t>115,25</t>
  </si>
  <si>
    <t>89516</t>
  </si>
  <si>
    <t>JOELHO 45 GRAUS, PVC, SERIE R, ÁGUA PLUVIAL, DN 40 MM, JUNTA SOLDÁVEL, FORNECIDO E INSTALADO EM RAMAL DE ENCAMINHAMENTO. AF_12/2014</t>
  </si>
  <si>
    <t>10,48</t>
  </si>
  <si>
    <t>89517</t>
  </si>
  <si>
    <t>CURVA 90 GRAUS, PVC, SOLDÁVEL, DN 75MM, INSTALADO EM PRUMADA DE ÁGUA - FORNECIMENTO E INSTALAÇÃO. AF_12/2014</t>
  </si>
  <si>
    <t>95,69</t>
  </si>
  <si>
    <t>89518</t>
  </si>
  <si>
    <t>JOELHO 90 GRAUS, PVC, SERIE R, ÁGUA PLUVIAL, DN 50 MM, JUNTA ELÁSTICA, FORNECIDO E INSTALADO EM RAMAL DE ENCAMINHAMENTO. AF_12/2014</t>
  </si>
  <si>
    <t>18,64</t>
  </si>
  <si>
    <t>89519</t>
  </si>
  <si>
    <t>CURVA 45 GRAUS, PVC, SOLDÁVEL, DN 75MM, INSTALADO EM PRUMADA DE ÁGUA - FORNECIMENTO E INSTALAÇÃO. AF_12/2014</t>
  </si>
  <si>
    <t>61,93</t>
  </si>
  <si>
    <t>89520</t>
  </si>
  <si>
    <t>JOELHO 45 GRAUS, PVC, SERIE R, ÁGUA PLUVIAL, DN 50 MM, JUNTA ELÁSTICA, FORNECIDO E INSTALADO EM RAMAL DE ENCAMINHAMENTO. AF_12/2014</t>
  </si>
  <si>
    <t>16,10</t>
  </si>
  <si>
    <t>89521</t>
  </si>
  <si>
    <t>JOELHO 90 GRAUS, PVC, SOLDÁVEL, DN 85MM, INSTALADO EM PRUMADA DE ÁGUA - FORNECIMENTO E INSTALAÇÃO. AF_12/2014</t>
  </si>
  <si>
    <t>183,54</t>
  </si>
  <si>
    <t>89522</t>
  </si>
  <si>
    <t>JOELHO 90 GRAUS, PVC, SERIE R, ÁGUA PLUVIAL, DN 75 MM, JUNTA ELÁSTICA, FORNECIDO E INSTALADO EM RAMAL DE ENCAMINHAMENTO. AF_12/2014</t>
  </si>
  <si>
    <t>37,08</t>
  </si>
  <si>
    <t>89523</t>
  </si>
  <si>
    <t>JOELHO 45 GRAUS, PVC, SOLDÁVEL, DN 85MM, INSTALADO EM PRUMADA DE ÁGUA - FORNECIMENTO E INSTALAÇÃO. AF_12/2014</t>
  </si>
  <si>
    <t>136,18</t>
  </si>
  <si>
    <t>89524</t>
  </si>
  <si>
    <t>JOELHO 45 GRAUS, PVC, SERIE R, ÁGUA PLUVIAL, DN 75 MM, JUNTA ELÁSTICA, FORNECIDO E INSTALADO EM RAMAL DE ENCAMINHAMENTO. AF_12/2014</t>
  </si>
  <si>
    <t>32,21</t>
  </si>
  <si>
    <t>89525</t>
  </si>
  <si>
    <t>CURVA 90 GRAUS, PVC, SOLDÁVEL, DN 85MM, INSTALADO EM PRUMADA DE ÁGUA - FORNECIMENTO E INSTALAÇÃO. AF_12/2014</t>
  </si>
  <si>
    <t>133,78</t>
  </si>
  <si>
    <t>89526</t>
  </si>
  <si>
    <t>CURVA 87 GRAUS E 30 MINUTOS, PVC, SERIE R, ÁGUA PLUVIAL, DN 75 MM, JUNTA ELÁSTICA, FORNECIDO E INSTALADO EM RAMAL DE ENCAMINHAMENTO. AF_12/2014</t>
  </si>
  <si>
    <t>49,95</t>
  </si>
  <si>
    <t>89527</t>
  </si>
  <si>
    <t>CURVA 45 GRAUS, PVC, SOLDÁVEL, DN 85MM, INSTALADO EM PRUMADA DE ÁGUA - FORNECIMENTO E INSTALAÇÃO. AF_12/2014</t>
  </si>
  <si>
    <t>100,56</t>
  </si>
  <si>
    <t>89528</t>
  </si>
  <si>
    <t>LUVA, PVC, SOLDÁVEL, DN 25MM, INSTALADO EM PRUMADA DE ÁGUA - FORNECIMENTO E INSTALAÇÃO. AF_12/2014</t>
  </si>
  <si>
    <t>89529</t>
  </si>
  <si>
    <t>JOELHO 90 GRAUS, PVC, SERIE R, ÁGUA PLUVIAL, DN 100 MM, JUNTA ELÁSTICA, FORNECIDO E INSTALADO EM RAMAL DE ENCAMINHAMENTO. AF_12/2014</t>
  </si>
  <si>
    <t>55,97</t>
  </si>
  <si>
    <t>89530</t>
  </si>
  <si>
    <t>LUVA DE CORRER, PVC, SOLDÁVEL, DN 25MM, INSTALADO EM PRUMADA DE ÁGUA - FORNECIMENTO E INSTALAÇÃO. AF_12/2014</t>
  </si>
  <si>
    <t>89531</t>
  </si>
  <si>
    <t>JOELHO 45 GRAUS, PVC, SERIE R, ÁGUA PLUVIAL, DN 100 MM, JUNTA ELÁSTICA, FORNECIDO E INSTALADO EM RAMAL DE ENCAMINHAMENTO. AF_12/2014</t>
  </si>
  <si>
    <t>44,12</t>
  </si>
  <si>
    <t>89532</t>
  </si>
  <si>
    <t>LUVA DE REDUÇÃO, PVC, SOLDÁVEL, DN 32MM X 25MM, INSTALADO EM PRUMADA DE ÁGUA - FORNECIMENTO E INSTALAÇÃO. AF_12/2014</t>
  </si>
  <si>
    <t>8,36</t>
  </si>
  <si>
    <t>89533</t>
  </si>
  <si>
    <t>JOELHO 45 GRAUS PARA PÉ DE COLUNA, PVC, SERIE R, ÁGUA PLUVIAL, DN 100 MM, JUNTA ELÁSTICA, FORNECIDO E INSTALADO EM RAMAL DE ENCAMINHAMENTO. AF_12/2014</t>
  </si>
  <si>
    <t>89534</t>
  </si>
  <si>
    <t>LUVA SOLDÁVEL E COM ROSCA, PVC, SOLDÁVEL, DN 25MM X 3/4, INSTALADO EM PRUMADA DE ÁGUA - FORNECIMENTO E INSTALAÇÃO. AF_12/2014</t>
  </si>
  <si>
    <t>5,15</t>
  </si>
  <si>
    <t>89535</t>
  </si>
  <si>
    <t>CURVA 87 GRAUS E 30 MINUTOS, PVC, SERIE R, ÁGUA PLUVIAL, DN 100 MM, JUNTA ELÁSTICA, FORNECIDO E INSTALADO EM RAMAL DE ENCAMINHAMENTO. AF_12/2014</t>
  </si>
  <si>
    <t>74,54</t>
  </si>
  <si>
    <t>89536</t>
  </si>
  <si>
    <t>UNIÃO, PVC, SOLDÁVEL, DN 25MM, INSTALADO EM PRUMADA DE ÁGUA - FORNECIMENTO E INSTALAÇÃO. AF_12/2014</t>
  </si>
  <si>
    <t>89538</t>
  </si>
  <si>
    <t>ADAPTADOR CURTO COM BOLSA E ROSCA PARA REGISTRO, PVC, SOLDÁVEL, DN 25MM X 3/4, INSTALADO EM PRUMADA DE ÁGUA - FORNECIMENTO E INSTALAÇÃO. AF_12/2014</t>
  </si>
  <si>
    <t>3,98</t>
  </si>
  <si>
    <t>89539</t>
  </si>
  <si>
    <t>CURVAR 45 GRAUS, PVC, SERIE R, ÁGUA PLUVIAL, DN 100 MM, JUNTA ELÁSTICA, FORNECIDO E INSTALADO EM RAMAL DE ENCAMINHAMENTO. AF_12/2014</t>
  </si>
  <si>
    <t>47,42</t>
  </si>
  <si>
    <t>89540</t>
  </si>
  <si>
    <t>CURVA DE TRANSPOSIÇÃO, PVC, SOLDÁVEL, DN 25MM, INSTALADO EM PRUMADA DE ÁGUA  - FORNECIMENTO E INSTALAÇÃO. AF_12/2014</t>
  </si>
  <si>
    <t>13,39</t>
  </si>
  <si>
    <t>89541</t>
  </si>
  <si>
    <t>LUVA, PVC, SOLDÁVEL, DN 32MM, INSTALADO EM PRUMADA DE ÁGUA - FORNECIMENTO E INSTALAÇÃO. AF_12/2014</t>
  </si>
  <si>
    <t>89542</t>
  </si>
  <si>
    <t>LUVA DE CORRER, PVC, SOLDÁVEL, DN 32MM, INSTALADO EM PRUMADA DE ÁGUA - FORNECIMENTO E INSTALAÇÃO. AF_12/2014</t>
  </si>
  <si>
    <t>41,48</t>
  </si>
  <si>
    <t>89544</t>
  </si>
  <si>
    <t>LUVA SIMPLES, PVC, SERIE R, ÁGUA PLUVIAL, DN 40 MM, JUNTA SOLDÁVEL, FORNECIDO E INSTALADO EM RAMAL DE ENCAMINHAMENTO. AF_12/2014</t>
  </si>
  <si>
    <t>11,08</t>
  </si>
  <si>
    <t>89545</t>
  </si>
  <si>
    <t>LUVA SIMPLES, PVC, SERIE R, ÁGUA PLUVIAL, DN 50 MM, JUNTA ELÁSTICA, FORNECIDO E INSTALADO EM RAMAL DE ENCAMINHAMENTO. AF_12/2014</t>
  </si>
  <si>
    <t>89546</t>
  </si>
  <si>
    <t>BUCHA DE REDUÇÃO LONGA, PVC, SERIE R, ÁGUA PLUVIAL, DN 50 X 40 MM, JUNTA ELÁSTICA, FORNECIDO E INSTALADO EM RAMAL DE ENCAMINHAMENTO. AF_12/2014</t>
  </si>
  <si>
    <t>89547</t>
  </si>
  <si>
    <t>LUVA SIMPLES, PVC, SERIE R, ÁGUA PLUVIAL, DN 75 MM, JUNTA ELÁSTICA, FORNECIDO E INSTALADO EM RAMAL DE ENCAMINHAMENTO. AF_12/2014</t>
  </si>
  <si>
    <t>24,29</t>
  </si>
  <si>
    <t>89548</t>
  </si>
  <si>
    <t>LUVA DE CORRER, PVC, SERIE R, ÁGUA PLUVIAL, DN 75 MM, JUNTA ELÁSTICA, FORNECIDO E INSTALADO EM RAMAL DE ENCAMINHAMENTO. AF_12/2014</t>
  </si>
  <si>
    <t>26,71</t>
  </si>
  <si>
    <t>89549</t>
  </si>
  <si>
    <t>REDUÇÃO EXCÊNTRICA, PVC, SERIE R, ÁGUA PLUVIAL, DN 75 X 50 MM, JUNTA ELÁSTICA, FORNECIDO E INSTALADO EM RAMAL DE ENCAMINHAMENTO. AF_12/2014</t>
  </si>
  <si>
    <t>17,80</t>
  </si>
  <si>
    <t>89550</t>
  </si>
  <si>
    <t>TÊ DE INSPEÇÃO, PVC, SERIE R, ÁGUA PLUVIAL, DN 75 MM, JUNTA ELÁSTICA, FORNECIDO E INSTALADO EM RAMAL DE ENCAMINHAMENTO. AF_12/2014</t>
  </si>
  <si>
    <t>50,87</t>
  </si>
  <si>
    <t>89551</t>
  </si>
  <si>
    <t>LUVA SOLDÁVEL E COM ROSCA, PVC, SOLDÁVEL, DN 32MM X 1, INSTALADO EM PRUMADA DE ÁGUA - FORNECIMENTO E INSTALAÇÃO. AF_12/2014</t>
  </si>
  <si>
    <t>11,67</t>
  </si>
  <si>
    <t>89552</t>
  </si>
  <si>
    <t>UNIÃO, PVC, SOLDÁVEL, DN 32MM, INSTALADO EM PRUMADA DE ÁGUA - FORNECIMENTO E INSTALAÇÃO. AF_12/2014</t>
  </si>
  <si>
    <t>26,15</t>
  </si>
  <si>
    <t>89553</t>
  </si>
  <si>
    <t>ADAPTADOR CURTO COM BOLSA E ROSCA PARA REGISTRO, PVC, SOLDÁVEL, DN 32MM X 1, INSTALADO EM PRUMADA DE ÁGUA - FORNECIMENTO E INSTALAÇÃO. AF_12/2014</t>
  </si>
  <si>
    <t>6,17</t>
  </si>
  <si>
    <t>89554</t>
  </si>
  <si>
    <t>LUVA SIMPLES, PVC, SERIE R, ÁGUA PLUVIAL, DN 100 MM, JUNTA ELÁSTICA, FORNECIDO E INSTALADO EM RAMAL DE ENCAMINHAMENTO. AF_12/2014</t>
  </si>
  <si>
    <t>29,79</t>
  </si>
  <si>
    <t>89555</t>
  </si>
  <si>
    <t>CURVA DE TRANSPOSIÇÃO, PVC, SOLDÁVEL, DN 32MM, INSTALADO EM PRUMADA DE ÁGUA   FORNECIMENTO E INSTALAÇÃO. AF_12/2014</t>
  </si>
  <si>
    <t>32,20</t>
  </si>
  <si>
    <t>89556</t>
  </si>
  <si>
    <t>LUVA DE CORRER, PVC, SERIE R, ÁGUA PLUVIAL, DN 100 MM, JUNTA ELÁSTICA, FORNECIDO E INSTALADO EM RAMAL DE ENCAMINHAMENTO. AF_12/2014</t>
  </si>
  <si>
    <t>46,36</t>
  </si>
  <si>
    <t>89557</t>
  </si>
  <si>
    <t>REDUÇÃO EXCÊNTRICA, PVC, SERIE R, ÁGUA PLUVIAL, DN 100 X 75 MM, JUNTA ELÁSTICA, FORNECIDO E INSTALADO EM RAMAL DE ENCAMINHAMENTO. AF_12/2014</t>
  </si>
  <si>
    <t>35,48</t>
  </si>
  <si>
    <t>89558</t>
  </si>
  <si>
    <t>LUVA, PVC, SOLDÁVEL, DN 40MM, INSTALADO EM PRUMADA DE ÁGUA - FORNECIMENTO E INSTALAÇÃO. AF_12/2014</t>
  </si>
  <si>
    <t>10,26</t>
  </si>
  <si>
    <t>89559</t>
  </si>
  <si>
    <t>TÊ DE INSPEÇÃO, PVC, SERIE R, ÁGUA PLUVIAL, DN 100 MM, JUNTA ELÁSTICA, FORNECIDO E INSTALADO EM RAMAL DE ENCAMINHAMENTO. AF_12/2014</t>
  </si>
  <si>
    <t>85,85</t>
  </si>
  <si>
    <t>89561</t>
  </si>
  <si>
    <t>JUNÇÃO SIMPLES, PVC, SERIE R, ÁGUA PLUVIAL, DN 40 MM, JUNTA SOLDÁVEL, FORNECIDO E INSTALADO EM RAMAL DE ENCAMINHAMENTO. AF_12/2014</t>
  </si>
  <si>
    <t>15,70</t>
  </si>
  <si>
    <t>89562</t>
  </si>
  <si>
    <t>LUVA DE REDUÇÃO, PVC, SOLDÁVEL, DN 40MM X 32MM, INSTALADO EM PRUMADA DE ÁGUA - FORNECIMENTO E INSTALAÇÃO. AF_12/2014</t>
  </si>
  <si>
    <t>11,12</t>
  </si>
  <si>
    <t>89563</t>
  </si>
  <si>
    <t>JUNÇÃO SIMPLES, PVC, SERIE R, ÁGUA PLUVIAL, DN 50 MM, JUNTA ELÁSTICA, FORNECIDO E INSTALADO EM RAMAL DE ENCAMINHAMENTO. AF_12/2014</t>
  </si>
  <si>
    <t>89564</t>
  </si>
  <si>
    <t>LUVA COM ROSCA, PVC, SOLDÁVEL, DN 40MM X 1.1/4, INSTALADO EM PRUMADA DE ÁGUA - FORNECIMENTO E INSTALAÇÃO. AF_12/2014</t>
  </si>
  <si>
    <t>22,59</t>
  </si>
  <si>
    <t>89565</t>
  </si>
  <si>
    <t>JUNÇÃO SIMPLES, PVC, SERIE R, ÁGUA PLUVIAL, DN 75 X 75 MM, JUNTA ELÁSTICA, FORNECIDO E INSTALADO EM RAMAL DE ENCAMINHAMENTO. AF_12/2014</t>
  </si>
  <si>
    <t>68,30</t>
  </si>
  <si>
    <t>89566</t>
  </si>
  <si>
    <t>TÊ, PVC, SERIE R, ÁGUA PLUVIAL, DN 75 MM, JUNTA ELÁSTICA, FORNECIDO E INSTALADO EM RAMAL DE ENCAMINHAMENTO. AF_12/2014</t>
  </si>
  <si>
    <t>89567</t>
  </si>
  <si>
    <t>JUNÇÃO SIMPLES, PVC, SERIE R, ÁGUA PLUVIAL, DN 100 X 100 MM, JUNTA ELÁSTICA, FORNECIDO E INSTALADO EM RAMAL DE ENCAMINHAMENTO. AF_12/2014</t>
  </si>
  <si>
    <t>102,93</t>
  </si>
  <si>
    <t>89568</t>
  </si>
  <si>
    <t>UNIÃO, PVC, SOLDÁVEL, DN 40MM, INSTALADO EM PRUMADA DE ÁGUA - FORNECIMENTO E INSTALAÇÃO. AF_12/2014</t>
  </si>
  <si>
    <t>89569</t>
  </si>
  <si>
    <t>JUNÇÃO SIMPLES, PVC, SERIE R, ÁGUA PLUVIAL, DN 100 X 75 MM, JUNTA ELÁSTICA, FORNECIDO E INSTALADO EM RAMAL DE ENCAMINHAMENTO. AF_12/2014</t>
  </si>
  <si>
    <t>96,88</t>
  </si>
  <si>
    <t>89570</t>
  </si>
  <si>
    <t>ADAPTADOR CURTO COM BOLSA E ROSCA PARA REGISTRO, PVC, SOLDÁVEL, DN 40MM X 1.1/2, INSTALADO EM PRUMADA DE ÁGUA - FORNECIMENTO E INSTALAÇÃO. AF_12/2014</t>
  </si>
  <si>
    <t>15,14</t>
  </si>
  <si>
    <t>89571</t>
  </si>
  <si>
    <t>TÊ, PVC, SERIE R, ÁGUA PLUVIAL, DN 100 X 100 MM, JUNTA ELÁSTICA, FORNECIDO E INSTALADO EM RAMAL DE ENCAMINHAMENTO. AF_12/2014</t>
  </si>
  <si>
    <t>93,72</t>
  </si>
  <si>
    <t>89572</t>
  </si>
  <si>
    <t>ADAPTADOR CURTO COM BOLSA E ROSCA PARA REGISTRO, PVC, SOLDÁVEL, DN 40MM X 1.1/4, INSTALADO EM PRUMADA DE ÁGUA - FORNECIMENTO E INSTALAÇÃO. AF_12/2014</t>
  </si>
  <si>
    <t>89573</t>
  </si>
  <si>
    <t>TÊ, PVC, SERIE R, ÁGUA PLUVIAL, DN 100 X 75 MM, JUNTA ELÁSTICA, FORNECIDO E INSTALADO EM RAMAL DE ENCAMINHAMENTO. AF_12/2014</t>
  </si>
  <si>
    <t>84,42</t>
  </si>
  <si>
    <t>89574</t>
  </si>
  <si>
    <t>JUNÇÃO DUPLA, PVC, SERIE R, ÁGUA PLUVIAL, DN 100 X 100 X 100 MM, JUNTA ELÁSTICA, FORNECIDO E INSTALADO EM RAMAL DE ENCAMINHAMENTO. AF_12/2014</t>
  </si>
  <si>
    <t>170,25</t>
  </si>
  <si>
    <t>89575</t>
  </si>
  <si>
    <t>LUVA, PVC, SOLDÁVEL, DN 50MM, INSTALADO EM PRUMADA DE ÁGUA - FORNECIMENTO E INSTALAÇÃO. AF_12/2014</t>
  </si>
  <si>
    <t>89577</t>
  </si>
  <si>
    <t>LUVA DE CORRER, PVC, SOLDÁVEL, DN 50MM, INSTALADO EM PRUMADA DE ÁGUA - FORNECIMENTO E INSTALAÇÃO. AF_12/2014</t>
  </si>
  <si>
    <t>48,94</t>
  </si>
  <si>
    <t>89579</t>
  </si>
  <si>
    <t>LUVA DE REDUÇÃO, PVC, SOLDÁVEL, DN 50MM X 25MM, INSTALADO EM PRUMADA DE ÁGUA   FORNECIMENTO E INSTALAÇÃO. AF_12/2014</t>
  </si>
  <si>
    <t>13,23</t>
  </si>
  <si>
    <t>89581</t>
  </si>
  <si>
    <t>JOELHO 90 GRAUS, PVC, SERIE R, ÁGUA PLUVIAL, DN 75 MM, JUNTA ELÁSTICA, FORNECIDO E INSTALADO EM CONDUTORES VERTICAIS DE ÁGUAS PLUVIAIS. AF_12/2014</t>
  </si>
  <si>
    <t>35,52</t>
  </si>
  <si>
    <t>89582</t>
  </si>
  <si>
    <t>JOELHO 45 GRAUS, PVC, SERIE R, ÁGUA PLUVIAL, DN 75 MM, JUNTA ELÁSTICA, FORNECIDO E INSTALADO EM CONDUTORES VERTICAIS DE ÁGUAS PLUVIAIS. AF_12/2014</t>
  </si>
  <si>
    <t>30,65</t>
  </si>
  <si>
    <t>89583</t>
  </si>
  <si>
    <t>CURVA 87 GRAUS E 30 MINUTOS, PVC, SERIE R, ÁGUA PLUVIAL, DN 75 MM, JUNTA ELÁSTICA, FORNECIDO E INSTALADO EM CONDUTORES VERTICAIS DE ÁGUAS PLUVIAIS. AF_12/2014</t>
  </si>
  <si>
    <t>48,39</t>
  </si>
  <si>
    <t>89584</t>
  </si>
  <si>
    <t>JOELHO 90 GRAUS, PVC, SERIE R, ÁGUA PLUVIAL, DN 100 MM, JUNTA ELÁSTICA, FORNECIDO E INSTALADO EM CONDUTORES VERTICAIS DE ÁGUAS PLUVIAIS. AF_12/2014</t>
  </si>
  <si>
    <t>54,40</t>
  </si>
  <si>
    <t>89585</t>
  </si>
  <si>
    <t>JOELHO 45 GRAUS, PVC, SERIE R, ÁGUA PLUVIAL, DN 100 MM, JUNTA ELÁSTICA, FORNECIDO E INSTALADO EM CONDUTORES VERTICAIS DE ÁGUAS PLUVIAIS. AF_12/2014</t>
  </si>
  <si>
    <t>42,55</t>
  </si>
  <si>
    <t>89586</t>
  </si>
  <si>
    <t>JOELHO 45 GRAUS PARA PÉ DE COLUNA, PVC, SERIE R, ÁGUA PLUVIAL, DN 100 MM, JUNTA ELÁSTICA, FORNECIDO E INSTALADO EM CONDUTORES VERTICAIS DE ÁGUAS PLUVIAIS. AF_12/2014</t>
  </si>
  <si>
    <t>89587</t>
  </si>
  <si>
    <t>CURVA 87 GRAUS E 30 MINUTOS, PVC, SERIE R, ÁGUA PLUVIAL, DN 100 MM, JUNTA ELÁSTICA, FORNECIDO E INSTALADO EM CONDUTORES VERTICAIS DE ÁGUAS PLUVIAIS. AF_12/2014</t>
  </si>
  <si>
    <t>72,97</t>
  </si>
  <si>
    <t>89589</t>
  </si>
  <si>
    <t>CURVAR 45 GRAUS, PVC, SERIE R, ÁGUA PLUVIAL, DN 100 MM, JUNTA ELÁSTICA, FORNECIDO E INSTALADO EM CONDUTORES VERTICAIS DE ÁGUAS PLUVIAIS. AF_12/2014</t>
  </si>
  <si>
    <t>45,85</t>
  </si>
  <si>
    <t>89590</t>
  </si>
  <si>
    <t>JOELHO 90 GRAUS, PVC, SERIE R, ÁGUA PLUVIAL, DN 150 MM, JUNTA ELÁSTICA, FORNECIDO E INSTALADO EM CONDUTORES VERTICAIS DE ÁGUAS PLUVIAIS. AF_12/2014</t>
  </si>
  <si>
    <t>174,76</t>
  </si>
  <si>
    <t>89591</t>
  </si>
  <si>
    <t>JOELHO 45 GRAUS, PVC, SERIE R, ÁGUA PLUVIAL, DN 150 MM, JUNTA ELÁSTICA, FORNECIDO E INSTALADO EM CONDUTORES VERTICAIS DE ÁGUAS PLUVIAIS. AF_12/2014</t>
  </si>
  <si>
    <t>140,75</t>
  </si>
  <si>
    <t>89592</t>
  </si>
  <si>
    <t>CURVA 87 GRAUS E 30 MINUTOS, PVC, SERIE R, ÁGUA PLUVIAL, DN 150 MM, JUNTA ELÁSTICA, FORNECIDO E INSTALADO EM CONDUTORES VERTICAIS DE ÁGUAS PLUVIAIS. AF_12/2014</t>
  </si>
  <si>
    <t>239,64</t>
  </si>
  <si>
    <t>89593</t>
  </si>
  <si>
    <t>LUVA COM ROSCA, PVC, SOLDÁVEL, DN 50MM X 1.1/2, INSTALADO EM PRUMADA DE ÁGUA - FORNECIMENTO E INSTALAÇÃO. AF_12/2014</t>
  </si>
  <si>
    <t>43,95</t>
  </si>
  <si>
    <t>89594</t>
  </si>
  <si>
    <t>UNIÃO, PVC, SOLDÁVEL, DN 50MM, INSTALADO EM PRUMADA DE ÁGUA - FORNECIMENTO E INSTALAÇÃO. AF_12/2014</t>
  </si>
  <si>
    <t>53,78</t>
  </si>
  <si>
    <t>89595</t>
  </si>
  <si>
    <t>ADAPTADOR CURTO COM BOLSA E ROSCA PARA REGISTRO, PVC, SOLDÁVEL, DN 50MM X 1.1/4, INSTALADO EM PRUMADA DE ÁGUA - FORNECIMENTO E INSTALAÇÃO. AF_12/2014</t>
  </si>
  <si>
    <t>18,32</t>
  </si>
  <si>
    <t>89596</t>
  </si>
  <si>
    <t>ADAPTADOR CURTO COM BOLSA E ROSCA PARA REGISTRO, PVC, SOLDÁVEL, DN 50MM X 1.1/2, INSTALADO EM PRUMADA DE ÁGUA - FORNECIMENTO E INSTALAÇÃO. AF_12/2014</t>
  </si>
  <si>
    <t>12,54</t>
  </si>
  <si>
    <t>89597</t>
  </si>
  <si>
    <t>LUVA, PVC, SOLDÁVEL, DN 60MM, INSTALADO EM PRUMADA DE ÁGUA - FORNECIMENTO E INSTALAÇÃO. AF_12/2014</t>
  </si>
  <si>
    <t>25,87</t>
  </si>
  <si>
    <t>89598</t>
  </si>
  <si>
    <t>LUVA DE CORRER, PVC, SOLDÁVEL, DN 60MM, INSTALADO EM PRUMADA DE ÁGUA   FORNECIMENTO E INSTALAÇÃO. AF_12/2014</t>
  </si>
  <si>
    <t>74,80</t>
  </si>
  <si>
    <t>89599</t>
  </si>
  <si>
    <t>LUVA SIMPLES, PVC, SERIE R, ÁGUA PLUVIAL, DN 75 MM, JUNTA ELÁSTICA, FORNECIDO E INSTALADO EM CONDUTORES VERTICAIS DE ÁGUAS PLUVIAIS. AF_12/2014</t>
  </si>
  <si>
    <t>89600</t>
  </si>
  <si>
    <t>LUVA DE CORRER, PVC, SERIE R, ÁGUA PLUVIAL, DN 75 MM, JUNTA ELÁSTICA, FORNECIDO E INSTALADO EM CONDUTORES VERTICAIS DE ÁGUAS PLUVIAIS. AF_12/2014</t>
  </si>
  <si>
    <t>25,53</t>
  </si>
  <si>
    <t>89605</t>
  </si>
  <si>
    <t>LUVA DE REDUÇÃO, PVC, SOLDÁVEL, DN 60MM X 50MM, INSTALADO EM PRUMADA DE ÁGUA - FORNECIMENTO E INSTALAÇÃO. AF_12/2014</t>
  </si>
  <si>
    <t>25,15</t>
  </si>
  <si>
    <t>89609</t>
  </si>
  <si>
    <t>UNIÃO, PVC, SOLDÁVEL, DN 60MM, INSTALADO EM PRUMADA DE ÁGUA - FORNECIMENTO E INSTALAÇÃO. AF_12/2014</t>
  </si>
  <si>
    <t>128,34</t>
  </si>
  <si>
    <t>89610</t>
  </si>
  <si>
    <t>ADAPTADOR CURTO COM BOLSA E ROSCA PARA REGISTRO, PVC, SOLDÁVEL, DN 60MM X 2, INSTALADO EM PRUMADA DE ÁGUA - FORNECIMENTO E INSTALAÇÃO. AF_12/2014</t>
  </si>
  <si>
    <t>25,89</t>
  </si>
  <si>
    <t>89611</t>
  </si>
  <si>
    <t>LUVA, PVC, SOLDÁVEL, DN 75MM, INSTALADO EM PRUMADA DE ÁGUA - FORNECIMENTO E INSTALAÇÃO. AF_12/2014</t>
  </si>
  <si>
    <t>43,15</t>
  </si>
  <si>
    <t>89612</t>
  </si>
  <si>
    <t>UNIÃO, PVC, SOLDÁVEL, DN 75MM, INSTALADO EM PRUMADA DE ÁGUA - FORNECIMENTO E INSTALAÇÃO. AF_12/2014</t>
  </si>
  <si>
    <t>255,14</t>
  </si>
  <si>
    <t>89613</t>
  </si>
  <si>
    <t>ADAPTADOR CURTO COM BOLSA E ROSCA PARA REGISTRO, PVC, SOLDÁVEL, DN 75MM X 2.1/2, INSTALADO EM PRUMADA DE ÁGUA - FORNECIMENTO E INSTALAÇÃO. AF_12/2014</t>
  </si>
  <si>
    <t>37,84</t>
  </si>
  <si>
    <t>89614</t>
  </si>
  <si>
    <t>LUVA, PVC, SOLDÁVEL, DN 85MM, INSTALADO EM PRUMADA DE ÁGUA - FORNECIMENTO E INSTALAÇÃO. AF_12/2014</t>
  </si>
  <si>
    <t>86,65</t>
  </si>
  <si>
    <t>89615</t>
  </si>
  <si>
    <t>UNIÃO, PVC, SOLDÁVEL, DN 85MM, INSTALADO EM PRUMADA DE ÁGUA - FORNECIMENTO E INSTALAÇÃO. AF_12/2014</t>
  </si>
  <si>
    <t>388,16</t>
  </si>
  <si>
    <t>89616</t>
  </si>
  <si>
    <t>ADAPTADOR CURTO COM BOLSA E ROSCA PARA REGISTRO, PVC, SOLDÁVEL, DN 85MM X 3, INSTALADO EM PRUMADA DE ÁGUA - FORNECIMENTO E INSTALAÇÃO. AF_12/2014</t>
  </si>
  <si>
    <t>89617</t>
  </si>
  <si>
    <t>TE, PVC, SOLDÁVEL, DN 25MM, INSTALADO EM PRUMADA DE ÁGUA - FORNECIMENTO E INSTALAÇÃO. AF_12/2014</t>
  </si>
  <si>
    <t>89618</t>
  </si>
  <si>
    <t>TÊ COM BUCHA DE LATÃO NA BOLSA CENTRAL, PVC, SOLDÁVEL, DN 25MM X 1/2, INSTALADO EM PRUMADA DE ÁGUA - FORNECIMENTO E INSTALAÇÃO. AF_12/2014</t>
  </si>
  <si>
    <t>18,50</t>
  </si>
  <si>
    <t>89619</t>
  </si>
  <si>
    <t>TÊ DE REDUÇÃO, PVC, SOLDÁVEL, DN 25MM X 20MM, INSTALADO EM PRUMADA DE ÁGUA - FORNECIMENTO E INSTALAÇÃO. AF_12/2014</t>
  </si>
  <si>
    <t>9,85</t>
  </si>
  <si>
    <t>89620</t>
  </si>
  <si>
    <t>TE, PVC, SOLDÁVEL, DN 32MM, INSTALADO EM PRUMADA DE ÁGUA - FORNECIMENTO E INSTALAÇÃO. AF_12/2014</t>
  </si>
  <si>
    <t>89621</t>
  </si>
  <si>
    <t>TÊ COM BUCHA DE LATÃO NA BOLSA CENTRAL, PVC, SOLDÁVEL, DN 32MM X 3/4, INSTALADO EM PRUMADA DE ÁGUA - FORNECIMENTO E INSTALAÇÃO. AF_12/2014</t>
  </si>
  <si>
    <t>32,52</t>
  </si>
  <si>
    <t>89622</t>
  </si>
  <si>
    <t>TÊ DE REDUÇÃO, PVC, SOLDÁVEL, DN 32MM X 25MM, INSTALADO EM PRUMADA DE ÁGUA - FORNECIMENTO E INSTALAÇÃO. AF_12/2014</t>
  </si>
  <si>
    <t>15,62</t>
  </si>
  <si>
    <t>89623</t>
  </si>
  <si>
    <t>TE, PVC, SOLDÁVEL, DN 40MM, INSTALADO EM PRUMADA DE ÁGUA - FORNECIMENTO E INSTALAÇÃO. AF_12/2014</t>
  </si>
  <si>
    <t>21,54</t>
  </si>
  <si>
    <t>89624</t>
  </si>
  <si>
    <t>TÊ DE REDUÇÃO, PVC, SOLDÁVEL, DN 40MM X 32MM, INSTALADO EM PRUMADA DE ÁGUA - FORNECIMENTO E INSTALAÇÃO. AF_12/2014</t>
  </si>
  <si>
    <t>89625</t>
  </si>
  <si>
    <t>TE, PVC, SOLDÁVEL, DN 50MM, INSTALADO EM PRUMADA DE ÁGUA - FORNECIMENTO E INSTALAÇÃO. AF_12/2014</t>
  </si>
  <si>
    <t>25,62</t>
  </si>
  <si>
    <t>89626</t>
  </si>
  <si>
    <t>TÊ DE REDUÇÃO, PVC, SOLDÁVEL, DN 50MM X 40MM, INSTALADO EM PRUMADA DE ÁGUA - FORNECIMENTO E INSTALAÇÃO. AF_12/2014</t>
  </si>
  <si>
    <t>37,77</t>
  </si>
  <si>
    <t>89627</t>
  </si>
  <si>
    <t>TÊ DE REDUÇÃO, PVC, SOLDÁVEL, DN 50MM X 25MM, INSTALADO EM PRUMADA DE ÁGUA - FORNECIMENTO E INSTALAÇÃO. AF_12/2014</t>
  </si>
  <si>
    <t>89628</t>
  </si>
  <si>
    <t>TE, PVC, SOLDÁVEL, DN 60MM, INSTALADO EM PRUMADA DE ÁGUA - FORNECIMENTO E INSTALAÇÃO. AF_12/2014</t>
  </si>
  <si>
    <t>59,38</t>
  </si>
  <si>
    <t>89629</t>
  </si>
  <si>
    <t>TE, PVC, SOLDÁVEL, DN 75MM, INSTALADO EM PRUMADA DE ÁGUA - FORNECIMENTO E INSTALAÇÃO. AF_12/2014</t>
  </si>
  <si>
    <t>112,07</t>
  </si>
  <si>
    <t>89630</t>
  </si>
  <si>
    <t>TE DE REDUÇÃO, PVC, SOLDÁVEL, DN 75MM X 50MM, INSTALADO EM PRUMADA DE ÁGUA - FORNECIMENTO E INSTALAÇÃO. AF_12/2014</t>
  </si>
  <si>
    <t>89631</t>
  </si>
  <si>
    <t>TE, PVC, SOLDÁVEL, DN 85MM, INSTALADO EM PRUMADA DE ÁGUA - FORNECIMENTO E INSTALAÇÃO. AF_12/2014</t>
  </si>
  <si>
    <t>174,90</t>
  </si>
  <si>
    <t>89632</t>
  </si>
  <si>
    <t>TE DE REDUÇÃO, PVC, SOLDÁVEL, DN 85MM X 60MM, INSTALADO EM PRUMADA DE ÁGUA - FORNECIMENTO E INSTALAÇÃO. AF_12/2014</t>
  </si>
  <si>
    <t>141,05</t>
  </si>
  <si>
    <t>89637</t>
  </si>
  <si>
    <t>JOELHO 90 GRAUS, CPVC, SOLDÁVEL, DN 15MM, INSTALADO EM RAMAL OU SUB-RAMAL DE ÁGUA - FORNECIMENTO E INSTALAÇÃO. AF_12/2014</t>
  </si>
  <si>
    <t>89638</t>
  </si>
  <si>
    <t>JOELHO 45 GRAUS, CPVC, SOLDÁVEL, DN 15MM, INSTALADO EM RAMAL OU SUB-RAMAL DE ÁGUA - FORNECIMENTO E INSTALAÇÃO. AF_12/2014</t>
  </si>
  <si>
    <t>10,39</t>
  </si>
  <si>
    <t>89639</t>
  </si>
  <si>
    <t>CURVA 90 GRAUS, CPVC, SOLDÁVEL, DN 15MM, INSTALADO EM RAMAL OU SUB-RAMAL DE ÁGUA - FORNECIMENTO E INSTALAÇÃO. AF_12/2014</t>
  </si>
  <si>
    <t>89640</t>
  </si>
  <si>
    <t>JOELHO DE TRANSIÇÃO, 90 GRAUS, CPVC, SOLDÁVEL, DN 15MM X 1/2", INSTALADO EM RAMAL OU SUB-RAMAL DE ÁGUA - FORNECIMENTO E INSTALAÇÃO. AF_12/2014</t>
  </si>
  <si>
    <t>17,15</t>
  </si>
  <si>
    <t>89641</t>
  </si>
  <si>
    <t>JOELHO 90 GRAUS, CPVC, SOLDÁVEL, DN 22MM, INSTALADO EM RAMAL OU SUB-RAMAL DE ÁGUA - FORNECIMENTO E INSTALAÇÃO. AF_12/2014</t>
  </si>
  <si>
    <t>13,28</t>
  </si>
  <si>
    <t>89642</t>
  </si>
  <si>
    <t>JOELHO 45 GRAUS, CPVC, SOLDÁVEL, DN 22MM, INSTALADO EM RAMAL OU SUB-RAMAL DE ÁGUA - FORNECIMENTO E INSTALAÇÃO. AF_12/2014</t>
  </si>
  <si>
    <t>15,33</t>
  </si>
  <si>
    <t>89643</t>
  </si>
  <si>
    <t>CURVA 90 GRAUS, CPVC, SOLDÁVEL, DN 22MM, INSTALADO EM RAMAL OU SUB-RAMAL DE ÁGUA - FORNECIMENTO E INSTALAÇÃO. AF_12/2014</t>
  </si>
  <si>
    <t>16,01</t>
  </si>
  <si>
    <t>89644</t>
  </si>
  <si>
    <t>JOELHO DE TRANSIÇÃO, 90 GRAUS, CPVC, SOLDÁVEL, DN 22MM X 1/2", INSTALADO EM RAMAL OU SUB-RAMAL DE ÁGUA - FORNECIMENTO E INSTALAÇÃO. AF_12/2014</t>
  </si>
  <si>
    <t>89645</t>
  </si>
  <si>
    <t>JOELHO DE TRANSIÇÃO, 90 GRAUS, CPVC, SOLDÁVEL, DN 22MM X 3/4", INSTALADO EM RAMAL OU SUB-RAMAL DE ÁGUA - FORNECIMENTO E INSTALAÇÃO. AF_12/2014</t>
  </si>
  <si>
    <t>28,53</t>
  </si>
  <si>
    <t>89646</t>
  </si>
  <si>
    <t>JOELHO 90 GRAUS, CPVC, SOLDÁVEL, DN 28MM, INSTALADO EM RAMAL OU SUB-RAMAL DE ÁGUA - FORNECIMENTO E INSTALAÇÃO. AF_12/2014</t>
  </si>
  <si>
    <t>20,91</t>
  </si>
  <si>
    <t>89647</t>
  </si>
  <si>
    <t>JOELHO 45 GRAUS, CPVC, SOLDÁVEL, DN 28MM, INSTALADO EM RAMAL OU SUB-RAMAL DE ÁGUA  FORNECIMENTO E INSTALAÇÃO. AF_12/2014</t>
  </si>
  <si>
    <t>89648</t>
  </si>
  <si>
    <t>CURVA 90 GRAUS, CPVC, SOLDÁVEL, DN 28MM, INSTALADO EM RAMAL OU SUB-RAMAL DE ÁGUA  FORNECIMENTO E INSTALAÇÃO. AF_12/2014</t>
  </si>
  <si>
    <t>22,63</t>
  </si>
  <si>
    <t>89649</t>
  </si>
  <si>
    <t>JOELHO 90 GRAUS, CPVC, SOLDÁVEL, DN 35MM, INSTALADO EM RAMAL OU SUB-RAMAL DE ÁGUA  FORNECIMENTO E INSTALAÇÃO. AF_12/2014</t>
  </si>
  <si>
    <t>30,99</t>
  </si>
  <si>
    <t>89650</t>
  </si>
  <si>
    <t>JOELHO 45 GRAUS, CPVC, SOLDÁVEL, DN 35MM, INSTALADO EM RAMAL OU SUB-RAMAL DE ÁGUA  FORNECIMENTO E INSTALAÇÃO. AF_12/2014</t>
  </si>
  <si>
    <t>89651</t>
  </si>
  <si>
    <t>LUVA, CPVC, SOLDÁVEL, DN 15MM, INSTALADO EM RAMAL OU SUB-RAMAL DE ÁGUA - FORNECIMENTO E INSTALAÇÃO. AF_12/2014</t>
  </si>
  <si>
    <t>6,58</t>
  </si>
  <si>
    <t>89652</t>
  </si>
  <si>
    <t>LUVA DE CORRER, CPVC, SOLDÁVEL, DN 15MM, INSTALADO EM RAMAL OU SUB-RAMAL DE ÁGUA  FORNECIMENTO E INSTALAÇÃO. AF_12/2014</t>
  </si>
  <si>
    <t>89653</t>
  </si>
  <si>
    <t>LUVA DE TRANSIÇÃO, CPVC, SOLDÁVEL, DN15MM X 1/2", INSTALADO EM RAMAL OU SUB-RAMAL DE ÁGUA - FORNECIMENTO E INSTALAÇÃO. AF_12/2014</t>
  </si>
  <si>
    <t>18,47</t>
  </si>
  <si>
    <t>89654</t>
  </si>
  <si>
    <t>UNIÃO, CPVC, SOLDÁVEL, DN15MM, INSTALADO EM RAMAL OU SUB-RAMAL DE ÁGUA  FORNECIMENTO E INSTALAÇÃO. AF_12/2014</t>
  </si>
  <si>
    <t>89655</t>
  </si>
  <si>
    <t>CONECTOR, CPVC, SOLDÁVEL, DN 15MM X 1/2, INSTALADO EM RAMAL OU SUB-RAMAL DE ÁGUA  FORNECIMENTO E INSTALAÇÃO. AF_12/2014</t>
  </si>
  <si>
    <t>26,80</t>
  </si>
  <si>
    <t>89656</t>
  </si>
  <si>
    <t>ADAPTADOR, CPVC, SOLDÁVEL, DN15MM, INSTALADO EM RAMAL OU SUB-RAMAL DE ÁGUA  FORNECIMENTO E INSTALAÇÃO. AF_12/2014</t>
  </si>
  <si>
    <t>89657</t>
  </si>
  <si>
    <t>CURVA DE TRANSPOSIÇÃO, CPVC, SOLDÁVEL, DN15MM, INSTALADO EM RAMAL OU SUB-RAMAL DE ÁGUA  FORNECIMENTO E INSTALAÇÃO. AF_12/2014</t>
  </si>
  <si>
    <t>12,24</t>
  </si>
  <si>
    <t>89658</t>
  </si>
  <si>
    <t>LUVA, CPVC, SOLDÁVEL, DN 22MM, INSTALADO EM RAMAL OU SUB-RAMAL DE ÁGUA  FORNECIMENTO E INSTALAÇÃO. AF_12/2014</t>
  </si>
  <si>
    <t>9,17</t>
  </si>
  <si>
    <t>89659</t>
  </si>
  <si>
    <t>LUVA DE CORRER, CPVC, SOLDÁVEL, DN 22MM, INSTALADO EM RAMAL OU SUB-RAMAL DE ÁGUA  FORNECIMENTO E INSTALAÇÃO. AF_12/2014</t>
  </si>
  <si>
    <t>16,34</t>
  </si>
  <si>
    <t>89660</t>
  </si>
  <si>
    <t>LUVA DE TRANSIÇÃO, CPVC, SOLDÁVEL, DN22MM X 25MM, INSTALADO EM RAMAL OU SUB-RAMAL DE ÁGUA - FORNECIMENTO E INSTALAÇÃO. AF_12/2014</t>
  </si>
  <si>
    <t>8,55</t>
  </si>
  <si>
    <t>89661</t>
  </si>
  <si>
    <t>UNIÃO, CPVC, SOLDÁVEL, DN22MM, INSTALADO EM RAMAL OU SUB-RAMAL DE ÁGUA  FORNECIMENTO E INSTALAÇÃO. AF_12/2014</t>
  </si>
  <si>
    <t>21,80</t>
  </si>
  <si>
    <t>89662</t>
  </si>
  <si>
    <t>CONECTOR, CPVC, SOLDÁVEL, DN 22MM X 1/2, INSTALADO EM RAMAL OU SUB-RAMAL DE ÁGUA  FORNECIMENTO E INSTALAÇÃO. AF_12/2014</t>
  </si>
  <si>
    <t>33,47</t>
  </si>
  <si>
    <t>89663</t>
  </si>
  <si>
    <t>ADAPTADOR, CPVC, SOLDÁVEL, DN22MM, INSTALADO EM RAMAL OU SUB-RAMAL DE ÁGUA  FORNECIMENTO E INSTALAÇÃO. AF_12/2014</t>
  </si>
  <si>
    <t>13,91</t>
  </si>
  <si>
    <t>89664</t>
  </si>
  <si>
    <t>CURVA DE TRANSPOSIÇÃO, CPVC, SOLDÁVEL, DN22MM, INSTALADO EM RAMAL OU SUB-RAMAL DE ÁGUA  FORNECIMENTO E INSTALAÇÃO. AF_12/2014</t>
  </si>
  <si>
    <t>89665</t>
  </si>
  <si>
    <t>REDUÇÃO EXCÊNTRICA, PVC, SERIE R, ÁGUA PLUVIAL, DN 75 X 50 MM, JUNTA ELÁSTICA, FORNECIDO E INSTALADO EM CONDUTORES VERTICAIS DE ÁGUAS PLUVIAIS. AF_12/2014</t>
  </si>
  <si>
    <t>16,62</t>
  </si>
  <si>
    <t>89666</t>
  </si>
  <si>
    <t>BUCHA DE REDUÇÃO, CPVC, SOLDÁVEL, DN22MM X 15MM, INSTALADO EM RAMAL OU SUB-RAMAL DE ÁGUA  FORNECIMENTO E INSTALAÇÃO. AF_12/2014</t>
  </si>
  <si>
    <t>7,48</t>
  </si>
  <si>
    <t>89667</t>
  </si>
  <si>
    <t>TÊ DE INSPEÇÃO, PVC, SERIE R, ÁGUA PLUVIAL, DN 75 MM, JUNTA ELÁSTICA, FORNECIDO E INSTALADO EM CONDUTORES VERTICAIS DE ÁGUAS PLUVIAIS. AF_12/2014</t>
  </si>
  <si>
    <t>49,69</t>
  </si>
  <si>
    <t>89668</t>
  </si>
  <si>
    <t>CONECTOR, CPVC, SOLDÁVEL, DN22MM X 3/4", INSTALADO EM RAMAL OU SUB-RAMAL DE ÁGUA - FORNECIMENTO E INSTALAÇÃO. AF_12/2014</t>
  </si>
  <si>
    <t>31,76</t>
  </si>
  <si>
    <t>89669</t>
  </si>
  <si>
    <t>LUVA SIMPLES, PVC, SERIE R, ÁGUA PLUVIAL, DN 100 MM, JUNTA ELÁSTICA, FORNECIDO E INSTALADO EM CONDUTORES VERTICAIS DE ÁGUAS PLUVIAIS. AF_12/2014</t>
  </si>
  <si>
    <t>28,81</t>
  </si>
  <si>
    <t>89670</t>
  </si>
  <si>
    <t>LUVA, CPVC, SOLDÁVEL, DN 28MM, INSTALADO EM RAMAL OU SUB-RAMAL DE ÁGUA  FORNECIMENTO E INSTALAÇÃO. AF_12/2014</t>
  </si>
  <si>
    <t>89671</t>
  </si>
  <si>
    <t>LUVA DE CORRER, PVC, SERIE R, ÁGUA PLUVIAL, DN 100 MM, JUNTA ELÁSTICA, FORNECIDO E INSTALADO EM CONDUTORES VERTICAIS DE ÁGUAS PLUVIAIS. AF_12/2014</t>
  </si>
  <si>
    <t>45,38</t>
  </si>
  <si>
    <t>89672</t>
  </si>
  <si>
    <t>LUVA DE CORRER, CPVC, SOLDÁVEL, DN 28MM, INSTALADO EM RAMAL OU SUB-RAMAL DE ÁGUA  FORNECIMENTO E INSTALAÇÃO. AF_12/2014</t>
  </si>
  <si>
    <t>21,90</t>
  </si>
  <si>
    <t>89673</t>
  </si>
  <si>
    <t>REDUÇÃO EXCÊNTRICA, PVC, SERIE R, ÁGUA PLUVIAL, DN 100 X 75 MM, JUNTA ELÁSTICA, FORNECIDO E INSTALADO EM CONDUTORES VERTICAIS DE ÁGUAS PLUVIAIS. AF_12/2014</t>
  </si>
  <si>
    <t>34,50</t>
  </si>
  <si>
    <t>89674</t>
  </si>
  <si>
    <t>UNIÃO, CPVC, SOLDÁVEL, DN28MM, INSTALADO EM RAMAL OU SUB-RAMAL DE ÁGUA  FORNECIMENTO E INSTALAÇÃO. AF_12/2014</t>
  </si>
  <si>
    <t>89675</t>
  </si>
  <si>
    <t>TÊ DE INSPEÇÃO, PVC, SERIE R, ÁGUA PLUVIAL, DN 100 MM, JUNTA ELÁSTICA, FORNECIDO E INSTALADO EM CONDUTORES VERTICAIS DE ÁGUAS PLUVIAIS. AF_12/2014</t>
  </si>
  <si>
    <t>84,87</t>
  </si>
  <si>
    <t>89676</t>
  </si>
  <si>
    <t>CONECTOR, CPVC, SOLDÁVEL, DN 28MM X 1, INSTALADO EM RAMAL OU SUB-RAMAL DE ÁGUA  FORNECIMENTO E INSTALAÇÃO. AF_12/2014</t>
  </si>
  <si>
    <t>49,44</t>
  </si>
  <si>
    <t>89677</t>
  </si>
  <si>
    <t>LUVA SIMPLES, PVC, SERIE R, ÁGUA PLUVIAL, DN 150 MM, JUNTA ELÁSTICA, FORNECIDO E INSTALADO EM CONDUTORES VERTICAIS DE ÁGUAS PLUVIAIS. AF_12/2014</t>
  </si>
  <si>
    <t>83,79</t>
  </si>
  <si>
    <t>89678</t>
  </si>
  <si>
    <t>BUCHA DE REDUÇÃO, CPVC, SOLDÁVEL, DN28MM X 22MM, INSTALADO EM RAMAL OU SUB-RAMAL DE ÁGUA  FORNECIMENTO E INSTALAÇÃO. AF_12/2014</t>
  </si>
  <si>
    <t>10,05</t>
  </si>
  <si>
    <t>89679</t>
  </si>
  <si>
    <t>LUVA DE CORRER, PVC, SERIE R, ÁGUA PLUVIAL, DN 150 MM, JUNTA ELÁSTICA, FORNECIDO E INSTALADO EM CONDUTORES VERTICAIS DE ÁGUAS PLUVIAIS. AF_12/2014</t>
  </si>
  <si>
    <t>142,92</t>
  </si>
  <si>
    <t>89680</t>
  </si>
  <si>
    <t>LUVA, CPVC, SOLDÁVEL, DN 35MM, INSTALADO EM RAMAL OU SUB-RAMAL DE ÁGUA  FORNECIMENTO E INSTALAÇÃO. AF_12/2014</t>
  </si>
  <si>
    <t>21,52</t>
  </si>
  <si>
    <t>89681</t>
  </si>
  <si>
    <t>REDUÇÃO EXCÊNTRICA, PVC, SERIE R, ÁGUA PLUVIAL, DN 150 X 100 MM, JUNTA ELÁSTICA, FORNECIDO E INSTALADO EM CONDUTORES VERTICAIS DE ÁGUAS PLUVIAIS. AF_12/2014</t>
  </si>
  <si>
    <t>94,26</t>
  </si>
  <si>
    <t>89682</t>
  </si>
  <si>
    <t>LUVA DE CORRER, CPVC, SOLDÁVEL, DN 35MM, INSTALADO EM RAMAL OU SUB-RAMAL DE ÁGUA  FORNECIMENTO E INSTALAÇÃO. AF_12/2014</t>
  </si>
  <si>
    <t>33,79</t>
  </si>
  <si>
    <t>89683</t>
  </si>
  <si>
    <t>TÊ DE INSPEÇÃO, PVC, SERIE R, ÁGUA PLUVIAL, DN 150 X 100 MM, JUNTA ELÁSTICA, FORNECIDO E INSTALADO EM CONDUTORES VERTICAIS DE ÁGUAS PLUVIAIS. AF_12/2014</t>
  </si>
  <si>
    <t>384,06</t>
  </si>
  <si>
    <t>89684</t>
  </si>
  <si>
    <t>UNIÃO, CPVC, SOLDÁVEL, DN35MM, INSTALADO EM RAMAL OU SUB-RAMAL DE ÁGUA  FORNECIMENTO E INSTALAÇÃO. AF_12/2014</t>
  </si>
  <si>
    <t>46,95</t>
  </si>
  <si>
    <t>89685</t>
  </si>
  <si>
    <t>JUNÇÃO SIMPLES, PVC, SERIE R, ÁGUA PLUVIAL, DN 75 X 75 MM, JUNTA ELÁSTICA, FORNECIDO E INSTALADO EM CONDUTORES VERTICAIS DE ÁGUAS PLUVIAIS. AF_12/2014</t>
  </si>
  <si>
    <t>66,14</t>
  </si>
  <si>
    <t>89686</t>
  </si>
  <si>
    <t>CONECTOR, CPVC, SOLDÁVEL, DN 35MM X 1 1/4, INSTALADO EM RAMAL OU SUB-RAMAL DE ÁGUA  FORNECIMENTO E INSTALAÇÃO. AF_12/2014</t>
  </si>
  <si>
    <t>177,13</t>
  </si>
  <si>
    <t>89687</t>
  </si>
  <si>
    <t>TÊ, PVC, SERIE R, ÁGUA PLUVIAL, DN 75 X 75 MM, JUNTA ELÁSTICA, FORNECIDO E INSTALADO EM CONDUTORES VERTICAIS DE ÁGUAS PLUVIAIS. AF_12/2014</t>
  </si>
  <si>
    <t>55,64</t>
  </si>
  <si>
    <t>89689</t>
  </si>
  <si>
    <t>BUCHA DE REDUÇÃO, CPVC, SOLDÁVEL, DN35MM X 28MM, INSTALADO EM RAMAL OU SUB-RAMAL DE ÁGUA  FORNECIMENTO E INSTALAÇÃO. AF_12/2014</t>
  </si>
  <si>
    <t>89690</t>
  </si>
  <si>
    <t>JUNÇÃO SIMPLES, PVC, SERIE R, ÁGUA PLUVIAL, DN 100 X 100 MM, JUNTA ELÁSTICA, FORNECIDO E INSTALADO EM CONDUTORES VERTICAIS DE ÁGUAS PLUVIAIS. AF_12/2014</t>
  </si>
  <si>
    <t>100,78</t>
  </si>
  <si>
    <t>89691</t>
  </si>
  <si>
    <t>TE, CPVC, SOLDÁVEL, DN 15MM, INSTALADO EM RAMAL OU SUB-RAMAL DE ÁGUA - FORNECIMENTO E INSTALAÇÃO. AF_12/2014</t>
  </si>
  <si>
    <t>12,08</t>
  </si>
  <si>
    <t>89692</t>
  </si>
  <si>
    <t>JUNÇÃO SIMPLES, PVC, SERIE R, ÁGUA PLUVIAL, DN 100 X 75 MM, JUNTA ELÁSTICA, FORNECIDO E INSTALADO EM CONDUTORES VERTICAIS DE ÁGUAS PLUVIAIS. AF_12/2014</t>
  </si>
  <si>
    <t>94,73</t>
  </si>
  <si>
    <t>89693</t>
  </si>
  <si>
    <t>TÊ, PVC, SERIE R, ÁGUA PLUVIAL, DN 100 X 100 MM, JUNTA ELÁSTICA, FORNECIDO E INSTALADO EM CONDUTORES VERTICAIS DE ÁGUAS PLUVIAIS. AF_12/2014</t>
  </si>
  <si>
    <t>91,57</t>
  </si>
  <si>
    <t>89694</t>
  </si>
  <si>
    <t>TE DE TRANSIÇÃO, CPVC, SOLDÁVEL, DN 15MM X 1/2, INSTALADO EM RAMAL OU SUB-RAMAL DE ÁGUA  FORNECIMENTO E INSTALAÇÃO. AF_12/2014</t>
  </si>
  <si>
    <t>89695</t>
  </si>
  <si>
    <t>TÊ MISTURADOR, CPVC, SOLDÁVEL, DN15MM, INSTALADO EM RAMAL OU SUB-RAMAL DE ÁGUA  FORNECIMENTO E INSTALAÇÃO. AF_12/2014</t>
  </si>
  <si>
    <t>18,60</t>
  </si>
  <si>
    <t>89696</t>
  </si>
  <si>
    <t>TÊ, PVC, SERIE R, ÁGUA PLUVIAL, DN 100 X 75 MM, JUNTA ELÁSTICA, FORNECIDO E INSTALADO EM CONDUTORES VERTICAIS DE ÁGUAS PLUVIAIS. AF_12/2014</t>
  </si>
  <si>
    <t>82,27</t>
  </si>
  <si>
    <t>89697</t>
  </si>
  <si>
    <t>TE, CPVC, SOLDÁVEL, DN 22MM, INSTALADO EM RAMAL OU SUB-RAMAL DE ÁGUA - FORNECIMENTO E INSTALAÇÃO. AF_12/2014</t>
  </si>
  <si>
    <t>89698</t>
  </si>
  <si>
    <t>JUNÇÃO SIMPLES, PVC, SERIE R, ÁGUA PLUVIAL, DN 150 X 150 MM, JUNTA ELÁSTICA, FORNECIDO E INSTALADO EM CONDUTORES VERTICAIS DE ÁGUAS PLUVIAIS. AF_12/2014</t>
  </si>
  <si>
    <t>298,86</t>
  </si>
  <si>
    <t>89699</t>
  </si>
  <si>
    <t>JUNÇÃO SIMPLES, PVC, SERIE R, ÁGUA PLUVIAL, DN 150 X 100 MM, JUNTA ELÁSTICA, FORNECIDO E INSTALADO EM CONDUTORES VERTICAIS DE ÁGUAS PLUVIAIS. AF_12/2014</t>
  </si>
  <si>
    <t>258,98</t>
  </si>
  <si>
    <t>89700</t>
  </si>
  <si>
    <t>TE DE TRANSIÇÃO, CPVC, SOLDÁVEL, DN 22MM X 1/2, INSTALADO EM RAMAL OU SUB-RAMAL DE ÁGUA  FORNECIMENTO E INSTALAÇÃO. AF_12/2014</t>
  </si>
  <si>
    <t>20,53</t>
  </si>
  <si>
    <t>89701</t>
  </si>
  <si>
    <t>TÊ, PVC, SERIE R, ÁGUA PLUVIAL, DN 150 X 150 MM, JUNTA ELÁSTICA, FORNECIDO E INSTALADO EM CONDUTORES VERTICAIS DE ÁGUAS PLUVIAIS. AF_12/2014</t>
  </si>
  <si>
    <t>226,71</t>
  </si>
  <si>
    <t>89702</t>
  </si>
  <si>
    <t>TÊ MISTURADOR, CPVC, SOLDÁVEL, DN22MM, INSTALADO EM RAMAL OU SUB-RAMAL DE ÁGUA  FORNECIMENTO E INSTALAÇÃO. AF_12/2014</t>
  </si>
  <si>
    <t>89703</t>
  </si>
  <si>
    <t>TE MISTURADOR DE TRANSIÇÃO, CPVC, SOLDÁVEL, DN 22MM X 3/4", INSTALADO EM RAMAL OU SUB-RAMAL DE ÁGUA - FORNECIMENTO E INSTALAÇÃO. AF_12/2014</t>
  </si>
  <si>
    <t>89704</t>
  </si>
  <si>
    <t>TÊ, PVC, SERIE R, ÁGUA PLUVIAL, DN 150 X 100 MM, JUNTA ELÁSTICA, FORNECIDO E INSTALADO EM CONDUTORES VERTICAIS DE ÁGUAS PLUVIAIS. AF_12/2014</t>
  </si>
  <si>
    <t>155,54</t>
  </si>
  <si>
    <t>89705</t>
  </si>
  <si>
    <t>TÊ, CPVC, SOLDÁVEL, DN28MM, INSTALADO EM RAMAL OU SUB-RAMAL DE ÁGUA   FORNECIMENTO E INSTALAÇÃO. AF_12/2014</t>
  </si>
  <si>
    <t>89706</t>
  </si>
  <si>
    <t>TÊ, CPVC, SOLDÁVEL, DN35MM, INSTALADO EM RAMAL OU SUB-RAMAL DE ÁGUA  FORNECIMENTO E INSTALAÇÃO. AF_12/2014</t>
  </si>
  <si>
    <t>55,16</t>
  </si>
  <si>
    <t>89718</t>
  </si>
  <si>
    <t>TUBO, CPVC, SOLDÁVEL, DN 35MM, INSTALADO EM RAMAL DE DISTRIBUIÇÃO DE ÁGUA   FORNECIMENTO E INSTALAÇÃO. AF_12/2014</t>
  </si>
  <si>
    <t>51,64</t>
  </si>
  <si>
    <t>89719</t>
  </si>
  <si>
    <t>JOELHO 90 GRAUS, CPVC, SOLDÁVEL, DN 22MM, INSTALADO EM RAMAL DE DISTRIBUIÇÃO DE ÁGUA   FORNECIMENTO E INSTALAÇÃO. AF_12/2014</t>
  </si>
  <si>
    <t>89720</t>
  </si>
  <si>
    <t>JOELHO 45 GRAUS, CPVC, SOLDÁVEL, DN 22MM, INSTALADO EM RAMAL DE DISTRIBUIÇÃO DE ÁGUA   FORNECIMENTO E INSTALAÇÃO. AF_12/2014</t>
  </si>
  <si>
    <t>89721</t>
  </si>
  <si>
    <t>CURVA 90 GRAUS, CPVC, SOLDÁVEL, DN 22MM, INSTALADO EM RAMAL DE DISTRIBUIÇÃO DE ÁGUA - FORNECIMENTO E INSTALAÇÃO. AF_12/2014</t>
  </si>
  <si>
    <t>13,81</t>
  </si>
  <si>
    <t>89722</t>
  </si>
  <si>
    <t>JOELHO DE TRANSIÇÃO, 90 GRAUS, CPVC, SOLDÁVEL, DN 22MM X 1/2", INSTALADO EM RAMAL DE ALIMENTAÇAÕ DE ÁGUA - FORNECIMENTO E INSTALAÇÃO. AF_12/2014</t>
  </si>
  <si>
    <t>23,47</t>
  </si>
  <si>
    <t>89723</t>
  </si>
  <si>
    <t>JOELHO 90 GRAUS, CPVC, SOLDÁVEL, DN 28MM, INSTALADO EM RAMAL DE DISTRIBUIÇÃO DE ÁGUA   FORNECIMENTO E INSTALAÇÃO. AF_12/2014</t>
  </si>
  <si>
    <t>18,36</t>
  </si>
  <si>
    <t>89724</t>
  </si>
  <si>
    <t>JOELHO 90 GRAUS, PVC, SERIE NORMAL, ESGOTO PREDIAL, DN 40 MM, JUNTA SOLDÁVEL, FORNECIDO E INSTALADO EM RAMAL DE DESCARGA OU RAMAL DE ESGOTO SANITÁRIO. AF_12/2014</t>
  </si>
  <si>
    <t>11,07</t>
  </si>
  <si>
    <t>89725</t>
  </si>
  <si>
    <t>JOELHO 45 GRAUS, CPVC, SOLDÁVEL, DN 28MM, INSTALADO EM RAMAL DE DISTRIBUIÇÃO DE ÁGUA   FORNECIMENTO E INSTALAÇÃO. AF_12/2014</t>
  </si>
  <si>
    <t>89726</t>
  </si>
  <si>
    <t>JOELHO 45 GRAUS, PVC, SERIE NORMAL, ESGOTO PREDIAL, DN 40 MM, JUNTA SOLDÁVEL, FORNECIDO E INSTALADO EM RAMAL DE DESCARGA OU RAMAL DE ESGOTO SANITÁRIO. AF_12/2014</t>
  </si>
  <si>
    <t>7,23</t>
  </si>
  <si>
    <t>89727</t>
  </si>
  <si>
    <t>CURVA 90 GRAUS, CPVC, SOLDÁVEL, DN 28MM, INSTALADO EM RAMAL DE DISTRIBUIÇÃO DE ÁGUA   FORNECIMENTO E INSTALAÇÃO. AF_12/2014</t>
  </si>
  <si>
    <t>20,08</t>
  </si>
  <si>
    <t>89728</t>
  </si>
  <si>
    <t>CURVA CURTA 90 GRAUS, PVC, SERIE NORMAL, ESGOTO PREDIAL, DN 40 MM, JUNTA SOLDÁVEL, FORNECIDO E INSTALADO EM RAMAL DE DESCARGA OU RAMAL DE ESGOTO SANITÁRIO. AF_12/2014</t>
  </si>
  <si>
    <t>12,02</t>
  </si>
  <si>
    <t>89729</t>
  </si>
  <si>
    <t>JOELHO 90 GRAUS, CPVC, SOLDÁVEL, DN 35MM, INSTALADO EM RAMAL DE DISTRIBUIÇÃO DE ÁGUA   FORNECIMENTO E INSTALAÇÃO. AF_12/2014</t>
  </si>
  <si>
    <t>89730</t>
  </si>
  <si>
    <t>CURVA LONGA 90 GRAUS, PVC, SERIE NORMAL, ESGOTO PREDIAL, DN 40 MM, JUNTA SOLDÁVEL, FORNECIDO E INSTALADO EM RAMAL DE DESCARGA OU RAMAL DE ESGOTO SANITÁRIO. AF_12/2014</t>
  </si>
  <si>
    <t>13,27</t>
  </si>
  <si>
    <t>89731</t>
  </si>
  <si>
    <t>JOELHO 90 GRAUS, PVC, SERIE NORMAL, ESGOTO PREDIAL, DN 50 MM, JUNTA ELÁSTICA, FORNECIDO E INSTALADO EM RAMAL DE DESCARGA OU RAMAL DE ESGOTO SANITÁRIO. AF_12/2014</t>
  </si>
  <si>
    <t>89732</t>
  </si>
  <si>
    <t>JOELHO 45 GRAUS, PVC, SERIE NORMAL, ESGOTO PREDIAL, DN 50 MM, JUNTA ELÁSTICA, FORNECIDO E INSTALADO EM RAMAL DE DESCARGA OU RAMAL DE ESGOTO SANITÁRIO. AF_12/2014</t>
  </si>
  <si>
    <t>12,21</t>
  </si>
  <si>
    <t>89733</t>
  </si>
  <si>
    <t>CURVA CURTA 90 GRAUS, PVC, SERIE NORMAL, ESGOTO PREDIAL, DN 50 MM, JUNTA ELÁSTICA, FORNECIDO E INSTALADO EM RAMAL DE DESCARGA OU RAMAL DE ESGOTO SANITÁRIO. AF_12/2014</t>
  </si>
  <si>
    <t>21,98</t>
  </si>
  <si>
    <t>89734</t>
  </si>
  <si>
    <t>JOELHO 45 GRAUS, CPVC, SOLDÁVEL, DN 35MM, INSTALADO EM RAMAL DE DISTRIBUIÇÃO DE ÁGUA   FORNECIMENTO E INSTALAÇÃO. AF_12/2014</t>
  </si>
  <si>
    <t>89735</t>
  </si>
  <si>
    <t>CURVA LONGA 90 GRAUS, PVC, SERIE NORMAL, ESGOTO PREDIAL, DN 50 MM, JUNTA ELÁSTICA, FORNECIDO E INSTALADO EM RAMAL DE DESCARGA OU RAMAL DE ESGOTO SANITÁRIO. AF_12/2014</t>
  </si>
  <si>
    <t>89736</t>
  </si>
  <si>
    <t>LUVA, CPVC, SOLDÁVEL, DN 22MM, INSTALADO EM RAMAL DE DISTRIBUIÇÃO DE ÁGUA   FORNECIMENTO E INSTALAÇÃO. AF_12/2014</t>
  </si>
  <si>
    <t>7,72</t>
  </si>
  <si>
    <t>89737</t>
  </si>
  <si>
    <t>JOELHO 90 GRAUS, PVC, SERIE NORMAL, ESGOTO PREDIAL, DN 75 MM, JUNTA ELÁSTICA, FORNECIDO E INSTALADO EM RAMAL DE DESCARGA OU RAMAL DE ESGOTO SANITÁRIO. AF_12/2014</t>
  </si>
  <si>
    <t>20,75</t>
  </si>
  <si>
    <t>89738</t>
  </si>
  <si>
    <t>LUVA DE CORRER, CPVC, SOLDÁVEL, DN 22MM, INSTALADO EM RAMAL DE DISTRIBUIÇÃO DE ÁGUA   FORNECIMENTO E INSTALAÇÃO. AF_12/2014</t>
  </si>
  <si>
    <t>14,89</t>
  </si>
  <si>
    <t>89739</t>
  </si>
  <si>
    <t>JOELHO 45 GRAUS, PVC, SERIE NORMAL, ESGOTO PREDIAL, DN 75 MM, JUNTA ELÁSTICA, FORNECIDO E INSTALADO EM RAMAL DE DESCARGA OU RAMAL DE ESGOTO SANITÁRIO. AF_12/2014</t>
  </si>
  <si>
    <t>22,05</t>
  </si>
  <si>
    <t>89740</t>
  </si>
  <si>
    <t>LUVA DE TRANSIÇÃO, CPVC, SOLDÁVEL, DN 22MM X 25MM, INSTALADO EM RAMAL DE DISTRIBUIÇÃO DE ÁGUA   FORNECIMENTO E INSTALAÇÃO. AF_12/2014</t>
  </si>
  <si>
    <t>89741</t>
  </si>
  <si>
    <t>UNIÃO, CPVC, SOLDÁVEL, DN 22MM, INSTALADO EM RAMAL DE DISTRIBUIÇÃO DE ÁGUA   FORNECIMENTO E INSTALAÇÃO. AF_12/2014</t>
  </si>
  <si>
    <t>89742</t>
  </si>
  <si>
    <t>CURVA CURTA 90 GRAUS, PVC, SERIE NORMAL, ESGOTO PREDIAL, DN 75 MM, JUNTA ELÁSTICA, FORNECIDO E INSTALADO EM RAMAL DE DESCARGA OU RAMAL DE ESGOTO SANITÁRIO. AF_12/2014</t>
  </si>
  <si>
    <t>39,27</t>
  </si>
  <si>
    <t>89743</t>
  </si>
  <si>
    <t>CURVA LONGA 90 GRAUS, PVC, SERIE NORMAL, ESGOTO PREDIAL, DN 75 MM, JUNTA ELÁSTICA, FORNECIDO E INSTALADO EM RAMAL DE DESCARGA OU RAMAL DE ESGOTO SANITÁRIO. AF_12/2014</t>
  </si>
  <si>
    <t>57,84</t>
  </si>
  <si>
    <t>89744</t>
  </si>
  <si>
    <t>JOELHO 90 GRAUS, PVC, SERIE NORMAL, ESGOTO PREDIAL, DN 100 MM, JUNTA ELÁSTICA, FORNECIDO E INSTALADO EM RAMAL DE DESCARGA OU RAMAL DE ESGOTO SANITÁRIO. AF_12/2014</t>
  </si>
  <si>
    <t>26,73</t>
  </si>
  <si>
    <t>89745</t>
  </si>
  <si>
    <t>CONECTOR, CPVC, SOLDÁVEL, DN 22MM X 1/2 , INSTALADO EM RAMAL DE DISTRIBUIÇÃO DE ÁGUA   FORNECIMENTO E INSTALAÇÃO. AF_12/2014</t>
  </si>
  <si>
    <t>32,02</t>
  </si>
  <si>
    <t>89746</t>
  </si>
  <si>
    <t>JOELHO 45 GRAUS, PVC, SERIE NORMAL, ESGOTO PREDIAL, DN 100 MM, JUNTA ELÁSTICA, FORNECIDO E INSTALADO EM RAMAL DE DESCARGA OU RAMAL DE ESGOTO SANITÁRIO. AF_12/2014</t>
  </si>
  <si>
    <t>89747</t>
  </si>
  <si>
    <t>ADAPTADOR, CPVC, SOLDÁVEL, DN 22MM, INSTALADO EM RAMAL DE DISTRIBUIÇÃO DE ÁGUA   FORNECIMENTO E INSTALAÇÃO. AF_12/2014</t>
  </si>
  <si>
    <t>12,46</t>
  </si>
  <si>
    <t>89748</t>
  </si>
  <si>
    <t>CURVA CURTA 90 GRAUS, PVC, SERIE NORMAL, ESGOTO PREDIAL, DN 100 MM, JUNTA ELÁSTICA, FORNECIDO E INSTALADO EM RAMAL DE DESCARGA OU RAMAL DE ESGOTO SANITÁRIO. AF_12/2014</t>
  </si>
  <si>
    <t>46,87</t>
  </si>
  <si>
    <t>89749</t>
  </si>
  <si>
    <t>CURVA DE TRANSPOSIÇÃO, CPVC, SOLDÁVEL, DN 22MM, INSTALADO EM RAMAL DE DISTRIBUIÇÃO DE ÁGUA   FORNECIMENTO E INSTALAÇÃO. AF_12/2014</t>
  </si>
  <si>
    <t>89750</t>
  </si>
  <si>
    <t>CURVA LONGA 90 GRAUS, PVC, SERIE NORMAL, ESGOTO PREDIAL, DN 100 MM, JUNTA ELÁSTICA, FORNECIDO E INSTALADO EM RAMAL DE DESCARGA OU RAMAL DE ESGOTO SANITÁRIO. AF_12/2014</t>
  </si>
  <si>
    <t>89751</t>
  </si>
  <si>
    <t>BUCHA DE REDUÇÃO, CPVC, SOLDÁVEL, DN 22MM X 15MM, INSTALADO EM RAMAL DE DISTRIBUIÇÃO DE ÁGUA   FORNECIMENTO E INSTALAÇÃO. AF_12/2014</t>
  </si>
  <si>
    <t>6,03</t>
  </si>
  <si>
    <t>89752</t>
  </si>
  <si>
    <t>LUVA SIMPLES, PVC, SERIE NORMAL, ESGOTO PREDIAL, DN 40 MM, JUNTA SOLDÁVEL, FORNECIDO E INSTALADO EM RAMAL DE DESCARGA OU RAMAL DE ESGOTO SANITÁRIO. AF_12/2014</t>
  </si>
  <si>
    <t>89753</t>
  </si>
  <si>
    <t>LUVA SIMPLES, PVC, SERIE NORMAL, ESGOTO PREDIAL, DN 50 MM, JUNTA ELÁSTICA, FORNECIDO E INSTALADO EM RAMAL DE DESCARGA OU RAMAL DE ESGOTO SANITÁRIO. AF_12/2014</t>
  </si>
  <si>
    <t>89754</t>
  </si>
  <si>
    <t>LUVA DE CORRER, PVC, SERIE NORMAL, ESGOTO PREDIAL, DN 50 MM, JUNTA ELÁSTICA, FORNECIDO E INSTALADO EM RAMAL DE DESCARGA OU RAMAL DE ESGOTO SANITÁRIO. AF_12/2014</t>
  </si>
  <si>
    <t>89755</t>
  </si>
  <si>
    <t>LUVA, CPVC, SOLDÁVEL, DN 28MM, INSTALADO EM RAMAL DE DISTRIBUIÇÃO DE ÁGUA   FORNECIMENTO E INSTALAÇÃO. AF_12/2014</t>
  </si>
  <si>
    <t>89756</t>
  </si>
  <si>
    <t>LUVA DE CORRER, CPVC, SOLDÁVEL, DN 28MM, INSTALADO EM RAMAL DE DISTRIBUIÇÃO DE ÁGUA   FORNECIMENTO E INSTALAÇÃO. AF_12/2014</t>
  </si>
  <si>
    <t>89757</t>
  </si>
  <si>
    <t>UNIÃO, CPVC, SOLDÁVEL, DN 28MM, INSTALADO EM RAMAL DE DISTRIBUIÇÃO DE ÁGUA   FORNECIMENTO E INSTALAÇÃO. AF_12/2014</t>
  </si>
  <si>
    <t>30,69</t>
  </si>
  <si>
    <t>89758</t>
  </si>
  <si>
    <t>CONECTOR, CPVC, SOLDÁVEL, DN 28MM X 1 , INSTALADO EM RAMAL DE DISTRIBUIÇÃO DE ÁGUA   FORNECIMENTO E INSTALAÇÃO. AF_12/2014</t>
  </si>
  <si>
    <t>47,76</t>
  </si>
  <si>
    <t>89759</t>
  </si>
  <si>
    <t>BUCHA DE REDUÇÃO, CPVC, SOLDÁVEL, DN 28MM X 22MM, INSTALADO EM RAMAL DE DISTRIBUIÇÃO DE ÁGUA - FORNECIMENTO E INSTALAÇÃO. AF_12/2014</t>
  </si>
  <si>
    <t>89760</t>
  </si>
  <si>
    <t>LUVA, CPVC, SOLDÁVEL, DN 35MM, INSTALADO EM RAMAL DE DISTRIBUIÇÃO DE ÁGUA - FORNECIMENTO E INSTALAÇÃO. AF_12/2014</t>
  </si>
  <si>
    <t>19,52</t>
  </si>
  <si>
    <t>89761</t>
  </si>
  <si>
    <t>LUVA DE CORRER, CPVC, SOLDÁVEL, DN 35MM, INSTALADO EM RAMAL DE DISTRIBUIÇÃO DE ÁGUA - FORNECIMENTO E INSTALAÇÃO. AF_12/2014</t>
  </si>
  <si>
    <t>31,79</t>
  </si>
  <si>
    <t>89762</t>
  </si>
  <si>
    <t>UNIÃO, CPVC, SOLDÁVEL, DN35MM, INSTALADO EM RAMAL DE DISTRIBUIÇÃO DE ÁGUA - FORNECIMENTO E INSTALAÇÃO. AF_12/2014</t>
  </si>
  <si>
    <t>44,95</t>
  </si>
  <si>
    <t>89763</t>
  </si>
  <si>
    <t>CONECTOR, CPVC, SOLDÁVEL, DN 35MM X 1 1/4 , INSTALADO EM RAMAL DE DISTRIBUIÇÃO DE ÁGUA - FORNECIMENTO E INSTALAÇÃO. AF_12/2014</t>
  </si>
  <si>
    <t>175,13</t>
  </si>
  <si>
    <t>89764</t>
  </si>
  <si>
    <t>BUCHA DE REDUÇÃO, CPVC, SOLDÁVEL, DN35MM X 28MM, INSTALADO EM RAMAL DE DISTRIBUIÇÃO DE ÁGUA - FORNECIMENTO E INSTALAÇÃO. AF_12/2014</t>
  </si>
  <si>
    <t>34,43</t>
  </si>
  <si>
    <t>89765</t>
  </si>
  <si>
    <t>TE, CPVC, SOLDÁVEL, DN 22MM, INSTALADO EM RAMAL DE DISTRIBUIÇÃO DE ÁGUA - FORNECIMENTO E INSTALAÇÃO. AF_12/2014</t>
  </si>
  <si>
    <t>14,43</t>
  </si>
  <si>
    <t>89766</t>
  </si>
  <si>
    <t>TE DE TRANSIÇÃO, CPVC, SOLDÁVEL, DN 22MM X 1/2 , INSTALADO EM RAMAL DE DISTRIBUIÇÃO DE ÁGUA   FORNECIMENTO E INSTALAÇÃO. AF_12/2014</t>
  </si>
  <si>
    <t>21,31</t>
  </si>
  <si>
    <t>89767</t>
  </si>
  <si>
    <t>TÊ MISTURADOR, CPVC, SOLDÁVEL, DN 22MM, INSTALADO EM RAMAL DE DISTRIBUIÇÃO DE ÁGUA - FORNECIMENTO E INSTALAÇÃO. AF_12/2014</t>
  </si>
  <si>
    <t>89768</t>
  </si>
  <si>
    <t>TÊ, CPVC, SOLDÁVEL, DN 28MM, INSTALADO EM RAMAL DE DISTRIBUIÇÃO DE ÁGUA - FORNECIMENTO E INSTALAÇÃO. AF_12/2014</t>
  </si>
  <si>
    <t>21,67</t>
  </si>
  <si>
    <t>89769</t>
  </si>
  <si>
    <t>TÊ, CPVC, SOLDÁVEL, DN35MM, INSTALADO EM RAMAL DE DISTRIBUIÇÃO DE ÁGUA - FORNECIMENTO E INSTALAÇÃO. AF_12/2014</t>
  </si>
  <si>
    <t>51,13</t>
  </si>
  <si>
    <t>89772</t>
  </si>
  <si>
    <t>TUBO, CPVC, SOLDÁVEL, DN 54MM, INSTALADO EM PRUMADA DE ÁGUA  FORNECIMENTO E INSTALAÇÃO. AF_12/2014</t>
  </si>
  <si>
    <t>97,35</t>
  </si>
  <si>
    <t>89774</t>
  </si>
  <si>
    <t>LUVA SIMPLES, PVC, SERIE NORMAL, ESGOTO PREDIAL, DN 75 MM, JUNTA ELÁSTICA, FORNECIDO E INSTALADO EM RAMAL DE DESCARGA OU RAMAL DE ESGOTO SANITÁRIO. AF_12/2014</t>
  </si>
  <si>
    <t>16,84</t>
  </si>
  <si>
    <t>89776</t>
  </si>
  <si>
    <t>LUVA DE CORRER, PVC, SERIE NORMAL, ESGOTO PREDIAL, DN 75 MM, JUNTA ELÁSTICA, FORNECIDO E INSTALADO EM RAMAL DE DESCARGA OU RAMAL DE ESGOTO SANITÁRIO. AF_12/2014</t>
  </si>
  <si>
    <t>25,22</t>
  </si>
  <si>
    <t>89777</t>
  </si>
  <si>
    <t>JOELHO 90 GRAUS, CPVC, SOLDÁVEL, DN 35MM, INSTALADO EM PRUMADA DE ÁGUA  FORNECIMENTO E INSTALAÇÃO. AF_12/2014</t>
  </si>
  <si>
    <t>26,60</t>
  </si>
  <si>
    <t>89778</t>
  </si>
  <si>
    <t>LUVA SIMPLES, PVC, SERIE NORMAL, ESGOTO PREDIAL, DN 100 MM, JUNTA ELÁSTICA, FORNECIDO E INSTALADO EM RAMAL DE DESCARGA OU RAMAL DE ESGOTO SANITÁRIO. AF_12/2014</t>
  </si>
  <si>
    <t>20,70</t>
  </si>
  <si>
    <t>89779</t>
  </si>
  <si>
    <t>LUVA DE CORRER, PVC, SERIE NORMAL, ESGOTO PREDIAL, DN 100 MM, JUNTA ELÁSTICA, FORNECIDO E INSTALADO EM RAMAL DE DESCARGA OU RAMAL DE ESGOTO SANITÁRIO. AF_12/2014</t>
  </si>
  <si>
    <t>89780</t>
  </si>
  <si>
    <t>JOELHO 45 GRAUS, CPVC, SOLDÁVEL, DN 35MM, INSTALADO EM PRUMADA DE ÁGUA - FORNECIMENTO E INSTALAÇÃO. AF_12/2014</t>
  </si>
  <si>
    <t>89781</t>
  </si>
  <si>
    <t>JOELHO 90 GRAUS, CPVC, SOLDÁVEL, DN 42MM, INSTALADO EM PRUMADA DE ÁGUA  FORNECIMENTO E INSTALAÇÃO. AF_12/2014</t>
  </si>
  <si>
    <t>39,55</t>
  </si>
  <si>
    <t>89782</t>
  </si>
  <si>
    <t>TE, PVC, SERIE NORMAL, ESGOTO PREDIAL, DN 40 X 40 MM, JUNTA SOLDÁVEL, FORNECIDO E INSTALADO EM RAMAL DE DESCARGA OU RAMAL DE ESGOTO SANITÁRIO. AF_12/2014</t>
  </si>
  <si>
    <t>12,64</t>
  </si>
  <si>
    <t>89783</t>
  </si>
  <si>
    <t>JUNÇÃO SIMPLES, PVC, SERIE NORMAL, ESGOTO PREDIAL, DN 40 MM, JUNTA SOLDÁVEL, FORNECIDO E INSTALADO EM RAMAL DE DESCARGA OU RAMAL DE ESGOTO SANITÁRIO. AF_12/2014</t>
  </si>
  <si>
    <t>13,04</t>
  </si>
  <si>
    <t>89784</t>
  </si>
  <si>
    <t>TE, PVC, SERIE NORMAL, ESGOTO PREDIAL, DN 50 X 50 MM, JUNTA ELÁSTICA, FORNECIDO E INSTALADO EM RAMAL DE DESCARGA OU RAMAL DE ESGOTO SANITÁRIO. AF_12/2014</t>
  </si>
  <si>
    <t>22,11</t>
  </si>
  <si>
    <t>89785</t>
  </si>
  <si>
    <t>JUNÇÃO SIMPLES, PVC, SERIE NORMAL, ESGOTO PREDIAL, DN 50 X 50 MM, JUNTA ELÁSTICA, FORNECIDO E INSTALADO EM RAMAL DE DESCARGA OU RAMAL DE ESGOTO SANITÁRIO. AF_12/2014</t>
  </si>
  <si>
    <t>89786</t>
  </si>
  <si>
    <t>TE, PVC, SERIE NORMAL, ESGOTO PREDIAL, DN 75 X 75 MM, JUNTA ELÁSTICA, FORNECIDO E INSTALADO EM RAMAL DE DESCARGA OU RAMAL DE ESGOTO SANITÁRIO. AF_12/2014</t>
  </si>
  <si>
    <t>38,03</t>
  </si>
  <si>
    <t>89787</t>
  </si>
  <si>
    <t>JOELHO 45 GRAUS, CPVC, SOLDÁVEL, DN 42MM, INSTALADO EM PRUMADA DE ÁGUA  FORNECIMENTO E INSTALAÇÃO. AF_12/2014</t>
  </si>
  <si>
    <t>89788</t>
  </si>
  <si>
    <t>JOELHO 90 GRAUS, CPVC, SOLDÁVEL, DN 54MM, INSTALADO EM PRUMADA DE ÁGUA  FORNECIMENTO E INSTALAÇÃO. AF_12/2014</t>
  </si>
  <si>
    <t>77,05</t>
  </si>
  <si>
    <t>89789</t>
  </si>
  <si>
    <t>JOELHO 45 GRAUS, CPVC, SOLDÁVEL, DN 54MM, INSTALADO EM PRUMADA DE ÁGUA  FORNECIMENTO E INSTALAÇÃO. AF_12/2014</t>
  </si>
  <si>
    <t>78,26</t>
  </si>
  <si>
    <t>89790</t>
  </si>
  <si>
    <t>JOELHO 90 GRAUS, CPVC, SOLDÁVEL, DN 73MM, INSTALADO EM PRUMADA DE ÁGUA  FORNECIMENTO E INSTALAÇÃO. AF_12/2014</t>
  </si>
  <si>
    <t>190,39</t>
  </si>
  <si>
    <t>89791</t>
  </si>
  <si>
    <t>JOELHO 45 GRAUS, CPVC, SOLDÁVEL, DN 73MM, INSTALADO EM PRUMADA DE ÁGUA  FORNECIMENTO E INSTALAÇÃO. AF_12/2014</t>
  </si>
  <si>
    <t>194,84</t>
  </si>
  <si>
    <t>89792</t>
  </si>
  <si>
    <t>JOELHO 90 GRAUS, CPVC, SOLDÁVEL, DN 89MM, INSTALADO EM PRUMADA DE ÁGUA  FORNECIMENTO E INSTALAÇÃO. AF_12/2014</t>
  </si>
  <si>
    <t>224,39</t>
  </si>
  <si>
    <t>89793</t>
  </si>
  <si>
    <t>JOELHO 45 GRAUS, CPVC, SOLDÁVEL, DN 89MM, INSTALADO EM PRUMADA DE ÁGUA  FORNECIMENTO E INSTALAÇÃO. AF_12/2014</t>
  </si>
  <si>
    <t>230,38</t>
  </si>
  <si>
    <t>89794</t>
  </si>
  <si>
    <t>LUVA, CPVC, SOLDÁVEL, DN 35MM, INSTALADO EM PRUMADA DE ÁGUA  FORNECIMENTO E INSTALAÇÃO. AF_12/2014</t>
  </si>
  <si>
    <t>18,63</t>
  </si>
  <si>
    <t>89795</t>
  </si>
  <si>
    <t>JUNÇÃO SIMPLES, PVC, SERIE NORMAL, ESGOTO PREDIAL, DN 75 X 75 MM, JUNTA ELÁSTICA, FORNECIDO E INSTALADO EM RAMAL DE DESCARGA OU RAMAL DE ESGOTO SANITÁRIO. AF_12/2014</t>
  </si>
  <si>
    <t>89796</t>
  </si>
  <si>
    <t>TE, PVC, SERIE NORMAL, ESGOTO PREDIAL, DN 100 X 100 MM, JUNTA ELÁSTICA, FORNECIDO E INSTALADO EM RAMAL DE DESCARGA OU RAMAL DE ESGOTO SANITÁRIO. AF_12/2014</t>
  </si>
  <si>
    <t>45,87</t>
  </si>
  <si>
    <t>89797</t>
  </si>
  <si>
    <t>JUNÇÃO SIMPLES, PVC, SERIE NORMAL, ESGOTO PREDIAL, DN 100 X 100 MM, JUNTA ELÁSTICA, FORNECIDO E INSTALADO EM RAMAL DE DESCARGA OU RAMAL DE ESGOTO SANITÁRIO. AF_12/2014</t>
  </si>
  <si>
    <t>54,19</t>
  </si>
  <si>
    <t>89801</t>
  </si>
  <si>
    <t>JOELHO 90 GRAUS, PVC, SERIE NORMAL, ESGOTO PREDIAL, DN 50 MM, JUNTA ELÁSTICA, FORNECIDO E INSTALADO EM PRUMADA DE ESGOTO SANITÁRIO OU VENTILAÇÃO. AF_12/2014</t>
  </si>
  <si>
    <t>89802</t>
  </si>
  <si>
    <t>JOELHO 45 GRAUS, PVC, SERIE NORMAL, ESGOTO PREDIAL, DN 50 MM, JUNTA ELÁSTICA, FORNECIDO E INSTALADO EM PRUMADA DE ESGOTO SANITÁRIO OU VENTILAÇÃO. AF_12/2014</t>
  </si>
  <si>
    <t>8,68</t>
  </si>
  <si>
    <t>89803</t>
  </si>
  <si>
    <t>CURVA CURTA 90 GRAUS, PVC, SERIE NORMAL, ESGOTO PREDIAL, DN 50 MM, JUNTA ELÁSTICA, FORNECIDO E INSTALADO EM PRUMADA DE ESGOTO SANITÁRIO OU VENTILAÇÃO. AF_12/2014</t>
  </si>
  <si>
    <t>18,45</t>
  </si>
  <si>
    <t>89804</t>
  </si>
  <si>
    <t>CURVA LONGA 90 GRAUS, PVC, SERIE NORMAL, ESGOTO PREDIAL, DN 50 MM, JUNTA ELÁSTICA, FORNECIDO E INSTALADO EM PRUMADA DE ESGOTO SANITÁRIO OU VENTILAÇÃO. AF_12/2014</t>
  </si>
  <si>
    <t>19,94</t>
  </si>
  <si>
    <t>89805</t>
  </si>
  <si>
    <t>JOELHO 90 GRAUS, PVC, SERIE NORMAL, ESGOTO PREDIAL, DN 75 MM, JUNTA ELÁSTICA, FORNECIDO E INSTALADO EM PRUMADA DE ESGOTO SANITÁRIO OU VENTILAÇÃO. AF_12/2014</t>
  </si>
  <si>
    <t>16,45</t>
  </si>
  <si>
    <t>89806</t>
  </si>
  <si>
    <t>JOELHO 45 GRAUS, PVC, SERIE NORMAL, ESGOTO PREDIAL, DN 75 MM, JUNTA ELÁSTICA, FORNECIDO E INSTALADO EM PRUMADA DE ESGOTO SANITÁRIO OU VENTILAÇÃO. AF_12/2014</t>
  </si>
  <si>
    <t>17,75</t>
  </si>
  <si>
    <t>89807</t>
  </si>
  <si>
    <t>CURVA CURTA 90 GRAUS, PVC, SERIE NORMAL, ESGOTO PREDIAL, DN 75 MM, JUNTA ELÁSTICA, FORNECIDO E INSTALADO EM PRUMADA DE ESGOTO SANITÁRIO OU VENTILAÇÃO. AF_12/2014</t>
  </si>
  <si>
    <t>34,97</t>
  </si>
  <si>
    <t>89808</t>
  </si>
  <si>
    <t>CURVA LONGA 90 GRAUS, PVC, SERIE NORMAL, ESGOTO PREDIAL, DN 75 MM, JUNTA ELÁSTICA, FORNECIDO E INSTALADO EM PRUMADA DE ESGOTO SANITÁRIO OU VENTILAÇÃO. AF_12/2014</t>
  </si>
  <si>
    <t>53,54</t>
  </si>
  <si>
    <t>89809</t>
  </si>
  <si>
    <t>JOELHO 90 GRAUS, PVC, SERIE NORMAL, ESGOTO PREDIAL, DN 100 MM, JUNTA ELÁSTICA, FORNECIDO E INSTALADO EM PRUMADA DE ESGOTO SANITÁRIO OU VENTILAÇÃO. AF_12/2014</t>
  </si>
  <si>
    <t>89810</t>
  </si>
  <si>
    <t>JOELHO 45 GRAUS, PVC, SERIE NORMAL, ESGOTO PREDIAL, DN 100 MM, JUNTA ELÁSTICA, FORNECIDO E INSTALADO EM PRUMADA DE ESGOTO SANITÁRIO OU VENTILAÇÃO. AF_12/2014</t>
  </si>
  <si>
    <t>21,57</t>
  </si>
  <si>
    <t>89811</t>
  </si>
  <si>
    <t>CURVA CURTA 90 GRAUS, PVC, SERIE NORMAL, ESGOTO PREDIAL, DN 100 MM, JUNTA ELÁSTICA, FORNECIDO E INSTALADO EM PRUMADA DE ESGOTO SANITÁRIO OU VENTILAÇÃO. AF_12/2014</t>
  </si>
  <si>
    <t>41,79</t>
  </si>
  <si>
    <t>89812</t>
  </si>
  <si>
    <t>CURVA LONGA 90 GRAUS, PVC, SERIE NORMAL, ESGOTO PREDIAL, DN 100 MM, JUNTA ELÁSTICA, FORNECIDO E INSTALADO EM PRUMADA DE ESGOTO SANITÁRIO OU VENTILAÇÃO. AF_12/2014</t>
  </si>
  <si>
    <t>77,52</t>
  </si>
  <si>
    <t>89813</t>
  </si>
  <si>
    <t>LUVA SIMPLES, PVC, SERIE NORMAL, ESGOTO PREDIAL, DN 50 MM, JUNTA ELÁSTICA, FORNECIDO E INSTALADO EM PRUMADA DE ESGOTO SANITÁRIO OU VENTILAÇÃO. AF_12/2014</t>
  </si>
  <si>
    <t>7,93</t>
  </si>
  <si>
    <t>89814</t>
  </si>
  <si>
    <t>LUVA DE CORRER, PVC, SERIE NORMAL, ESGOTO PREDIAL, DN 50 MM, JUNTA ELÁSTICA, FORNECIDO E INSTALADO EM PRUMADA DE ESGOTO SANITÁRIO OU VENTILAÇÃO. AF_12/2014</t>
  </si>
  <si>
    <t>89815</t>
  </si>
  <si>
    <t>LUVA DE CORRER, CPVC, SOLDÁVEL, DN 35MM, INSTALADO EM PRUMADA DE ÁGUA  FORNECIMENTO E INSTALAÇÃO. AF_12/2014</t>
  </si>
  <si>
    <t>30,90</t>
  </si>
  <si>
    <t>89816</t>
  </si>
  <si>
    <t>UNIÃO, CPVC, SOLDÁVEL, DN35MM, INSTALADO EM PRUMADA DE ÁGUA  FORNECIMENTO E INSTALAÇÃO. AF_12/2014</t>
  </si>
  <si>
    <t>44,06</t>
  </si>
  <si>
    <t>89817</t>
  </si>
  <si>
    <t>LUVA SIMPLES, PVC, SERIE NORMAL, ESGOTO PREDIAL, DN 75 MM, JUNTA ELÁSTICA, FORNECIDO E INSTALADO EM PRUMADA DE ESGOTO SANITÁRIO OU VENTILAÇÃO. AF_12/2014</t>
  </si>
  <si>
    <t>89818</t>
  </si>
  <si>
    <t>CONECTOR, CPVC, SOLDÁVEL, DN 35MM X 1 1/4, INSTALADO EM PRUMADA DE ÁGUA  FORNECIMENTO E INSTALAÇÃO. AF_12/2014</t>
  </si>
  <si>
    <t>174,24</t>
  </si>
  <si>
    <t>89819</t>
  </si>
  <si>
    <t>LUVA DE CORRER, PVC, SERIE NORMAL, ESGOTO PREDIAL, DN 75 MM, JUNTA ELÁSTICA, FORNECIDO E INSTALADO EM PRUMADA DE ESGOTO SANITÁRIO OU VENTILAÇÃO. AF_12/2014</t>
  </si>
  <si>
    <t>22,48</t>
  </si>
  <si>
    <t>89820</t>
  </si>
  <si>
    <t>BUCHA DE REDUÇÃO, CPVC, SOLDÁVEL, DN35MM X 28MM, INSTALADO EM PRUMADA DE ÁGUA  FORNECIMENTO E INSTALAÇÃO. AF_12/2014</t>
  </si>
  <si>
    <t>33,54</t>
  </si>
  <si>
    <t>89821</t>
  </si>
  <si>
    <t>LUVA SIMPLES, PVC, SERIE NORMAL, ESGOTO PREDIAL, DN 100 MM, JUNTA ELÁSTICA, FORNECIDO E INSTALADO EM PRUMADA DE ESGOTO SANITÁRIO OU VENTILAÇÃO. AF_12/2014</t>
  </si>
  <si>
    <t>17,18</t>
  </si>
  <si>
    <t>89822</t>
  </si>
  <si>
    <t>LUVA, CPVC, SOLDÁVEL, DN 42MM, INSTALADO EM PRUMADA DE ÁGUA  FORNECIMENTO E INSTALAÇÃO. AF_12/2014</t>
  </si>
  <si>
    <t>24,41</t>
  </si>
  <si>
    <t>89823</t>
  </si>
  <si>
    <t>LUVA DE CORRER, PVC, SERIE NORMAL, ESGOTO PREDIAL, DN 100 MM, JUNTA ELÁSTICA, FORNECIDO E INSTALADO EM PRUMADA DE ESGOTO SANITÁRIO OU VENTILAÇÃO. AF_12/2014</t>
  </si>
  <si>
    <t>32,71</t>
  </si>
  <si>
    <t>89824</t>
  </si>
  <si>
    <t>LUVA DE CORRER, CPVC, SOLDÁVEL, DN 42MM, INSTALADO EM PRUMADA DE ÁGUA  FORNECIMENTO E INSTALAÇÃO. AF_12/2014</t>
  </si>
  <si>
    <t>41,90</t>
  </si>
  <si>
    <t>89825</t>
  </si>
  <si>
    <t>TE, PVC, SERIE NORMAL, ESGOTO PREDIAL, DN 50 X 50 MM, JUNTA ELÁSTICA, FORNECIDO E INSTALADO EM PRUMADA DE ESGOTO SANITÁRIO OU VENTILAÇÃO. AF_12/2014</t>
  </si>
  <si>
    <t>17,81</t>
  </si>
  <si>
    <t>89826</t>
  </si>
  <si>
    <t>LUVA DE TRANSIÇÃO, CPVC, SOLDÁVEL, DN42MM X 1.1/2, INSTALADO EM PRUMADA DE ÁGUA  FORNECIMENTO E INSTALAÇÃO. AF_12/2014</t>
  </si>
  <si>
    <t>178,04</t>
  </si>
  <si>
    <t>89827</t>
  </si>
  <si>
    <t>JUNÇÃO SIMPLES, PVC, SERIE NORMAL, ESGOTO PREDIAL, DN 50 X 50 MM, JUNTA ELÁSTICA, FORNECIDO E INSTALADO EM PRUMADA DE ESGOTO SANITÁRIO OU VENTILAÇÃO. AF_12/2014</t>
  </si>
  <si>
    <t>20,39</t>
  </si>
  <si>
    <t>89828</t>
  </si>
  <si>
    <t>UNIÃO, CPVC, SOLDÁVEL, DN42MM, INSTALADO EM PRUMADA DE ÁGUA  FORNECIMENTO E INSTALAÇÃO. AF_12/2014</t>
  </si>
  <si>
    <t>63,48</t>
  </si>
  <si>
    <t>89829</t>
  </si>
  <si>
    <t>TE, PVC, SERIE NORMAL, ESGOTO PREDIAL, DN 75 X 75 MM, JUNTA ELÁSTICA, FORNECIDO E INSTALADO EM PRUMADA DE ESGOTO SANITÁRIO OU VENTILAÇÃO. AF_12/2014</t>
  </si>
  <si>
    <t>32,56</t>
  </si>
  <si>
    <t>89830</t>
  </si>
  <si>
    <t>JUNÇÃO SIMPLES, PVC, SERIE NORMAL, ESGOTO PREDIAL, DN 75 X 75 MM, JUNTA ELÁSTICA, FORNECIDO E INSTALADO EM PRUMADA DE ESGOTO SANITÁRIO OU VENTILAÇÃO. AF_12/2014</t>
  </si>
  <si>
    <t>36,11</t>
  </si>
  <si>
    <t>89831</t>
  </si>
  <si>
    <t>CONECTOR, CPVC, SOLDÁVEL, DN 42MM X 1.1/2, INSTALADO EM PRUMADA DE ÁGUA  FORNECIMENTO E INSTALAÇÃO. AF_12/2014</t>
  </si>
  <si>
    <t>89832</t>
  </si>
  <si>
    <t>BUCHA DE REDUÇÃO, CPVC, SOLDÁVEL, DN 42MM X 22MM, INSTALADO EM RAMAL DE DISTRIBUIÇÃO DE ÁGUA - FORNECIMENTO E INSTALAÇÃO. AF_12/2014</t>
  </si>
  <si>
    <t>43,89</t>
  </si>
  <si>
    <t>89833</t>
  </si>
  <si>
    <t>TE, PVC, SERIE NORMAL, ESGOTO PREDIAL, DN 100 X 100 MM, JUNTA ELÁSTICA, FORNECIDO E INSTALADO EM PRUMADA DE ESGOTO SANITÁRIO OU VENTILAÇÃO. AF_12/2014</t>
  </si>
  <si>
    <t>39,22</t>
  </si>
  <si>
    <t>89834</t>
  </si>
  <si>
    <t>JUNÇÃO SIMPLES, PVC, SERIE NORMAL, ESGOTO PREDIAL, DN 100 X 100 MM, JUNTA ELÁSTICA, FORNECIDO E INSTALADO EM PRUMADA DE ESGOTO SANITÁRIO OU VENTILAÇÃO. AF_12/2014</t>
  </si>
  <si>
    <t>47,54</t>
  </si>
  <si>
    <t>89835</t>
  </si>
  <si>
    <t>LUVA, CPVC, SOLDÁVEL, DN 54MM, INSTALADO EM PRUMADA DE ÁGUA  FORNECIMENTO E INSTALAÇÃO. AF_12/2014</t>
  </si>
  <si>
    <t>43,42</t>
  </si>
  <si>
    <t>89836</t>
  </si>
  <si>
    <t>LUVA DE TRANSIÇÃO, CPVC, SOLDÁVEL, DN 54MM X 2, INSTALADO EM PRUMADA DE ÁGUA  FORNECIMENTO E INSTALAÇÃO. AF_12/2014</t>
  </si>
  <si>
    <t>287,41</t>
  </si>
  <si>
    <t>89837</t>
  </si>
  <si>
    <t>UNIÃO, CPVC, SOLDÁVEL, DN 54MM, INSTALADO EM PRUMADA DE ÁGUA  FORNECIMENTO E INSTALAÇÃO. AF_12/2014</t>
  </si>
  <si>
    <t>143,54</t>
  </si>
  <si>
    <t>89838</t>
  </si>
  <si>
    <t>LUVA, CPVC, SOLDÁVEL, DN 73MM, INSTALADO EM PRUMADA DE ÁGUA  FORNECIMENTO E INSTALAÇÃO. AF_12/2014</t>
  </si>
  <si>
    <t>156,80</t>
  </si>
  <si>
    <t>89839</t>
  </si>
  <si>
    <t>UNIÃO, CPVC, SOLDÁVEL, DN 73MM, INSTALADO EM PRUMADA DE ÁGUA  FORNECIMENTO E INSTALAÇÃO. AF_12/2014</t>
  </si>
  <si>
    <t>208,04</t>
  </si>
  <si>
    <t>89840</t>
  </si>
  <si>
    <t>LUVA, CPVC, SOLDÁVEL, DN 89MM, INSTALADO EM PRUMADA DE ÁGUA  FORNECIMENTO E INSTALAÇÃO. AF_12/2014</t>
  </si>
  <si>
    <t>181,84</t>
  </si>
  <si>
    <t>89841</t>
  </si>
  <si>
    <t>UNIÃO, CPVC, SOLDÁVEL, DN 89MM, INSTALADO EM PRUMADA DE ÁGUA  FORNECIMENTO E INSTALAÇÃO. AF_12/2014</t>
  </si>
  <si>
    <t>305,52</t>
  </si>
  <si>
    <t>89842</t>
  </si>
  <si>
    <t>TÊ, CPVC, SOLDÁVEL, DN 35MM, INSTALADO EM PRUMADA DE ÁGUA  FORNECIMENTO E INSTALAÇÃO. AF_12/2014</t>
  </si>
  <si>
    <t>49,33</t>
  </si>
  <si>
    <t>89844</t>
  </si>
  <si>
    <t>TE, CPVC, SOLDÁVEL, DN  42MM, INSTALADO EM PRUMADA DE ÁGUA  FORNECIMENTO E INSTALAÇÃO. AF_12/2014</t>
  </si>
  <si>
    <t>62,85</t>
  </si>
  <si>
    <t>89845</t>
  </si>
  <si>
    <t>TÊ, CPVC, SOLDÁVEL, DN 54 MM, INSTALADO EM PRUMADA DE ÁGUA  FORNECIMENTO E INSTALAÇÃO. AF_12/2014</t>
  </si>
  <si>
    <t>97,41</t>
  </si>
  <si>
    <t>89846</t>
  </si>
  <si>
    <t>TÊ, CPVC, SOLDÁVEL, DN 73MM, INSTALADO EM PRUMADA DE ÁGUA  FORNECIMENTO E INSTALAÇÃO. AF_12/2014</t>
  </si>
  <si>
    <t>89847</t>
  </si>
  <si>
    <t>TÊ, CPVC, SOLDÁVEL, DN 89MM, INSTALADO EM PRUMADA DE ÁGUA  FORNECIMENTO E INSTALAÇÃO. AF_12/2014</t>
  </si>
  <si>
    <t>269,86</t>
  </si>
  <si>
    <t>89850</t>
  </si>
  <si>
    <t>JOELHO 90 GRAUS, PVC, SERIE NORMAL, ESGOTO PREDIAL, DN 100 MM, JUNTA ELÁSTICA, FORNECIDO E INSTALADO EM SUBCOLETOR AÉREO DE ESGOTO SANITÁRIO. AF_12/2014</t>
  </si>
  <si>
    <t>26,34</t>
  </si>
  <si>
    <t>89851</t>
  </si>
  <si>
    <t>JOELHO 45 GRAUS, PVC, SERIE NORMAL, ESGOTO PREDIAL, DN 100 MM, JUNTA ELÁSTICA, FORNECIDO E INSTALADO EM SUBCOLETOR AÉREO DE ESGOTO SANITÁRIO. AF_12/2014</t>
  </si>
  <si>
    <t>89852</t>
  </si>
  <si>
    <t>CURVA CURTA 90 GRAUS, PVC, SERIE NORMAL, ESGOTO PREDIAL, DN 100 MM, JUNTA ELÁSTICA, FORNECIDO E INSTALADO EM SUBCOLETOR AÉREO DE ESGOTO SANITÁRIO. AF_12/2014</t>
  </si>
  <si>
    <t>46,48</t>
  </si>
  <si>
    <t>89853</t>
  </si>
  <si>
    <t>CURVA LONGA 90 GRAUS, PVC, SERIE NORMAL, ESGOTO PREDIAL, DN 100 MM, JUNTA ELÁSTICA, FORNECIDO E INSTALADO EM SUBCOLETOR AÉREO DE ESGOTO SANITÁRIO. AF_12/2014</t>
  </si>
  <si>
    <t>82,21</t>
  </si>
  <si>
    <t>89854</t>
  </si>
  <si>
    <t>JOELHO 90 GRAUS, PVC, SERIE NORMAL, ESGOTO PREDIAL, DN 150 MM, JUNTA ELÁSTICA, FORNECIDO E INSTALADO EM SUBCOLETOR AÉREO DE ESGOTO SANITÁRIO. AF_12/2014</t>
  </si>
  <si>
    <t>89855</t>
  </si>
  <si>
    <t>JOELHO 45 GRAUS, PVC, SERIE NORMAL, ESGOTO PREDIAL, DN 150 MM, JUNTA ELÁSTICA, FORNECIDO E INSTALADO EM SUBCOLETOR AÉREO DE ESGOTO SANITÁRIO. AF_12/2014</t>
  </si>
  <si>
    <t>109,51</t>
  </si>
  <si>
    <t>89856</t>
  </si>
  <si>
    <t>LUVA SIMPLES, PVC, SERIE NORMAL, ESGOTO PREDIAL, DN 100 MM, JUNTA ELÁSTICA, FORNECIDO E INSTALADO EM SUBCOLETOR AÉREO DE ESGOTO SANITÁRIO. AF_12/2014</t>
  </si>
  <si>
    <t>20,32</t>
  </si>
  <si>
    <t>89857</t>
  </si>
  <si>
    <t>LUVA DE CORRER, PVC, SERIE NORMAL, ESGOTO PREDIAL, DN 100 MM, JUNTA ELÁSTICA, FORNECIDO E INSTALADO EM SUBCOLETOR AÉREO DE ESGOTO SANITÁRIO. AF_12/2014</t>
  </si>
  <si>
    <t>35,85</t>
  </si>
  <si>
    <t>89859</t>
  </si>
  <si>
    <t>LUVA DE CORRER, PVC, SERIE NORMAL, ESGOTO PREDIAL, DN 150 MM, JUNTA ELÁSTICA, FORNECIDO E INSTALADO EM SUBCOLETOR AÉREO DE ESGOTO SANITÁRIO. AF_12/2014</t>
  </si>
  <si>
    <t>118,40</t>
  </si>
  <si>
    <t>89860</t>
  </si>
  <si>
    <t>TE, PVC, SERIE NORMAL, ESGOTO PREDIAL, DN 100 X 100 MM, JUNTA ELÁSTICA, FORNECIDO E INSTALADO EM SUBCOLETOR AÉREO DE ESGOTO SANITÁRIO. AF_12/2014</t>
  </si>
  <si>
    <t>89861</t>
  </si>
  <si>
    <t>JUNÇÃO SIMPLES, PVC, SERIE NORMAL, ESGOTO PREDIAL, DN 100 X 100 MM, JUNTA ELÁSTICA, FORNECIDO E INSTALADO EM SUBCOLETOR AÉREO DE ESGOTO SANITÁRIO. AF_12/2014</t>
  </si>
  <si>
    <t>53,80</t>
  </si>
  <si>
    <t>89862</t>
  </si>
  <si>
    <t>TE, PVC, SERIE NORMAL, ESGOTO PREDIAL, DN 150 X 150 MM, JUNTA ELÁSTICA, FORNECIDO E INSTALADO EM SUBCOLETOR AÉREO DE ESGOTO SANITÁRIO. AF_12/2014</t>
  </si>
  <si>
    <t>102,59</t>
  </si>
  <si>
    <t>89863</t>
  </si>
  <si>
    <t>JUNÇÃO SIMPLES, PVC, SERIE NORMAL, ESGOTO PREDIAL, DN 150 X 150 MM, JUNTA ELÁSTICA, FORNECIDO E INSTALADO EM SUBCOLETOR AÉREO DE ESGOTO SANITÁRIO. AF_12/2014</t>
  </si>
  <si>
    <t>241,67</t>
  </si>
  <si>
    <t>89866</t>
  </si>
  <si>
    <t>JOELHO 90 GRAUS, PVC, SOLDÁVEL, DN 25MM, INSTALADO EM DRENO DE AR-CONDICIONADO - FORNECIMENTO E INSTALAÇÃO. AF_12/2014</t>
  </si>
  <si>
    <t>4,96</t>
  </si>
  <si>
    <t>89867</t>
  </si>
  <si>
    <t>JOELHO 45 GRAUS, PVC, SOLDÁVEL, DN 25MM, INSTALADO EM DRENO DE AR-CONDICIONADO - FORNECIMENTO E INSTALAÇÃO. AF_12/2014</t>
  </si>
  <si>
    <t>89868</t>
  </si>
  <si>
    <t>LUVA, PVC, SOLDÁVEL, DN 25MM, INSTALADO EM DRENO DE AR-CONDICIONADO - FORNECIMENTO E INSTALAÇÃO. AF_12/2014</t>
  </si>
  <si>
    <t>3,87</t>
  </si>
  <si>
    <t>89869</t>
  </si>
  <si>
    <t>TE, PVC, SOLDÁVEL, DN 25MM, INSTALADO EM DRENO DE AR-CONDICIONADO - FORNECIMENTO E INSTALAÇÃO. AF_12/2014</t>
  </si>
  <si>
    <t>8,15</t>
  </si>
  <si>
    <t>89979</t>
  </si>
  <si>
    <t>LUVA COM BUCHA DE LATÃO, PVC, SOLDÁVEL, DN 32MM X 1 , INSTALADO EM RAMAL OU SUB-RAMAL DE ÁGUA   FORNECIMENTO E INSTALAÇÃO. AF_12/2014</t>
  </si>
  <si>
    <t>89980</t>
  </si>
  <si>
    <t>LUVA COM BUCHA DE LATÃO, PVC, SOLDÁVEL, DN 25MM X 3/4, INSTALADO EM PRUMADA DE ÁGUA - FORNECIMENTO E INSTALAÇÃO. AF_12/2014</t>
  </si>
  <si>
    <t>13,15</t>
  </si>
  <si>
    <t>89981</t>
  </si>
  <si>
    <t>LUVA SOLDÁVEL E COM BUCHA DE LATÃO, PVC, SOLDÁVEL, DN 32MM X 1 , INSTALADO EM PRUMADA DE ÁGUA   FORNECIMENTO E INSTALAÇÃO. AF_12/2014</t>
  </si>
  <si>
    <t>32,01</t>
  </si>
  <si>
    <t>90373</t>
  </si>
  <si>
    <t>JOELHO 90 GRAUS COM BUCHA DE LATÃO, PVC, SOLDÁVEL, DN 25MM, X 1/2 INSTALADO EM RAMAL OU SUB-RAMAL DE ÁGUA - FORNECIMENTO E INSTALAÇÃO. AF_12/2014</t>
  </si>
  <si>
    <t>90374</t>
  </si>
  <si>
    <t>TÊ COM BUCHA DE LATÃO NA BOLSA CENTRAL, PVC, SOLDÁVEL, DN 25MM X 3/4, INSTALADO EM RAMAL OU SUB-RAMAL DE ÁGUA - FORNECIMENTO E INSTALAÇÃO. AF_03/2015</t>
  </si>
  <si>
    <t>90375</t>
  </si>
  <si>
    <t>BUCHA DE REDUÇÃO, PVC, SOLDÁVEL, DN 40MM X 32MM, INSTALADO EM RAMAL OU SUB-RAMAL DE ÁGUA - FORNECIMENTO E INSTALAÇÃO. AF_03/2015</t>
  </si>
  <si>
    <t>9,21</t>
  </si>
  <si>
    <t>92287</t>
  </si>
  <si>
    <t>COTOVELO EM COBRE, DN 22 MM, 90 GRAUS, SEM ANEL DE SOLDA, INSTALADO EM PRUMADA   FORNECIMENTO E INSTALAÇÃO. AF_12/2015</t>
  </si>
  <si>
    <t>19,20</t>
  </si>
  <si>
    <t>92288</t>
  </si>
  <si>
    <t>COTOVELO EM COBRE, DN 28 MM, 90 GRAUS, SEM ANEL DE SOLDA, INSTALADO EM PRUMADA  FORNECIMENTO E INSTALAÇÃO. AF_12/2015</t>
  </si>
  <si>
    <t>30,18</t>
  </si>
  <si>
    <t>92289</t>
  </si>
  <si>
    <t>COTOVELO EM COBRE, DN 35 MM, 90 GRAUS, SEM ANEL DE SOLDA, INSTALADO EM PRUMADA  FORNECIMENTO E INSTALAÇÃO. AF_12/2015</t>
  </si>
  <si>
    <t>54,01</t>
  </si>
  <si>
    <t>92290</t>
  </si>
  <si>
    <t>COTOVELO EM COBRE, DN 42 MM, 90 GRAUS, SEM ANEL DE SOLDA, INSTALADO EM PRUMADA  FORNECIMENTO E INSTALAÇÃO. AF_12/2015</t>
  </si>
  <si>
    <t>82,84</t>
  </si>
  <si>
    <t>92291</t>
  </si>
  <si>
    <t>COTOVELO EM COBRE, DN 54 MM, 90 GRAUS, SEM ANEL DE SOLDA, INSTALADO EM PRUMADA  FORNECIMENTO E INSTALAÇÃO. AF_12/2015</t>
  </si>
  <si>
    <t>127,64</t>
  </si>
  <si>
    <t>92292</t>
  </si>
  <si>
    <t>COTOVELO EM COBRE, DN 66 MM, 90 GRAUS, SEM ANEL DE SOLDA, INSTALADO EM PRUMADA  FORNECIMENTO E INSTALAÇÃO. AF_12/2015</t>
  </si>
  <si>
    <t>404,66</t>
  </si>
  <si>
    <t>92293</t>
  </si>
  <si>
    <t>LUVA EM COBRE, DN 22 MM, SEM ANEL DE SOLDA, INSTALADO EM PRUMADA  FORNECIMENTO E INSTALAÇÃO. AF_12/2015</t>
  </si>
  <si>
    <t>92294</t>
  </si>
  <si>
    <t>LUVA EM COBRE, DN 28 MM, SEM ANEL DE SOLDA, INSTALADO EM PRUMADA  FORNECIMENTO E INSTALAÇÃO. AF_12/2015</t>
  </si>
  <si>
    <t>18,41</t>
  </si>
  <si>
    <t>92295</t>
  </si>
  <si>
    <t>LUVA EM COBRE, DN 35 MM, SEM ANEL DE SOLDA, INSTALADO EM PRUMADA  FORNECIMENTO E INSTALAÇÃO. AF_12/2015</t>
  </si>
  <si>
    <t>35,12</t>
  </si>
  <si>
    <t>92296</t>
  </si>
  <si>
    <t>LUVA EM COBRE, DN 42 MM, SEM ANEL DE SOLDA, INSTALADO EM PRUMADA  FORNECIMENTO E INSTALAÇÃO. AF_12/2015</t>
  </si>
  <si>
    <t>47,04</t>
  </si>
  <si>
    <t>92297</t>
  </si>
  <si>
    <t>LUVA EM COBRE, DN 54 MM, SEM ANEL DE SOLDA, INSTALADO EM PRUMADA  FORNECIMENTO E INSTALAÇÃO. AF_12/2015</t>
  </si>
  <si>
    <t>73,22</t>
  </si>
  <si>
    <t>92298</t>
  </si>
  <si>
    <t>LUVA EM COBRE, DN 66 MM, SEM ANEL DE SOLDA, INSTALADO EM PRUMADA  FORNECIMENTO E INSTALAÇÃO. AF_12/2015</t>
  </si>
  <si>
    <t>208,90</t>
  </si>
  <si>
    <t>92299</t>
  </si>
  <si>
    <t>TE EM COBRE, DN 22 MM, SEM ANEL DE SOLDA, INSTALADO EM PRUMADA  FORNECIMENTO E INSTALAÇÃO. AF_12/2015</t>
  </si>
  <si>
    <t>25,28</t>
  </si>
  <si>
    <t>92300</t>
  </si>
  <si>
    <t>TE EM COBRE, DN 28 MM, SEM ANEL DE SOLDA, INSTALADO EM PRUMADA  FORNECIMENTO E INSTALAÇÃO. AF_12/2015</t>
  </si>
  <si>
    <t>38,34</t>
  </si>
  <si>
    <t>92301</t>
  </si>
  <si>
    <t>TE EM COBRE, DN 35 MM, SEM ANEL DE SOLDA, INSTALADO EM PRUMADA  FORNECIMENTO E INSTALAÇÃO. AF_12/2015</t>
  </si>
  <si>
    <t>77,02</t>
  </si>
  <si>
    <t>92302</t>
  </si>
  <si>
    <t>TE EM COBRE, DN 42 MM, SEM ANEL DE SOLDA, INSTALADO EM PRUMADA  FORNECIMENTO E INSTALAÇÃO. AF_12/2015</t>
  </si>
  <si>
    <t>102,47</t>
  </si>
  <si>
    <t>92303</t>
  </si>
  <si>
    <t>TE EM COBRE, DN 54 MM, SEM ANEL DE SOLDA, INSTALADO EM PRUMADA  FORNECIMENTO E INSTALAÇÃO. AF_12/2015</t>
  </si>
  <si>
    <t>189,70</t>
  </si>
  <si>
    <t>92304</t>
  </si>
  <si>
    <t>TE EM COBRE, DN 66 MM, SEM ANEL DE SOLDA, INSTALADO EM PRUMADA  FORNECIMENTO E INSTALAÇÃO. AF_12/2015</t>
  </si>
  <si>
    <t>499,03</t>
  </si>
  <si>
    <t>92311</t>
  </si>
  <si>
    <t>COTOVELO EM COBRE, DN 15 MM, 90 GRAUS, SEM ANEL DE SOLDA, INSTALADO EM RAMAL DE DISTRIBUIÇÃO  FORNECIMENTO E INSTALAÇÃO. AF_12/2015</t>
  </si>
  <si>
    <t>12,53</t>
  </si>
  <si>
    <t>92312</t>
  </si>
  <si>
    <t>COTOVELO EM COBRE, DN 22 MM, 90 GRAUS, SEM ANEL DE SOLDA, INSTALADO EM RAMAL DE DISTRIBUIÇÃO  FORNECIMENTO E INSTALAÇÃO. AF_12/2015</t>
  </si>
  <si>
    <t>21,64</t>
  </si>
  <si>
    <t>92313</t>
  </si>
  <si>
    <t>COTOVELO EM COBRE, DN 28 MM, 90 GRAUS, SEM ANEL DE SOLDA, INSTALADO EM RAMAL DE DISTRIBUIÇÃO  FORNECIMENTO E INSTALAÇÃO. AF_12/2015</t>
  </si>
  <si>
    <t>32,62</t>
  </si>
  <si>
    <t>92314</t>
  </si>
  <si>
    <t>LUVA EM COBRE, DN 15 MM, SEM ANEL DE SOLDA, INSTALADO EM RAMAL DE DISTRIBUIÇÃO  FORNECIMENTO E INSTALAÇÃO. AF_12/2015</t>
  </si>
  <si>
    <t>8,10</t>
  </si>
  <si>
    <t>92315</t>
  </si>
  <si>
    <t>LUVA EM COBRE, DN 22 MM, SEM ANEL DE SOLDA, INSTALADO EM RAMAL DE DISTRIBUIÇÃO  FORNECIMENTO E INSTALAÇÃO. AF_12/2015</t>
  </si>
  <si>
    <t>12,56</t>
  </si>
  <si>
    <t>92316</t>
  </si>
  <si>
    <t>LUVA EM COBRE, DN 28 MM, SEM ANEL DE SOLDA, INSTALADO EM RAMAL DE DISTRIBUIÇÃO  FORNECIMENTO E INSTALAÇÃO. AF_12/2015</t>
  </si>
  <si>
    <t>20,06</t>
  </si>
  <si>
    <t>92317</t>
  </si>
  <si>
    <t>TE EM COBRE, DN 15 MM, SEM ANEL DE SOLDA, INSTALADO EM RAMAL DE DISTRIBUIÇÃO  FORNECIMENTO E INSTALAÇÃO. AF_12/2015</t>
  </si>
  <si>
    <t>17,09</t>
  </si>
  <si>
    <t>92318</t>
  </si>
  <si>
    <t>TE EM COBRE, DN 22 MM, SEM ANEL DE SOLDA, INSTALADO EM RAMAL DE DISTRIBUIÇÃO  FORNECIMENTO E INSTALAÇÃO. AF_12/2015</t>
  </si>
  <si>
    <t>28,55</t>
  </si>
  <si>
    <t>92319</t>
  </si>
  <si>
    <t>TE EM COBRE, DN 28 MM, SEM ANEL DE SOLDA, INSTALADO EM RAMAL DE DISTRIBUIÇÃO  FORNECIMENTO E INSTALAÇÃO. AF_12/2015</t>
  </si>
  <si>
    <t>41,60</t>
  </si>
  <si>
    <t>92326</t>
  </si>
  <si>
    <t>COTOVELO EM COBRE, DN 15 MM, 90 GRAUS, SEM ANEL DE SOLDA, INSTALADO EM RAMAL E SUB-RAMAL  FORNECIMENTO E INSTALAÇÃO. AF_12/2015</t>
  </si>
  <si>
    <t>13,76</t>
  </si>
  <si>
    <t>92327</t>
  </si>
  <si>
    <t>COTOVELO EM COBRE, DN 22 MM, 90 GRAUS, SEM ANEL DE SOLDA, INSTALADO EM RAMAL E SUB-RAMAL  FORNECIMENTO E INSTALAÇÃO. AF_12/2015</t>
  </si>
  <si>
    <t>23,91</t>
  </si>
  <si>
    <t>92328</t>
  </si>
  <si>
    <t>COTOVELO EM COBRE, DN 28 MM, 90 GRAUS, SEM ANEL DE SOLDA, INSTALADO EM RAMAL E SUB-RAMAL  FORNECIMENTO E INSTALAÇÃO. AF_12/2015</t>
  </si>
  <si>
    <t>36,64</t>
  </si>
  <si>
    <t>92329</t>
  </si>
  <si>
    <t>LUVA EM COBRE, DN 15 MM, SEM ANEL DE SOLDA, INSTALADO EM RAMAL E SUB-RAMAL  FORNECIMENTO E INSTALAÇÃO. AF_12/2015</t>
  </si>
  <si>
    <t>8,26</t>
  </si>
  <si>
    <t>92330</t>
  </si>
  <si>
    <t>LUVA EM COBRE, DN 22 MM, SEM ANEL DE SOLDA, INSTALADO EM RAMAL E SUB-RAMAL  FORNECIMENTO E INSTALAÇÃO. AF_12/2015</t>
  </si>
  <si>
    <t>14,04</t>
  </si>
  <si>
    <t>92331</t>
  </si>
  <si>
    <t>LUVA EM COBRE, DN 28 MM, SEM ANEL DE SOLDA, INSTALADO EM RAMAL E SUB-RAMAL  FORNECIMENTO E INSTALAÇÃO. AF_12/2015</t>
  </si>
  <si>
    <t>22,76</t>
  </si>
  <si>
    <t>92332</t>
  </si>
  <si>
    <t>TE EM COBRE, DN 15 MM, SEM ANEL DE SOLDA, INSTALADO EM RAMAL E SUB-RAMAL  FORNECIMENTO E INSTALAÇÃO. AF_12/2015</t>
  </si>
  <si>
    <t>17,33</t>
  </si>
  <si>
    <t>92333</t>
  </si>
  <si>
    <t>TE EM COBRE, DN 22 MM, SEM ANEL DE SOLDA, INSTALADO EM RAMAL E SUB-RAMAL  FORNECIMENTO E INSTALAÇÃO. AF_12/2015</t>
  </si>
  <si>
    <t>31,55</t>
  </si>
  <si>
    <t>92334</t>
  </si>
  <si>
    <t>TE EM COBRE, DN 28 MM, SEM ANEL DE SOLDA, INSTALADO EM RAMAL E SUB-RAMAL  FORNECIMENTO E INSTALAÇÃO. AF_12/2015</t>
  </si>
  <si>
    <t>92344</t>
  </si>
  <si>
    <t>NIPLE, EM FERRO GALVANIZADO, DN 50 (2"), CONEXÃO ROSQUEADA, INSTALADO EM PRUMADAS - FORNECIMENTO E INSTALAÇÃO. AF_10/2020</t>
  </si>
  <si>
    <t>53,55</t>
  </si>
  <si>
    <t>92345</t>
  </si>
  <si>
    <t>LUVA, EM FERRO GALVANIZADO, DN 50 (2"), CONEXÃO ROSQUEADA, INSTALADO EM PRUMADAS - FORNECIMENTO E INSTALAÇÃO. AF_10/2020</t>
  </si>
  <si>
    <t>53,53</t>
  </si>
  <si>
    <t>92346</t>
  </si>
  <si>
    <t>NIPLE, EM FERRO GALVANIZADO, DN 65 (2 1/2"), CONEXÃO ROSQUEADA, INSTALADO EM PRUMADAS - FORNECIMENTO E INSTALAÇÃO. AF_10/2020</t>
  </si>
  <si>
    <t>92347</t>
  </si>
  <si>
    <t>LUVA, EM FERRO GALVANIZADO, DN 65 (2 1/2"), CONEXÃO ROSQUEADA, INSTALADO EM PRUMADAS - FORNECIMENTO E INSTALAÇÃO. AF_10/2020</t>
  </si>
  <si>
    <t>78,76</t>
  </si>
  <si>
    <t>92348</t>
  </si>
  <si>
    <t>NIPLE, EM FERRO GALVANIZADO, DN 80 (3"), CONEXÃO ROSQUEADA, INSTALADO EM PRUMADAS - FORNECIMENTO E INSTALAÇÃO. AF_10/2020</t>
  </si>
  <si>
    <t>99,58</t>
  </si>
  <si>
    <t>92349</t>
  </si>
  <si>
    <t>LUVA, EM FERRO GALVANIZADO, DN 80 (3"), CONEXÃO ROSQUEADA, INSTALADO EM PRUMADAS - FORNECIMENTO E INSTALAÇÃO. AF_10/2020</t>
  </si>
  <si>
    <t>106,80</t>
  </si>
  <si>
    <t>92350</t>
  </si>
  <si>
    <t>JOELHO 45 GRAUS, EM FERRO GALVANIZADO, DN 50 (2"), CONEXÃO ROSQUEADA, INSTALADO EM PRUMADAS - FORNECIMENTO E INSTALAÇÃO. AF_10/2020</t>
  </si>
  <si>
    <t>79,60</t>
  </si>
  <si>
    <t>92351</t>
  </si>
  <si>
    <t>JOELHO 90 GRAUS, EM FERRO GALVANIZADO, DN 50 (2"), CONEXÃO ROSQUEADA, INSTALADO EM PRUMADAS - FORNECIMENTO E INSTALAÇÃO. AF_10/2020</t>
  </si>
  <si>
    <t>77,79</t>
  </si>
  <si>
    <t>92352</t>
  </si>
  <si>
    <t>JOELHO 45 GRAUS, EM FERRO GALVANIZADO, DN 65 (2 1/2"), CONEXÃO ROSQUEADA, INSTALADO EM PRUMADAS - FORNECIMENTO E INSTALAÇÃO. AF_10/2020</t>
  </si>
  <si>
    <t>121,50</t>
  </si>
  <si>
    <t>92353</t>
  </si>
  <si>
    <t>JOELHO 90 GRAUS, EM FERRO GALVANIZADO, DN 65 (2 1/2"), CONEXÃO ROSQUEADA, INSTALADO EM PRUMADAS - FORNECIMENTO E INSTALAÇÃO. AF_10/2020</t>
  </si>
  <si>
    <t>113,56</t>
  </si>
  <si>
    <t>92354</t>
  </si>
  <si>
    <t>JOELHO 45 GRAUS, EM FERRO GALVANIZADO, DN 80 (3"), CONEXÃO ROSQUEADA, INSTALADO EM PRUMADAS - FORNECIMENTO E INSTALAÇÃO. AF_10/2020</t>
  </si>
  <si>
    <t>161,73</t>
  </si>
  <si>
    <t>92355</t>
  </si>
  <si>
    <t>JOELHO 90 GRAUS, EM FERRO GALVANIZADO, DN 80 (3"), CONEXÃO ROSQUEADA, INSTALADO EM PRUMADAS - FORNECIMENTO E INSTALAÇÃO. AF_10/2020</t>
  </si>
  <si>
    <t>146,42</t>
  </si>
  <si>
    <t>92356</t>
  </si>
  <si>
    <t>TÊ, EM FERRO GALVANIZADO, DN 50 (2"), CONEXÃO ROSQUEADA, INSTALADO EM PRUMADAS - FORNECIMENTO E INSTALAÇÃO. AF_10/2020</t>
  </si>
  <si>
    <t>103,71</t>
  </si>
  <si>
    <t>92357</t>
  </si>
  <si>
    <t>TÊ, EM FERRO GALVANIZADO, DN 65 (2 1/2"), CONEXÃO ROSQUEADA, INSTALADO EM PRUMADAS - FORNECIMENTO E INSTALAÇÃO. AF_10/2020</t>
  </si>
  <si>
    <t>155,42</t>
  </si>
  <si>
    <t>92358</t>
  </si>
  <si>
    <t>TÊ, EM FERRO GALVANIZADO, DN 80 (3"), CONEXÃO ROSQUEADA, INSTALADO EM PRUMADAS - FORNECIMENTO E INSTALAÇÃO. AF_10/2020</t>
  </si>
  <si>
    <t>193,80</t>
  </si>
  <si>
    <t>92369</t>
  </si>
  <si>
    <t>NIPLE, EM FERRO GALVANIZADO, DN 25 (1"), CONEXÃO ROSQUEADA, INSTALADO EM REDE DE ALIMENTAÇÃO PARA HIDRANTE - FORNECIMENTO E INSTALAÇÃO. AF_10/2020</t>
  </si>
  <si>
    <t>28,58</t>
  </si>
  <si>
    <t>92370</t>
  </si>
  <si>
    <t>LUVA, EM FERRO GALVANIZADO, DN 25 (1"), CONEXÃO ROSQUEADA, INSTALADO EM REDE DE ALIMENTAÇÃO PARA HIDRANTE - FORNECIMENTO E INSTALAÇÃO. AF_10/2020</t>
  </si>
  <si>
    <t>30,04</t>
  </si>
  <si>
    <t>92371</t>
  </si>
  <si>
    <t>NIPLE, EM FERRO GALVANIZADO, DN 32 (1 1/4"), CONEXÃO ROSQUEADA, INSTALADO EM REDE DE ALIMENTAÇÃO PARA HIDRANTE - FORNECIMENTO E INSTALAÇÃO. AF_10/2020</t>
  </si>
  <si>
    <t>34,68</t>
  </si>
  <si>
    <t>92372</t>
  </si>
  <si>
    <t>LUVA, EM FERRO GALVANIZADO, DN 32 (1 1/4"), CONEXÃO ROSQUEADA, INSTALADO EM REDE DE ALIMENTAÇÃO PARA HIDRANTE - FORNECIMENTO E INSTALAÇÃO. AF_10/2020</t>
  </si>
  <si>
    <t>92373</t>
  </si>
  <si>
    <t>NIPLE, EM FERRO GALVANIZADO, DN 40 (1 1/2"), CONEXÃO ROSQUEADA, INSTALADO EM REDE DE ALIMENTAÇÃO PARA HIDRANTE - FORNECIMENTO E INSTALAÇÃO. AF_10/2020</t>
  </si>
  <si>
    <t>41,07</t>
  </si>
  <si>
    <t>92374</t>
  </si>
  <si>
    <t>LUVA, EM FERRO GALVANIZADO, DN 40 (1 1/2"), CONEXÃO ROSQUEADA, INSTALADO EM REDE DE ALIMENTAÇÃO PARA HIDRANTE - FORNECIMENTO E INSTALAÇÃO. AF_10/2020</t>
  </si>
  <si>
    <t>92375</t>
  </si>
  <si>
    <t>NIPLE, EM FERRO GALVANIZADO, DN 50 (2"), CONEXÃO ROSQUEADA, INSTALADO EM REDE DE ALIMENTAÇÃO PARA HIDRANTE - FORNECIMENTO E INSTALAÇÃO. AF_10/2020</t>
  </si>
  <si>
    <t>53,51</t>
  </si>
  <si>
    <t>92376</t>
  </si>
  <si>
    <t>LUVA, EM FERRO GALVANIZADO, DN 50 (2"), CONEXÃO ROSQUEADA, INSTALADO EM REDE DE ALIMENTAÇÃO PARA HIDRANTE - FORNECIMENTO E INSTALAÇÃO. AF_10/2020</t>
  </si>
  <si>
    <t>53,49</t>
  </si>
  <si>
    <t>92377</t>
  </si>
  <si>
    <t>NIPLE, EM FERRO GALVANIZADO, DN 65 (2 1/2"), CONEXÃO ROSQUEADA, INSTALADO EM REDE DE ALIMENTAÇÃO PARA HIDRANTE - FORNECIMENTO E INSTALAÇÃO. AF_10/2020</t>
  </si>
  <si>
    <t>71,98</t>
  </si>
  <si>
    <t>92378</t>
  </si>
  <si>
    <t>LUVA, EM FERRO GALVANIZADO, DN 65 (2 1/2"), CONEXÃO ROSQUEADA, INSTALADO EM REDE DE ALIMENTAÇÃO PARA HIDRANTE - FORNECIMENTO E INSTALAÇÃO. AF_10/2020</t>
  </si>
  <si>
    <t>80,09</t>
  </si>
  <si>
    <t>92379</t>
  </si>
  <si>
    <t>NIPLE, EM FERRO GALVANIZADO, DN 80 (3"), CONEXÃO ROSQUEADA, INSTALADO EM REDE DE ALIMENTAÇÃO PARA HIDRANTE - FORNECIMENTO E INSTALAÇÃO. AF_10/2020</t>
  </si>
  <si>
    <t>92380</t>
  </si>
  <si>
    <t>LUVA, EM FERRO GALVANIZADO, DN 80 (3"), CONEXÃO ROSQUEADA, INSTALADO EM REDE DE ALIMENTAÇÃO PARA HIDRANTE - FORNECIMENTO E INSTALAÇÃO. AF_10/2020</t>
  </si>
  <si>
    <t>109,53</t>
  </si>
  <si>
    <t>92381</t>
  </si>
  <si>
    <t>JOELHO 45 GRAUS, EM FERRO GALVANIZADO, DN 25 (1"), CONEXÃO ROSQUEADA, INSTALADO EM REDE DE ALIMENTAÇÃO PARA HIDRANTE - FORNECIMENTO E INSTALAÇÃO. AF_10/2020</t>
  </si>
  <si>
    <t>43,27</t>
  </si>
  <si>
    <t>92382</t>
  </si>
  <si>
    <t>JOELHO 90 GRAUS, EM FERRO GALVANIZADO, DN 25 (1"), CONEXÃO ROSQUEADA, INSTALADO EM REDE DE ALIMENTAÇÃO PARA HIDRANTE - FORNECIMENTO E INSTALAÇÃO. AF_10/2020</t>
  </si>
  <si>
    <t>92383</t>
  </si>
  <si>
    <t>JOELHO 45 GRAUS, EM FERRO GALVANIZADO, DN 32 (1 1/4"), CONEXÃO ROSQUEADA, INSTALADO EM REDE DE ALIMENTAÇÃO PARA HIDRANTE - FORNECIMENTO E INSTALAÇÃO. AF_10/2020</t>
  </si>
  <si>
    <t>54,79</t>
  </si>
  <si>
    <t>92384</t>
  </si>
  <si>
    <t>JOELHO 90 GRAUS, EM FERRO GALVANIZADO, DN 32 (1 1/4"), CONEXÃO ROSQUEADA, INSTALADO EM REDE DE ALIMENTAÇÃO PARA HIDRANTE - FORNECIMENTO E INSTALAÇÃO. AF_10/2020</t>
  </si>
  <si>
    <t>50,93</t>
  </si>
  <si>
    <t>92385</t>
  </si>
  <si>
    <t>JOELHO 45 GRAUS, EM FERRO GALVANIZADO, DN 40 (1 1/2"), CONEXÃO ROSQUEADA, INSTALADO EM REDE DE ALIMENTAÇÃO PARA HIDRANTE - FORNECIMENTO E INSTALAÇÃO. AF_10/2020</t>
  </si>
  <si>
    <t>92386</t>
  </si>
  <si>
    <t>JOELHO 90 GRAUS, EM FERRO GALVANIZADO, DN 40 (1 1/2"), CONEXÃO ROSQUEADA, INSTALADO EM REDE DE ALIMENTAÇÃO PARA HIDRANTE - FORNECIMENTO E INSTALAÇÃO. AF_10/2020</t>
  </si>
  <si>
    <t>60,22</t>
  </si>
  <si>
    <t>92387</t>
  </si>
  <si>
    <t>JOELHO 45 GRAUS, EM FERRO GALVANIZADO, DN 50 (2"), CONEXÃO ROSQUEADA, INSTALADO EM REDE DE ALIMENTAÇÃO PARA HIDRANTE - FORNECIMENTO E INSTALAÇÃO. AF_10/2020</t>
  </si>
  <si>
    <t>79,52</t>
  </si>
  <si>
    <t>92388</t>
  </si>
  <si>
    <t>JOELHO 90 GRAUS, EM FERRO GALVANIZADO, DN 50 (2"), CONEXÃO ROSQUEADA, INSTALADO EM REDE DE ALIMENTAÇÃO PARA HIDRANTE - FORNECIMENTO E INSTALAÇÃO. AF_10/2020</t>
  </si>
  <si>
    <t>77,71</t>
  </si>
  <si>
    <t>92389</t>
  </si>
  <si>
    <t>JOELHO 45 GRAUS, EM FERRO GALVANIZADO, DN 65 (2 1/2"), CONEXÃO ROSQUEADA, INSTALADO EM REDE DE ALIMENTAÇÃO PARA HIDRANTE - FORNECIMENTO E INSTALAÇÃO. AF_10/2020</t>
  </si>
  <si>
    <t>92390</t>
  </si>
  <si>
    <t>JOELHO 90 GRAUS, EM FERRO GALVANIZADO, DN 65 (2 1/2"), CONEXÃO ROSQUEADA, INSTALADO EM REDE DE ALIMENTAÇÃO PARA HIDRANTE - FORNECIMENTO E INSTALAÇÃO. AF_10/2020</t>
  </si>
  <si>
    <t>115,59</t>
  </si>
  <si>
    <t>92635</t>
  </si>
  <si>
    <t>JOELHO 45 GRAUS, EM FERRO GALVANIZADO, CONEXÃO ROSQUEADA, DN 80 (3"), INSTALADO EM REDE DE ALIMENTAÇÃO PARA HIDRANTE - FORNECIMENTO E INSTALAÇÃO. AF_10/2020</t>
  </si>
  <si>
    <t>165,83</t>
  </si>
  <si>
    <t>92636</t>
  </si>
  <si>
    <t>JOELHO 90 GRAUS, EM FERRO GALVANIZADO, CONEXÃO ROSQUEADA, DN 80 (3"), INSTALADO EM REDE DE ALIMENTAÇÃO PARA HIDRANTE - FORNECIMENTO E INSTALAÇÃO. AF_10/2020</t>
  </si>
  <si>
    <t>150,52</t>
  </si>
  <si>
    <t>92637</t>
  </si>
  <si>
    <t>TÊ, EM FERRO GALVANIZADO, CONEXÃO ROSQUEADA, DN 25 (1"), INSTALADO EM REDE DE ALIMENTAÇÃO PARA HIDRANTE - FORNECIMENTO E INSTALAÇÃO. AF_10/2020</t>
  </si>
  <si>
    <t>55,87</t>
  </si>
  <si>
    <t>92638</t>
  </si>
  <si>
    <t>TÊ, EM FERRO GALVANIZADO, CONEXÃO ROSQUEADA, DN 32 (1 1/4"), INSTALADO EM REDE DE ALIMENTAÇÃO PARA HIDRANTE - FORNECIMENTO E INSTALAÇÃO. AF_10/2020</t>
  </si>
  <si>
    <t>68,39</t>
  </si>
  <si>
    <t>92639</t>
  </si>
  <si>
    <t>TÊ, EM FERRO GALVANIZADO, CONEXÃO ROSQUEADA, DN 40 (1 1/2"), INSTALADO EM REDE DE ALIMENTAÇÃO PARA HIDRANTE - FORNECIMENTO E INSTALAÇÃO. AF_10/2020</t>
  </si>
  <si>
    <t>79,29</t>
  </si>
  <si>
    <t>92640</t>
  </si>
  <si>
    <t>TÊ, EM FERRO GALVANIZADO, CONEXÃO ROSQUEADA, DN 50 (2"), INSTALADO EM REDE DE ALIMENTAÇÃO PARA HIDRANTE - FORNECIMENTO E INSTALAÇÃO. AF_10/2020</t>
  </si>
  <si>
    <t>103,59</t>
  </si>
  <si>
    <t>92642</t>
  </si>
  <si>
    <t>TÊ, EM FERRO GALVANIZADO, CONEXÃO ROSQUEADA, DN 65 (2 1/2"), INSTALADO EM REDE DE ALIMENTAÇÃO PARA HIDRANTE - FORNECIMENTO E INSTALAÇÃO. AF_10/2020</t>
  </si>
  <si>
    <t>158,08</t>
  </si>
  <si>
    <t>92644</t>
  </si>
  <si>
    <t>TÊ, EM FERRO GALVANIZADO, CONEXÃO ROSQUEADA, DN 80 (3"), INSTALADO EM REDE DE ALIMENTAÇÃO PARA HIDRANTE - FORNECIMENTO E INSTALAÇÃO. AF_10/2020</t>
  </si>
  <si>
    <t>199,27</t>
  </si>
  <si>
    <t>92657</t>
  </si>
  <si>
    <t>NIPLE, EM FERRO GALVANIZADO, CONEXÃO ROSQUEADA, DN 25 (1"), INSTALADO EM REDE DE ALIMENTAÇÃO PARA SPRINKLER - FORNECIMENTO E INSTALAÇÃO. AF_10/2020</t>
  </si>
  <si>
    <t>21,18</t>
  </si>
  <si>
    <t>92658</t>
  </si>
  <si>
    <t>LUVA, EM FERRO GALVANIZADO, CONEXÃO ROSQUEADA, DN 25 (1"), INSTALADO EM REDE DE ALIMENTAÇÃO PARA SPRINKLER - FORNECIMENTO E INSTALAÇÃO. AF_10/2020</t>
  </si>
  <si>
    <t>22,64</t>
  </si>
  <si>
    <t>92659</t>
  </si>
  <si>
    <t>NIPLE, EM FERRO GALVANIZADO, CONEXÃO ROSQUEADA, DN 32 (1 1/4"), INSTALADO EM REDE DE ALIMENTAÇÃO PARA SPRINKLER - FORNECIMENTO E INSTALAÇÃO. AF_10/2020</t>
  </si>
  <si>
    <t>92660</t>
  </si>
  <si>
    <t>LUVA, EM FERRO GALVANIZADO, CONEXÃO ROSQUEADA, DN 32 (1 1/4"), INSTALADO EM REDE DE ALIMENTAÇÃO PARA SPRINKLER - FORNECIMENTO E INSTALAÇÃO. AF_10/2020</t>
  </si>
  <si>
    <t>27,62</t>
  </si>
  <si>
    <t>92661</t>
  </si>
  <si>
    <t>NIPLE, EM FERRO GALVANIZADO, CONEXÃO ROSQUEADA, DN 40 (1 1/2"), INSTALADO EM REDE DE ALIMENTAÇÃO PARA SPRINKLER - FORNECIMENTO E INSTALAÇÃO. AF_10/2020</t>
  </si>
  <si>
    <t>31,49</t>
  </si>
  <si>
    <t>92662</t>
  </si>
  <si>
    <t>LUVA, EM FERRO GALVANIZADO, CONEXÃO ROSQUEADA, DN 40 (1 1/2"), INSTALADO EM REDE DE ALIMENTAÇÃO PARA SPRINKLER - FORNECIMENTO E INSTALAÇÃO. AF_10/2020</t>
  </si>
  <si>
    <t>92663</t>
  </si>
  <si>
    <t>NIPLE, EM FERRO GALVANIZADO, CONEXÃO ROSQUEADA, DN 50 (2"), INSTALADO EM REDE DE ALIMENTAÇÃO PARA SPRINKLER - FORNECIMENTO E INSTALAÇÃO. AF_10/2020</t>
  </si>
  <si>
    <t>42,48</t>
  </si>
  <si>
    <t>92664</t>
  </si>
  <si>
    <t>LUVA, EM FERRO GALVANIZADO, CONEXÃO ROSQUEADA, DN 50 (2"), INSTALADO EM REDE DE ALIMENTAÇÃO PARA SPRINKLER - FORNECIMENTO E INSTALAÇÃO. AF_10/2020</t>
  </si>
  <si>
    <t>42,46</t>
  </si>
  <si>
    <t>92665</t>
  </si>
  <si>
    <t>NIPLE, EM FERRO GALVANIZADO, CONEXÃO ROSQUEADA, DN 65 (2 1/2"), INSTALADO EM REDE DE ALIMENTAÇÃO PARA SPRINKLER - FORNECIMENTO E INSTALAÇÃO. AF_10/2020</t>
  </si>
  <si>
    <t>58,76</t>
  </si>
  <si>
    <t>92666</t>
  </si>
  <si>
    <t>LUVA, EM FERRO GALVANIZADO, CONEXÃO ROSQUEADA, DN 65 (2 1/2"), INSTALADO EM REDE DE ALIMENTAÇÃO PARA SPRINKLER - FORNECIMENTO E INSTALAÇÃO. AF_10/2020</t>
  </si>
  <si>
    <t>66,87</t>
  </si>
  <si>
    <t>92667</t>
  </si>
  <si>
    <t>NIPLE, EM FERRO GALVANIZADO, CONEXÃO ROSQUEADA, DN 80 (3"), INSTALADO EM REDE DE ALIMENTAÇÃO PARA SPRINKLER - FORNECIMENTO E INSTALAÇÃO. AF_10/2020</t>
  </si>
  <si>
    <t>86,93</t>
  </si>
  <si>
    <t>92668</t>
  </si>
  <si>
    <t>LUVA, EM FERRO GALVANIZADO, CONEXÃO ROSQUEADA, DN 80 (3"), INSTALADO EM REDE DE ALIMENTAÇÃO PARA SPRINKLER - FORNECIMENTO E INSTALAÇÃO. AF_10/2020</t>
  </si>
  <si>
    <t>94,15</t>
  </si>
  <si>
    <t>92669</t>
  </si>
  <si>
    <t>JOELHO 45 GRAUS, EM FERRO GALVANIZADO, CONEXÃO ROSQUEADA, DN 25 (1"), INSTALADO EM REDE DE ALIMENTAÇÃO PARA SPRINKLER - FORNECIMENTO E INSTALAÇÃO. AF_10/2020</t>
  </si>
  <si>
    <t>32,16</t>
  </si>
  <si>
    <t>92670</t>
  </si>
  <si>
    <t>JOELHO 90 GRAUS, EM FERRO GALVANIZADO, CONEXÃO ROSQUEADA, DN 25 (1"), INSTALADO EM REDE DE ALIMENTAÇÃO PARA SPRINKLER - FORNECIMENTO E INSTALAÇÃO. AF_10/2020</t>
  </si>
  <si>
    <t>30,23</t>
  </si>
  <si>
    <t>92671</t>
  </si>
  <si>
    <t>JOELHO 45 GRAUS, EM FERRO GALVANIZADO, CONEXÃO ROSQUEADA, DN 32 (1 1/4"), INSTALADO EM REDE DE ALIMENTAÇÃO PARA SPRINKLER - FORNECIMENTO E INSTALAÇÃO. AF_10/2020</t>
  </si>
  <si>
    <t>42,18</t>
  </si>
  <si>
    <t>92672</t>
  </si>
  <si>
    <t>JOELHO 90 GRAUS, EM FERRO GALVANIZADO, CONEXÃO ROSQUEADA, DN 32 (1 1/4"), INSTALADO EM REDE DE ALIMENTAÇÃO PARA SPRINKLER - FORNECIMENTO E INSTALAÇÃO. AF_10/2020</t>
  </si>
  <si>
    <t>38,32</t>
  </si>
  <si>
    <t>92673</t>
  </si>
  <si>
    <t>JOELHO 45 GRAUS, EM FERRO GALVANIZADO, CONEXÃO ROSQUEADA, DN 40 (1 1/2"), INSTALADO EM REDE DE ALIMENTAÇÃO PARA SPRINKLER - FORNECIMENTO E INSTALAÇÃO. AF_10/2020</t>
  </si>
  <si>
    <t>92674</t>
  </si>
  <si>
    <t>JOELHO 90 GRAUS, EM FERRO GALVANIZADO, CONEXÃO ROSQUEADA, DN 40 (1 1/2"), INSTALADO EM REDE DE ALIMENTAÇÃO PARA SPRINKLER - FORNECIMENTO E INSTALAÇÃO. AF_10/2020</t>
  </si>
  <si>
    <t>92675</t>
  </si>
  <si>
    <t>JOELHO 45 GRAUS, EM FERRO GALVANIZADO, CONEXÃO ROSQUEADA, DN 50 (2"), INSTALADO EM REDE DE ALIMENTAÇÃO PARA SPRINKLER - FORNECIMENTO E INSTALAÇÃO. AF_10/2020</t>
  </si>
  <si>
    <t>63,01</t>
  </si>
  <si>
    <t>92676</t>
  </si>
  <si>
    <t>JOELHO 90 GRAUS, EM FERRO GALVANIZADO, CONEXÃO ROSQUEADA, DN 50 (2"), INSTALADO EM REDE DE ALIMENTAÇÃO PARA SPRINKLER - FORNECIMENTO E INSTALAÇÃO. AF_10/2020</t>
  </si>
  <si>
    <t>61,20</t>
  </si>
  <si>
    <t>92677</t>
  </si>
  <si>
    <t>JOELHO 45 GRAUS, EM FERRO GALVANIZADO, CONEXÃO ROSQUEADA, DN 65 (2 1/2"), INSTALADO EM REDE DE ALIMENTAÇÃO PARA SPRINKLER - FORNECIMENTO E INSTALAÇÃO. AF_10/2020</t>
  </si>
  <si>
    <t>103,73</t>
  </si>
  <si>
    <t>92678</t>
  </si>
  <si>
    <t>JOELHO 90 GRAUS, EM FERRO GALVANIZADO, CONEXÃO ROSQUEADA, DN 65 (2 1/2"), INSTALADO EM REDE DE ALIMENTAÇÃO PARA SPRINKLER - FORNECIMENTO E INSTALAÇÃO. AF_10/2020</t>
  </si>
  <si>
    <t>95,79</t>
  </si>
  <si>
    <t>92679</t>
  </si>
  <si>
    <t>JOELHO 45 GRAUS, EM FERRO GALVANIZADO, CONEXÃO ROSQUEADA, DN 80 (3"), INSTALADO EM REDE DE ALIMENTAÇÃO PARA SPRINKLER - FORNECIMENTO E INSTALAÇÃO. AF_10/2020</t>
  </si>
  <si>
    <t>142,79</t>
  </si>
  <si>
    <t>92680</t>
  </si>
  <si>
    <t>JOELHO 90 GRAUS, EM FERRO GALVANIZADO, CONEXÃO ROSQUEADA, DN 80 (3"), INSTALADO EM REDE DE ALIMENTAÇÃO PARA SPRINKLER - FORNECIMENTO E INSTALAÇÃO. AF_10/2020</t>
  </si>
  <si>
    <t>127,48</t>
  </si>
  <si>
    <t>92681</t>
  </si>
  <si>
    <t>TÊ, EM FERRO GALVANIZADO, CONEXÃO ROSQUEADA, DN 25 (1"), INSTALADO EM REDE DE ALIMENTAÇÃO PARA SPRINKLER - FORNECIMENTO E INSTALAÇÃO. AF_10/2020</t>
  </si>
  <si>
    <t>41,04</t>
  </si>
  <si>
    <t>92682</t>
  </si>
  <si>
    <t>TÊ, EM FERRO GALVANIZADO, CONEXÃO ROSQUEADA, DN 32 (1 1/4"), INSTALADO EM REDE DE ALIMENTAÇÃO PARA SPRINKLER - FORNECIMENTO E INSTALAÇÃO. AF_10/2020</t>
  </si>
  <si>
    <t>51,53</t>
  </si>
  <si>
    <t>92683</t>
  </si>
  <si>
    <t>TÊ, EM FERRO GALVANIZADO, CONEXÃO ROSQUEADA, DN 40 (1 1/2"), INSTALADO EM REDE DE ALIMENTAÇÃO PARA SPRINKLER - FORNECIMENTO E INSTALAÇÃO. AF_10/2020</t>
  </si>
  <si>
    <t>60,16</t>
  </si>
  <si>
    <t>92684</t>
  </si>
  <si>
    <t>TÊ, EM FERRO GALVANIZADO, CONEXÃO ROSQUEADA, DN 50 (2"), INSTALADO EM REDE DE ALIMENTAÇÃO PARA SPRINKLER - FORNECIMENTO E INSTALAÇÃO. AF_10/2020</t>
  </si>
  <si>
    <t>81,56</t>
  </si>
  <si>
    <t>92685</t>
  </si>
  <si>
    <t>TÊ, EM FERRO GALVANIZADO, CONEXÃO ROSQUEADA, DN 65 (2 1/2"), INSTALADO EM REDE DE ALIMENTAÇÃO PARA SPRINKLER - FORNECIMENTO E INSTALAÇÃO. AF_10/2020</t>
  </si>
  <si>
    <t>131,71</t>
  </si>
  <si>
    <t>92686</t>
  </si>
  <si>
    <t>TÊ, EM FERRO GALVANIZADO, CONEXÃO ROSQUEADA, DN 80 (3"), INSTALADO EM REDE DE ALIMENTAÇÃO PARA SPRINKLER - FORNECIMENTO E INSTALAÇÃO. AF_10/2020</t>
  </si>
  <si>
    <t>168,51</t>
  </si>
  <si>
    <t>92692</t>
  </si>
  <si>
    <t>NIPLE, EM FERRO GALVANIZADO, CONEXÃO ROSQUEADA, DN 15 (1/2"), INSTALADO EM RAMAIS E SUB-RAMAIS DE GÁS - FORNECIMENTO E INSTALAÇÃO. AF_10/2020</t>
  </si>
  <si>
    <t>11,41</t>
  </si>
  <si>
    <t>92693</t>
  </si>
  <si>
    <t>LUVA, EM FERRO GALVANIZADO, CONEXÃO ROSQUEADA, DN 15 (1/2"), INSTALADO EM RAMAIS E SUB-RAMAIS DE GÁS - FORNECIMENTO E INSTALAÇÃO. AF_10/2020</t>
  </si>
  <si>
    <t>92694</t>
  </si>
  <si>
    <t>NIPLE, EM FERRO GALVANIZADO, CONEXÃO ROSQUEADA, DN 20 (3/4"), INSTALADO EM RAMAIS E SUB-RAMAIS DE GÁS - FORNECIMENTO E INSTALAÇÃO. AF_10/2020</t>
  </si>
  <si>
    <t>18,05</t>
  </si>
  <si>
    <t>92695</t>
  </si>
  <si>
    <t>LUVA, EM FERRO GALVANIZADO, CONEXÃO ROSQUEADA, DN 20 (3/4"), INSTALADO EM RAMAIS E SUB-RAMAIS DE GÁS - FORNECIMENTO E INSTALAÇÃO. AF_10/2020</t>
  </si>
  <si>
    <t>18,38</t>
  </si>
  <si>
    <t>92696</t>
  </si>
  <si>
    <t>NIPLE, EM FERRO GALVANIZADO, CONEXÃO ROSQUEADA, DN 25 (1"), INSTALADO EM RAMAIS E SUB-RAMAIS DE GÁS - FORNECIMENTO E INSTALAÇÃO. AF_10/2020</t>
  </si>
  <si>
    <t>28,26</t>
  </si>
  <si>
    <t>92697</t>
  </si>
  <si>
    <t>LUVA, EM FERRO GALVANIZADO, CONEXÃO ROSQUEADA, DN 25 (1"), INSTALADO EM RAMAIS E SUB-RAMAIS DE GÁS - FORNECIMENTO E INSTALAÇÃO. AF_10/2020</t>
  </si>
  <si>
    <t>29,72</t>
  </si>
  <si>
    <t>92698</t>
  </si>
  <si>
    <t>JOELHO 45 GRAUS, EM FERRO GALVANIZADO, CONEXÃO ROSQUEADA, DN 15 (1/2"), INSTALADO EM RAMAIS E SUB-RAMAIS DE GÁS - FORNECIMENTO E INSTALAÇÃO. AF_10/2020</t>
  </si>
  <si>
    <t>16,85</t>
  </si>
  <si>
    <t>92699</t>
  </si>
  <si>
    <t>JOELHO 90 GRAUS, EM FERRO GALVANIZADO, CONEXÃO ROSQUEADA, DN 15 (1/2"), INSTALADO EM RAMAIS E SUB-RAMAIS DE GÁS - FORNECIMENTO E INSTALAÇÃO. AF_10/2020</t>
  </si>
  <si>
    <t>15,79</t>
  </si>
  <si>
    <t>92700</t>
  </si>
  <si>
    <t>JOELHO 45 GRAUS, EM FERRO GALVANIZADO, CONEXÃO ROSQUEADA, DN 20 (3/4"), INSTALADO EM RAMAIS E SUB-RAMAIS DE GÁS - FORNECIMENTO E INSTALAÇÃO. AF_10/2020</t>
  </si>
  <si>
    <t>92701</t>
  </si>
  <si>
    <t>JOELHO 90 GRAUS, EM FERRO GALVANIZADO, CONEXÃO ROSQUEADA, DN 20 (3/4"), INSTALADO EM RAMAIS E SUB-RAMAIS DE GÁS - FORNECIMENTO E INSTALAÇÃO. AF_10/2020</t>
  </si>
  <si>
    <t>92702</t>
  </si>
  <si>
    <t>JOELHO 45 GRAUS, EM FERRO GALVANIZADO, CONEXÃO ROSQUEADA, DN 25 (1"), INSTALADO EM RAMAIS E SUB-RAMAIS DE GÁS - FORNECIMENTO E INSTALAÇÃO. AF_10/2020</t>
  </si>
  <si>
    <t>42,84</t>
  </si>
  <si>
    <t>92703</t>
  </si>
  <si>
    <t>JOELHO 90 GRAUS, EM FERRO GALVANIZADO, CONEXÃO ROSQUEADA, DN 25 (1"), INSTALADO EM RAMAIS E SUB-RAMAIS DE GÁS - FORNECIMENTO E INSTALAÇÃO. AF_10/2020</t>
  </si>
  <si>
    <t>92704</t>
  </si>
  <si>
    <t>TÊ, EM FERRO GALVANIZADO, CONEXÃO ROSQUEADA, DN 15 (1/2"), INSTALADO EM RAMAIS E SUB-RAMAIS DE GÁS - FORNECIMENTO E INSTALAÇÃO. AF_10/2020</t>
  </si>
  <si>
    <t>21,26</t>
  </si>
  <si>
    <t>92705</t>
  </si>
  <si>
    <t>TÊ, EM FERRO GALVANIZADO, CONEXÃO ROSQUEADA, DN 20 (3/4"), INSTALADO EM RAMAIS E SUB-RAMAIS DE GÁS - FORNECIMENTO E INSTALAÇÃO. AF_10/2020</t>
  </si>
  <si>
    <t>34,17</t>
  </si>
  <si>
    <t>92706</t>
  </si>
  <si>
    <t>TÊ, EM FERRO GALVANIZADO, CONEXÃO ROSQUEADA, DN 25 (1"), INSTALADO EM RAMAIS E SUB-RAMAIS DE GÁS - FORNECIMENTO E INSTALAÇÃO. AF_10/2020</t>
  </si>
  <si>
    <t>55,28</t>
  </si>
  <si>
    <t>92889</t>
  </si>
  <si>
    <t>UNIÃO, EM FERRO GALVANIZADO, DN 50 (2"), CONEXÃO ROSQUEADA, INSTALADO EM PRUMADAS - FORNECIMENTO E INSTALAÇÃO. AF_10/2020</t>
  </si>
  <si>
    <t>106,21</t>
  </si>
  <si>
    <t>92890</t>
  </si>
  <si>
    <t>UNIÃO, EM FERRO GALVANIZADO, DN 65 (2 1/2"), CONEXÃO ROSQUEADA, INSTALADO EM PRUMADAS - FORNECIMENTO E INSTALAÇÃO. AF_10/2020</t>
  </si>
  <si>
    <t>161,22</t>
  </si>
  <si>
    <t>92891</t>
  </si>
  <si>
    <t>UNIÃO, EM FERRO GALVANIZADO, DN 80 (3"), CONEXÃO ROSQUEADA, INSTALADO EM PRUMADAS - FORNECIMENTO E INSTALAÇÃO. AF_10/2020</t>
  </si>
  <si>
    <t>236,61</t>
  </si>
  <si>
    <t>92892</t>
  </si>
  <si>
    <t>UNIÃO, EM FERRO GALVANIZADO, DN 25 (1"), CONEXÃO ROSQUEADA, INSTALADO EM REDE DE ALIMENTAÇÃO PARA HIDRANTE - FORNECIMENTO E INSTALAÇÃO. AF_10/2020</t>
  </si>
  <si>
    <t>45,72</t>
  </si>
  <si>
    <t>92893</t>
  </si>
  <si>
    <t>UNIÃO, EM FERRO GALVANIZADO, DN 32 (1 1/4"), CONEXÃO ROSQUEADA, INSTALADO EM REDE DE ALIMENTAÇÃO PARA HIDRANTE - FORNECIMENTO E INSTALAÇÃO. AF_10/2020</t>
  </si>
  <si>
    <t>65,19</t>
  </si>
  <si>
    <t>92894</t>
  </si>
  <si>
    <t>UNIÃO, EM FERRO GALVANIZADO, DN 40 (1 1/2"), CONEXÃO ROSQUEADA, INSTALADO EM REDE DE ALIMENTAÇÃO PARA HIDRANTE - FORNECIMENTO E INSTALAÇÃO. AF_10/2020</t>
  </si>
  <si>
    <t>77,92</t>
  </si>
  <si>
    <t>92895</t>
  </si>
  <si>
    <t>UNIÃO, EM FERRO GALVANIZADO, DN 50 (2"), CONEXÃO ROSQUEADA, INSTALADO EM REDE DE ALIMENTAÇÃO PARA HIDRANTE - FORNECIMENTO E INSTALAÇÃO. AF_10/2020</t>
  </si>
  <si>
    <t>106,17</t>
  </si>
  <si>
    <t>92896</t>
  </si>
  <si>
    <t>UNIÃO, EM FERRO GALVANIZADO, DN 65 (2 1/2"), CONEXÃO ROSQUEADA, INSTALADO EM REDE DE ALIMENTAÇÃO PARA HIDRANTE - FORNECIMENTO E INSTALAÇÃO. AF_10/2020</t>
  </si>
  <si>
    <t>162,55</t>
  </si>
  <si>
    <t>92897</t>
  </si>
  <si>
    <t>UNIÃO, EM FERRO GALVANIZADO, DN 80 (3"), CONEXÃO ROSQUEADA, INSTALADO EM REDE DE ALIMENTAÇÃO PARA HIDRANTE - FORNECIMENTO E INSTALAÇÃO. AF_10/2020</t>
  </si>
  <si>
    <t>239,34</t>
  </si>
  <si>
    <t>92898</t>
  </si>
  <si>
    <t>UNIÃO, EM FERRO GALVANIZADO, CONEXÃO ROSQUEADA, DN 25 (1"), INSTALADO EM REDE DE ALIMENTAÇÃO PARA SPRINKLER - FORNECIMENTO E INSTALAÇÃO. AF_10/2020</t>
  </si>
  <si>
    <t>92899</t>
  </si>
  <si>
    <t>UNIÃO, EM FERRO GALVANIZADO, CONEXÃO ROSQUEADA, DN 32 (1 1/4"), INSTALADO EM REDE DE ALIMENTAÇÃO PARA SPRINKLER - FORNECIMENTO E INSTALAÇÃO. AF_10/2020</t>
  </si>
  <si>
    <t>92900</t>
  </si>
  <si>
    <t>UNIÃO, EM FERRO GALVANIZADO, CONEXÃO ROSQUEADA, DN 40 (1 1/2"), INSTALADO EM REDE DE ALIMENTAÇÃO PARA SPRINKLER - FORNECIMENTO E INSTALAÇÃO. AF_10/2020</t>
  </si>
  <si>
    <t>92901</t>
  </si>
  <si>
    <t>UNIÃO, EM FERRO GALVANIZADO, CONEXÃO ROSQUEADA, DN 50 (2"), INSTALADO EM REDE DE ALIMENTAÇÃO PARA SPRINKLER - FORNECIMENTO E INSTALAÇÃO. AF_10/2020</t>
  </si>
  <si>
    <t>95,14</t>
  </si>
  <si>
    <t>92902</t>
  </si>
  <si>
    <t>UNIÃO, EM FERRO GALVANIZADO, CONEXÃO ROSQUEADA, DN 65 (2 1/2"), INSTALADO EM REDE DE ALIMENTAÇÃO PARA SPRINKLER - FORNECIMENTO E INSTALAÇÃO. AF_10/2020</t>
  </si>
  <si>
    <t>149,33</t>
  </si>
  <si>
    <t>92903</t>
  </si>
  <si>
    <t>UNIÃO, EM FERRO GALVANIZADO, CONEXÃO ROSQUEADA, DN 80 (3"), INSTALADO EM REDE DE ALIMENTAÇÃO PARA SPRINKLER - FORNECIMENTO E INSTALAÇÃO. AF_10/2020</t>
  </si>
  <si>
    <t>223,96</t>
  </si>
  <si>
    <t>92904</t>
  </si>
  <si>
    <t>UNIÃO, EM FERRO GALVANIZADO, CONEXÃO ROSQUEADA, DN 15 (1/2"), INSTALADO EM RAMAIS E SUB-RAMAIS DE GÁS - FORNECIMENTO E INSTALAÇÃO. AF_10/2020</t>
  </si>
  <si>
    <t>26,12</t>
  </si>
  <si>
    <t>92905</t>
  </si>
  <si>
    <t>UNIÃO, EM FERRO GALVANIZADO, CONEXÃO ROSQUEADA, DN 20 (3/4"), INSTALADO EM RAMAIS E SUB-RAMAIS DE GÁS - FORNECIMENTO E INSTALAÇÃO. AF_10/2020</t>
  </si>
  <si>
    <t>37,26</t>
  </si>
  <si>
    <t>92906</t>
  </si>
  <si>
    <t>UNIÃO, EM FERRO GALVANIZADO, CONEXÃO ROSQUEADA, DN 25 (1"), INSTALADO EM RAMAIS E SUB-RAMAIS DE GÁS - FORNECIMENTO E INSTALAÇÃO. AF_10/2020</t>
  </si>
  <si>
    <t>45,40</t>
  </si>
  <si>
    <t>92907</t>
  </si>
  <si>
    <t>LUVA DE REDUÇÃO, EM FERRO GALVANIZADO, 2" X 1 1/2", CONEXÃO ROSQUEADA, INSTALADO EM PRUMADAS - FORNECIMENTO E INSTALAÇÃO. AF_10/2020</t>
  </si>
  <si>
    <t>56,59</t>
  </si>
  <si>
    <t>92908</t>
  </si>
  <si>
    <t>LUVA DE REDUÇÃO, EM FERRO GALVANIZADO, 2" X 1 1/4", CONEXÃO ROSQUEADA, INSTALADO EM PRUMADAS - FORNECIMENTO E INSTALAÇÃO. AF_10/2020</t>
  </si>
  <si>
    <t>92909</t>
  </si>
  <si>
    <t>LUVA DE REDUÇÃO, EM FERRO GALVANIZADO, 2" X 1", CONEXÃO ROSQUEADA, INSTALADO EM PRUMADAS - FORNECIMENTO E INSTALAÇÃO. AF_10/2020</t>
  </si>
  <si>
    <t>92910</t>
  </si>
  <si>
    <t>LUVA DE REDUÇÃO, EM FERRO GALVANIZADO, 2 1/2" X 1 1/2", CONEXÃO ROSQUEADA, INSTALADO EM PRUMADAS - FORNECIMENTO E INSTALAÇÃO. AF_10/2020</t>
  </si>
  <si>
    <t>82,19</t>
  </si>
  <si>
    <t>92911</t>
  </si>
  <si>
    <t>LUVA DE REDUÇÃO, EM FERRO GALVANIZADO, 2 1/2" X 2", CONEXÃO ROSQUEADA, INSTALADO EM PRUMADAS - FORNECIMENTO E INSTALAÇÃO. AF_10/2020</t>
  </si>
  <si>
    <t>92912</t>
  </si>
  <si>
    <t>LUVA DE REDUÇÃO, EM FERRO GALVANIZADO, 3" X 1 1/2", CONEXÃO ROSQUEADA, INSTALADO EM PRUMADAS - FORNECIMENTO E INSTALAÇÃO. AF_10/2020</t>
  </si>
  <si>
    <t>110,47</t>
  </si>
  <si>
    <t>92913</t>
  </si>
  <si>
    <t>LUVA DE REDUÇÃO, EM FERRO GALVANIZADO, 3" X 2 1/2", CONEXÃO ROSQUEADA, INSTALADO EM PRUMADAS - FORNECIMENTO E INSTALAÇÃO. AF_10/2020</t>
  </si>
  <si>
    <t>112,78</t>
  </si>
  <si>
    <t>92914</t>
  </si>
  <si>
    <t>LUVA DE REDUÇÃO, EM FERRO GALVANIZADO, 3" X 2", CONEXÃO ROSQUEADA, INSTALADO EM PRUMADAS - FORNECIMENTO E INSTALAÇÃO. AF_10/2020</t>
  </si>
  <si>
    <t>92918</t>
  </si>
  <si>
    <t>LUVA DE REDUÇÃO, EM FERRO GALVANIZADO, 1" X 1/2", CONEXÃO ROSQUEADA, INSTALADO EM REDE DE ALIMENTAÇÃO PARA HIDRANTE - FORNECIMENTO E INSTALAÇÃO. AF_10/2020</t>
  </si>
  <si>
    <t>92920</t>
  </si>
  <si>
    <t>LUVA DE REDUÇÃO, EM FERRO GALVANIZADO, 1" X 3/4", CONEXÃO ROSQUEADA, INSTALADO EM REDE DE ALIMENTAÇÃO PARA HIDRANTE - FORNECIMENTO E INSTALAÇÃO. AF_10/2020</t>
  </si>
  <si>
    <t>30,12</t>
  </si>
  <si>
    <t>92925</t>
  </si>
  <si>
    <t>LUVA DE REDUÇÃO, EM FERRO GALVANIZADO, 1 1/4" X 1", CONEXÃO ROSQUEADA, INSTALADO EM REDE DE ALIMENTAÇÃO PARA HIDRANTE - FORNECIMENTO E INSTALAÇÃO. AF_10/2020</t>
  </si>
  <si>
    <t>37,13</t>
  </si>
  <si>
    <t>92926</t>
  </si>
  <si>
    <t>LUVA DE REDUÇÃO, EM FERRO GALVANIZADO, 1 1/4" X 1/2", CONEXÃO ROSQUEADA, INSTALADO EM REDE DE ALIMENTAÇÃO PARA HIDRANTE - FORNECIMENTO E INSTALAÇÃO. AF_10/2020</t>
  </si>
  <si>
    <t>37,12</t>
  </si>
  <si>
    <t>92927</t>
  </si>
  <si>
    <t>LUVA DE REDUÇÃO, EM FERRO GALVANIZADO, 1 1/4" X 3/4", CONEXÃO ROSQUEADA, INSTALADO EM REDE DE ALIMENTAÇÃO PARA HIDRANTE - FORNECIMENTO E INSTALAÇÃO. AF_10/2020</t>
  </si>
  <si>
    <t>92928</t>
  </si>
  <si>
    <t>LUVA DE REDUÇÃO, EM FERRO GALVANIZADO, 1 1/2" X 1 1/4", CONEXÃO ROSQUEADA, INSTALADO EM REDE DE ALIMENTAÇÃO PARA HIDRANTE - FORNECIMENTO E INSTALAÇÃO. AF_10/2020</t>
  </si>
  <si>
    <t>92929</t>
  </si>
  <si>
    <t>LUVA DE REDUÇÃO, EM FERRO GALVANIZADO, 1 1/2" X 1", CONEXÃO ROSQUEADA, INSTALADO EM REDE DE ALIMENTAÇÃO PARA HIDRANTE - FORNECIMENTO E INSTALAÇÃO. AF_10/2020</t>
  </si>
  <si>
    <t>92930</t>
  </si>
  <si>
    <t>LUVA DE REDUÇÃO, EM FERRO GALVANIZADO, 1 1/2" X 3/4", CONEXÃO ROSQUEADA, INSTALADO EM REDE DE ALIMENTAÇÃO PARA HIDRANTE - FORNECIMENTO E INSTALAÇÃO. AF_10/2020</t>
  </si>
  <si>
    <t>92931</t>
  </si>
  <si>
    <t>LUVA DE REDUÇÃO, EM FERRO GALVANIZADO, 2" X 1 1/2", CONEXÃO ROSQUEADA, INSTALADO EM REDE DE ALIMENTAÇÃO PARA HIDRANTE - FORNECIMENTO E INSTALAÇÃO. AF_10/2020</t>
  </si>
  <si>
    <t>56,55</t>
  </si>
  <si>
    <t>92932</t>
  </si>
  <si>
    <t>LUVA DE REDUÇÃO, EM FERRO GALVANIZADO, 2" X 1 1/4", CONEXÃO ROSQUEADA, INSTALADO EM REDE DE ALIMENTAÇÃO PARA HIDRANTE - FORNECIMENTO E INSTALAÇÃO. AF_10/2020</t>
  </si>
  <si>
    <t>92933</t>
  </si>
  <si>
    <t>LUVA DE REDUÇÃO, EM FERRO GALVANIZADO, 2" X 1", CONEXÃO ROSQUEADA, INSTALADO EM REDE DE ALIMENTAÇÃO PARA HIDRANTE - FORNECIMENTO E INSTALAÇÃO. AF_10/2020</t>
  </si>
  <si>
    <t>92934</t>
  </si>
  <si>
    <t>LUVA DE REDUÇÃO, EM FERRO GALVANIZADO, 2 1/2" X 1 1/2", CONEXÃO ROSQUEADA, INSTALADO EM REDE DE ALIMENTAÇÃO PARA HIDRANTE - FORNECIMENTO E INSTALAÇÃO. AF_10/2020</t>
  </si>
  <si>
    <t>92935</t>
  </si>
  <si>
    <t>LUVA DE REDUÇÃO, EM FERRO GALVANIZADO, 2 1/2" X 2", CONEXÃO ROSQUEADA, INSTALADO EM REDE DE ALIMENTAÇÃO PARA HIDRANTE - FORNECIMENTO E INSTALAÇÃO. AF_10/2020</t>
  </si>
  <si>
    <t>92936</t>
  </si>
  <si>
    <t>LUVA DE REDUÇÃO, EM FERRO GALVANIZADO, 3" X 2 1/2", CONEXÃO ROSQUEADA, INSTALADO EM REDE DE ALIMENTAÇÃO PARA HIDRANTE - FORNECIMENTO E INSTALAÇÃO. AF_10/2020</t>
  </si>
  <si>
    <t>115,51</t>
  </si>
  <si>
    <t>92937</t>
  </si>
  <si>
    <t>LUVA DE REDUÇÃO, EM FERRO GALVANIZADO, 3" X 2", CONEXÃO ROSQUEADA, INSTALADO EM REDE DE ALIMENTAÇÃO PARA HIDRANTE - FORNECIMENTO E INSTALAÇÃO. AF_10/2020</t>
  </si>
  <si>
    <t>92938</t>
  </si>
  <si>
    <t>LUVA DE REDUÇÃO, EM FERRO GALVANIZADO, 1" X 1/2", CONEXÃO ROSQUEADA, INSTALADO EM REDE DE ALIMENTAÇÃO PARA SPRINKLER - FORNECIMENTO E INSTALAÇÃO. AF_10/2020</t>
  </si>
  <si>
    <t>22,52</t>
  </si>
  <si>
    <t>92939</t>
  </si>
  <si>
    <t>LUVA DE REDUÇÃO, EM FERRO GALVANIZADO, 1" X 3/4", CONEXÃO ROSQUEADA, INSTALADO EM REDE DE ALIMENTAÇÃO PARA SPRINKLER - FORNECIMENTO E INSTALAÇÃO. AF_10/2020</t>
  </si>
  <si>
    <t>22,72</t>
  </si>
  <si>
    <t>92940</t>
  </si>
  <si>
    <t>LUVA DE REDUÇÃO, EM FERRO GALVANIZADO, 1 1/4" X 1", CONEXÃO ROSQUEADA, INSTALADO EM REDE DE ALIMENTAÇÃO PARA SPRINKLER - FORNECIMENTO E INSTALAÇÃO. AF_10/2020</t>
  </si>
  <si>
    <t>28,71</t>
  </si>
  <si>
    <t>92941</t>
  </si>
  <si>
    <t>LUVA DE REDUÇÃO, EM FERRO GALVANIZADO, 1 1/4" X 1/2", CONEXÃO ROSQUEADA, INSTALADO EM REDE DE ALIMENTAÇÃO PARA SPRINKLER - FORNECIMENTO E INSTALAÇÃO. AF_10/2020</t>
  </si>
  <si>
    <t>92942</t>
  </si>
  <si>
    <t>LUVA DE REDUÇÃO, EM FERRO GALVANIZADO, 1 1/4" X 3/4", CONEXÃO ROSQUEADA, INSTALADO EM REDE DE ALIMENTAÇÃO PARA SPRINKLER - FORNECIMENTO E INSTALAÇÃO. AF_10/2020</t>
  </si>
  <si>
    <t>92943</t>
  </si>
  <si>
    <t>LUVA DE REDUÇÃO, EM FERRO GALVANIZADO, 1 1/2" X 1 1/4", CONEXÃO ROSQUEADA, INSTALADO EM REDE DE ALIMENTAÇÃO PARA SPRINKLER - FORNECIMENTO E INSTALAÇÃO. AF_10/2020</t>
  </si>
  <si>
    <t>32,88</t>
  </si>
  <si>
    <t>92944</t>
  </si>
  <si>
    <t>LUVA DE REDUÇÃO, EM FERRO GALVANIZADO, 1 1/2" X 1", CONEXÃO ROSQUEADA, INSTALADO EM REDE DE ALIMENTAÇÃO PARA SPRINKLER - FORNECIMENTO E INSTALAÇÃO. AF_10/2020</t>
  </si>
  <si>
    <t>92945</t>
  </si>
  <si>
    <t>LUVA DE REDUÇÃO, EM FERRO GALVANIZADO, 1 1/2" X 3/4", CONEXÃO ROSQUEADA, INSTALADO EM REDE DE ALIMENTAÇÃO PARA SPRINKLER - FORNECIMENTO E INSTALAÇÃO. AF_10/2020</t>
  </si>
  <si>
    <t>92946</t>
  </si>
  <si>
    <t>LUVA DE REDUÇÃO, EM FERRO GALVANIZADO, 2" X 1 1/2", CONEXÃO ROSQUEADA, INSTALADO EM REDE DE ALIMENTAÇÃO PARA SPRINKLER - FORNECIMENTO E INSTALAÇÃO. AF_10/2020</t>
  </si>
  <si>
    <t>45,52</t>
  </si>
  <si>
    <t>92947</t>
  </si>
  <si>
    <t>LUVA DE REDUÇÃO, EM FERRO GALVANIZADO, 2" X 1 1/4", CONEXÃO ROSQUEADA, INSTALADO EM REDE DE ALIMENTAÇÃO PARA SPRINKLER - FORNECIMENTO E INSTALAÇÃO. AF_10/2020</t>
  </si>
  <si>
    <t>92948</t>
  </si>
  <si>
    <t>LUVA DE REDUÇÃO, EM FERRO GALVANIZADO, 2" X 1", CONEXÃO ROSQUEADA, INSTALADO EM REDE DE ALIMENTAÇÃO PARA SPRINKLER - FORNECIMENTO E INSTALAÇÃO. AF_10/2020</t>
  </si>
  <si>
    <t>92949</t>
  </si>
  <si>
    <t>LUVA DE REDUÇÃO, EM FERRO GALVANIZADO, 2 1/2" X 1 1/2", CONEXÃO ROSQUEADA, INSTALADO EM REDE DE ALIMENTAÇÃO PARA SPRINKLER - FORNECIMENTO E INSTALAÇÃO. AF_10/2020</t>
  </si>
  <si>
    <t>70,30</t>
  </si>
  <si>
    <t>92950</t>
  </si>
  <si>
    <t>LUVA DE REDUÇÃO, EM FERRO GALVANIZADO, 2 1/2" X 2", CONEXÃO ROSQUEADA, INSTALADO EM REDE DE ALIMENTAÇÃO PARA SPRINKLER - FORNECIMENTO E INSTALAÇÃO. AF_10/2020</t>
  </si>
  <si>
    <t>92951</t>
  </si>
  <si>
    <t>LUVA DE REDUÇÃO, EM FERRO GALVANIZADO, 3" X 2 1/2", CONEXÃO ROSQUEADA, INSTALADO EM REDE DE ALIMENTAÇÃO PARA SPRINKLER - FORNECIMENTO E INSTALAÇÃO. AF_10/2020</t>
  </si>
  <si>
    <t>100,13</t>
  </si>
  <si>
    <t>92952</t>
  </si>
  <si>
    <t>LUVA DE REDUÇÃO, EM FERRO GALVANIZADO, 3" X 2", CONEXÃO ROSQUEADA, INSTALADO EM REDE DE ALIMENTAÇÃO PARA SPRINKLER - FORNECIMENTO E INSTALAÇÃO. AF_10/2020</t>
  </si>
  <si>
    <t>92953</t>
  </si>
  <si>
    <t>LUVA DE REDUÇÃO, EM FERRO GALVANIZADO, 3/4" X 1/2", CONEXÃO ROSQUEADA, INSTALADO EM RAMAIS E SUB-RAMAIS DE GÁS - FORNECIMENTO E INSTALAÇÃO. AF_10/2020</t>
  </si>
  <si>
    <t>19,43</t>
  </si>
  <si>
    <t>93050</t>
  </si>
  <si>
    <t>LUVA PASSANTE EM COBRE, DN 22 MM, SEM ANEL DE SOLDA, INSTALADO EM PRUMADA  FORNECIMENTO E INSTALAÇÃO. AF_01/2016</t>
  </si>
  <si>
    <t>12,42</t>
  </si>
  <si>
    <t>93051</t>
  </si>
  <si>
    <t>BUCHA DE REDUÇÃO EM COBRE, DN 22 MM X 15 MM, SEM ANEL DE SOLDA, BOLSA X BOLSA, INSTALADO EM PRUMADA  FORNECIMENTO E INSTALAÇÃO. AF_01/2016</t>
  </si>
  <si>
    <t>11,38</t>
  </si>
  <si>
    <t>93052</t>
  </si>
  <si>
    <t>JUNTA DE EXPANSÃO EM COBRE, DN 22 MM, PONTA X PONTA, INSTALADO EM PRUMADA  FORNECIMENTO E INSTALAÇÃO. AF_01/2016</t>
  </si>
  <si>
    <t>597,92</t>
  </si>
  <si>
    <t>93054</t>
  </si>
  <si>
    <t>CONECTOR EM BRONZE/LATÃO, DN 22 MM X 3/4", SEM ANEL DE SOLDA, BOLSA X ROSCA F, INSTALADO EM PRUMADA  FORNECIMENTO E INSTALAÇÃO. AF_01/2016</t>
  </si>
  <si>
    <t>24,63</t>
  </si>
  <si>
    <t>93055</t>
  </si>
  <si>
    <t>CURVA DE TRANSPOSIÇÃO EM BRONZE/LATÃO, DN 22 MM, SEM ANEL DE SOLDA, BOLSA X BOLSA, INSTALADO EM PRUMADA  FORNECIMENTO E INSTALAÇÃO. AF_01/2016</t>
  </si>
  <si>
    <t>51,20</t>
  </si>
  <si>
    <t>93056</t>
  </si>
  <si>
    <t>LUVA PASSANTE EM COBRE, DN 28 MM, SEM ANEL DE SOLDA, INSTALADO EM PRUMADA  FORNECIMENTO E INSTALAÇÃO. AF_01/2016</t>
  </si>
  <si>
    <t>93057</t>
  </si>
  <si>
    <t>BUCHA DE REDUÇÃO EM COBRE, DN 28 MM X 22 MM, SEM ANEL DE SOLDA, PONTA X BOLSA, INSTALADO EM PRUMADA  FORNECIMENTO E INSTALAÇÃO. AF_01/2016</t>
  </si>
  <si>
    <t>15,93</t>
  </si>
  <si>
    <t>93058</t>
  </si>
  <si>
    <t>JUNTA DE EXPANSÃO EM COBRE, DN 28 MM, PONTA X PONTA, INSTALADO EM PRUMADA  FORNECIMENTO E INSTALAÇÃO. AF_01/2016</t>
  </si>
  <si>
    <t>657,41</t>
  </si>
  <si>
    <t>93059</t>
  </si>
  <si>
    <t>CONECTOR EM BRONZE/LATÃO, DN 28 MM X 1/2", SEM ANEL DE SOLDA, BOLSA X ROSCA F, INSTALADO EM PRUMADA  FORNECIMENTO E INSTALAÇÃO. AF_01/2016</t>
  </si>
  <si>
    <t>33,98</t>
  </si>
  <si>
    <t>93060</t>
  </si>
  <si>
    <t>CURVA DE TRANSPOSIÇÃO EM BRONZE/LATÃO, DN 28 MM, SEM ANEL DE SOLDA, BOLSA X BOLSA, INSTALADO EM PRUMADA  FORNECIMENTO E INSTALAÇÃO. AF_01/2016</t>
  </si>
  <si>
    <t>89,71</t>
  </si>
  <si>
    <t>93061</t>
  </si>
  <si>
    <t>LUVA PASSANTE EM COBRE, DN 35 MM, SEM ANEL DE SOLDA, INSTALADO EM PRUMADA  FORNECIMENTO E INSTALAÇÃO. AF_01/2016</t>
  </si>
  <si>
    <t>35,27</t>
  </si>
  <si>
    <t>93062</t>
  </si>
  <si>
    <t>BUCHA DE REDUÇÃO EM COBRE, DN 35 MM X 28 MM, SEM ANEL DE SOLDA, PONTA X BOLSA, INSTALADO EM PRUMADA  FORNECIMENTO E INSTALAÇÃO. AF_01/2016</t>
  </si>
  <si>
    <t>30,45</t>
  </si>
  <si>
    <t>93063</t>
  </si>
  <si>
    <t>JUNTA DE EXPANSÃO EM BRONZE/LATÃO, DN 35 MM, PONTA X PONTA, INSTALADO EM PRUMADA  FORNECIMENTO E INSTALAÇÃO. AF_01/2016</t>
  </si>
  <si>
    <t>752,97</t>
  </si>
  <si>
    <t>93064</t>
  </si>
  <si>
    <t>LUVA PASSANTE EM COBRE, DN 42 MM, SEM ANEL DE SOLDA, INSTALADO EM PRUMADA  FORNECIMENTO E INSTALAÇÃO. AF_01/2016</t>
  </si>
  <si>
    <t>54,94</t>
  </si>
  <si>
    <t>93065</t>
  </si>
  <si>
    <t>BUCHA DE REDUÇÃO EM COBRE, DN 42 MM X 35 MM, SEM ANEL DE SOLDA, PONTA X BOLSA, INSTALADO EM PRUMADA  FORNECIMENTO E INSTALAÇÃO. AF_01/2016</t>
  </si>
  <si>
    <t>51,38</t>
  </si>
  <si>
    <t>93066</t>
  </si>
  <si>
    <t>JUNTA DE EXPANSÃO EM BRONZE/LATÃO, DN 42 MM, PONTA X PONTA, INSTALADO EM PRUMADA  FORNECIMENTO E INSTALAÇÃO. AF_01/2016</t>
  </si>
  <si>
    <t>945,32</t>
  </si>
  <si>
    <t>93067</t>
  </si>
  <si>
    <t>LUVA PASSANTE EM COBRE, DN 54 MM, SEM ANEL DE SOLDA, INSTALADO EM PRUMADA  FORNECIMENTO E INSTALAÇÃO. AF_01/2016</t>
  </si>
  <si>
    <t>81,82</t>
  </si>
  <si>
    <t>93068</t>
  </si>
  <si>
    <t>BUCHA DE REDUÇÃO EM COBRE, DN 54 MM X 42 MM, SEM ANEL DE SOLDA, PONTA X BOLSA, INSTALADO EM PRUMADA  FORNECIMENTO E INSTALAÇÃO. AF_01/2016</t>
  </si>
  <si>
    <t>71,38</t>
  </si>
  <si>
    <t>93069</t>
  </si>
  <si>
    <t>JUNTA DE EXPANSÃO EM BRONZE/LATÃO, DN 54 MM, PONTA X PONTA, INSTALADO EM PRUMADA  FORNECIMENTO E INSTALAÇÃO. AF_01/2016</t>
  </si>
  <si>
    <t>1.310,32</t>
  </si>
  <si>
    <t>93070</t>
  </si>
  <si>
    <t>LUVA PASSANTE EM COBRE, DN 66 MM, SEM ANEL DE SOLDA, INSTALADO EM PRUMADA  FORNECIMENTO E INSTALAÇÃO. AF_01/2016</t>
  </si>
  <si>
    <t>93071</t>
  </si>
  <si>
    <t>BUCHA DE REDUÇÃO EM COBRE, DN 66 MM X 54 MM, SEM ANEL DE SOLDA, PONTA X BOLSA, INSTALADO EM PRUMADA  FORNECIMENTO E INSTALAÇÃO. AF_01/2016</t>
  </si>
  <si>
    <t>193,83</t>
  </si>
  <si>
    <t>93072</t>
  </si>
  <si>
    <t>JUNTA DE EXPANSÃO EM BRONZE/LATÃO, DN 66 MM, PONTA X PONTA, INSTALADO EM PRUMADA  FORNECIMENTO E INSTALAÇÃO. AF_01/2016</t>
  </si>
  <si>
    <t>1.729,08</t>
  </si>
  <si>
    <t>93073</t>
  </si>
  <si>
    <t>TE DUPLA CURVA EM BRONZE/LATÃO, DN 3/4" X 22 MM X 3/4", SEM ANEL DE SOLDA, ROSCA F X BOLSA X ROSCA F, INSTALADO EM PRUMADA  FORNECIMENTO E INSTALAÇÃO. AF_01/2016</t>
  </si>
  <si>
    <t>93,46</t>
  </si>
  <si>
    <t>93074</t>
  </si>
  <si>
    <t>CURVA EM COBRE, DN 15 MM, 45 GRAUS, SEM ANEL DE SOLDA, BOLSA X BOLSA, INSTALADO EM RAMAL DE DISTRIBUIÇÃO  FORNECIMENTO E INSTALAÇÃO. AF_01/2016</t>
  </si>
  <si>
    <t>93075</t>
  </si>
  <si>
    <t>COTOVELO EM BRONZE/LATÃO, DN 15 MM X 1/2", 90 GRAUS, SEM ANEL DE SOLDA, BOLSA X ROSCA F, INSTALADO EM RAMAL DE DISTRIBUIÇÃO  FORNECIMENTO E INSTALAÇÃO. AF_01/2016</t>
  </si>
  <si>
    <t>22,44</t>
  </si>
  <si>
    <t>93076</t>
  </si>
  <si>
    <t>CURVA EM COBRE, DN 22 MM, 45 GRAUS, SEM ANEL DE SOLDA, BOLSA X BOLSA, INSTALADO EM RAMAL DE DISTRIBUIÇÃO  FORNECIMENTO E INSTALAÇÃO. AF_01/2016</t>
  </si>
  <si>
    <t>93077</t>
  </si>
  <si>
    <t>COTOVELO EM BRONZE/LATÃO, DN 22 MM X 1/2", 90 GRAUS, SEM ANEL DE SOLDA, BOLSA X ROSCA F, INSTALADO EM RAMAL DE DISTRIBUIÇÃO  FORNECIMENTO E INSTALAÇÃO. AF_01/2016</t>
  </si>
  <si>
    <t>93078</t>
  </si>
  <si>
    <t>COTOVELO EM BRONZE/LATÃO, DN 22 MM X 3/4", 90 GRAUS, SEM ANEL DE SOLDA, BOLSA X ROSCA F, INSTALADO EM RAMAL DE DISTRIBUIÇÃO  FORNECIMENTO E INSTALAÇÃO. AF_01/2016</t>
  </si>
  <si>
    <t>35,41</t>
  </si>
  <si>
    <t>93079</t>
  </si>
  <si>
    <t>CURVA EM COBRE, DN 28 MM, 45 GRAUS, SEM ANEL DE SOLDA, BOLSA X BOLSA, INSTALADO EM RAMAL DE DISTRIBUIÇÃO  FORNECIMENTO E INSTALAÇÃO. AF_01/2016</t>
  </si>
  <si>
    <t>30,58</t>
  </si>
  <si>
    <t>93080</t>
  </si>
  <si>
    <t>LUVA PASSANTE EM COBRE, DN 15 MM, SEM ANEL DE SOLDA, INSTALADO EM RAMAL DE DISTRIBUIÇÃO  FORNECIMENTO E INSTALAÇÃO. AF_01/2016</t>
  </si>
  <si>
    <t>93081</t>
  </si>
  <si>
    <t>CONECTOR EM BRONZE/LATÃO, DN 15 MM X 1/2", SEM ANEL DE SOLDA, BOLSA X ROSCA F, INSTALADO EM RAMAL DE DISTRIBUIÇÃO  FORNECIMENTO E INSTALAÇÃO. AF_01/2016</t>
  </si>
  <si>
    <t>93082</t>
  </si>
  <si>
    <t>CURVA DE TRANSPOSIÇÃO EM BRONZE/LATÃO, DN 15 MM, SEM ANEL DE SOLDA, BOLSA X BOLSA, INSTALADO EM RAMAL DE DISTRIBUIÇÃO  FORNECIMENTO E INSTALAÇÃO. AF_01/2016</t>
  </si>
  <si>
    <t>25,78</t>
  </si>
  <si>
    <t>93083</t>
  </si>
  <si>
    <t>JUNTA DE EXPANSÃO EM COBRE, DN 15 MM, PONTA X PONTA, INSTALADO EM RAMAL DE DISTRIBUIÇÃO  FORNECIMENTO E INSTALAÇÃO. AF_01/2016</t>
  </si>
  <si>
    <t>516,34</t>
  </si>
  <si>
    <t>93084</t>
  </si>
  <si>
    <t>LUVA PASSANTE EM COBRE, DN 22 MM, SEM ANEL DE SOLDA, INSTALADO EM RAMAL DE DISTRIBUIÇÃO  FORNECIMENTO E INSTALAÇÃO. AF_01/2016</t>
  </si>
  <si>
    <t>14,08</t>
  </si>
  <si>
    <t>93085</t>
  </si>
  <si>
    <t>BUCHA DE REDUÇÃO EM COBRE, DN 22 MM X 15 MM, SEM ANEL DE SOLDA, PONTA X BOLSA, INSTALADO EM RAMAL DE DISTRIBUIÇÃO  FORNECIMENTO E INSTALAÇÃO. AF_01/2016</t>
  </si>
  <si>
    <t>93086</t>
  </si>
  <si>
    <t>JUNTA DE EXPANSÃO EM COBRE, DN 22 MM, PONTA X PONTA, INSTALADO EM RAMAL DE DISTRIBUIÇÃO  FORNECIMENTO E INSTALAÇÃO. AF_01/2016</t>
  </si>
  <si>
    <t>599,58</t>
  </si>
  <si>
    <t>93087</t>
  </si>
  <si>
    <t>CONECTOR EM BRONZE/LATÃO, DN 22 MM X 1/2", SEM ANEL DE SOLDA, BOLSA X ROSCA F, INSTALADO EM RAMAL DE DISTRIBUIÇÃO  FORNECIMENTO E INSTALAÇÃO. AF_01/2016</t>
  </si>
  <si>
    <t>93088</t>
  </si>
  <si>
    <t>CONECTOR EM BRONZE/LATÃO, DN 22 MM X 3/4", SEM ANEL DE SOLDA, BOLSA X ROSCA F, INSTALADO EM RAMAL DE DISTRIBUIÇÃO  FORNECIMENTO E INSTALAÇÃO. AF_01/2016</t>
  </si>
  <si>
    <t>26,46</t>
  </si>
  <si>
    <t>93089</t>
  </si>
  <si>
    <t>CURVA DE TRANSPOSIÇÃO EM BRONZE/LATÃO, DN 22 MM, SEM ANEL DE SOLDA, BOLSA X BOLSA, INSTALADO EM RAMAL DE DISTRIBUIÇÃO  FORNECIMENTO E INSTALAÇÃO. AF_01/2016</t>
  </si>
  <si>
    <t>52,86</t>
  </si>
  <si>
    <t>93090</t>
  </si>
  <si>
    <t>LUVA PASSANTE EM COBRE, DN 28 MM, SEM ANEL DE SOLDA, INSTALADO EM RAMAL DE DISTRIBUIÇÃO  FORNECIMENTO E INSTALAÇÃO. AF_01/2016</t>
  </si>
  <si>
    <t>93091</t>
  </si>
  <si>
    <t>BUCHA DE REDUÇÃO EM COBRE, DN 28 MM X 22 MM, SEM ANEL DE SOLDA, INSTALADO EM RAMAL DE DISTRIBUIÇÃO  FORNECIMENTO E INSTALAÇÃO. AF_01/2016</t>
  </si>
  <si>
    <t>93092</t>
  </si>
  <si>
    <t>JUNTA DE EXPANSÃO EM COBRE, DN 28 MM, PONTA X PONTA, INSTALADO EM RAMAL DE DISTRIBUIÇÃO  FORNECIMENTO E INSTALAÇÃO. AF_01/2016</t>
  </si>
  <si>
    <t>659,06</t>
  </si>
  <si>
    <t>93093</t>
  </si>
  <si>
    <t>CONECTOR EM BRONZE/LATÃO, DN 28 MM X 1/2", SEM ANEL DE SOLDA, BOLSA X ROSCA F, INSTALADO EM RAMAL DE DISTRIBUIÇÃO  FORNECIMENTO E INSTALAÇÃO. AF_01/2016</t>
  </si>
  <si>
    <t>35,63</t>
  </si>
  <si>
    <t>93094</t>
  </si>
  <si>
    <t>CURVA DE TRANSPOSIÇÃO EM BRONZE/LATÃO, DN 28 MM, SEM ANEL DE SOLDA, BOLSA X BOLSA, INSTALADO EM RAMAL DE DISTRIBUIÇÃO  FORNECIMENTO E INSTALAÇÃO. AF_01/2016</t>
  </si>
  <si>
    <t>91,36</t>
  </si>
  <si>
    <t>93095</t>
  </si>
  <si>
    <t>TE DUPLA CURVA EM BRONZE/LATÃO, DN 1/2" X 15 MM X 1/2", SEM ANEL DE SOLDA, ROSCA F X BOLSA X ROSCA F, INSTALADO EM RAMAL DE DISTRIBUIÇÃO  FORNECIMENTO E INSTALAÇÃO. AF_01/2016</t>
  </si>
  <si>
    <t>67,27</t>
  </si>
  <si>
    <t>93096</t>
  </si>
  <si>
    <t>TE DUPLA CURVA EM BRONZE/LATÃO, DN 3/4" X 22 MM X 3/4", SEM ANEL DE SOLDA, ROSCA F X BOLSA X ROSCA F, INSTALADO EM RAMAL DE DISTRIBUIÇÃO  FORNECIMENTO E INSTALAÇÃO. AF_01/2016</t>
  </si>
  <si>
    <t>96,73</t>
  </si>
  <si>
    <t>93097</t>
  </si>
  <si>
    <t>CURVA EM COBRE, DN 15 MM, 45 GRAUS, SEM ANEL DE SOLDA, BOLSA X BOLSA, INSTALADO EM RAMAL E SUB-RAMAL  FORNECIMENTO E INSTALAÇÃO. AF_01/2016</t>
  </si>
  <si>
    <t>12,69</t>
  </si>
  <si>
    <t>93098</t>
  </si>
  <si>
    <t>COTOVELO EM BRONZE/LATÃO, DN 15 MM X 1/2", 90 GRAUS, SEM ANEL DE SOLDA, BOLSA X ROSCA F, INSTALADO EM RAMAL E SUB-RAMAL  FORNECIMENTO E INSTALAÇÃO. AF_01/2016</t>
  </si>
  <si>
    <t>93099</t>
  </si>
  <si>
    <t>CURVA EM COBRE, DN 22 MM, 45 GRAUS, SEM ANEL DE SOLDA, BOLSA X BOLSA, INSTALADO EM RAMAL E SUB-RAMAL  FORNECIMENTO E INSTALAÇÃO. AF_01/2016</t>
  </si>
  <si>
    <t>23,58</t>
  </si>
  <si>
    <t>93100</t>
  </si>
  <si>
    <t>COTOVELO EM BRONZE/LATÃO, DN 22 MM X 1/2", 90 GRAUS, SEM ANEL DE SOLDA, BOLSA X ROSCA F, INSTALADO EM RAMAL E SUB-RAMAL  FORNECIMENTO E INSTALAÇÃO. AF_01/2016</t>
  </si>
  <si>
    <t>34,74</t>
  </si>
  <si>
    <t>93101</t>
  </si>
  <si>
    <t>COTOVELO EM BRONZE/LATÃO, DN 22 MM X 3/4", 90 GRAUS, SEM ANEL DE SOLDA, BOLSA X ROSCA F, INSTALADO EM RAMAL E SUB-RAMAL  FORNECIMENTO E INSTALAÇÃO. AF_01/2016</t>
  </si>
  <si>
    <t>37,68</t>
  </si>
  <si>
    <t>93102</t>
  </si>
  <si>
    <t>CURVA EM COBRE, DN 28 MM, 45 GRAUS, SEM ANEL DE SOLDA, BOLSA X BOLSA, INSTALADO EM RAMAL E SUB-RAMAL  FORNECIMENTO E INSTALAÇÃO. AF_01/2016</t>
  </si>
  <si>
    <t>32,65</t>
  </si>
  <si>
    <t>93103</t>
  </si>
  <si>
    <t>LUVA PASSANTE EM COBRE, DN 15 MM, SEM ANEL DE SOLDA, INSTALADO EM RAMAL E SUB-RAMAL  FORNECIMENTO E INSTALAÇÃO. AF_01/2016</t>
  </si>
  <si>
    <t>93104</t>
  </si>
  <si>
    <t>CONECTOR EM BRONZE/LATÃO, DN 15 MM X 1/2", SEM ANEL DE SOLDA, BOLSA X ROSCA F, INSTALADO EM RAMAL E SUB-RAMAL  FORNECIMENTO E INSTALAÇÃO. AF_01/2016</t>
  </si>
  <si>
    <t>93105</t>
  </si>
  <si>
    <t>CURVA DE TRANSPOSIÇÃO EM BRONZE/LATÃO, DN 15 MM, SEM ANEL DE SOLDA, BOLSA X BOLSA, INSTALADO EM RAMAL E SUB-RAMAL  FORNECIMENTO E INSTALAÇÃO. AF_01/2016</t>
  </si>
  <si>
    <t>25,94</t>
  </si>
  <si>
    <t>93106</t>
  </si>
  <si>
    <t>JUNTA DE EXPANSÃO EM COBRE, DN 15 MM, PONTA X PONTA, INSTALADO EM RAMAL E SUB-RAMAL  FORNECIMENTO E INSTALAÇÃO. AF_01/2016</t>
  </si>
  <si>
    <t>516,50</t>
  </si>
  <si>
    <t>93107</t>
  </si>
  <si>
    <t>LUVA PASSANTE EM COBRE, DN 22 MM, SEM ANEL DE SOLDA, INSTALADO EM RAMAL E SUB-RAMAL  FORNECIMENTO E INSTALAÇÃO. AF_01/2016</t>
  </si>
  <si>
    <t>15,56</t>
  </si>
  <si>
    <t>93108</t>
  </si>
  <si>
    <t>BUCHA DE REDUÇÃO EM COBRE, DN 22 MM X 15 MM, SEM ANEL DE SOLDA, PONTA X BOLSA, INSTALADO EM RAMAL E SUB-RAMAL  FORNECIMENTO E INSTALAÇÃO. AF_01/2016</t>
  </si>
  <si>
    <t>93109</t>
  </si>
  <si>
    <t>JUNTA DE EXPANSÃO EM COBRE, DN 22 MM, PONTA X PONTA, INSTALADO EM RAMAL E SUB-RAMAL  FORNECIMENTO E INSTALAÇÃO. AF_01/2016</t>
  </si>
  <si>
    <t>601,06</t>
  </si>
  <si>
    <t>93110</t>
  </si>
  <si>
    <t>CONECTOR EM BRONZE/LATÃO, DN 22 MM X 1/2", SEM ANEL DE SOLDA, BOLSA X ROSCA F, INSTALADO EM RAMAL E SUB-RAMAL  FORNECIMENTO E INSTALAÇÃO. AF_01/2016</t>
  </si>
  <si>
    <t>23,87</t>
  </si>
  <si>
    <t>93111</t>
  </si>
  <si>
    <t>CONECTOR EM BRONZE/LATÃO, DN 22 MM X 3/4", SEM ANEL DE SOLDA, BOLSA X ROSCA F, INSTALADO EM RAMAL E SUB-RAMAL  FORNECIMENTO E INSTALAÇÃO. AF_01/2016</t>
  </si>
  <si>
    <t>93112</t>
  </si>
  <si>
    <t>CURVA DE TRANSPOSIÇÃO EM BRONZE/LATÃO, DN 22 MM, SEM ANEL DE SOLDA, BOLSA X BOLSA, INSTALADO EM RAMAL E SUB-RAMAL  FORNECIMENTO E INSTALAÇÃO. AF_01/2016</t>
  </si>
  <si>
    <t>54,34</t>
  </si>
  <si>
    <t>93113</t>
  </si>
  <si>
    <t>LUVA PASSANTE EM COBRE, DN 28 MM, SEM ANEL DE SOLDA, INSTALADO EM RAMAL E SUB-RAMAL  FORNECIMENTO E INSTALAÇÃO. AF_01/2016</t>
  </si>
  <si>
    <t>93114</t>
  </si>
  <si>
    <t>CONECTOR EM BRONZE/LATÃO, DN 28 MM X 1/2", SEM ANEL DE SOLDA, BOLSA X ROSCA F, INSTALADO EM RAMAL E SUB-RAMAL  FORNECIMENTO E INSTALAÇÃO. AF_01/2016</t>
  </si>
  <si>
    <t>93115</t>
  </si>
  <si>
    <t>CURVA DE TRANSPOSIÇÃO EM BRONZE/LATÃO, DN 28 MM, SEM ANEL DE SOLDA, BOLSA X BOLSA, INSTALADO EM RAMAL E SUB-RAMAL  FORNECIMENTO E INSTALAÇÃO. AF_01/2016</t>
  </si>
  <si>
    <t>94,06</t>
  </si>
  <si>
    <t>93116</t>
  </si>
  <si>
    <t>JUNTA DE EXPANSÃO EM COBRE, DN 28 MM, PONTA X PONTA, INSTALADO EM RAMAL E SUB-RAMAL  FORNECIMENTO E INSTALAÇÃO. AF_01/2016</t>
  </si>
  <si>
    <t>661,76</t>
  </si>
  <si>
    <t>93117</t>
  </si>
  <si>
    <t>TE DUPLA CURVA EM BRONZE/LATÃO, DN 1/2" X 15 MM X 1/2", SEM ANEL DE SOLDA, ROSCA F X BOLSA X ROSCA F, INSTALADO EM RAMAL E SUB-RAMAL  FORNECIMENTO E INSTALAÇÃO. AF_01/2016</t>
  </si>
  <si>
    <t>67,51</t>
  </si>
  <si>
    <t>93118</t>
  </si>
  <si>
    <t>TE DUPLA CURVA EM BRONZE/LATÃO, DN 3/4" X 22 MM X 3/4", SEM ANEL DE SOLDA, ROSCA F X BOLSA X ROSCA F, INSTALADO EM RAMAL E SUB-RAMAL  FORNECIMENTO E INSTALAÇÃO. AF_01/2016</t>
  </si>
  <si>
    <t>99,73</t>
  </si>
  <si>
    <t>93119</t>
  </si>
  <si>
    <t>CURVA EM COBRE, DN 22 MM, 45 GRAUS, SEM ANEL DE SOLDA, BOLSA X BOLSA, INSTALADO EM PRUMADA  FORNECIMENTO E INSTALAÇÃO. AF_01/2016</t>
  </si>
  <si>
    <t>93120</t>
  </si>
  <si>
    <t>COTOVELO EM BRONZE/LATÃO, DN 22 MM X 1/2", 90 GRAUS, SEM ANEL DE SOLDA, BOLSA X ROSCA F, INSTALADO EM PRUMADA  FORNECIMENTO E INSTALAÇÃO. AF_01/2016</t>
  </si>
  <si>
    <t>30,03</t>
  </si>
  <si>
    <t>93121</t>
  </si>
  <si>
    <t>COTOVELO EM BRONZE/LATÃO, DN 22 MM X 3/4", 90 GRAUS, SEM ANEL DE SOLDA, BOLSA X ROSCA F, INSTALADO EM PRUMADA  FORNECIMENTO E INSTALAÇÃO. AF_01/2016</t>
  </si>
  <si>
    <t>32,97</t>
  </si>
  <si>
    <t>93122</t>
  </si>
  <si>
    <t>CURVA EM COBRE, DN 28 MM, 45 GRAUS, SEM ANEL DE SOLDA, BOLSA X BOLSA, INSTALADO EM PRUMADA  FORNECIMENTO E INSTALAÇÃO. AF_01/2016</t>
  </si>
  <si>
    <t>28,14</t>
  </si>
  <si>
    <t>93123</t>
  </si>
  <si>
    <t>CURVA EM COBRE, DN 35 MM, 45 GRAUS, SEM ANEL DE SOLDA, BOLSA X BOLSA, INSTALADO EM PRUMADA  FORNECIMENTO E INSTALAÇÃO. AF_01/2016</t>
  </si>
  <si>
    <t>64,01</t>
  </si>
  <si>
    <t>93124</t>
  </si>
  <si>
    <t>CURVA EM COBRE, DN 42 MM, 45 GRAUS, SEM ANEL DE SOLDA, BOLSA X BOLSA, INSTALADO EM PRUMADA  FORNECIMENTO E INSTALAÇÃO. AF_01/2016</t>
  </si>
  <si>
    <t>101,62</t>
  </si>
  <si>
    <t>93125</t>
  </si>
  <si>
    <t>CURVA EM COBRE, DN 54 MM, 45 GRAUS, SEM ANEL DE SOLDA, BOLSA X BOLSA, INSTALADO EM PRUMADA  FORNECIMENTO E INSTALAÇÃO. AF_01/2016</t>
  </si>
  <si>
    <t>148,44</t>
  </si>
  <si>
    <t>93126</t>
  </si>
  <si>
    <t>CURVA EM COBRE, DN 66 MM, 45 GRAUS, SEM ANEL DE SOLDA, BOLSA X BOLSA, INSTALADO EM PRUMADA  FORNECIMENTO E INSTALAÇÃO. AF_01/2016</t>
  </si>
  <si>
    <t>332,34</t>
  </si>
  <si>
    <t>93133</t>
  </si>
  <si>
    <t>BUCHA DE REDUÇÃO EM COBRE, DN 28 MM X 22 MM, SEM ANEL DE SOLDA, INSTALADO EM RAMAL E SUB-RAMAL  FORNECIMENTO E INSTALAÇÃO. AF_01/2016</t>
  </si>
  <si>
    <t>20,28</t>
  </si>
  <si>
    <t>94465</t>
  </si>
  <si>
    <t>LUVA, EM FERRO GALVANIZADO, CONEXÃO ROSQUEADA, DN 50 (2), INSTALADO EM RESERVAÇÃO DE ÁGUA DE EDIFICAÇÃO QUE POSSUA RESERVATÓRIO DE FIBRA/FIBROCIMENTO  FORNECIMENTO E INSTALAÇÃO. AF_06/2016</t>
  </si>
  <si>
    <t>94466</t>
  </si>
  <si>
    <t>NIPLE, EM FERRO GALVANIZADO, CONEXÃO ROSQUEADA, DN 50 (2), INSTALADO EM RESERVAÇÃO DE ÁGUA DE EDIFICAÇÃO QUE POSSUA RESERVATÓRIO DE FIBRA/FIBROCIMENTO  FORNECIMENTO E INSTALAÇÃO. AF_06/2016</t>
  </si>
  <si>
    <t>41,87</t>
  </si>
  <si>
    <t>94467</t>
  </si>
  <si>
    <t>LUVA, EM FERRO GALVANIZADO, CONEXÃO ROSQUEADA, DN 65 (2 1/2), INSTALADO EM RESERVAÇÃO DE ÁGUA DE EDIFICAÇÃO QUE POSSUA RESERVATÓRIO DE FIBRA/FIBROCIMENTO  FORNECIMENTO E INSTALAÇÃO. AF_06/2016</t>
  </si>
  <si>
    <t>64,71</t>
  </si>
  <si>
    <t>94468</t>
  </si>
  <si>
    <t>NIPLE, EM FERRO GALVANIZADO, CONEXÃO ROSQUEADA, DN 65 (2 1/2), INSTALADO EM RESERVAÇÃO DE ÁGUA DE EDIFICAÇÃO QUE POSSUA RESERVATÓRIO DE FIBRA/FIBROCIMENTO  FORNECIMENTO E INSTALAÇÃO. AF_06/2016</t>
  </si>
  <si>
    <t>56,60</t>
  </si>
  <si>
    <t>94469</t>
  </si>
  <si>
    <t>LUVA, EM FERRO GALVANIZADO, CONEXÃO ROSQUEADA, DN 80 (3), INSTALADO EM RESERVAÇÃO DE ÁGUA DE EDIFICAÇÃO QUE POSSUA RESERVATÓRIO DE FIBRA/FIBROCIMENTO  FORNECIMENTO E INSTALAÇÃO. AF_06/2016</t>
  </si>
  <si>
    <t>94,00</t>
  </si>
  <si>
    <t>94470</t>
  </si>
  <si>
    <t>NIPLE, EM FERRO GALVANIZADO, CONEXÃO ROSQUEADA, DN 80 (3), INSTALADO EM RESERVAÇÃO DE ÁGUA DE EDIFICAÇÃO QUE POSSUA RESERVATÓRIO DE FIBRA/FIBROCIMENTO  FORNECIMENTO E INSTALAÇÃO. AF_06/2016</t>
  </si>
  <si>
    <t>86,78</t>
  </si>
  <si>
    <t>94471</t>
  </si>
  <si>
    <t>COTOVELO 90 GRAUS, EM FERRO GALVANIZADO, CONEXÃO ROSQUEADA, DN 50 (2), INSTALADO EM RESERVAÇÃO DE ÁGUA DE EDIFICAÇÃO QUE POSSUA RESERVATÓRIO DE FIBRA/FIBROCIMENTO  FORNECIMENTO E INSTALAÇÃO. AF_06/2016</t>
  </si>
  <si>
    <t>60,32</t>
  </si>
  <si>
    <t>94472</t>
  </si>
  <si>
    <t>COTOVELO 45 GRAUS, EM FERRO GALVANIZADO, CONEXÃO ROSQUEADA, DN 50 (2), INSTALADO EM RESERVAÇÃO DE ÁGUA DE EDIFICAÇÃO QUE POSSUA RESERVATÓRIO DE FIBRA/FIBROCIMENTO  FORNECIMENTO E INSTALAÇÃO. AF_06/2016</t>
  </si>
  <si>
    <t>62,13</t>
  </si>
  <si>
    <t>94473</t>
  </si>
  <si>
    <t>COTOVELO 90 GRAUS, EM FERRO GALVANIZADO, CONEXÃO ROSQUEADA, DN 65 (2 1/2), INSTALADO EM RESERVAÇÃO DE ÁGUA DE EDIFICAÇÃO QUE POSSUA RESERVATÓRIO DE FIBRA/FIBROCIMENTO  FORNECIMENTO E INSTALAÇÃO. AF_06/2016</t>
  </si>
  <si>
    <t>92,62</t>
  </si>
  <si>
    <t>94474</t>
  </si>
  <si>
    <t>COTOVELO 45 GRAUS, EM FERRO GALVANIZADO, CONEXÃO ROSQUEADA, DN 65 (2 1/2), INSTALADO EM RESERVAÇÃO DE ÁGUA DE EDIFICAÇÃO QUE POSSUA RESERVATÓRIO DE FIBRA/FIBROCIMENTO  FORNECIMENTO E INSTALAÇÃO. AF_06/2016</t>
  </si>
  <si>
    <t>94475</t>
  </si>
  <si>
    <t>COTOVELO 90 GRAUS, EM FERRO GALVANIZADO, CONEXÃO ROSQUEADA, DN 80 (3), INSTALADO EM RESERVAÇÃO DE ÁGUA DE EDIFICAÇÃO QUE POSSUA RESERVATÓRIO DE FIBRA/FIBROCIMENTO  FORNECIMENTO E INSTALAÇÃO. AF_06/2016</t>
  </si>
  <si>
    <t>127,29</t>
  </si>
  <si>
    <t>94476</t>
  </si>
  <si>
    <t>COTOVELO 45 GRAUS, EM FERRO GALVANIZADO, CONEXÃO ROSQUEADA, DN 80 (3), INSTALADO EM RESERVAÇÃO DE ÁGUA DE EDIFICAÇÃO QUE POSSUA RESERVATÓRIO DE FIBRA/FIBROCIMENTO  FORNECIMENTO E INSTALAÇÃO. AF_06/2016</t>
  </si>
  <si>
    <t>142,60</t>
  </si>
  <si>
    <t>94477</t>
  </si>
  <si>
    <t>TÊ, EM FERRO GALVANIZADO, CONEXÃO ROSQUEADA, DN 50 (2), INSTALADO EM RESERVAÇÃO DE ÁGUA DE EDIFICAÇÃO QUE POSSUA RESERVATÓRIO DE FIBRA/FIBROCIMENTO  FORNECIMENTO E INSTALAÇÃO. AF_06/2016</t>
  </si>
  <si>
    <t>80,28</t>
  </si>
  <si>
    <t>94478</t>
  </si>
  <si>
    <t>TÊ, EM FERRO GALVANIZADO, CONEXÃO ROSQUEADA, DN 65 (2 1/2), INSTALADO EM RESERVAÇÃO DE ÁGUA DE EDIFICAÇÃO QUE POSSUA RESERVATÓRIO DE FIBRA/FIBROCIMENTO  FORNECIMENTO E INSTALAÇÃO. AF_06/2016</t>
  </si>
  <si>
    <t>127,36</t>
  </si>
  <si>
    <t>94479</t>
  </si>
  <si>
    <t>TÊ, EM FERRO GALVANIZADO, CONEXÃO ROSQUEADA, DN 80 (3), INSTALADO EM RESERVAÇÃO DE ÁGUA DE EDIFICAÇÃO QUE POSSUA RESERVATÓRIO DE FIBRA/FIBROCIMENTO  FORNECIMENTO E INSTALAÇÃO. AF_06/2016</t>
  </si>
  <si>
    <t>168,14</t>
  </si>
  <si>
    <t>94606</t>
  </si>
  <si>
    <t>LUVA EM COBRE, DN 54 MM, SEM ANEL DE SOLDA, INSTALADO EM RESERVAÇÃO DE ÁGUA DE EDIFICAÇÃO QUE POSSUA RESERVATÓRIO DE FIBRA/FIBROCIMENTO  FORNECIMENTO E INSTALAÇÃO. AF_06/2016</t>
  </si>
  <si>
    <t>85,29</t>
  </si>
  <si>
    <t>94608</t>
  </si>
  <si>
    <t>LUVA EM COBRE, DN 66 MM, SEM ANEL DE SOLDA, INSTALADO EM RESERVAÇÃO DE ÁGUA DE EDIFICAÇÃO QUE POSSUA RESERVATÓRIO DE FIBRA/FIBROCIMENTO  FORNECIMENTO E INSTALAÇÃO. AF_06/2016</t>
  </si>
  <si>
    <t>217,79</t>
  </si>
  <si>
    <t>94610</t>
  </si>
  <si>
    <t>LUVA EM COBRE, DN 79 MM, SEM ANEL DE SOLDA, INSTALADO EM RESERVAÇÃO DE ÁGUA DE EDIFICAÇÃO QUE POSSUA RESERVATÓRIO DE FIBRA/FIBROCIMENTO  FORNECIMENTO E INSTALAÇÃO. AF_06/2016</t>
  </si>
  <si>
    <t>325,72</t>
  </si>
  <si>
    <t>94612</t>
  </si>
  <si>
    <t>LUVA DE COBRE, DN 104 MM, SEM ANEL DE SOLDA, INSTALADO EM RESERVAÇÃO DE ÁGUA DE EDIFICAÇÃO QUE POSSUA RESERVATÓRIO DE FIBRA/FIBROCIMENTO  FORNECIMENTO E INSTALAÇÃO. AF_06/2016</t>
  </si>
  <si>
    <t>459,48</t>
  </si>
  <si>
    <t>94614</t>
  </si>
  <si>
    <t>COTOVELO EM COBRE, DN 54 MM, 90 GRAUS, SEM ANEL DE SOLDA, INSTALADO EM RESERVAÇÃO DE ÁGUA DE EDIFICAÇÃO QUE POSSUA RESERVATÓRIO DE FIBRA/FIBROCIMENTO  FORNECIMENTO E INSTALAÇÃO. AF_06/2016</t>
  </si>
  <si>
    <t>145,31</t>
  </si>
  <si>
    <t>94615</t>
  </si>
  <si>
    <t>CURVA EM COBRE, DN 54 MM, 45 GRAUS, SEM ANEL DE SOLDA, BOLSA X BOLSA, INSTALADO EM RESERVAÇÃO DE ÁGUA DE EDIFICAÇÃO QUE POSSUA RESERVATÓRIO DE FIBRA/FIBROCIMENTO  FORNECIMENTO E INSTALAÇÃO. AF_06/2016</t>
  </si>
  <si>
    <t>166,11</t>
  </si>
  <si>
    <t>94616</t>
  </si>
  <si>
    <t>COTOVELO EM COBRE, DN 66 MM, 90 GRAUS, SEM ANEL DE SOLDA, INSTALADO EM RESERVAÇÃO DE ÁGUA DE EDIFICAÇÃO QUE POSSUA RESERVATÓRIO DE FIBRA/FIBROCIMENTO  FORNECIMENTO E INSTALAÇÃO. AF_06/2016</t>
  </si>
  <si>
    <t>418,68</t>
  </si>
  <si>
    <t>94617</t>
  </si>
  <si>
    <t>CURVA EM COBRE, DN 66 MM, 45 GRAUS, SEM ANEL DE SOLDA, BOLSA X BOLSA, INSTALADO EM RESERVAÇÃO DE ÁGUA DE EDIFICAÇÃO QUE POSSUA RESERVATÓRIO DE FIBRA/FIBROCIMENTO  FORNECIMENTO E INSTALAÇÃO. AF_06/2016</t>
  </si>
  <si>
    <t>346,36</t>
  </si>
  <si>
    <t>94618</t>
  </si>
  <si>
    <t>COTOVELO EM COBRE, DN 79 MM, 90 GRAUS, SEM ANEL DE SOLDA, INSTALADO EM RESERVAÇÃO DE ÁGUA DE EDIFICAÇÃO QUE POSSUA RESERVATÓRIO DE FIBRA/FIBROCIMENTO  FORNECIMENTO E INSTALAÇÃO. AF_06/2016</t>
  </si>
  <si>
    <t>410,28</t>
  </si>
  <si>
    <t>94620</t>
  </si>
  <si>
    <t>COTOVELO EM COBRE, DN 104 MM, 90 GRAUS, SEM ANEL DE SOLDA, INSTALADO EM RESERVAÇÃO DE ÁGUA DE EDIFICAÇÃO QUE POSSUA RESERVATÓRIO DE FIBRA/FIBROCIMENTO  FORNECIMENTO E INSTALAÇÃO. AF_06/2016</t>
  </si>
  <si>
    <t>951,25</t>
  </si>
  <si>
    <t>94622</t>
  </si>
  <si>
    <t>TE EM COBRE, DN 54 MM, SEM ANEL DE SOLDA, INSTALADO EM RESERVAÇÃO DE ÁGUA DE EDIFICAÇÃO QUE POSSUA RESERVATÓRIO DE FIBRA/FIBROCIMENTO  FORNECIMENTO E INSTALAÇÃO. AF_06/2016</t>
  </si>
  <si>
    <t>213,66</t>
  </si>
  <si>
    <t>94623</t>
  </si>
  <si>
    <t>TE EM COBRE, DN 66 MM, SEM ANEL DE SOLDA, INSTALADO EM RESERVAÇÃO DE ÁGUA DE EDIFICAÇÃO QUE POSSUA RESERVATÓRIO DE FIBRA/FIBROCIMENTO  FORNECIMENTO E INSTALAÇÃO. AF_06/2016</t>
  </si>
  <si>
    <t>517,73</t>
  </si>
  <si>
    <t>94624</t>
  </si>
  <si>
    <t>TE EM COBRE, DN 79 MM, SEM ANEL DE SOLDA, INSTALADO EM RESERVAÇÃO DE ÁGUA DE EDIFICAÇÃO QUE POSSUA RESERVATÓRIO DE FIBRA/FIBROCIMENTO  FORNECIMENTO E INSTALAÇÃO. AF_06/2016</t>
  </si>
  <si>
    <t>792,70</t>
  </si>
  <si>
    <t>94625</t>
  </si>
  <si>
    <t>TE EM COBRE, DN 104 MM, SEM ANEL DE SOLDA, INSTALADO EM RESERVAÇÃO DE ÁGUA DE EDIFICAÇÃO QUE POSSUA RESERVATÓRIO DE FIBRA/FIBROCIMENTO  FORNECIMENTO E INSTALAÇÃO. AF_06/2016</t>
  </si>
  <si>
    <t>1.662,81</t>
  </si>
  <si>
    <t>94656</t>
  </si>
  <si>
    <t>ADAPTADOR CURTO COM BOLSA E ROSCA PARA REGISTRO, PVC, SOLDÁVEL, DN  25 MM X 3/4 , INSTALADO EM RESERVAÇÃO DE ÁGUA DE EDIFICAÇÃO QUE POSSUA RESERVATÓRIO DE FIBRA/FIBROCIMENTO   FORNECIMENTO E INSTALAÇÃO. AF_06/2016</t>
  </si>
  <si>
    <t>94657</t>
  </si>
  <si>
    <t>LUVA PVC, SOLDÁVEL, DN  25 MM, INSTALADA EM RESERVAÇÃO DE ÁGUA DE EDIFICAÇÃO QUE POSSUA RESERVATÓRIO DE FIBRA/FIBROCIMENTO   FORNECIMENTO E INSTALAÇÃO. AF_06/2016</t>
  </si>
  <si>
    <t>5,95</t>
  </si>
  <si>
    <t>94658</t>
  </si>
  <si>
    <t>ADAPTADOR CURTO COM BOLSA E ROSCA PARA REGISTRO, PVC, SOLDÁVEL, DN 32 MM X 1 , INSTALADO EM RESERVAÇÃO DE ÁGUA DE EDIFICAÇÃO QUE POSSUA RESERVATÓRIO DE FIBRA/FIBROCIMENTO   FORNECIMENTO E INSTALAÇÃO. AF_06/2016</t>
  </si>
  <si>
    <t>94659</t>
  </si>
  <si>
    <t>LUVA PVC, SOLDÁVEL, DN 32 MM, INSTALADA EM RESERVAÇÃO DE ÁGUA DE EDIFICAÇÃO QUE POSSUA RESERVATÓRIO DE FIBRA/FIBROCIMENTO   FORNECIMENTO E INSTALAÇÃO. AF_06/2016</t>
  </si>
  <si>
    <t>94660</t>
  </si>
  <si>
    <t>ADAPTADOR CURTO COM BOLSA E ROSCA PARA REGISTRO, PVC, SOLDÁVEL, DN 40 MM X 1 1/4 , INSTALADO EM RESERVAÇÃO DE ÁGUA DE EDIFICAÇÃO QUE POSSUA RESERVATÓRIO DE FIBRA/FIBROCIMENTO   FORNECIMENTO E INSTALAÇÃO. AF_06/2016</t>
  </si>
  <si>
    <t>12,73</t>
  </si>
  <si>
    <t>94661</t>
  </si>
  <si>
    <t>LUVA, PVC, SOLDÁVEL, DN 40 MM, INSTALADO EM RESERVAÇÃO DE ÁGUA DE EDIFICAÇÃO QUE POSSUA RESERVATÓRIO DE FIBRA/FIBROCIMENTO   FORNECIMENTO E INSTALAÇÃO. AF_06/2016</t>
  </si>
  <si>
    <t>13,43</t>
  </si>
  <si>
    <t>94662</t>
  </si>
  <si>
    <t>ADAPTADOR CURTO COM BOLSA E ROSCA PARA REGISTRO, PVC, SOLDÁVEL, DN 50 MM X 1 1/2 , INSTALADO EM RESERVAÇÃO DE ÁGUA DE EDIFICAÇÃO QUE POSSUA RESERVATÓRIO DE FIBRA/FIBROCIMENTO   FORNECIMENTO E INSTALAÇÃO. AF_06/2016</t>
  </si>
  <si>
    <t>94663</t>
  </si>
  <si>
    <t>LUVA, PVC, SOLDÁVEL, DN 50 MM, INSTALADO EM RESERVAÇÃO DE ÁGUA DE EDIFICAÇÃO QUE POSSUA RESERVATÓRIO DE FIBRA/FIBROCIMENTO   FORNECIMENTO E INSTALAÇÃO. AF_06/2016</t>
  </si>
  <si>
    <t>94664</t>
  </si>
  <si>
    <t>ADAPTADOR CURTO COM BOLSA E ROSCA PARA REGISTRO, PVC, SOLDÁVEL, DN 60 MM X 2 , INSTALADO EM RESERVAÇÃO DE ÁGUA DE EDIFICAÇÃO QUE POSSUA RESERVATÓRIO DE FIBRA/FIBROCIMENTO   FORNECIMENTO E INSTALAÇÃO. AF_06/2016</t>
  </si>
  <si>
    <t>32,28</t>
  </si>
  <si>
    <t>94665</t>
  </si>
  <si>
    <t>LUVA, PVC, SOLDÁVEL, DN 60 MM, INSTALADO EM RESERVAÇÃO DE ÁGUA DE EDIFICAÇÃO QUE POSSUA RESERVATÓRIO DE FIBRA/FIBROCIMENTO   FORNECIMENTO E INSTALAÇÃO. AF_06/2016</t>
  </si>
  <si>
    <t>32,26</t>
  </si>
  <si>
    <t>94666</t>
  </si>
  <si>
    <t>ADAPTADOR CURTO COM BOLSA E ROSCA PARA REGISTRO, PVC, SOLDÁVEL, DN 75 MM X 2 1/2 , INSTALADO EM RESERVAÇÃO DE ÁGUA DE EDIFICAÇÃO QUE POSSUA RESERVATÓRIO DE FIBRA/FIBROCIMENTO   FORNECIMENTO E INSTALAÇÃO. AF_06/2016</t>
  </si>
  <si>
    <t>40,79</t>
  </si>
  <si>
    <t>94667</t>
  </si>
  <si>
    <t>LUVA, PVC, SOLDÁVEL, DN 75 MM, INSTALADO EM RESERVAÇÃO DE ÁGUA DE EDIFICAÇÃO QUE POSSUA RESERVATÓRIO DE FIBRA/FIBROCIMENTO   FORNECIMENTO E INSTALAÇÃO. AF_06/2016</t>
  </si>
  <si>
    <t>46,10</t>
  </si>
  <si>
    <t>94668</t>
  </si>
  <si>
    <t>ADAPTADOR CURTO COM BOLSA E ROSCA PARA REGISTRO, PVC, SOLDÁVEL, DN 85 MM X 3 , INSTALADO EM RESERVAÇÃO DE ÁGUA DE EDIFICAÇÃO QUE POSSUA RESERVATÓRIO DE FIBRA/FIBROCIMENTO   FORNECIMENTO E INSTALAÇÃO. AF_06/2016</t>
  </si>
  <si>
    <t>69,24</t>
  </si>
  <si>
    <t>94669</t>
  </si>
  <si>
    <t>LUVA, PVC, SOLDÁVEL, DN 85 MM, INSTALADO EM RESERVAÇÃO DE ÁGUA DE EDIFICAÇÃO QUE POSSUA RESERVATÓRIO DE FIBRA/FIBROCIMENTO   FORNECIMENTO E INSTALAÇÃO. AF_06/2016</t>
  </si>
  <si>
    <t>98,99</t>
  </si>
  <si>
    <t>94670</t>
  </si>
  <si>
    <t>ADAPTADOR CURTO COM BOLSA E ROSCA PARA REGISTRO, PVC, SOLDÁVEL, DN 110 MM X 4 , INSTALADO EM RESERVAÇÃO DE ÁGUA DE EDIFICAÇÃO QUE POSSUA RESERVATÓRIO DE FIBRA/FIBROCIMENTO   FORNECIMENTO E INSTALAÇÃO. AF_06/2016</t>
  </si>
  <si>
    <t>95,72</t>
  </si>
  <si>
    <t>94671</t>
  </si>
  <si>
    <t>LUVA, PVC, SOLDÁVEL, DN 110 MM, INSTALADO EM RESERVAÇÃO DE ÁGUA DE EDIFICAÇÃO QUE POSSUA RESERVATÓRIO DE FIBRA/FIBROCIMENTO   FORNECIMENTO E INSTALAÇÃO. AF_06/2016</t>
  </si>
  <si>
    <t>145,33</t>
  </si>
  <si>
    <t>94672</t>
  </si>
  <si>
    <t>JOELHO 90 GRAUS COM BUCHA DE LATÃO, PVC, SOLDÁVEL, DN  25 MM, X 3/4 INSTALADO EM RESERVAÇÃO DE ÁGUA DE EDIFICAÇÃO QUE POSSUA RESERVATÓRIO DE FIBRA/FIBROCIMENTO   FORNECIMENTO E INSTALAÇÃO. AF_06/2016</t>
  </si>
  <si>
    <t>94673</t>
  </si>
  <si>
    <t>CURVA 90 GRAUS, PVC, SOLDÁVEL, DN  25 MM, INSTALADO EM RESERVAÇÃO DE ÁGUA DE EDIFICAÇÃO QUE POSSUA RESERVATÓRIO DE FIBRA/FIBROCIMENTO   FORNECIMENTO E INSTALAÇÃO. AF_06/2016</t>
  </si>
  <si>
    <t>11,10</t>
  </si>
  <si>
    <t>94674</t>
  </si>
  <si>
    <t>JOELHO 90 GRAUS, PVC, SOLDÁVEL, DN 32 MM INSTALADO EM RESERVAÇÃO DE ÁGUA DE EDIFICAÇÃO QUE POSSUA RESERVATÓRIO DE FIBRA/FIBROCIMENTO   FORNECIMENTO E INSTALAÇÃO. AF_06/2016</t>
  </si>
  <si>
    <t>9,71</t>
  </si>
  <si>
    <t>94675</t>
  </si>
  <si>
    <t>CURVA 90 GRAUS, PVC, SOLDÁVEL, DN 32 MM, INSTALADO EM RESERVAÇÃO DE ÁGUA DE EDIFICAÇÃO QUE POSSUA RESERVATÓRIO DE FIBRA/FIBROCIMENTO   FORNECIMENTO E INSTALAÇÃO. AF_06/2016</t>
  </si>
  <si>
    <t>94676</t>
  </si>
  <si>
    <t>JOELHO 90 GRAUS, PVC, SOLDÁVEL, DN 40 MM INSTALADO EM RESERVAÇÃO DE ÁGUA DE EDIFICAÇÃO QUE POSSUA RESERVATÓRIO DE FIBRA/FIBROCIMENTO   FORNECIMENTO E INSTALAÇÃO. AF_06/2016</t>
  </si>
  <si>
    <t>17,65</t>
  </si>
  <si>
    <t>94677</t>
  </si>
  <si>
    <t>CURVA 90 GRAUS, PVC, SOLDÁVEL, DN 40 MM, INSTALADO EM RESERVAÇÃO DE ÁGUA DE EDIFICAÇÃO QUE POSSUA RESERVATÓRIO DE FIBRA/FIBROCIMENTO   FORNECIMENTO E INSTALAÇÃO. AF_06/2016</t>
  </si>
  <si>
    <t>94678</t>
  </si>
  <si>
    <t>JOELHO 90 GRAUS, PVC, SOLDÁVEL, DN 50 MM INSTALADO EM RESERVAÇÃO DE ÁGUA DE EDIFICAÇÃO QUE POSSUA RESERVATÓRIO DE FIBRA/FIBROCIMENTO   FORNECIMENTO E INSTALAÇÃO. AF_06/2016</t>
  </si>
  <si>
    <t>94679</t>
  </si>
  <si>
    <t>CURVA 90 GRAUS, PVC, SOLDÁVEL, DN 50 MM, INSTALADO EM RESERVAÇÃO DE ÁGUA DE EDIFICAÇÃO QUE POSSUA RESERVATÓRIO DE FIBRA/FIBROCIMENTO   FORNECIMENTO E INSTALAÇÃO. AF_06/2016</t>
  </si>
  <si>
    <t>94680</t>
  </si>
  <si>
    <t>JOELHO 90 GRAUS, PVC, SOLDÁVEL, DN 60 MM INSTALADO EM RESERVAÇÃO DE ÁGUA DE EDIFICAÇÃO QUE POSSUA RESERVATÓRIO DE FIBRA/FIBROCIMENTO   FORNECIMENTO E INSTALAÇÃO. AF_06/2016</t>
  </si>
  <si>
    <t>55,21</t>
  </si>
  <si>
    <t>94681</t>
  </si>
  <si>
    <t>CURVA 90 GRAUS, PVC, SOLDÁVEL, DN 60 MM, INSTALADO EM RESERVAÇÃO DE ÁGUA DE EDIFICAÇÃO QUE POSSUA RESERVATÓRIO DE FIBRA/FIBROCIMENTO   FORNECIMENTO E INSTALAÇÃO. AF_06/2016</t>
  </si>
  <si>
    <t>75,57</t>
  </si>
  <si>
    <t>94682</t>
  </si>
  <si>
    <t>JOELHO 90 GRAUS, PVC, SOLDÁVEL, DN 75 MM INSTALADO EM RESERVAÇÃO DE ÁGUA DE EDIFICAÇÃO QUE POSSUA RESERVATÓRIO DE FIBRA/FIBROCIMENTO   FORNECIMENTO E INSTALAÇÃO. AF_06/2016</t>
  </si>
  <si>
    <t>159,97</t>
  </si>
  <si>
    <t>94683</t>
  </si>
  <si>
    <t>CURVA 90 GRAUS, PVC, SOLDÁVEL, DN 75 MM, INSTALADO EM RESERVAÇÃO DE ÁGUA DE EDIFICAÇÃO QUE POSSUA RESERVATÓRIO DE FIBRA/FIBROCIMENTO   FORNECIMENTO E INSTALAÇÃO. AF_06/2016</t>
  </si>
  <si>
    <t>100,19</t>
  </si>
  <si>
    <t>94684</t>
  </si>
  <si>
    <t>JOELHO 90 GRAUS, PVC, SOLDÁVEL, DN 85 MM INSTALADO EM RESERVAÇÃO DE ÁGUA DE EDIFICAÇÃO QUE POSSUA RESERVATÓRIO DE FIBRA/FIBROCIMENTO   FORNECIMENTO E INSTALAÇÃO. AF_06/2016</t>
  </si>
  <si>
    <t>199,94</t>
  </si>
  <si>
    <t>94685</t>
  </si>
  <si>
    <t>CURVA 90 GRAUS, PVC, SOLDÁVEL, DN 85 MM, INSTALADO EM RESERVAÇÃO DE ÁGUA DE EDIFICAÇÃO QUE POSSUA RESERVATÓRIO DE FIBRA/FIBROCIMENTO   FORNECIMENTO E INSTALAÇÃO. AF_06/2016</t>
  </si>
  <si>
    <t>150,18</t>
  </si>
  <si>
    <t>94686</t>
  </si>
  <si>
    <t>JOELHO 90 GRAUS, PVC, SOLDÁVEL, DN 110 MM INSTALADO EM RESERVAÇÃO DE ÁGUA DE EDIFICAÇÃO QUE POSSUA RESERVATÓRIO DE FIBRA/FIBROCIMENTO   FORNECIMENTO E INSTALAÇÃO. AF_06/2016</t>
  </si>
  <si>
    <t>387,51</t>
  </si>
  <si>
    <t>94687</t>
  </si>
  <si>
    <t>CURVA 90 GRAUS, PVC, SOLDÁVEL, DN 110 MM, INSTALADO EM RESERVAÇÃO DE ÁGUA DE EDIFICAÇÃO QUE POSSUA RESERVATÓRIO DE FIBRA/FIBROCIMENTO   FORNECIMENTO E INSTALAÇÃO. AF_06/2016</t>
  </si>
  <si>
    <t>312,51</t>
  </si>
  <si>
    <t>94688</t>
  </si>
  <si>
    <t>TÊ, PVC, SOLDÁVEL, DN  25 MM INSTALADO EM RESERVAÇÃO DE ÁGUA DE EDIFICAÇÃO QUE POSSUA RESERVATÓRIO DE FIBRA/FIBROCIMENTO   FORNECIMENTO E INSTALAÇÃO. AF_06/2016</t>
  </si>
  <si>
    <t>94689</t>
  </si>
  <si>
    <t>TÊ COM BUCHA DE LATÃO NA BOLSA CENTRAL, PVC, SOLDÁVEL, DN  25 MM X 3/4 , INSTALADO EM RESERVAÇÃO DE ÁGUA DE EDIFICAÇÃO QUE POSSUA RESERVATÓRIO DE FIBRA/FIBROCIMENTO   FORNECIMENTO E INSTALAÇÃO. AF_06/2016</t>
  </si>
  <si>
    <t>94690</t>
  </si>
  <si>
    <t>TÊ, PVC, SOLDÁVEL, DN 32 MM INSTALADO EM RESERVAÇÃO DE ÁGUA DE EDIFICAÇÃO QUE POSSUA RESERVATÓRIO DE FIBRA/FIBROCIMENTO   FORNECIMENTO E INSTALAÇÃO. AF_06/2016</t>
  </si>
  <si>
    <t>15,01</t>
  </si>
  <si>
    <t>94691</t>
  </si>
  <si>
    <t>TÊ DE REDUÇÃO, PVC, SOLDÁVEL, DN 32 MM X  25 MM, INSTALADO EM RESERVAÇÃO DE ÁGUA DE EDIFICAÇÃO QUE POSSUA RESERVATÓRIO DE FIBRA/FIBROCIMENTO   FORNECIMENTO E INSTALAÇÃO. AF_06/2016</t>
  </si>
  <si>
    <t>18,14</t>
  </si>
  <si>
    <t>94692</t>
  </si>
  <si>
    <t>TÊ, PVC, SOLDÁVEL, DN 40 MM INSTALADO EM RESERVAÇÃO DE ÁGUA DE EDIFICAÇÃO QUE POSSUA RESERVATÓRIO DE FIBRA/FIBROCIMENTO   FORNECIMENTO E INSTALAÇÃO. AF_06/2016</t>
  </si>
  <si>
    <t>27,34</t>
  </si>
  <si>
    <t>94693</t>
  </si>
  <si>
    <t>TÊ DE REDUÇÃO, PVC, SOLDÁVEL, DN 40 MM X 32 MM, INSTALADO EM RESERVAÇÃO DE ÁGUA DE EDIFICAÇÃO QUE POSSUA RESERVATÓRIO DE FIBRA/FIBROCIMENTO   FORNECIMENTO E INSTALAÇÃO. AF_06/2016</t>
  </si>
  <si>
    <t>28,91</t>
  </si>
  <si>
    <t>94694</t>
  </si>
  <si>
    <t>TÊ, PVC, SOLDÁVEL, DN 50 MM INSTALADO EM RESERVAÇÃO DE ÁGUA DE EDIFICAÇÃO QUE POSSUA RESERVATÓRIO DE FIBRA/FIBROCIMENTO   FORNECIMENTO E INSTALAÇÃO. AF_06/2016</t>
  </si>
  <si>
    <t>29,00</t>
  </si>
  <si>
    <t>94695</t>
  </si>
  <si>
    <t>TÊ DE REDUÇÃO, PVC, SOLDÁVEL, DN 50 MM X 40 MM, INSTALADO EM RESERVAÇÃO DE ÁGUA DE EDIFICAÇÃO QUE POSSUA RESERVATÓRIO DE FIBRA/FIBROCIMENTO   FORNECIMENTO E INSTALAÇÃO. AF_06/2016</t>
  </si>
  <si>
    <t>41,15</t>
  </si>
  <si>
    <t>94696</t>
  </si>
  <si>
    <t>TÊ, PVC, SOLDÁVEL, DN 60 MM INSTALADO EM RESERVAÇÃO DE ÁGUA DE EDIFICAÇÃO QUE POSSUA RESERVATÓRIO DE FIBRA/FIBROCIMENTO   FORNECIMENTO E INSTALAÇÃO. AF_06/2016</t>
  </si>
  <si>
    <t>71,06</t>
  </si>
  <si>
    <t>94697</t>
  </si>
  <si>
    <t>TÊ, PVC, SOLDÁVEL, DN 75 MM INSTALADO EM RESERVAÇÃO DE ÁGUA DE EDIFICAÇÃO QUE POSSUA RESERVATÓRIO DE FIBRA/FIBROCIMENTO   FORNECIMENTO E INSTALAÇÃO. AF_06/2016</t>
  </si>
  <si>
    <t>118,11</t>
  </si>
  <si>
    <t>94698</t>
  </si>
  <si>
    <t>TÊ DE REDUÇÃO, PVC, SOLDÁVEL, DN 75 MM X 50 MM, INSTALADO EM RESERVAÇÃO DE ÁGUA DE EDIFICAÇÃO QUE POSSUA RESERVATÓRIO DE FIBRA/FIBROCIMENTO   FORNECIMENTO E INSTALAÇÃO. AF_06/2016</t>
  </si>
  <si>
    <t>101,57</t>
  </si>
  <si>
    <t>94699</t>
  </si>
  <si>
    <t>TÊ, PVC, SOLDÁVEL, DN 85 MM INSTALADO EM RESERVAÇÃO DE ÁGUA DE EDIFICAÇÃO QUE POSSUA RESERVATÓRIO DE FIBRA/FIBROCIMENTO   FORNECIMENTO E INSTALAÇÃO. AF_06/2016</t>
  </si>
  <si>
    <t>197,46</t>
  </si>
  <si>
    <t>94700</t>
  </si>
  <si>
    <t>TÊ DE REDUÇÃO, PVC, SOLDÁVEL, DN 85 MM X 60 MM, INSTALADO EM RESERVAÇÃO DE ÁGUA DE EDIFICAÇÃO QUE POSSUA RESERVATÓRIO DE FIBRA/FIBROCIMENTO   FORNECIMENTO E INSTALAÇÃO. AF_06/2016</t>
  </si>
  <si>
    <t>163,61</t>
  </si>
  <si>
    <t>94701</t>
  </si>
  <si>
    <t>TÊ, PVC, SOLDÁVEL, DN 110 MM INSTALADO EM RESERVAÇÃO DE ÁGUA DE EDIFICAÇÃO QUE POSSUA RESERVATÓRIO DE FIBRA/FIBROCIMENTO   FORNECIMENTO E INSTALAÇÃO. AF_06/2016</t>
  </si>
  <si>
    <t>304,83</t>
  </si>
  <si>
    <t>94702</t>
  </si>
  <si>
    <t>TÊ DE REDUÇÃO, PVC, SOLDÁVEL, DN 110 MM X 60 MM, INSTALADO EM RESERVAÇÃO DE ÁGUA DE EDIFICAÇÃO QUE POSSUA RESERVATÓRIO DE FIBRA/FIBROCIMENTO   FORNECIMENTO E INSTALAÇÃO. AF_06/2016</t>
  </si>
  <si>
    <t>287,52</t>
  </si>
  <si>
    <t>94703</t>
  </si>
  <si>
    <t>ADAPTADOR COM FLANGE E ANEL DE VEDAÇÃO, PVC, SOLDÁVEL, DN  25 MM X 3/4 , INSTALADO EM RESERVAÇÃO DE ÁGUA DE EDIFICAÇÃO QUE POSSUA RESERVATÓRIO DE FIBRA/FIBROCIMENTO   FORNECIMENTO E INSTALAÇÃO. AF_06/2016</t>
  </si>
  <si>
    <t>24,53</t>
  </si>
  <si>
    <t>94704</t>
  </si>
  <si>
    <t>ADAPTADOR COM FLANGE E ANEL DE VEDAÇÃO, PVC, SOLDÁVEL, DN 32 MM X 1 , INSTALADO EM RESERVAÇÃO DE ÁGUA DE EDIFICAÇÃO QUE POSSUA RESERVATÓRIO DE FIBRA/FIBROCIMENTO   FORNECIMENTO E INSTALAÇÃO. AF_06/2016</t>
  </si>
  <si>
    <t>29,73</t>
  </si>
  <si>
    <t>94705</t>
  </si>
  <si>
    <t>ADAPTADOR COM FLANGE E ANEL DE VEDAÇÃO, PVC, SOLDÁVEL, DN 40 MM X 1 1/4 , INSTALADO EM RESERVAÇÃO DE ÁGUA DE EDIFICAÇÃO QUE POSSUA RESERVATÓRIO DE FIBRA/FIBROCIMENTO   FORNECIMENTO E INSTALAÇÃO. AF_06/2016</t>
  </si>
  <si>
    <t>37,59</t>
  </si>
  <si>
    <t>94706</t>
  </si>
  <si>
    <t>ADAPTADOR COM FLANGE E ANEL DE VEDAÇÃO, PVC, SOLDÁVEL, DN 50 MM X 1 1/2 , INSTALADO EM RESERVAÇÃO DE ÁGUA DE EDIFICAÇÃO QUE POSSUA RESERVATÓRIO DE FIBRA/FIBROCIMENTO   FORNECIMENTO E INSTALAÇÃO. AF_06/2016</t>
  </si>
  <si>
    <t>94707</t>
  </si>
  <si>
    <t>ADAPTADOR COM FLANGE E ANEL DE VEDAÇÃO, PVC, SOLDÁVEL, DN 60 MM X 2 , INSTALADO EM RESERVAÇÃO DE ÁGUA DE EDIFICAÇÃO QUE POSSUA RESERVATÓRIO DE FIBRA/FIBROCIMENTO   FORNECIMENTO E INSTALAÇÃO. AF_06/2016</t>
  </si>
  <si>
    <t>66,67</t>
  </si>
  <si>
    <t>94708</t>
  </si>
  <si>
    <t>ADAPTADOR COM FLANGES LIVRES, PVC, SOLDÁVEL, DN  25 MM X 3/4 , INSTALADO EM RESERVAÇÃO DE ÁGUA DE EDIFICAÇÃO QUE POSSUA RESERVATÓRIO DE FIBRA/FIBROCIMENTO   FORNECIMENTO E INSTALAÇÃO. AF_06/2016</t>
  </si>
  <si>
    <t>94709</t>
  </si>
  <si>
    <t>ADAPTADOR COM FLANGES LIVRES, PVC, SOLDÁVEL, DN 32 MM X 1 , INSTALADO EM RESERVAÇÃO DE ÁGUA DE EDIFICAÇÃO QUE POSSUA RESERVATÓRIO DE FIBRA/FIBROCIMENTO   FORNECIMENTO E INSTALAÇÃO. AF_06/2016</t>
  </si>
  <si>
    <t>94710</t>
  </si>
  <si>
    <t>ADAPTADOR COM FLANGES LIVRES, PVC, SOLDÁVEL, DN 40 MM X 1 1/4 , INSTALADO EM RESERVAÇÃO DE ÁGUA DE EDIFICAÇÃO QUE POSSUA RESERVATÓRIO DE FIBRA/FIBROCIMENTO   FORNECIMENTO E INSTALAÇÃO. AF_06/2016</t>
  </si>
  <si>
    <t>66,52</t>
  </si>
  <si>
    <t>94711</t>
  </si>
  <si>
    <t>ADAPTADOR COM FLANGES LIVRES, PVC, SOLDÁVEL, DN 50 MM X 1 1/2 , INSTALADO EM RESERVAÇÃO DE ÁGUA DE EDIFICAÇÃO QUE POSSUA RESERVATÓRIO DE FIBRA/FIBROCIMENTO   FORNECIMENTO E INSTALAÇÃO. AF_06/2016</t>
  </si>
  <si>
    <t>75,96</t>
  </si>
  <si>
    <t>94712</t>
  </si>
  <si>
    <t>ADAPTADOR COM FLANGES LIVRES, PVC, SOLDÁVEL, DN 60 MM X 2 , INSTALADO EM RESERVAÇÃO DE ÁGUA DE EDIFICAÇÃO QUE POSSUA RESERVATÓRIO DE FIBRA/FIBROCIMENTO   FORNECIMENTO E INSTALAÇÃO. AF_06/2016</t>
  </si>
  <si>
    <t>105,49</t>
  </si>
  <si>
    <t>94713</t>
  </si>
  <si>
    <t>ADAPTADOR COM FLANGES LIVRES, PVC, SOLDÁVEL, DN 75 MM X 2 1/2 , INSTALADO EM RESERVAÇÃO DE ÁGUA DE EDIFICAÇÃO QUE POSSUA RESERVATÓRIO DE FIBRA/FIBROCIMENTO   FORNECIMENTO E INSTALAÇÃO. AF_06/2016</t>
  </si>
  <si>
    <t>292,80</t>
  </si>
  <si>
    <t>94714</t>
  </si>
  <si>
    <t>ADAPTADOR COM FLANGES LIVRES, PVC, SOLDÁVEL, DN 85 MM X 3 , INSTALADO EM RESERVAÇÃO DE ÁGUA DE EDIFICAÇÃO QUE POSSUA RESERVATÓRIO DE FIBRA/FIBROCIMENTO   FORNECIMENTO E INSTALAÇÃO. AF_06/2016</t>
  </si>
  <si>
    <t>400,82</t>
  </si>
  <si>
    <t>94715</t>
  </si>
  <si>
    <t>ADAPTADOR COM FLANGES LIVRES, PVC, SOLDÁVEL, DN 110 MM X 4 , INSTALADO EM RESERVAÇÃO DE ÁGUA DE EDIFICAÇÃO QUE POSSUA RESERVATÓRIO DE FIBRA/FIBROCIMENTO   FORNECIMENTO E INSTALAÇÃO. AF_06/2016</t>
  </si>
  <si>
    <t>557,45</t>
  </si>
  <si>
    <t>94724</t>
  </si>
  <si>
    <t>CONECTOR, CPVC, SOLDÁVEL, DN 22 MM X 3/4, INSTALADO EM RESERVAÇÃO DE ÁGUA DE EDIFICAÇÃO QUE POSSUA RESERVATÓRIO DE FIBRA/FIBROCIMENTO  FORNECIMENTO E INSTALAÇÃO. AF_06/2016</t>
  </si>
  <si>
    <t>94725</t>
  </si>
  <si>
    <t>LUVA, CPVC, SOLDÁVEL, DN 22 MM, INSTALADO EM RESERVAÇÃO DE ÁGUA DE EDIFICAÇÃO QUE POSSUA RESERVATÓRIO DE FIBRA/FIBROCIMENTO  FORNECIMENTO E INSTALAÇÃO. AF_06/2016</t>
  </si>
  <si>
    <t>94726</t>
  </si>
  <si>
    <t>CONECTOR, CPVC, SOLDÁVEL, DN 28 MM X 1, INSTALADO EM RESERVAÇÃO DE ÁGUA DE EDIFICAÇÃO QUE POSSUA RESERVATÓRIO DE FIBRA/FIBROCIMENTO  FORNECIMENTO E INSTALAÇÃO. AF_06/2016</t>
  </si>
  <si>
    <t>45,08</t>
  </si>
  <si>
    <t>94727</t>
  </si>
  <si>
    <t>LUVA, CPVC, SOLDÁVEL, DN 28 MM, INSTALADO EM RESERVAÇÃO DE ÁGUA DE EDIFICAÇÃO QUE POSSUA RESERVATÓRIO DE FIBRA/FIBROCIMENTO  FORNECIMENTO E INSTALAÇÃO. AF_06/2016</t>
  </si>
  <si>
    <t>94728</t>
  </si>
  <si>
    <t>CONECTOR, CPVC, SOLDÁVEL, DN 35 MM X 1 1/4, INSTALADO EM RESERVAÇÃO DE ÁGUA DE EDIFICAÇÃO QUE POSSUA RESERVATÓRIO DE FIBRA/FIBROCIMENTO  FORNECIMENTO E INSTALAÇÃO. AF_06/2016</t>
  </si>
  <si>
    <t>172,42</t>
  </si>
  <si>
    <t>94729</t>
  </si>
  <si>
    <t>LUVA, CPVC, SOLDÁVEL, DN 35 MM, INSTALADO EM RESERVAÇÃO DE ÁGUA DE EDIFICAÇÃO QUE POSSUA RESERVATÓRIO DE FIBRA/FIBROCIMENTO  FORNECIMENTO E INSTALAÇÃO. AF_06/2016</t>
  </si>
  <si>
    <t>94730</t>
  </si>
  <si>
    <t>CONECTOR, CPVC, SOLDÁVEL, DN 42 MM X 1 1/2, INSTALADO EM RESERVAÇÃO DE ÁGUA DE EDIFICAÇÃO QUE POSSUA RESERVATÓRIO DE FIBRA/FIBROCIMENTO  FORNECIMENTO E INSTALAÇÃO. AF_06/2016</t>
  </si>
  <si>
    <t>209,67</t>
  </si>
  <si>
    <t>94731</t>
  </si>
  <si>
    <t>LUVA, CPVC, SOLDÁVEL, DN 42 MM, INSTALADO EM RESERVAÇÃO DE ÁGUA DE EDIFICAÇÃO QUE POSSUA RESERVATÓRIO DE FIBRA/FIBROCIMENTO  FORNECIMENTO E INSTALAÇÃO. AF_06/2016</t>
  </si>
  <si>
    <t>21,34</t>
  </si>
  <si>
    <t>94733</t>
  </si>
  <si>
    <t>LUVA, CPVC, SOLDÁVEL, DN 54 MM, INSTALADO EM RESERVAÇÃO DE ÁGUA DE EDIFICAÇÃO QUE POSSUA RESERVATÓRIO DE FIBRA/FIBROCIMENTO  FORNECIMENTO E INSTALAÇÃO. AF_06/2016</t>
  </si>
  <si>
    <t>94737</t>
  </si>
  <si>
    <t>LUVA, CPVC, SOLDÁVEL, DN 89 MM, INSTALADO EM RESERVAÇÃO DE ÁGUA DE EDIFICAÇÃO QUE POSSUA RESERVATÓRIO DE FIBRA/FIBROCIMENTO  FORNECIMENTO E INSTALAÇÃO. AF_06/2016</t>
  </si>
  <si>
    <t>177,88</t>
  </si>
  <si>
    <t>94740</t>
  </si>
  <si>
    <t>JOELHO 90 GRAUS, CPVC, SOLDÁVEL, DN 22 MM, INSTALADO EM RESERVAÇÃO DE ÁGUA DE EDIFICAÇÃO QUE POSSUA RESERVATÓRIO DE FIBRA/FIBROCIMENTO  FORNECIMENTO E INSTALAÇÃO. AF_06/2016</t>
  </si>
  <si>
    <t>10,10</t>
  </si>
  <si>
    <t>94741</t>
  </si>
  <si>
    <t>CURVA 90 GRAUS, CPVC, SOLDÁVEL, DN 22 MM, INSTALADO EM RESERVAÇÃO DE ÁGUA DE EDIFICAÇÃO QUE POSSUA RESERVATÓRIO DE FIBRA/FIBROCIMENTO  FORNECIMENTO E INSTALAÇÃO. AF_06/2016</t>
  </si>
  <si>
    <t>12,83</t>
  </si>
  <si>
    <t>94742</t>
  </si>
  <si>
    <t>JOELHO 90 GRAUS, CPVC, SOLDÁVEL, DN 28 MM, INSTALADO EM RESERVAÇÃO DE ÁGUA DE EDIFICAÇÃO QUE POSSUA RESERVATÓRIO DE FIBRA/FIBROCIMENTO  FORNECIMENTO E INSTALAÇÃO. AF_06/2016</t>
  </si>
  <si>
    <t>15,88</t>
  </si>
  <si>
    <t>94743</t>
  </si>
  <si>
    <t>CURVA 90 GRAUS, CPVC, SOLDÁVEL, DN 28 MM, INSTALADO EM RESERVAÇÃO DE ÁGUA DE EDIFICAÇÃO QUE POSSUA RESERVATÓRIO DE FIBRA/FIBROCIMENTO  FORNECIMENTO E INSTALAÇÃO. AF_06/2016</t>
  </si>
  <si>
    <t>17,60</t>
  </si>
  <si>
    <t>94744</t>
  </si>
  <si>
    <t>JOELHO 90 GRAUS, CPVC, SOLDÁVEL, DN 35 MM, INSTALADO EM RESERVAÇÃO DE ÁGUA DE EDIFICAÇÃO QUE POSSUA RESERVATÓRIO DE FIBRA/FIBROCIMENTO  FORNECIMENTO E INSTALAÇÃO. AF_06/2016</t>
  </si>
  <si>
    <t>25,64</t>
  </si>
  <si>
    <t>94746</t>
  </si>
  <si>
    <t>JOELHO 90 GRAUS, CPVC, SOLDÁVEL, DN 42 MM, INSTALADO EM RESERVAÇÃO DE ÁGUA DE EDIFICAÇÃO QUE POSSUA RESERVATÓRIO DE FIBRA/FIBROCIMENTO  FORNECIMENTO E INSTALAÇÃO. AF_06/2016</t>
  </si>
  <si>
    <t>37,14</t>
  </si>
  <si>
    <t>94748</t>
  </si>
  <si>
    <t>JOELHO 90 GRAUS, CPVC, SOLDÁVEL, DN 54 MM, INSTALADO EM RESERVAÇÃO DE ÁGUA DE EDIFICAÇÃO QUE POSSUA RESERVATÓRIO DE FIBRA/FIBROCIMENTO  FORNECIMENTO E INSTALAÇÃO. AF_06/2016</t>
  </si>
  <si>
    <t>94750</t>
  </si>
  <si>
    <t>JOELHO 90 GRAUS, CPVC, SOLDÁVEL, DN 73 MM, INSTALADO EM RESERVAÇÃO DE ÁGUA DE EDIFICAÇÃO QUE POSSUA RESERVATÓRIO DE FIBRA/FIBROCIMENTO  FORNECIMENTO E INSTALAÇÃO. AF_06/2016</t>
  </si>
  <si>
    <t>185,82</t>
  </si>
  <si>
    <t>94752</t>
  </si>
  <si>
    <t>JOELHO 90 GRAUS, CPVC, SOLDÁVEL, DN 89 MM, INSTALADO EM RESERVAÇÃO DE ÁGUA DE EDIFICAÇÃO QUE POSSUA RESERVATÓRIO DE FIBRA/FIBROCIMENTO  FORNECIMENTO E INSTALAÇÃO. AF_06/2016</t>
  </si>
  <si>
    <t>224,81</t>
  </si>
  <si>
    <t>94756</t>
  </si>
  <si>
    <t>TE, CPVC, SOLDÁVEL, DN 22 MM, INSTALADO EM RESERVAÇÃO DE ÁGUA DE EDIFICAÇÃO QUE POSSUA RESERVATÓRIO DE FIBRA/FIBROCIMENTO  FORNECIMENTO E INSTALAÇÃO. AF_06/2016</t>
  </si>
  <si>
    <t>12,70</t>
  </si>
  <si>
    <t>94757</t>
  </si>
  <si>
    <t>TE, CPVC, SOLDÁVEL, DN 28 MM, INSTALADO EM RESERVAÇÃO DE ÁGUA DE EDIFICAÇÃO QUE POSSUA RESERVATÓRIO DE FIBRA/FIBROCIMENTO  FORNECIMENTO E INSTALAÇÃO. AF_06/2016</t>
  </si>
  <si>
    <t>17,86</t>
  </si>
  <si>
    <t>94758</t>
  </si>
  <si>
    <t>TE, CPVC, SOLDÁVEL, DN 35 MM, INSTALADO EM RESERVAÇÃO DE ÁGUA DE EDIFICAÇÃO QUE POSSUA RESERVATÓRIO DE FIBRA/FIBROCIMENTO  FORNECIMENTO E INSTALAÇÃO. AF_06/2016</t>
  </si>
  <si>
    <t>94759</t>
  </si>
  <si>
    <t>TE, CPVC, SOLDÁVEL, DN 42 MM, INSTALADO EM RESERVAÇÃO DE ÁGUA DE EDIFICAÇÃO QUE POSSUA RESERVATÓRIO DE FIBRA/FIBROCIMENTO  FORNECIMENTO E INSTALAÇÃO. AF_06/2016</t>
  </si>
  <si>
    <t>58,84</t>
  </si>
  <si>
    <t>94760</t>
  </si>
  <si>
    <t>TE, CPVC, SOLDÁVEL, DN 54 MM, INSTALADO EM RESERVAÇÃO DE ÁGUA DE EDIFICAÇÃO QUE POSSUA RESERVATÓRIO DE FIBRA/FIBROCIMENTO  FORNECIMENTO E INSTALAÇÃO. AF_06/2016</t>
  </si>
  <si>
    <t>96,51</t>
  </si>
  <si>
    <t>94761</t>
  </si>
  <si>
    <t>TE, CPVC, SOLDÁVEL, DN 73 MM, INSTALADO EM RESERVAÇÃO DE ÁGUA DE EDIFICAÇÃO QUE POSSUA RESERVATÓRIO DE FIBRA/FIBROCIMENTO  FORNECIMENTO E INSTALAÇÃO. AF_06/2016</t>
  </si>
  <si>
    <t>211,48</t>
  </si>
  <si>
    <t>94762</t>
  </si>
  <si>
    <t>TE, CPVC, SOLDÁVEL, DN 89 MM, INSTALADO EM RESERVAÇÃO DE ÁGUA DE EDIFICAÇÃO QUE POSSUA RESERVATÓRIO DE FIBRA/FIBROCIMENTO  FORNECIMENTO E INSTALAÇÃO. AF_06/2016</t>
  </si>
  <si>
    <t>268,38</t>
  </si>
  <si>
    <t>94783</t>
  </si>
  <si>
    <t>ADAPTADOR COM FLANGE E ANEL DE VEDAÇÃO, PVC, SOLDÁVEL, DN  20 MM X 1/2 , INSTALADO EM RESERVAÇÃO DE ÁGUA DE EDIFICAÇÃO QUE POSSUA RESERVATÓRIO DE FIBRA/FIBROCIMENTO   FORNECIMENTO E INSTALAÇÃO. AF_06/2016</t>
  </si>
  <si>
    <t>22,26</t>
  </si>
  <si>
    <t>94785</t>
  </si>
  <si>
    <t>ADAPTADOR COM FLANGES LIVRES, PVC, SOLDÁVEL LONGO, DN 32 MM X 1 , INSTALADO EM RESERVAÇÃO DE ÁGUA DE EDIFICAÇÃO QUE POSSUA RESERVATÓRIO DE FIBRA/FIBROCIMENTO   FORNECIMENTO E INSTALAÇÃO. AF_06/2016</t>
  </si>
  <si>
    <t>41,54</t>
  </si>
  <si>
    <t>94786</t>
  </si>
  <si>
    <t>ADAPTADOR COM FLANGES LIVRES, PVC, SOLDÁVEL LONGO, DN 40 MM X 1 1/4 , INSTALADO EM RESERVAÇÃO DE ÁGUA DE EDIFICAÇÃO QUE POSSUA RESERVATÓRIO DE FIBRA/FIBROCIMENTO   FORNECIMENTO E INSTALAÇÃO. AF_06/2016</t>
  </si>
  <si>
    <t>56,23</t>
  </si>
  <si>
    <t>94787</t>
  </si>
  <si>
    <t>ADAPTADOR COM FLANGES LIVRES, PVC, SOLDÁVEL LONGO, DN 50 MM X 1 1/2 , INSTALADO EM RESERVAÇÃO DE ÁGUA DE EDIFICAÇÃO QUE POSSUA RESERVATÓRIO DE FIBRA/FIBROCIMENTO   FORNECIMENTO E INSTALAÇÃO. AF_06/2016</t>
  </si>
  <si>
    <t>94788</t>
  </si>
  <si>
    <t>ADAPTADOR COM FLANGES LIVRES, PVC, SOLDÁVEL LONGO, DN 60 MM X 2 , INSTALADO EM RESERVAÇÃO DE ÁGUA DE EDIFICAÇÃO QUE POSSUA RESERVATÓRIO DE FIBRA/FIBROCIMENTO   FORNECIMENTO E INSTALAÇÃO. AF_06/2016</t>
  </si>
  <si>
    <t>109,00</t>
  </si>
  <si>
    <t>94789</t>
  </si>
  <si>
    <t>ADAPTADOR COM FLANGES LIVRES, PVC, SOLDÁVEL LONGO, DN 75 MM X 2 1/2 , INSTALADO EM RESERVAÇÃO DE ÁGUA DE EDIFICAÇÃO QUE POSSUA RESERVATÓRIO DE FIBRA/FIBROCIMENTO   FORNECIMENTO E INSTALAÇÃO. AF_06/2016</t>
  </si>
  <si>
    <t>365,20</t>
  </si>
  <si>
    <t>94790</t>
  </si>
  <si>
    <t>ADAPTADOR COM FLANGES LIVRES, PVC, SOLDÁVEL LONGO, DN 85 MM X 3 , INSTALADO EM RESERVAÇÃO DE ÁGUA DE EDIFICAÇÃO QUE POSSUA RESERVATÓRIO DE FIBRA/FIBROCIMENTO   FORNECIMENTO E INSTALAÇÃO. AF_06/2016</t>
  </si>
  <si>
    <t>424,13</t>
  </si>
  <si>
    <t>94791</t>
  </si>
  <si>
    <t>ADAPTADOR COM FLANGES LIVRES, PVC, SOLDÁVEL LONGO, DN 110 MM X 4 , INSTALADO EM RESERVAÇÃO DE ÁGUA DE EDIFICAÇÃO QUE POSSUA RESERVATÓRIO DE FIBRA/FIBROCIMENTO   FORNECIMENTO E INSTALAÇÃO. AF_06/2016</t>
  </si>
  <si>
    <t>598,48</t>
  </si>
  <si>
    <t>94863</t>
  </si>
  <si>
    <t>LUVA, CPVC, SOLDÁVEL, DN 73 MM, INSTALADO EM RESERVAÇÃO DE ÁGUA DE EDIFICAÇÃO QUE POSSUA RESERVATÓRIO DE FIBRA/FIBROCIMENTO  FORNECIMENTO E INSTALAÇÃO. AF_06/2016</t>
  </si>
  <si>
    <t>152,68</t>
  </si>
  <si>
    <t>95141</t>
  </si>
  <si>
    <t>ADAPTADOR COM FLANGES LIVRES, PVC, SOLDÁVEL LONGO, DN  25 MM X 3/4 , INSTALADO EM RESERVAÇÃO DE ÁGUA DE EDIFICAÇÃO QUE POSSUA RESERVATÓRIO DE FIBRA/FIBROCIMENTO    FORNECIMENTO E INSTALAÇÃO. AF_06/2016</t>
  </si>
  <si>
    <t>38,35</t>
  </si>
  <si>
    <t>95237</t>
  </si>
  <si>
    <t>LUVA COM BUCHA DE LATÃO, PVC, SOLDÁVEL, DN 32MM X 1 , INSTALADO EM RAMAL DE DISTRIBUIÇÃO DE ÁGUA   FORNECIMENTO E INSTALAÇÃO. AF_12/2014</t>
  </si>
  <si>
    <t>32,91</t>
  </si>
  <si>
    <t>95693</t>
  </si>
  <si>
    <t>LUVA SIMPLES, PVC, SÉRIE NORMAL, ESGOTO PREDIAL, DN 150 MM, JUNTA ELÁSTICA, FORNECIDO E INSTALADO EM SUBCOLETOR AÉREO DE ESGOTO SANITÁRIO. AF_12/2014</t>
  </si>
  <si>
    <t>66,08</t>
  </si>
  <si>
    <t>95694</t>
  </si>
  <si>
    <t>CURVA 90 GRAUS, PVC, SERIE R, ÁGUA PLUVIAL, DN 100 MM, JUNTA ELÁSTICA, FORNECIDO E INSTALADO EM RAMAL DE ENCAMINHAMENTO. AF_12/2014</t>
  </si>
  <si>
    <t>94,61</t>
  </si>
  <si>
    <t>95695</t>
  </si>
  <si>
    <t>CURVA 90 GRAUS, PVC, SERIE R, ÁGUA PLUVIAL, DN 100 MM, JUNTA ELÁSTICA, FORNECIDO E INSTALADO EM CONDUTORES VERTICAIS DE ÁGUAS PLUVIAIS. AF_12/2014</t>
  </si>
  <si>
    <t>93,04</t>
  </si>
  <si>
    <t>95696</t>
  </si>
  <si>
    <t>SPRINKLER TIPO PENDENTE, 68 °C, UNIÃO POR ROSCA DN 15 (1/2") - FORNECIMENTO E INSTALAÇÃO. AF_10/2020</t>
  </si>
  <si>
    <t>49,32</t>
  </si>
  <si>
    <t>96637</t>
  </si>
  <si>
    <t>JOELHO 90 GRAUS, PPR, DN 25 MM, CLASSE PN 25, INSTALADO EM RAMAL OU SUB-RAMAL DE ÁGUA  FORNECIMENTO E INSTALAÇÃO . AF_06/2015</t>
  </si>
  <si>
    <t>12,63</t>
  </si>
  <si>
    <t>96638</t>
  </si>
  <si>
    <t>JOELHO 45 GRAUS, PPR, DN 25 MM, CLASSE PN 25, INSTALADO EM RAMAL OU SUB-RAMAL DE ÁGUA  FORNECIMENTO E INSTALAÇÃO . AF_06/2015</t>
  </si>
  <si>
    <t>96639</t>
  </si>
  <si>
    <t>LUVA, PPR, DN 25 MM, CLASSE PN 25, INSTALADO EM RAMAL OU SUB-RAMAL DE ÁGUA  FORNECIMENTO E INSTALAÇÃO . AF_06/2015</t>
  </si>
  <si>
    <t>96640</t>
  </si>
  <si>
    <t>CONECTOR MACHO, PPR, 25 X 1/2'', CLASSE PN 25, INSTALADO EM RAMAL OU SUB-RAMAL DE ÁGUA   FORNECIMENTO E INSTALAÇÃO . AF_06/2015</t>
  </si>
  <si>
    <t>26,48</t>
  </si>
  <si>
    <t>96641</t>
  </si>
  <si>
    <t>CONECTOR FÊMEA, PPR, 25 X 1/2'', CLASSE PN 25, INSTALADO EM RAMAL OU SUB-RAMAL DE ÁGUA   FORNECIMENTO E INSTALAÇÃO . AF_06/2015</t>
  </si>
  <si>
    <t>20,21</t>
  </si>
  <si>
    <t>96642</t>
  </si>
  <si>
    <t>TÊ NORMAL, PPR, DN 25 MM, CLASSE PN 25, INSTALADO EM RAMAL OU SUB-RAMAL DE ÁGUA  FORNECIMENTO E INSTALAÇÃO . AF_06/2015</t>
  </si>
  <si>
    <t>16,69</t>
  </si>
  <si>
    <t>96643</t>
  </si>
  <si>
    <t>TÊ MISTURADOR, PPR, 25 X 3/4'' , CLASSE PN 25, INSTALADO EM RAMAL OU SUB-RAMAL DE ÁGUA  FORNECIMENTO E INSTALAÇÃO . AF_06/2015</t>
  </si>
  <si>
    <t>53,40</t>
  </si>
  <si>
    <t>96650</t>
  </si>
  <si>
    <t>JOELHO 90 GRAUS, PPR, DN 25 MM, CLASSE PN 25, INSTALADO EM RAMAL DE DISTRIBUIÇÃO  FORNECIMENTO E INSTALAÇÃO . AF_06/2015</t>
  </si>
  <si>
    <t>96651</t>
  </si>
  <si>
    <t>JOELHO 45 GRAUS, PPR, DN 25 MM, CLASSE PN 25, INSTALADO EM RAMAL DE DISTRIBUIÇÃO DE ÁGUA  FORNECIMENTO E INSTALAÇÃO . AF_06/2015</t>
  </si>
  <si>
    <t>9,05</t>
  </si>
  <si>
    <t>96652</t>
  </si>
  <si>
    <t>JOELHO 90 GRAUS, PPR, DN 32 MM, CLASSE PN 25, INSTALADO EM RAMAL DE DISTRIBUIÇÃO  FORNECIMENTO E INSTALAÇÃO . AF_06/2015</t>
  </si>
  <si>
    <t>96653</t>
  </si>
  <si>
    <t>JOELHO 45 GRAUS, PPR, DN 32 MM, CLASSE PN 25, INSTALADO EM RAMAL DE DISTRIBUIÇÃO DE ÁGUA  FORNECIMENTO E INSTALAÇÃO . AF_06/2015</t>
  </si>
  <si>
    <t>17,98</t>
  </si>
  <si>
    <t>96654</t>
  </si>
  <si>
    <t>JOELHO 90 GRAUS, PPR, DN 40 MM, CLASSE PN 25, INSTALADO EM RAMAL DE DISTRIBUIÇÃO  FORNECIMENTO E INSTALAÇÃO . AF_06/2015</t>
  </si>
  <si>
    <t>30,26</t>
  </si>
  <si>
    <t>96655</t>
  </si>
  <si>
    <t>JOELHO 45 GRAUS, PPR, DN 40 MM, CLASSE PN 25, INSTALADO EM RAMAL DE DISTRIBUIÇÃO DE ÁGUA  FORNECIMENTO E INSTALAÇÃO . AF_06/2015</t>
  </si>
  <si>
    <t>29,57</t>
  </si>
  <si>
    <t>96656</t>
  </si>
  <si>
    <t>LUVA, PPR, DN 25 MM, CLASSE PN 25, INSTALADO EM RAMAL DE DISTRIBUIÇÃO DE ÁGUA  FORNECIMENTO E INSTALAÇÃO . AF_06/2015</t>
  </si>
  <si>
    <t>6,98</t>
  </si>
  <si>
    <t>96657</t>
  </si>
  <si>
    <t>CONECTOR MACHO, PPR, 25 X 1/2, CLASSE PN 25, INSTALADO EM RAMAL DE DISTRIBUIÇÃO DE ÁGUA  FORNECIMENTO E INSTALAÇÃO . AF_06/2015</t>
  </si>
  <si>
    <t>96658</t>
  </si>
  <si>
    <t>CONECTOR FÊMEA, PPR, 25 X 1/2'', CLASSE PN 25, INSTALADO EM RAMAL DE DISTRIBUIÇÃO DE ÁGUA   FORNECIMENTO E INSTALAÇÃO . AF_06/2015</t>
  </si>
  <si>
    <t>18,25</t>
  </si>
  <si>
    <t>96659</t>
  </si>
  <si>
    <t>LUVA, PPR, DN 32 MM, CLASSE PN 25, INSTALADO EM RAMAL DE DISTRIBUIÇÃO DE ÁGUA  FORNECIMENTO E INSTALAÇÃO. AF_06/2015</t>
  </si>
  <si>
    <t>96660</t>
  </si>
  <si>
    <t>CONECTOR MACHO, PPR, 32 X 3/4'', CLASSE PN 25, INSTALADO EM RAMAL DE DISTRIBUIÇÃO DE ÁGUA   FORNECIMENTO E INSTALAÇÃO. AF_06/2015</t>
  </si>
  <si>
    <t>41,49</t>
  </si>
  <si>
    <t>96661</t>
  </si>
  <si>
    <t>CONECTOR FÊMEA, PPR, 32 X 3/4'', CLASSE PN 25, INSTALADO EM RAMAL DE DISTRIBUIÇÃO DE ÁGUA   FORNECIMENTO E INSTALAÇÃO . AF_06/2015</t>
  </si>
  <si>
    <t>31,86</t>
  </si>
  <si>
    <t>96662</t>
  </si>
  <si>
    <t>BUCHA DE REDUÇÃO, PPR, 32 X 25, CLASSE PN 25, INSTALADO EM RAMAL DE DISTRIBUIÇÃO DE ÁGUA  FORNECIMENTO E INSTALAÇÃO . AF_06/2015</t>
  </si>
  <si>
    <t>12,58</t>
  </si>
  <si>
    <t>96663</t>
  </si>
  <si>
    <t>LUVA, PPR, DN 40 MM, CLASSE PN 25, INSTALADO EM RAMAL DE DISTRIBUIÇÃO DE ÁGUA  FORNECIMENTO E INSTALAÇÃO. AF_06/2015</t>
  </si>
  <si>
    <t>22,96</t>
  </si>
  <si>
    <t>96664</t>
  </si>
  <si>
    <t>BUCHA DE REDUÇÃO, PPR, 40 X 25, CLASSE PN 25, INSTALADO EM RAMAL DE DISTRIBUIÇÃO DE ÁGUA  FORNECIMENTO E INSTALAÇÃO . AF_06/2015</t>
  </si>
  <si>
    <t>25,03</t>
  </si>
  <si>
    <t>96665</t>
  </si>
  <si>
    <t>TÊ NORMAL, PPR, DN 25 MM, CLASSE PN 25, INSTALADO EM RAMAL DE DISTRIBUIÇÃO DE ÁGUA  FORNECIMENTO E INSTALAÇÃO . AF_06/2015</t>
  </si>
  <si>
    <t>96666</t>
  </si>
  <si>
    <t>TÊ NORMAL, PPR, DN 32 MM, CLASSE PN 25, INSTALADO EM RAMAL DE DISTRIBUIÇÃO DE ÁGUA  FORNECIMENTO E INSTALAÇÃO . AF_06/2015</t>
  </si>
  <si>
    <t>24,22</t>
  </si>
  <si>
    <t>96667</t>
  </si>
  <si>
    <t>TÊ NORMAL, PPR, DN 40 MM, CLASSE PN 25, INSTALADO EM RAMAL DE DISTRIBUIÇÃO DE ÁGUA  FORNECIMENTO E INSTALAÇÃO . AF_06/2015</t>
  </si>
  <si>
    <t>43,20</t>
  </si>
  <si>
    <t>96684</t>
  </si>
  <si>
    <t>JOELHO 90 GRAUS, PPR, DN 25 MM, CLASSE PN 25, INSTALADO EM PRUMADA DE ÁGUA  FORNECIMENTO E INSTALAÇÃO . AF_06/2015</t>
  </si>
  <si>
    <t>96685</t>
  </si>
  <si>
    <t>JOELHO 45 GRAUS, PPR, DN 25 MM, CLASSE PN 25, INSTALADO EM PRUMADA DE ÁGUA  FORNECIMENTO E INSTALAÇÃO . AF_06/2015</t>
  </si>
  <si>
    <t>96686</t>
  </si>
  <si>
    <t>JOELHO 90 GRAUS, PPR, DN 32 MM, CLASSE PN 25, INSTALADO EM PRUMADA DE ÁGUA  FORNECIMENTO E INSTALAÇÃO . AF_06/2015</t>
  </si>
  <si>
    <t>7,84</t>
  </si>
  <si>
    <t>96687</t>
  </si>
  <si>
    <t>JOELHO 45 GRAUS, PPR, DN 32 MM, CLASSE PN 25, INSTALADO EM PRUMADA DE ÁGUA  FORNECIMENTO E INSTALAÇÃO . AF_06/2015</t>
  </si>
  <si>
    <t>96688</t>
  </si>
  <si>
    <t>JOELHO 90 GRAUS, PPR, DN 40 MM, CLASSE PN 25, INSTALADO EM PRUMADA DE ÁGUA  FORNECIMENTO E INSTALAÇÃO . AF_06/2015</t>
  </si>
  <si>
    <t>96689</t>
  </si>
  <si>
    <t>JOELHO 45 GRAUS, PPR, DN 40 MM, CLASSE PN 25, INSTALADO EM PRUMADA DE ÁGUA  FORNECIMENTO E INSTALAÇÃO . AF_06/2015</t>
  </si>
  <si>
    <t>13,07</t>
  </si>
  <si>
    <t>96690</t>
  </si>
  <si>
    <t>JOELHO 90 GRAUS, PPR, DN 50 MM, CLASSE PN 25, INSTALADO EM PRUMADA DE ÁGUA  FORNECIMENTO E INSTALAÇÃO . AF_06/2015</t>
  </si>
  <si>
    <t>26,20</t>
  </si>
  <si>
    <t>96691</t>
  </si>
  <si>
    <t>JOELHO 45 GRAUS, PPR, DN 50 MM, CLASSE PN 25, INSTALADO EM PRUMADA DE ÁGUA  FORNECIMENTO E INSTALAÇÃO . AF_06/2015</t>
  </si>
  <si>
    <t>27,14</t>
  </si>
  <si>
    <t>96692</t>
  </si>
  <si>
    <t>JOELHO 90 GRAUS, PPR, DN 63 MM, CLASSE PN 25, INSTALADO EM PRUMADA DE ÁGUA  FORNECIMENTO E INSTALAÇÃO . AF_06/2015</t>
  </si>
  <si>
    <t>96693</t>
  </si>
  <si>
    <t>JOELHO 45 GRAUS, PPR, DN 63 MM, CLASSE PN 25, INSTALADO EM PRUMADA DE ÁGUA  FORNECIMENTO E INSTALAÇÃO . AF_06/2015</t>
  </si>
  <si>
    <t>37,25</t>
  </si>
  <si>
    <t>96694</t>
  </si>
  <si>
    <t>JOELHO 90 GRAUS, PPR, DN 75 MM, CLASSE PN 25, INSTALADO EM PRUMADA DE ÁGUA  FORNECIMENTO E INSTALAÇÃO . AF_06/2015</t>
  </si>
  <si>
    <t>90,01</t>
  </si>
  <si>
    <t>96695</t>
  </si>
  <si>
    <t>JOELHO 45 GRAUS, PPR, DN 75 MM, CLASSE PN 25, INSTALADO EM PRUMADA DE ÁGUA  FORNECIMENTO E INSTALAÇÃO . AF_06/2015</t>
  </si>
  <si>
    <t>87,31</t>
  </si>
  <si>
    <t>96696</t>
  </si>
  <si>
    <t>JOELHO 90 GRAUS, PPR, DN 90 MM, CLASSE PN 25, INSTALADO EM PRUMADA DE ÁGUA  FORNECIMENTO E INSTALAÇÃO . AF_06/2015</t>
  </si>
  <si>
    <t>135,98</t>
  </si>
  <si>
    <t>96697</t>
  </si>
  <si>
    <t>JOELHO 90 GRAUS, PPR, DN 110 MM, CLASSE PN 25, INSTALADO EM PRUMADA DE ÁGUA  FORNECIMENTO E INSTALAÇÃO . AF_06/2015</t>
  </si>
  <si>
    <t>203,56</t>
  </si>
  <si>
    <t>96698</t>
  </si>
  <si>
    <t>LUVA, PPR, DN 25 MM, CLASSE PN 25, INSTALADO EM PRUMADA DE ÁGUA  FORNECIMENTO E INSTALAÇÃO . AF_06/2015</t>
  </si>
  <si>
    <t>96699</t>
  </si>
  <si>
    <t>CONECTOR MACHO, PPR, 25 X 1/2'', CLASSE PN 25, INSTALADO EM PRUMADA DE ÁGUA   FORNECIMENTO E INSTALAÇÃO . AF_06/2015</t>
  </si>
  <si>
    <t>21,56</t>
  </si>
  <si>
    <t>96700</t>
  </si>
  <si>
    <t>CONECTOR FÊMEA, PPR, 25 X 1/2'', CLASSE PN 25, INSTALADO EM PRUMADA DE ÁGUA   FORNECIMENTO E INSTALAÇÃO . AF_06/2015</t>
  </si>
  <si>
    <t>15,29</t>
  </si>
  <si>
    <t>96701</t>
  </si>
  <si>
    <t>LUVA, PPR, DN 32 MM, CLASSE PN 25, INSTALADO EM PRUMADA DE ÁGUA  FORNECIMENTO E INSTALAÇÃO. AF_06/2015</t>
  </si>
  <si>
    <t>5,45</t>
  </si>
  <si>
    <t>96702</t>
  </si>
  <si>
    <t>BUCHA DE REDUÇÃO, PPR, 32 X 25, CLASSE PN 25, INSTALADO EM PRUMADA DE ÁGUA  FORNECIMENTO E INSTALAÇÃO . AF_06/2015</t>
  </si>
  <si>
    <t>96703</t>
  </si>
  <si>
    <t>LUVA, PPR, DN 40 MM, CLASSE PN 25, INSTALADO EM PRUMADA DE ÁGUA  FORNECIMENTO E INSTALAÇÃO. AF_06/2015</t>
  </si>
  <si>
    <t>11,92</t>
  </si>
  <si>
    <t>96704</t>
  </si>
  <si>
    <t>BUCHA DE REDUÇÃO, PPR, 40 X 25, CLASSE PN 25, INSTALADO EM PRUMADA DE ÁGUA  FORNECIMENTO E INSTALAÇÃO . AF_06/2015</t>
  </si>
  <si>
    <t>96705</t>
  </si>
  <si>
    <t>LUVA, PPR, DN 50 MM, CLASSE PN 25, INSTALADO EM PRUMADA DE ÁGUA  FORNECIMENTO E INSTALAÇÃO. AF_06/2015</t>
  </si>
  <si>
    <t>96706</t>
  </si>
  <si>
    <t>LUVA, PPR, DN 63 MM, CLASSE PN 25, INSTALADO EM PRUMADA DE ÁGUA  FORNECIMENTO E INSTALAÇÃO. AF_06/2015</t>
  </si>
  <si>
    <t>96707</t>
  </si>
  <si>
    <t>LUVA, PPR, DN 75 MM, CLASSE PN 25, INSTALADO EM PRUMADA DE ÁGUA  FORNECIMENTO E INSTALAÇÃO. AF_06/2015</t>
  </si>
  <si>
    <t>57,72</t>
  </si>
  <si>
    <t>96708</t>
  </si>
  <si>
    <t>LUVA, PPR, DN 90 MM, CLASSE PN 25, INSTALADO EM PRUMADA DE ÁGUA  FORNECIMENTO E INSTALAÇÃO. AF_06/2015</t>
  </si>
  <si>
    <t>91,60</t>
  </si>
  <si>
    <t>96709</t>
  </si>
  <si>
    <t>LUVA, PPR, DN 110 MM, CLASSE PN 25, INSTALADO EM PRUMADA DE ÁGUA  FORNECIMENTO E INSTALAÇÃO. AF_06/2015</t>
  </si>
  <si>
    <t>145,17</t>
  </si>
  <si>
    <t>96710</t>
  </si>
  <si>
    <t>TÊ NORMAL, PPR, DN 25 MM, CLASSE PN 25, INSTALADO EM PRUMADA DE ÁGUA  FORNECIMENTO E INSTALAÇÃO . AF_06/2015</t>
  </si>
  <si>
    <t>6,79</t>
  </si>
  <si>
    <t>96711</t>
  </si>
  <si>
    <t>TÊ NORMAL, PPR, DN 32 MM, CLASSE PN 25, INSTALADO EM PRUMADA DE ÁGUA  FORNECIMENTO E INSTALAÇÃO . AF_06/2015</t>
  </si>
  <si>
    <t>10,64</t>
  </si>
  <si>
    <t>96712</t>
  </si>
  <si>
    <t>TÊ NORMAL, PPR, DN 40 MM, CLASSE PN 25, INSTALADO EM PRUMADA DE ÁGUA  FORNECIMENTO E INSTALAÇÃO . AF_06/2015</t>
  </si>
  <si>
    <t>21,14</t>
  </si>
  <si>
    <t>96713</t>
  </si>
  <si>
    <t>TÊ NORMAL, PPR, DN 50 MM, CLASSE PN 25, INSTALADO EM PRUMADA DE ÁGUA  FORNECIMENTO E INSTALAÇÃO . AF_06/2015</t>
  </si>
  <si>
    <t>29,11</t>
  </si>
  <si>
    <t>96714</t>
  </si>
  <si>
    <t>TÊ NORMAL, PPR, DN 63 MM, CLASSE PN 25, INSTALADO EM PRUMADA DE ÁGUA  FORNECIMENTO E INSTALAÇÃO . AF_06/2015</t>
  </si>
  <si>
    <t>49,61</t>
  </si>
  <si>
    <t>96715</t>
  </si>
  <si>
    <t>TÊ NORMAL, PPR, DN 75 MM, CLASSE PN 25, INSTALADO EM PRUMADA DE ÁGUA  FORNECIMENTO E INSTALAÇÃO . AF_06/2015</t>
  </si>
  <si>
    <t>95,55</t>
  </si>
  <si>
    <t>96716</t>
  </si>
  <si>
    <t>TÊ NORMAL, PPR, DN 90 MM, CLASSE PN 25, INSTALADO EM PRUMADA DE ÁGUA  FORNECIMENTO E INSTALAÇÃO . AF_06/2015</t>
  </si>
  <si>
    <t>144,06</t>
  </si>
  <si>
    <t>96717</t>
  </si>
  <si>
    <t>TÊ NORMAL, PPR, DN 110 MM, CLASSE PN 25, INSTALADO EM PRUMADA DE ÁGUA  FORNECIMENTO E INSTALAÇÃO . AF_06/2015</t>
  </si>
  <si>
    <t>227,76</t>
  </si>
  <si>
    <t>96736</t>
  </si>
  <si>
    <t>LUVA, PPR, DN 20 MM, CLASSE PN 25, INSTALADO EM RESERVAÇÃO DE ÁGUA DE EDIFICAÇÃO QUE POSSUA RESERVATÓRIO DE FIBRA/FIBROCIMENTO  FORNECIMENTO E INSTALAÇÃO. AF_06/2016</t>
  </si>
  <si>
    <t>96737</t>
  </si>
  <si>
    <t>LUVA, PPR, DN 25 MM, CLASSE PN 25, INSTALADO EM RESERVAÇÃO DE ÁGUA DE EDIFICAÇÃO QUE POSSUA RESERVATÓRIO DE FIBRA/FIBROCIMENTO  FORNECIMENTO E INSTALAÇÃO. AF_06/2016</t>
  </si>
  <si>
    <t>96738</t>
  </si>
  <si>
    <t>CONECTOR MACHO, PPR, 25 X 1/2'', CLASSE PN 25,  INSTALADO EM RESERVAÇÃO DE ÁGUA DE EDIFICAÇÃO QUE POSSUA RESERVATÓRIO DE FIBRA/FIBROCIMENTO   FORNECIMENTO E INSTALAÇÃO. AF_06/2016</t>
  </si>
  <si>
    <t>23,70</t>
  </si>
  <si>
    <t>96739</t>
  </si>
  <si>
    <t>LUVA, PPR, DN 32 MM, CLASSE PN 25, INSTALADO EM RESERVAÇÃO DE ÁGUA DE EDIFICAÇÃO QUE POSSUA RESERVATÓRIO DE FIBRA/FIBROCIMENTO  FORNECIMENTO E INSTALAÇÃO. AF_06/2016</t>
  </si>
  <si>
    <t>8,00</t>
  </si>
  <si>
    <t>96740</t>
  </si>
  <si>
    <t>CONECTOR MACHO, PPR, 32 X 3/4'', CLASSE PN 25,  INSTALADO EM RESERVAÇÃO DE ÁGUA DE EDIFICAÇÃO QUE POSSUA RESERVATÓRIO DE FIBRA/FIBROCIMENTO   FORNECIMENTO E INSTALAÇÃO. AF_06/2016</t>
  </si>
  <si>
    <t>37,23</t>
  </si>
  <si>
    <t>96741</t>
  </si>
  <si>
    <t>LUVA, PPR, DN 40 MM, CLASSE PN 25, INSTALADO EM RESERVAÇÃO DE ÁGUA DE EDIFICAÇÃO QUE POSSUA RESERVATÓRIO DE FIBRA/FIBROCIMENTO  FORNECIMENTO E INSTALAÇÃO. AF_06/2016</t>
  </si>
  <si>
    <t>96742</t>
  </si>
  <si>
    <t>LUVA, PPR, DN 50 MM, CLASSE PN 25, INSTALADO EM RESERVAÇÃO DE ÁGUA DE EDIFICAÇÃO QUE POSSUA RESERVATÓRIO DE FIBRA/FIBROCIMENTO  FORNECIMENTO E INSTALAÇÃO. AF_06/2016</t>
  </si>
  <si>
    <t>20,76</t>
  </si>
  <si>
    <t>96743</t>
  </si>
  <si>
    <t>LUVA, PPR, DN 63 MM, CLASSE PN 25, INSTALADO EM RESERVAÇÃO DE ÁGUA DE EDIFICAÇÃO QUE POSSUA RESERVATÓRIO DE FIBRA/FIBROCIMENTO  FORNECIMENTO E INSTALAÇÃO. AF_06/2016</t>
  </si>
  <si>
    <t>27,69</t>
  </si>
  <si>
    <t>96744</t>
  </si>
  <si>
    <t>LUVA, PPR, DN 75 MM, CLASSE PN 25, INSTALADO EM RESERVAÇÃO DE ÁGUA DE EDIFICAÇÃO QUE POSSUA RESERVATÓRIO DE FIBRA/FIBROCIMENTO  FORNECIMENTO E INSTALAÇÃO. AF_06/2016</t>
  </si>
  <si>
    <t>60,46</t>
  </si>
  <si>
    <t>96745</t>
  </si>
  <si>
    <t>LUVA, PPR, DN 90 MM, CLASSE PN 25, INSTALADO EM RESERVAÇÃO DE ÁGUA DE EDIFICAÇÃO QUE POSSUA RESERVATÓRIO DE FIBRA/FIBROCIMENTO  FORNECIMENTO E INSTALAÇÃO. AF_06/2016</t>
  </si>
  <si>
    <t>90,93</t>
  </si>
  <si>
    <t>96746</t>
  </si>
  <si>
    <t>LUVA, PPR, DN 110 MM, CLASSE PN 25, INSTALADO EM RESERVAÇÃO DE ÁGUA DE EDIFICAÇÃO QUE POSSUA RESERVATÓRIO DE FIBRA/FIBROCIMENTO  FORNECIMENTO E INSTALAÇÃO. AF_06/2016</t>
  </si>
  <si>
    <t>145,14</t>
  </si>
  <si>
    <t>96747</t>
  </si>
  <si>
    <t>JOELHO 90 GRAUS, PPR, DN 20 MM, CLASSE PN 25,  INSTALADO EM RESERVAÇÃO DE ÁGUA DE EDIFICAÇÃO QUE POSSUA RESERVATÓRIO DE FIBRA/FIBROCIMENTO  FORNECIMENTO E INSTALAÇÃO. AF_06/2016</t>
  </si>
  <si>
    <t>96748</t>
  </si>
  <si>
    <t>JOELHO 90 GRAUS, PPR, DN 25 MM, CLASSE PN 25,  INSTALADO EM RESERVAÇÃO DE ÁGUA DE EDIFICAÇÃO QUE POSSUA RESERVATÓRIO DE FIBRA/FIBROCIMENTO  FORNECIMENTO E INSTALAÇÃO. AF_06/2016</t>
  </si>
  <si>
    <t>8,45</t>
  </si>
  <si>
    <t>96749</t>
  </si>
  <si>
    <t>JOELHO 90 GRAUS, PPR, DN 32 MM, CLASSE PN 25,  INSTALADO EM RESERVAÇÃO DE ÁGUA DE EDIFICAÇÃO QUE POSSUA RESERVATÓRIO DE FIBRA/FIBROCIMENTO  FORNECIMENTO E INSTALAÇÃO. AF_06/2016</t>
  </si>
  <si>
    <t>11,68</t>
  </si>
  <si>
    <t>96750</t>
  </si>
  <si>
    <t>JOELHO 90 GRAUS, PPR, DN 40 MM, CLASSE PN 25,  INSTALADO EM RESERVAÇÃO DE ÁGUA DE EDIFICAÇÃO QUE POSSUA RESERVATÓRIO DE FIBRA/FIBROCIMENTO  FORNECIMENTO E INSTALAÇÃO. AF_06/2016</t>
  </si>
  <si>
    <t>16,38</t>
  </si>
  <si>
    <t>96751</t>
  </si>
  <si>
    <t>JOELHO 90 GRAUS, PPR, DN 50 MM, CLASSE PN 25,  INSTALADO EM RESERVAÇÃO DE ÁGUA DE EDIFICAÇÃO QUE POSSUA RESERVATÓRIO DE FIBRA/FIBROCIMENTO  FORNECIMENTO E INSTALAÇÃO. AF_06/2016</t>
  </si>
  <si>
    <t>30,34</t>
  </si>
  <si>
    <t>96752</t>
  </si>
  <si>
    <t>JOELHO 90 GRAUS, PPR, DN 63 MM, CLASSE PN 25,  INSTALADO EM RESERVAÇÃO DE ÁGUA DE EDIFICAÇÃO QUE POSSUA RESERVATÓRIO DE FIBRA/FIBROCIMENTO  FORNECIMENTO E INSTALAÇÃO. AF_06/2016</t>
  </si>
  <si>
    <t>40,64</t>
  </si>
  <si>
    <t>96753</t>
  </si>
  <si>
    <t>JOELHO 90 GRAUS, PPR, DN 75 MM, CLASSE PN 25,  INSTALADO EM RESERVAÇÃO DE ÁGUA DE EDIFICAÇÃO QUE POSSUA RESERVATÓRIO DE FIBRA/FIBROCIMENTO  FORNECIMENTO E INSTALAÇÃO. AF_06/2016</t>
  </si>
  <si>
    <t>94,12</t>
  </si>
  <si>
    <t>96754</t>
  </si>
  <si>
    <t>JOELHO 90 GRAUS, PPR, DN 90 MM, CLASSE PN 25,  INSTALADO EM RESERVAÇÃO DE ÁGUA DE EDIFICAÇÃO QUE POSSUA RESERVATÓRIO DE FIBRA/FIBROCIMENTO  FORNECIMENTO E INSTALAÇÃO. AF_06/2016</t>
  </si>
  <si>
    <t>134,96</t>
  </si>
  <si>
    <t>96755</t>
  </si>
  <si>
    <t>JOELHO 90 GRAUS, PPR, DN 110 MM, CLASSE PN 25,  INSTALADO EM RESERVAÇÃO DE ÁGUA DE EDIFICAÇÃO QUE POSSUA RESERVATÓRIO DE FIBRA/FIBROCIMENTO  FORNECIMENTO E INSTALAÇÃO. AF_06/2016</t>
  </si>
  <si>
    <t>203,53</t>
  </si>
  <si>
    <t>96756</t>
  </si>
  <si>
    <t>TÊ MISTURADOR, PPR, DN 20 MM, CLASSE PN 25,  INSTALADO EM RESERVAÇÃO DE ÁGUA DE EDIFICAÇÃO QUE POSSUA RESERVATÓRIO DE FIBRA/FIBROCIMENTO  FORNECIMENTO E INSTALAÇÃO. AF_06/2016</t>
  </si>
  <si>
    <t>96757</t>
  </si>
  <si>
    <t>TÊ MISTURADOR, PPR, DN 25 MM, CLASSE PN 25,  INSTALADO EM RESERVAÇÃO DE ÁGUA DE EDIFICAÇÃO QUE POSSUA RESERVATÓRIO DE FIBRA/FIBROCIMENTO  FORNECIMENTO E INSTALAÇÃO. AF_06/2016</t>
  </si>
  <si>
    <t>13,58</t>
  </si>
  <si>
    <t>96758</t>
  </si>
  <si>
    <t>TÊ, PPR, DN 32 MM, CLASSE PN 25,  INSTALADO EM RESERVAÇÃO DE ÁGUA DE EDIFICAÇÃO QUE POSSUA RESERVATÓRIO DE FIBRA/FIBROCIMENTO  FORNECIMENTO E INSTALAÇÃO. AF_06/2016</t>
  </si>
  <si>
    <t>15,73</t>
  </si>
  <si>
    <t>96759</t>
  </si>
  <si>
    <t>TÊ, PPR, DN 40 MM, CLASSE PN 25,  INSTALADO EM RESERVAÇÃO DE ÁGUA DE EDIFICAÇÃO QUE POSSUA RESERVATÓRIO DE FIBRA/FIBROCIMENTO  FORNECIMENTO E INSTALAÇÃO. AF_06/2016</t>
  </si>
  <si>
    <t>24,66</t>
  </si>
  <si>
    <t>96760</t>
  </si>
  <si>
    <t>TÊ, PPR, DN 50 MM, CLASSE PN 25,  INSTALADO EM RESERVAÇÃO DE ÁGUA DE EDIFICAÇÃO QUE POSSUA RESERVATÓRIO DE FIBRA/FIBROCIMENTO  FORNECIMENTO E INSTALAÇÃO. AF_06/2016</t>
  </si>
  <si>
    <t>34,62</t>
  </si>
  <si>
    <t>96761</t>
  </si>
  <si>
    <t>TÊ, PPR, DN 63 MM, CLASSE PN 25,  INSTALADO EM RESERVAÇÃO DE ÁGUA DE EDIFICAÇÃO QUE POSSUA RESERVATÓRIO DE FIBRA/FIBROCIMENTO  FORNECIMENTO E INSTALAÇÃO. AF_06/2016</t>
  </si>
  <si>
    <t>51,09</t>
  </si>
  <si>
    <t>96762</t>
  </si>
  <si>
    <t>TÊ, PPR, DN 75 MM, CLASSE PN 25,  INSTALADO EM RESERVAÇÃO DE ÁGUA DE EDIFICAÇÃO QUE POSSUA RESERVATÓRIO DE FIBRA/FIBROCIMENTO  FORNECIMENTO E INSTALAÇÃO. AF_06/2016</t>
  </si>
  <si>
    <t>100,99</t>
  </si>
  <si>
    <t>96763</t>
  </si>
  <si>
    <t>TÊ, PPR, DN 90 MM, CLASSE PN 25,  INSTALADO EM RESERVAÇÃO DE ÁGUA DE EDIFICAÇÃO QUE POSSUA RESERVATÓRIO DE FIBRA/FIBROCIMENTO  FORNECIMENTO E INSTALAÇÃO. AF_06/2016</t>
  </si>
  <si>
    <t>142,69</t>
  </si>
  <si>
    <t>96764</t>
  </si>
  <si>
    <t>TÊ, PPR, DN 110 MM, CLASSE PN 25,  INSTALADO EM RESERVAÇÃO DE ÁGUA DE EDIFICAÇÃO QUE POSSUA RESERVATÓRIO DE FIBRA/FIBROCIMENTO  FORNECIMENTO E INSTALAÇÃO. AF_06/2016</t>
  </si>
  <si>
    <t>227,69</t>
  </si>
  <si>
    <t>96802</t>
  </si>
  <si>
    <t>KIT CHASSI PEX, PRÉ-FABRICADO, PARA CHUVEIRO COM REGISTROS DE PRESSÃO E CONEXÕES POR CRIMPAGEM  FORNECIMENTO E INSTALAÇÃO. AF_06/2015</t>
  </si>
  <si>
    <t>299,58</t>
  </si>
  <si>
    <t>96803</t>
  </si>
  <si>
    <t>KIT CHASSI PEX, PRÉ-FABRICADO, PARA COZINHA COM CUBA SIMPLES E CONEXÕES POR CRIMPAGEM  FORNECIMENTO E INSTALAÇÃO. AF_06/2015</t>
  </si>
  <si>
    <t>152,82</t>
  </si>
  <si>
    <t>96804</t>
  </si>
  <si>
    <t>KIT CHASSI PEX, PRÉ-FABRICADO, PARA ÁREA DE SERVIÇO COM TANQUE E MÁQUINA DE LAVAR ROUPA, E CONEXÕES POR CRIMPAGEM  FORNECIMENTO E INSTALAÇÃO. AF_06/2015</t>
  </si>
  <si>
    <t>270,69</t>
  </si>
  <si>
    <t>96805</t>
  </si>
  <si>
    <t>KIT CHASSI PEX, PRÉ-FABRICADO, PARA CHUVEIRO COM REGISTROS DE PRESSÃO E CONEXÕES POR ANEL DESLIZANTE  FORNECIMENTO E INSTALAÇÃO. AF_06/2015</t>
  </si>
  <si>
    <t>307,36</t>
  </si>
  <si>
    <t>96806</t>
  </si>
  <si>
    <t>KIT CHASSI PEX, PRÉ-FABRICADO, PARA COZINHA COM CUBA SIMPLES E CONEXÕES POR ANEL DESLIZANTE  FORNECIMENTO E INSTALAÇÃO. AF_06/2015</t>
  </si>
  <si>
    <t>146,97</t>
  </si>
  <si>
    <t>96807</t>
  </si>
  <si>
    <t>KIT CHASSI PEX, PRÉ-FABRICADO, PARA ÁREA DE SERVIÇO COM TANQUE E MÁQUINA DE LAVAR ROUPA, E CONEXÕES POR ANEL DESLIZANTE  FORNECIMENTO E INSTALAÇÃO. AF_06/2015</t>
  </si>
  <si>
    <t>243,27</t>
  </si>
  <si>
    <t>96808</t>
  </si>
  <si>
    <t>UNIÃO METÁLICA PARA INSTALAÇÕES EM PEX, DN 16 MM, FIXAÇÃO DAS CONEXÕES POR ANEL DESLIZANTE  FORNECIMENTO E INSTALAÇÃO . AF_06/2015</t>
  </si>
  <si>
    <t>96809</t>
  </si>
  <si>
    <t>CONEXÃO FIXA, ROSCA FÊMEA, METÁLICA, PARA INSTALAÇÕES EM PEX, DN 16 MM X 1/2", COM ANEL DESLIZANTE. FORNECIMENTO E INSTALAÇÃO. AF_06/2015</t>
  </si>
  <si>
    <t>15,04</t>
  </si>
  <si>
    <t>96810</t>
  </si>
  <si>
    <t>CONEXÃO MÓVEL, ROSCA FÊMEA, METÁLICA, PARA INSTALAÇÕES EM PEX, DN 16 MM X 3/4", COM ANEL DESLIZANTE. FORNECIMENTO E INSTALAÇÃO. AF_06/2015</t>
  </si>
  <si>
    <t>16,42</t>
  </si>
  <si>
    <t>96811</t>
  </si>
  <si>
    <t>UNIÃO METÁLICA PARA INSTALAÇÕES EM PEX, DN 20 MM, FIXAÇÃO DAS CONEXÕES POR ANEL DESLIZANTE  FORNECIMENTO E INSTALAÇÃO . AF_06/2015</t>
  </si>
  <si>
    <t>17,54</t>
  </si>
  <si>
    <t>96812</t>
  </si>
  <si>
    <t>CONEXÃO FIXA, ROSCA FÊMEA, METÁLICA, PARA INSTALAÇÕES EM PEX, DN 20 MM X 1/2", COM ANEL DESLIZANTE. FORNECIMENTO E INSTALAÇÃO. AF_06/2015</t>
  </si>
  <si>
    <t>96813</t>
  </si>
  <si>
    <t>CONEXÃO FIXA, ROSCA FÊMEA, METÁLICA, PARA INSTALAÇÕES EM PEX, DN 20 MM X 3/4", COM ANEL DESLIZANTE. FORNECIMENTO E INSTALAÇÃO. AF_06/2015</t>
  </si>
  <si>
    <t>19,56</t>
  </si>
  <si>
    <t>96814</t>
  </si>
  <si>
    <t>UNIÃO DE REDUÇÃO, METÁLICA, PARA INSTALAÇÕES EM PEX, DN 20 X 16 MM, CONEXÃO POR ANEL DESLIZANTE  FORNECIMENTO E INSTALAÇÃO. AF_06/2015</t>
  </si>
  <si>
    <t>16,35</t>
  </si>
  <si>
    <t>96815</t>
  </si>
  <si>
    <t>UNIÃO METÁLICA PARA INSTALAÇÕES EM PEX, DN 25 MM, FIXAÇÃO DAS CONEXÕES POR ANEL DESLIZANTE   FORNECIMENTO E INSTALAÇÃO. AF_06/2015</t>
  </si>
  <si>
    <t>28,16</t>
  </si>
  <si>
    <t>96816</t>
  </si>
  <si>
    <t>CONEXÃO FIXA, ROSCA FÊMEA, METÁLICA, PARA INSTALAÇÕES EM PEX, DN 25 MM X 3/4", COM ANEL DESLIZANTE. FORNECIMENTO E INSTALAÇÃO. AF_06/2015</t>
  </si>
  <si>
    <t>22,92</t>
  </si>
  <si>
    <t>96817</t>
  </si>
  <si>
    <t>CONEXÃO FIXA, ROSCA FÊMEA, METÁLICA, PARA INSTALAÇÕES EM PEX, DN 25 MM X 1", COM ANEL DESLIZANTE. FORNECIMENTO E INSTALAÇÃO. AF_06/2015</t>
  </si>
  <si>
    <t>96818</t>
  </si>
  <si>
    <t>UNIÃO DE REDUÇÃO, METÁLICA, PEX, DN 25 X 16 MM, CONEXÃO POR ANEL DESLIZANTE  FORNECIMENTO E INSTALAÇÃO. AF_06/2015</t>
  </si>
  <si>
    <t>24,36</t>
  </si>
  <si>
    <t>96819</t>
  </si>
  <si>
    <t>UNIÃO DE REDUÇÃO, METÁLICA, PEX, DN 25 X 20 MM, CONEXÃO POR ANEL DESLIZANTE  FORNECIMENTO E INSTALAÇÃO. AF_06/2015</t>
  </si>
  <si>
    <t>96820</t>
  </si>
  <si>
    <t>UNIÃO METÁLICA PARA INSTALAÇÕES EM PEX, DN 32 MM, FIXAÇÃO DAS CONEXÕES POR ANEL DESLIZANTE   FORNECIMENTO E INSTALAÇÃO. AF_06/2015</t>
  </si>
  <si>
    <t>45,12</t>
  </si>
  <si>
    <t>96821</t>
  </si>
  <si>
    <t>CONEXÃO FIXA, ROSCA FÊMEA, METÁLICA, PARA INSTALAÇÕES EM PEX, DN 32 MM X 1", COM ANEL DESLIZANTE  FORNECIMENTO E INSTALAÇÃO. AF_06/2015</t>
  </si>
  <si>
    <t>38,18</t>
  </si>
  <si>
    <t>96822</t>
  </si>
  <si>
    <t>UNIÃO DE REDUÇÃO, METÁLICA, PEX, DN 32 X 25 MM, CONEXÃO POR ANEL DESLIZANTE  FORNECIMENTO E INSTALAÇÃO. AF_06/2015</t>
  </si>
  <si>
    <t>38,72</t>
  </si>
  <si>
    <t>96823</t>
  </si>
  <si>
    <t>LUVA PARA INSTALAÇÕES EM PEX, DN 16 MM, CONEXÃO POR CRIMPAGEM  FORNECIMENTO E INSTALAÇÃO . AF_06/2015</t>
  </si>
  <si>
    <t>96824</t>
  </si>
  <si>
    <t>CONEXÃO FIXA, ROSCA FÊMEA, PARA INSTALAÇÕES EM PEX, DN 16MM X 1/2", CONEXÃO POR CRIMPAGEM  FORNECIMENTO E INSTALAÇÃO. AF_06/2015</t>
  </si>
  <si>
    <t>18,06</t>
  </si>
  <si>
    <t>96825</t>
  </si>
  <si>
    <t>CONEXÃO FIXA, ROSCA FÊMEA, PARA INSTALAÇÕES EM PEX, DN 16MM X 3/4", CONEXÃO POR CRIMPAGEM  FORNECIMENTO E INSTALAÇÃO. AF_06/2015</t>
  </si>
  <si>
    <t>96826</t>
  </si>
  <si>
    <t>LUVA PARA INSTALAÇÕES EM PEX, DN 20 MM, CONEXÃO POR CRIMPAGEM   FORNECIMENTO E INSTALAÇÃO. AF_06/2015</t>
  </si>
  <si>
    <t>22,23</t>
  </si>
  <si>
    <t>96827</t>
  </si>
  <si>
    <t>CONEXÃO FIXA, ROSCA FÊMEA, PARA INSTALAÇÕES EM PEX, DN 20MM X 1/2", CONEXÃO POR CRIMPAGEM  FORNECIMENTO E INSTALAÇÃO. AF_06/2015</t>
  </si>
  <si>
    <t>96828</t>
  </si>
  <si>
    <t>CONEXÃO FIXA, ROSCA FÊMEA, PARA INSTALAÇÕES EM PEX, DN 20MM X 3/4", CONEXÃO POR CRIMPAGEM  FORNECIMENTO E INSTALAÇÃO. AF_06/2015</t>
  </si>
  <si>
    <t>29,21</t>
  </si>
  <si>
    <t>96829</t>
  </si>
  <si>
    <t>LUVA DE REDUÇÃO PARA INSTALAÇÕES EM PEX, DN 20 X 16 MM, CONEXÃO POR CRIMPAGEM  FORNECIMENTO E INSTALAÇÃO. AF_06/2015</t>
  </si>
  <si>
    <t>96830</t>
  </si>
  <si>
    <t>LUVA PARA INSTALAÇÕES EM PEX, DN 25 MM, CONEXÃO POR CRIMPAGEM   FORNECIMENTO E INSTALAÇÃO. AF_06/2015</t>
  </si>
  <si>
    <t>96831</t>
  </si>
  <si>
    <t>CONEXÃO FIXA, ROSCA FÊMEA, PARA INSTALAÇÕES EM PEX, DN 25MM X 1/2", CONEXÃO POR CRIMPAGEM  FORNECIMENTO E INSTALAÇÃO. AF_06/2015</t>
  </si>
  <si>
    <t>26,28</t>
  </si>
  <si>
    <t>96832</t>
  </si>
  <si>
    <t>CONEXÃO FIXA, ROSCA FÊMEA, PARA INSTALAÇÕES EM PEX, DN 25MM X 3/4", CONEXÃO POR CRIMPAGEM  FORNECIMENTO E INSTALAÇÃO. AF_06/2015</t>
  </si>
  <si>
    <t>96833</t>
  </si>
  <si>
    <t>LUVA DE REDUÇÃO PARA INSTALAÇÕES EM PEX, DN 25 X 16 MM, CONEXÃO POR CRIMPAGEM  FORNECIMENTO E INSTALAÇÃO. AF_06/2015</t>
  </si>
  <si>
    <t>28,54</t>
  </si>
  <si>
    <t>96834</t>
  </si>
  <si>
    <t>LUVA PARA INSTALAÇÕES EM PEX, DN 32 MM, CONEXÃO POR CRIMPAGEM  FORNECIMENTO E INSTALAÇÃO . AF_06/2015</t>
  </si>
  <si>
    <t>47,57</t>
  </si>
  <si>
    <t>96835</t>
  </si>
  <si>
    <t>CONEXÃO FIXA, ROSCA FÊMEA, PARA INSTALAÇÕES EM PEX, DN 32 MM X 3/4", CONEXÃO POR CRIMPAGEM  FORNECIMENTO E INSTALAÇÃO. AF_06/2015</t>
  </si>
  <si>
    <t>40,96</t>
  </si>
  <si>
    <t>96836</t>
  </si>
  <si>
    <t>LUVA DE REDUÇÃO PARA INSTALAÇÕES EM PEX, DN 32 X 25 MM, CONEXÃO POR CRIMPAGEM  FORNECIMENTO E INSTALAÇÃO. AF_06/2015</t>
  </si>
  <si>
    <t>43,71</t>
  </si>
  <si>
    <t>96837</t>
  </si>
  <si>
    <t>JOELHO 90 GRAUS, METÁLICO, PARA INSTALAÇÕES EM PEX, DN 16 MM, CONEXÃO POR ANEL DESLIZANTE   FORNECIMENTO E INSTALAÇÃO. AF_06/2015</t>
  </si>
  <si>
    <t>22,95</t>
  </si>
  <si>
    <t>96838</t>
  </si>
  <si>
    <t>JOELHO 90 GRAUS, ROSCA FÊMEA TERMINAL, METÁLICO, PARA INSTALAÇÕES EM PEX, DN 16MM X 1/2", CONEXÃO POR ANEL DESLIZANTE  FORNECIMENTO E INSTALAÇÃO. AF_06/2015</t>
  </si>
  <si>
    <t>20,97</t>
  </si>
  <si>
    <t>96839</t>
  </si>
  <si>
    <t>JOELHO, ROSCA FÊMEA, COM BASE FIXA, METÁLICO, PARA INSTALAÇÕES EM PEX, DN 16MM X 1/2", CONEXÃO POR ANEL DESLIZANTE  FORNECIMENTO E INSTALAÇÃO. AF_06/2015</t>
  </si>
  <si>
    <t>20,62</t>
  </si>
  <si>
    <t>96840</t>
  </si>
  <si>
    <t>JOELHO 90 GRAUS, METÁLICO, PARA INSTALAÇÕES EM PEX, DN 20 MM, CONEXÃO POR ANEL DESLIZANTE  FORNECIMENTO E INSTALAÇÃO . AF_06/2015</t>
  </si>
  <si>
    <t>26,79</t>
  </si>
  <si>
    <t>96841</t>
  </si>
  <si>
    <t>JOELHO 90 GRAUS, ROSCA FÊMEA TERMINAL, METÁLICO, PARA INSTALAÇÕES EM PEX, DN 20 MM X 1/2", CONEXÃO POR ANEL DESLIZANTE  FORNECIMENTO E INSTALAÇÃO. AF_06/2015</t>
  </si>
  <si>
    <t>23,23</t>
  </si>
  <si>
    <t>96842</t>
  </si>
  <si>
    <t>JOELHO 90 GRAUS, ROSCA FÊMEA TERMINAL, METÁLICO, PARA INSTALAÇÕES EM PEX, DN 20 MM X 3/4", CONEXÃO POR ANEL DESLIZANTE  FORNECIMENTO E INSTALAÇÃO. AF_06/2015</t>
  </si>
  <si>
    <t>96843</t>
  </si>
  <si>
    <t>JOELHO ROSCA FÊMEA, COM BASE FIXA, METÁLICO, PARA INSTALAÇÕES EM PEX, DN 20MM X 1/2", CONEXÃO POR ANEL DESLIZANTE  FORNECIMENTO E INSTALAÇÃO. AF_06/2015</t>
  </si>
  <si>
    <t>28,82</t>
  </si>
  <si>
    <t>96844</t>
  </si>
  <si>
    <t>JOELHO ROSCA FÊMEA, MÓVEL, METÁLICO, PARA INSTALAÇÕES EM PEX, DN 20MM X 3/4", CONEXÃO POR ANEL DESLIZANTE  FORNECIMENTO E INSTALAÇÃO. AF_06/2015</t>
  </si>
  <si>
    <t>39,92</t>
  </si>
  <si>
    <t>96845</t>
  </si>
  <si>
    <t>JOELHO 90 GRAUS, METÁLICO, PARA INSTALAÇÕES EM PEX, DN 25 MM, CONEXÃO POR ANEL DESLIZANTE   FORNECIMENTO E INSTALAÇÃO. AF_06/2015</t>
  </si>
  <si>
    <t>42,54</t>
  </si>
  <si>
    <t>96846</t>
  </si>
  <si>
    <t>JOELHO 90 GRAUS, ROSCA FÊMEA TERMINAL, METÁLICO, PARA INSTALAÇÕES EM PEX, DN 25 MM X 3/4", CONEXÃO POR ANEL DESLIZANTE  FORNECIMENTO E INSTALAÇÃO. AF_06/2015</t>
  </si>
  <si>
    <t>33,06</t>
  </si>
  <si>
    <t>96847</t>
  </si>
  <si>
    <t>JOELHO ROSCA FÊMEA, COM BASE FIXA, METÁLICO, PARA INSTALAÇÕES EM PEX, DN 25MM X 3/4", CONEXÃO POR ANEL DESLIZANTE  FORNECIMENTO E INSTALAÇÃO. AF_06/2015</t>
  </si>
  <si>
    <t>36,53</t>
  </si>
  <si>
    <t>96848</t>
  </si>
  <si>
    <t>JOELHO 90 GRAUS, METÁLICO, PARA INSTALAÇÕES EM PEX, DN 32 MM, CONEXÃO POR ANEL DESLIZANTE  FORNECIMENTO E INSTALAÇÃO . AF_06/2015</t>
  </si>
  <si>
    <t>55,31</t>
  </si>
  <si>
    <t>96849</t>
  </si>
  <si>
    <t>JOELHO 90 GRAUS, PARA INSTALAÇÕES EM PEX, DN 16 MM, CONEXÃO POR CRIMPAGEM   FORNECIMENTO E INSTALAÇÃO. AF_06/2015</t>
  </si>
  <si>
    <t>96850</t>
  </si>
  <si>
    <t>JOELHO 90 GRAUS, ROSCA FÊMEA TERMINAL, PARA INSTALAÇÕES EM PEX, DN 16MM X 1/2", CONEXÃO POR CRIMPAGEM  FORNECIMENTO E INSTALAÇÃO. AF_06/2015</t>
  </si>
  <si>
    <t>23,44</t>
  </si>
  <si>
    <t>96851</t>
  </si>
  <si>
    <t>JOELHO 90 GRAUS, ROSCA FÊMEA TERMINAL, PARA INSTALAÇÕES EM PEX, DN 16MM X 3/4", CONEXÃO POR CRIMPAGEM  FORNECIMENTO E INSTALAÇÃO. AF_06/2015</t>
  </si>
  <si>
    <t>31,38</t>
  </si>
  <si>
    <t>96852</t>
  </si>
  <si>
    <t>JOELHO 90 GRAUS, PARA INSTALAÇÕES EM PEX, DN 20 MM, CONEXÃO POR CRIMPAGEM   FORNECIMENTO E INSTALAÇÃO. AF_06/2015</t>
  </si>
  <si>
    <t>96853</t>
  </si>
  <si>
    <t>JOELHO 90 GRAUS, ROSCA FÊMEA TERMINAL, PARA INSTALAÇÕES EM PEX, DN 20MM X 1/2", CONEXÃO POR CRIMPAGEM  FORNECIMENTO E INSTALAÇÃO. AF_06/2015</t>
  </si>
  <si>
    <t>30,08</t>
  </si>
  <si>
    <t>96854</t>
  </si>
  <si>
    <t>JOELHO 90 GRAUS, ROSCA FÊMEA TERMINAL, PARA INSTALAÇÕES EM PEX, DN 20MM X 3/4", CONEXÃO POR CRIMPAGEM  FORNECIMENTO E INSTALAÇÃO. AF_06/2015</t>
  </si>
  <si>
    <t>96855</t>
  </si>
  <si>
    <t>JOELHO 90 GRAUS, PARA INSTALAÇÕES EM PEX, DN 25 MM, CONEXÃO POR CRIMPAGEM   FORNECIMENTO E INSTALAÇÃO. AF_06/2015</t>
  </si>
  <si>
    <t>33,11</t>
  </si>
  <si>
    <t>96856</t>
  </si>
  <si>
    <t>JOELHO 90 GRAUS, ROSCA FÊMEA TERMINAL, PARA INSTALAÇÕES EM PEX, DN 25MM X 1/2", CONEXÃO POR CRIMPAGEM  FORNECIMENTO E INSTALAÇÃO. AF_06/2015</t>
  </si>
  <si>
    <t>33,62</t>
  </si>
  <si>
    <t>96857</t>
  </si>
  <si>
    <t>JOELHO 90 GRAUS, ROSCA FÊMEA TERMINAL, PARA INSTALAÇÕES EM PEX, DN 25MM X 1, CONEXÃO POR CRIMPAGEM  FORNECIMENTO E INSTALAÇÃO. AF_06/2015</t>
  </si>
  <si>
    <t>54,41</t>
  </si>
  <si>
    <t>96858</t>
  </si>
  <si>
    <t>JOELHO 90 GRAUS, PARA INSTALAÇÕES EM PEX, DN 32 MM, CONEXÃO POR CRIMPAGEM   FORNECIMENTO E INSTALAÇÃO. AF_06/2015</t>
  </si>
  <si>
    <t>54,68</t>
  </si>
  <si>
    <t>96859</t>
  </si>
  <si>
    <t>JOELHO 90 GRAUS, ROSCA FÊMEA TERMINAL, PARA INSTALAÇÕES EM PEX, DN 32 MM X 1", CONEXÃO POR CRIMPAGEM  FORNECIMENTO E INSTALAÇÃO. AF_06/2015</t>
  </si>
  <si>
    <t>68,18</t>
  </si>
  <si>
    <t>96860</t>
  </si>
  <si>
    <t>TÊ, METÁLICO, PARA INSTALAÇÕES EM PEX, DN 16 MM, CONEXÃO POR ANEL DESLIZANTE  FORNECIMENTO E INSTALAÇÃO. AF_06/2015</t>
  </si>
  <si>
    <t>26,41</t>
  </si>
  <si>
    <t>96861</t>
  </si>
  <si>
    <t>TÊ, ROSCA FÊMEA, METÁLICO, PARA INSTALAÇÕES EM PEX, DN 16 MM X ½, CONEXÃO POR ANEL DESLIZANTE   FORNECIMENTO E INSTALAÇÃO. AF_06/2015</t>
  </si>
  <si>
    <t>28,65</t>
  </si>
  <si>
    <t>96862</t>
  </si>
  <si>
    <t>TÊ, METÁLICO, PARA INSTALAÇÕES EM PEX, DN 20 MM, CONEXÃO POR ANEL DESLIZANTE  FORNECIMENTO E INSTALAÇÃO. AF_06/2015</t>
  </si>
  <si>
    <t>31,85</t>
  </si>
  <si>
    <t>96863</t>
  </si>
  <si>
    <t>TÊ, ROSCA FÊMEA, METÁLICO, PARA INSTALAÇÕES EM PEX, DN 20 MM X ½, CONEXÃO POR ANEL DESLIZANTE   FORNECIMENTO E INSTALAÇÃO. AF_06/2015</t>
  </si>
  <si>
    <t>96864</t>
  </si>
  <si>
    <t>TÊ, METÁLICO, PARA INSTALAÇÕES EM PEX, DN 25 MM, CONEXÃO POR ANEL DESLIZANTE  FORNECIMENTO E INSTALAÇÃO. AF_06/2015</t>
  </si>
  <si>
    <t>50,70</t>
  </si>
  <si>
    <t>96865</t>
  </si>
  <si>
    <t>TÊ, ROSCA FÊMEA, METÁLICO, PARA INSTALAÇÕES EM PEX, DN 25 MM X 3/4", CONEXÃO POR ANEL DESLIZANTE  FORNECIMENTO E INSTALAÇÃO. AF_06/2015</t>
  </si>
  <si>
    <t>49,60</t>
  </si>
  <si>
    <t>96866</t>
  </si>
  <si>
    <t>TÊ, METÁLICO, PARA INSTALAÇÕES EM PEX, DN 32 MM, CONEXÃO POR ANEL DESLIZANTE  FORNECIMENTO E INSTALAÇÃO. AF_06/2015</t>
  </si>
  <si>
    <t>66,86</t>
  </si>
  <si>
    <t>96867</t>
  </si>
  <si>
    <t>TÊ, ROSCA MACHO, METÁLICO, PARA INSTALAÇÕES EM PEX, DN 32 MM X 1", CONEXÃO POR ANEL DESLIZANTE  FORNECIMENTO E INSTALAÇÃO. AF_06/2015</t>
  </si>
  <si>
    <t>78,20</t>
  </si>
  <si>
    <t>96868</t>
  </si>
  <si>
    <t>TÊ, PARA INSTALAÇÕES EM PEX, DN 16 MM, CONEXÃO POR CRIMPAGEM  FORNECIMENTO E INSTALAÇÃO. AF_06/2015</t>
  </si>
  <si>
    <t>31,04</t>
  </si>
  <si>
    <t>96869</t>
  </si>
  <si>
    <t>TÊ, PARA INSTALAÇÕES EM PEX, DN 20 MM, CONEXÃO POR CRIMPAGEM  FORNECIMENTO E INSTALAÇÃO. AF_06/2015</t>
  </si>
  <si>
    <t>37,10</t>
  </si>
  <si>
    <t>96870</t>
  </si>
  <si>
    <t>TÊ, PEX, DN 25 MM, CONEXÃO POR CRIMPAGEM  FORNECIMENTO E INSTALAÇÃO. AF_06/2015</t>
  </si>
  <si>
    <t>96871</t>
  </si>
  <si>
    <t>TÊ, PARA INSTALAÇÕES EM PEX, DN 32 MM, CONEXÃO POR CRIMPAGEM  FORNECIMENTO E INSTALAÇÃO. AF_06/2015</t>
  </si>
  <si>
    <t>86,27</t>
  </si>
  <si>
    <t>96872</t>
  </si>
  <si>
    <t>DISTRIBUIDOR 2 SAÍDAS, METÁLICO, PARA INSTALAÇÕES EM PEX, ENTRADA DE 3/4" X 2 SAÍDAS DE 1/2", CONEXÃO POR ANEL DESLIZANTE  FORNECIMENTO E INSTALAÇÃO. AF_06/2015</t>
  </si>
  <si>
    <t>77,23</t>
  </si>
  <si>
    <t>96873</t>
  </si>
  <si>
    <t>DISTRIBUIDOR 2 SAÍDAS, METÁLICO, PARA INSTALAÇÕES EM PEX, ENTRADA DE 1" X 2 SAÍDAS DE 1/2", CONEXÃO POR ANEL DESLIZANTE  FORNECIMENTO E INSTALAÇÃO. AF_06/2015</t>
  </si>
  <si>
    <t>89,74</t>
  </si>
  <si>
    <t>96874</t>
  </si>
  <si>
    <t>DISTRIBUIDOR 3 SAÍDAS, METÁLICO, PARA INSTALAÇÕES EM PEX, ENTRADA DE 3/4" X 3 SAÍDAS DE 1/2", CONEXÃO POR ANEL DESLIZANTE  FORNECIMENTO E INSTALAÇÃO . AF_06/2015</t>
  </si>
  <si>
    <t>93,76</t>
  </si>
  <si>
    <t>96875</t>
  </si>
  <si>
    <t>DISTRIBUIDOR 3 SAÍDAS, METÁLICO, PARA INSTALAÇÕES EM PEX, ENTRADA DE 1 X 3 SAÍDAS DE 1/2, CONEXÃO POR ANEL DESLIZANTE   FORNECIMENTO E INSTALAÇÃO. AF_06/2015</t>
  </si>
  <si>
    <t>113,88</t>
  </si>
  <si>
    <t>96876</t>
  </si>
  <si>
    <t>DISTRIBUIDOR 2 SAÍDAS, PARA INSTALAÇÕES EM PEX, ENTRADA DE 32 MM X 2 SAÍDAS DE 16 MM, CONEXÃO POR CRIMPAGEM FORNECIMENTO E INSTALAÇÃO. AF_06/2015</t>
  </si>
  <si>
    <t>206,87</t>
  </si>
  <si>
    <t>96877</t>
  </si>
  <si>
    <t>DISTRIBUIDOR 2 SAÍDAS, PARA INSTALAÇÕES EM PEX, ENTRADA DE 32 MM X 2 SAÍDAS DE 20 MM, CONEXÃO POR CRIMPAGEM  FORNECIMENTO E INSTALAÇÃO. AF_06/2015</t>
  </si>
  <si>
    <t>96878</t>
  </si>
  <si>
    <t>DISTRIBUIDOR 2 SAÍDAS, PARA INSTALAÇÕES EM PEX, ENTRADA DE 32 MM X 2 SAÍDAS DE 25 MM, CONEXÃO POR CRIMPAGEM  FORNECIMENTO E INSTALAÇÃO. AF_06/2015</t>
  </si>
  <si>
    <t>224,20</t>
  </si>
  <si>
    <t>96879</t>
  </si>
  <si>
    <t>DISTRIBUIDOR 3 SAÍDAS, PARA INSTALAÇÕES EM PEX, ENTRADA DE 32 MM X 3 SAÍDAS DE 16 MM, CONEXÃO POR CRIMPAGEM  FORNECIMENTO E INSTALAÇÃO. AF_06/2015</t>
  </si>
  <si>
    <t>224,21</t>
  </si>
  <si>
    <t>96880</t>
  </si>
  <si>
    <t>DISTRIBUIDOR 3 SAÍDAS, PARA INSTALAÇÕES EM PEX, ENTRADA DE 32 MM X 3 SAÍDAS DE 20 MM, CONEXÃO POR CRIMPAGEM  FORNECIMENTO E INSTALAÇÃO. AF_06/2015</t>
  </si>
  <si>
    <t>256,91</t>
  </si>
  <si>
    <t>96881</t>
  </si>
  <si>
    <t>DISTRIBUIDOR 3 SAÍDAS, PARA INSTALAÇÕES EM PEX, ENTRADA DE 32 MM X 3 SAÍDAS DE 25 MM, CONEXÃO POR CRIMPAGEM  FORNECIMENTO E INSTALAÇÃO. AF_06/2015</t>
  </si>
  <si>
    <t>271,72</t>
  </si>
  <si>
    <t>97425</t>
  </si>
  <si>
    <t>FLANGE EM AÇO, DN 15 MM X 1/2'', INSTALADO EM RESERVAÇÃO DE ÁGUA DE EDIFICAÇÃO QUE POSSUA RESERVATÓRIO DE FIBRA/FIBROCIMENTO - FORNECIMENTO E INSTALAÇÃO. AF_06/2016</t>
  </si>
  <si>
    <t>25,02</t>
  </si>
  <si>
    <t>97426</t>
  </si>
  <si>
    <t>FLANGE EM AÇO, DN 20 MM X 3/4'', INSTALADO EM RESERVAÇÃO DE ÁGUA DE EDIFICAÇÃO QUE POSSUA RESERVATÓRIO DE FIBRA/FIBROCIMENTO - FORNECIMENTO E INSTALAÇÃO. AF_06/2016</t>
  </si>
  <si>
    <t>30,33</t>
  </si>
  <si>
    <t>97427</t>
  </si>
  <si>
    <t>FLANGE EM AÇO, DN 25 MM X 1'', INSTALADO EM RESERVAÇÃO DE ÁGUA DE EDIFICAÇÃO QUE POSSUA RESERVATÓRIO DE FIBRA/FIBROCIMENTO - FORNECIMENTO E INSTALAÇÃO. AF_06/2016</t>
  </si>
  <si>
    <t>97428</t>
  </si>
  <si>
    <t>FLANGE EM AÇO, DN 32 MM X 1 1/4'', INSTALADO EM RESERVAÇÃO DE ÁGUA DE EDIFICAÇÃO QUE POSSUA RESERVATÓRIO DE FIBRA/FIBROCIMENTO - FORNECIMENTO E INSTALAÇÃO. AF_06/2016</t>
  </si>
  <si>
    <t>43,67</t>
  </si>
  <si>
    <t>97429</t>
  </si>
  <si>
    <t>FLANGE EM AÇO, DN 40 MM X 1 1/2'', INSTALADO EM RESERVAÇÃO DE ÁGUA DE EDIFICAÇÃO QUE POSSUA RESERVATÓRIO DE FIBRA/FIBROCIMENTO - FORNECIMENTO E INSTALAÇÃO. AF_06/2016</t>
  </si>
  <si>
    <t>52,25</t>
  </si>
  <si>
    <t>97430</t>
  </si>
  <si>
    <t>ACOPLAMENTO RÍGIDO EM AÇO, CONEXÃO RANHURADA, DN 50 (2"), INSTALADO EM PRUMADAS - FORNECIMENTO E INSTALAÇÃO. AF_10/2020</t>
  </si>
  <si>
    <t>44,81</t>
  </si>
  <si>
    <t>97431</t>
  </si>
  <si>
    <t>ACOPLAMENTO RÍGIDO EM AÇO, CONEXÃO RANHURADA, DN 65 (2 1/2"), INSTALADO EM PRUMADAS - FORNECIMENTO E INSTALAÇÃO. AF_10/2020</t>
  </si>
  <si>
    <t>49,63</t>
  </si>
  <si>
    <t>97432</t>
  </si>
  <si>
    <t>ACOPLAMENTO RÍGIDO EM AÇO, CONEXÃO RANHURADA, DN 80 (3"), INSTALADO EM PRUMADAS - FORNECIMENTO E INSTALAÇÃO. AF_10/2020</t>
  </si>
  <si>
    <t>55,93</t>
  </si>
  <si>
    <t>97433</t>
  </si>
  <si>
    <t>CURVA 45 GRAUS, EM AÇO, CONEXÃO RANHURADA, DN 50 (2"), INSTALADO EM PRUMADAS - FORNECIMENTO E INSTALAÇÃO. AF_10/2020</t>
  </si>
  <si>
    <t>109,44</t>
  </si>
  <si>
    <t>97434</t>
  </si>
  <si>
    <t>CURVA 90 GRAUS, EM AÇO, CONEXÃO RANHURADA, DN 50 (2"), INSTALADO EM PRUMADAS - FORNECIMENTO E INSTALAÇÃO. AF_10/2020</t>
  </si>
  <si>
    <t>111,76</t>
  </si>
  <si>
    <t>97435</t>
  </si>
  <si>
    <t>CURVA 45 GRAUS, EM AÇO, CONEXÃO RANHURADA, DN 65 (2 1/2"), INSTALADO EM PRUMADAS - FORNECIMENTO E INSTALAÇÃO. AF_10/2020</t>
  </si>
  <si>
    <t>128,25</t>
  </si>
  <si>
    <t>97436</t>
  </si>
  <si>
    <t>CURVA 90 GRAUS, EM AÇO, CONEXÃO RANHURADA, DN 65 (2 1/2"), INSTALADO EM PRUMADAS - FORNECIMENTO E INSTALAÇÃO. AF_10/2020</t>
  </si>
  <si>
    <t>132,69</t>
  </si>
  <si>
    <t>97437</t>
  </si>
  <si>
    <t>CURVA 45 GRAUS, EM AÇO, CONEXÃO RANHURADA, DN 80 (3), INSTALADO EM PRUMADAS - FORNECIMENTO E INSTALAÇÃO. AF_10/2020</t>
  </si>
  <si>
    <t>146,92</t>
  </si>
  <si>
    <t>97438</t>
  </si>
  <si>
    <t>CURVA 90 GRAUS, EM AÇO, CONEXÃO RANHURADA, DN 80 (3"), INSTALADO EM PRUMADAS - FORNECIMENTO E INSTALAÇÃO. AF_10/2020</t>
  </si>
  <si>
    <t>151,68</t>
  </si>
  <si>
    <t>97439</t>
  </si>
  <si>
    <t>TÊ, EM AÇO, CONEXÃO RANHURADA, DN 50 (2"), INSTALADO EM PRUMADAS - FORNECIMENTO E INSTALAÇÃO. AF_10/2020</t>
  </si>
  <si>
    <t>168,08</t>
  </si>
  <si>
    <t>97440</t>
  </si>
  <si>
    <t>TÊ, EM AÇO, CONEXÃO RANHURADA, DN 65 (2 1/2"), INSTALADO EM PRUMADAS - FORNECIMENTO E INSTALAÇÃO. AF_10/2020</t>
  </si>
  <si>
    <t>202,34</t>
  </si>
  <si>
    <t>97442</t>
  </si>
  <si>
    <t>TÊ, EM AÇO, CONEXÃO RANHURADA, DN 80 (3"), INSTALADO EM PRUMADAS - FORNECIMENTO E INSTALAÇÃO. AF_10/2020</t>
  </si>
  <si>
    <t>223,03</t>
  </si>
  <si>
    <t>97443</t>
  </si>
  <si>
    <t>LUVA, EM AÇO, CONEXÃO SOLDADA, DN 50 (2"), INSTALADO EM PRUMADAS - FORNECIMENTO E INSTALAÇÃO. AF_10/2020</t>
  </si>
  <si>
    <t>109,57</t>
  </si>
  <si>
    <t>97444</t>
  </si>
  <si>
    <t>LUVA COM REDUÇÃO, EM AÇO, CONEXÃO SOLDADA, DN 50 X 40 MM (2  X 1 1/2"), INSTALADO EM PRUMADAS - FORNECIMENTO E INSTALAÇÃO. AF_10/2020</t>
  </si>
  <si>
    <t>130,45</t>
  </si>
  <si>
    <t>97446</t>
  </si>
  <si>
    <t>LUVA, EM AÇO, CONEXÃO SOLDADA, DN 65 (2 1/2"), INSTALADO EM PRUMADAS - FORNECIMENTO E INSTALAÇÃO. AF_10/2020</t>
  </si>
  <si>
    <t>230,77</t>
  </si>
  <si>
    <t>97447</t>
  </si>
  <si>
    <t>LUVA COM REDUÇÃO, EM AÇO, CONEXÃO SOLDADA, DN 65 X 50 MM (2 1/2" X 2"), INSTALADO EM PRUMADAS - FORNECIMENTO E INSTALAÇÃO. AF_10/2020</t>
  </si>
  <si>
    <t>97449</t>
  </si>
  <si>
    <t>LUVA, EM AÇO, CONEXÃO SOLDADA, DN 80 (3"), INSTALADO EM PRUMADAS - FORNECIMENTO E INSTALAÇÃO. AF_10/2020</t>
  </si>
  <si>
    <t>245,40</t>
  </si>
  <si>
    <t>97450</t>
  </si>
  <si>
    <t>LUVA COM REDUÇÃO, EM AÇO, CONEXÃO SOLDADA, DN 80 X 65 MM (3" X 2 1/2"), INSTALADO EM PRUMADAS - FORNECIMENTO E INSTALAÇÃO. AF_10/2020</t>
  </si>
  <si>
    <t>302,27</t>
  </si>
  <si>
    <t>97452</t>
  </si>
  <si>
    <t>CURVA 45 GRAUS, EM AÇO, CONEXÃO SOLDADA, DN 50 (2"), INSTALADO EM PRUMADAS - FORNECIMENTO E INSTALAÇÃO. AF_10/2020</t>
  </si>
  <si>
    <t>181,55</t>
  </si>
  <si>
    <t>97453</t>
  </si>
  <si>
    <t>CURVA 90 GRAUS, EM AÇO, CONEXÃO SOLDADA, DN 50 (2"), INSTALADO EM PRUMADAS - FORNECIMENTO E INSTALAÇÃO. AF_10/2020</t>
  </si>
  <si>
    <t>193,47</t>
  </si>
  <si>
    <t>97454</t>
  </si>
  <si>
    <t>CURVA 45 GRAUS, EM AÇO, CONEXÃO SOLDADA, DN 65 (2 1/2"), INSTALADO EM PRUMADAS - FORNECIMENTO E INSTALAÇÃO. AF_10/2020</t>
  </si>
  <si>
    <t>316,21</t>
  </si>
  <si>
    <t>97455</t>
  </si>
  <si>
    <t>CURVA 90 GRAUS, EM AÇO, CONEXÃO SOLDADA, DN 65 (2 1/2"), INSTALADO EM PRUMADAS - FORNECIMENTO E INSTALAÇÃO. AF_10/2020</t>
  </si>
  <si>
    <t>335,27</t>
  </si>
  <si>
    <t>97456</t>
  </si>
  <si>
    <t>CURVA 45 GRAUS, EM AÇO, CONEXÃO SOLDADA, DN 80 (3"), INSTALADO EM PRUMADAS - FORNECIMENTO E INSTALAÇÃO. AF_10/2020</t>
  </si>
  <si>
    <t>732,15</t>
  </si>
  <si>
    <t>97457</t>
  </si>
  <si>
    <t>CURVA 90 GRAUS, EM AÇO, CONEXÃO SOLDADA, DN 80 (3"), INSTALADO EM PRUMADAS - FORNECIMENTO E INSTALAÇÃO. AF_10/2020</t>
  </si>
  <si>
    <t>646,62</t>
  </si>
  <si>
    <t>97458</t>
  </si>
  <si>
    <t>TÊ, EM AÇO, CONEXÃO SOLDADA, DN 50 (2"), INSTALADO EM PRUMADAS - FORNECIMENTO E INSTALAÇÃO. AF_10/2020</t>
  </si>
  <si>
    <t>289,92</t>
  </si>
  <si>
    <t>97459</t>
  </si>
  <si>
    <t>TÊ, EM AÇO, CONEXÃO SOLDADA, DN 65 (2 1/2"), INSTALADO EM PRUMADAS - FORNECIMENTO E INSTALAÇÃO. AF_10/2020</t>
  </si>
  <si>
    <t>507,18</t>
  </si>
  <si>
    <t>97460</t>
  </si>
  <si>
    <t>TÊ, EM AÇO, CONEXÃO SOLDADA, DN 80 (3"), INSTALADO EM PRUMADAS - FORNECIMENTO E INSTALAÇÃO. AF_10/2020</t>
  </si>
  <si>
    <t>787,46</t>
  </si>
  <si>
    <t>97461</t>
  </si>
  <si>
    <t>LUVA, EM AÇO, CONEXÃO SOLDADA, DN 25 (1"), INSTALADO EM REDE DE ALIMENTAÇÃO PARA HIDRANTE - FORNECIMENTO E INSTALAÇÃO. AF_10/2020</t>
  </si>
  <si>
    <t>97462</t>
  </si>
  <si>
    <t>LUVA COM REDUÇÃO, EM AÇO, CONEXÃO SOLDADA, DN 25 X 20 MM (1  X 3/4"), INSTALADO EM REDE DE ALIMENTAÇÃO PARA HIDRANTE - FORNECIMENTO E INSTALAÇÃO. AF_10/2020</t>
  </si>
  <si>
    <t>97464</t>
  </si>
  <si>
    <t>LUVA, EM AÇO, CONEXÃO SOLDADA, DN 32 (1 1/4"), INSTALADO EM REDE DE ALIMENTAÇÃO PARA HIDRANTE - FORNECIMENTO E INSTALAÇÃO. AF_10/2020</t>
  </si>
  <si>
    <t>97465</t>
  </si>
  <si>
    <t>LUVA COM REDUÇÃO, EM AÇO, CONEXÃO SOLDADA, DN 32 X 25 MM (1 1/4"  X 1"), INSTALADO EM REDE DE ALIMENTAÇÃO PARA HIDRANTE - FORNECIMENTO E INSTALAÇÃO. AF_10/2020</t>
  </si>
  <si>
    <t>60,65</t>
  </si>
  <si>
    <t>97467</t>
  </si>
  <si>
    <t>LUVA, EM AÇO, CONEXÃO SOLDADA, DN 40 (1 1/2"), INSTALADO EM REDE DE ALIMENTAÇÃO PARA HIDRANTE - FORNECIMENTO E INSTALAÇÃO. AF_10/2020</t>
  </si>
  <si>
    <t>63,93</t>
  </si>
  <si>
    <t>97468</t>
  </si>
  <si>
    <t>LUVA COM REDUÇÃO, EM AÇO, CONEXÃO SOLDADA, DN 40  X 32 MM (1 1/2" X 1 1/4"), INSTALADO EM REDE DE ALIMENTAÇÃO PARA HIDRANTE - FORNECIMENTO E INSTALAÇÃO. AF_10/2020</t>
  </si>
  <si>
    <t>77,14</t>
  </si>
  <si>
    <t>97470</t>
  </si>
  <si>
    <t>LUVA, EM AÇO, CONEXÃO SOLDADA, DN 50 (2"), INSTALADO EM REDE DE ALIMENTAÇÃO PARA HIDRANTE - FORNECIMENTO E INSTALAÇÃO. AF_10/2020</t>
  </si>
  <si>
    <t>95,28</t>
  </si>
  <si>
    <t>97471</t>
  </si>
  <si>
    <t>LUVA COM REDUÇÃO, EM AÇO, CONEXÃO SOLDADA, DN 50 X 40 MM (2" X 1 1/2"), INSTALADO EM REDE DE ALIMENTAÇÃO PARA HIDRANTE - FORNECIMENTO E INSTALAÇÃO. AF_10/2020</t>
  </si>
  <si>
    <t>116,16</t>
  </si>
  <si>
    <t>97474</t>
  </si>
  <si>
    <t>LUVA, EM AÇO, CONEXÃO SOLDADA, DN 65 (2 1/2"), INSTALADO EM REDE DE ALIMENTAÇÃO PARA HIDRANTE - FORNECIMENTO E INSTALAÇÃO. AF_10/2020</t>
  </si>
  <si>
    <t>176,70</t>
  </si>
  <si>
    <t>97475</t>
  </si>
  <si>
    <t>LUVA COM REDUÇÃO, EM AÇO, CONEXÃO SOLDADA, DN 65 X 50 MM (2 1/2" X 2"), INSTALADO EM REDE DE ALIMENTAÇÃO PARA HIDRANTE - FORNECIMENTO E INSTALAÇÃO. AF_10/2020</t>
  </si>
  <si>
    <t>218,92</t>
  </si>
  <si>
    <t>97477</t>
  </si>
  <si>
    <t>LUVA, EM AÇO, CONEXÃO SOLDADA, DN 80 (3"), INSTALADO EM REDE DE ALIMENTAÇÃO PARA HIDRANTE - FORNECIMENTO E INSTALAÇÃO. AF_10/2020</t>
  </si>
  <si>
    <t>235,98</t>
  </si>
  <si>
    <t>97478</t>
  </si>
  <si>
    <t>LUVA COM REDUÇÃO, EM AÇO, CONEXÃO SOLDADA, DN 80 X 65 MM (3" X 2 1/2"), INSTALADO EM REDE DE ALIMENTAÇÃO PARA HIDRANTE - FORNECIMENTO E INSTALAÇÃO. AF_10/2020</t>
  </si>
  <si>
    <t>292,85</t>
  </si>
  <si>
    <t>97479</t>
  </si>
  <si>
    <t>CURVA 45 GRAUS, EM AÇO, CONEXÃO SOLDADA, DN 25 (1"), INSTALADO EM REDE DE ALIMENTAÇÃO PARA HIDRANTE - FORNECIMENTO E INSTALAÇÃO. AF_10/2020</t>
  </si>
  <si>
    <t>56,25</t>
  </si>
  <si>
    <t>97480</t>
  </si>
  <si>
    <t>CURVA 90 GRAUS, EM AÇO, CONEXÃO SOLDADA, DN 25 (1"), INSTALADO EM REDE DE ALIMENTAÇÃO PARA HIDRANTE - FORNECIMENTO E INSTALAÇÃO. AF_10/2020</t>
  </si>
  <si>
    <t>97481</t>
  </si>
  <si>
    <t>CURVA 45 GRAUS, EM AÇO, CONEXÃO SOLDADA, DN 32 (1 1/4"), INSTALADO EM REDE DE ALIMENTAÇÃO PARA HIDRANTE - FORNECIMENTO E INSTALAÇÃO. AF_10/2020</t>
  </si>
  <si>
    <t>82,09</t>
  </si>
  <si>
    <t>97482</t>
  </si>
  <si>
    <t>CURVA 90 GRAUS, EM AÇO, CONEXÃO SOLDADA, DN 32 (1 1/4"), INSTALADO EM REDE DE ALIMENTAÇÃO PARA HIDRANTE - FORNECIMENTO E INSTALAÇÃO. AF_10/2020</t>
  </si>
  <si>
    <t>97483</t>
  </si>
  <si>
    <t>CURVA 45 GRAUS, EM AÇO, CONEXÃO SOLDADA, DN 40 (1 1/2"), INSTALADO EM REDE DE ALIMENTAÇÃO PARA HIDRANTE - FORNECIMENTO E INSTALAÇÃO. AF_10/2020</t>
  </si>
  <si>
    <t>115,62</t>
  </si>
  <si>
    <t>97484</t>
  </si>
  <si>
    <t>CURVA 90 GRAUS, EM AÇO, CONEXÃO SOLDADA, DN 40 (1 1/2"), INSTALADO EM REDE DE ALIMENTAÇÃO PARA HIDRANTE - FORNECIMENTO E INSTALAÇÃO. AF_10/2020</t>
  </si>
  <si>
    <t>97485</t>
  </si>
  <si>
    <t>CURVA 45 GRAUS, EM AÇO, CONEXÃO SOLDADA, DN 50 (2"), INSTALADO EM REDE DE ALIMENTAÇÃO PARA HIDRANTE - FORNECIMENTO E INSTALAÇÃO. AF_10/2020</t>
  </si>
  <si>
    <t>160,16</t>
  </si>
  <si>
    <t>97486</t>
  </si>
  <si>
    <t>CURVA 90 GRAUS, EM AÇO, CONEXÃO SOLDADA, DN 50 (2"), INSTALADO EM REDE DE ALIMENTAÇÃO PARA HIDRANTE - FORNECIMENTO E INSTALAÇÃO. AF_10/2020</t>
  </si>
  <si>
    <t>97487</t>
  </si>
  <si>
    <t>CURVA 45 GRAUS, EM AÇO, CONEXÃO SOLDADA, DN 65 (2 1/2"), INSTALADO EM REDE DE ALIMENTAÇÃO PARA HIDRANTE - FORNECIMENTO E INSTALAÇÃO. AF_10/2020</t>
  </si>
  <si>
    <t>298,46</t>
  </si>
  <si>
    <t>97488</t>
  </si>
  <si>
    <t>CURVA 90 GRAUS, EM AÇO, CONEXÃO SOLDADA, DN 65 (2 1/2"), INSTALADO EM REDE DE ALIMENTAÇÃO PARA HIDRANTE - FORNECIMENTO E INSTALAÇÃO. AF_10/2020</t>
  </si>
  <si>
    <t>317,52</t>
  </si>
  <si>
    <t>97489</t>
  </si>
  <si>
    <t>CURVA 45 GRAUS, EM AÇO, CONEXÃO SOLDADA, DN 80 (3"), INSTALADO EM REDE DE ALIMENTAÇÃO PARA HIDRANTE - FORNECIMENTO E INSTALAÇÃO. AF_10/2020</t>
  </si>
  <si>
    <t>718,00</t>
  </si>
  <si>
    <t>97490</t>
  </si>
  <si>
    <t>CURVA 90 GRAUS, EM AÇO, CONEXÃO SOLDADA, DN 80 (3"), INSTALADO EM REDE DE ALIMENTAÇÃO PARA HIDRANTE - FORNECIMENTO E INSTALAÇÃO. AF_10/2020</t>
  </si>
  <si>
    <t>632,47</t>
  </si>
  <si>
    <t>97491</t>
  </si>
  <si>
    <t>TÊ, EM AÇO, CONEXÃO SOLDADA, DN 25 (1"), INSTALADO EM REDE DE ALIMENTAÇÃO PARA HIDRANTE - FORNECIMENTO E INSTALAÇÃO. AF_10/2020</t>
  </si>
  <si>
    <t>97492</t>
  </si>
  <si>
    <t>TÊ, EM AÇO, CONEXÃO SOLDADA, DN 32 (1 1/4"), INSTALADO EM REDE DE ALIMENTAÇÃO PARA HIDRANTE - FORNECIMENTO E INSTALAÇÃO. AF_10/2020</t>
  </si>
  <si>
    <t>129,38</t>
  </si>
  <si>
    <t>97493</t>
  </si>
  <si>
    <t>TÊ, EM AÇO, CONEXÃO SOLDADA, DN 40 (1 1/2"), INSTALADO EM REDE DE ALIMENTAÇÃO PARA HIDRANTE - FORNECIMENTO E INSTALAÇÃO. AF_10/2020</t>
  </si>
  <si>
    <t>167,08</t>
  </si>
  <si>
    <t>97494</t>
  </si>
  <si>
    <t>TÊ, EM AÇO, CONEXÃO SOLDADA, DN 50 (2"), INSTALADO EM REDE DE ALIMENTAÇÃO PARA HIDRANTE - FORNECIMENTO E INSTALAÇÃO. AF_10/2020</t>
  </si>
  <si>
    <t>261,35</t>
  </si>
  <si>
    <t>97495</t>
  </si>
  <si>
    <t>TÊ, EM AÇO, CONEXÃO SOLDADA, DN 65 (2 1/2"), INSTALADO EM REDE DE ALIMENTAÇÃO PARA HIDRANTE - FORNECIMENTO E INSTALAÇÃO. AF_10/2020</t>
  </si>
  <si>
    <t>483,47</t>
  </si>
  <si>
    <t>97496</t>
  </si>
  <si>
    <t>TÊ, EM AÇO, CONEXÃO SOLDADA, DN 80 (3"), INSTALADO EM REDE DE ALIMENTAÇÃO PARA HIDRANTE - FORNECIMENTO E INSTALAÇÃO. AF_10/2020</t>
  </si>
  <si>
    <t>768,63</t>
  </si>
  <si>
    <t>97499</t>
  </si>
  <si>
    <t>LUVA, EM AÇO, CONEXÃO SOLDADA, DN 25 (1"), INSTALADO EM REDE DE ALIMENTAÇÃO PARA SPRINKLER - FORNECIMENTO E INSTALAÇÃO. AF_10/2020</t>
  </si>
  <si>
    <t>32,39</t>
  </si>
  <si>
    <t>97500</t>
  </si>
  <si>
    <t>LUVA COM REDUÇÃO, EM AÇO, CONEXÃO SOLDADA, DN 25 X 20 MM (1" X 3/4"), INSTALADO EM REDE DE ALIMENTAÇÃO PARA SPRINKLER - FORNECIMENTO E INSTALAÇÃO. AF_10/2020</t>
  </si>
  <si>
    <t>26,27</t>
  </si>
  <si>
    <t>97502</t>
  </si>
  <si>
    <t>LUVA, EM AÇO, CONEXÃO SOLDADA, DN 32 (1 1/4"), INSTALADO EM REDE DE ALIMENTAÇÃO PARA SPRINKLER - FORNECIMENTO E INSTALAÇÃO. AF_10/2020</t>
  </si>
  <si>
    <t>46,06</t>
  </si>
  <si>
    <t>97503</t>
  </si>
  <si>
    <t>LUVA COM REDUÇÃO, EM AÇO, CONEXÃO SOLDADA, DN 32 X 25 MM (1 1/4"  X 1"), INSTALADO EM REDE DE ALIMENTAÇÃO PARA SPRINKLER - FORNECIMENTO E INSTALAÇÃO. AF_10/2020</t>
  </si>
  <si>
    <t>56,57</t>
  </si>
  <si>
    <t>97505</t>
  </si>
  <si>
    <t>LUVA, EM AÇO, CONEXÃO SOLDADA, DN 40 (1 1/2"), INSTALADO EM REDE DE ALIMENTAÇÃO PARA SPRINKLER - FORNECIMENTO E INSTALAÇÃO. AF_10/2020</t>
  </si>
  <si>
    <t>57,90</t>
  </si>
  <si>
    <t>97506</t>
  </si>
  <si>
    <t>LUVA COM REDUÇÃO, EM AÇO, CONEXÃO SOLDADA, DN 40  X 32 MM (1 1/2" X 1 1/4"), INSTALADO EM REDE DE ALIMENTAÇÃO PARA SPRINKLER - FORNECIMENTO E INSTALAÇÃO. AF_10/2020</t>
  </si>
  <si>
    <t>71,11</t>
  </si>
  <si>
    <t>97508</t>
  </si>
  <si>
    <t>LUVA, EM AÇO, CONEXÃO SOLDADA, DN 50 (2"), INSTALADO EM REDE DE ALIMENTAÇÃO PARA SPRINKLER - FORNECIMENTO E INSTALAÇÃO. AF_10/2020</t>
  </si>
  <si>
    <t>86,74</t>
  </si>
  <si>
    <t>97509</t>
  </si>
  <si>
    <t>LUVA COM REDUÇÃO, EM AÇO, CONEXÃO SOLDADA, DN 50 X 40 MM (2" X 1 1/2"), INSTALADO EM REDE DE ALIMENTAÇÃO PARA SPRINKLER - FORNECIMENTO E INSTALAÇÃO. AF_10/2020</t>
  </si>
  <si>
    <t>107,62</t>
  </si>
  <si>
    <t>97511</t>
  </si>
  <si>
    <t>LUVA, EM AÇO, CONEXÃO SOLDADA, DN 65 (2 1/2"), INSTALADO EM REDE DE ALIMENTAÇÃO PARA SPRINKLER - FORNECIMENTO E INSTALAÇÃO. AF_10/2020</t>
  </si>
  <si>
    <t>164,44</t>
  </si>
  <si>
    <t>97512</t>
  </si>
  <si>
    <t>LUVA COM REDUÇÃO, EM AÇO, CONEXÃO SOLDADA, DN 65 X 50 MM (2 1/2" X 2"), INSTALADO EM REDE DE ALIMENTAÇÃO PARA SPRINKLER - FORNECIMENTO E INSTALAÇÃO. AF_10/2020</t>
  </si>
  <si>
    <t>206,66</t>
  </si>
  <si>
    <t>97514</t>
  </si>
  <si>
    <t>LUVA, EM AÇO, CONEXÃO SOLDADA, DN 80 (3"), INSTALADO EM REDE DE ALIMENTAÇÃO PARA SPRINKLER - FORNECIMENTO E INSTALAÇÃO. AF_10/2020</t>
  </si>
  <si>
    <t>219,86</t>
  </si>
  <si>
    <t>97515</t>
  </si>
  <si>
    <t>LUVA COM REDUÇÃO, EM AÇO, CONEXÃO SOLDADA, DN 80 X 65 MM (3" X 2 1/2"), INSTALADO EM REDE DE ALIMENTAÇÃO PARA SPRINKLER - FORNECIMENTO E INSTALAÇÃO. AF_10/2020</t>
  </si>
  <si>
    <t>276,73</t>
  </si>
  <si>
    <t>97517</t>
  </si>
  <si>
    <t>CURVA 45 GRAUS, EM AÇO, CONEXÃO SOLDADA, DN 25 (1"), INSTALADO EM REDE DE ALIMENTAÇÃO PARA SPRINKLER - FORNECIMENTO E INSTALAÇÃO. AF_10/2020</t>
  </si>
  <si>
    <t>97518</t>
  </si>
  <si>
    <t>CURVA 90 GRAUS, EM AÇO, CONEXÃO SOLDADA, DN 25 (1"), INSTALADO EM REDE DE ALIMENTAÇÃO PARA SPRINKLER - FORNECIMENTO E INSTALAÇÃO. AF_10/2020</t>
  </si>
  <si>
    <t>97519</t>
  </si>
  <si>
    <t>CURVA 45 GRAUS, EM AÇO, CONEXÃO SOLDADA, DN 32 (1 1/4"), INSTALADO EM REDE DE ALIMENTAÇÃO PARA SPRINKLER - FORNECIMENTO E INSTALAÇÃO. AF_10/2020</t>
  </si>
  <si>
    <t>76,00</t>
  </si>
  <si>
    <t>97520</t>
  </si>
  <si>
    <t>CURVA 90 GRAUS, EM AÇO, CONEXÃO SOLDADA, DN 32 (1 1/4"), INSTALADO EM REDE DE ALIMENTAÇÃO PARA SPRINKLER - FORNECIMENTO E INSTALAÇÃO. AF_10/2020</t>
  </si>
  <si>
    <t>97521</t>
  </si>
  <si>
    <t>CURVA 45 GRAUS, EM AÇO, CONEXÃO SOLDADA, DN 40 (1 1/2"), INSTALADO EM REDE DE ALIMENTAÇÃO PARA SPRINKLER - FORNECIMENTO E INSTALAÇÃO. AF_10/2020</t>
  </si>
  <si>
    <t>106,55</t>
  </si>
  <si>
    <t>97522</t>
  </si>
  <si>
    <t>CURVA 90 GRAUS, EM AÇO, CONEXÃO SOLDADA, DN 40 (1 1/2"), INSTALADO EM REDE DE ALIMENTAÇÃO PARA SPRINKLER - FORNECIMENTO E INSTALAÇÃO. AF_10/2020</t>
  </si>
  <si>
    <t>97523</t>
  </si>
  <si>
    <t>CURVA 45 GRAUS, EM AÇO, CONEXÃO SOLDADA, DN 50 (2"), INSTALADO EM REDE DE ALIMENTAÇÃO PARA SPRINKLER - FORNECIMENTO E INSTALAÇÃO. AF_10/2020</t>
  </si>
  <si>
    <t>147,35</t>
  </si>
  <si>
    <t>97524</t>
  </si>
  <si>
    <t>CURVA 90 GRAUS, EM AÇO, CONEXÃO SOLDADA, DN 50 (2"), INSTALADO EM REDE DE ALIMENTAÇÃO PARA SPRINKLER - FORNECIMENTO E INSTALAÇÃO. AF_10/2020</t>
  </si>
  <si>
    <t>159,27</t>
  </si>
  <si>
    <t>97525</t>
  </si>
  <si>
    <t>CURVA 45 GRAUS, EM AÇO, CONEXÃO SOLDADA, DN 65 (2 1/2"), INSTALADO EM REDE DE ALIMENTAÇÃO PARA SPRINKLER - FORNECIMENTO E INSTALAÇÃO. AF_10/2020</t>
  </si>
  <si>
    <t>279,98</t>
  </si>
  <si>
    <t>97526</t>
  </si>
  <si>
    <t>CURVA 90 GRAUS, EM AÇO, CONEXÃO SOLDADA, DN 65 (2 1/2"), INSTALADO EM REDE DE ALIMENTAÇÃO PARA SPRINKLER - FORNECIMENTO E INSTALAÇÃO. AF_10/2020</t>
  </si>
  <si>
    <t>299,04</t>
  </si>
  <si>
    <t>97527</t>
  </si>
  <si>
    <t>CURVA 45 GRAUS, EM AÇO, CONEXÃO SOLDADA, DN 80 (3"), INSTALADO EM REDE DE ALIMENTAÇÃO PARA SPRINKLER - FORNECIMENTO E INSTALAÇÃO. AF_10/2020</t>
  </si>
  <si>
    <t>693,88</t>
  </si>
  <si>
    <t>97528</t>
  </si>
  <si>
    <t>CURVA 90 GRAUS, EM AÇO, CONEXÃO SOLDADA, DN 80 (3"), INSTALADO EM REDE DE ALIMENTAÇÃO PARA SPRINKLER - FORNECIMENTO E INSTALAÇÃO. AF_10/2020</t>
  </si>
  <si>
    <t>608,35</t>
  </si>
  <si>
    <t>97529</t>
  </si>
  <si>
    <t>TÊ, EM AÇO, CONEXÃO SOLDADA, DN 25 (1"), INSTALADO EM REDE DE ALIMENTAÇÃO PARA SPRINKLER - FORNECIMENTO E INSTALAÇÃO. AF_10/2020</t>
  </si>
  <si>
    <t>83,08</t>
  </si>
  <si>
    <t>97530</t>
  </si>
  <si>
    <t>TÊ, EM AÇO, CONEXÃO SOLDADA, DN 32 (1 1/4"), INSTALADO EM REDE DE ALIMENTAÇÃO PARA SPRINKLER - FORNECIMENTO E INSTALAÇÃO. AF_10/2020</t>
  </si>
  <si>
    <t>121,25</t>
  </si>
  <si>
    <t>97531</t>
  </si>
  <si>
    <t>TÊ, EM AÇO, CONEXÃO SOLDADA, DN 40 (1 1/2"), INSTALADO EM REDE DE ALIMENTAÇÃO PARA SPRINKLER - FORNECIMENTO E INSTALAÇÃO. AF_10/2020</t>
  </si>
  <si>
    <t>154,95</t>
  </si>
  <si>
    <t>97532</t>
  </si>
  <si>
    <t>TÊ, EM AÇO, CONEXÃO SOLDADA, DN 50 (2"), INSTALADO EM REDE DE ALIMENTAÇÃO PARA SPRINKLER - FORNECIMENTO E INSTALAÇÃO. AF_10/2020</t>
  </si>
  <si>
    <t>244,28</t>
  </si>
  <si>
    <t>97533</t>
  </si>
  <si>
    <t>TÊ, EM AÇO, CONEXÃO SOLDADA, DN 65 (2 1/2"), INSTALADO EM REDE DE ALIMENTAÇÃO PARA SPRINKLER - FORNECIMENTO E INSTALAÇÃO. AF_10/2020</t>
  </si>
  <si>
    <t>462,48</t>
  </si>
  <si>
    <t>97534</t>
  </si>
  <si>
    <t>TÊ, EM AÇO, CONEXÃO SOLDADA, DN 80 (3"), INSTALADO EM REDE DE ALIMENTAÇÃO PARA SPRINKLER - FORNECIMENTO E INSTALAÇÃO. AF_10/2020</t>
  </si>
  <si>
    <t>736,46</t>
  </si>
  <si>
    <t>97537</t>
  </si>
  <si>
    <t>LUVA, EM AÇO, CONEXÃO SOLDADA, DN 15 (1/2"), INSTALADO EM RAMAIS E SUB-RAMAIS DE GÁS - FORNECIMENTO E INSTALAÇÃO. AF_10/2020</t>
  </si>
  <si>
    <t>23,92</t>
  </si>
  <si>
    <t>97540</t>
  </si>
  <si>
    <t>LUVA, EM AÇO, CONEXÃO SOLDADA, DN 20 (3/4"), INSTALADO EM RAMAIS E SUB-RAMAIS DE GÁS - FORNECIMENTO E INSTALAÇÃO. AF_10/2020</t>
  </si>
  <si>
    <t>31,51</t>
  </si>
  <si>
    <t>97541</t>
  </si>
  <si>
    <t>LUVA COM REDUÇÃO, EM AÇO, CONEXÃO SOLDADA, DN 20 X 15 MM (3/4" X 1/2"), INSTALADO EM RAMAIS E SUB-RAMAIS DE GÁS - FORNECIMENTO E INSTALAÇÃO. AF_10/2020</t>
  </si>
  <si>
    <t>26,43</t>
  </si>
  <si>
    <t>97543</t>
  </si>
  <si>
    <t>LUVA, EM AÇO, CONEXÃO SOLDADA, DN 25 (1"), INSTALADO EM RAMAIS E SUB-RAMAIS DE GÁS - FORNECIMENTO E INSTALAÇÃO. AF_10/2020</t>
  </si>
  <si>
    <t>50,33</t>
  </si>
  <si>
    <t>97544</t>
  </si>
  <si>
    <t>LUVA COM REDUÇÃO, EM AÇO, CONEXÃO SOLDADA, DN 25 X 20 MM (1" X 3/4"), INSTALADO EM RAMAIS E SUB-RAMAIS DE GÁS - FORNECIMENTO E INSTALAÇÃO. AF_10/2020</t>
  </si>
  <si>
    <t>44,21</t>
  </si>
  <si>
    <t>97546</t>
  </si>
  <si>
    <t>CURVA 45 GRAUS, EM AÇO, CONEXÃO SOLDADA, DN 15 (1/2"), INSTALADO EM RAMAIS E SUB-RAMAIS DE GÁS - FORNECIMENTO E INSTALAÇÃO. AF_10/2020</t>
  </si>
  <si>
    <t>33,29</t>
  </si>
  <si>
    <t>97547</t>
  </si>
  <si>
    <t>CURVA 90 GRAUS, EM AÇO, CONEXÃO SOLDADA, DN 15 (1/2"), INSTALADO EM RAMAIS E SUB-RAMAIS DE GÁS - FORNECIMENTO E INSTALAÇÃO. AF_10/2020</t>
  </si>
  <si>
    <t>97548</t>
  </si>
  <si>
    <t>CURVA 45 GRAUS, EM AÇO, CONEXÃO SOLDADA, DN 20 (3/4"), INSTALADO EM RAMAIS E SUB-RAMAIS DE GÁS - FORNECIMENTO E INSTALAÇÃO. AF_10/2020</t>
  </si>
  <si>
    <t>48,78</t>
  </si>
  <si>
    <t>97549</t>
  </si>
  <si>
    <t>CURVA 90 GRAUS, EM AÇO, CONEXÃO SOLDADA, DN 20 (3/4"), INSTALADO EM RAMAIS E SUB-RAMAIS DE GÁS - FORNECIMENTO E INSTALAÇÃO. AF_10/2020</t>
  </si>
  <si>
    <t>97550</t>
  </si>
  <si>
    <t>CURVA 45 GRAUS, EM AÇO, CONEXÃO SOLDADA, DN 25 (1"), INSTALADO EM RAMAIS E SUB-RAMAIS DE GÁS - FORNECIMENTO E INSTALAÇÃO. AF_10/2020</t>
  </si>
  <si>
    <t>79,75</t>
  </si>
  <si>
    <t>97551</t>
  </si>
  <si>
    <t>CURVA 90 GRAUS, EM AÇO, CONEXÃO SOLDADA, DN 25 (1"), INSTALADO EM RAMAIS E SUB-RAMAIS DE GÁS - FORNECIMENTO E INSTALAÇÃO. AF_10/2020</t>
  </si>
  <si>
    <t>97552</t>
  </si>
  <si>
    <t>TÊ, EM AÇO, CONEXÃO SOLDADA, DN 15 (1/2"), INSTALADO EM RAMAIS E SUB-RAMAIS DE GÁS - FORNECIMENTO E INSTALAÇÃO. AF_10/2020</t>
  </si>
  <si>
    <t>48,81</t>
  </si>
  <si>
    <t>97553</t>
  </si>
  <si>
    <t>TÊ, EM AÇO, CONEXÃO SOLDADA, DN 20 (3/4"), INSTALADO EM RAMAIS E SUB-RAMAIS DE GÁS - FORNECIMENTO E INSTALAÇÃO. AF_10/2020</t>
  </si>
  <si>
    <t>69,46</t>
  </si>
  <si>
    <t>97554</t>
  </si>
  <si>
    <t>TÊ, EM AÇO, CONEXÃO SOLDADA, DN 25 (1"), INSTALADO EM RAMAIS E SUB-RAMAIS DE GÁS - FORNECIMENTO E INSTALAÇÃO. AF_10/2020</t>
  </si>
  <si>
    <t>119,05</t>
  </si>
  <si>
    <t>98602</t>
  </si>
  <si>
    <t>CONECTOR EM BRONZE/LATÃO, DN 22 MM X 1/2", SEM ANEL DE SOLDA, BOLSA X ROSCA F, INSTALADO EM PRUMADA  FORNECIMENTO E INSTALAÇÃO. AF_01/2016</t>
  </si>
  <si>
    <t>20,73</t>
  </si>
  <si>
    <t>97895</t>
  </si>
  <si>
    <t>CAIXA ENTERRADA HIDRÁULICA RETANGULAR, EM CONCRETO PRÉ-MOLDADO, DIMENSÕES INTERNAS: 0,3X0,3X0,3 M. AF_12/2020</t>
  </si>
  <si>
    <t>122,21</t>
  </si>
  <si>
    <t>97896</t>
  </si>
  <si>
    <t>CAIXA ENTERRADA HIDRÁULICA RETANGULAR, EM CONCRETO PRÉ-MOLDADO, DIMENSÕES INTERNAS: 0,4X0,4X0,4 M. AF_12/2020</t>
  </si>
  <si>
    <t>226,92</t>
  </si>
  <si>
    <t>97897</t>
  </si>
  <si>
    <t>CAIXA ENTERRADA HIDRÁULICA RETANGULAR, EM CONCRETO PRÉ-MOLDADO, DIMENSÕES INTERNAS: 0,6X0,6X0,5 M. AF_12/2020</t>
  </si>
  <si>
    <t>296,68</t>
  </si>
  <si>
    <t>97898</t>
  </si>
  <si>
    <t>CAIXA ENTERRADA HIDRÁULICA RETANGULAR, EM CONCRETO PRÉ-MOLDADO, DIMENSÕES INTERNAS: 0,8X0,8X0,5 M. AF_12/2020</t>
  </si>
  <si>
    <t>607,04</t>
  </si>
  <si>
    <t>97900</t>
  </si>
  <si>
    <t>CAIXA ENTERRADA HIDRÁULICA RETANGULAR EM ALVENARIA COM TIJOLOS CERÂMICOS MACIÇOS, DIMENSÕES INTERNAS: 0,3X0,3X0,3 M PARA REDE DE ESGOTO. AF_12/2020</t>
  </si>
  <si>
    <t>170,52</t>
  </si>
  <si>
    <t>97901</t>
  </si>
  <si>
    <t>CAIXA ENTERRADA HIDRÁULICA RETANGULAR EM ALVENARIA COM TIJOLOS CERÂMICOS MACIÇOS, DIMENSÕES INTERNAS: 0,4X0,4X0,4 M PARA REDE DE ESGOTO. AF_12/2020</t>
  </si>
  <si>
    <t>270,31</t>
  </si>
  <si>
    <t>97902</t>
  </si>
  <si>
    <t>CAIXA ENTERRADA HIDRÁULICA RETANGULAR EM ALVENARIA COM TIJOLOS CERÂMICOS MACIÇOS, DIMENSÕES INTERNAS: 0,6X0,6X0,6 M PARA REDE DE ESGOTO. AF_12/2020</t>
  </si>
  <si>
    <t>532,08</t>
  </si>
  <si>
    <t>97903</t>
  </si>
  <si>
    <t>CAIXA ENTERRADA HIDRÁULICA RETANGULAR EM ALVENARIA COM TIJOLOS CERÂMICOS MACIÇOS, DIMENSÕES INTERNAS: 0,8X0,8X0,6 M PARA REDE DE ESGOTO. AF_12/2020</t>
  </si>
  <si>
    <t>735,32</t>
  </si>
  <si>
    <t>97904</t>
  </si>
  <si>
    <t>CAIXA ENTERRADA HIDRÁULICA RETANGULAR EM ALVENARIA COM TIJOLOS CERÂMICOS MACIÇOS, DIMENSÕES INTERNAS: 1X1X0,6 M PARA REDE DE ESGOTO. AF_12/2020</t>
  </si>
  <si>
    <t>868,50</t>
  </si>
  <si>
    <t>97905</t>
  </si>
  <si>
    <t>CAIXA ENTERRADA HIDRÁULICA RETANGULAR, EM ALVENARIA COM BLOCOS DE CONCRETO, DIMENSÕES INTERNAS: 0,4X0,4X0,4 M PARA REDE DE ESGOTO. AF_12/2020</t>
  </si>
  <si>
    <t>215,88</t>
  </si>
  <si>
    <t>97906</t>
  </si>
  <si>
    <t>CAIXA ENTERRADA HIDRÁULICA RETANGULAR, EM ALVENARIA COM BLOCOS DE CONCRETO, DIMENSÕES INTERNAS: 0,6X0,6X0,6 M PARA REDE DE ESGOTO. AF_12/2020</t>
  </si>
  <si>
    <t>401,71</t>
  </si>
  <si>
    <t>97907</t>
  </si>
  <si>
    <t>CAIXA ENTERRADA HIDRÁULICA RETANGULAR, EM ALVENARIA COM BLOCOS DE CONCRETO, DIMENSÕES INTERNAS: 0,8X0,8X0,6 M PARA REDE DE ESGOTO. AF_12/2020</t>
  </si>
  <si>
    <t>568,96</t>
  </si>
  <si>
    <t>97908</t>
  </si>
  <si>
    <t>CAIXA ENTERRADA HIDRÁULICA RETANGULAR, EM ALVENARIA COM BLOCOS DE CONCRETO, DIMENSÕES INTERNAS: 1X1X0,6 M PARA REDE DE ESGOTO. AF_12/2020</t>
  </si>
  <si>
    <t>671,65</t>
  </si>
  <si>
    <t>98102</t>
  </si>
  <si>
    <t>CAIXA DE GORDURA SIMPLES, CIRCULAR, EM CONCRETO PRÉ-MOLDADO, DIÂMETRO INTERNO = 0,4 M, ALTURA INTERNA = 0,4 M. AF_12/2020</t>
  </si>
  <si>
    <t>117,64</t>
  </si>
  <si>
    <t>98104</t>
  </si>
  <si>
    <t>CAIXA DE GORDURA SIMPLES (CAPACIDADE: 36L), RETANGULAR, EM ALVENARIA COM TIJOLOS CERÂMICOS MACIÇOS, DIMENSÕES INTERNAS = 0,2X0,4 M, ALTURA INTERNA = 0,8 M. AF_12/2020</t>
  </si>
  <si>
    <t>357,75</t>
  </si>
  <si>
    <t>98105</t>
  </si>
  <si>
    <t>CAIXA DE GORDURA DUPLA (CAPACIDADE: 126 L), RETANGULAR, EM ALVENARIA COM TIJOLOS CERÂMICOS MACIÇOS, DIMENSÕES INTERNAS = 0,4X0,7 M, ALTURA INTERNA = 0,8 M. AF_12/2020</t>
  </si>
  <si>
    <t>618,65</t>
  </si>
  <si>
    <t>98106</t>
  </si>
  <si>
    <t>CAIXA DE GORDURA ESPECIAL (CAPACIDADE: 312 L - PARA ATÉ 146 PESSOAS SERVIDAS NO PICO), RETANGULAR, EM ALVENARIA COM TIJOLOS CERÂMICOS MACIÇOS, DIMENSÕES INTERNAS = 0,4X1,2 M, ALTURA INTERNA = 1 M. AF_12/2020</t>
  </si>
  <si>
    <t>1.021,41</t>
  </si>
  <si>
    <t>98107</t>
  </si>
  <si>
    <t>CAIXA DE GORDURA SIMPLES (CAPACIDADE: 36 L), RETANGULAR, EM ALVENARIA COM BLOCOS DE CONCRETO, DIMENSÕES INTERNAS = 0,2X0,4 M, ALTURA INTERNA = 0,8 M. AF_12/2020</t>
  </si>
  <si>
    <t>256,29</t>
  </si>
  <si>
    <t>98108</t>
  </si>
  <si>
    <t>CAIXA DE GORDURA DUPLA (CAPACIDADE: 126 L), RETANGULAR, EM ALVENARIA COM BLOCOS DE CONCRETO, DIMENSÕES INTERNAS = 0,4X0,7 M, ALTURA INTERNA = 0,8 M. AF_12/2020</t>
  </si>
  <si>
    <t>455,10</t>
  </si>
  <si>
    <t>99250</t>
  </si>
  <si>
    <t>CAIXA ENTERRADA HIDRÁULICA RETANGULAR EM ALVENARIA COM TIJOLOS CERÂMICOS MACIÇOS, DIMENSÕES INTERNAS: 0,3X0,3X0,3 M PARA REDE DE DRENAGEM. AF_12/2020</t>
  </si>
  <si>
    <t>166,60</t>
  </si>
  <si>
    <t>99251</t>
  </si>
  <si>
    <t>CAIXA ENTERRADA HIDRÁULICA RETANGULAR EM ALVENARIA COM TIJOLOS CERÂMICOS MACIÇOS, DIMENSÕES INTERNAS: 0,4X0,4X0,4 M PARA REDE DE DRENAGEM. AF_12/2020</t>
  </si>
  <si>
    <t>263,58</t>
  </si>
  <si>
    <t>99253</t>
  </si>
  <si>
    <t>CAIXA ENTERRADA HIDRÁULICA RETANGULAR EM ALVENARIA COM TIJOLOS CERÂMICOS MACIÇOS, DIMENSÕES INTERNAS: 0,6X0,6X0,6 M PARA REDE DE DRENAGEM. AF_12/2020</t>
  </si>
  <si>
    <t>516,97</t>
  </si>
  <si>
    <t>99255</t>
  </si>
  <si>
    <t>CAIXA ENTERRADA HIDRÁULICA RETANGULAR EM ALVENARIA COM TIJOLOS CERÂMICOS MACIÇOS, DIMENSÕES INTERNAS: 0,8X0,8X0,6 M PARA REDE DE DRENAGEM. AF_12/2020</t>
  </si>
  <si>
    <t>714,60</t>
  </si>
  <si>
    <t>99257</t>
  </si>
  <si>
    <t>CAIXA ENTERRADA HIDRÁULICA RETANGULAR EM ALVENARIA COM TIJOLOS CERÂMICOS MACIÇOS, DIMENSÕES INTERNAS: 1X1X0,6 M PARA REDE DE DRENAGEM. AF_12/2020</t>
  </si>
  <si>
    <t>841,70</t>
  </si>
  <si>
    <t>99258</t>
  </si>
  <si>
    <t>CAIXA ENTERRADA HIDRÁULICA RETANGULAR, EM ALVENARIA COM BLOCOS DE CONCRETO, DIMENSÕES INTERNAS: 0,4X0,4X0,4 M PARA REDE DE DRENAGEM. AF_12/2020</t>
  </si>
  <si>
    <t>210,32</t>
  </si>
  <si>
    <t>99260</t>
  </si>
  <si>
    <t>CAIXA ENTERRADA HIDRÁULICA RETANGULAR, EM ALVENARIA COM BLOCOS DE CONCRETO, DIMENSÕES INTERNAS: 0,6X0,6X0,6 M PARA REDE DE DRENAGEM. AF_12/2020</t>
  </si>
  <si>
    <t>392,20</t>
  </si>
  <si>
    <t>99262</t>
  </si>
  <si>
    <t>CAIXA ENTERRADA HIDRÁULICA RETANGULAR, EM ALVENARIA COM BLOCOS DE CONCRETO, DIMENSÕES INTERNAS: 0,8X0,8X0,6 M PARA REDE DE DRENAGEM. AF_12/2020</t>
  </si>
  <si>
    <t>555,38</t>
  </si>
  <si>
    <t>99264</t>
  </si>
  <si>
    <t>CAIXA ENTERRADA HIDRÁULICA RETANGULAR, EM ALVENARIA COM BLOCOS DE CONCRETO, DIMENSÕES INTERNAS: 1X1X0,6 M PARA REDE DE DRENAGEM. AF_12/2020</t>
  </si>
  <si>
    <t>653,29</t>
  </si>
  <si>
    <t>102587</t>
  </si>
  <si>
    <t>FURO EM CAIXA D'ÁGUA COM ESPESSURA DE 2 ATÉ 5 MM E DIÂMETRO DE 15 MM. AF_06/2021</t>
  </si>
  <si>
    <t>102588</t>
  </si>
  <si>
    <t>FURO EM CAIXA D'ÁGUA COM ESPESSURA DE 6 ATÉ 8 MM E DIÂMETRO DE 15 MM. AF_06/2021</t>
  </si>
  <si>
    <t>3,95</t>
  </si>
  <si>
    <t>102589</t>
  </si>
  <si>
    <t>FURO EM CAIXA D'ÁGUA COM ESPESSURA DE 2 ATÉ 5 MM E DIÂMETRO DE 20 MM. AF_06/2021</t>
  </si>
  <si>
    <t>3,03</t>
  </si>
  <si>
    <t>102590</t>
  </si>
  <si>
    <t>FURO EM CAIXA D'ÁGUA COM ESPESSURA DE 6 ATÉ 8 MM E DIÂMETRO DE 20 MM. AF_06/2021</t>
  </si>
  <si>
    <t>102591</t>
  </si>
  <si>
    <t>FURO EM CAIXA D'ÁGUA COM ESPESSURA DE 2 ATÉ 5 MM E DIÂMETRO DE 25 MM. AF_06/2021</t>
  </si>
  <si>
    <t>3,35</t>
  </si>
  <si>
    <t>102592</t>
  </si>
  <si>
    <t>FURO EM CAIXA D'ÁGUA COM ESPESSURA DE 6 ATÉ 8 MM E DIÂMETRO DE 25 MM. AF_06/2021</t>
  </si>
  <si>
    <t>4,56</t>
  </si>
  <si>
    <t>102593</t>
  </si>
  <si>
    <t>FURO EM CAIXA D'ÁGUA COM ESPESSURA DE 2 ATÉ 5 MM E DIÂMETRO DE 32 MM. AF_06/2021</t>
  </si>
  <si>
    <t>3,78</t>
  </si>
  <si>
    <t>102594</t>
  </si>
  <si>
    <t>FURO EM CAIXA D'ÁGUA COM ESPESSURA DE 6 ATÉ 8 MM E DIÂMETRO DE 32 MM. AF_06/2021</t>
  </si>
  <si>
    <t>5,00</t>
  </si>
  <si>
    <t>102595</t>
  </si>
  <si>
    <t>FURO EM CAIXA D'ÁGUA COM ESPESSURA DE 2 ATÉ 5 MM E DIÂMETRO DE 40 MM. AF_06/2021</t>
  </si>
  <si>
    <t>102596</t>
  </si>
  <si>
    <t>FURO EM CAIXA D'ÁGUA COM ESPESSURA DE 6 ATÉ 8 MM E DIÂMETRO DE 40 MM. AF_06/2021</t>
  </si>
  <si>
    <t>5,49</t>
  </si>
  <si>
    <t>102597</t>
  </si>
  <si>
    <t>FURO EM CAIXA D'ÁGUA COM ESPESSURA DE 2 ATÉ 5 MM E DIÂMETRO DE 50 MM. AF_06/2021</t>
  </si>
  <si>
    <t>102598</t>
  </si>
  <si>
    <t>FURO EM CAIXA D'ÁGUA COM ESPESSURA DE 6 ATÉ 8 MM E DIÂMETRO DE 50 MM. AF_06/2021</t>
  </si>
  <si>
    <t>6,10</t>
  </si>
  <si>
    <t>102599</t>
  </si>
  <si>
    <t>FURO EM CAIXA D'ÁGUA COM ESPESSURA DE 2 ATÉ 5 MM E DIÂMETRO DE 60 MM. AF_06/2021</t>
  </si>
  <si>
    <t>102600</t>
  </si>
  <si>
    <t>FURO EM CAIXA D'ÁGUA COM ESPESSURA DE 6 ATÉ 8 MM E DIÂMETRO DE 60 MM. AF_06/2021</t>
  </si>
  <si>
    <t>6,72</t>
  </si>
  <si>
    <t>102601</t>
  </si>
  <si>
    <t>FURO EM CAIXA D'ÁGUA COM ESPESSURA DE 2 ATÉ 5 MM E DIÂMETRO DE 75 MM. AF_06/2021</t>
  </si>
  <si>
    <t>6,42</t>
  </si>
  <si>
    <t>102602</t>
  </si>
  <si>
    <t>FURO EM CAIXA D'ÁGUA COM ESPESSURA DE 6 ATÉ 8 MM E DIÂMETRO DE 75 MM. AF_06/2021</t>
  </si>
  <si>
    <t>7,65</t>
  </si>
  <si>
    <t>102603</t>
  </si>
  <si>
    <t>FURO EM CAIXA D'ÁGUA COM ESPESSURA DE 2 ATÉ 5 MM E DIÂMETRO DE 100 MM. AF_06/2021</t>
  </si>
  <si>
    <t>7,97</t>
  </si>
  <si>
    <t>102604</t>
  </si>
  <si>
    <t>FURO EM CAIXA D'ÁGUA COM ESPESSURA DE 6 ATÉ 8 MM E DIÂMETRO DE 100 MM. AF_06/2021</t>
  </si>
  <si>
    <t>102605</t>
  </si>
  <si>
    <t>CAIXA D´ÁGUA EM POLIETILENO, 500 LITROS - FORNECIMENTO E INSTALAÇÃO. AF_06/2021</t>
  </si>
  <si>
    <t>275,69</t>
  </si>
  <si>
    <t>102606</t>
  </si>
  <si>
    <t>CAIXA D´ÁGUA EM POLIETILENO, 750 LITROS - FORNECIMENTO E INSTALAÇÃO. AF_06/2021</t>
  </si>
  <si>
    <t>470,80</t>
  </si>
  <si>
    <t>102607</t>
  </si>
  <si>
    <t>CAIXA D´ÁGUA EM POLIETILENO, 1000 LITROS - FORNECIMENTO E INSTALAÇÃO. AF_06/2021</t>
  </si>
  <si>
    <t>478,93</t>
  </si>
  <si>
    <t>102608</t>
  </si>
  <si>
    <t>CAIXA D´ÁGUA EM POLIETILENO, 1500 LITROS - FORNECIMENTO E INSTALAÇÃO. AF_06/2021</t>
  </si>
  <si>
    <t>968,57</t>
  </si>
  <si>
    <t>102609</t>
  </si>
  <si>
    <t>CAIXA D´ÁGUA EM POLIETILENO, 2000 LITROS - FORNECIMENTO E INSTALAÇÃO. AF_06/2021</t>
  </si>
  <si>
    <t>1.089,63</t>
  </si>
  <si>
    <t>102611</t>
  </si>
  <si>
    <t>CAIXA D´ÁGUA EM POLIÉSTER REFORÇADO COM FIBRA DE VIDRO, 500 LITROS - FORNECIMENTO E INSTALAÇÃO. AF_06/2021</t>
  </si>
  <si>
    <t>397,49</t>
  </si>
  <si>
    <t>102613</t>
  </si>
  <si>
    <t>CAIXA D´ÁGUA EM POLIÉSTER REFORÇADO COM FIBRA DE VIDRO, 1000 LITROS - FORNECIMENTO E INSTALAÇÃO. AF_06/2021</t>
  </si>
  <si>
    <t>546,14</t>
  </si>
  <si>
    <t>102614</t>
  </si>
  <si>
    <t>CAIXA D´ÁGUA EM POLIÉSTER REFORÇADO COM FIBRA DE VIDRO, 1500 LITROS - FORNECIMENTO E INSTALAÇÃO. AF_06/2021</t>
  </si>
  <si>
    <t>884,06</t>
  </si>
  <si>
    <t>102615</t>
  </si>
  <si>
    <t>CAIXA D´ÁGUA EM POLIÉSTER REFORÇADO COM FIBRA DE VIDRO, 2000 LITROS - FORNECIMENTO E INSTALAÇÃO. AF_06/2021</t>
  </si>
  <si>
    <t>1.139,33</t>
  </si>
  <si>
    <t>102617</t>
  </si>
  <si>
    <t>CAIXA D´ÁGUA EM POLIÉSTER REFORÇADO COM FIBRA DE VIDRO, 5000 LITROS - FORNECIMENTO E INSTALAÇÃO. AF_06/2021</t>
  </si>
  <si>
    <t>3.041,38</t>
  </si>
  <si>
    <t>102619</t>
  </si>
  <si>
    <t>CAIXA D´ÁGUA EM POLIÉSTER REFORÇADO COM FIBRA DE VIDRO, 10000 LITROS - FORNECIMENTO E INSTALAÇÃO. AF_06/2021</t>
  </si>
  <si>
    <t>5.742,44</t>
  </si>
  <si>
    <t>102622</t>
  </si>
  <si>
    <t>CAIXA D´ÁGUA EM POLIETILENO, 500 LITROS (INCLUSOS TUBOS, CONEXÕES E TORNEIRA DE BÓIA) - FORNECIMENTO E INSTALAÇÃO. AF_06/2021</t>
  </si>
  <si>
    <t>647,76</t>
  </si>
  <si>
    <t>102623</t>
  </si>
  <si>
    <t>CAIXA D´ÁGUA EM POLIETILENO, 1000 LITROS (INCLUSOS TUBOS, CONEXÕES E TORNEIRA DE BÓIA) - FORNECIMENTO E INSTALAÇÃO. AF_06/2021</t>
  </si>
  <si>
    <t>912,97</t>
  </si>
  <si>
    <t>89482</t>
  </si>
  <si>
    <t>CAIXA SIFONADA, PVC, DN 100 X 100 X 50 MM, FORNECIDA E INSTALADA EM RAMAIS DE ENCAMINHAMENTO DE ÁGUA PLUVIAL. AF_12/2014</t>
  </si>
  <si>
    <t>35,44</t>
  </si>
  <si>
    <t>89491</t>
  </si>
  <si>
    <t>CAIXA SIFONADA, PVC, DN 150 X 185 X 75 MM, FORNECIDA E INSTALADA EM RAMAIS DE ENCAMINHAMENTO DE ÁGUA PLUVIAL. AF_12/2014</t>
  </si>
  <si>
    <t>84,55</t>
  </si>
  <si>
    <t>89495</t>
  </si>
  <si>
    <t>RALO SIFONADO, PVC, DN 100 X 40 MM, JUNTA SOLDÁVEL, FORNECIDO E INSTALADO EM RAMAIS DE ENCAMINHAMENTO DE ÁGUA PLUVIAL. AF_12/2014</t>
  </si>
  <si>
    <t>89707</t>
  </si>
  <si>
    <t>CAIXA SIFONADA, PVC, DN 100 X 100 X 50 MM, JUNTA ELÁSTICA, FORNECIDA E INSTALADA EM RAMAL DE DESCARGA OU EM RAMAL DE ESGOTO SANITÁRIO. AF_12/2014</t>
  </si>
  <si>
    <t>39,37</t>
  </si>
  <si>
    <t>89708</t>
  </si>
  <si>
    <t>CAIXA SIFONADA, PVC, DN 150 X 185 X 75 MM, JUNTA ELÁSTICA, FORNECIDA E INSTALADA EM RAMAL DE DESCARGA OU EM RAMAL DE ESGOTO SANITÁRIO. AF_12/2014</t>
  </si>
  <si>
    <t>91,01</t>
  </si>
  <si>
    <t>89709</t>
  </si>
  <si>
    <t>RALO SIFONADO, PVC, DN 100 X 40 MM, JUNTA SOLDÁVEL, FORNECIDO E INSTALADO EM RAMAL DE DESCARGA OU EM RAMAL DE ESGOTO SANITÁRIO. AF_12/2014</t>
  </si>
  <si>
    <t>89710</t>
  </si>
  <si>
    <t>RALO SECO, PVC, DN 100 X 40 MM, JUNTA SOLDÁVEL, FORNECIDO E INSTALADO EM RAMAL DE DESCARGA OU EM RAMAL DE ESGOTO SANITÁRIO. AF_12/2014</t>
  </si>
  <si>
    <t>13,21</t>
  </si>
  <si>
    <t>86872</t>
  </si>
  <si>
    <t>TANQUE DE LOUÇA BRANCA COM COLUNA, 30L OU EQUIVALENTE - FORNECIMENTO E INSTALAÇÃO. AF_01/2020</t>
  </si>
  <si>
    <t>574,99</t>
  </si>
  <si>
    <t>86874</t>
  </si>
  <si>
    <t>TANQUE DE LOUÇA BRANCA SUSPENSO, 18L OU EQUIVALENTE - FORNECIMENTO E INSTALAÇÃO. AF_01/2020</t>
  </si>
  <si>
    <t>401,85</t>
  </si>
  <si>
    <t>86875</t>
  </si>
  <si>
    <t>TANQUE DE MÁRMORE SINTÉTICO COM COLUNA, 22L OU EQUIVALENTE   FORNECIMENTO E INSTALAÇÃO. AF_01/2020</t>
  </si>
  <si>
    <t>369,92</t>
  </si>
  <si>
    <t>86876</t>
  </si>
  <si>
    <t>TANQUE DE MÁRMORE SINTÉTICO SUSPENSO, 22L OU EQUIVALENTE - FORNECIMENTO E INSTALAÇÃO. AF_01/2020</t>
  </si>
  <si>
    <t>214,32</t>
  </si>
  <si>
    <t>86877</t>
  </si>
  <si>
    <t>VÁLVULA EM METAL CROMADO 1.1/2 X 1.1/2 PARA TANQUE OU LAVATÓRIO, COM OU SEM LADRÃO - FORNECIMENTO E INSTALAÇÃO. AF_01/2020</t>
  </si>
  <si>
    <t>52,52</t>
  </si>
  <si>
    <t>86878</t>
  </si>
  <si>
    <t>VÁLVULA EM METAL CROMADO TIPO AMERICANA 3.1/2 X 1.1/2 PARA PIA - FORNECIMENTO E INSTALAÇÃO. AF_01/2020</t>
  </si>
  <si>
    <t>56,58</t>
  </si>
  <si>
    <t>86879</t>
  </si>
  <si>
    <t>VÁLVULA EM PLÁSTICO 1 PARA PIA, TANQUE OU LAVATÓRIO, COM OU SEM LADRÃO - FORNECIMENTO E INSTALAÇÃO. AF_01/2020</t>
  </si>
  <si>
    <t>86880</t>
  </si>
  <si>
    <t>VÁLVULA EM PLÁSTICO CROMADO TIPO AMERICANA 3.1/2 X 1.1/2 SEM ADAPTADOR PARA PIA - FORNECIMENTO E INSTALAÇÃO. AF_01/2020</t>
  </si>
  <si>
    <t>16,97</t>
  </si>
  <si>
    <t>86881</t>
  </si>
  <si>
    <t>SIFÃO DO TIPO GARRAFA EM METAL CROMADO 1 X 1.1/2 - FORNECIMENTO E INSTALAÇÃO. AF_01/2020</t>
  </si>
  <si>
    <t>158,73</t>
  </si>
  <si>
    <t>86882</t>
  </si>
  <si>
    <t>SIFÃO DO TIPO GARRAFA/COPO EM PVC 1.1/4  X 1.1/2 - FORNECIMENTO E INSTALAÇÃO. AF_01/2020</t>
  </si>
  <si>
    <t>17,41</t>
  </si>
  <si>
    <t>86883</t>
  </si>
  <si>
    <t>SIFÃO DO TIPO FLEXÍVEL EM PVC 1  X 1.1/2  - FORNECIMENTO E INSTALAÇÃO. AF_01/2020</t>
  </si>
  <si>
    <t>86884</t>
  </si>
  <si>
    <t>ENGATE FLEXÍVEL EM PLÁSTICO BRANCO, 1/2 X 30CM - FORNECIMENTO E INSTALAÇÃO. AF_01/2020</t>
  </si>
  <si>
    <t>7,67</t>
  </si>
  <si>
    <t>86885</t>
  </si>
  <si>
    <t>ENGATE FLEXÍVEL EM PLÁSTICO BRANCO, 1/2 X 40CM - FORNECIMENTO E INSTALAÇÃO. AF_01/2020</t>
  </si>
  <si>
    <t>86886</t>
  </si>
  <si>
    <t>ENGATE FLEXÍVEL EM INOX, 1/2  X 30CM - FORNECIMENTO E INSTALAÇÃO. AF_01/2020</t>
  </si>
  <si>
    <t>38,93</t>
  </si>
  <si>
    <t>86887</t>
  </si>
  <si>
    <t>ENGATE FLEXÍVEL EM INOX, 1/2  X 40CM - FORNECIMENTO E INSTALAÇÃO. AF_01/2020</t>
  </si>
  <si>
    <t>42,20</t>
  </si>
  <si>
    <t>86888</t>
  </si>
  <si>
    <t>VASO SANITÁRIO SIFONADO COM CAIXA ACOPLADA LOUÇA BRANCA - FORNECIMENTO E INSTALAÇÃO. AF_01/2020</t>
  </si>
  <si>
    <t>391,18</t>
  </si>
  <si>
    <t>86889</t>
  </si>
  <si>
    <t>BANCADA DE GRANITO CINZA POLIDO, DE 1,50 X 0,60 M, PARA PIA DE COZINHA - FORNECIMENTO E INSTALAÇÃO. AF_01/2020</t>
  </si>
  <si>
    <t>417,83</t>
  </si>
  <si>
    <t>86893</t>
  </si>
  <si>
    <t>BANCADA DE MÁRMORE BRANCO POLIDO, DE 1,50 X 0,60 M, PARA PIA DE COZINHA - FORNECIMENTO E INSTALAÇÃO. AF_01/2020</t>
  </si>
  <si>
    <t>484,79</t>
  </si>
  <si>
    <t>86894</t>
  </si>
  <si>
    <t>BANCADA DE MÁRMORE SINTÉTICO, DE 120 X 60CM, COM CUBA INTEGRADA - FORNECIMENTO E INSTALAÇÃO. AF_01/2020</t>
  </si>
  <si>
    <t>248,58</t>
  </si>
  <si>
    <t>86895</t>
  </si>
  <si>
    <t>BANCADA DE GRANITO CINZA POLIDO, DE 0,50 X 0,60 M, PARA LAVATÓRIO - FORNECIMENTO E INSTALAÇÃO. AF_01/2020</t>
  </si>
  <si>
    <t>245,74</t>
  </si>
  <si>
    <t>86899</t>
  </si>
  <si>
    <t>BANCADA DE MÁRMORE BRANCO POLIDO, DE 0,50 X 0,60 M, PARA LAVATÓRIO - FORNECIMENTO E INSTALAÇÃO. AF_01/2020</t>
  </si>
  <si>
    <t>270,86</t>
  </si>
  <si>
    <t>86900</t>
  </si>
  <si>
    <t>CUBA DE EMBUTIR RETANGULAR DE AÇO INOXIDÁVEL, 46 X 30 X 12 CM - FORNECIMENTO E INSTALAÇÃO. AF_01/2020</t>
  </si>
  <si>
    <t>187,67</t>
  </si>
  <si>
    <t>86901</t>
  </si>
  <si>
    <t>CUBA DE EMBUTIR OVAL EM LOUÇA BRANCA, 35 X 50CM OU EQUIVALENTE - FORNECIMENTO E INSTALAÇÃO. AF_01/2020</t>
  </si>
  <si>
    <t>122,53</t>
  </si>
  <si>
    <t>86902</t>
  </si>
  <si>
    <t>LAVATÓRIO LOUÇA BRANCA COM COLUNA, *44 X 35,5* CM, PADRÃO POPULAR - FORNECIMENTO E INSTALAÇÃO. AF_01/2020</t>
  </si>
  <si>
    <t>250,87</t>
  </si>
  <si>
    <t>86903</t>
  </si>
  <si>
    <t>LAVATÓRIO LOUÇA BRANCA COM COLUNA, 45 X 55CM OU EQUIVALENTE, PADRÃO MÉDIO - FORNECIMENTO E INSTALAÇÃO. AF_01/2020</t>
  </si>
  <si>
    <t>284,02</t>
  </si>
  <si>
    <t>86904</t>
  </si>
  <si>
    <t>LAVATÓRIO LOUÇA BRANCA SUSPENSO, 29,5 X 39CM OU EQUIVALENTE, PADRÃO POPULAR - FORNECIMENTO E INSTALAÇÃO. AF_01/2020</t>
  </si>
  <si>
    <t>117,75</t>
  </si>
  <si>
    <t>86905</t>
  </si>
  <si>
    <t>APARELHO MISTURADOR DE MESA PARA LAVATÓRIO, PADRÃO MÉDIO - FORNECIMENTO E INSTALAÇÃO. AF_01/2020</t>
  </si>
  <si>
    <t>278,95</t>
  </si>
  <si>
    <t>86906</t>
  </si>
  <si>
    <t>TORNEIRA CROMADA DE MESA, 1/2 OU 3/4, PARA LAVATÓRIO, PADRÃO POPULAR - FORNECIMENTO E INSTALAÇÃO. AF_01/2020</t>
  </si>
  <si>
    <t>51,67</t>
  </si>
  <si>
    <t>86908</t>
  </si>
  <si>
    <t>APARELHO MISTURADOR DE MESA PARA PIA DE COZINHA, PADRÃO MÉDIO - FORNECIMENTO E INSTALAÇÃO. AF_01/2020</t>
  </si>
  <si>
    <t>332,22</t>
  </si>
  <si>
    <t>86909</t>
  </si>
  <si>
    <t>TORNEIRA CROMADA TUBO MÓVEL, DE MESA, 1/2 OU 3/4, PARA PIA DE COZINHA, PADRÃO ALTO - FORNECIMENTO E INSTALAÇÃO. AF_01/2020</t>
  </si>
  <si>
    <t>86910</t>
  </si>
  <si>
    <t>TORNEIRA CROMADA TUBO MÓVEL, DE PAREDE, 1/2 OU 3/4, PARA PIA DE COZINHA, PADRÃO MÉDIO - FORNECIMENTO E INSTALAÇÃO. AF_01/2020</t>
  </si>
  <si>
    <t>88,06</t>
  </si>
  <si>
    <t>86911</t>
  </si>
  <si>
    <t>TORNEIRA CROMADA LONGA, DE PAREDE, 1/2 OU 3/4, PARA PIA DE COZINHA, PADRÃO POPULAR - FORNECIMENTO E INSTALAÇÃO. AF_01/2020</t>
  </si>
  <si>
    <t>60,49</t>
  </si>
  <si>
    <t>86913</t>
  </si>
  <si>
    <t>TORNEIRA CROMADA 1/2 OU 3/4 PARA TANQUE, PADRÃO POPULAR - FORNECIMENTO E INSTALAÇÃO. AF_01/2020</t>
  </si>
  <si>
    <t>86914</t>
  </si>
  <si>
    <t>TORNEIRA CROMADA 1/2 OU 3/4 PARA TANQUE, PADRÃO MÉDIO - FORNECIMENTO E INSTALAÇÃO. AF_01/2020</t>
  </si>
  <si>
    <t>68,04</t>
  </si>
  <si>
    <t>86915</t>
  </si>
  <si>
    <t>TORNEIRA CROMADA DE MESA, 1/2 OU 3/4, PARA LAVATÓRIO, PADRÃO MÉDIO - FORNECIMENTO E INSTALAÇÃO. AF_01/2020</t>
  </si>
  <si>
    <t>98,40</t>
  </si>
  <si>
    <t>86916</t>
  </si>
  <si>
    <t>TORNEIRA PLÁSTICA 3/4 PARA TANQUE - FORNECIMENTO E INSTALAÇÃO. AF_01/2020</t>
  </si>
  <si>
    <t>32,45</t>
  </si>
  <si>
    <t>86919</t>
  </si>
  <si>
    <t>TANQUE DE LOUÇA BRANCA COM COLUNA, 30L OU EQUIVALENTE, INCLUSO SIFÃO FLEXÍVEL EM PVC, VÁLVULA METÁLICA E TORNEIRA DE METAL CROMADO PADRÃO MÉDIO - FORNECIMENTO E INSTALAÇÃO. AF_01/2020</t>
  </si>
  <si>
    <t>705,52</t>
  </si>
  <si>
    <t>86920</t>
  </si>
  <si>
    <t>TANQUE DE LOUÇA BRANCA COM COLUNA, 30L OU EQUIVALENTE, INCLUSO SIFÃO FLEXÍVEL EM PVC, VÁLVULA PLÁSTICA E TORNEIRA DE METAL CROMADO PADRÃO POPULAR - FORNECIMENTO E INSTALAÇÃO. AF_01/2020</t>
  </si>
  <si>
    <t>629,53</t>
  </si>
  <si>
    <t>86921</t>
  </si>
  <si>
    <t>TANQUE DE LOUÇA BRANCA COM COLUNA, 30L OU EQUIVALENTE, INCLUSO SIFÃO FLEXÍVEL EM PVC, VÁLVULA PLÁSTICA E TORNEIRA DE PLÁSTICO - FORNECIMENTO E INSTALAÇÃO. AF_01/2020</t>
  </si>
  <si>
    <t>623,65</t>
  </si>
  <si>
    <t>86922</t>
  </si>
  <si>
    <t>TANQUE DE LOUÇA BRANCA SUSPENSO, 18L OU EQUIVALENTE, INCLUSO SIFÃO TIPO GARRAFA EM METAL CROMADO, VÁLVULA METÁLICA E TORNEIRA DE METAL CROMADO PADRÃO MÉDIO - FORNECIMENTO E INSTALAÇÃO. AF_01/2020</t>
  </si>
  <si>
    <t>681,14</t>
  </si>
  <si>
    <t>86923</t>
  </si>
  <si>
    <t>TANQUE DE LOUÇA BRANCA SUSPENSO, 18L OU EQUIVALENTE, INCLUSO SIFÃO TIPO GARRAFA EM PVC, VÁLVULA PLÁSTICA E TORNEIRA DE METAL CROMADO PADRÃO POPULAR - FORNECIMENTO E INSTALAÇÃO. AF_01/2020</t>
  </si>
  <si>
    <t>463,83</t>
  </si>
  <si>
    <t>86924</t>
  </si>
  <si>
    <t>TANQUE DE LOUÇA BRANCA SUSPENSO, 18L OU EQUIVALENTE, INCLUSO SIFÃO TIPO GARRAFA EM PVC, VÁLVULA PLÁSTICA E TORNEIRA DE PLÁSTICO - FORNECIMENTO E INSTALAÇÃO. AF_01/2020</t>
  </si>
  <si>
    <t>457,95</t>
  </si>
  <si>
    <t>86925</t>
  </si>
  <si>
    <t>TANQUE DE MÁRMORE SINTÉTICO COM COLUNA, 22L OU EQUIVALENTE, INCLUSO SIFÃO FLEXÍVEL EM PVC, VÁLVULA PLÁSTICA E TORNEIRA DE METAL CROMADO PADRÃO POPULAR - FORNECIMENTO E INSTALAÇÃO. AF_01/2020</t>
  </si>
  <si>
    <t>424,46</t>
  </si>
  <si>
    <t>86926</t>
  </si>
  <si>
    <t>TANQUE DE MÁRMORE SINTÉTICO COM COLUNA, 22L OU EQUIVALENTE, INCLUSO SIFÃO FLEXÍVEL EM PVC, VÁLVULA PLÁSTICA E TORNEIRA DE PLÁSTICO - FORNECIMENTO E INSTALAÇÃO. AF_01/2020</t>
  </si>
  <si>
    <t>418,58</t>
  </si>
  <si>
    <t>86927</t>
  </si>
  <si>
    <t>TANQUE DE MÁRMORE SINTÉTICO SUSPENSO, 22L OU EQUIVALENTE, INCLUSO SIFÃO TIPO GARRAFA EM PVC, VÁLVULA PLÁSTICA E TORNEIRA DE METAL CROMADO PADRÃO POPULAR - FORNEC. E INSTALAÇÃO. AF_01/2020</t>
  </si>
  <si>
    <t>276,30</t>
  </si>
  <si>
    <t>86928</t>
  </si>
  <si>
    <t>TANQUE DE MÁRMORE SINTÉTICO SUSPENSO, 22L OU EQUIVALENTE, INCLUSO SIFÃO TIPO GARRAFA EM PVC, VÁLVULA PLÁSTICA E TORNEIRA DE PLÁSTICO - FORNECIMENTO E INSTALAÇÃO. AF_01/2020</t>
  </si>
  <si>
    <t>270,42</t>
  </si>
  <si>
    <t>86929</t>
  </si>
  <si>
    <t>TANQUE DE MÁRMORE SINTÉTICO SUSPENSO, 22L OU EQUIVALENTE, INCLUSO SIFÃO FLEXÍVEL EM PVC, VÁLVULA PLÁSTICA E TORNEIRA DE METAL CROMADO PADRÃO POPULAR - FORNECIMENTO E INSTALAÇÃO. AF_01/2020</t>
  </si>
  <si>
    <t>268,86</t>
  </si>
  <si>
    <t>86930</t>
  </si>
  <si>
    <t>TANQUE DE MÁRMORE SINTÉTICO SUSPENSO, 22L OU EQUIVALENTE, INCLUSO SIFÃO FLEXÍVEL EM PVC, VÁLVULA PLÁSTICA E TORNEIRA DE PLÁSTICO - FORNECIMENTO E INSTALAÇÃO. AF_01/2020</t>
  </si>
  <si>
    <t>262,98</t>
  </si>
  <si>
    <t>86931</t>
  </si>
  <si>
    <t>VASO SANITÁRIO SIFONADO COM CAIXA ACOPLADA LOUÇA BRANCA, INCLUSO ENGATE FLEXÍVEL EM PLÁSTICO BRANCO, 1/2  X 40CM - FORNECIMENTO E INSTALAÇÃO. AF_01/2020</t>
  </si>
  <si>
    <t>401,81</t>
  </si>
  <si>
    <t>86932</t>
  </si>
  <si>
    <t>VASO SANITÁRIO SIFONADO COM CAIXA ACOPLADA LOUÇA BRANCA - PADRÃO MÉDIO, INCLUSO ENGATE FLEXÍVEL EM METAL CROMADO, 1/2  X 40CM - FORNECIMENTO E INSTALAÇÃO. AF_01/2020</t>
  </si>
  <si>
    <t>433,38</t>
  </si>
  <si>
    <t>86933</t>
  </si>
  <si>
    <t>BANCADA DE MÁRMORE SINTÉTICO 120 X 60CM, COM CUBA INTEGRADA, INCLUSO SIFÃO TIPO GARRAFA EM PVC, VÁLVULA EM PLÁSTICO CROMADO TIPO AMERICANA E TORNEIRA CROMADA LONGA, DE PAREDE, PADRÃO POPULAR - FORNECIMENTO E INSTALAÇÃO. AF_01/2020</t>
  </si>
  <si>
    <t>343,45</t>
  </si>
  <si>
    <t>86934</t>
  </si>
  <si>
    <t>BANCADA DE MÁRMORE SINTÉTICO 120 X 60CM, COM CUBA INTEGRADA, INCLUSO SIFÃO TIPO FLEXÍVEL EM PVC, VÁLVULA EM PLÁSTICO CROMADO TIPO AMERICANA E TORNEIRA CROMADA LONGA, DE PAREDE, PADRÃO POPULAR - FORNECIMENTO E INSTALAÇÃO. AF_01/2020</t>
  </si>
  <si>
    <t>336,01</t>
  </si>
  <si>
    <t>86935</t>
  </si>
  <si>
    <t>CUBA DE EMBUTIR DE AÇO INOXIDÁVEL MÉDIA, INCLUSO VÁLVULA TIPO AMERICANA EM METAL CROMADO E SIFÃO FLEXÍVEL EM PVC - FORNECIMENTO E INSTALAÇÃO. AF_01/2020</t>
  </si>
  <si>
    <t>254,22</t>
  </si>
  <si>
    <t>86936</t>
  </si>
  <si>
    <t>CUBA DE EMBUTIR DE AÇO INOXIDÁVEL MÉDIA, INCLUSO VÁLVULA TIPO AMERICANA E SIFÃO TIPO GARRAFA EM METAL CROMADO - FORNECIMENTO E INSTALAÇÃO. AF_01/2020</t>
  </si>
  <si>
    <t>402,98</t>
  </si>
  <si>
    <t>86937</t>
  </si>
  <si>
    <t>CUBA DE EMBUTIR OVAL EM LOUÇA BRANCA, 35 X 50CM OU EQUIVALENTE, INCLUSO VÁLVULA EM METAL CROMADO E SIFÃO FLEXÍVEL EM PVC - FORNECIMENTO E INSTALAÇÃO. AF_01/2020</t>
  </si>
  <si>
    <t>185,02</t>
  </si>
  <si>
    <t>86938</t>
  </si>
  <si>
    <t>CUBA DE EMBUTIR OVAL EM LOUÇA BRANCA, 35 X 50CM OU EQUIVALENTE, INCLUSO VÁLVULA E SIFÃO TIPO GARRAFA EM METAL CROMADO - FORNECIMENTO E INSTALAÇÃO. AF_01/2020</t>
  </si>
  <si>
    <t>333,78</t>
  </si>
  <si>
    <t>86939</t>
  </si>
  <si>
    <t>LAVATÓRIO LOUÇA BRANCA COM COLUNA, *44 X 35,5* CM, PADRÃO POPULAR, INCLUSO SIFÃO FLEXÍVEL EM PVC, VÁLVULA E ENGATE FLEXÍVEL 30CM EM PLÁSTICO E COM TORNEIRA CROMADA PADRÃO POPULAR - FORNECIMENTO E INSTALAÇÃO. AF_01/2020</t>
  </si>
  <si>
    <t>326,42</t>
  </si>
  <si>
    <t>86940</t>
  </si>
  <si>
    <t>LAVATÓRIO LOUÇA BRANCA COM COLUNA, 45 X 55CM OU EQUIVALENTE, PADRÃO MÉDIO, INCLUSO SIFÃO TIPO GARRAFA, VÁLVULA E ENGATE FLEXÍVEL DE 40CM EM METAL CROMADO, COM APARELHO MISTURADOR PADRÃO MÉDIO - FORNECIMENTO E INSTALAÇÃO. AF_01/2020</t>
  </si>
  <si>
    <t>858,62</t>
  </si>
  <si>
    <t>86941</t>
  </si>
  <si>
    <t>LAVATÓRIO LOUÇA BRANCA COM COLUNA, 45 X 55CM OU EQUIVALENTE, PADRÃO MÉDIO, INCLUSO SIFÃO TIPO GARRAFA, VÁLVULA E ENGATE FLEXÍVEL DE 40CM EM METAL CROMADO, COM TORNEIRA CROMADA DE MESA, PADRÃO MÉDIO - FORNECIMENTO E INSTALAÇÃO. AF_01/2020</t>
  </si>
  <si>
    <t>635,87</t>
  </si>
  <si>
    <t>86942</t>
  </si>
  <si>
    <t>LAVATÓRIO LOUÇA BRANCA SUSPENSO, 29,5 X 39CM OU EQUIVALENTE, PADRÃO POPULAR, INCLUSO SIFÃO TIPO GARRAFA EM PVC, VÁLVULA E ENGATE FLEXÍVEL 30CM EM PLÁSTICO E TORNEIRA CROMADA DE MESA, PADRÃO POPULAR - FORNECIMENTO E INSTALAÇÃO. AF_01/2020</t>
  </si>
  <si>
    <t>200,74</t>
  </si>
  <si>
    <t>86943</t>
  </si>
  <si>
    <t>LAVATÓRIO LOUÇA BRANCA SUSPENSO, 29,5 X 39CM OU EQUIVALENTE, PADRÃO POPULAR, INCLUSO SIFÃO FLEXÍVEL EM PVC, VÁLVULA E ENGATE FLEXÍVEL 30CM EM PLÁSTICO E TORNEIRA CROMADA DE MESA, PADRÃO POPULAR - FORNECIMENTO E INSTALAÇÃO. AF_01/2020</t>
  </si>
  <si>
    <t>193,30</t>
  </si>
  <si>
    <t>86947</t>
  </si>
  <si>
    <t>BANCADA MÁRMORE BRANCO, 50 X 60 CM, INCLUSO CUBA DE EMBUTIR OVAL EM LOUÇA BRANCA 35 X 50 CM, VÁLVULA, SIFÃO TIPO GARRAFA E ENGATE FLEXÍVEL 40 CM EM METAL CROMADO E APARELHO MISTURADOR DE MESA, PADRÃO MÉDIO - FORNEC. E INSTALAÇÃO. AF_01/2020</t>
  </si>
  <si>
    <t>967,99</t>
  </si>
  <si>
    <t>93396</t>
  </si>
  <si>
    <t>BANCADA GRANITO CINZA,  50 X 60 CM, INCL. CUBA DE EMBUTIR OVAL LOUÇA BRANCA 35 X 50 CM, VÁLVULA METAL CROMADO, SIFÃO FLEXÍVEL PVC, ENGATE 30 CM FLEXÍVEL PLÁSTICO E TORNEIRA CROMADA DE MESA, PADRÃO POPULAR - FORNEC. E INSTALAÇÃO. AF_01/2020</t>
  </si>
  <si>
    <t>490,10</t>
  </si>
  <si>
    <t>93441</t>
  </si>
  <si>
    <t>BANCADA GRANITO CINZA  150 X 60 CM, COM CUBA DE EMBUTIR DE AÇO, VÁLVULA AMERICANA EM METAL, SIFÃO FLEXÍVEL EM PVC, ENGATE FLEXÍVEL 30 CM, TORNEIRA CROMADA LONGA, DE PAREDE, 1/2 OU 3/4, P/ COZINHA, PADRÃO POPULAR - FORNEC. E INSTALAÇÃO. AF_01/2020</t>
  </si>
  <si>
    <t>740,21</t>
  </si>
  <si>
    <t>93442</t>
  </si>
  <si>
    <t>BANCADA MÁRMORE BRANCO 150 X 60 CM, COM CUBA DE EMBUTIR DE AÇO, VÁLVULA AMERICANA E SIFÃO TIPO GARRAFA EM METAL , ENGATE FLEXÍVEL 30 CM, TORNEIRA CROMADA, DE MESA, 1/2 OU 3/4, PARA PIA COZINHA, PADRÃO ALTO - FORNEC. E INSTALAÇÃO. AF_01/2020</t>
  </si>
  <si>
    <t>985,16</t>
  </si>
  <si>
    <t>95469</t>
  </si>
  <si>
    <t>VASO SANITARIO SIFONADO CONVENCIONAL COM  LOUÇA BRANCA - FORNECIMENTO E INSTALAÇÃO. AF_01/2020</t>
  </si>
  <si>
    <t>239,35</t>
  </si>
  <si>
    <t>95470</t>
  </si>
  <si>
    <t>VASO SANITARIO SIFONADO CONVENCIONAL COM LOUÇA BRANCA, INCLUSO CONJUNTO DE LIGAÇÃO PARA BACIA SANITÁRIA AJUSTÁVEL - FORNECIMENTO E INSTALAÇÃO. AF_10/2016</t>
  </si>
  <si>
    <t>249,19</t>
  </si>
  <si>
    <t>95471</t>
  </si>
  <si>
    <t>VASO SANITARIO SIFONADO CONVENCIONAL PARA PCD SEM FURO FRONTAL COM  LOUÇA BRANCA SEM ASSENTO -  FORNECIMENTO E INSTALAÇÃO. AF_01/2020</t>
  </si>
  <si>
    <t>613,11</t>
  </si>
  <si>
    <t>95472</t>
  </si>
  <si>
    <t>VASO SANITARIO SIFONADO CONVENCIONAL PARA PCD SEM FURO FRONTAL COM LOUÇA BRANCA SEM ASSENTO, INCLUSO CONJUNTO DE LIGAÇÃO PARA BACIA SANITÁRIA AJUSTÁVEL - FORNECIMENTO E INSTALAÇÃO. AF_01/2020</t>
  </si>
  <si>
    <t>622,95</t>
  </si>
  <si>
    <t>95542</t>
  </si>
  <si>
    <t>PORTA TOALHA ROSTO EM METAL CROMADO, TIPO ARGOLA, INCLUSO FIXAÇÃO. AF_01/2020</t>
  </si>
  <si>
    <t>95543</t>
  </si>
  <si>
    <t>PORTA TOALHA BANHO EM METAL CROMADO, TIPO BARRA, INCLUSO FIXAÇÃO. AF_01/2020</t>
  </si>
  <si>
    <t>95544</t>
  </si>
  <si>
    <t>PAPELEIRA DE PAREDE EM METAL CROMADO SEM TAMPA, INCLUSO FIXAÇÃO. AF_01/2020</t>
  </si>
  <si>
    <t>33,55</t>
  </si>
  <si>
    <t>95545</t>
  </si>
  <si>
    <t>SABONETEIRA DE PAREDE EM METAL CROMADO, INCLUSO FIXAÇÃO. AF_01/2020</t>
  </si>
  <si>
    <t>95546</t>
  </si>
  <si>
    <t>KIT DE ACESSORIOS PARA BANHEIRO EM METAL CROMADO, 5 PECAS, INCLUSO FIXAÇÃO. AF_01/2020</t>
  </si>
  <si>
    <t>116,24</t>
  </si>
  <si>
    <t>95547</t>
  </si>
  <si>
    <t>SABONETEIRA PLASTICA TIPO DISPENSER PARA SABONETE LIQUIDO COM RESERVATORIO 800 A 1500 ML, INCLUSO FIXAÇÃO. AF_01/2020</t>
  </si>
  <si>
    <t>74,13</t>
  </si>
  <si>
    <t>100848</t>
  </si>
  <si>
    <t>VASO SANITÁRIO INFANTIL LOUÇA BRANCA - FORNECIMENTO E INSTALACAO. AF_01/2020</t>
  </si>
  <si>
    <t>440,80</t>
  </si>
  <si>
    <t>100849</t>
  </si>
  <si>
    <t>ASSENTO SANITÁRIO CONVENCIONAL - FORNECIMENTO E INSTALACAO. AF_01/2020</t>
  </si>
  <si>
    <t>44,04</t>
  </si>
  <si>
    <t>100851</t>
  </si>
  <si>
    <t>ASSENTO SANITÁRIO INFANTIL - FORNECIMENTO E INSTALACAO. AF_01/2020</t>
  </si>
  <si>
    <t>88,95</t>
  </si>
  <si>
    <t>100852</t>
  </si>
  <si>
    <t>CUBA DE EMBUTIR RETANGULAR DE AÇO INOXIDÁVEL, 56 X 33 X 12 CM - FORNECIMENTO E INSTALAÇÃO. AF_01/2020</t>
  </si>
  <si>
    <t>205,47</t>
  </si>
  <si>
    <t>100853</t>
  </si>
  <si>
    <t>TORNEIRA CROMADA DE MESA PARA LAVATORIO, TIPO MONOCOMANDO. AF_01/2020</t>
  </si>
  <si>
    <t>237,46</t>
  </si>
  <si>
    <t>100854</t>
  </si>
  <si>
    <t>TORNEIRA CROMADA DE MESA PARA LAVATÓRIO COM SENSOR DE PRESENCA. AF_01/2020</t>
  </si>
  <si>
    <t>1.227,70</t>
  </si>
  <si>
    <t>100855</t>
  </si>
  <si>
    <t>SABONETEIRA DE PAREDE EM PLASTICO ABS COM ACABAMENTO CROMADO E ACRILICO, INCLUSO FIXAÇÃO. AF_01/2020</t>
  </si>
  <si>
    <t>100856</t>
  </si>
  <si>
    <t>MANOPLA E CANOPLA CROMADA  FORNECIMENTO E INSTALAÇÃO. AF_01/2020</t>
  </si>
  <si>
    <t>100857</t>
  </si>
  <si>
    <t>ACABAMENTO MONOCOMANDO PARA CHUVEIRO  FORNECIMENTO E INSTALAÇÃO. AF_01/2020</t>
  </si>
  <si>
    <t>360,65</t>
  </si>
  <si>
    <t>100858</t>
  </si>
  <si>
    <t>MICTÓRIO SIFONADO LOUÇA BRANCA  PADRÃO MÉDIO  FORNECIMENTO E INSTALAÇÃO. AF_01/2020</t>
  </si>
  <si>
    <t>538,34</t>
  </si>
  <si>
    <t>100859</t>
  </si>
  <si>
    <t>MICTÓRIO SIFONADO LOUÇA BRANCA PARA ENTRADA DE ÁGUA EMBUTIDA  PADRÃO ALTO  FORNECIMENTO E INSTALAÇÃO. AF_01/2020</t>
  </si>
  <si>
    <t>808,85</t>
  </si>
  <si>
    <t>100860</t>
  </si>
  <si>
    <t>CHUVEIRO ELÉTRICO COMUM CORPO PLÁSTICO, TIPO DUCHA  FORNECIMENTO E INSTALAÇÃO. AF_01/2020</t>
  </si>
  <si>
    <t>78,92</t>
  </si>
  <si>
    <t>100861</t>
  </si>
  <si>
    <t>SUPORTE MÃO FRANCESA EM AÇO, ABAS IGUAIS 30 CM, CAPACIDADE MINIMA 60 KG, BRANCO - FORNECIMENTO E INSTALAÇÃO. AF_01/2020</t>
  </si>
  <si>
    <t>100862</t>
  </si>
  <si>
    <t>SUPORTE MÃO FRANCESA EM ACO, ABAS IGUAIS 40 CM, CAPACIDADE MINIMA 70 KG, BRANCO - FORNECIMENTO E INSTALAÇÃO. AF_01/2020</t>
  </si>
  <si>
    <t>51,41</t>
  </si>
  <si>
    <t>100863</t>
  </si>
  <si>
    <t>BARRA DE APOIO EM "L", EM ACO INOX POLIDO 70 X 70 CM, FIXADA NA PAREDE - FORNECIMENTO E INSTALACAO. AF_01/2020</t>
  </si>
  <si>
    <t>499,69</t>
  </si>
  <si>
    <t>100864</t>
  </si>
  <si>
    <t>BARRA DE APOIO EM "L", EM ACO INOX POLIDO 80 X 80 CM, FIXADA NA PAREDE - FORNECIMENTO E INSTALACAO. AF_01/2020</t>
  </si>
  <si>
    <t>548,53</t>
  </si>
  <si>
    <t>100865</t>
  </si>
  <si>
    <t>BARRA DE APOIO LATERAL ARTICULADA, COM TRAVA, EM ACO INOX POLIDO, FIXADA NA PAREDE - FORNECIMENTO E INSTALAÇÃO. AF_01/2020</t>
  </si>
  <si>
    <t>485,80</t>
  </si>
  <si>
    <t>100866</t>
  </si>
  <si>
    <t>BARRA DE APOIO RETA, EM ACO INOX POLIDO, COMPRIMENTO 60CM, FIXADA NA PAREDE - FORNECIMENTO E INSTALAÇÃO. AF_01/2020</t>
  </si>
  <si>
    <t>258,25</t>
  </si>
  <si>
    <t>100867</t>
  </si>
  <si>
    <t>BARRA DE APOIO RETA, EM ACO INOX POLIDO, COMPRIMENTO 70 CM,  FIXADA NA PAREDE - FORNECIMENTO E INSTALAÇÃO. AF_01/2020</t>
  </si>
  <si>
    <t>100868</t>
  </si>
  <si>
    <t>BARRA DE APOIO RETA, EM ACO INOX POLIDO, COMPRIMENTO 80 CM,  FIXADA NA PAREDE - FORNECIMENTO E INSTALAÇÃO. AF_01/2020</t>
  </si>
  <si>
    <t>285,07</t>
  </si>
  <si>
    <t>100869</t>
  </si>
  <si>
    <t>BARRA DE APOIO RETA, EM ACO INOX POLIDO, COMPRIMENTO 90 CM,  FIXADA NA PAREDE - FORNECIMENTO E INSTALAÇÃO. AF_01/2020</t>
  </si>
  <si>
    <t>293,29</t>
  </si>
  <si>
    <t>100870</t>
  </si>
  <si>
    <t>BARRA DE APOIO RETA, EM ALUMINIO, COMPRIMENTO 60 CM,  FIXADA NA PAREDE - FORNECIMENTO E INSTALAÇÃO. AF_01/2020</t>
  </si>
  <si>
    <t>239,84</t>
  </si>
  <si>
    <t>100871</t>
  </si>
  <si>
    <t>BARRA DE APOIO RETA, EM ALUMINIO, COMPRIMENTO 70 CM,  FIXADA NA PAREDE - FORNECIMENTO E INSTALAÇÃO. AF_01/2020</t>
  </si>
  <si>
    <t>258,51</t>
  </si>
  <si>
    <t>100872</t>
  </si>
  <si>
    <t>BARRA DE APOIO RETA, EM ALUMINIO, COMPRIMENTO 80 CM,  FIXADA NA PAREDE - FORNECIMENTO E INSTALAÇÃO. AF_01/2020</t>
  </si>
  <si>
    <t>100873</t>
  </si>
  <si>
    <t>BARRA DE APOIO RETA, EM ALUMINIO, COMPRIMENTO 90 CM,  FIXADA NA PAREDE - FORNECIMENTO E INSTALAÇÃO. AF_01/2020</t>
  </si>
  <si>
    <t>277,86</t>
  </si>
  <si>
    <t>100874</t>
  </si>
  <si>
    <t>PUXADOR PARA PCD, FIXADO NA PORTA - FORNECIMENTO E INSTALAÇÃO. AF_01/2020</t>
  </si>
  <si>
    <t>100875</t>
  </si>
  <si>
    <t>BANCO ARTICULADO, EM ACO INOX, PARA PCD, FIXADO NA PAREDE - FORNECIMENTO E INSTALAÇÃO. AF_01/2020</t>
  </si>
  <si>
    <t>896,93</t>
  </si>
  <si>
    <t>100878</t>
  </si>
  <si>
    <t>VASO SANITÁRIO SIFONADO COM CAIXA ACOPLADA, LOUÇA BRANCA - PADRÃO ALTO - FORNECIMENTO E INSTALAÇÃO. AF_01/2020</t>
  </si>
  <si>
    <t>524,93</t>
  </si>
  <si>
    <t>98052</t>
  </si>
  <si>
    <t>TANQUE SÉPTICO CIRCULAR, EM CONCRETO PRÉ-MOLDADO, DIÂMETRO INTERNO = 1,10 M, ALTURA INTERNA = 2,50 M, VOLUME ÚTIL: 2138,2 L (PARA 5 CONTRIBUINTES). AF_12/2020</t>
  </si>
  <si>
    <t>1.633,12</t>
  </si>
  <si>
    <t>98053</t>
  </si>
  <si>
    <t>TANQUE SÉPTICO CIRCULAR, EM CONCRETO PRÉ-MOLDADO, DIÂMETRO INTERNO = 1,40 M, ALTURA INTERNA = 2,50 M, VOLUME ÚTIL: 3463,6 L (PARA 13 CONTRIBUINTES). AF_12/2020</t>
  </si>
  <si>
    <t>2.224,71</t>
  </si>
  <si>
    <t>98054</t>
  </si>
  <si>
    <t>TANQUE SÉPTICO CIRCULAR, EM CONCRETO PRÉ-MOLDADO, DIÂMETRO INTERNO = 1,88 M, ALTURA INTERNA = 2,50 M, VOLUME ÚTIL: 6245,8 L (PARA 32 CONTRIBUINTES). AF_12/2020</t>
  </si>
  <si>
    <t>3.508,18</t>
  </si>
  <si>
    <t>98055</t>
  </si>
  <si>
    <t>TANQUE SÉPTICO CIRCULAR, EM CONCRETO PRÉ-MOLDADO, DIÂMETRO INTERNO = 2,38 M, ALTURA INTERNA = 2,50 M, VOLUME ÚTIL: 10009,8 L (PARA 69 CONTRIBUINTES). AF_12/2020</t>
  </si>
  <si>
    <t>4.750,34</t>
  </si>
  <si>
    <t>98056</t>
  </si>
  <si>
    <t>TANQUE SÉPTICO CIRCULAR, EM CONCRETO PRÉ-MOLDADO, DIÂMETRO INTERNO = 2,38 M, ALTURA INTERNA = 3,0 M, VOLUME ÚTIL: 12234,2 L (PARA 86 CONTRIBUINTES). AF_12/2020</t>
  </si>
  <si>
    <t>5.506,73</t>
  </si>
  <si>
    <t>98057</t>
  </si>
  <si>
    <t>TANQUE SÉPTICO CIRCULAR, EM CONCRETO PRÉ-MOLDADO, DIÂMETRO INTERNO = 2,88 M, ALTURA INTERNA = 2,50 M, VOLUME ÚTIL: 14657,4 L (PARA 105 CONTRIBUINTES). AF_12/2020</t>
  </si>
  <si>
    <t>6.518,92</t>
  </si>
  <si>
    <t>98058</t>
  </si>
  <si>
    <t>FILTRO ANAERÓBIO CIRCULAR, EM CONCRETO PRÉ-MOLDADO, DIÂMETRO INTERNO = 1,10 M, ALTURA INTERNA = 1,50 M, VOLUME ÚTIL: 1140,4 L (PARA 5 CONTRIBUINTES). AF_12/2020</t>
  </si>
  <si>
    <t>1.455,69</t>
  </si>
  <si>
    <t>98059</t>
  </si>
  <si>
    <t>FILTRO ANAERÓBIO CIRCULAR, EM CONCRETO PRÉ-MOLDADO, DIÂMETRO INTERNO = 1,88 M, ALTURA INTERNA = 1,50 M, VOLUME ÚTIL: 3331,1 L (PARA 19 CONTRIBUINTES). AF_12/2020</t>
  </si>
  <si>
    <t>3.070,06</t>
  </si>
  <si>
    <t>98060</t>
  </si>
  <si>
    <t>FILTRO ANAERÓBIO CIRCULAR, EM CONCRETO PRÉ-MOLDADO, DIÂMETRO INTERNO = 2,38 M, ALTURA INTERNA = 1,50 M, VOLUME ÚTIL: 5338,6 L (PARA 34 CONTRIBUINTES). AF_12/2020</t>
  </si>
  <si>
    <t>4.298,99</t>
  </si>
  <si>
    <t>98061</t>
  </si>
  <si>
    <t>FILTRO ANAERÓBIO CIRCULAR, EM CONCRETO PRÉ-MOLDADO, DIÂMETRO INTERNO = 2,88 M, ALTURA INTERNA = 1,50 M, VOLUME ÚTIL: 7817,3 L (PARA 75 CONTRIBUINTES). AF_12/2020</t>
  </si>
  <si>
    <t>5.954,02</t>
  </si>
  <si>
    <t>98062</t>
  </si>
  <si>
    <t>SUMIDOURO CIRCULAR, EM CONCRETO PRÉ-MOLDADO, DIÂMETRO INTERNO = 1,88 M, ALTURA INTERNA = 2,00 M, ÁREA DE INFILTRAÇÃO: 13,1 M² (PARA 5 CONTRIBUINTES). AF_12/2020</t>
  </si>
  <si>
    <t>2.256,82</t>
  </si>
  <si>
    <t>98063</t>
  </si>
  <si>
    <t>SUMIDOURO CIRCULAR, EM CONCRETO PRÉ-MOLDADO, DIÂMETRO INTERNO = 2,38 M, ALTURA INTERNA = 2,50 M, ÁREA DE INFILTRAÇÃO: 21,3 M² (PARA 8 CONTRIBUINTES). AF_12/2020</t>
  </si>
  <si>
    <t>3.427,91</t>
  </si>
  <si>
    <t>98064</t>
  </si>
  <si>
    <t>SUMIDOURO CIRCULAR, EM CONCRETO PRÉ-MOLDADO, DIÂMETRO INTERNO = 2,38 M, ALTURA INTERNA = 3,0 M, ÁREA DE INFILTRAÇÃO: 25 M² (PARA 10 CONTRIBUINTES). AF_12/2020</t>
  </si>
  <si>
    <t>3.923,53</t>
  </si>
  <si>
    <t>98065</t>
  </si>
  <si>
    <t>SUMIDOURO CIRCULAR, EM CONCRETO PRÉ-MOLDADO, DIÂMETRO INTERNO = 2,88 M, ALTURA INTERNA = 3,0 M, ÁREA DE INFILTRAÇÃO: 31,4 M² (PARA 12 CONTRIBUINTES). AF_12/2020</t>
  </si>
  <si>
    <t>5.414,22</t>
  </si>
  <si>
    <t>98066</t>
  </si>
  <si>
    <t>TANQUE SÉPTICO RETANGULAR, EM ALVENARIA COM TIJOLOS CERÂMICOS MACIÇOS, DIMENSÕES INTERNAS: 1,0 X 2,0 X 1,4 M, VOLUME ÚTIL: 2000 L (PARA 5 CONTRIBUINTES). AF_12/2020</t>
  </si>
  <si>
    <t>4.670,10</t>
  </si>
  <si>
    <t>98067</t>
  </si>
  <si>
    <t>TANQUE SÉPTICO RETANGULAR, EM ALVENARIA COM TIJOLOS CERÂMICOS MACIÇOS, DIMENSÕES INTERNAS: 1,2 X 2,4 X 1,6 M, VOLUME ÚTIL: 3456 L (PARA 13 CONTRIBUINTES). AF_12/2020</t>
  </si>
  <si>
    <t>6.227,00</t>
  </si>
  <si>
    <t>98068</t>
  </si>
  <si>
    <t>TANQUE SÉPTICO RETANGULAR, EM ALVENARIA COM TIJOLOS CERÂMICOS MACIÇOS, DIMENSÕES INTERNAS: 1,4 X 3,2 X 1,8 M, VOLUME ÚTIL: 6272 L (PARA 32 CONTRIBUINTES). AF_12/2020</t>
  </si>
  <si>
    <t>8.793,37</t>
  </si>
  <si>
    <t>98069</t>
  </si>
  <si>
    <t>TANQUE SÉPTICO RETANGULAR, EM ALVENARIA COM TIJOLOS CERÂMICOS MACIÇOS, DIMENSÕES INTERNAS: 1,6 X 4,4 X 1,8 M, VOLUME ÚTIL: 9856 L (PARA 68 CONTRIBUINTES). AF_12/2020</t>
  </si>
  <si>
    <t>11.799,94</t>
  </si>
  <si>
    <t>98070</t>
  </si>
  <si>
    <t>TANQUE SÉPTICO RETANGULAR, EM ALVENARIA COM TIJOLOS CERÂMICOS MACIÇOS, DIMENSÕES INTERNAS: 1,6 X 4,8 X 2,0 M, VOLUME ÚTIL: 12288 L (PARA 86 CONTRIBUINTES). AF_12/2020</t>
  </si>
  <si>
    <t>13.498,87</t>
  </si>
  <si>
    <t>98071</t>
  </si>
  <si>
    <t>TANQUE SÉPTICO RETANGULAR, EM ALVENARIA COM TIJOLOS CERÂMICOS MACIÇOS, DIMENSÕES INTERNAS: 1,6 X 4,6 X 2,4 M, VOLUME ÚTIL: 14720 L (PARA 105 CONTRIBUINTES). AF_12/2020</t>
  </si>
  <si>
    <t>14.768,68</t>
  </si>
  <si>
    <t>98072</t>
  </si>
  <si>
    <t>FILTRO ANAERÓBIO RETANGULAR, EM ALVENARIA COM TIJOLOS CERÂMICOS MACIÇOS, DIMENSÕES INTERNAS: 0,8 X 1,2 X 1,67 M, VOLUME ÚTIL: 1152 L (PARA 5 CONTRIBUINTES). AF_12/2020</t>
  </si>
  <si>
    <t>3.925,86</t>
  </si>
  <si>
    <t>98073</t>
  </si>
  <si>
    <t>FILTRO ANAERÓBIO RETANGULAR, EM ALVENARIA COM TIJOLOS CERÂMICOS MACIÇOS, DIMENSÕES INTERNAS: 1,2 X 1,8 X 1,67 M, VOLUME ÚTIL: 2592 L (PARA 13 CONTRIBUINTES). AF_12/2020</t>
  </si>
  <si>
    <t>6.126,47</t>
  </si>
  <si>
    <t>98074</t>
  </si>
  <si>
    <t>FILTRO ANAERÓBIO RETANGULAR, EM ALVENARIA COM TIJOLOS CERÂMICOS MACIÇOS, DIMENSÕES INTERNAS: 1,4 X 3,0 X 1,67 M, VOLUME ÚTIL: 5040 L (PARA 32 CONTRIBUINTES). AF_12/2020</t>
  </si>
  <si>
    <t>9.499,07</t>
  </si>
  <si>
    <t>98075</t>
  </si>
  <si>
    <t>FILTRO ANAERÓBIO RETANGULAR, EM ALVENARIA COM TIJOLOS CERÂMICOS MACIÇOS, DIMENSÕES INTERNAS: 1,4 X 4,2 X 1,67 M, VOLUME ÚTIL: 7056 L (PARA 67 CONTRIBUINTES). AF_12/2020</t>
  </si>
  <si>
    <t>12.343,59</t>
  </si>
  <si>
    <t>98076</t>
  </si>
  <si>
    <t>FILTRO ANAERÓBIO RETANGULAR, EM ALVENARIA COM TIJOLOS CERÂMICOS MACIÇOS, DIMENSÕES INTERNAS: 1,6 X 4,6 X 1,67 M, VOLUME ÚTIL: 8832 L (PARA 84 CONTRIBUINTES). AF_12/2020</t>
  </si>
  <si>
    <t>14.218,36</t>
  </si>
  <si>
    <t>98077</t>
  </si>
  <si>
    <t>FILTRO ANAERÓBIO RETANGULAR, EM ALVENARIA COM TIJOLOS CERÂMICOS MACIÇOS, DIMENSÕES INTERNAS: 1,6 X 5,6 X 1,67 M, VOLUME ÚTIL: 10752 L (PARA 103 CONTRIBUINTES). AF_12/2020</t>
  </si>
  <si>
    <t>16.733,89</t>
  </si>
  <si>
    <t>98078</t>
  </si>
  <si>
    <t>SUMIDOURO RETANGULAR, EM ALVENARIA COM TIJOLOS CERÂMICOS MACIÇOS, DIMENSÕES INTERNAS: 0,8 X 1,4 X 3,0 M, ÁREA DE INFILTRAÇÃO: 13,2 M² (PARA 5 CONTRIBUINTES). AF_12/2020</t>
  </si>
  <si>
    <t>3.865,45</t>
  </si>
  <si>
    <t>98079</t>
  </si>
  <si>
    <t>SUMIDOURO RETANGULAR, EM ALVENARIA COM TIJOLOS CERÂMICOS MACIÇOS, DIMENSÕES INTERNAS: 1,0 X 3,0 X 3,0 M, ÁREA DE INFILTRAÇÃO: 25 M² (PARA 10 CONTRIBUINTES). AF_12/2020</t>
  </si>
  <si>
    <t>6.784,51</t>
  </si>
  <si>
    <t>98080</t>
  </si>
  <si>
    <t>SUMIDOURO RETANGULAR, EM ALVENARIA COM TIJOLOS CERÂMICOS MACIÇOS, DIMENSÕES INTERNAS: 1,6 X 3,4 X 3,0 M, ÁREA DE INFILTRAÇÃO: 32,9 M² (PARA 13 CONTRIBUINTES). AF_12/2020</t>
  </si>
  <si>
    <t>8.742,90</t>
  </si>
  <si>
    <t>98081</t>
  </si>
  <si>
    <t>SUMIDOURO RETANGULAR, EM ALVENARIA COM TIJOLOS CERÂMICOS MACIÇOS, DIMENSÕES INTERNAS: 1,6 X 5,8 X 3,0 M, ÁREA DE INFILTRAÇÃO: 50 M² (PARA 20 CONTRIBUINTES). AF_12/2020</t>
  </si>
  <si>
    <t>12.966,73</t>
  </si>
  <si>
    <t>98082</t>
  </si>
  <si>
    <t>TANQUE SÉPTICO RETANGULAR, EM ALVENARIA COM BLOCOS DE CONCRETO, DIMENSÕES INTERNAS: 1,0 X 2,0 X 1,4 M, VOLUME ÚTIL: 2000 L (PARA 5 CONTRIBUINTES). AF_12/2020</t>
  </si>
  <si>
    <t>3.590,10</t>
  </si>
  <si>
    <t>98083</t>
  </si>
  <si>
    <t>TANQUE SÉPTICO RETANGULAR, EM ALVENARIA COM BLOCOS DE CONCRETO, DIMENSÕES INTERNAS: 1,2 X 2,4 X 1,6 M, VOLUME ÚTIL: 3456 L (PARA 13 CONTRIBUINTES). AF_12/2020</t>
  </si>
  <si>
    <t>4.736,50</t>
  </si>
  <si>
    <t>98084</t>
  </si>
  <si>
    <t>TANQUE SÉPTICO RETANGULAR, EM ALVENARIA COM BLOCOS DE CONCRETO, DIMENSÕES INTERNAS: 1,4 X 3,2 X 1,8 M, VOLUME ÚTIL: 6272 L (PARA 32 CONTRIBUINTES). AF_12/2020</t>
  </si>
  <si>
    <t>6.643,09</t>
  </si>
  <si>
    <t>98085</t>
  </si>
  <si>
    <t>TANQUE SÉPTICO RETANGULAR, EM ALVENARIA COM BLOCOS DE CONCRETO, DIMENSÕES INTERNAS: 1,6 X 4,4 X 1,8 M, VOLUME ÚTIL: 9856 L (PARA 68 CONTRIBUINTES). AF_12/2020</t>
  </si>
  <si>
    <t>9.008,66</t>
  </si>
  <si>
    <t>98086</t>
  </si>
  <si>
    <t>TANQUE SÉPTICO RETANGULAR, EM ALVENARIA COM BLOCOS DE CONCRETO, DIMENSÕES INTERNAS: 1,6 X 4,8 X 2,0 M, VOLUME ÚTIL: 12288 L (PARA 86 CONTRIBUINTES). AF_12/2020</t>
  </si>
  <si>
    <t>10.170,23</t>
  </si>
  <si>
    <t>98087</t>
  </si>
  <si>
    <t>TANQUE SÉPTICO RETANGULAR, EM ALVENARIA COM BLOCOS DE CONCRETO, DIMENSÕES INTERNAS: 1,6 X 4,6 X 2,4 M, VOLUME ÚTIL: 14720 L (PARA 105 CONTRIBUINTES). AF_12/2020</t>
  </si>
  <si>
    <t>10.857,52</t>
  </si>
  <si>
    <t>98088</t>
  </si>
  <si>
    <t>FILTRO ANAERÓBIO RETANGULAR, EM ALVENARIA COM BLOCOS DE CONCRETO, DIMENSÕES INTERNAS: 0,8 X 1,2 X 1,67 M, VOLUME ÚTIL: 1152 L (PARA 5 CONTRIBUINTES). AF_12/2020</t>
  </si>
  <si>
    <t>3.080,22</t>
  </si>
  <si>
    <t>98089</t>
  </si>
  <si>
    <t>FILTRO ANAERÓBIO RETANGULAR, EM ALVENARIA COM BLOCOS DE CONCRETO, DIMENSÕES INTERNAS: 1,2 X 1,8 X 1,67 M, VOLUME ÚTIL: 2592 L (PARA 13 CONTRIBUINTES). AF_12/2020</t>
  </si>
  <si>
    <t>4.866,35</t>
  </si>
  <si>
    <t>98090</t>
  </si>
  <si>
    <t>FILTRO ANAERÓBIO RETANGULAR, EM ALVENARIA COM BLOCOS DE CONCRETO, DIMENSÕES INTERNAS: 1,4 X 3,0 X 1,67 M, VOLUME ÚTIL: 5040 L (PARA 32 CONTRIBUINTES). AF_12/2020</t>
  </si>
  <si>
    <t>7.641,83</t>
  </si>
  <si>
    <t>98091</t>
  </si>
  <si>
    <t>FILTRO ANAERÓBIO RETANGULAR, EM ALVENARIA COM BLOCOS DE CONCRETO, DIMENSÕES INTERNAS: 1,4 X 4,2 X 1,67 M, VOLUME ÚTIL: 7056 L (PARA 67 CONTRIBUINTES). AF_12/2020</t>
  </si>
  <si>
    <t>9.844,36</t>
  </si>
  <si>
    <t>98092</t>
  </si>
  <si>
    <t>FILTRO ANAERÓBIO RETANGULAR, EM ALVENARIA COM BLOCOS DE CONCRETO, DIMENSÕES INTERNAS: 1,6 X 4,6 X 1,67 M, VOLUME ÚTIL: 8832 L (PARA 84 CONTRIBUINTES). AF_12/2020</t>
  </si>
  <si>
    <t>11.592,18</t>
  </si>
  <si>
    <t>98093</t>
  </si>
  <si>
    <t>FILTRO ANAERÓBIO RETANGULAR, EM ALVENARIA COM BLOCOS DE CONCRETO, DIMENSÕES INTERNAS: 1,6 X 5,6 X 1,67 M, VOLUME ÚTIL: 10752 L (PARA 103 CONTRIBUINTES). AF_12/2020</t>
  </si>
  <si>
    <t>13.682,77</t>
  </si>
  <si>
    <t>98094</t>
  </si>
  <si>
    <t>SUMIDOURO RETANGULAR, EM ALVENARIA COM BLOCOS DE CONCRETO, DIMENSÕES INTERNAS: 0,8 X 1,4 X 3,0 M, ÁREA DE INFILTRAÇÃO: 13,2 M² (PARA 5 CONTRIBUINTES). AF_12/2020</t>
  </si>
  <si>
    <t>2.500,75</t>
  </si>
  <si>
    <t>98099</t>
  </si>
  <si>
    <t>SUMIDOURO RETANGULAR, EM ALVENARIA COM BLOCOS DE CONCRETO, DIMENSÕES INTERNAS: 1,0 X 3,0 X 3,0 M, ÁREA DE INFILTRAÇÃO: 25 M² (PARA 10 CONTRIBUINTES). AF_12/2020</t>
  </si>
  <si>
    <t>4.274,22</t>
  </si>
  <si>
    <t>98100</t>
  </si>
  <si>
    <t>SUMIDOURO RETANGULAR, EM ALVENARIA COM BLOCOS DE CONCRETO, DIMENSÕES INTERNAS: 1,6 X 3,4 X 3,0 M, ÁREA DE INFILTRAÇÃO: 32,9 M² (PARA 13 CONTRIBUINTES). . AF_12/2020</t>
  </si>
  <si>
    <t>5.596,16</t>
  </si>
  <si>
    <t>98101</t>
  </si>
  <si>
    <t>SUMIDOURO RETANGULAR, EM ALVENARIA COM BLOCOS DE CONCRETO, DIMENSÕES INTERNAS: 1,6 X 5,8 X 3,0 M, ÁREA DE INFILTRAÇÃO: 50 M² (PARA 20 CONTRIBUINTES). . AF_12/2020</t>
  </si>
  <si>
    <t>8.273,83</t>
  </si>
  <si>
    <t>98109</t>
  </si>
  <si>
    <t>CAIXA DE GORDURA ESPECIAL (CAPACIDADE: 312 L - PARA ATÉ 146 PESSOAS SERVIDAS NO PICO), RETANGULAR, EM ALVENARIA COM BLOCOS DE CONCRETO, DIMENSÕES INTERNAS = 0,4X1,2 M, ALTURA INTERNA = 1 M. AF_12/2020</t>
  </si>
  <si>
    <t>739,21</t>
  </si>
  <si>
    <t>98110</t>
  </si>
  <si>
    <t>CAIXA DE GORDURA PEQUENA (CAPACIDADE: 19 L), CIRCULAR, EM PVC, DIÂMETRO INTERNO= 0,3 M. AF_12/2020</t>
  </si>
  <si>
    <t>401,43</t>
  </si>
  <si>
    <t>98111</t>
  </si>
  <si>
    <t>CAIXA DE INSPEÇÃO PARA ATERRAMENTO, CIRCULAR, EM POLIETILENO, DIÂMETRO INTERNO = 0,3 M. AF_12/2020</t>
  </si>
  <si>
    <t>53,82</t>
  </si>
  <si>
    <t>98112</t>
  </si>
  <si>
    <t>TIL (TUBO DE INSPEÇÃO E LIMPEZA) CONDOMINIAL PARA ESGOTO, EM PVC, DN 100 X 100 MM. AF_12/2020</t>
  </si>
  <si>
    <t>127,60</t>
  </si>
  <si>
    <t>98114</t>
  </si>
  <si>
    <t>TAMPA CIRCULAR PARA ESGOTO E DRENAGEM, EM FERRO FUNDIDO, DIÂMETRO INTERNO = 0,6 M. AF_12/2020</t>
  </si>
  <si>
    <t>730,82</t>
  </si>
  <si>
    <t>98115</t>
  </si>
  <si>
    <t>TAMPA CIRCULAR PARA ESGOTO E DRENAGEM, EM CONCRETO PRÉ-MOLDADO, DIÂMETRO INTERNO = 0,6 M. AF_12/2020</t>
  </si>
  <si>
    <t>133,87</t>
  </si>
  <si>
    <t>89957</t>
  </si>
  <si>
    <t>PONTO DE CONSUMO TERMINAL DE ÁGUA FRIA (SUBRAMAL) COM TUBULAÇÃO DE PVC, DN 25 MM, INSTALADO EM RAMAL DE ÁGUA, INCLUSOS RASGO E CHUMBAMENTO EM ALVENARIA. AF_12/2014</t>
  </si>
  <si>
    <t>129,73</t>
  </si>
  <si>
    <t>89959</t>
  </si>
  <si>
    <t>PONTO DE CONSUMO TERMINAL DE ÁGUA QUENTE (SUBRAMAL) COM TUBULAÇÃO DE CPVC, DN 22 MM, INSTALADO EM RAMAL DE ÁGUA, INCLUSOS RASGO E CHUMBAMENTO EM ALVENARIA. AF_12/2014</t>
  </si>
  <si>
    <t>221,50</t>
  </si>
  <si>
    <t>89349</t>
  </si>
  <si>
    <t>REGISTRO DE PRESSÃO BRUTO, LATÃO, ROSCÁVEL, 1/2" - FORNECIMENTO E INSTALAÇÃO. AF_08/2021</t>
  </si>
  <si>
    <t>24,92</t>
  </si>
  <si>
    <t>89351</t>
  </si>
  <si>
    <t>REGISTRO DE PRESSÃO BRUTO, LATÃO,  ROSCÁVEL, 3/4'' - FORNECIMENTO E INSTALAÇÃO. AF_08/2021</t>
  </si>
  <si>
    <t>30,73</t>
  </si>
  <si>
    <t>89352</t>
  </si>
  <si>
    <t>REGISTRO DE GAVETA BRUTO, LATÃO, ROSCÁVEL, 1/2" - FORNECIMENTO E INSTALAÇÃO. AF_08/2021</t>
  </si>
  <si>
    <t>33,97</t>
  </si>
  <si>
    <t>89353</t>
  </si>
  <si>
    <t>REGISTRO DE GAVETA BRUTO, LATÃO, ROSCÁVEL, 3/4" - FORNECIMENTO E INSTALAÇÃO. AF_08/2021</t>
  </si>
  <si>
    <t>89354</t>
  </si>
  <si>
    <t>MISTURADOR MONOCOMANDO PARA CHUVEIRO, BASE BRUTA E ACABAMENTO CROMADO - FORNECIMENTO E INSTALAÇÃO. AF_08/2021</t>
  </si>
  <si>
    <t>375,65</t>
  </si>
  <si>
    <t>89969</t>
  </si>
  <si>
    <t>KIT DE REGISTRO DE PRESSÃO BRUTO DE LATÃO ½", INCLUSIVE CONEXÕES,  ROSCÁVEL, INSTALADO EM RAMAL DE ÁGUA FRIA - FORNECIMENTO E INSTALAÇÃO. AF_12/2014</t>
  </si>
  <si>
    <t>41,20</t>
  </si>
  <si>
    <t>89970</t>
  </si>
  <si>
    <t>KIT DE REGISTRO DE PRESSÃO BRUTO DE LATÃO ¾", INCLUSIVE CONEXÕES, ROSCÁVEL, INSTALADO EM RAMAL DE ÁGUA FRIA - FORNECIMENTO E INSTALAÇÃO. AF_12/2014</t>
  </si>
  <si>
    <t>44,70</t>
  </si>
  <si>
    <t>89971</t>
  </si>
  <si>
    <t>KIT DE REGISTRO DE GAVETA BRUTO DE LATÃO ½", INCLUSIVE CONEXÕES, ROSCÁVEL, INSTALADO EM RAMAL DE ÁGUA FRIA - FORNECIMENTO E INSTALAÇÃO. AF_12/2014</t>
  </si>
  <si>
    <t>44,71</t>
  </si>
  <si>
    <t>89972</t>
  </si>
  <si>
    <t>KIT DE REGISTRO DE GAVETA BRUTO DE LATÃO ¾", INCLUSIVE CONEXÕES, ROSCÁVEL, INSTALADO EM RAMAL DE ÁGUA FRIA - FORNECIMENTO E INSTALAÇÃO. AF_12/2014</t>
  </si>
  <si>
    <t>50,01</t>
  </si>
  <si>
    <t>89973</t>
  </si>
  <si>
    <t>KIT DE MISTURADOR BASE BRUTA DE LATÃO ¾" MONOCOMANDO PARA CHUVEIRO, INCLUSIVE CONEXÕES, INSTALADO EM RAMAL DE ÁGUA - FORNECIMENTO E INSTALAÇÃO. AF_12/2014</t>
  </si>
  <si>
    <t>594,11</t>
  </si>
  <si>
    <t>89974</t>
  </si>
  <si>
    <t>KIT DE TÊ MISTURADOR EM CPVC ¾" COM DUPLO COMANDO PARA CHUVEIRO, INCLUSIVE CONEXÕES, INSTALADO EM RAMAL DE ÁGUA - FORNECIMENTO E INSTALAÇÃO. AF_12/2014</t>
  </si>
  <si>
    <t>296,61</t>
  </si>
  <si>
    <t>89984</t>
  </si>
  <si>
    <t>REGISTRO DE PRESSÃO BRUTO, LATÃO, ROSCÁVEL, 1/2", COM ACABAMENTO E CANOPLA CROMADOS - FORNECIMENTO E INSTALAÇÃO. AF_08/2021</t>
  </si>
  <si>
    <t>80,17</t>
  </si>
  <si>
    <t>89985</t>
  </si>
  <si>
    <t>REGISTRO DE PRESSÃO BRUTO, LATÃO, ROSCÁVEL, 3/4", COM ACABAMENTO E CANOPLA CROMADOS - FORNECIMENTO E INSTALAÇÃO. AF_08/2021</t>
  </si>
  <si>
    <t>84,17</t>
  </si>
  <si>
    <t>89986</t>
  </si>
  <si>
    <t>REGISTRO DE GAVETA BRUTO, LATÃO, ROSCÁVEL, 1/2", COM ACABAMENTO E CANOPLA CROMADOS - FORNECIMENTO E INSTALAÇÃO. AF_08/2021</t>
  </si>
  <si>
    <t>78,10</t>
  </si>
  <si>
    <t>89987</t>
  </si>
  <si>
    <t>REGISTRO DE GAVETA BRUTO, LATÃO, ROSCÁVEL, 3/4", COM ACABAMENTO E CANOPLA CROMADOS - FORNECIMENTO E INSTALAÇÃO. AF_08/2021</t>
  </si>
  <si>
    <t>88,71</t>
  </si>
  <si>
    <t>90371</t>
  </si>
  <si>
    <t>REGISTRO DE ESFERA, PVC, ROSCÁVEL, COM VOLANTE, 3/4" - FORNECIMENTO E INSTALAÇÃO. AF_08/2021</t>
  </si>
  <si>
    <t>35,13</t>
  </si>
  <si>
    <t>94489</t>
  </si>
  <si>
    <t>REGISTRO DE ESFERA, PVC, SOLDÁVEL, COM VOLANTE, DN  25 MM - FORNECIMENTO E INSTALAÇÃO. AF_08/2021</t>
  </si>
  <si>
    <t>35,77</t>
  </si>
  <si>
    <t>94490</t>
  </si>
  <si>
    <t>REGISTRO DE ESFERA, PVC, SOLDÁVEL, COM VOLANTE, DN  32 MM - FORNECIMENTO E INSTALAÇÃO. AF_08/2021</t>
  </si>
  <si>
    <t>54,05</t>
  </si>
  <si>
    <t>94491</t>
  </si>
  <si>
    <t>REGISTRO DE ESFERA, PVC, SOLDÁVEL, COM VOLANTE, DN  40 MM - FORNECIMENTO E INSTALAÇÃO. AF_08/2021</t>
  </si>
  <si>
    <t>73,34</t>
  </si>
  <si>
    <t>94492</t>
  </si>
  <si>
    <t>REGISTRO DE ESFERA, PVC, SOLDÁVEL, COM VOLANTE, DN  50 MM - FORNECIMENTO E INSTALAÇÃO. AF_08/2021</t>
  </si>
  <si>
    <t>75,50</t>
  </si>
  <si>
    <t>94493</t>
  </si>
  <si>
    <t>REGISTRO DE ESFERA, PVC, SOLDÁVEL, COM VOLANTE, DN  60 MM - FORNECIMENTO E INSTALAÇÃO. AF_08/2021</t>
  </si>
  <si>
    <t>138,48</t>
  </si>
  <si>
    <t>94495</t>
  </si>
  <si>
    <t>REGISTRO DE GAVETA BRUTO, LATÃO, ROSCÁVEL, 1" - FORNECIMENTO E INSTALAÇÃO. AF_08/2021</t>
  </si>
  <si>
    <t>57,69</t>
  </si>
  <si>
    <t>94496</t>
  </si>
  <si>
    <t>REGISTRO DE GAVETA BRUTO, LATÃO, ROSCÁVEL, 1 1/4" - FORNECIMENTO E INSTALAÇÃO. AF_08/2021</t>
  </si>
  <si>
    <t>78,60</t>
  </si>
  <si>
    <t>94497</t>
  </si>
  <si>
    <t>REGISTRO DE GAVETA BRUTO, LATÃO, ROSCÁVEL, 1 1/2" - FORNECIMENTO E INSTALAÇÃO. AF_08/2021</t>
  </si>
  <si>
    <t>99,53</t>
  </si>
  <si>
    <t>94498</t>
  </si>
  <si>
    <t>REGISTRO DE GAVETA BRUTO, LATÃO, ROSCÁVEL, 2" - FORNECIMENTO E INSTALAÇÃO. AF_08/2021</t>
  </si>
  <si>
    <t>137,54</t>
  </si>
  <si>
    <t>94499</t>
  </si>
  <si>
    <t>REGISTRO DE GAVETA BRUTO, LATÃO, ROSCÁVEL, 2 1/2" - FORNECIMENTO E INSTALAÇÃO. AF_08/2021</t>
  </si>
  <si>
    <t>275,19</t>
  </si>
  <si>
    <t>94500</t>
  </si>
  <si>
    <t>REGISTRO DE GAVETA BRUTO, LATÃO, ROSCÁVEL, 3" - FORNECIMENTO E INSTALAÇÃO. AF_08/2021</t>
  </si>
  <si>
    <t>333,89</t>
  </si>
  <si>
    <t>94501</t>
  </si>
  <si>
    <t>REGISTRO DE GAVETA BRUTO, LATÃO, ROSCÁVEL, 4" - FORNECIMENTO E INSTALAÇÃO. AF_08/2021</t>
  </si>
  <si>
    <t>677,13</t>
  </si>
  <si>
    <t>94792</t>
  </si>
  <si>
    <t>REGISTRO DE GAVETA BRUTO, LATÃO, ROSCÁVEL, 1", COM ACABAMENTO E CANOPLA CROMADOS - FORNECIMENTO E INSTALAÇÃO. AF_08/2021</t>
  </si>
  <si>
    <t>108,16</t>
  </si>
  <si>
    <t>94793</t>
  </si>
  <si>
    <t>REGISTRO DE GAVETA BRUTO, LATÃO, ROSCÁVEL, 1 1/4", COM ACABAMENTO E CANOPLA CROMADOS - FORNECIMENTO E INSTALAÇÃO. AF_08/2021</t>
  </si>
  <si>
    <t>148,48</t>
  </si>
  <si>
    <t>94794</t>
  </si>
  <si>
    <t>REGISTRO DE GAVETA BRUTO, LATÃO, ROSCÁVEL, 1 1/2", COM ACABAMENTO E CANOPLA CROMADOS - FORNECIMENTO E INSTALAÇÃO. AF_08/2021</t>
  </si>
  <si>
    <t>157,16</t>
  </si>
  <si>
    <t>94795</t>
  </si>
  <si>
    <t>TORNEIRA DE BOIA PARA CAIXA D'ÁGUA, ROSCÁVEL, 1/2" - FORNECIMENTO E INSTALAÇÃO. AF_08/2021</t>
  </si>
  <si>
    <t>34,46</t>
  </si>
  <si>
    <t>94796</t>
  </si>
  <si>
    <t>TORNEIRA DE BOIA PARA CAIXA D'ÁGUA, ROSCÁVEL, 3/4" - FORNECIMENTO E INSTALAÇÃO. AF_08/2021</t>
  </si>
  <si>
    <t>39,43</t>
  </si>
  <si>
    <t>94797</t>
  </si>
  <si>
    <t>TORNEIRA DE BOIA PARA CAIXA D'ÁGUA, ROSCÁVEL, 1" - FORNECIMENTO E INSTALAÇÃO. AF_08/2021</t>
  </si>
  <si>
    <t>81,91</t>
  </si>
  <si>
    <t>94798</t>
  </si>
  <si>
    <t>TORNEIRA DE BOIA PARA CAIXA D'ÁGUA, ROSCÁVEL, 1 1/4" - FORNECIMENTO E INSTALAÇÃO. AF_08/2021</t>
  </si>
  <si>
    <t>136,04</t>
  </si>
  <si>
    <t>94799</t>
  </si>
  <si>
    <t>TORNEIRA DE BOIA PARA CAIXA D'ÁGUA, ROSCÁVEL, 1 1/2" - FORNECIMENTO E INSTALAÇÃO. AF_08/2021</t>
  </si>
  <si>
    <t>166,96</t>
  </si>
  <si>
    <t>94800</t>
  </si>
  <si>
    <t>TORNEIRA DE BOIA PARA CAIXA D'ÁGUA, ROSCÁVEL, 2" - FORNECIMENTO E INSTALAÇÃO. AF_08/2021</t>
  </si>
  <si>
    <t>214,37</t>
  </si>
  <si>
    <t>95248</t>
  </si>
  <si>
    <t>VÁLVULA DE ESFERA BRUTA, BRONZE, ROSCÁVEL, 1/2" - FORNECIMENTO E INSTALAÇÃO. AF_08/2021</t>
  </si>
  <si>
    <t>49,46</t>
  </si>
  <si>
    <t>95249</t>
  </si>
  <si>
    <t>VÁLVULA DE ESFERA BRUTA, BRONZE, ROSCÁVEL, 3/4'' - FORNECIMENTO E INSTALAÇÃO. AF_08/2021</t>
  </si>
  <si>
    <t>58,18</t>
  </si>
  <si>
    <t>95250</t>
  </si>
  <si>
    <t>VÁLVULA DE ESFERA BRUTA, BRONZE, ROSCÁVEL, 1'' - FORNECIMENTO E INSTALAÇÃO. AF_08/2021</t>
  </si>
  <si>
    <t>78,53</t>
  </si>
  <si>
    <t>95251</t>
  </si>
  <si>
    <t>VÁLVULA DE ESFERA BRUTA, BRONZE, ROSCÁVEL, 1 1/4'' - FORNECIMENTO E INSTALAÇÃO. AF_08/2021</t>
  </si>
  <si>
    <t>116,25</t>
  </si>
  <si>
    <t>95252</t>
  </si>
  <si>
    <t>VÁLVULA DE ESFERA BRUTA, BRONZE, ROSCÁVEL, 1 1/2'' - FORNECIMENTO E INSTALAÇÃO. AF_08/2021</t>
  </si>
  <si>
    <t>140,85</t>
  </si>
  <si>
    <t>95253</t>
  </si>
  <si>
    <t>VÁLVULA DE ESFERA BRUTA, BRONZE, ROSCÁVEL, 2'' - FORNECIMENTO E INSTALAÇÃO. AF_08/2021</t>
  </si>
  <si>
    <t>214,52</t>
  </si>
  <si>
    <t>99619</t>
  </si>
  <si>
    <t>VÁLVULA DE RETENÇÃO HORIZONTAL, DE BRONZE, ROSCÁVEL, 3/4" - FORNECIMENTO E INSTALAÇÃO. AF_08/2021</t>
  </si>
  <si>
    <t>84,37</t>
  </si>
  <si>
    <t>99620</t>
  </si>
  <si>
    <t>VÁLVULA DE RETENÇÃO HORIZONTAL, DE BRONZE, ROSCÁVEL, 1" - FORNECIMENTO E INSTALAÇÃO. AF_08/2021</t>
  </si>
  <si>
    <t>114,62</t>
  </si>
  <si>
    <t>99621</t>
  </si>
  <si>
    <t>VÁLVULA DE RETENÇÃO HORIZONTAL, DE BRONZE, ROSCÁVEL, 1 1/4" - FORNECIMENTO E INSTALAÇÃO. AF_08/2021</t>
  </si>
  <si>
    <t>170,75</t>
  </si>
  <si>
    <t>99622</t>
  </si>
  <si>
    <t>VÁLVULA DE RETENÇÃO HORIZONTAL, DE BRONZE, ROSCÁVEL, 1 1/2"  - FORNECIMENTO E INSTALAÇÃO. AF_08/2021</t>
  </si>
  <si>
    <t>192,30</t>
  </si>
  <si>
    <t>99623</t>
  </si>
  <si>
    <t>VÁLVULA DE RETENÇÃO HORIZONTAL, DE BRONZE, ROSCÁVEL, 2"  - FORNECIMENTO E INSTALAÇÃO. AF_08/2021</t>
  </si>
  <si>
    <t>268,24</t>
  </si>
  <si>
    <t>99624</t>
  </si>
  <si>
    <t>VÁLVULA DE RETENÇÃO HORIZONTAL, DE BRONZE, ROSCÁVEL, 2 1/2" - FORNECIMENTO E INSTALAÇÃO. AF_08/2021</t>
  </si>
  <si>
    <t>99625</t>
  </si>
  <si>
    <t>VÁLVULA DE RETENÇÃO HORIZONTAL, DE BRONZE, ROSCÁVEL, 3" - FORNECIMENTO E INSTALAÇÃO. AF_08/2021</t>
  </si>
  <si>
    <t>525,67</t>
  </si>
  <si>
    <t>99626</t>
  </si>
  <si>
    <t>VÁLVULA DE RETENÇÃO HORIZONTAL, DE BRONZE, ROSCÁVEL, 4" - FORNECIMENTO E INSTALAÇÃO. AF_08/2021</t>
  </si>
  <si>
    <t>808,90</t>
  </si>
  <si>
    <t>99627</t>
  </si>
  <si>
    <t>VÁLVULA DE RETENÇÃO VERTICAL, DE BRONZE, ROSCÁVEL, 1/2" - FORNECIMENTO E INSTALAÇÃO. AF_08/2021</t>
  </si>
  <si>
    <t>99628</t>
  </si>
  <si>
    <t>VÁLVULA DE RETENÇÃO VERTICAL, DE BRONZE, ROSCÁVEL, 3/4" - FORNECIMENTO E INSTALAÇÃO. AF_08/2021</t>
  </si>
  <si>
    <t>55,69</t>
  </si>
  <si>
    <t>99629</t>
  </si>
  <si>
    <t>VÁLVULA DE RETENÇÃO VERTICAL, DE BRONZE, ROSCÁVEL, 1" - FORNECIMENTO E INSTALAÇÃO. AF_08/2021</t>
  </si>
  <si>
    <t>61,97</t>
  </si>
  <si>
    <t>99630</t>
  </si>
  <si>
    <t>VÁLVULA DE RETENÇÃO VERTICAL, DE BRONZE, ROSCÁVEL, 1 1/4" - FORNECIMENTO E INSTALAÇÃO. AF_08/2021</t>
  </si>
  <si>
    <t>92,12</t>
  </si>
  <si>
    <t>99631</t>
  </si>
  <si>
    <t>VÁLVULA DE RETENÇÃO VERTICAL, DE BRONZE, ROSCÁVEL, 1 1/2" - FORNECIMENTO E INSTALAÇÃO. AF_08/2021</t>
  </si>
  <si>
    <t>107,32</t>
  </si>
  <si>
    <t>99632</t>
  </si>
  <si>
    <t>VÁLVULA DE RETENÇÃO VERTICAL, DE BRONZE, ROSCÁVEL, 2" - FORNECIMENTO E INSTALAÇÃO. AF_08/2021</t>
  </si>
  <si>
    <t>154,61</t>
  </si>
  <si>
    <t>99633</t>
  </si>
  <si>
    <t>VÁLVULA DE RETENÇÃO VERTICAL, DE BRONZE, ROSCÁVEL, 3" - FORNECIMENTO E INSTALAÇÃO. AF_08/2021</t>
  </si>
  <si>
    <t>331,26</t>
  </si>
  <si>
    <t>99634</t>
  </si>
  <si>
    <t>VÁLVULA DE RETENÇÃO VERTICAL, DE BRONZE, ROSCÁVEL, 4" - FORNECIMENTO E INSTALAÇÃO. AF_08/2021</t>
  </si>
  <si>
    <t>564,28</t>
  </si>
  <si>
    <t>99635</t>
  </si>
  <si>
    <t>VÁLVULA DE DESCARGA METÁLICA, BASE 1 1/2", ACABAMENTO METALICO CROMADO - FORNECIMENTO E INSTALAÇÃO. AF_08/2021</t>
  </si>
  <si>
    <t>249,27</t>
  </si>
  <si>
    <t>103008</t>
  </si>
  <si>
    <t>VÁLVULA DE RETENÇÃO HORIZONTAL, DE BRONZE, ROSCÁVEL, 1/2" - FORNECIMENTO E INSTALAÇÃO. AF_08/2021</t>
  </si>
  <si>
    <t>68,86</t>
  </si>
  <si>
    <t>103009</t>
  </si>
  <si>
    <t>VÁLVULA DE RETENÇÃO VERTICAL, DE BRONZE, ROSCÁVEL, 2 1/2" - FORNECIMENTO E INSTALAÇÃO. AF_08/2021</t>
  </si>
  <si>
    <t>244,11</t>
  </si>
  <si>
    <t>103010</t>
  </si>
  <si>
    <t>VÁLVULA DE RETENÇÃO, DE BRONZE, PÉ COM CRIVOS, ROSCÁVEL, 3/4" - FORNECIMENTO E INSTALAÇÃO. AF_08/2021</t>
  </si>
  <si>
    <t>52,22</t>
  </si>
  <si>
    <t>103011</t>
  </si>
  <si>
    <t>VÁLVULA DE RETENÇÃO, DE BRONZE, PÉ COM CRIVOS, ROSCÁVEL, 1" - FORNECIMENTO E INSTALAÇÃO. AF_08/2021</t>
  </si>
  <si>
    <t>58,27</t>
  </si>
  <si>
    <t>103012</t>
  </si>
  <si>
    <t>VÁLVULA DE RETENÇÃO, DE BRONZE, PÉ COM CRIVOS, ROSCÁVEL, 1 1/4" - FORNECIMENTO E INSTALAÇÃO. AF_08/2021</t>
  </si>
  <si>
    <t>91,82</t>
  </si>
  <si>
    <t>103013</t>
  </si>
  <si>
    <t>VÁLVULA DE RETENÇÃO, DE BRONZE, PÉ COM CRIVOS, ROSCÁVEL, 1 1/2" - FORNECIMENTO E INSTALAÇÃO. AF_08/2021</t>
  </si>
  <si>
    <t>98,94</t>
  </si>
  <si>
    <t>103014</t>
  </si>
  <si>
    <t>VÁLVULA DE RETENÇÃO, DE BRONZE, PÉ COM CRIVOS, ROSCÁVEL, 2" - FORNECIMENTO E INSTALAÇÃO. AF_08/2021</t>
  </si>
  <si>
    <t>148,69</t>
  </si>
  <si>
    <t>103015</t>
  </si>
  <si>
    <t>VÁLVULA DE RETENÇÃO, DE BRONZE, PÉ COM CRIVOS, ROSCÁVEL, 2 1/2" - FORNECIMENTO E INSTALAÇÃO. AF_08/2021</t>
  </si>
  <si>
    <t>262,64</t>
  </si>
  <si>
    <t>103016</t>
  </si>
  <si>
    <t>VÁLVULA DE RETENÇÃO, DE BRONZE, PÉ COM CRIVOS, ROSCÁVEL, 3" - FORNECIMENTO E INSTALAÇÃO. AF_08/2021</t>
  </si>
  <si>
    <t>358,96</t>
  </si>
  <si>
    <t>103017</t>
  </si>
  <si>
    <t>VÁLVULA DE RETENÇÃO, DE BRONZE, PÉ COM CRIVOS, ROSCÁVEL, 4" - FORNECIMENTO E INSTALAÇÃO. AF_08/2021</t>
  </si>
  <si>
    <t>626,14</t>
  </si>
  <si>
    <t>103018</t>
  </si>
  <si>
    <t>VÁLVULA DE DESCARGA METÁLICA, BASE 1 1/4", ACABAMENTO METALICO CROMADO - FORNECIMENTO E INSTALAÇÃO. AF_08/2021</t>
  </si>
  <si>
    <t>204,03</t>
  </si>
  <si>
    <t>103019</t>
  </si>
  <si>
    <t>REGISTRO OU VÁLVULA GLOBO ANGULAR EM LATÃO, PARA HIDRANTES EM INSTALAÇÃO PREDIAL DE INCÊNDIO, 45 GRAUS, 2 1/2" - FORNECIMENTO E INSTALAÇÃO. AF_08/2021</t>
  </si>
  <si>
    <t>201,74</t>
  </si>
  <si>
    <t>103029</t>
  </si>
  <si>
    <t>REGISTRO OU REGULADOR DE GÁS DE COZINHA - FORNECIMENTO E INSTALAÇÃO. AF_08/2021</t>
  </si>
  <si>
    <t>42,62</t>
  </si>
  <si>
    <t>103036</t>
  </si>
  <si>
    <t>REGISTRO DE ESFERA, PVC, ROSCÁVEL, COM VOLANTE, 1/2" - FORNECIMENTO E INSTALAÇÃO. AF_08/2021</t>
  </si>
  <si>
    <t>103037</t>
  </si>
  <si>
    <t>REGISTRO DE ESFERA, PVC, ROSCÁVEL, COM VOLANTE, 1" - FORNECIMENTO E INSTALAÇÃO. AF_08/2021</t>
  </si>
  <si>
    <t>56,05</t>
  </si>
  <si>
    <t>103038</t>
  </si>
  <si>
    <t>REGISTRO DE ESFERA, PVC, ROSCÁVEL, COM VOLANTE, 1 1/4" - FORNECIMENTO E INSTALAÇÃO. AF_08/2021</t>
  </si>
  <si>
    <t>74,98</t>
  </si>
  <si>
    <t>103039</t>
  </si>
  <si>
    <t>REGISTRO DE ESFERA, PVC, ROSCÁVEL, COM VOLANTE, 1 1/2" - FORNECIMENTO E INSTALAÇÃO. AF_08/2021</t>
  </si>
  <si>
    <t>80,76</t>
  </si>
  <si>
    <t>103040</t>
  </si>
  <si>
    <t>REGISTRO DE ESFERA, PVC, ROSCÁVEL, COM VOLANTE, 2" - FORNECIMENTO E INSTALAÇÃO. AF_08/2021</t>
  </si>
  <si>
    <t>121,05</t>
  </si>
  <si>
    <t>103041</t>
  </si>
  <si>
    <t>REGISTRO DE ESFERA, PVC, ROSCÁVEL, COM BORBOLETA, 1/2" - FORNECIMENTO E INSTALAÇÃO. AF_08/2021</t>
  </si>
  <si>
    <t>103042</t>
  </si>
  <si>
    <t>REGISTRO DE ESFERA, PVC, ROSCÁVEL, COM BORBOLETA, 3/4" - FORNECIMENTO E INSTALAÇÃO. AF_08/2021</t>
  </si>
  <si>
    <t>28,68</t>
  </si>
  <si>
    <t>103043</t>
  </si>
  <si>
    <t>REGISTRO DE ESFERA, PVC, ROSCÁVEL, COM CABEÇA QUADRADA, 1/2" - FORNECIMENTO E INSTALAÇÃO. AF_08/2021</t>
  </si>
  <si>
    <t>27,39</t>
  </si>
  <si>
    <t>103044</t>
  </si>
  <si>
    <t>REGISTRO DE ESFERA, PVC, ROSCÁVEL, COM CABEÇA QUADRADA, 3/4" - FORNECIMENTO E INSTALAÇÃO. AF_08/2021</t>
  </si>
  <si>
    <t>36,72</t>
  </si>
  <si>
    <t>103045</t>
  </si>
  <si>
    <t>REGISTRO DE PRESSÃO, PVC, ROSCÁVEL, VOLANTE SIMPLES, 1/2" - FORNECIMENTO E INSTALAÇÃO. AF_08/2021</t>
  </si>
  <si>
    <t>10,84</t>
  </si>
  <si>
    <t>103046</t>
  </si>
  <si>
    <t>REGISTRO DE PRESSÃO, PVC, ROSCÁVEL, VOLANTE SIMPLES, 3/4" - FORNECIMENTO E INSTALAÇÃO. AF_08/2021</t>
  </si>
  <si>
    <t>103047</t>
  </si>
  <si>
    <t>REGISTRO DE ESFERA, PVC, SOLDÁVEL, COM VOLANTE, DN  20 MM - FORNECIMENTO E INSTALAÇÃO. AF_08/2021</t>
  </si>
  <si>
    <t>28,64</t>
  </si>
  <si>
    <t>103048</t>
  </si>
  <si>
    <t>REGISTRO DE PRESSÃO, PVC, SOLDÁVEL, VOLANTE SIMPLES, DN  20 MM - FORNECIMENTO E INSTALAÇÃO. AF_08/2021</t>
  </si>
  <si>
    <t>103049</t>
  </si>
  <si>
    <t>REGISTRO DE PRESSÃO, PVC, SOLDÁVEL, VOLANTE SIMPLES, DN  25 MM - FORNECIMENTO E INSTALAÇÃO. AF_08/2021</t>
  </si>
  <si>
    <t>103050</t>
  </si>
  <si>
    <t>SUBSTITUIÇÃO DE REGISTRO OU VÁLVULA, ROSCÁVEL, DN  20 MM. AF_08/2021</t>
  </si>
  <si>
    <t>103051</t>
  </si>
  <si>
    <t>SUBSTITUIÇÃO DE REGISTRO OU VÁLVULA, ROSCÁVEL, DN  25 MM. AF_08/2021</t>
  </si>
  <si>
    <t>103052</t>
  </si>
  <si>
    <t>SUBSTITUIÇÃO DE REGISTRO OU VÁLVULA, ROSCÁVEL, DN  32 MM. AF_08/2021</t>
  </si>
  <si>
    <t>38,42</t>
  </si>
  <si>
    <t>95634</t>
  </si>
  <si>
    <t>KIT CAVALETE PARA MEDIÇÃO DE ÁGUA - ENTRADA PRINCIPAL, EM PVC SOLDÁVEL DN 20 (½")   FORNECIMENTO E INSTALAÇÃO (EXCLUSIVE HIDRÔMETRO). AF_11/2016</t>
  </si>
  <si>
    <t>188,94</t>
  </si>
  <si>
    <t>95635</t>
  </si>
  <si>
    <t>KIT CAVALETE PARA MEDIÇÃO DE ÁGUA - ENTRADA PRINCIPAL, EM PVC SOLDÁVEL DN 25 (¾")   FORNECIMENTO E INSTALAÇÃO (EXCLUSIVE HIDRÔMETRO). AF_11/2016</t>
  </si>
  <si>
    <t>200,37</t>
  </si>
  <si>
    <t>95636</t>
  </si>
  <si>
    <t>KIT CAVALETE PARA MEDIÇÃO DE ÁGUA - ENTRADA PRINCIPAL, EM AÇO GALVANIZADO DN 25 (1 )   FORNECIMENTO E INSTALAÇÃO (EXCLUSIVE HIDRÔMETRO). AF_11/2016</t>
  </si>
  <si>
    <t>327,15</t>
  </si>
  <si>
    <t>95637</t>
  </si>
  <si>
    <t>KIT CAVALETE PARA MEDIÇÃO DE ÁGUA - ENTRADA PRINCIPAL, EM AÇO GALVANIZADO DN 32 (1 ¼)  FORNECIMENTO E INSTALAÇÃO (EXCLUSIVE HIDRÔMETRO). AF_11/2016</t>
  </si>
  <si>
    <t>499,24</t>
  </si>
  <si>
    <t>95638</t>
  </si>
  <si>
    <t>KIT CAVALETE PARA MEDIÇÃO DE ÁGUA - ENTRADA PRINCIPAL, EM AÇO GALVANIZADO DN 40 (1 ½)  FORNECIMENTO E INSTALAÇÃO (EXCLUSIVE HIDRÔMETRO). AF_11/2016</t>
  </si>
  <si>
    <t>605,46</t>
  </si>
  <si>
    <t>95639</t>
  </si>
  <si>
    <t>KIT CAVALETE PARA MEDIÇÃO DE ÁGUA - ENTRADA PRINCIPAL, EM AÇO GALVANIZADO DN 50 (2)  FORNECIMENTO E INSTALAÇÃO (EXCLUSIVE HIDRÔMETRO). AF_11/2016</t>
  </si>
  <si>
    <t>781,61</t>
  </si>
  <si>
    <t>95641</t>
  </si>
  <si>
    <t>KIT CAVALETE PARA MEDIÇÃO DE ÁGUA - ENTRADA INDIVIDUALIZADA, EM PVC DN 25 (¾), PARA 2 MEDIDORES  FORNECIMENTO E INSTALAÇÃO (EXCLUSIVE HIDRÔMETRO). AF_11/2016</t>
  </si>
  <si>
    <t>311,74</t>
  </si>
  <si>
    <t>95642</t>
  </si>
  <si>
    <t>KIT CAVALETE PARA MEDIÇÃO DE ÁGUA - ENTRADA INDIVIDUALIZADA, EM PVC DN 25 (¾), PARA 3 MEDIDORES  FORNECIMENTO E INSTALAÇÃO (EXCLUSIVE HIDRÔMETRO). AF_11/2016</t>
  </si>
  <si>
    <t>460,26</t>
  </si>
  <si>
    <t>95643</t>
  </si>
  <si>
    <t>KIT CAVALETE PARA MEDIÇÃO DE ÁGUA - ENTRADA INDIVIDUALIZADA, EM PVC DN 25 (¾), PARA 4 MEDIDORES  FORNECIMENTO E INSTALAÇÃO (EXCLUSIVE HIDRÔMETRO). AF_11/2016</t>
  </si>
  <si>
    <t>602,03</t>
  </si>
  <si>
    <t>95644</t>
  </si>
  <si>
    <t>KIT CAVALETE PARA MEDIÇÃO DE ÁGUA - ENTRADA INDIVIDUALIZADA, EM PVC DN 32 (1), PARA 1 MEDIDOR  FORNECIMENTO E INSTALAÇÃO (EXCLUSIVE HIDRÔMETRO). AF_11/2016</t>
  </si>
  <si>
    <t>234,47</t>
  </si>
  <si>
    <t>95645</t>
  </si>
  <si>
    <t>KIT CAVALETE PARA MEDIÇÃO DE ÁGUA - ENTRADA INDIVIDUALIZADA, EM PVC DN 32 (1), PARA 2 MEDIDORES  FORNECIMENTO E INSTALAÇÃO (EXCLUSIVE HIDRÔMETRO). AF_11/2016</t>
  </si>
  <si>
    <t>428,51</t>
  </si>
  <si>
    <t>95646</t>
  </si>
  <si>
    <t>KIT CAVALETE PARA MEDIÇÃO DE ÁGUA - ENTRADA INDIVIDUALIZADA, EM PVC DN 32 (1), PARA 3 MEDIDORES  FORNECIMENTO E INSTALAÇÃO (EXCLUSIVE HIDRÔMETRO). AF_11/2016</t>
  </si>
  <si>
    <t>638,74</t>
  </si>
  <si>
    <t>95647</t>
  </si>
  <si>
    <t>KIT CAVALETE PARA MEDIÇÃO DE ÁGUA - ENTRADA INDIVIDUALIZADA, EM PVC DN 32 (1), PARA 4 MEDIDORES  FORNECIMENTO E INSTALAÇÃO (EXCLUSIVE HIDRÔMETRO). AF_11/2016</t>
  </si>
  <si>
    <t>837,34</t>
  </si>
  <si>
    <t>95673</t>
  </si>
  <si>
    <t>HIDRÔMETRO DN 20 (½), 1,5 M³/H  FORNECIMENTO E INSTALAÇÃO. AF_11/2016</t>
  </si>
  <si>
    <t>114,02</t>
  </si>
  <si>
    <t>95674</t>
  </si>
  <si>
    <t>HIDRÔMETRO DN 20 (½), 3,0 M³/H  FORNECIMENTO E INSTALAÇÃO. AF_11/2016</t>
  </si>
  <si>
    <t>121,07</t>
  </si>
  <si>
    <t>95675</t>
  </si>
  <si>
    <t>HIDRÔMETRO DN 25 (¾ ), 5,0 M³/H FORNECIMENTO E INSTALAÇÃO. AF_11/2016</t>
  </si>
  <si>
    <t>147,92</t>
  </si>
  <si>
    <t>95676</t>
  </si>
  <si>
    <t>CAIXA EM CONCRETO PRÉ-MOLDADO PARA ABRIGO DE HIDRÔMETRO COM DN 20 (½)  FORNECIMENTO E INSTALAÇÃO. AF_11/2016</t>
  </si>
  <si>
    <t>97741</t>
  </si>
  <si>
    <t>KIT CAVALETE PARA MEDIÇÃO DE ÁGUA - ENTRADA INDIVIDUALIZADA, EM PVC DN 25 (¾), PARA 1 MEDIDOR  FORNECIMENTO E INSTALAÇÃO (EXCLUSIVE HIDRÔMETRO). AF_11/2016</t>
  </si>
  <si>
    <t>175,41</t>
  </si>
  <si>
    <t>90436</t>
  </si>
  <si>
    <t>FURO EM ALVENARIA PARA DIÂMETROS MENORES OU IGUAIS A 40 MM. AF_05/2015</t>
  </si>
  <si>
    <t>12,15</t>
  </si>
  <si>
    <t>90437</t>
  </si>
  <si>
    <t>FURO EM ALVENARIA PARA DIÂMETROS MAIORES QUE 40 MM E MENORES OU IGUAIS A 75 MM. AF_05/2015</t>
  </si>
  <si>
    <t>90438</t>
  </si>
  <si>
    <t>FURO EM ALVENARIA PARA DIÂMETROS MAIORES QUE 75 MM. AF_05/2015</t>
  </si>
  <si>
    <t>42,33</t>
  </si>
  <si>
    <t>90439</t>
  </si>
  <si>
    <t>FURO EM CONCRETO PARA DIÂMETROS MENORES OU IGUAIS A 40 MM. AF_05/2015</t>
  </si>
  <si>
    <t>50,16</t>
  </si>
  <si>
    <t>90440</t>
  </si>
  <si>
    <t>FURO EM CONCRETO PARA DIÂMETROS MAIORES QUE 40 MM E MENORES OU IGUAIS A 75 MM. AF_05/2015</t>
  </si>
  <si>
    <t>80,33</t>
  </si>
  <si>
    <t>90441</t>
  </si>
  <si>
    <t>FURO EM CONCRETO PARA DIÂMETROS MAIORES QUE 75 MM. AF_05/2015</t>
  </si>
  <si>
    <t>102,61</t>
  </si>
  <si>
    <t>90443</t>
  </si>
  <si>
    <t>RASGO EM ALVENARIA PARA RAMAIS/ DISTRIBUIÇÃO COM DIAMETROS MENORES OU IGUAIS A 40 MM. AF_05/2015</t>
  </si>
  <si>
    <t>11,05</t>
  </si>
  <si>
    <t>90444</t>
  </si>
  <si>
    <t>RASGO EM CONTRAPISO PARA RAMAIS/ DISTRIBUIÇÃO COM DIÂMETROS MENORES OU IGUAIS A 40 MM. AF_05/2015</t>
  </si>
  <si>
    <t>21,51</t>
  </si>
  <si>
    <t>90445</t>
  </si>
  <si>
    <t>RASGO EM CONTRAPISO PARA RAMAIS/ DISTRIBUIÇÃO COM DIÂMETROS MAIORES QUE 40 MM E MENORES OU IGUAIS A 75 MM. AF_05/2015</t>
  </si>
  <si>
    <t>22,97</t>
  </si>
  <si>
    <t>90446</t>
  </si>
  <si>
    <t>RASGO EM CONTRAPISO PARA RAMAIS/ DISTRIBUIÇÃO COM DIÂMETROS MAIORES QUE 75 MM. AF_05/2015</t>
  </si>
  <si>
    <t>90447</t>
  </si>
  <si>
    <t>RASGO EM ALVENARIA PARA ELETRODUTOS COM DIAMETROS MENORES OU IGUAIS A 40 MM. AF_05/2015</t>
  </si>
  <si>
    <t>6,47</t>
  </si>
  <si>
    <t>90451</t>
  </si>
  <si>
    <t>PASSANTE TIPO PEÇA EM POLIESTIRENO PARA ABERTURA PARA PASSAGEM DE 1 TUBO, FIXADO EM LAJE. AF_05/2015</t>
  </si>
  <si>
    <t>3,74</t>
  </si>
  <si>
    <t>90452</t>
  </si>
  <si>
    <t>PASSANTE TIPO PEÇA EM POLIESTIRENO PARA ABERTURA PARA PASSAGEM DE MAIS DE 1 TUBO, FIXADO EM LAJE. AF_05/2015</t>
  </si>
  <si>
    <t>90453</t>
  </si>
  <si>
    <t>PASSANTE TIPO TUBO DE DIÂMETRO MENOR OU IGUAL A 40 MM, FIXADO EM LAJE. AF_05/2015</t>
  </si>
  <si>
    <t>90454</t>
  </si>
  <si>
    <t>PASSANTE TIPO TUBO DE DIÂMETRO MAIORES QUE 40 MM E MENORES OU IGUAIS A 75 MM, FIXADO EM LAJE. AF_05/2015</t>
  </si>
  <si>
    <t>90455</t>
  </si>
  <si>
    <t>PASSANTE TIPO TUBO DE DIÂMETRO MAIOR QUE 75 MM, FIXADO EM LAJE. AF_05/2015</t>
  </si>
  <si>
    <t>90456</t>
  </si>
  <si>
    <t>QUEBRA EM ALVENARIA PARA INSTALAÇÃO DE CAIXA DE TOMADA (4X4 OU 4X2). AF_05/2015</t>
  </si>
  <si>
    <t>3,54</t>
  </si>
  <si>
    <t>90457</t>
  </si>
  <si>
    <t>QUEBRA EM ALVENARIA PARA INSTALAÇÃO DE QUADRO DISTRIBUIÇÃO PEQUENO (19X25 CM). AF_05/2015</t>
  </si>
  <si>
    <t>90458</t>
  </si>
  <si>
    <t>QUEBRA EM ALVENARIA PARA INSTALAÇÃO DE QUADRO DISTRIBUIÇÃO GRANDE (76X40 CM). AF_05/2015</t>
  </si>
  <si>
    <t>22,94</t>
  </si>
  <si>
    <t>90459</t>
  </si>
  <si>
    <t>QUEBRA EM ALVENARIA PARA INSTALAÇÃO DE ABRIGO PARA MANGUEIRAS (90X60 CM). AF_05/2015</t>
  </si>
  <si>
    <t>90460</t>
  </si>
  <si>
    <t>SUPORTE PARA ATÉ 3 TUBOS HORIZONTAIS, ESPAÇADO A CADA 1 M, EM PERFILADO DE SEÇÃO 38X76 MM, POR METRO DE TUBULAÇÃO FIXADA. AF_05/2015</t>
  </si>
  <si>
    <t>10,47</t>
  </si>
  <si>
    <t>90461</t>
  </si>
  <si>
    <t>SUPORTE PARA MAIS DE 3 TUBOS HORIZONTAIS, ESPAÇADO A CADA 1 M, EM PERFILADO DE SEÇÃO 38X76 MM, POR METRO DE TUBULAÇÃO FIXADA. AF_05/2015</t>
  </si>
  <si>
    <t>90462</t>
  </si>
  <si>
    <t>SUPORTE PARA ATÉ 3 TUBOS VERTICAIS, ESPAÇADO A CADA 3 M, EM PERFILADO DE SEÇÃO 38X38 MM, POR METRO DE TUBULAÇÃO FIXADA. AF_05/2015</t>
  </si>
  <si>
    <t>90463</t>
  </si>
  <si>
    <t>SUPORTE PARA MAIS DE 3 TUBOS VERTICAIS, ESPAÇADO A CADA 3 M, EM PERFILADO DE SEÇÃO 38X38 MM, POR METRO DE TUBULAÇÃO FIXADA. AF_05/2015</t>
  </si>
  <si>
    <t>90466</t>
  </si>
  <si>
    <t>CHUMBAMENTO LINEAR EM ALVENARIA PARA RAMAIS/DISTRIBUIÇÃO COM DIÂMETROS MENORES OU IGUAIS A 40 MM. AF_05/2015</t>
  </si>
  <si>
    <t>10,94</t>
  </si>
  <si>
    <t>90467</t>
  </si>
  <si>
    <t>CHUMBAMENTO LINEAR EM ALVENARIA PARA RAMAIS/DISTRIBUIÇÃO COM DIÂMETROS MAIORES QUE 40 MM E MENORES OU IGUAIS A 75 MM. AF_05/2015</t>
  </si>
  <si>
    <t>90468</t>
  </si>
  <si>
    <t>CHUMBAMENTO LINEAR EM CONTRAPISO PARA RAMAIS/DISTRIBUIÇÃO COM DIÂMETROS MENORES OU IGUAIS A 40 MM. AF_05/2015</t>
  </si>
  <si>
    <t>4,75</t>
  </si>
  <si>
    <t>90469</t>
  </si>
  <si>
    <t>CHUMBAMENTO LINEAR EM CONTRAPISO PARA RAMAIS/DISTRIBUIÇÃO COM DIÂMETROS MAIORES QUE 40 MM E MENORES OU IGUAIS A 75 MM. AF_05/2015</t>
  </si>
  <si>
    <t>7,61</t>
  </si>
  <si>
    <t>90470</t>
  </si>
  <si>
    <t>CHUMBAMENTO LINEAR EM CONTRAPISO PARA RAMAIS/DISTRIBUIÇÃO COM DIÂMETROS MAIORES QUE 75 MM. AF_05/2015</t>
  </si>
  <si>
    <t>91166</t>
  </si>
  <si>
    <t>FIXAÇÃO DE TUBOS HORIZONTAIS DE PEX DIAMETROS IGUAIS OU INFERIORES A 40 MM COM ABRAÇADEIRA PLÁSTICA 390 MM, FIXADA EM LAJE. AF_05/2015</t>
  </si>
  <si>
    <t>3,34</t>
  </si>
  <si>
    <t>91167</t>
  </si>
  <si>
    <t>FIXAÇÃO DE TUBOS HORIZONTAIS DE PPR DIÂMETROS MENORES OU IGUAIS A 40 MM COM ABRAÇADEIRA METÁLICA RÍGIDA TIPO D 1/2", FIXADA EM PERFILADO EM LAJE. AF_05/2015</t>
  </si>
  <si>
    <t>11,27</t>
  </si>
  <si>
    <t>91168</t>
  </si>
  <si>
    <t>FIXAÇÃO DE TUBOS HORIZONTAIS DE PPR DIÂMETROS MAIORES QUE 40 MM E MENORES OU IGUAIS A 75 MM COM ABRAÇADEIRA METÁLICA RÍGIDA TIPO D 1 1/2", FIXADA EM PERFILADO EM LAJE. AF_05/2015</t>
  </si>
  <si>
    <t>91169</t>
  </si>
  <si>
    <t>FIXAÇÃO DE TUBOS HORIZONTAIS DE PPR DIÂMETROS MAIORES QUE 75 MM COM ABRAÇADEIRA METÁLICA RÍGIDA TIPO D 3", FIXADA EM PERFILADO EM LAJE. AF_05/2015</t>
  </si>
  <si>
    <t>10,14</t>
  </si>
  <si>
    <t>91170</t>
  </si>
  <si>
    <t>FIXAÇÃO DE TUBOS HORIZONTAIS DE PVC, CPVC OU COBRE DIÂMETROS MENORES OU IGUAIS A 40 MM OU ELETROCALHAS ATÉ 150MM DE LARGURA, COM ABRAÇADEIRA METÁLICA RÍGIDA TIPO D 1/2, FIXADA EM PERFILADO EM LAJE. AF_05/2015</t>
  </si>
  <si>
    <t>2,90</t>
  </si>
  <si>
    <t>91171</t>
  </si>
  <si>
    <t>FIXAÇÃO DE TUBOS HORIZONTAIS DE PVC, CPVC OU COBRE DIÂMETROS MAIORES QUE 40 MM E MENORES OU IGUAIS A 75 MM COM ABRAÇADEIRA METÁLICA RÍGIDA TIPO D 1 1/2", FIXADA EM PERFILADO EM LAJE. AF_05/2015</t>
  </si>
  <si>
    <t>91172</t>
  </si>
  <si>
    <t>FIXAÇÃO DE TUBOS HORIZONTAIS DE PVC, CPVC OU COBRE DIÂMETROS MAIORES QUE 75 MM COM ABRAÇADEIRA METÁLICA RÍGIDA TIPO D 3", FIXADA EM PERFILADO EM LAJE. AF_05/2015</t>
  </si>
  <si>
    <t>5,36</t>
  </si>
  <si>
    <t>91173</t>
  </si>
  <si>
    <t>FIXAÇÃO DE TUBOS VERTICAIS DE PPR DIÂMETROS MENORES OU IGUAIS A 40 MM COM ABRAÇADEIRA METÁLICA RÍGIDA TIPO D 1/2", FIXADA EM PERFILADO EM ALVENARIA. AF_05/2015</t>
  </si>
  <si>
    <t>91174</t>
  </si>
  <si>
    <t>FIXAÇÃO DE TUBOS VERTICAIS DE PPR DIÂMETROS MAIORES QUE 40 MM E MENORES OU IGUAIS A 75 MM COM ABRAÇADEIRA METÁLICA RÍGIDA TIPO D 1 1/2", FIXADA EM PERFILADO EM ALVENARIA. AF_05/2015</t>
  </si>
  <si>
    <t>2,89</t>
  </si>
  <si>
    <t>91175</t>
  </si>
  <si>
    <t>FIXAÇÃO DE TUBOS VERTICAIS DE PPR DIÂMETROS MAIORES QUE 75 MM COM ABRAÇADEIRA METÁLICA RÍGIDA TIPO D 3", FIXADA EM PERFILADO EM ALVENARIA. AF_05/2015</t>
  </si>
  <si>
    <t>91176</t>
  </si>
  <si>
    <t>FIXAÇÃO DE TUBOS HORIZONTAIS DE PPR DIÂMETROS MENORES OU IGUAIS A 40 MM COM ABRAÇADEIRA METÁLICA RÍGIDA TIPO  D  1/2" , FIXADA DIRETAMENTE NA LAJE. AF_05/2015</t>
  </si>
  <si>
    <t>91177</t>
  </si>
  <si>
    <t>FIXAÇÃO DE TUBOS HORIZONTAIS DE PPR DIÂMETROS MAIORES QUE 40 MM E MENORES OU IGUAIS A 75 MM COM ABRAÇADEIRA METÁLICA RÍGIDA TIPO  D  1 1/2" , FIXADA DIRETAMENTE NA LAJE. AF_05/2015</t>
  </si>
  <si>
    <t>11,86</t>
  </si>
  <si>
    <t>91178</t>
  </si>
  <si>
    <t>FIXAÇÃO DE TUBOS HORIZONTAIS DE PPR DIÂMETROS MAIORES QUE 75 MM COM ABRAÇADEIRA METÁLICA RÍGIDA TIPO  D  3" , FIXADA DIRETAMENTE NA LAJE. AF_05/2015</t>
  </si>
  <si>
    <t>13,95</t>
  </si>
  <si>
    <t>91179</t>
  </si>
  <si>
    <t>FIXAÇÃO DE TUBOS HORIZONTAIS DE PVC, CPVC OU COBRE DIÂMETROS MENORES OU IGUAIS A 40 MM COM ABRAÇADEIRA METÁLICA RÍGIDA TIPO  D  1/2" , FIXADA DIRETAMENTE NA LAJE. AF_05/2015</t>
  </si>
  <si>
    <t>6,35</t>
  </si>
  <si>
    <t>91180</t>
  </si>
  <si>
    <t>FIXAÇÃO DE TUBOS HORIZONTAIS DE PVC, CPVC OU COBRE DIÂMETROS MAIORES QUE 40 MM E MENORES OU IGUAIS A 75 MM COM ABRAÇADEIRA METÁLICA RÍGIDA TIPO D 1 1/2, FIXADA DIRETAMENTE NA LAJE. AF_05/2015</t>
  </si>
  <si>
    <t>91181</t>
  </si>
  <si>
    <t>FIXAÇÃO DE TUBOS HORIZONTAIS DE PVC, CPVC OU COBRE DIÂMETROS MAIORES QUE 75 MM COM ABRAÇADEIRA METÁLICA RÍGIDA TIPO  D  3" , FIXADA DIRETAMENTE NA LAJE. AF_05/2015</t>
  </si>
  <si>
    <t>6,49</t>
  </si>
  <si>
    <t>91182</t>
  </si>
  <si>
    <t>FIXAÇÃO DE TUBOS HORIZONTAIS DE PPR DIÂMETROS MENORES OU IGUAIS A 40 MM COM ABRAÇADEIRA METÁLICA FLEXÍVEL 18 MM, FIXADA DIRETAMENTE NA LAJE. AF_05/2015</t>
  </si>
  <si>
    <t>23,82</t>
  </si>
  <si>
    <t>91183</t>
  </si>
  <si>
    <t>FIXAÇÃO DE TUBOS HORIZONTAIS DE PPR DIÂMETROS MAIORES QUE 40 MM E MENORES OU IGUAIS A 75 MM COM ABRAÇADEIRA METÁLICA FLEXÍVEL 18 MM, FIXADA DIRETAMENTE NA LAJE. AF_05/2015</t>
  </si>
  <si>
    <t>91184</t>
  </si>
  <si>
    <t>FIXAÇÃO DE TUBOS HORIZONTAIS DE PPR DIÂMETROS MAIORES QUE 75 MM COM ABRAÇADEIRA METÁLICA FLEXÍVEL 18 MM, FIXADA DIRETAMENTE NA LAJE. AF_05/2015</t>
  </si>
  <si>
    <t>10,89</t>
  </si>
  <si>
    <t>91185</t>
  </si>
  <si>
    <t>FIXAÇÃO DE TUBOS HORIZONTAIS DE PVC, CPVC OU COBRE DIÂMETROS MENORES OU IGUAIS A 40 MM COM ABRAÇADEIRA METÁLICA FLEXÍVEL 18 MM, FIXADA DIRETAMENTE NA LAJE. AF_05/2015</t>
  </si>
  <si>
    <t>91186</t>
  </si>
  <si>
    <t>FIXAÇÃO DE TUBOS HORIZONTAIS DE PVC, CPVC OU COBRE DIÂMETROS MAIORES QUE 40 MM E MENORES OU IGUAIS A 75 MM COM ABRAÇADEIRA METÁLICA FLEXÍVEL 18 MM, FIXADA DIRETAMENTE NA LAJE. AF_05/2015</t>
  </si>
  <si>
    <t>4,98</t>
  </si>
  <si>
    <t>91187</t>
  </si>
  <si>
    <t>FIXAÇÃO DE TUBOS HORIZONTAIS DE PVC, CPVC OU COBRE DIÂMETROS MAIORES QUE 75 MM COM ABRAÇADEIRA METÁLICA FLEXÍVEL 18 MM, FIXADA DIRETAMENTE NA LAJE. AF_05/2015</t>
  </si>
  <si>
    <t>91188</t>
  </si>
  <si>
    <t>CHUMBAMENTO PONTUAL DE ABERTURA EM LAJE COM PASSAGEM DE 1 TUBO DE DIAMETRO EQUIVALENTE IGUAL À  50 MM. AF_05/2015</t>
  </si>
  <si>
    <t>91189</t>
  </si>
  <si>
    <t>CHUMBAMENTO PONTUAL DE ABERTURA EM LAJE COM PASSAGEM DE MAIS DE 1 TUBO DE  DIAMETRO EQUIVALENTE IGUAL À  50 MM. AF_05/2015</t>
  </si>
  <si>
    <t>91190</t>
  </si>
  <si>
    <t>CHUMBAMENTO PONTUAL EM PASSAGEM DE TUBO COM DIÂMETRO MENOR OU IGUAL A 40 MM. AF_05/2015</t>
  </si>
  <si>
    <t>4,24</t>
  </si>
  <si>
    <t>91191</t>
  </si>
  <si>
    <t>CHUMBAMENTO PONTUAL EM PASSAGEM DE TUBO COM DIÂMETROS ENTRE 40 MM E 75 MM. AF_05/2015</t>
  </si>
  <si>
    <t>91192</t>
  </si>
  <si>
    <t>CHUMBAMENTO PONTUAL EM PASSAGEM DE TUBO COM DIÂMETRO MAIOR QUE 75 MM. AF_05/2015</t>
  </si>
  <si>
    <t>4,99</t>
  </si>
  <si>
    <t>91222</t>
  </si>
  <si>
    <t>RASGO EM ALVENARIA PARA RAMAIS/ DISTRIBUIÇÃO COM DIÂMETROS MAIORES QUE 40 MM E MENORES OU IGUAIS A 75 MM. AF_05/2015</t>
  </si>
  <si>
    <t>11,89</t>
  </si>
  <si>
    <t>94480</t>
  </si>
  <si>
    <t>CONJUNTO HIDRÁULICO PARA INSTALAÇÃO DE BOMBA EM AÇO ROSCÁVEL, DN SUCÇÃO 65 (2½) E DN RECALQUE 50 (2), PARA EDIFICAÇÃO ENTRE 12 E 18 PAVIMENTOS  FORNECIMENTO E INSTALAÇÃO. AF_06/2016</t>
  </si>
  <si>
    <t>2.299,36</t>
  </si>
  <si>
    <t>94481</t>
  </si>
  <si>
    <t>CONJUNTO HIDRÁULICO PARA INSTALAÇÃO DE BOMBA EM AÇO ROSCÁVEL, DN SUCÇÃO 50 (2) E DN RECALQUE 40 (1 1/2), PARA EDIFICAÇÃO ENTRE 8 E 12 PAVIMENTOS  FORNECIMENTO E INSTALAÇÃO. AF_06/2016</t>
  </si>
  <si>
    <t>1.611,75</t>
  </si>
  <si>
    <t>94482</t>
  </si>
  <si>
    <t>CONJUNTO HIDRÁULICO PARA INSTALAÇÃO DE BOMBA EM AÇO ROSCÁVEL, DN SUCÇÃO 40 (1 1/2) E DN RECALQUE 32 (1 1/4), PARA EDIFICAÇÃO ENTRE 4 E 8 PAVIMENTOS  FORNECIMENTO E INSTALAÇÃO. AF_06/2016</t>
  </si>
  <si>
    <t>1.272,88</t>
  </si>
  <si>
    <t>94483</t>
  </si>
  <si>
    <t>CONJUNTO HIDRÁULICO PARA INSTALAÇÃO DE BOMBA EM AÇO ROSCÁVEL, DN SUCÇÃO 32 (1 1/4) E DN RECALQUE 25 (1), PARA EDIFICAÇÃO ATÉ 4 PAVIMENTOS  FORNECIMENTO E INSTALAÇÃO. AF_06/2016</t>
  </si>
  <si>
    <t>1.069,98</t>
  </si>
  <si>
    <t>95541</t>
  </si>
  <si>
    <t>FIXAÇÃO UTILIZANDO PARAFUSO E BUCHA DE NYLON, SOMENTE MÃO DE OBRA. AF_10/2016</t>
  </si>
  <si>
    <t>3,94</t>
  </si>
  <si>
    <t>96559</t>
  </si>
  <si>
    <t>SUPORTE PARA DUTO EM CHAPA GALVANIZADA BITOLA 26, ESPAÇADO A CADA 1 M, EM PERFILADO DE SEÇÃO 38X76 MM, POR ÁREA DE DUTO FIXADO. AF_07/2017</t>
  </si>
  <si>
    <t>28,99</t>
  </si>
  <si>
    <t>96560</t>
  </si>
  <si>
    <t>SUPORTE PARA DUTO EM CHAPA GALVANIZADA BITOLA 24, ESPAÇADO A CADA 1 M, EM PERFILADO DE SEÇÃO 38X76 MM, POR ÁREA DE DUTO FIXADO. AF_07/2017</t>
  </si>
  <si>
    <t>96561</t>
  </si>
  <si>
    <t>SUPORTE PARA DUTO EM CHAPA GALVANIZADA BITOLA 22, ESPAÇADO A CADA 1 M, EM PERFILADO DE SEÇÃO 38X76 MM, POR ÁREA DE DUTO FIXADO. AF_07/2017</t>
  </si>
  <si>
    <t>15,46</t>
  </si>
  <si>
    <t>96562</t>
  </si>
  <si>
    <t>SUPORTE PARA ELETROCALHA LISA OU PERFURADA EM AÇO GALVANIZADO, LARGURA 200 OU 400 MM E ALTURA 50 MM, ESPAÇADO A CADA 1,5 M, EM PERFILADO DE SEÇÃO 38X76 MM, POR METRO DE ELETRECOLHA FIXADA. AF_07/2017</t>
  </si>
  <si>
    <t>18,35</t>
  </si>
  <si>
    <t>96563</t>
  </si>
  <si>
    <t>SUPORTE PARA ELETROCALHA LISA OU PERFURADA EM AÇO GALVANIZADO, LARGURA 500 OU 800 MM E ALTURA 50 MM, ESPAÇADO A CADA 1,5 M, EM PERFILADO DE SEÇÃO 38X76 MM, POR METRO DE ELETROCALHA FIXADA. AF_07/2017</t>
  </si>
  <si>
    <t>101802</t>
  </si>
  <si>
    <t>CAIXA ENTERRADA RETENTORA DE AREIA RETANGULAR, EM ALVENARIA COM BLOCOS DE CONCRETO, DIMENSÕES INTERNAS: 1,00 X 1,00 X 1,20 M, EXCLUINDO TAMPÃO. AF_12/2020</t>
  </si>
  <si>
    <t>1.354,87</t>
  </si>
  <si>
    <t>101803</t>
  </si>
  <si>
    <t>CAIXA ENTERRADA SEPARADORA DE ÓLEO RETANGULAR, EM ALVENARIA COM BLOCOS DE CONCRETO, DIMENSÕES INTERNAS: 0,6 X 0,6 X 1,00 M, EXCLUINDO TAMPÃO. AF_12/2020</t>
  </si>
  <si>
    <t>846,18</t>
  </si>
  <si>
    <t>101804</t>
  </si>
  <si>
    <t>CAIXA ENTERRADA SEPARADORA DE ÓLEO RETANGULAR, EM ALVENARIA COM BLOCOS DE CONCRETO, DIMENSÕES INTERNAS: 0,8 X 0,8 X 1,00 M, EXCLUINDO TAMPÃO. AF_12/2020</t>
  </si>
  <si>
    <t>1.060,89</t>
  </si>
  <si>
    <t>101805</t>
  </si>
  <si>
    <t>CAIXA ENTERRADA SEPARADORA DE ÓLEO RETANGULAR, EM ALVENARIA COM BLOCOS DE CONCRETO, DIMENSÕES INTERNAS: 1,00 X 1,00 X 1,00 M, EXCLUINDO TAMPÃO. AF_12/2020</t>
  </si>
  <si>
    <t>1.355,38</t>
  </si>
  <si>
    <t>102111</t>
  </si>
  <si>
    <t>BOMBA CENTRÍFUGA, MONOFÁSICA, 0,5 CV OU 0,49 HP, HM 6 A 20 M, Q 1,2 A 8,3 M3/H - FORNECIMENTO E INSTALAÇÃO. AF_12/2020</t>
  </si>
  <si>
    <t>909,80</t>
  </si>
  <si>
    <t>102112</t>
  </si>
  <si>
    <t>BOMBA CENTRÍFUGA, MONOFÁSICA, 0,5 CV OU 0,49 HP, HM 6 A 20 M, Q 1,2 A 8,3 M3/H (NÃO INCLUI O FORNECIMENTO DA BOMBA). AF_12/2020</t>
  </si>
  <si>
    <t>115,39</t>
  </si>
  <si>
    <t>102113</t>
  </si>
  <si>
    <t>BOMBA CENTRÍFUGA, TRIFÁSICA, 1 CV OU 0,99 HP, HM 14 A 40 M, Q 0,6 A 8,4 M3/H - FORNECIMENTO E INSTALAÇÃO. AF_12/2020</t>
  </si>
  <si>
    <t>1.457,31</t>
  </si>
  <si>
    <t>102114</t>
  </si>
  <si>
    <t>BOMBA CENTRÍFUGA, TRIFÁSICA, 1 CV OU 0,99 HP, HM 14 A 40 M, Q 0,6 A 8,4 M3/H (NÃO INCLUI O FORNECIMENTO DA BOMBA). AF_12/2020</t>
  </si>
  <si>
    <t>118,20</t>
  </si>
  <si>
    <t>102115</t>
  </si>
  <si>
    <t>BOMBA CENTRÍFUGA, TRIFÁSICA, 1,5 CV OU 1,48 HP, HM 10 A 70 M, Q 1,8 A 5,3 M3/H - FORNECIMENTO E INSTALAÇÃO. AF_12/2020</t>
  </si>
  <si>
    <t>2.546,37</t>
  </si>
  <si>
    <t>102116</t>
  </si>
  <si>
    <t>BOMBA CENTRÍFUGA, TRIFÁSICA, 1,5 CV OU 1,48 HP, HM 10 A 24 M, Q 6,1 A 21,9 M3/H - FORNECIMENTO E INSTALAÇÃO. AF_12/2020</t>
  </si>
  <si>
    <t>1.557,16</t>
  </si>
  <si>
    <t>102117</t>
  </si>
  <si>
    <t>BOMBA CENTRÍFUGA, TRIFÁSICA, 1,5 CV OU 1,48 HP (NÃO INCLUI O FORNECIMENTO DA BOMBA). AF_12/2020</t>
  </si>
  <si>
    <t>121,63</t>
  </si>
  <si>
    <t>102118</t>
  </si>
  <si>
    <t>BOMBA CENTRÍFUGA, TRIFÁSICA, 3 CV OU 2,96 HP, HM 34 A 40 M, Q 8,6 A 14,8 M3/H - FORNECIMENTO E INSTALAÇÃO. AF_12/2020</t>
  </si>
  <si>
    <t>2.127,58</t>
  </si>
  <si>
    <t>102119</t>
  </si>
  <si>
    <t>BOMBA CENTRÍFUGA, TRIFÁSICA, 3 CV OU 2,96 HP, HM 34 A 40 M, Q 8,6 A 14,8 M3/H (NÃO INCLUI O FORNECIMENTO DA BOMBA). AF_12/2020</t>
  </si>
  <si>
    <t>124,57</t>
  </si>
  <si>
    <t>102121</t>
  </si>
  <si>
    <t>MOTO BOMBA HORIZONTAL ATÉ 10 CV, HM 75 A 80 M, Q 25,4 A 48 (NÃO INCLUI O FORNECIMENTO DA BOMBA). AF_12/2020</t>
  </si>
  <si>
    <t>102122</t>
  </si>
  <si>
    <t>BOMBA CENTRÍFUGA, TRIFÁSICA, 10 CV OU 9,86 HP, HM 85 A 140 M, Q 4,2 A 14,9 M3/H - FORNECIMENTO E INSTALAÇÃO. AF_12/2020</t>
  </si>
  <si>
    <t>7.228,50</t>
  </si>
  <si>
    <t>102123</t>
  </si>
  <si>
    <t>BOMBA CENTRÍFUGA, TRIFÁSICA, 10 CV OU 9,86 HP, HM 85 A 140 M, Q 4,2 A 14,9 M3/H (NÃO INCLUI O FORNECIMENTO DA BOMBA). AF_12/2020</t>
  </si>
  <si>
    <t>164,16</t>
  </si>
  <si>
    <t>102136</t>
  </si>
  <si>
    <t>INSTALAÇÃO DE QUADRO ELÉTRICO PARA BOMBAS TRIFÁSICAS ATÉ 25 CV (NÃO INCLUI O FORNECIMENTO DO QUADRO). AF_12/2020</t>
  </si>
  <si>
    <t>67,30</t>
  </si>
  <si>
    <t>102137</t>
  </si>
  <si>
    <t>CHAVE DE BOIA AUTOMÁTICA SUPERIOR/INFERIOR 15A/250V - FORNECIMENTO E INSTALAÇÃO. AF_12/2020</t>
  </si>
  <si>
    <t>71,99</t>
  </si>
  <si>
    <t>102138</t>
  </si>
  <si>
    <t>MOTO BOMBA HORIZONTAL DE 12,5 A 25 CV, HM 140 M (NÃO INCLUI O FORNECIMENTO DA BOMBA). AF_12/2020</t>
  </si>
  <si>
    <t>178,45</t>
  </si>
  <si>
    <t>93350</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</si>
  <si>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</si>
  <si>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1.187,37</t>
  </si>
  <si>
    <t>93351</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</si>
  <si>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</si>
  <si>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977,22</t>
  </si>
  <si>
    <t>93352</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</si>
  <si>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</si>
  <si>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768,06</t>
  </si>
  <si>
    <t>93353</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</si>
  <si>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</si>
  <si>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563,23</t>
  </si>
  <si>
    <t>93354</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</si>
  <si>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</si>
  <si>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879,01</t>
  </si>
  <si>
    <t>93355</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</si>
  <si>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</si>
  <si>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734,20</t>
  </si>
  <si>
    <t>93356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</si>
  <si>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</si>
  <si>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588,54</t>
  </si>
  <si>
    <t>93357</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</si>
  <si>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</si>
  <si>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445,39</t>
  </si>
  <si>
    <t>96520</t>
  </si>
  <si>
    <t>ESCAVAÇÃO MECANIZADA PARA BLOCO DE COROAMENTO OU SAPATA COM RETROESCAVADEIRA (SEM ESCAVAÇÃO PARA COLOCAÇÃO DE FÔRMAS). AF_06/2017</t>
  </si>
  <si>
    <t>93,94</t>
  </si>
  <si>
    <t>96521</t>
  </si>
  <si>
    <t>ESCAVAÇÃO MECANIZADA PARA BLOCO DE COROAMENTO OU SAPATA COM RETROESCAVADEIRA (INCLUINDO ESCAVAÇÃO PARA COLOCAÇÃO DE FÔRMAS). AF_06/2017</t>
  </si>
  <si>
    <t>96522</t>
  </si>
  <si>
    <t>ESCAVAÇÃO MANUAL PARA BLOCO DE COROAMENTO OU SAPATA (SEM ESCAVAÇÃO PARA COLOCAÇÃO DE FÔRMAS). AF_06/2017</t>
  </si>
  <si>
    <t>134,71</t>
  </si>
  <si>
    <t>96523</t>
  </si>
  <si>
    <t>ESCAVAÇÃO MANUAL PARA BLOCO DE COROAMENTO OU SAPATA (INCLUINDO ESCAVAÇÃO PARA COLOCAÇÃO DE FÔRMAS). AF_06/2017</t>
  </si>
  <si>
    <t>85,30</t>
  </si>
  <si>
    <t>96524</t>
  </si>
  <si>
    <t>ESCAVAÇÃO MECANIZADA PARA VIGA BALDRAME COM MINI-ESCAVADEIRA (SEM ESCAVAÇÃO PARA COLOCAÇÃO DE FÔRMAS). AF_06/2017</t>
  </si>
  <si>
    <t>163,69</t>
  </si>
  <si>
    <t>96525</t>
  </si>
  <si>
    <t>ESCAVAÇÃO MECANIZADA PARA VIGA BALDRAME COM MINI-ESCAVADEIRA (INCLUINDO ESCAVAÇÃO PARA COLOCAÇÃO DE FÔRMAS). AF_06/2017</t>
  </si>
  <si>
    <t>35,10</t>
  </si>
  <si>
    <t>96526</t>
  </si>
  <si>
    <t>ESCAVAÇÃO MANUAL DE VALA PARA VIGA BALDRAME (SEM ESCAVAÇÃO PARA COLOCAÇÃO DE FÔRMAS). AF_06/2017</t>
  </si>
  <si>
    <t>272,73</t>
  </si>
  <si>
    <t>96527</t>
  </si>
  <si>
    <t>ESCAVAÇÃO MANUAL DE VALA PARA VIGA BALDRAME (INCLUINDO ESCAVAÇÃO PARA COLOCAÇÃO DE FÔRMAS). AF_06/2017</t>
  </si>
  <si>
    <t>96528</t>
  </si>
  <si>
    <t>FABRICAÇÃO, MONTAGEM E DESMONTAGEM DE FÔRMA PARA BLOCO DE COROAMENTO, EM MADEIRA SERRADA, E=25 MM, 1 UTILIZAÇÃO. AF_06/2017</t>
  </si>
  <si>
    <t>204,34</t>
  </si>
  <si>
    <t>101114</t>
  </si>
  <si>
    <t>ESCAVAÇÃO HORIZONTAL EM SOLO DE 1A CATEGORIA COM TRATOR DE ESTEIRAS (100HP/LÂMINA: 2,19M3). AF_07/2020</t>
  </si>
  <si>
    <t>3,66</t>
  </si>
  <si>
    <t>101115</t>
  </si>
  <si>
    <t>ESCAVAÇÃO HORIZONTAL EM SOLO DE 1A CATEGORIA COM TRATOR DE ESTEIRAS (150HP/LÂMINA: 3,18M3). AF_07/2020</t>
  </si>
  <si>
    <t>3,04</t>
  </si>
  <si>
    <t>101116</t>
  </si>
  <si>
    <t>ESCAVAÇÃO HORIZONTAL EM SOLO DE 1A CATEGORIA COM TRATOR DE ESTEIRAS (170HP/LÂMINA: 5,20M3). AF_07/2020</t>
  </si>
  <si>
    <t>101117</t>
  </si>
  <si>
    <t>ESCAVAÇÃO HORIZONTAL EM SOLO DE 1A CATEGORIA COM TRATOR DE ESTEIRAS (347HP/LÂMINA: 8,70M3). AF_07/2020</t>
  </si>
  <si>
    <t>101118</t>
  </si>
  <si>
    <t>ESCAVAÇÃO HORIZONTAL EM SOLO DE 1A CATEGORIA COM TRATOR DE ESTEIRAS (125HP/LÂMINA: 2,70M3). AF_07/2020</t>
  </si>
  <si>
    <t>101119</t>
  </si>
  <si>
    <t>ESCAVAÇÃO HORIZONTAL, INCLUINDO ESCARIFICAÇÃO EM SOLO DE 2A CATEGORIA COM TRATOR DE ESTEIRAS (100HP/LÂMINA: 2,19M3). AF_07/2020</t>
  </si>
  <si>
    <t>6,99</t>
  </si>
  <si>
    <t>101120</t>
  </si>
  <si>
    <t>ESCAVAÇÃO HORIZONTAL, INCLUINDO ESCARIFICAÇÃO EM SOLO DE 2A CATEGORIA COM TRATOR DE ESTEIRAS (150HP/LÂMINA: 3,18M3). AF_07/2020</t>
  </si>
  <si>
    <t>101121</t>
  </si>
  <si>
    <t>ESCAVAÇÃO HORIZONTAL, INCLUINDO ESCARIFICAÇÃO EM SOLO DE 2A CATEGORIA COM TRATOR DE ESTEIRAS (170HP/LÂMINA: 5,20M3). AF_07/2020</t>
  </si>
  <si>
    <t>3,64</t>
  </si>
  <si>
    <t>101122</t>
  </si>
  <si>
    <t>ESCAVAÇÃO HORIZONTAL, INCLUINDO ESCARIFICAÇÃO EM SOLO DE 2A CATEGORIA COM TRATOR DE ESTEIRAS (347HP/LÂMINA: 8,70M3). AF_07/2020</t>
  </si>
  <si>
    <t>101123</t>
  </si>
  <si>
    <t>ESCAVAÇÃO HORIZONTAL, INCLUINDO ESCARIFICAÇÃO EM SOLO DE 2A CATEGORIA COM TRATOR DE ESTEIRAS (125HP/LÂMINA: 2,70M3). AF_07/2020</t>
  </si>
  <si>
    <t>101124</t>
  </si>
  <si>
    <t>ESCAVAÇÃO HORIZONTAL, INCLUINDO CARGA E DESCARGA EM SOLO DE 1A CATEGORIA COM TRATOR DE ESTEIRAS (100HP/LÂMINA: 2,19M3). AF_07/2020</t>
  </si>
  <si>
    <t>101125</t>
  </si>
  <si>
    <t>ESCAVAÇÃO HORIZONTAL, INCLUINDO CARGA E DESCARGA EM SOLO DE 1A CATEGORIA COM TRATOR DE ESTEIRAS (150HP/LÂMINA: 3,18M3). AF_07/2020</t>
  </si>
  <si>
    <t>101126</t>
  </si>
  <si>
    <t>ESCAVAÇÃO HORIZONTAL, INCLUINDO CARGA E DESCARGA EM SOLO DE 1A CATEGORIA COM TRATOR DE ESTEIRAS (170HP/LÂMINA: 5,20M3). AF_07/2020</t>
  </si>
  <si>
    <t>10,76</t>
  </si>
  <si>
    <t>101127</t>
  </si>
  <si>
    <t>ESCAVAÇÃO HORIZONTAL, INCLUINDO CARGA E DESCARGA EM SOLO DE 1A CATEGORIA COM TRATOR DE ESTEIRAS (347HP/LÂMINA: 8,70M3). AF_07/2020</t>
  </si>
  <si>
    <t>101128</t>
  </si>
  <si>
    <t>ESCAVAÇÃO HORIZONTAL, INCLUINDO CARGA E DESCARGA EM SOLO DE 1A CATEGORIA COM TRATOR DE ESTEIRAS (125HP/LÂMINA: 2,70M3). AF_07/2020</t>
  </si>
  <si>
    <t>101129</t>
  </si>
  <si>
    <t>ESCAVAÇÃO HORIZONTAL, INCLUINDO ESCARIFICAÇÃO, CARGA E DESCARGA EM SOLO DE 2A CATEGORIA COM TRATOR DE ESTEIRAS (100HP/LÂMINA: 2,19M3). AF_07/2020</t>
  </si>
  <si>
    <t>16,22</t>
  </si>
  <si>
    <t>101130</t>
  </si>
  <si>
    <t>ESCAVAÇÃO HORIZONTAL, INCLUINDO ESCARIFICAÇÃO, CARGA E DESCARGA EM SOLO DE 2A CATEGORIA COM TRATOR DE ESTEIRAS (150HP/LÂMINA: 3,18M3). AF_07/2020</t>
  </si>
  <si>
    <t>101131</t>
  </si>
  <si>
    <t>ESCAVAÇÃO HORIZONTAL, INCLUINDO ESCARIFICAÇÃO, CARGA E DESCARGA EM SOLO DE 2A CATEGORIA COM TRATOR DE ESTEIRAS (170HP/LÂMINA: 5,20M3). AF_07/2020</t>
  </si>
  <si>
    <t>101132</t>
  </si>
  <si>
    <t>ESCAVAÇÃO HORIZONTAL, INCLUINDO ESCARIFICAÇÃO, CARGA E DESCARGA EM SOLO DE 2A CATEGORIA COM TRATOR DE ESTEIRAS (347HP/LÂMINA: 8,70M3). AF_07/2020</t>
  </si>
  <si>
    <t>14,12</t>
  </si>
  <si>
    <t>101133</t>
  </si>
  <si>
    <t>ESCAVAÇÃO HORIZONTAL, INCLUINDO ESCARIFICAÇÃO, CARGA E DESCARGA EM SOLO DE 2A CATEGORIA COM TRATOR DE ESTEIRAS (125HP/LÂMINA: 2,70M3). AF_07/2020</t>
  </si>
  <si>
    <t>101134</t>
  </si>
  <si>
    <t>ESCAVAÇÃO HORIZONTAL, INCLUINDO CARGA, DESCARGA E TRANSPORTE EM SOLO DE 1A CATEGORIA COM TRATOR DE ESTEIRAS (100HP/LÂMINA: 2,19M3) E CAMINHÃO BASCULANTE DE 10M3, DMT ATÉ 200M. AF_07/2020</t>
  </si>
  <si>
    <t>13,06</t>
  </si>
  <si>
    <t>101135</t>
  </si>
  <si>
    <t>ESCAVAÇÃO HORIZONTAL, INCLUINDO CARGA, DESCARGA E TRANSPORTE EM SOLO DE 1A CATEGORIA COM TRATOR DE ESTEIRAS (150HP/LÂMINA: 3,18M3) E CAMINHÃO BASCULANTE DE 10M3, DMT ATÉ 200M AF_07/2020</t>
  </si>
  <si>
    <t>12,44</t>
  </si>
  <si>
    <t>101136</t>
  </si>
  <si>
    <t>ESCAVAÇÃO HORIZONTAL, INCLUINDO CARGA, DESCARGA E TRANSPORTE EM SOLO DE 1A CATEGORIA COM TRATOR DE ESTEIRAS (170HP/LÂMINA: 5,20M3) E CAMINHÃO BASCULANTE DE 10M3, DMT ATÉ 200M. AF_07/2020</t>
  </si>
  <si>
    <t>101137</t>
  </si>
  <si>
    <t>ESCAVAÇÃO HORIZONTAL, INCLUINDO CARGA, DESCARGA E TRANSPORTE EM SOLO DE 1A CATEGORIA COM TRATOR DE ESTEIRAS (347HP/LÂMINA: 8,70M3) E CAMINHÃO BASCULANTE DE 10M3, DMT ATÉ 200M. AF_07/2020</t>
  </si>
  <si>
    <t>11,96</t>
  </si>
  <si>
    <t>101138</t>
  </si>
  <si>
    <t>ESCAVAÇÃO HORIZONTAL, INCLUINDO CARGA, DESCARGA E TRANSPORTE EM SOLO DE 1A CATEGORIA COM TRATOR DE ESTEIRAS (125HP/LÂMINA: 2,70M3) E CAMINHÃO BASCULANTE DE 10M3, DMT ATÉ 200M. AF_07/2020</t>
  </si>
  <si>
    <t>101139</t>
  </si>
  <si>
    <t>ESCAVAÇÃO HORIZONTAL, INCLUINDO  ESCARIFICAÇÃO, CARGA, DESCARGA E TRANSPORTE EM SOLO DE 2A CATEGORIA COM TRATOR DE ESTEIRAS (100HP/LÂMINA: 2,19M3) E CAMINHÃO BASCULANTE DE 10M3, DMT ATÉ 200M. AF_07/2020</t>
  </si>
  <si>
    <t>16,77</t>
  </si>
  <si>
    <t>101140</t>
  </si>
  <si>
    <t>ESCAVAÇÃO HORIZONTAL, INCLUINDO ESCARIFICAÇÃO, CARGA, DESCARGA E TRANSPORTE EM SOLO DE 2A CATEGORIA COM TRATOR DE ESTEIRAS (150HP/LÂMINA: 3,18M3) E CAMINHÃO BASCULANTE DE 10M3, DMT ATÉ 200M. AF_07/2020</t>
  </si>
  <si>
    <t>15,60</t>
  </si>
  <si>
    <t>101141</t>
  </si>
  <si>
    <t>ESCAVAÇÃO HORIZONTAL, INCLUINDO ESCARIFICAÇÃO, CARGA, DESCARGA E TRANSPORTE EM SOLO DE 2A CATEGORIA COM TRATOR DE ESTEIRAS (170HP/LÂMINA: 5,20M3) E CAMINHÃO BASCULANTE DE 10M3, DMT ATÉ 200M. AF_07/2020</t>
  </si>
  <si>
    <t>101142</t>
  </si>
  <si>
    <t>ESCAVAÇÃO HORIZONTAL, INCLUINDO ESCARIFICAÇÃO, CARGA, DESCARGA E TRANSPORTE EM SOLO DE 2A CATEGORIA COM TRATOR DE ESTEIRAS (347HP/LÂMINA: 8,70M3) E CAMINHÃO BASCULANTE DE 10M3, DMT ATÉ 200M. AF_07/2020</t>
  </si>
  <si>
    <t>14,67</t>
  </si>
  <si>
    <t>101143</t>
  </si>
  <si>
    <t>ESCAVAÇÃO HORIZONTAL, INCLUINDO ESCARIFICAÇÃO, CARGA, DESCARGA E TRANSPORTE EM SOLO DE 2A CATEGORIA COM TRATOR DE ESTEIRAS (125HP/LÂMINA: 2,70M3) E CAMINHÃO BASCULANTE DE 10M3, DMT ATÉ 200M. AF_07/2020</t>
  </si>
  <si>
    <t>15,78</t>
  </si>
  <si>
    <t>101144</t>
  </si>
  <si>
    <t>ESCAVAÇÃO HORIZONTAL, INCLUINDO CARGA, DESCARGA E TRANSPORTE EM SOLO DE 1A CATEGORIA COM TRATOR DE ESTEIRAS (100HP/LÂMINA: 2,19M3) E CAMINHÃO BASCULANTE DE 14M3, DMT ATÉ 200M. AF_07/2020</t>
  </si>
  <si>
    <t>13,16</t>
  </si>
  <si>
    <t>101145</t>
  </si>
  <si>
    <t>ESCAVAÇÃO HORIZONTAL, INCLUINDO CARGA, DESCARGA E TRANSPORTE EM SOLO DE 1A CATEGORIA COM TRATOR DE ESTEIRAS (150HP/LÂMINA: 3,18M3) E CAMINHÃO BASCULANTE DE 14M3, DMT ATÉ 200M. AF_07/2020</t>
  </si>
  <si>
    <t>101146</t>
  </si>
  <si>
    <t>ESCAVAÇÃO HORIZONTAL, INCLUINDO CARGA, DESCARGA E TRANSPORTE EM SOLO DE 1A CATEGORIA COM TRATOR DE ESTEIRAS (170HP/LÂMINA: 5,20M3) E CAMINHÃO BASCULANTE DE 14M3, DMT ATÉ 200M. AF_07/2020</t>
  </si>
  <si>
    <t>101147</t>
  </si>
  <si>
    <t>ESCAVAÇÃO HORIZONTAL, INCLUINDO CARGA, DESCARGA E TRANSPORTE EM SOLO DE 1A CATEGORIA COM TRATOR DE ESTEIRAS (347HP/LÂMINA: 8,70M3) E CAMINHÃO BASCULANTE DE 14M3, DMT ATÉ 200M. AF_07/2020</t>
  </si>
  <si>
    <t>12,06</t>
  </si>
  <si>
    <t>101148</t>
  </si>
  <si>
    <t>ESCAVAÇÃO HORIZONTAL, INCLUINDO CARGA, DESCARGA E TRANSPORTE EM SOLO DE 1A CATEGORIA COM TRATOR DE ESTEIRAS (125HP/LÂMINA: 2,70M3) E CAMINHÃO BASCULANTE DE 14M3, DMT ATÉ 200M. AF_07/2020</t>
  </si>
  <si>
    <t>101149</t>
  </si>
  <si>
    <t>ESCAVAÇÃO HORIZONTAL, INCLUINDO ESCARIFICAÇÃO, CARGA, DESCARGA E TRANSPORTE EM SOLO DE 2A CATEGORIA COM TRATOR DE ESTEIRAS (100HP/LÂMINA: 2,19M3) E CAMINHÃO BASCULANTE DE 14M3, DMT ATÉ 200M. AF_07/2020</t>
  </si>
  <si>
    <t>101150</t>
  </si>
  <si>
    <t>ESCAVAÇÃO HORIZONTAL, INCLUINDO ESCARIFICAÇÃO, CARGA, DESCARGA E TRANSPORTE EM SOLO DE 2A CATEGORIA COM TRATOR DE ESTEIRAS (150HP/LÂMINA: 3,18M3) E CAMINHÃO BASCULANTE DE 14M3, DMT ATÉ 200M. AF_07/2020</t>
  </si>
  <si>
    <t>101151</t>
  </si>
  <si>
    <t>ESCAVAÇÃO HORIZONTAL, INCLUINDO ESCARIFICAÇÃO, CARGA, DESCARGA E TRANSPORTE EM SOLO DE 2A CATEGORIA COM TRATOR DE ESTEIRAS (170HP/LÂMINA: 5,20M3) E CAMINHÃO BASCULANTE DE 14M3, DMT ATÉ 200M. AF_07/2020</t>
  </si>
  <si>
    <t>101152</t>
  </si>
  <si>
    <t>ESCAVAÇÃO HORIZONTAL, INCLUINDO ESCARIFICAÇÃO, CARGA, DESCARGA E TRANSPORTE EM SOLO DE 2A CATEGORIA COM TRATOR DE ESTEIRAS (347HP/LÂMINA: 8,70M3) E CAMINHÃO BASCULANTE DE 14M3, DMT ATÉ 200M. AF_07/2020</t>
  </si>
  <si>
    <t>14,77</t>
  </si>
  <si>
    <t>101153</t>
  </si>
  <si>
    <t>ESCAVAÇÃO HORIZONTAL, INCLUINDO ESCARIFICAÇÃO, CARGA, DESCARGA E TRANSPORTE EM SOLO DE 2A CATEGORIA COM TRATOR DE ESTEIRAS (125HP/LÂMINA: 2,70M3) E CAMINHÃO BASCULANTE DE 14M3, DMT ATÉ 200M. AF_07/2020</t>
  </si>
  <si>
    <t>101206</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</si>
  <si>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</si>
  <si>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101207</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</si>
  <si>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</si>
  <si>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101208</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</si>
  <si>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</si>
  <si>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8,85</t>
  </si>
  <si>
    <t>101209</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</si>
  <si>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</si>
  <si>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8,19</t>
  </si>
  <si>
    <t>101210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</si>
  <si>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</si>
  <si>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101211</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</si>
  <si>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</si>
  <si>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15,63</t>
  </si>
  <si>
    <t>101212</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</si>
  <si>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</si>
  <si>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101213</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</si>
  <si>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</si>
  <si>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101214</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</si>
  <si>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</si>
  <si>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101215</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</si>
  <si>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</si>
  <si>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13,92</t>
  </si>
  <si>
    <t>101216</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</si>
  <si>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</si>
  <si>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101217</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</si>
  <si>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</si>
  <si>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16,93</t>
  </si>
  <si>
    <t>101218</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</si>
  <si>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</si>
  <si>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101219</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</si>
  <si>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</si>
  <si>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21,74</t>
  </si>
  <si>
    <t>101220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</si>
  <si>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</si>
  <si>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101221</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</si>
  <si>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</si>
  <si>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101222</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</si>
  <si>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</si>
  <si>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16,80</t>
  </si>
  <si>
    <t>101223</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</si>
  <si>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</si>
  <si>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101224</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</si>
  <si>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</si>
  <si>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101225</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</si>
  <si>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</si>
  <si>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101226</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</si>
  <si>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</si>
  <si>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101227</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</si>
  <si>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</si>
  <si>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15,27</t>
  </si>
  <si>
    <t>101228</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</si>
  <si>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</si>
  <si>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16,33</t>
  </si>
  <si>
    <t>101229</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</si>
  <si>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</si>
  <si>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20,49</t>
  </si>
  <si>
    <t>101230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</si>
  <si>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</si>
  <si>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9,22</t>
  </si>
  <si>
    <t>101231</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</si>
  <si>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</si>
  <si>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8,73</t>
  </si>
  <si>
    <t>101232</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</si>
  <si>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</si>
  <si>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101233</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</si>
  <si>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</si>
  <si>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101234</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</si>
  <si>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</si>
  <si>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14,20</t>
  </si>
  <si>
    <t>101235</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</si>
  <si>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</si>
  <si>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14,97</t>
  </si>
  <si>
    <t>101236</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</si>
  <si>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</si>
  <si>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17,38</t>
  </si>
  <si>
    <t>101237</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</si>
  <si>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</si>
  <si>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18,57</t>
  </si>
  <si>
    <t>101238</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</si>
  <si>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</si>
  <si>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23,38</t>
  </si>
  <si>
    <t>101239</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</si>
  <si>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</si>
  <si>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101240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</si>
  <si>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</si>
  <si>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13,22</t>
  </si>
  <si>
    <t>101241</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</si>
  <si>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</si>
  <si>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15,39</t>
  </si>
  <si>
    <t>101242</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</si>
  <si>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</si>
  <si>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17,12</t>
  </si>
  <si>
    <t>101243</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</si>
  <si>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</si>
  <si>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101244</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</si>
  <si>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</si>
  <si>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101245</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</si>
  <si>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</si>
  <si>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13,89</t>
  </si>
  <si>
    <t>101246</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</si>
  <si>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</si>
  <si>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16,12</t>
  </si>
  <si>
    <t>101247</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</si>
  <si>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</si>
  <si>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17,85</t>
  </si>
  <si>
    <t>101248</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</si>
  <si>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</si>
  <si>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22,31</t>
  </si>
  <si>
    <t>101249</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</si>
  <si>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</si>
  <si>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101250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</si>
  <si>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</si>
  <si>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12,62</t>
  </si>
  <si>
    <t>101251</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</si>
  <si>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</si>
  <si>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14,46</t>
  </si>
  <si>
    <t>101252</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</si>
  <si>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</si>
  <si>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15,61</t>
  </si>
  <si>
    <t>101253</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</si>
  <si>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</si>
  <si>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19,62</t>
  </si>
  <si>
    <t>101254</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</si>
  <si>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</si>
  <si>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10,52</t>
  </si>
  <si>
    <t>101255</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</si>
  <si>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</si>
  <si>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101256</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</si>
  <si>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</si>
  <si>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16,03</t>
  </si>
  <si>
    <t>101257</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</si>
  <si>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</si>
  <si>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101258</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</si>
  <si>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</si>
  <si>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101259</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</si>
  <si>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</si>
  <si>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101260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</si>
  <si>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</si>
  <si>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26,94</t>
  </si>
  <si>
    <t>101261</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</si>
  <si>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</si>
  <si>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15,15</t>
  </si>
  <si>
    <t>101262</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</si>
  <si>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</si>
  <si>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101263</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</si>
  <si>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</si>
  <si>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101264</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</si>
  <si>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</si>
  <si>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101265</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</si>
  <si>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</si>
  <si>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101266</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</si>
  <si>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</si>
  <si>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9,36</t>
  </si>
  <si>
    <t>101267</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</si>
  <si>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</si>
  <si>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8,95</t>
  </si>
  <si>
    <t>101268</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</si>
  <si>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</si>
  <si>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101269</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</si>
  <si>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</si>
  <si>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16,17</t>
  </si>
  <si>
    <t>101270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</si>
  <si>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</si>
  <si>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18,68</t>
  </si>
  <si>
    <t>101271</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</si>
  <si>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</si>
  <si>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20,67</t>
  </si>
  <si>
    <t>101272</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</si>
  <si>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</si>
  <si>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25,73</t>
  </si>
  <si>
    <t>101273</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</si>
  <si>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</si>
  <si>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101274</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</si>
  <si>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</si>
  <si>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15,35</t>
  </si>
  <si>
    <t>101275</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</si>
  <si>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</si>
  <si>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101276</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</si>
  <si>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</si>
  <si>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19,57</t>
  </si>
  <si>
    <t>101277</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</si>
  <si>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</si>
  <si>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102354</t>
  </si>
  <si>
    <t>DESMONTE DE MATERIAL DE 3ª CATEGORIA (BLOCOS DE ROCHAS OU MATACOS), COM MARTELETE PNEUMÁTICO MANUAL  EXCLUSIVE CARGA E TRANSPORTE. AF_03/2021</t>
  </si>
  <si>
    <t>116,13</t>
  </si>
  <si>
    <t>102355</t>
  </si>
  <si>
    <t>DESMONTE DE MATERIAL DE 3ª CATEGORIA (BLOCOS DE ROCHAS OU MATACOS), EM VALA, COM MARTELETE PNEUMÁTICO MANUAL   EXCLUSIVE RETIRADA, CARGA E TRANSPORTE. AF_03/2021</t>
  </si>
  <si>
    <t>134,35</t>
  </si>
  <si>
    <t>102360</t>
  </si>
  <si>
    <t>RETIRADA DE MATERIAL DE 3ª CATEGORIA (APÓS ESCAVAÇÃO/DESMONTE) EM VALAS, COM ESCAVADEIRA HIDRÁULICA - EXCLUSIVE CARGA E TRANSPORTE. AF_03/2021</t>
  </si>
  <si>
    <t>22,86</t>
  </si>
  <si>
    <t>102361</t>
  </si>
  <si>
    <t>RETIRADA DE MATERIAL DE 3ª CATEGORIA (APÓS ESCAVAÇÃO/DESMONTE) EM VALAS, COM RETROESCAVADEIRA - EXCLUSIVE CARGA E TRANSPORTE. AF_03/2021</t>
  </si>
  <si>
    <t>33,57</t>
  </si>
  <si>
    <t>90082</t>
  </si>
  <si>
    <t>ESCAVAÇÃO MECANIZADA DE VALA COM PROF. ATÉ 1,5 M (MÉDIA MONTANTE E JUSANTE/UMA COMPOSIÇÃO POR TRECHO), ESCAVADEIRA (0,8 M3), LARG. DE 1,5 M A 2,5 M, EM SOLO DE 1A CATEGORIA, EM LOCAIS COM ALTO NÍVEL DE INTERFERÊNCIA. AF_02/2021</t>
  </si>
  <si>
    <t>90084</t>
  </si>
  <si>
    <t>ESCAVAÇÃO MECANIZADA DE VALA COM PROF. MAIOR QUE 1,5 M ATÉ 3,0 M (MÉDIA MONTANTE E JUSANTE/UMA COMPOSIÇÃO POR TRECHO), ESCAVADEIRA (0,8 M3), LARGURA ATÉ 1,5 M, EM SOLO DE 1A CATEGORIA, EM LOCAIS COM ALTO NÍVEL DE INTERFERÊNCIA. AF_02/2021</t>
  </si>
  <si>
    <t>10,17</t>
  </si>
  <si>
    <t>90086</t>
  </si>
  <si>
    <t>ESCAVAÇÃO MECANIZADA DE VALA COM PROF. MAIOR QUE 3,0 M ATÉ 4,5 M(MÉDIA MONTANTE E JUSANTE/UMA COMPOSIÇÃO POR TRECHO), ESCAVADEIRA (0,8 M3), LARG. MENOR QUE 1,5 M, EM SOLO DE 1A CATEGORIA, EM LOCAIS COM ALTO NÍVEL DE INTERFERÊNCIA. AF_02/2021</t>
  </si>
  <si>
    <t>9,62</t>
  </si>
  <si>
    <t>90087</t>
  </si>
  <si>
    <t>ESCAVAÇÃO MECANIZADA DE VALA COM PROF. DE 3,0 M ATÉ 4,5 M(MÉDIA MONTANTE E JUSANTE/UMA COMPOSIÇÃO POR TRECHO), ESCAVADEIRA (1,2 M3), LARG. DE 1,5 M A 2,5 M, EM SOLO DE 1A CATEGORIA, EM LOCAIS COM ALTO NÍVEL DE INTERFERÊNCIA. AF_02/2021</t>
  </si>
  <si>
    <t>8,75</t>
  </si>
  <si>
    <t>90090</t>
  </si>
  <si>
    <t>ESCAVAÇÃO MECANIZADA DE VALA COM PROF. MAIOR QUE 4,5 M ATÉ 6,0 M(MÉDIA MONTANTE E JUSANTE/UMA COMPOSIÇÃO POR TRECHO), ESCAVADEIRA (1,2 M3), LARG. DE 1,5 M A 2,5 M, EM SOLO DE 1A CATEGORIA, EM LOCAIS COM ALTO NÍVEL DE INTERFERÊNCIA. AF_02/2021</t>
  </si>
  <si>
    <t>90091</t>
  </si>
  <si>
    <t>ESCAVAÇÃO MECANIZADA DE VALA COM PROF. ATÉ 1,5 M (MÉDIA MONTANTE E JUSANTE/UMA COMPOSIÇÃO POR TRECHO), ESCAVADEIRA (0,8 M3), LARG. DE 1,5 M A 2,5 M, EM SOLO DE 1A CATEGORIA, LOCAIS COM BAIXO NÍVEL DE INTERFERÊNCIA. AF_02/2021</t>
  </si>
  <si>
    <t>5,68</t>
  </si>
  <si>
    <t>90092</t>
  </si>
  <si>
    <t>ESCAVAÇÃO MECANIZADA DE VALA COM PROF. MAIOR QUE 1,5 M E ATÉ 3,0 M(MÉDIA MONTANTE E JUSANTE/UMA COMPOSIÇÃO POR TRECHO), ESCAVADEIRA (0,8 M3), LARG. MENOR QUE 1,5 M, EM SOLO DE 1A CATEGORIA, LOCAIS COM BAIXO NÍVEL DE INTERFERÊNCIA. AF_02/2021</t>
  </si>
  <si>
    <t>5,61</t>
  </si>
  <si>
    <t>90094</t>
  </si>
  <si>
    <t>ESCAVAÇÃO MECANIZADA DE VALA COM PROF. MAIOR QUE 3,0 M ATÉ 4,5 M (MÉDIA MONTANTE E JUSANTE/UMA COMPOSIÇÃO POR TRECHO), ESCAVADEIRA (0,8 M3), LARG. MENOR QUE 1,5 M, EM SOLO DE 1A CATEGORIA, LOCAIS COM BAIXO NÍVEL DE INTERFERÊNCIA. AF_02/2021</t>
  </si>
  <si>
    <t>90095</t>
  </si>
  <si>
    <t>ESCAVAÇÃO MECANIZADA DE VALA COM PROF. MAIOR QUE 3,0 M ATÉ 4,5 M (MÉDIA MONTANTE E JUSANTE/UMA COMPOSIÇÃO POR TRECHO), ESCAVADEIRA (1,2 M3), LARG. DE 1,5 M A 2,5 M, EM SOLO DE 1A CATEGORIA, LOCAIS COM BAIXO NÍVEL DE INTERFERÊNCIA. AF_02/2021</t>
  </si>
  <si>
    <t>4,81</t>
  </si>
  <si>
    <t>90098</t>
  </si>
  <si>
    <t>ESCAVAÇÃO MECANIZADA DE VALA COM PROF. MAIOR QUE 4,5 M ATÉ 6,0 M (MÉDIA MONTANTE E JUSANTE/UMA COMPOSIÇÃO POR TRECHO), ESCAVADEIRA (1,2 M3), LARG. DE 1,5 M A 2,5 M, EM SOLO DE 1A CATEGORIA, LOCAIS COM BAIXO NÍVEL DE INTERFERÊNCIA. AF_02/2021</t>
  </si>
  <si>
    <t>4,73</t>
  </si>
  <si>
    <t>90099</t>
  </si>
  <si>
    <t>ESCAVAÇÃO MECANIZADA DE VALA COM PROF. ATÉ 1,5 M (MÉDIA MONTANTE E JUSANTE/UMA COMPOSIÇÃO POR TRECHO), RETROESCAV. (0,26 M3), LARG. MENOR QUE 0,8 M, EM SOLO DE 1A CATEGORIA, EM LOCAIS COM ALTO NÍVEL DE INTERFERÊNCIA. AF_02/2021</t>
  </si>
  <si>
    <t>90100</t>
  </si>
  <si>
    <t>ESCAVAÇÃO MECANIZADA DE VALA COM PROF. ATÉ 1,5 M (MÉDIA MONTANTE E JUSANTE/UMA COMPOSIÇÃO POR TRECHO), RETROESCAV. (0,26 M3), LARG. DE 0,8 M A 1,5 M, EM SOLO DE 1A CATEGORIA, EM LOCAIS COM ALTO NÍVEL DE INTERFERÊNCIA. AF_02/2021</t>
  </si>
  <si>
    <t>12,18</t>
  </si>
  <si>
    <t>90101</t>
  </si>
  <si>
    <t>ESCAVAÇÃO MECANIZADA DE VALA COM PROF. MAIOR QUE 1,5 M ATÉ 3,0 M (MÉDIA MONTANTE E JUSANTE/UMA COMPOSIÇÃO POR TRECHO), RETROESCAV. (0,26 M3), LARG. MENOR QUE 0,8 M, EM SOLO DE 1A CATEGORIA, EM LOCAIS COM ALTO NÍVEL DE INTERFERÊNCIA. AF_02/2021</t>
  </si>
  <si>
    <t>12,04</t>
  </si>
  <si>
    <t>90102</t>
  </si>
  <si>
    <t>ESCAVAÇÃO MECANIZADA DE VALA COM PROF. MAIOR QUE 1,5 M ATÉ 3,0 M (MÉDIA MONTANTE E JUSANTE/UMA COMPOSIÇÃO POR TRECHO), RETROESCAV. (0,26 M3), LARGURA DE 0,8 M A 1,5 M, EM SOLO DE 1A CATEGORIA, EM LOCAIS COM ALTO NÍVEL DE INTERFERÊNCIA. AF_02/2021</t>
  </si>
  <si>
    <t>90105</t>
  </si>
  <si>
    <t>ESCAVAÇÃO MECANIZADA DE VALA COM PROFUNDIDADE ATÉ 1,5 M (MÉDIA MONTANTE E JUSANTE/UMA COMPOSIÇÃO POR TRECHO), RETROESCAV. (0,26 M3), LARGURA MENOR QUE 0,8 M, EM SOLO DE 1A CATEGORIA, LOCAIS COM BAIXO NÍVEL DE INTERFERÊNCIA. AF_02/2021</t>
  </si>
  <si>
    <t>7,91</t>
  </si>
  <si>
    <t>90106</t>
  </si>
  <si>
    <t>ESCAVAÇÃO MECANIZADA DE VALA COM PROFUNDIDADE ATÉ 1,5 M (MÉDIA MONTANTE E JUSANTE/UMA COMPOSIÇÃO POR TRECHO), RETROESCAV. (0,26 M3), LARGURA DE 0,8 M A 1,5 M, EM SOLO DE 1A CATEGORIA, LOCAIS COM BAIXO NÍVEL DE INTERFERÊNCIA. AF_02/2021</t>
  </si>
  <si>
    <t>90107</t>
  </si>
  <si>
    <t>ESCAVAÇÃO MECANIZADA DE VALA COM PROFUNDIDADE MAIOR QUE 1,5 M ATÉ 3,0 M (MÉDIA MONTANTE E JUSANTE/UMA COMPOSIÇÃO POR TRECHO), RETROESCAV. (0,26 M3), LARGURA MENOR QUE 0,8 M, EM SOLO DE 1A CATEGORIA, LOCAIS COM BAIXO NÍVEL DE INTERFERÊNCIA. AF_02/2021</t>
  </si>
  <si>
    <t>6,64</t>
  </si>
  <si>
    <t>90108</t>
  </si>
  <si>
    <t>ESCAVAÇÃO MECANIZADA DE VALA COM PROFUNDIDADE MAIOR QUE 1,5 M ATÉ 3,0 M (MÉDIA MONTANTE E JUSANTE/UMA COMPOSIÇÃO POR TRECHO), RETROESCAV (0,26 M3), LARGURA DE 0,8 M A 1,5 M, EM SOLO DE 1A CATEGORIA, LOCAIS COM BAIXO NÍVEL DE INTERFERÊNCIA. AF_02/2021</t>
  </si>
  <si>
    <t>93358</t>
  </si>
  <si>
    <t>ESCAVAÇÃO MANUAL DE VALA COM PROFUNDIDADE MENOR OU IGUAL A 1,30 M. AF_02/2021</t>
  </si>
  <si>
    <t>71,64</t>
  </si>
  <si>
    <t>102276</t>
  </si>
  <si>
    <t>ESCAVAÇÃO MECANIZADA DE VALA COM PROF. ATÉ 1,5 M (MÉDIA MONTANTE E JUSANTE/UMA COMPOSIÇÃO POR TRECHO), ESCAVADEIRA (0,8 M3), LARG. MENOR QUE 1,5 M, EM SOLO DE 1A CATEGORIA, EM LOCAIS COM ALTO NÍVEL DE INTERFERÊNCIA. AF_02/2021</t>
  </si>
  <si>
    <t>11,81</t>
  </si>
  <si>
    <t>102277</t>
  </si>
  <si>
    <t>ESCAVAÇÃO MECANIZADA DE VALA COM PROF. MAIOR QUE  4,5 M ATÉ 6,0 M (MÉDIA MONTANTE E JUSANTE/UMA COMPOSIÇÃO POR TRECHO), ESCAVADEIRA (0,8 M3), LARG. MENOR QUE 1,5 M, EM SOLO DE 1A CATEGORIA, EM LOCAIS COM ALTO NÍVEL DE INTERFERÊNCIA. AF_02/2021</t>
  </si>
  <si>
    <t>102278</t>
  </si>
  <si>
    <t>ESCAVAÇÃO MECANIZADA DE VALA COM PROF. MAIOR QUE 1,50 M ATÉ 3,0 M (MÉDIA MONTANTE E JUSANTE/UMA COMPOSIÇÃO POR TRECHO), ESCAVADEIRA (1,2 M3), LARG. DE 1,5 M A 2,5 M, EM SOLO DE 1A CATEGORIA, EM LOCAIS COM ALTO NÍVEL DE INTERFERÊNCIA. AF_02/2021</t>
  </si>
  <si>
    <t>9,10</t>
  </si>
  <si>
    <t>102279</t>
  </si>
  <si>
    <t>ESCAVAÇÃO MECANIZADA DE VALA COM PROF. ATÉ 1,5 M (MÉDIA MONTANTE E JUSANTE/UMA COMPOSIÇÃO POR TRECHO), ESCAVADEIRA (0,8 M3),LARG. MENOR QUE 1,5 M, EM SOLO DE 1A CATEGORIA, LOCAIS COM BAIXO NÍVEL DE INTERFERÊNCIA. AF_02/2021</t>
  </si>
  <si>
    <t>102280</t>
  </si>
  <si>
    <t>ESCAVAÇÃO MECANIZADA DE VALA COM PROF. MAIOR QUE 4,5 M ATÉ 6,0 M (MÉDIA MONTANTE E JUSANTE/UMA COMPOSIÇÃO POR TRECHO),COM ESCAVADEIRA (0,8 M3), LARG. MENOR QUE 1,5 M, EM SOLO DE 1A CATEGORIA, LOCAIS COM BAIXO NÍVEL DE INTERFERÊNCIA. AF_02/2021</t>
  </si>
  <si>
    <t>5,14</t>
  </si>
  <si>
    <t>102281</t>
  </si>
  <si>
    <t>ESCAVAÇÃO MECANIZADA DE VALA COM PROF. MAIOR QUE 1,5 M ATÉ 3,0 M (MÉDIA MONTANTE E JUSANTE/UMA COMPOSIÇÃO POR TRECHO),COM ESCAVADEIRA (1,2 M3),LARG. DE 1,5 M A 2,5 M, EM SOLO DE 1A CATEGORIA, LOCAIS COM BAIXO NÍVEL DE INTERFERÊNCIA. AF_02/2021</t>
  </si>
  <si>
    <t>102282</t>
  </si>
  <si>
    <t>ESCAVAÇÃO MECANIZADA DE VALA COM PROF. ATÉ 1,5 M (MÉDIA MONTANTE E JUSANTE/UMA COMPOSIÇÃO POR TRECHO), ESCAVADEIRA (0,8 M3),LARG. MENOR QUE 1,5 M, EM SOLO DE MOLE, EM LOCAIS COM ALTO NÍVEL DE INTERFERÊNCIA. AF_02/2021</t>
  </si>
  <si>
    <t>13,12</t>
  </si>
  <si>
    <t>102283</t>
  </si>
  <si>
    <t>ESCAVAÇÃO MECANIZADA DE VALA COM PROF. ATÉ 1,5 M (MÉDIA MONTANTE E JUSANTE/UMA COMPOSIÇÃO POR TRECHO), ESCAVADEIRA (0,8 M3), LARG. DE 1,5 M A 2,5 M, EM SOLO MOLE, EM LOCAIS COM ALTO NÍVEL DE INTERFERÊNCIA. AF_02/2021</t>
  </si>
  <si>
    <t>11,66</t>
  </si>
  <si>
    <t>102284</t>
  </si>
  <si>
    <t>ESCAVAÇÃO MECANIZADA DE VALA COM PROF. MAIOR QUE 1,5 M ATÉ 3,0 M (MÉDIA MONTANTE E JUSANTE/UMA COMPOSIÇÃO POR TRECHO), ESCAVADEIRA (0,8 M3), LARGURA ATÉ 1,5 M, EM SOLO MOLE, EM LOCAIS COM ALTO NÍVEL DE INTERFERÊNCIA. AF_02/2021</t>
  </si>
  <si>
    <t>102285</t>
  </si>
  <si>
    <t>ESCAVAÇÃO MECANIZADA DE VALA COM PROF. MAIOR QUE 3,0 M ATÉ 4,5 M (MÉDIA MONTANTE E JUSANTE/UMA COMPOSIÇÃO POR TRECHO), ESCAVADEIRA (0,8 M3), LARG. MENOR QUE 1,5 M, EM SOLO  MOLE, EM LOCAIS COM ALTO NÍVEL DE INTERFERÊNCIA. AF_02/2021</t>
  </si>
  <si>
    <t>10,67</t>
  </si>
  <si>
    <t>102286</t>
  </si>
  <si>
    <t>ESCAVAÇÃO MECANIZADA DE VALA COM PROF. MAIOR QUE 4,5 M ATÉ 6,0 M (MÉDIA MONTANTE E JUSANTE/UMA COMPOSIÇÃO POR TRECHO), ESCAVADEIRA (0,8 M3),LARG. MENOR QUE 1,5 M, EM SOLO DE MOLE, EM LOCAIS COM ALTO NÍVEL DE INTERFERÊNCIA. AF_02/2021</t>
  </si>
  <si>
    <t>10,37</t>
  </si>
  <si>
    <t>102287</t>
  </si>
  <si>
    <t>ESCAVAÇÃO MECANIZADA DE VALA COM PROF. MAIOR QUE 1,5 M ATÉ 3,0 M (MÉDIA MONTANTE E JUSANTE/UMA COMPOSIÇÃO POR TRECHO),COM ESCAVADEIRA (1,2 M3),LARG. DE 1,5 M A 2,5 M, EM SOLO MOLE, EM LOCAIS COM ALTO NÍVEL DE INTERFERÊNCIA. AF_02/2021</t>
  </si>
  <si>
    <t>102288</t>
  </si>
  <si>
    <t>ESCAVAÇÃO MECANIZADA DE VALA COM PROF. DE 3,0 M ATÉ 4,5 M (MÉDIA MONTANTE E JUSANTE/UMA COMPOSIÇÃO POR TRECHO), ESCAVADEIRA (1,2 M3), LARG. DE 1,5 M A 2,5 M, EM SOLO MOLE, EM LOCAIS COM ALTO NÍVEL DE INTERFERÊNCIA. AF_02/2021</t>
  </si>
  <si>
    <t>9,73</t>
  </si>
  <si>
    <t>102289</t>
  </si>
  <si>
    <t>ESCAVAÇÃO MECANIZADA DE VALA COM PROF. MAIOR QUE 4,5 M ATÉ 6,0 M (MÉDIA MONTANTE E JUSANTE/UMA COMPOSIÇÃO POR TRECHO), ESCAVADEIRA (1,2 M3), LARG. DE 1,5 M A 2,5 M, EM SOLO MOLE, EM LOCAIS COM ALTO NÍVEL DE INTERFERÊNCIA. AF_02/2021</t>
  </si>
  <si>
    <t>102290</t>
  </si>
  <si>
    <t>ESCAVAÇÃO MECANIZADA DE VALA COM PROF. ATÉ 1,5 M (MÉDIA MONTANTE E JUSANTE/UMA COMPOSIÇÃO POR TRECHO), ESCAVADEIRA (0,8 M3),LARG. MENOR QUE 1,5 M, EM SOLO MOLE, LOCAIS COM BAIXO NÍVEL DE INTERFERÊNCIA. AF_02/2021</t>
  </si>
  <si>
    <t>102291</t>
  </si>
  <si>
    <t>ESCAVAÇÃO MECANIZADA DE VALA COM PROF. ATÉ 1,5 M (MÉDIA MONTANTE E JUSANTE/UMA COMPOSIÇÃO POR TRECHO), ESCAVADEIRA (0,8 M3), LARG. DE 1,5 M A 2,5 M, EM SOLO MOLE, LOCAIS COM BAIXO NÍVEL DE INTERFERÊNCIA. AF_02/2021</t>
  </si>
  <si>
    <t>6,43</t>
  </si>
  <si>
    <t>102292</t>
  </si>
  <si>
    <t>ESCAVAÇÃO MECANIZADA DE VALA COM PROF. MAIOR QUE 1,5 M E ATÉ 3,0 M (MÉDIA MONTANTE E JUSANTE/UMA COMPOSIÇÃO POR TRECHO), ESCAVADEIRA (0,8 M3), LARG. MENOR QUE 1,5 M, EM SOLO MOLE, LOCAIS COM BAIXO NÍVEL DE INTERFERÊNCIA. AF_02/2021</t>
  </si>
  <si>
    <t>6,23</t>
  </si>
  <si>
    <t>102293</t>
  </si>
  <si>
    <t>ESCAVAÇÃO MECANIZADA DE VALA COM PROF.MAIOR QUE 3,0 M ATÉ 4,5 M (MÉDIA MONTANTE E JUSANTE/UMA COMPOSIÇÃO POR TRECHO), ESCAVADEIRA (0,8 M3), LARG. MENOR QUE 1,5 M, EM SOLO MOLE, LOCAIS COM BAIXO NÍVEL DE INTERFERÊNCIA. AF_02/2021</t>
  </si>
  <si>
    <t>102294</t>
  </si>
  <si>
    <t>ESCAVAÇÃO MECANIZADA DE VALA COM PROF. MAIOR QUE 4,5 M ATÉ 6,0 M (MÉDIA MONTANTE E JUSANTE/UMA COMPOSIÇÃO POR TRECHO),COM ESCAVADEIRA (0,8 M3), LARG. MENOR QUE 1,5 M, EM SOLO MOLE, LOCAIS COM BAIXO NÍVEL DE INTERFERÊNCIA. AF_02/2021</t>
  </si>
  <si>
    <t>5,73</t>
  </si>
  <si>
    <t>102295</t>
  </si>
  <si>
    <t>ESCAVAÇÃO MECANIZADA DE VALA COM PROF. MAIOR QUE 1,5 M ATÉ 3,0 M (MÉDIA MONTANTE E JUSANTE/UMA COMPOSIÇÃO POR TRECHO),COM ESCAVADEIRA (1,2 M3), LARG. DE 1,5 M A 2,5 M, EM SOLO MOLE, LOCAIS COM BAIXO NÍVEL DE INTERFERÊNCIA. AF_02/2021</t>
  </si>
  <si>
    <t>102296</t>
  </si>
  <si>
    <t>ESCAVAÇÃO MECANIZADA DE VALA COM PROF. MAIOR QUE 3,0 M ATÉ 4,5 M (MÉDIA MONTANTE E JUSANTE/UMA COMPOSIÇÃO POR TRECHO), ESCAVADEIRA (1,2 M3), LARG. DE 1,5 M A 2,5 M, EM SOLO MOLE, LOCAIS COM BAIXO NÍVEL DE INTERFERÊNCIA. AF_02/2021</t>
  </si>
  <si>
    <t>102297</t>
  </si>
  <si>
    <t>ESCAVAÇÃO MECANIZADA DE VALA COM PROF. MAIOR QUE 4,5 M ATÉ 6,0 M (MÉDIA MONTANTE E JUSANTE/UMA COMPOSIÇÃO POR TRECHO), ESCAVADEIRA (1,2 M3), LARG. DE 1,5 M A 2,5 M, EM SOLO MOLE, LOCAIS COM BAIXO NÍVEL DE INTERFERÊNCIA. AF_02/2021</t>
  </si>
  <si>
    <t>102298</t>
  </si>
  <si>
    <t>ESCAVAÇÃO MECANIZADA DE VALA COM PROF. ATÉ 1,5 M (MÉDIA MONTANTE E JUSANTE/UMA COMPOSIÇÃO POR TRECHO), RETROESCAV. (0,26 M3), LARG. MENOR QUE 0,8 M, EM SOLO MOLE, EM LOCAIS COM ALTO NÍVEL DE INTERFERÊNCIA. AF_02/2021</t>
  </si>
  <si>
    <t>15,95</t>
  </si>
  <si>
    <t>102299</t>
  </si>
  <si>
    <t>ESCAVAÇÃO MECANIZADA DE VALA COM PROF. ATÉ 1,5 M (MÉDIA MONTANTE E JUSANTE/UMA COMPOSIÇÃO POR TRECHO), RETROESCAV. (0,26 M3), LARG. DE 0,8 M A 1,5 M, EM SOLO MOLE, EM LOCAIS COM ALTO NÍVEL DE INTERFERÊNCIA. AF_02/2021</t>
  </si>
  <si>
    <t>13,54</t>
  </si>
  <si>
    <t>102300</t>
  </si>
  <si>
    <t>ESCAVAÇÃO MECANIZADA DE VALA COM PROF. MAIOR QUE 1,5 M ATÉ 3,0 M (MÉDIA MONTANTE E JUSANTE/UMA COMPOSIÇÃO POR TRECHO), RETROESCAV. (0,26 M3), LARG. MENOR QUE 0,8 M, EM SOLO MOLE, EM LOCAIS COM ALTO NÍVEL DE INTERFERÊNCIA. AF_02/2021</t>
  </si>
  <si>
    <t>102301</t>
  </si>
  <si>
    <t>ESCAVAÇÃO MECANIZADA DE VALA COM PROF. MAIOR QUE 1,5 M ATÉ 3,0 M (MÉDIA MONTANTE E JUSANTE/UMA COMPOSIÇÃO POR TRECHO), RETROESCAV. (0,26 M3), LARG. DE 0,8 M A 1,5 M, EM SOLO MOLE, EM LOCAIS COM ALTO NÍVEL DE INTERFERÊNCIA. AF_02/2021</t>
  </si>
  <si>
    <t>102302</t>
  </si>
  <si>
    <t>ESCAVAÇÃO MECANIZADA DE VALA COM PROF. ATÉ 1,5 M (MÉDIA MONTANTE E JUSANTE/UMA COMPOSIÇÃO POR TRECHO), RETROESCAV. (0,26 M3), LARG. MENOR  QUE 0,8 M, EM SOLO MOLE, LOCAIS COM BAIXO NÍVEL DE NTERFERÊNCIA.  AF_02/2021</t>
  </si>
  <si>
    <t>8,80</t>
  </si>
  <si>
    <t>102303</t>
  </si>
  <si>
    <t>ESCAVAÇÃO MECANIZADA DE VALA COM PROF. ATÉ 1,5 M (MÉDIA MONTANTE E JUSANTE/UMA COMPOSIÇÃO POR TRECHO), RETROESCAV. (0,26 M3), LARG. DE 0,8 M A 1,5 M, EM SOLO MOLE, LOCAIS COM BAIXO NÍVEL DE INTERFERÊNCIA. AF_02/2021</t>
  </si>
  <si>
    <t>102304</t>
  </si>
  <si>
    <t>ESCAVAÇÃO MECANIZADA DE VALA COM PROF. MAIOR QUE 1,5 M ATÉ 3,0 M (MÉDIA MONTANTE E JUSANTE/UMA COMPOSIÇÃO POR TRECHO), RETROESCAV. (0,26 M3 ),LARG. MENOR QUE 0,8 M, EM SOLO MOLE, LOCAIS COM BAIXO NÍVEL DE INTERFERÊNCIA. AF_02/2021</t>
  </si>
  <si>
    <t>7,36</t>
  </si>
  <si>
    <t>102305</t>
  </si>
  <si>
    <t>ESCAVAÇÃO MECANIZADA DE VALA COM PROF. MAIOR QUE 1,5 M ATÉ 3,0 M (MÉDIA MONTANTE E JUSANTE/UMA COMPOSIÇÃO POR TRECHO), RETROESCAV. (0,26 M3), LARG. DE 0,8 M A 1,5 M, EM SOLO MOLE, LOCAIS COM BAIXO NÍVEL DE INTERFERÊNCIA. AF_02/2021</t>
  </si>
  <si>
    <t>102306</t>
  </si>
  <si>
    <t>ESCAVAÇÃO MECANIZADA DE VALA COM PROF. ATÉ 1,5 M (MÉDIA MONTANTE E JUSANTE/UMA COMPOSIÇÃO POR TRECHO), ESCAVADEIRA (0,8 M3),LARG. ATÉ 1,5 M, EM SOLO DE 2A CATEGORIA, EM LOCAIS COM ALTO NÍVEL DE INTERFERÊNCIA.  AF_02/2021</t>
  </si>
  <si>
    <t>102307</t>
  </si>
  <si>
    <t>ESCAVAÇÃO MECANIZADA DE VALA COM PROF. ATÉ 1,5 M (MÉDIA MONTANTE E JUSANTE/UMA COMPOSIÇÃO POR TRECHO), ESCAVADEIRA (0,8 M3), LARG. DE 1,5 M A 2,5 M, EM SOLO DE 2A CATEGORIA, EM LOCAIS COM ALTO NÍVEL DE INTERFERÊNCIA. AF_02/2021</t>
  </si>
  <si>
    <t>13,11</t>
  </si>
  <si>
    <t>102308</t>
  </si>
  <si>
    <t>ESCAVAÇÃO MECANIZADA DE VALA COM PROF. MAIOR QUE 1,5 M ATÉ 3,0 M (MÉDIA MONTANTE E JUSANTE/UMA COMPOSIÇÃO POR TRECHO), ESCAVADEIRA (0,8 M3), LARG. ATÉ 1,5 M, EM SOLO DE 2A CATEGORIA, EM LOCAIS COM ALTO NÍVEL DE INTERFERÊNCIA. AF_02/2021</t>
  </si>
  <si>
    <t>102309</t>
  </si>
  <si>
    <t>ESCAVAÇÃO MECANIZADA DE VALA COM PROF. MAIOR QUE 3,0 M ATÉ 4,5 M (MÉDIA MONTANTE E JUSANTE/UMA COMPOSIÇÃO POR TRECHO), ESCAVADEIRA (0,8 M3), LARG. MENOR QUE 1,5 M, EM SOLO DE 2A CATEGORIA, EM LOCAIS COM ALTO NÍVEL DE INTERFERÊNCIA. AF_02/2021</t>
  </si>
  <si>
    <t>12,03</t>
  </si>
  <si>
    <t>102310</t>
  </si>
  <si>
    <t>ESCAVAÇÃO MECANIZADA DE VALA COM PROF.MAIOR QUE 4,5 M ATÉ 6,0 M (MÉDIA MONTANTE E JUSANTE/UMA COMPOSIÇÃO POR TRECHO),COM ESCAVADEIRA (0,8 M3), LARG. MENOR QUE 1,5 M, EM SOLO DE 2A CATEGORIA, EM LOCAIS COM ALTO NÍVEL DE INTERFERÊNCIA. AF_02/2021</t>
  </si>
  <si>
    <t>102311</t>
  </si>
  <si>
    <t>ESCAVAÇÃO MECANIZADA DE VALA COM PROF. MAIOR QUE 1,5 M ATÉ 3,0 M (MÉDIA MONTANTE E JUSANTE/UMA COMPOSIÇÃO POR TRECHO),COM ESCAVADEIRA (1,2 M3),LARG. DE 1,5 M A 2,5 M, EM SOLO DE 2A CATEGORIA, EM LOCAIS COM ALTO NÍVEL DE INTERFERÊNCIA. AF_02/2021</t>
  </si>
  <si>
    <t>102312</t>
  </si>
  <si>
    <t>ESCAVAÇÃO MECANIZADA DE VALA COM PROF. DE 3,0 M ATÉ 4,5 M (MÉDIA MONTANTE E JUSANTE/UMA COMPOSIÇÃO POR TRECHO), ESCAVADEIRA (1,2 M3), LARG. DE 1,5 M A 2,5 M, EM SOLO DE 2A CATEGORIA, EM LOCAIS COM ALTO NÍVEL DE INTERFERÊNCIA. AF_02/2021</t>
  </si>
  <si>
    <t>10,95</t>
  </si>
  <si>
    <t>102313</t>
  </si>
  <si>
    <t>ESCAVAÇÃO MECANIZADA DE VALA COM PROF. MAIOR QUE 4,5 M ATÉ 6,0 M (MÉDIA MONTANTE E JUSANTE/UMA COMPOSIÇÃO POR TRECHO), ESCAVADEIRA (1,2 M3), LARG. DE 1,5 M A 2,5 M, EM SOLO DE 2A CATEGORIA, EM LOCAIS COM ALTO NÍVEL DE INTERFERÊNCIA. AF_02/2021</t>
  </si>
  <si>
    <t>10,70</t>
  </si>
  <si>
    <t>102314</t>
  </si>
  <si>
    <t>ESCAVAÇÃO MECANIZADA DE VALA COM PROF. ATÉ 1,5 M (MÉDIA MONTANTE E JUSANTE/UMA COMPOSIÇÃO POR TRECHO),COM ESCAVADEIRA (0,8 M3), LARG. MENOR QUE 1,5 M, EM SOLO DE 2A CATEGORIA, LOCAIS COM BAIXO NÍVEL DE INTERFERÊNCIA. AF_02/2021</t>
  </si>
  <si>
    <t>8,16</t>
  </si>
  <si>
    <t>102315</t>
  </si>
  <si>
    <t>ESCAVAÇÃO MECANIZADA DE VALA COM PROF. ATÉ 1,5 M (MÉDIA MONTANTE E JUSANTE/UMA COMPOSIÇÃO POR TRECHO), ESCAVADEIRA (0,8 M3), LARG. DE 1,5 M A 2,5 M, EM SOLO DE 2A CATEGORIA, LOCAIS COM BAIXO NÍVEL DE INTERFERÊNCIA. AF_02/2021</t>
  </si>
  <si>
    <t>102316</t>
  </si>
  <si>
    <t>ESCAVAÇÃO MECANIZADA DE VALA COM PROF. MAIOR QUE 1,5 M E ATÉ 3,0 M (MÉDIA MONTANTE E JUSANTE/UMA COMPOSIÇÃO POR TRECHO), ESCAVADEIRA (0,8 M3), LARG. MENOR QUE 1,5 M, EM SOLO DE 2A CATEGORIA, LOCAIS COM BAIXO NÍVEL DE INTERFERÊNCIA. AF_02/2021</t>
  </si>
  <si>
    <t>102317</t>
  </si>
  <si>
    <t>ESCAVAÇÃO MECANIZADA DE VALA COM PROF.MAIOR QUE 3,0 M ATÉ 4,5 M (MÉDIA MONTANTE E JUSANTE/UMA COMPOSIÇÃO POR TRECHO), ESCAVADEIRA (0,8 M3), LARG. MENOR QUE 1,5 M, EM SOLO DE 2A CATEGORIA, LOCAIS COM BAIXO NÍVEL DE INTERFERÊNCIA. AF_02/2021</t>
  </si>
  <si>
    <t>102318</t>
  </si>
  <si>
    <t>ESCAVAÇÃO MECANIZADA DE VALA COM PROF.MAIOR QUE 4,5 M ATÉ 6,0 M (MÉDIA MONTANTE E JUSANTE/UMA COMPOSIÇÃO POR TRECHO),COM ESCAVADEIRA (0,8 M3), LARG. MENOR QUE 1,5 M, EM SOLO DE 2A CATEGORIA, EM LOCAIS COM BAIXO NÍVEL DE INTERFERÊNCIA. AF_02/2021</t>
  </si>
  <si>
    <t>6,45</t>
  </si>
  <si>
    <t>102319</t>
  </si>
  <si>
    <t>ESCAVAÇÃO MECANIZADA DE VALA COM PROF. MAIOR QUE 1,5 M ATÉ 3,0 M (MÉDIA MONTANTE E JUSANTE/UMA COMPOSIÇÃO POR TRECHO),COM ESCAVADEIRA (1,2 M3),LARG. DE 1,5 M A 2,5 M, EM SOLO DE 2A CATEGORIA, LOCAIS COM BAIXO NÍVEL DE INTERFERÊNCIA. AF_02/2021</t>
  </si>
  <si>
    <t>102320</t>
  </si>
  <si>
    <t>ESCAVAÇÃO MECANIZADA DE VALA COM PROF. MAIOR QUE 3,0 M ATÉ 4,5 M (MÉDIA MONTANTE E JUSANTE/UMA COMPOSIÇÃO POR TRECHO), ESCAVADEIRA (1,2 M3), LARG. DE 1,5 M A 2,5 M, EM SOLO DE 2A CATEGORIA, LOCAIS COM BAIXO NÍVEL DE INTERFERÊNCIA. AF_02/2021</t>
  </si>
  <si>
    <t>102321</t>
  </si>
  <si>
    <t>ESCAVAÇÃO MECANIZADA DE VALA COM PROF. MAIOR QUE 4,5 M ATÉ 6,0 M (MÉDIA MONTANTE E JUSANTE/UMA COMPOSIÇÃO POR TRECHO), ESCAVADEIRA (1,2 M3), LARG. DE 1,5 M A 2,5 M, EM SOLO DE 2A CATEGORIA, LOCAIS COM BAIXO NÍVEL DE INTERFERÊNCIA. AF_02/2021</t>
  </si>
  <si>
    <t>102322</t>
  </si>
  <si>
    <t>ESCAVAÇÃO MECANIZADA DE VALA COM PROF. ATÉ 1,5 M (MÉDIA MONTANTE E JUSANTE/UMA COMPOSIÇÃO POR TRECHO), RETROESCAV. (0,26 M3), LARG. MENOR QUE 0,8 M, EM SOLO DE 2A CATEGORIA, EM LOCAIS COM ALTO NÍVEL DE INTERFERÊNCIA. AF_02/2021</t>
  </si>
  <si>
    <t>17,95</t>
  </si>
  <si>
    <t>102323</t>
  </si>
  <si>
    <t>ESCAVAÇÃO MECANIZADA DE VALA COM PROF. ATÉ 1,5 M (MÉDIA MONTANTE E JUSANTE/UMA COMPOSIÇÃO POR TRECHO), RETROESCAV. (0,26 M3), LARG. DE 0,8 M A 1,5 M, EM SOLO DE 2A CATEGORIA, EM LOCAIS COM ALTO NÍVEL DE INTERFERÊNCIA. AF_02/2021</t>
  </si>
  <si>
    <t>102324</t>
  </si>
  <si>
    <t>ESCAVAÇÃO MECANIZADA DE VALA COM PROF. MAIOR QUE 1,5 M ATÉ 3,0 M (MÉDIA MONTANTE E JUSANTE/UMA COMPOSIÇÃO POR TRECHO), RETROESCAV. (0,26 M3), LARG. MENOR QUE 0,8 M, EM SOLO DE 2A CATEGORIA, EM LOCAIS COM ALTO NÍVEL DE INTERFERÊNCIA. AF_02/2021</t>
  </si>
  <si>
    <t>102325</t>
  </si>
  <si>
    <t>ESCAVAÇÃO MECANIZADA DE VALA COM PROF. MAIOR QUE 1,5 M ATÉ 3,0 M (MÉDIA MONTANTE E JUSANTE/UMA COMPOSIÇÃO POR TRECHO), RETROESCAV. (0,26 M3), LARG. DE 0,8 M A 1,5 M, EM SOLO DE 2A CATEGORIA, EM LOCAIS COM ALTO NÍVEL DE INTERFERÊNCIA. AF_02/2021</t>
  </si>
  <si>
    <t>102326</t>
  </si>
  <si>
    <t>ESCAVAÇÃO MECANIZADA DE VALA COM PROF. ATÉ 1,5 M (MÉDIA MONTANTE E JUSANTE/UMA COMPOSIÇÃO POR TRECHO), RETROESCAV. (0,26 M3), LARGURA MENOR  QUE 0,8 M, EM SOLO DE 2A CATEGORIA, EM LOCAIS COM BAIXO NÍVEL DE NTERFERÊNCIA. AF_02/2021</t>
  </si>
  <si>
    <t>9,91</t>
  </si>
  <si>
    <t>102327</t>
  </si>
  <si>
    <t>ESCAVAÇÃO MECANIZADA DE VALA COM PROF. ATÉ 1,5 M (MÉDIA MONTANTE E JUSANTE/UMA COMPOSIÇÃO POR TRECHO), RETROESCAV. (0,26 M3 ), LARG. DE 0,8 M A 1,5 M, EM SOLO DE 2A CATEGORIA, EM LOCAIS COM BAIXO NÍVEL DE INTERFERÊNCIA. AF_02/2021</t>
  </si>
  <si>
    <t>8,41</t>
  </si>
  <si>
    <t>102328</t>
  </si>
  <si>
    <t>ESCAVAÇÃO MECANIZADA DE VALA COM PROF. MAIOR QUE 1,5 M ATÉ 3,0 M (MÉDIA MONTANTE E JUSANTE/UMA COMPOSIÇÃO POR TRECHO), RETROESCAV. (0,26 M3),LARG. MENOR QUE 0,8 M, EM SOLO DE 2A CATEGORIA, EM LOCAIS COM BAIXO NÍVEL DE INTERFERÊNCIA. AF_02/2021</t>
  </si>
  <si>
    <t>102329</t>
  </si>
  <si>
    <t>ESCAVAÇÃO MECANIZADA DE VALA COM PROF. MAIOR QUE 1,5 M ATÉ 3,0 M (MÉDIA MONTANTE E JUSANTE/UMA COMPOSIÇÃO POR TRECHO), RETROESCAV. (0,26 M3), LARG. DE 0,8 M A 1,5 M, EM SOLO DE 2A CATEGORIA, EM LOCAIS COM BAIXO NÍVEL DE INTERFERÊNCIA. AF_02/2021</t>
  </si>
  <si>
    <t>94304</t>
  </si>
  <si>
    <t>ATERRO MECANIZADO DE VALA COM ESCAVADEIRA HIDRÁULICA (CAPACIDADE DA CAÇAMBA: 0,8 M³ / POTÊNCIA: 111 HP), LARGURA DE 1,5 A 2,5 M, PROFUNDIDADE ATÉ 1,5 M, COM SOLO ARGILO-ARENOSO. AF_05/2016</t>
  </si>
  <si>
    <t>33,73</t>
  </si>
  <si>
    <t>94305</t>
  </si>
  <si>
    <t>ATERRO MECANIZADO DE VALA COM ESCAVADEIRA HIDRÁULICA (CAPACIDADE DA CAÇAMBA: 0,8 M³ / POTÊNCIA: 111 HP), LARGURA ATÉ 1,5 M, PROFUNDIDADE DE 1,5 A 3,0 M, COM SOLO ARGILO-ARENOSO. AF_05/2016</t>
  </si>
  <si>
    <t>29,76</t>
  </si>
  <si>
    <t>94306</t>
  </si>
  <si>
    <t>ATERRO MECANIZADO DE VALA COM ESCAVADEIRA HIDRÁULICA (CAPACIDADE DA CAÇAMBA: 0,8 M³ / POTÊNCIA: 111 HP), LARGURA DE 1,5 A 2,5 M, PROFUNDIDADE DE 1,5 A 3,0 M, COM SOLO ARGILO-ARENOSO. AF_05/2016</t>
  </si>
  <si>
    <t>24,71</t>
  </si>
  <si>
    <t>94307</t>
  </si>
  <si>
    <t>ATERRO MECANIZADO DE VALA COM ESCAVADEIRA HIDRÁULICA (CAPACIDADE DA CAÇAMBA: 0,8 M³ / POTÊNCIA: 111 HP), LARGURA ATÉ 1,5 M, PROFUNDIDADE DE 3,0 A 4,5 M, COM SOLO ARGILO-ARENOSO. AF_05/2016</t>
  </si>
  <si>
    <t>94308</t>
  </si>
  <si>
    <t>ATERRO MECANIZADO DE VALA COM ESCAVADEIRA HIDRÁULICA (CAPACIDADE DA CAÇAMBA: 0,8 M³ / POTÊNCIA: 111 HP), LARGURA DE 1,5 A 2,5 M, PROFUNDIDADE DE 3,0 A 4,5 M, COM SOLO ARGILO-ARENOSO. AF_05/2016</t>
  </si>
  <si>
    <t>94309</t>
  </si>
  <si>
    <t>ATERRO MECANIZADO DE VALA COM ESCAVADEIRA HIDRÁULICA (CAPACIDADE DA CAÇAMBA: 0,8 M³ / POTÊNCIA: 111 HP), LARGURA ATÉ 1,5 M, PROFUNDIDADE DE 4,5 A 6,0 M, COM SOLO ARGILO-ARENOSO. AF_05/2016</t>
  </si>
  <si>
    <t>94310</t>
  </si>
  <si>
    <t>ATERRO MECANIZADO DE VALA COM ESCAVADEIRA HIDRÁULICA (CAPACIDADE DA CAÇAMBA: 0,8 M³ / POTÊNCIA: 111 HP), LARGURA DE 1,5 A 2,5 M, PROFUNDIDADE DE 4,5 A 6,0 M, COM SOLO ARGILO-ARENOSO. AF_05/2016</t>
  </si>
  <si>
    <t>21,87</t>
  </si>
  <si>
    <t>94315</t>
  </si>
  <si>
    <t>ATERRO MECANIZADO DE VALA COM RETROESCAVADEIRA (CAPACIDADE DA CAÇAMBA DA RETRO: 0,26 M³ / POTÊNCIA: 88 HP), LARGURA ATÉ 0,8 M, PROFUNDIDADE ATÉ 1,5 M, COM SOLO ARGILO-ARENOSO. AF_05/2016</t>
  </si>
  <si>
    <t>41,91</t>
  </si>
  <si>
    <t>94316</t>
  </si>
  <si>
    <t>ATERRO MECANIZADO DE VALA COM RETROESCAVADEIRA (CAPACIDADE DA CAÇAMBA DA RETRO: 0,26 M³ / POTÊNCIA: 88 HP), LARGURA DE 0,8 A 1,5 M, PROFUNDIDADE ATÉ 1,5 M, COM SOLO ARGILO-ARENOSO. AF_05/2016</t>
  </si>
  <si>
    <t>94317</t>
  </si>
  <si>
    <t>ATERRO MECANIZADO DE VALA COM RETROESCAVADEIRA (CAPACIDADE DA CAÇAMBA DA RETRO: 0,26 M³ / POTÊNCIA: 88 HP), LARGURA ATÉ 0,8 M, PROFUNDIDADE DE 1,5 A 3,0 M, COM SOLO ARGILO-ARENOSO. AF_05/2016</t>
  </si>
  <si>
    <t>28,50</t>
  </si>
  <si>
    <t>94318</t>
  </si>
  <si>
    <t>ATERRO MECANIZADO DE VALA COM RETROESCAVADEIRA (CAPACIDADE DA CAÇAMBA DA RETRO: 0,26 M³ / POTÊNCIA: 88 HP), LARGURA DE 0,8 A 1,5 M, PROFUNDIDADE DE 1,5 A 3,0 M, COM SOLO ARGILO-ARENOSO. AF_05/2016</t>
  </si>
  <si>
    <t>23,20</t>
  </si>
  <si>
    <t>94319</t>
  </si>
  <si>
    <t>ATERRO MANUAL DE VALAS COM SOLO ARGILO-ARENOSO E COMPACTAÇÃO MECANIZADA. AF_05/2016</t>
  </si>
  <si>
    <t>44,27</t>
  </si>
  <si>
    <t>94327</t>
  </si>
  <si>
    <t>ATERRO MECANIZADO DE VALA COM ESCAVADEIRA HIDRÁULICA (CAPACIDADE DA CAÇAMBA: 0,8 M³ / POTÊNCIA: 111 HP), LARGURA DE 1,5 A 2,5 M, PROFUNDIDADE ATÉ 1,5 M, COM AREIA PARA ATERRO. AF_05/2016</t>
  </si>
  <si>
    <t>76,70</t>
  </si>
  <si>
    <t>94328</t>
  </si>
  <si>
    <t>ATERRO MECANIZADO DE VALA COM ESCAVADEIRA HIDRÁULICA (CAPACIDADE DA CAÇAMBA: 0,8 M³ / POTÊNCIA: 111 HP), LARGURA ATÉ 1,5 M, PROFUNDIDADE DE 1,5 A 3,0 M, COM AREIA PARA ATERRO. AF_05/2016</t>
  </si>
  <si>
    <t>72,73</t>
  </si>
  <si>
    <t>94329</t>
  </si>
  <si>
    <t>ATERRO MECANIZADO DE VALA COM ESCAVADEIRA HIDRÁULICA (CAPACIDADE DA CAÇAMBA: 0,8 M³ / POTÊNCIA: 111 HP), LARGURA DE 1,5 A 2,5 M, PROFUNDIDADE DE 1,5 A 3,0 M, COM AREIA PARA ATERRO. AF_05/2016</t>
  </si>
  <si>
    <t>67,68</t>
  </si>
  <si>
    <t>94330</t>
  </si>
  <si>
    <t>ATERRO MECANIZADO DE VALA COM ESCAVADEIRA HIDRÁULICA (CAPACIDADE DA CAÇAMBA: 0,8 M³ / POTÊNCIA: 111 HP), LARGURA ATÉ 1,5 M, PROFUNDIDADE DE 3,0 A 4,5 M, COM AREIA PARA ATERRO. AF_05/2016</t>
  </si>
  <si>
    <t>68,83</t>
  </si>
  <si>
    <t>94331</t>
  </si>
  <si>
    <t>ATERRO MECANIZADO DE VALA COM ESCAVADEIRA HIDRÁULICA (CAPACIDADE DA CAÇAMBA: 0,8 M³ / POTÊNCIA: 111 HP), LARGURA DE 1,5 A 2,5 M, PROFUNDIDADE DE 3,0 A 4,5 M, COM AREIA PARA ATERRO. AF_05/2016</t>
  </si>
  <si>
    <t>65,78</t>
  </si>
  <si>
    <t>94332</t>
  </si>
  <si>
    <t>ATERRO MECANIZADO DE VALA COM ESCAVADEIRA HIDRÁULICA (CAPACIDADE DA CAÇAMBA: 0,8 M³ / POTÊNCIA: 111 HP), LARGURA ATÉ 1,5 M, PROFUNDIDADE DE 4,5 A 6,0 M, COM AREIA PARA ATERRO. AF_05/2016</t>
  </si>
  <si>
    <t>94333</t>
  </si>
  <si>
    <t>ATERRO MECANIZADO DE VALA COM ESCAVADEIRA HIDRÁULICA (CAPACIDADE DA CAÇAMBA: 0,8 M³ / POTÊNCIA: 111 HP), LARGURA DE 1,5 A 2,5 M, PROFUNDIDADE DE 4,5 A 6,0 M, COM AREIA PARA ATERRO. AF_05/2016</t>
  </si>
  <si>
    <t>64,84</t>
  </si>
  <si>
    <t>94338</t>
  </si>
  <si>
    <t>ATERRO MECANIZADO DE VALA COM RETROESCAVADEIRA (CAPACIDADE DA CAÇAMBA DA RETRO: 0,26 M³ / POTÊNCIA: 88 HP), LARGURA ATÉ 0,8 M, PROFUNDIDADE ATÉ 1,5 M, COM AREIA PARA ATERRO. AF_05/2016</t>
  </si>
  <si>
    <t>84,88</t>
  </si>
  <si>
    <t>94339</t>
  </si>
  <si>
    <t>ATERRO MECANIZADO DE VALA COM RETROESCAVADEIRA (CAPACIDADE DA CAÇAMBA DA RETRO: 0,26 M³ / POTÊNCIA: 88 HP), LARGURA DE 0,8 A 1,5 M, PROFUNDIDADE ATÉ 1,5 M, COM AREIA PARA ATERRO. AF_05/2016</t>
  </si>
  <si>
    <t>75,59</t>
  </si>
  <si>
    <t>94340</t>
  </si>
  <si>
    <t>ATERRO MECANIZADO DE VALA COM RETROESCAVADEIRA (CAPACIDADE DA CAÇAMBA DA RETRO: 0,26 M³ / POTÊNCIA: 88 HP), LARGURA ATÉ 0,8 M, PROFUNDIDADE DE 1,5 A 3,0 M, COM AREIA PARA ATERRO. AF_05/2016</t>
  </si>
  <si>
    <t>71,47</t>
  </si>
  <si>
    <t>94341</t>
  </si>
  <si>
    <t>ATERRO MECANIZADO DE VALA COM RETROESCAVADEIRA (CAPACIDADE DA CAÇAMBA DA RETRO: 0,26 M³ / POTÊNCIA: 88 HP), LARGURA DE 0,8 A 1,5 M, PROFUNDIDADE DE 1,5 A 3,0 M, COM AREIA PARA ATERRO. AF_05/2016</t>
  </si>
  <si>
    <t>66,17</t>
  </si>
  <si>
    <t>94342</t>
  </si>
  <si>
    <t>ATERRO MANUAL DE VALAS COM AREIA PARA ATERRO E COMPACTAÇÃO MECANIZADA. AF_05/2016</t>
  </si>
  <si>
    <t>87,24</t>
  </si>
  <si>
    <t>96385</t>
  </si>
  <si>
    <t>EXECUÇÃO E COMPACTAÇÃO DE ATERRO COM SOLO PREDOMINANTEMENTE ARGILOSO - EXCLUSIVE SOLO, ESCAVAÇÃO, CARGA E TRANSPORTE. AF_11/2019</t>
  </si>
  <si>
    <t>96386</t>
  </si>
  <si>
    <t>EXECUÇÃO E COMPACTAÇÃO DE ATERRO COM SOLO PREDOMINANTEMENTE ARENOSO - EXCLUSIVE SOLO, ESCAVAÇÃO, CARGA E TRANSPORTE. AF_11/2019</t>
  </si>
  <si>
    <t>6,97</t>
  </si>
  <si>
    <t>93360</t>
  </si>
  <si>
    <t>REATERRO MECANIZADO DE VALA COM ESCAVADEIRA HIDRÁULICA (CAPACIDADE DA CAÇAMBA: 0,8 M³ / POTÊNCIA: 111 HP), LARGURA DE 1,5 A 2,5 M, PROFUNDIDADE ATÉ 1,5 M, COM SOLO DE 1ª CATEGORIA EM LOCAIS COM ALTO NÍVEL DE INTERFERÊNCIA. AF_04/2016</t>
  </si>
  <si>
    <t>21,84</t>
  </si>
  <si>
    <t>93361</t>
  </si>
  <si>
    <t>REATERRO MECANIZADO DE VALA COM ESCAVADEIRA HIDRÁULICA (CAPACIDADE DA CAÇAMBA: 0,8 M³ / POTÊNCIA: 111 HP), LARGURA ATÉ 1,5 M, PROFUNDIDADE DE 1,5 A 3,0 M, COM SOLO DE 1ª CATEGORIA EM LOCAIS COM ALTO NÍVEL DE INTERFERÊNCIA. AF_04/2016</t>
  </si>
  <si>
    <t>17,97</t>
  </si>
  <si>
    <t>93362</t>
  </si>
  <si>
    <t>REATERRO MECANIZADO DE VALA COM ESCAVADEIRA HIDRÁULICA (CAPACIDADE DA CAÇAMBA: 0,8 M³ / POTÊNCIA: 111 HP), LARGURA DE 1,5 A 2,5 M, PROFUNDIDADE DE 1,5 A 3,0 M, COM SOLO DE 1ª CATEGORIA EM LOCAIS COM ALTO NÍVEL DE INTERFERÊNCIA. AF_04/2016</t>
  </si>
  <si>
    <t>93363</t>
  </si>
  <si>
    <t>REATERRO MECANIZADO DE VALA COM ESCAVADEIRA HIDRÁULICA (CAPACIDADE DA CAÇAMBA: 0,8 M³ / POTÊNCIA: 111 HP), LARGURA ATÉ 1,5 M, PROFUNDIDADE DE 3,0 A 4,5 M COM SOLO DE 1ª CATEGORIA EM LOCAIS COM ALTO NÍVEL DE INTERFERÊNCIA. AF_04/2016</t>
  </si>
  <si>
    <t>93364</t>
  </si>
  <si>
    <t>REATERRO MECANIZADO DE VALA COM ESCAVADEIRA HIDRÁULICA (CAPACIDADE DA CAÇAMBA: 0,8 M³ / POTÊNCIA: 111 HP), LARGURA DE 1,5 A 2,5 M, PROFUNDIDADE DE 3,0  A 4,5 M, COM SOLO (SEM SUBSTITUIÇÃO) DE 1ª CATEGORIA EM LOCAIS COM ALTO NÍVEL DE INTERFERÊNCIA. AF_04/2016</t>
  </si>
  <si>
    <t>93365</t>
  </si>
  <si>
    <t>REATERRO MECANIZADO DE VALA COM ESCAVADEIRA HIDRÁULICA (CAPACIDADE DA CAÇAMBA: 0,8 M³ / POTÊNCIA: 111 HP), LARGURA ATÉ 1,5 M, PROFUNDIDADE DE 4,5 A 6,0 M, COM SOLO DE 1ª CATEGORIA EM LOCAIS COM ALTO NÍVEL DE INTERFERÊNCIA. AF_04/2016</t>
  </si>
  <si>
    <t>12,20</t>
  </si>
  <si>
    <t>93366</t>
  </si>
  <si>
    <t>REATERRO MECANIZADO DE VALA COM ESCAVADEIRA HIDRÁULICA (CAPACIDADE DA CAÇAMBA: 0,8 M³ / POTÊNCIA: 111 HP), LARGURA DE 1,5 A 2,5 M, PROFUNDIDADE DE 4,5 A 6,0 M, COM SOLO DE 1ª CATEGORIA EM LOCAIS COM ALTO NÍVEL DE INTERFERÊNCIA. AF_04/2016</t>
  </si>
  <si>
    <t>9,99</t>
  </si>
  <si>
    <t>93367</t>
  </si>
  <si>
    <t>REATERRO MECANIZADO DE VALA COM ESCAVADEIRA HIDRÁULICA (CAPACIDADE DA CAÇAMBA: 0,8 M³ / POTÊNCIA: 111 HP), LARGURA DE 1,5 A 2,5 M, PROFUNDIDADE ATÉ 1,5 M, COM SOLO DE 1ª CATEGORIA EM LOCAIS COM BAIXO NÍVEL DE INTERFERÊNCIA. AF_04/2016</t>
  </si>
  <si>
    <t>93368</t>
  </si>
  <si>
    <t>REATERRO MECANIZADO DE VALA COM ESCAVADEIRA HIDRÁULICA (CAPACIDADE DA CAÇAMBA: 0,8 M³ / POTÊNCIA: 111 HP), LARGURA ATÉ 1,5 M, PROFUNDIDADE DE 1,5 A 3,0 M, COM SOLO DE 1ª CATEGORIA EM LOCAIS COM BAIXO NÍVEL DE INTERFERÊNCIA. AF_04/2016</t>
  </si>
  <si>
    <t>93369</t>
  </si>
  <si>
    <t>REATERRO MECANIZADO DE VALA COM ESCAVADEIRA HIDRÁULICA (CAPACIDADE DA CAÇAMBA: 0,8 M³ / POTÊNCIA: 111 HP), LARGURA DE 1,5 A 2,5 M, PROFUNDIDADE DE 1,5 A 3,0 M, COM SOLO (SEM SUBSTITUIÇÃO) DE 1ª CATEGORIA EM LOCAIS COM BAIXO NÍVEL DE INTERFERÊNCIA. AF_04/2016</t>
  </si>
  <si>
    <t>93370</t>
  </si>
  <si>
    <t>REATERRO MECANIZADO DE VALA COM ESCAVADEIRA HIDRÁULICA (CAPACIDADE DA CAÇAMBA: 0,8 M³ / POTÊNCIA: 111 HP), LARGURA ATÉ 1,5 M, PROFUNDIDADE DE 3,0 A 4,5 M, COM SOLO DE 1ª CATEGORIA EM LOCAIS COM BAIXO NÍVEL DE INTERFERÊNCIA. AF_04/2016</t>
  </si>
  <si>
    <t>93371</t>
  </si>
  <si>
    <t>REATERRO MECANIZADO DE VALA COM ESCAVADEIRA HIDRÁULICA (CAPACIDADE DA CAÇAMBA: 0,8 M³ / POTÊNCIA: 111 HP), LARGURA DE 1,5 A 2,5 M, PROFUNDIDADE DE 3,0 A 4,5 M, COM SOLO (SEM SUBSTITUIÇÃO) DE 1ª CATEGORIA EM LOCAIS COM BAIXO NÍVEL DE INTERFERÊNCIA. AF_04/2016</t>
  </si>
  <si>
    <t>93372</t>
  </si>
  <si>
    <t>REATERRO MECANIZADO DE VALA COM ESCAVADEIRA HIDRÁULICA (CAPACIDADE DA CAÇAMBA: 0,8 M³ / POTÊNCIA: 111 HP), LARGURA ATÉ 1,5 M, PROFUNDIDADE DE 4,5 A 6,0 M, COM SOLO DE 1ª CATEGORIA EM LOCAIS COM BAIXO NÍVEL DE INTERFERÊNCIA. AF_04/2016</t>
  </si>
  <si>
    <t>93373</t>
  </si>
  <si>
    <t>REATERRO MECANIZADO DE VALA COM ESCAVADEIRA HIDRÁULICA (CAPACIDADE DA CAÇAMBA: 0,8 M³ / POTÊNCIA: 111 HP), LARGURA DE 1,5 A 2,5 M, PROFUNDIDADE DE 4,5 A 6,0 M, COM SOLO (SEM SUBSTITUIÇÃO) DE 1ª CATEGORIA EM LOCAIS COM BAIXO NÍVEL DE INTERFERÊNCIA. AF_04/2016</t>
  </si>
  <si>
    <t>8,60</t>
  </si>
  <si>
    <t>93374</t>
  </si>
  <si>
    <t>REATERRO MECANIZADO DE VALA COM RETROESCAVADEIRA (CAPACIDADE DA CAÇAMBA DA RETRO: 0,26 M³ / POTÊNCIA: 88 HP), LARGURA ATÉ 0,8 M, PROFUNDIDADE ATÉ 1,5 M, COM SOLO (SEM SUBSTITUIÇÃO) DE 1ª CATEGORIA EM LOCAIS COM ALTO NÍVEL DE INTERFERÊNCIA. AF_04/2016</t>
  </si>
  <si>
    <t>25,75</t>
  </si>
  <si>
    <t>93375</t>
  </si>
  <si>
    <t>REATERRO MECANIZADO DE VALA COM RETROESCAVADEIRA (CAPACIDADE DA CAÇAMBA DA RETRO: 0,26 M³ / POTÊNCIA: 88 HP), LARGURA DE 0,8 A 1,5 M, PROFUNDIDADE ATÉ 1,5 M, COM SOLO DE 1ª CATEGORIA EM LOCAIS COM ALTO NÍVEL DE INTERFERÊNCIA. AF_04/2016</t>
  </si>
  <si>
    <t>93376</t>
  </si>
  <si>
    <t>REATERRO MECANIZADO DE VALA COM RETROESCAVADEIRA (CAPACIDADE DA CAÇAMBA DA RETRO: 0,26 M³ / POTÊNCIA: 88 HP), LARGURA ATÉ 0,8 M, PROFUNDIDADE DE 1,5 A 3,0 M, COM SOLO DE 1ª CATEGORIA EM LOCAIS COM ALTO NÍVEL DE INTERFERÊNCIA. AF_04/2016</t>
  </si>
  <si>
    <t>93377</t>
  </si>
  <si>
    <t>REATERRO MECANIZADO DE VALA COM RETROESCAVADEIRA (CAPACIDADE DA CAÇAMBA DA RETRO: 0,26 M³ / POTÊNCIA: 88 HP), LARGURA DE 0,8 A 1,5 M, PROFUNDIDADE DE 1,5 A 3,0 M, COM SOLO (SEM SUBSTITUIÇÃO) DE 1ª CATEGORIA EM LOCAIS COM ALTO NÍVEL DE INTERFERÊNCIA. AF_04/2016</t>
  </si>
  <si>
    <t>93378</t>
  </si>
  <si>
    <t>REATERRO MECANIZADO DE VALA COM RETROESCAVADEIRA (CAPACIDADE DA CAÇAMBA DA RETRO: 0,26 M³ / POTÊNCIA: 88 HP), LARGURA ATÉ 0,8 M, PROFUNDIDADE ATÉ 1,5 M, COM SOLO DE 1ª CATEGORIA EM LOCAIS COM BAIXO NÍVEL DE INTERFERÊNCIA. AF_04/2016</t>
  </si>
  <si>
    <t>24,21</t>
  </si>
  <si>
    <t>93379</t>
  </si>
  <si>
    <t>REATERRO MECANIZADO DE VALA COM RETROESCAVADEIRA (CAPACIDADE DA CAÇAMBA DA RETRO: 0,26 M³ / POTÊNCIA: 88 HP), LARGURA DE 0,8 A 1,5 M, PROFUNDIDADE ATÉ 1,5 M, COM SOLO DE 1ª CATEGORIA EM LOCAIS COM BAIXO NÍVEL DE INTERFERÊNCIA. AF_04/2016</t>
  </si>
  <si>
    <t>93380</t>
  </si>
  <si>
    <t>REATERRO MECANIZADO DE VALA COM RETROESCAVADEIRA (CAPACIDADE DA CAÇAMBA DA RETRO: 0,26 M³ / POTÊNCIA: 88 HP), LARGURA ATÉ 0,8 M, PROFUNDIDADE DE 1,5 A 3,0 M, COM SOLO DE 1ª CATEGORIA EM LOCAIS COM BAIXO NÍVEL DE INTERFERÊNCIA. AF_04/2016</t>
  </si>
  <si>
    <t>15,20</t>
  </si>
  <si>
    <t>93381</t>
  </si>
  <si>
    <t>REATERRO MECANIZADO DE VALA COM RETROESCAVADEIRA (CAPACIDADE DA CAÇAMBA DA RETRO: 0,26 M³ / POTÊNCIA: 88 HP), LARGURA DE 0,8 A 1,5 M, PROFUNDIDADE DE 1,5 A 3,0 M, COM SOLO (SEM SUBSTITUIÇÃO) DE 1ª CATEGORIA EM LOCAIS COM BAIXO NÍVEL DE INTERFERÊNCIA. AF_04/2016</t>
  </si>
  <si>
    <t>9,92</t>
  </si>
  <si>
    <t>93382</t>
  </si>
  <si>
    <t>REATERRO MANUAL DE VALAS COM COMPACTAÇÃO MECANIZADA. AF_04/2016</t>
  </si>
  <si>
    <t>96995</t>
  </si>
  <si>
    <t>REATERRO MANUAL APILOADO COM SOQUETE. AF_10/2017</t>
  </si>
  <si>
    <t>43,43</t>
  </si>
  <si>
    <t>97916</t>
  </si>
  <si>
    <t>TRANSPORTE COM CAMINHÃO BASCULANTE DE 6 M³, EM VIA URBANA EM LEITO NATURAL (UNIDADE: TXKM). AF_07/2020</t>
  </si>
  <si>
    <t>TXKM</t>
  </si>
  <si>
    <t>1,99</t>
  </si>
  <si>
    <t>97917</t>
  </si>
  <si>
    <t>TRANSPORTE COM CAMINHÃO BASCULANTE DE 6 M³, EM VIA URBANA EM REVESTIMENTO PRIMÁRIO (UNIDADE: TXKM). AF_07/2020</t>
  </si>
  <si>
    <t>1,72</t>
  </si>
  <si>
    <t>97918</t>
  </si>
  <si>
    <t>TRANSPORTE COM CAMINHÃO BASCULANTE DE 6 M³, EM VIA URBANA PAVIMENTADA, DMT ATÉ 30 KM (UNIDADE: TXKM). AF_07/2020</t>
  </si>
  <si>
    <t>97919</t>
  </si>
  <si>
    <t>TRANSPORTE COM CAMINHÃO BASCULANTE DE 6 M³, EM VIA URBANA PAVIMENTADA, ADICIONAL PARA DMT EXCEDENTE A 30 KM (UNIDADE: TXKM). AF_07/2020</t>
  </si>
  <si>
    <t>101616</t>
  </si>
  <si>
    <t>PREPARO DE FUNDO DE VALA COM LARGURA MENOR QUE 1,5 M (ACERTO DO SOLO NATURAL). AF_08/2020</t>
  </si>
  <si>
    <t>5,57</t>
  </si>
  <si>
    <t>101617</t>
  </si>
  <si>
    <t>PREPARO DE FUNDO DE VALA COM LARGURA MAIOR OU IGUAL A 1,5 M E MENOR QUE 2,5 M (ACERTO DO SOLO NATURAL). AF_08/2020</t>
  </si>
  <si>
    <t>2,74</t>
  </si>
  <si>
    <t>101618</t>
  </si>
  <si>
    <t>PREPARO DE FUNDO DE VALA COM LARGURA MENOR QUE 1,5 M, COM CAMADA DE AREIA, LANÇAMENTO MANUAL. AF_08/2020</t>
  </si>
  <si>
    <t>160,03</t>
  </si>
  <si>
    <t>101619</t>
  </si>
  <si>
    <t>PREPARO DE FUNDO DE VALA COM LARGURA MENOR QUE 1,5 M, COM CAMADA DE BRITA, LANÇAMENTO MANUAL. AF_08/2020</t>
  </si>
  <si>
    <t>238,15</t>
  </si>
  <si>
    <t>101620</t>
  </si>
  <si>
    <t>PREPARO DE FUNDO DE VALA COM LARGURA MAIOR OU IGUAL A 1,5 M E MENOR QUE 2,5 M, COM CAMADA DE AREIA, LANÇAMENTO MANUAL. AF_08/2020</t>
  </si>
  <si>
    <t>137,37</t>
  </si>
  <si>
    <t>101621</t>
  </si>
  <si>
    <t>PREPARO DE FUNDO DE VALA COM LARGURA MAIOR OU IGUAL A 1,5 M E MENOR QUE 2,5 M, COM CAMADA DE BRITA, LANÇAMENTO MANUAL. AF_08/2020</t>
  </si>
  <si>
    <t>215,49</t>
  </si>
  <si>
    <t>101622</t>
  </si>
  <si>
    <t>PREPARO DE FUNDO DE VALA COM LARGURA MENOR QUE 1,5 M, COM CAMADA DE AREIA, LANÇAMENTO MECANIZADO. AF_08/2020</t>
  </si>
  <si>
    <t>137,14</t>
  </si>
  <si>
    <t>101623</t>
  </si>
  <si>
    <t>PREPARO DE FUNDO DE VALA COM LARGURA MENOR QUE 1,5 M, COM CAMADA DE BRITA, LANÇAMENTO MECANIZADO. AF_08/2020</t>
  </si>
  <si>
    <t>209,93</t>
  </si>
  <si>
    <t>101624</t>
  </si>
  <si>
    <t>PREPARO DE FUNDO DE VALA COM LARGURA MAIOR OU IGUAL A 1,5 M E MENOR QUE 2,5 M, COM CAMADA DE BRITA, LANÇAMENTO MECANIZADO. AF_08/2020</t>
  </si>
  <si>
    <t>168,55</t>
  </si>
  <si>
    <t>101625</t>
  </si>
  <si>
    <t>PREPARO DE FUNDO DE VALA COM LARGURA MAIOR OU IGUAL A 1,5 M E MENOR QUE 2,5 M, COM CAMADA DE AREIA, LANÇAMENTO MECANIZADO. AF_08/2020</t>
  </si>
  <si>
    <t>100,94</t>
  </si>
  <si>
    <t>95606</t>
  </si>
  <si>
    <t>UMIDIFICAÇÃO DE MATERIAL PARA VALAS COM CAMINHÃO PIPA 10000L. AF_11/2016</t>
  </si>
  <si>
    <t>87471</t>
  </si>
  <si>
    <t>ALVENARIA DE VEDAÇÃO DE BLOCOS CERÂMICOS FURADOS NA VERTICAL DE 9X19X39CM (ESPESSURA 9CM) DE PAREDES COM ÁREA LÍQUIDA MENOR QUE 6M² SEM VÃOS E ARGAMASSA DE ASSENTAMENTO COM PREPARO EM BETONEIRA. AF_06/2014</t>
  </si>
  <si>
    <t>46,03</t>
  </si>
  <si>
    <t>87472</t>
  </si>
  <si>
    <t>ALVENARIA DE VEDAÇÃO DE BLOCOS CERÂMICOS FURADOS NA VERTICAL DE 9X19X39CM (ESPESSURA 9CM) DE PAREDES COM ÁREA LÍQUIDA MENOR QUE 6M² SEM VÃOS E ARGAMASSA DE ASSENTAMENTO COM PREPARO MANUAL. AF_06/2014</t>
  </si>
  <si>
    <t>46,98</t>
  </si>
  <si>
    <t>87473</t>
  </si>
  <si>
    <t>ALVENARIA DE VEDAÇÃO DE BLOCOS CERÂMICOS FURADOS NA VERTICAL DE 14X19X39CM (ESPESSURA 14CM) DE PAREDES COM ÁREA LÍQUIDA MENOR QUE 6M² SEM VÃOS E ARGAMASSA DE ASSENTAMENTO COM PREPARO EM BETONEIRA. AF_06/2014</t>
  </si>
  <si>
    <t>63,10</t>
  </si>
  <si>
    <t>87474</t>
  </si>
  <si>
    <t>ALVENARIA DE VEDAÇÃO DE BLOCOS CERÂMICOS FURADOS NA VERTICAL DE 14X19X39CM (ESPESSURA 14CM) DE PAREDES COM ÁREA LÍQUIDA MENOR QUE 6M² SEM VÃOS E ARGAMASSA DE ASSENTAMENTO COM PREPARO MANUAL. AF_06/2014</t>
  </si>
  <si>
    <t>64,18</t>
  </si>
  <si>
    <t>87475</t>
  </si>
  <si>
    <t>ALVENARIA DE VEDAÇÃO DE BLOCOS CERÂMICOS FURADOS NA VERTICAL DE 19X19X39CM (ESPESSURA 19CM) DE PAREDES COM ÁREA LÍQUIDA MENOR QUE 6M² SEM VÃOS E ARGAMASSA DE ASSENTAMENTO COM PREPARO EM BETONEIRA. AF_06/2014</t>
  </si>
  <si>
    <t>77,50</t>
  </si>
  <si>
    <t>87476</t>
  </si>
  <si>
    <t>ALVENARIA DE VEDAÇÃO DE BLOCOS CERÂMICOS FURADOS NA VERTICAL DE 19X19X39CM (ESPESSURA 19CM) DE PAREDES COM ÁREA LÍQUIDA MENOR QUE 6M² SEM VÃOS E ARGAMASSA DE ASSENTAMENTO COM PREPARO MANUAL. AF_06/2014</t>
  </si>
  <si>
    <t>78,75</t>
  </si>
  <si>
    <t>87477</t>
  </si>
  <si>
    <t>ALVENARIA DE VEDAÇÃO DE BLOCOS CERÂMICOS FURADOS NA VERTICAL DE 9X19X39CM (ESPESSURA 9CM) DE PAREDES COM ÁREA LÍQUIDA MAIOR OU IGUAL A 6M² SEM VÃOS E ARGAMASSA DE ASSENTAMENTO COM PREPARO EM BETONEIRA. AF_06/2014</t>
  </si>
  <si>
    <t>40,35</t>
  </si>
  <si>
    <t>87478</t>
  </si>
  <si>
    <t>ALVENARIA DE VEDAÇÃO DE BLOCOS CERÂMICOS FURADOS NA VERTICAL DE 9X19X39CM (ESPESSURA 9CM) DE PAREDES COM ÁREA LÍQUIDA MAIOR OU IGUAL A 6M² SEM VÃOS E ARGAMASSA DE ASSENTAMENTO COM PREPARO MANUAL. AF_06/2014</t>
  </si>
  <si>
    <t>41,30</t>
  </si>
  <si>
    <t>87479</t>
  </si>
  <si>
    <t>ALVENARIA DE VEDAÇÃO DE BLOCOS CERÂMICOS FURADOS NA VERTICAL DE 14X19X39CM (ESPESSURA 14CM) DE PAREDES COM ÁREA LÍQUIDA MAIOR OU IGUAL A 6M² SEM VÃOS E ARGAMASSA DE ASSENTAMENTO COM PREPARO EM BETONEIRA. AF_06/2014</t>
  </si>
  <si>
    <t>87480</t>
  </si>
  <si>
    <t>ALVENARIA DE VEDAÇÃO DE BLOCOS CERÂMICOS FURADOS NA VERTICAL DE 14X19X39CM (ESPESSURA 14CM) DE PAREDES COM ÁREA LÍQUIDA MAIOR OU IGUAL A 6M² SEM VÃOS E ARGAMASSA DE ASSENTAMENTO COM PREPARO MANUAL. AF_06/2014</t>
  </si>
  <si>
    <t>57,33</t>
  </si>
  <si>
    <t>87481</t>
  </si>
  <si>
    <t>ALVENARIA DE VEDAÇÃO DE BLOCOS CERÂMICOS FURADOS NA VERTICAL DE 19X19X39CM (ESPESSURA 19CM) DE PAREDES COM ÁREA LÍQUIDA MAIOR OU IGUAL A 6M² SEM VÃOS E ARGAMASSA DE ASSENTAMENTO COM PREPARO EM BETONEIRA. AF_06/2014</t>
  </si>
  <si>
    <t>68,91</t>
  </si>
  <si>
    <t>87482</t>
  </si>
  <si>
    <t>ALVENARIA DE VEDAÇÃO DE BLOCOS CERÂMICOS FURADOS NA VERTICAL DE 19X19X39CM (ESPESSURA 19CM) DE PAREDES COM ÁREA LÍQUIDA MAIOR OU IGUAL A 6M² SEM VÃOS E ARGAMASSA DE ASSENTAMENTO COM PREPARO MANUAL. AF_06/2014</t>
  </si>
  <si>
    <t>70,16</t>
  </si>
  <si>
    <t>87483</t>
  </si>
  <si>
    <t>ALVENARIA DE VEDAÇÃO DE BLOCOS CERÂMICOS FURADOS NA VERTICAL DE 9X19X39CM (ESPESSURA 9CM) DE PAREDES COM ÁREA LÍQUIDA MENOR QUE 6M² COM VÃOS E ARGAMASSA DE ASSENTAMENTO COM PREPARO EM BETONEIRA. AF_06/2014</t>
  </si>
  <si>
    <t>53,21</t>
  </si>
  <si>
    <t>87484</t>
  </si>
  <si>
    <t>ALVENARIA DE VEDAÇÃO DE BLOCOS CERÂMICOS FURADOS NA VERTICAL DE 9X19X39CM (ESPESSURA 9CM) DE PAREDES COM ÁREA LÍQUIDA MENOR QUE 6M² COM VÃOS E ARGAMASSA DE ASSENTAMENTO COM PREPARO MANUAL. AF_06/2014</t>
  </si>
  <si>
    <t>54,16</t>
  </si>
  <si>
    <t>87485</t>
  </si>
  <si>
    <t>ALVENARIA DE VEDAÇÃO DE BLOCOS CERÂMICOS FURADOS NA VERTICAL DE 14X19X39CM (ESPESSURA 14CM) DE PAREDES COM ÁREA LÍQUIDA MENOR QUE 6M² COM VÃOS E ARGAMASSA DE ASSENTAMENTO COM PREPARO EM BETONEIRA. AF_06/2014</t>
  </si>
  <si>
    <t>70,37</t>
  </si>
  <si>
    <t>87487</t>
  </si>
  <si>
    <t>ALVENARIA DE VEDAÇÃO DE BLOCOS CERÂMICOS FURADOS NA VERTICAL DE 19X19X39CM (ESPESSURA 19CM) DE PAREDES COM ÁREA LÍQUIDA MENOR QUE 6M² COM VÃOS E ARGAMASSA DE ASSENTAMENTO COM PREPARO EM BETONEIRA. AF_06/2014</t>
  </si>
  <si>
    <t>84,53</t>
  </si>
  <si>
    <t>87488</t>
  </si>
  <si>
    <t>ALVENARIA DE VEDAÇÃO DE BLOCOS CERÂMICOS FURADOS NA VERTICAL DE 19X19X39CM (ESPESSURA 19CM) DE PAREDES COM ÁREA LÍQUIDA MENOR QUE 6M² COM VÃOS E ARGAMASSA DE ASSENTAMENTO COM PREPARO MANUAL. AF_06/2014</t>
  </si>
  <si>
    <t>85,78</t>
  </si>
  <si>
    <t>87489</t>
  </si>
  <si>
    <t>ALVENARIA DE VEDAÇÃO DE BLOCOS CERÂMICOS FURADOS NA VERTICAL DE 9X19X39CM (ESPESSURA 9CM) DE PAREDES COM ÁREA LÍQUIDA MAIOR OU IGUAL A 6M² COM VÃOS E ARGAMASSA DE ASSENTAMENTO COM PREPARO EM BETONEIRA. AF_06/2014</t>
  </si>
  <si>
    <t>44,44</t>
  </si>
  <si>
    <t>87490</t>
  </si>
  <si>
    <t>ALVENARIA DE VEDAÇÃO DE BLOCOS CERÂMICOS FURADOS NA VERTICAL DE 9X19X39CM (ESPESSURA 9CM) DE PAREDES COM ÁREA LÍQUIDA MAIOR OU IGUAL A 6M² COM VÃOS E ARGAMASSA DE ASSENTAMENTO COM PREPARO MANUAL. AF_06/2014</t>
  </si>
  <si>
    <t>45,39</t>
  </si>
  <si>
    <t>87491</t>
  </si>
  <si>
    <t>ALVENARIA DE VEDAÇÃO DE BLOCOS CERÂMICOS FURADOS NA VERTICAL DE 14X19X39CM (ESPESSURA 14CM) DE PAREDES COM ÁREA LÍQUIDA MAIOR OU IGUAL A 6M² COM VÃOS E ARGAMASSA DE ASSENTAMENTO COM PREPARO EM BETONEIRA. AF_06/2014</t>
  </si>
  <si>
    <t>87492</t>
  </si>
  <si>
    <t>ALVENARIA DE VEDAÇÃO DE BLOCOS CERÂMICOS FURADOS NA VERTICAL DE 14X19X39CM (ESPESSURA 14CM) DE PAREDES COM ÁREA LÍQUIDA MAIOR OU IGUAL A 6M² COM VÃOS E ARGAMASSA DE ASSENTAMENTO COM PREPARO MANUAL. AF_06/2014</t>
  </si>
  <si>
    <t>61,51</t>
  </si>
  <si>
    <t>87493</t>
  </si>
  <si>
    <t>ALVENARIA DE VEDAÇÃO DE BLOCOS CERÂMICOS FURADOS NA VERTICAL DE 19X19X39CM (ESPESSURA 19CM) DE PAREDES COM ÁREA LÍQUIDA MAIOR OU IGUAL A 6M² COM VÃOS E ARGAMASSA DE ASSENTAMENTO COM PREPARO EM BETONEIRA. AF_06/2014</t>
  </si>
  <si>
    <t>73,19</t>
  </si>
  <si>
    <t>87494</t>
  </si>
  <si>
    <t>ALVENARIA DE VEDAÇÃO DE BLOCOS CERÂMICOS FURADOS NA VERTICAL DE 19X19X39CM (ESPESSURA 19CM) DE PAREDES COM ÁREA LÍQUIDA MAIOR OU IGUAL A 6M² COM VÃOS E ARGAMASSA DE ASSENTAMENTO COM PREPARO MANUAL. AF_06/2014</t>
  </si>
  <si>
    <t>87495</t>
  </si>
  <si>
    <t>ALVENARIA DE VEDAÇÃO DE BLOCOS CERÂMICOS FURADOS NA HORIZONTAL DE 9X19X19CM (ESPESSURA 9CM) DE PAREDES COM ÁREA LÍQUIDA MENOR QUE 6M² SEM VÃOS E ARGAMASSA DE ASSENTAMENTO COM PREPARO EM BETONEIRA. AF_06/2014</t>
  </si>
  <si>
    <t>80,25</t>
  </si>
  <si>
    <t>87496</t>
  </si>
  <si>
    <t>ALVENARIA DE VEDAÇÃO DE BLOCOS CERÂMICOS FURADOS NA HORIZONTAL DE 9X19X19CM (ESPESSURA 9CM) DE PAREDES COM ÁREA LÍQUIDA MENOR QUE 6M² SEM VÃOS E ARGAMASSA DE ASSENTAMENTO COM PREPARO MANUAL. AF_06/2014</t>
  </si>
  <si>
    <t>81,15</t>
  </si>
  <si>
    <t>87497</t>
  </si>
  <si>
    <t>ALVENARIA DE VEDAÇÃO DE BLOCOS CERÂMICOS FURADOS NA HORIZONTAL DE 11,5X19X19CM (ESPESSURA 11,5CM) DE PAREDES COM ÁREA LÍQUIDA MENOR QUE 6M² SEM VÃOS E ARGAMASSA DE ASSENTAMENTO COM PREPARO EM BETONEIRA. AF_06/2014</t>
  </si>
  <si>
    <t>78,35</t>
  </si>
  <si>
    <t>87498</t>
  </si>
  <si>
    <t>ALVENARIA DE VEDAÇÃO DE BLOCOS CERÂMICOS FURADOS NA HORIZONTAL DE 11,5X19X19CM (ESPESSURA 11,5CM) DE PAREDES COM ÁREA LÍQUIDA MENOR QUE 6M² SEM VÃOS E ARGAMASSA DE ASSENTAMENTO COM PREPARO MANUAL. AF_06/2014</t>
  </si>
  <si>
    <t>79,48</t>
  </si>
  <si>
    <t>87499</t>
  </si>
  <si>
    <t>ALVENARIA DE VEDAÇÃO DE BLOCOS CERÂMICOS FURADOS NA HORIZONTAL DE 9X14X19CM (ESPESSURA 9CM) DE PAREDES COM ÁREA LÍQUIDA MENOR QUE 6M² SEM VÃOS E ARGAMASSA DE ASSENTAMENTO COM PREPARO EM BETONEIRA. AF_06/2014</t>
  </si>
  <si>
    <t>93,11</t>
  </si>
  <si>
    <t>87500</t>
  </si>
  <si>
    <t>ALVENARIA DE VEDAÇÃO DE BLOCOS CERÂMICOS FURADOS NA HORIZONTAL DE 9X14X19CM (ESPESSURA 9CM) DE PAREDES COM ÁREA LÍQUIDA MENOR QUE 6M² SEM VÃOS E ARGAMASSA DE ASSENTAMENTO COM PREPARO MANUAL. AF_06/2014</t>
  </si>
  <si>
    <t>94,08</t>
  </si>
  <si>
    <t>87501</t>
  </si>
  <si>
    <t>ALVENARIA DE VEDAÇÃO DE BLOCOS CERÂMICOS FURADOS NA HORIZONTAL DE 14X9X19CM (ESPESSURA 14CM, BLOCO DEITADO) DE PAREDES COM ÁREA LÍQUIDA MENOR QUE 6M² SEM VÃOS E ARGAMASSA DE ASSENTAMENTO COM PREPARO EM BETONEIRA. AF_06/2014</t>
  </si>
  <si>
    <t>146,53</t>
  </si>
  <si>
    <t>87502</t>
  </si>
  <si>
    <t>ALVENARIA DE VEDAÇÃO DE BLOCOS CERÂMICOS FURADOS NA HORIZONTAL DE 14X9X19CM (ESPESSURA 14CM, BLOCO DEITADO) DE PAREDES COM ÁREA LÍQUIDA MENOR QUE 6M² SEM VÃOS E ARGAMASSA DE ASSENTAMENTO COM PREPARO MANUAL. AF_06/2014</t>
  </si>
  <si>
    <t>147,76</t>
  </si>
  <si>
    <t>87503</t>
  </si>
  <si>
    <t>ALVENARIA DE VEDAÇÃO DE BLOCOS CERÂMICOS FURADOS NA HORIZONTAL DE 9X19X19CM (ESPESSURA 9CM) DE PAREDES COM ÁREA LÍQUIDA MAIOR OU IGUAL A 6M² SEM VÃOS E ARGAMASSA DE ASSENTAMENTO COM PREPARO EM BETONEIRA. AF_06/2014</t>
  </si>
  <si>
    <t>67,36</t>
  </si>
  <si>
    <t>87504</t>
  </si>
  <si>
    <t>ALVENARIA DE VEDAÇÃO DE BLOCOS CERÂMICOS FURADOS NA HORIZONTAL DE 9X19X19CM (ESPESSURA 9CM) DE PAREDES COM ÁREA LÍQUIDA MAIOR OU IGUAL A 6M² SEM VÃOS E ARGAMASSA DE ASSENTAMENTO COM PREPARO MANUAL. AF_06/2014</t>
  </si>
  <si>
    <t>68,26</t>
  </si>
  <si>
    <t>87505</t>
  </si>
  <si>
    <t>ALVENARIA DE VEDAÇÃO DE BLOCOS CERÂMICOS FURADOS NA HORIZONTAL DE 11,5X19X19CM (ESPESSURA 11,5M) DE PAREDES COM ÁREA LÍQUIDA MAIOR OU IGUAL A 6M² SEM VÃOS E ARGAMASSA DE ASSENTAMENTO COM PREPARO EM BETONEIRA. AF_06/2014</t>
  </si>
  <si>
    <t>65,14</t>
  </si>
  <si>
    <t>87506</t>
  </si>
  <si>
    <t>ALVENARIA DE VEDAÇÃO DE BLOCOS CERÂMICOS FURADOS NA HORIZONTAL DE 11,5X19X19CM (ESPESSURA 11,5M) DE PAREDES COM ÁREA LÍQUIDA MAIOR OU IGUAL A 6M² SEM VÃOS E ARGAMASSA DE ASSENTAMENTO COM PREPARO MANUAL. AF_06/2014</t>
  </si>
  <si>
    <t>66,27</t>
  </si>
  <si>
    <t>87507</t>
  </si>
  <si>
    <t>ALVENARIA DE VEDAÇÃO DE BLOCOS CERÂMICOS FURADOS NA HORIZONTAL DE 9X14X19CM (ESPESSURA 9CM) DE PAREDES COM ÁREA LÍQUIDA MAIOR OU IGUAL A 6M² SEM VÃOS E ARGAMASSA DE ASSENTAMENTO COM PREPARO EM BETONEIRA. AF_06/2014</t>
  </si>
  <si>
    <t>87508</t>
  </si>
  <si>
    <t>ALVENARIA DE VEDAÇÃO DE BLOCOS CERÂMICOS FURADOS NA HORIZONTAL DE 9X14X19CM (ESPESSURA 9CM) DE PAREDES COM ÁREA LÍQUIDA MAIOR OU IGUAL A 6M² SEM VÃOS E ARGAMASSA DE ASSENTAMENTO COM PREPARO MANUAL. AF_06/2014</t>
  </si>
  <si>
    <t>76,97</t>
  </si>
  <si>
    <t>87509</t>
  </si>
  <si>
    <t>ALVENARIA DE VEDAÇÃO DE BLOCOS CERÂMICOS FURADOS NA HORIZONTAL DE 14X9X19CM (ESPESSURA 14CM, BLOCO DEITADO) DE PAREDES COM ÁREA LÍQUIDA MAIOR OU IGUAL A 6M² SEM VÃOS E ARGAMASSA DE ASSENTAMENTO COM PREPARO EM BETONEIRA. AF_06/2014</t>
  </si>
  <si>
    <t>118,14</t>
  </si>
  <si>
    <t>87510</t>
  </si>
  <si>
    <t>ALVENARIA DE VEDAÇÃO DE BLOCOS CERÂMICOS FURADOS NA HORIZONTAL DE 14X9X19CM (ESPESSURA 14CM, BLOCO DEITADO) DE PAREDES COM ÁREA LÍQUIDA MAIOR OU IGUAL A 6M² SEM VÃOS E ARGAMASSA DE ASSENTAMENTO COM PREPARO MANUAL. AF_06/2014</t>
  </si>
  <si>
    <t>119,37</t>
  </si>
  <si>
    <t>87511</t>
  </si>
  <si>
    <t>ALVENARIA DE VEDAÇÃO DE BLOCOS CERÂMICOS FURADOS NA HORIZONTAL DE 9X19X19CM (ESPESSURA 9CM) DE PAREDES COM ÁREA LÍQUIDA MENOR QUE 6M² COM VÃOS E ARGAMASSA DE ASSENTAMENTO COM PREPARO EM BETONEIRA. AF_06/2014</t>
  </si>
  <si>
    <t>90,38</t>
  </si>
  <si>
    <t>87512</t>
  </si>
  <si>
    <t>ALVENARIA DE VEDAÇÃO DE BLOCOS CERÂMICOS FURADOS NA HORIZONTAL DE 9X19X19CM (ESPESSURA 9CM) DE PAREDES COM ÁREA LÍQUIDA MENOR QUE 6M² COM VÃOS E ARGAMASSA DE ASSENTAMENTO COM PREPARO MANUAL. AF_06/2014</t>
  </si>
  <si>
    <t>91,28</t>
  </si>
  <si>
    <t>87513</t>
  </si>
  <si>
    <t>ALVENARIA DE VEDAÇÃO DE BLOCOS CERÂMICOS FURADOS NA HORIZONTAL DE 11,5X19X19CM (ESPESSURA 11,5CM) DE PAREDES COM ÁREA LÍQUIDA MENOR QUE 6M² COM VÃOS E ARGAMASSA DE ASSENTAMENTO COM PREPARO EM BETONEIRA. AF_06/2014</t>
  </si>
  <si>
    <t>88,90</t>
  </si>
  <si>
    <t>87514</t>
  </si>
  <si>
    <t>ALVENARIA DE VEDAÇÃO DE BLOCOS CERÂMICOS FURADOS NA HORIZONTAL DE 11,5X19X19CM (ESPESSURA 11,5CM) DE PAREDES COM ÁREA LÍQUIDA MENOR QUE 6M² COM VÃOS E ARGAMASSA DE ASSENTAMENTO COM PREPARO MANUAL. AF_06/2014</t>
  </si>
  <si>
    <t>90,03</t>
  </si>
  <si>
    <t>87515</t>
  </si>
  <si>
    <t>ALVENARIA DE VEDAÇÃO DE BLOCOS CERÂMICOS FURADOS NA HORIZONTAL DE 9X14X19CM (ESPESSURA 9CM) DE PAREDES COM ÁREA LÍQUIDA MENOR QUE 6M² COM VÃOS E ARGAMASSA DE ASSENTAMENTO COM PREPARO EM BETONEIRA. AF_06/2014</t>
  </si>
  <si>
    <t>87516</t>
  </si>
  <si>
    <t>ALVENARIA DE VEDAÇÃO DE BLOCOS CERÂMICOS FURADOS NA HORIZONTAL DE 9X14X19CM (ESPESSURA 9CM) DE PAREDES COM ÁREA LÍQUIDA MENOR QUE 6M² COM VÃOS E ARGAMASSA DE ASSENTAMENTO COM PREPARO MANUAL. AF_06/2014</t>
  </si>
  <si>
    <t>108,27</t>
  </si>
  <si>
    <t>87517</t>
  </si>
  <si>
    <t>ALVENARIA DE VEDAÇÃO DE BLOCOS CERÂMICOS FURADOS NA HORIZONTAL DE 14X9X19CM (ESPESSURA 14CM, BLOCO DEITADO) DE PAREDES COM ÁREA LÍQUIDA MENOR QUE 6M² COM VÃOS E ARGAMASSA DE ASSENTAMENTO COM PREPARO EM BETONEIRA. AF_06/2014</t>
  </si>
  <si>
    <t>168,60</t>
  </si>
  <si>
    <t>87518</t>
  </si>
  <si>
    <t>ALVENARIA DE VEDAÇÃO DE BLOCOS CERÂMICOS FURADOS NA HORIZONTAL DE 14X9X19CM (ESPESSURA 14CM, BLOCO DEITADO) DE PAREDES COM ÁREA LÍQUIDA MENOR QUE 6M² COM VÃOS E ARGAMASSA DE ASSENTAMENTO COM PREPARO MANUAL. AF_06/2014</t>
  </si>
  <si>
    <t>169,83</t>
  </si>
  <si>
    <t>87519</t>
  </si>
  <si>
    <t>ALVENARIA DE VEDAÇÃO DE BLOCOS CERÂMICOS FURADOS NA HORIZONTAL DE 9X19X19CM (ESPESSURA 9CM) DE PAREDES COM ÁREA LÍQUIDA MAIOR OU IGUAL A 6M² COM VÃOS E ARGAMASSA DE ASSENTAMENTO COM PREPARO EM BETONEIRA. AF_06/2014</t>
  </si>
  <si>
    <t>73,72</t>
  </si>
  <si>
    <t>87520</t>
  </si>
  <si>
    <t>ALVENARIA DE VEDAÇÃO DE BLOCOS CERÂMICOS FURADOS NA HORIZONTAL DE 9X19X19CM (ESPESSURA 9CM) DE PAREDES COM ÁREA LÍQUIDA MAIOR OU IGUAL A 6M² COM VÃOS E ARGAMASSA DE ASSENTAMENTO COM PREPARO MANUAL. AF_06/2014</t>
  </si>
  <si>
    <t>74,62</t>
  </si>
  <si>
    <t>87521</t>
  </si>
  <si>
    <t>ALVENARIA DE VEDAÇÃO DE BLOCOS CERÂMICOS FURADOS NA HORIZONTAL DE 11,5X19X19CM (ESPESSURA 11,5CM) DE PAREDES COM ÁREA LÍQUIDA MAIOR OU IGUAL A 6M² COM VÃOS E ARGAMASSA DE ASSENTAMENTO COM PREPARO EM BETONEIRA. AF_06/2014</t>
  </si>
  <si>
    <t>71,57</t>
  </si>
  <si>
    <t>87522</t>
  </si>
  <si>
    <t>ALVENARIA DE VEDAÇÃO DE BLOCOS CERÂMICOS FURADOS NA HORIZONTAL DE 11,5X19X19CM (ESPESSURA 11,5CM) DE PAREDES COM ÁREA LÍQUIDA MAIOR OU IGUAL A 6M² COM VÃOS E ARGAMASSA DE ASSENTAMENTO COM PREPARO MANUAL. AF_06/2014</t>
  </si>
  <si>
    <t>72,70</t>
  </si>
  <si>
    <t>87523</t>
  </si>
  <si>
    <t>ALVENARIA DE VEDAÇÃO DE BLOCOS CERÂMICOS FURADOS NA HORIZONTAL DE 9X14X19CM (ESPESSURA 9CM) DE PAREDES COM ÁREA LÍQUIDA MAIOR OU IGUAL A 6M² COM VÃOS E ARGAMASSA DE ASSENTAMENTO COM PREPARO EM BETONEIRA. AF_06/2014</t>
  </si>
  <si>
    <t>84,65</t>
  </si>
  <si>
    <t>87524</t>
  </si>
  <si>
    <t>ALVENARIA DE VEDAÇÃO DE BLOCOS CERÂMICOS FURADOS NA HORIZONTAL DE 9X14X19CM (ESPESSURA 9CM) DE PAREDES COM ÁREA LÍQUIDA MAIOR OU IGUAL A 6M² COM VÃOS E ARGAMASSA DE ASSENTAMENTO COM PREPARO MANUAL. AF_06/2014</t>
  </si>
  <si>
    <t>85,62</t>
  </si>
  <si>
    <t>87525</t>
  </si>
  <si>
    <t>ALVENARIA DE VEDAÇÃO DE BLOCOS CERÂMICOS FURADOS NA HORIZONTAL DE 14X9X19CM (ESPESSURA 14CM, BLOCO DEITADO) DE PAREDES COM ÁREA LÍQUIDA MAIOR OU IGUAL A 6M² COM VÃOS E ARGAMASSA DE ASSENTAMENTO COM PREPARO EM BETONEIRA. AF_06/2014</t>
  </si>
  <si>
    <t>131,51</t>
  </si>
  <si>
    <t>87526</t>
  </si>
  <si>
    <t>ALVENARIA DE VEDAÇÃO DE BLOCOS CERÂMICOS FURADOS NA HORIZONTAL DE 14X9X19CM (ESPESSURA 14CM, BLOCO DEITADO) DE PAREDES COM ÁREA LÍQUIDA MAIOR OU IGUAL A 6M² COM VÃOS E ARGAMASSA DE ASSENTAMENTO COM PREPARO MANUAL. AF_06/2014</t>
  </si>
  <si>
    <t>132,74</t>
  </si>
  <si>
    <t>89043</t>
  </si>
  <si>
    <t>(COMPOSIÇÃO REPRESENTATIVA) DO SERVIÇO DE ALVENARIA DE VEDAÇÃO DE BLOCOS VAZADOS DE CERÂMICA DE 9X19X19CM (ESPESSURA 9CM), PARA EDIFICAÇÃO HABITACIONAL MULTIFAMILIAR (PRÉDIO). AF_11/2014</t>
  </si>
  <si>
    <t>89168</t>
  </si>
  <si>
    <t>(COMPOSIÇÃO REPRESENTATIVA) DO SERVIÇO DE ALVENARIA DE VEDAÇÃO DE BLOCOS VAZADOS DE CERÂMICA DE 9X19X19CM (ESPESSURA 9CM), PARA EDIFICAÇÃO HABITACIONAL UNIFAMILIAR (CASA) E EDIFICAÇÃO PÚBLICA PADRÃO. AF_11/2014</t>
  </si>
  <si>
    <t>78,06</t>
  </si>
  <si>
    <t>89977</t>
  </si>
  <si>
    <t>(COMPOSIÇÃO REPRESENTATIVA) DO SERVIÇO DE ALVENARIA DE VEDAÇÃO DE BLOCOS VAZADOS DE CERÂMICA DE 14X9X19CM (ESPESSURA 14CM, BLOCO DEITADO), PARA EDIFICAÇÃO HABITACIONAL UNIFAMILIAR (CASA) E EDIFICAÇÃO PÚBLICA PADRÃO. AF_12/2014</t>
  </si>
  <si>
    <t>141,45</t>
  </si>
  <si>
    <t>90112</t>
  </si>
  <si>
    <t>ALVENARIA DE VEDAÇÃO DE BLOCOS CERÂMICOS FURADOS NA VERTICAL DE 14X19X39CM (ESPESSURA 14CM) DE PAREDES COM ÁREA LÍQUIDA MENOR QUE 6M2 COM VÃOS E ARGAMASSA DE ASSENTAMENTO COM PREPARO MANUAL. AF_06/2014</t>
  </si>
  <si>
    <t>71,45</t>
  </si>
  <si>
    <t>101159</t>
  </si>
  <si>
    <t>ALVENARIA DE VEDAÇÃO DE BLOCOS CERÂMICOS MACIÇOS DE 5X10X20CM (ESPESSURA 10CM) E ARGAMASSA DE ASSENTAMENTO COM PREPARO EM BETONEIRA. AF_05/2020</t>
  </si>
  <si>
    <t>110,25</t>
  </si>
  <si>
    <t>89282</t>
  </si>
  <si>
    <t>ALVENARIA ESTRUTURAL DE BLOCOS CERÂMICOS 14X19X39, (ESPESSURA DE 14 CM), PARA PAREDES COM ÁREA LÍQUIDA MENOR QUE 6M², SEM VÃOS, UTILIZANDO PALHETA E ARGAMASSA DE ASSENTAMENTO COM PREPARO EM BETONEIRA. AF_12/2014</t>
  </si>
  <si>
    <t>59,01</t>
  </si>
  <si>
    <t>89283</t>
  </si>
  <si>
    <t>ALVENARIA ESTRUTURAL DE BLOCOS CERÂMICOS 14X19X39, (ESPESSURA DE 14 CM), PARA PAREDES COM ÁREA LÍQUIDA MENOR QUE 6M², SEM VÃOS, UTILIZANDO PALHETA E ARGAMASSA DE ASSENTAMENTO COM PREPARO MANUAL. AF_12/2014</t>
  </si>
  <si>
    <t>60,04</t>
  </si>
  <si>
    <t>89284</t>
  </si>
  <si>
    <t>ALVENARIA ESTRUTURAL DE BLOCOS CERÂMICOS 14X19X39, (ESPESSURA DE 14 CM), PARA PAREDES COM ÁREA LÍQUIDA MAIOR OU IGUAL QUE 6M², SEM VÃOS, UTILIZANDO PALHETA E ARGAMASSA DE ASSENTAMENTO COM PREPARO EM BETONEIRA. AF_12/2014</t>
  </si>
  <si>
    <t>51,56</t>
  </si>
  <si>
    <t>89285</t>
  </si>
  <si>
    <t>ALVENARIA ESTRUTURAL DE BLOCOS CERÂMICOS 14X19X39, (ESPESSURA DE 14 CM), PARA PAREDES COM ÁREA LÍQUIDA MAIOR OU IGUAL QUE 6M², SEM VÃOS, UTILIZANDO PALHETA E ARGAMASSA DE ASSENTAMENTO COM PREPARO MANUAL. AF_12/2014</t>
  </si>
  <si>
    <t>89286</t>
  </si>
  <si>
    <t>ALVENARIA ESTRUTURAL DE BLOCOS CERÂMICOS 14X19X39, (ESPESSURA DE 14 CM), PARA PAREDES COM ÁREA LÍQUIDA MENOR QUE 6M², COM VÃOS, UTILIZANDO PALHETA E ARGAMASSA DE ASSENTAMENTO COM PREPARO EM BETONEIRA. AF_12/2014</t>
  </si>
  <si>
    <t>63,47</t>
  </si>
  <si>
    <t>89287</t>
  </si>
  <si>
    <t>ALVENARIA ESTRUTURAL DE BLOCOS CERÂMICOS 14X19X39, (ESPESSURA DE 14 CM), PARA PAREDES COM ÁREA LÍQUIDA MENOR QUE 6M², COM VÃOS, UTILIZANDO PALHETA E ARGAMASSA DE ASSENTAMENTO COM PREPARO MANUAL. AF_12/2014</t>
  </si>
  <si>
    <t>64,50</t>
  </si>
  <si>
    <t>89288</t>
  </si>
  <si>
    <t>ALVENARIA ESTRUTURAL DE BLOCOS CERÂMICOS 14X19X39, (ESPESSURA DE 14 CM), PARA PAREDES COM ÁREA LÍQUIDA MAIOR OU IGUAL A 6M², COM VÃOS, UTILIZANDO PALHETA E ARGAMASSA DE ASSENTAMENTO COM PREPARO EM BETONEIRA. AF_12/2014</t>
  </si>
  <si>
    <t>53,96</t>
  </si>
  <si>
    <t>89289</t>
  </si>
  <si>
    <t>ALVENARIA ESTRUTURAL DE BLOCOS CERÂMICOS 14X19X39, (ESPESSURA DE 14 CM), PARA PAREDES COM ÁREA LÍQUIDA MAIOR OU IGUAL A 6M², COM VÃOS, UTILIZANDO PALHETA E ARGAMASSA DE ASSENTAMENTO COM PREPARO MANUAL. AF_12/2014</t>
  </si>
  <si>
    <t>54,99</t>
  </si>
  <si>
    <t>89290</t>
  </si>
  <si>
    <t>ALVENARIA ESTRUTURAL DE BLOCOS CERÂMICOS 14X19X29, (ESPESSURA DE 14 CM), PARA PAREDES COM ÁREA LÍQUIDA MENOR QUE 6M², SEM VÃOS, UTILIZANDO PALHETA E ARGAMASSA DE ASSENTAMENTO COM PREPARO EM BETONEIRA. AF_12/2014</t>
  </si>
  <si>
    <t>89291</t>
  </si>
  <si>
    <t>ALVENARIA ESTRUTURAL DE BLOCOS CERÂMICOS 14X19X29, (ESPESSURA DE 14 CM), PARA PAREDES COM ÁREA LÍQUIDA MENOR QUE 6M², SEM VÃOS, UTILIZANDO PALHETA E ARGAMASSA DE ASSENTAMENTO COM PREPARO MANUAL. AF_12/2014</t>
  </si>
  <si>
    <t>70,15</t>
  </si>
  <si>
    <t>89292</t>
  </si>
  <si>
    <t>ALVENARIA ESTRUTURAL DE BLOCOS CERÂMICOS 14X19X29, (ESPESSURA DE 14 CM), PARA PAREDES COM ÁREA LÍQUIDA MAIOR OU IGUAL A 6M², SEM VÃOS, UTILIZANDO PALHETA E ARGAMASSA DE ASSENTAMENTO COM PREPARO EM BETONEIRA. AF_12/2014</t>
  </si>
  <si>
    <t>89293</t>
  </si>
  <si>
    <t>ALVENARIA ESTRUTURAL DE BLOCOS CERÂMICOS 14X19X29, (ESPESSURA DE 14 CM), PARA PAREDES COM ÁREA LÍQUIDA MAIOR OU IGUAL A 6M2, SEM VÃOS, UTILIZANDO PALHETA E ARGAMASSA DE ASSENTAMENTO COM PREPARO MANUAL. AF_12/2014</t>
  </si>
  <si>
    <t>62,68</t>
  </si>
  <si>
    <t>89294</t>
  </si>
  <si>
    <t>ALVENARIA ESTRUTURAL DE BLOCOS CERÂMICOS 14X19X29, (ESPESSURA DE 14 CM), PARA PAREDES COM ÁREA LÍQUIDA MENOR QUE 6M², COM VÃOS, UTILIZANDO PALHETA E ARGAMASSA DE ASSENTAMENTO COM PREPARO EM BETONEIRA. AF_12/2014</t>
  </si>
  <si>
    <t>89295</t>
  </si>
  <si>
    <t>ALVENARIA ESTRUTURAL DE BLOCOS CERÂMICOS 14X19X29, (ESPESSURA DE 14 CM), PARA PAREDES COM ÁREA LÍQUIDA MENOR QUE 6M², COM VÃOS, UTILIZANDO PALHETA E ARGAMASSA DE ASSENTAMENTO COM PREPARO MANUAL. AF_12/2014</t>
  </si>
  <si>
    <t>76,65</t>
  </si>
  <si>
    <t>89296</t>
  </si>
  <si>
    <t>ALVENARIA ESTRUTURAL DE BLOCOS CERÂMICOS 14X19X29, (ESPESSURA DE 14 CM), PARA PAREDES COM ÁREA LÍQUIDA MAIOR OU IGUAL A 6M², COM VÃOS, UTILIZANDO PALHETA E ARGAMASSA DE ASSENTAMENTO COM PREPARO EM BETONEIRA. AF_12/2014</t>
  </si>
  <si>
    <t>65,03</t>
  </si>
  <si>
    <t>89297</t>
  </si>
  <si>
    <t>ALVENARIA ESTRUTURAL DE BLOCOS CERÂMICOS 14X19X29, (ESPESSURA DE 14 CM), PARA PAREDES COM ÁREA LÍQUIDA MAIOR OU IGUAL A 6M², COM VÃOS, UTILIZANDO PALHETA E ARGAMASSA DE ASSENTAMENTO COM PREPARO MANUAL. AF_12/2014</t>
  </si>
  <si>
    <t>66,18</t>
  </si>
  <si>
    <t>89298</t>
  </si>
  <si>
    <t>ALVENARIA ESTRUTURAL DE BLOCOS CERÂMICOS 14X19X39, (ESPESSURA DE 14 CM), PARA PAREDES COM ÁREA LÍQUIDA MENOR QUE 6M², SEM VÃOS, UTILIZANDO COLHER DE PEDREIRO E ARGAMASSA DE ASSENTAMENTO COM PREPARO EM BETONEIRA. AF_12/2014</t>
  </si>
  <si>
    <t>71,17</t>
  </si>
  <si>
    <t>89299</t>
  </si>
  <si>
    <t>ALVENARIA ESTRUTURAL DE BLOCOS CERÂMICOS 14X19X39, (ESPESSURA DE 14 CM), PARA PAREDES COM ÁREA LÍQUIDA MENOR QUE 6M², SEM VÃOS, UTILIZANDO COLHER DE PEDREIRO E ARGAMASSA DE ASSENTAMENTO COM PREPARO MANUAL. AF_12/2014</t>
  </si>
  <si>
    <t>72,63</t>
  </si>
  <si>
    <t>89300</t>
  </si>
  <si>
    <t>ALVENARIA ESTRUTURAL DE BLOCOS CERÂMICOS 14X19X39, (ESPESSURA DE 14 CM), PARA PAREDES COM ÁREA LÍQUIDA MAIOR OU IGUAL A 6M², SEM VÃOS, UTILIZANDO COLHER DE PEDREIRO E ARGAMASSA DE ASSENTAMENTO COM PREPARO EM BETONEIRA. AF_12/2014</t>
  </si>
  <si>
    <t>63,72</t>
  </si>
  <si>
    <t>89301</t>
  </si>
  <si>
    <t>ALVENARIA ESTRUTURAL DE BLOCOS CERÂMICOS 14X19X39, (ESPESSURA DE 14 CM), PARA PAREDES COM ÁREA LÍQUIDA MAIOR OU IGUAL A 6M², SEM VÃOS, UTILIZANDO COLHER DE PEDREIRO E ARGAMASSA DE ASSENTAMENTO COM PREPARO MANUAL. AF_12/2014</t>
  </si>
  <si>
    <t>65,18</t>
  </si>
  <si>
    <t>89302</t>
  </si>
  <si>
    <t>ALVENARIA ESTRUTURAL DE BLOCOS CERÂMICOS 14X19X39, (ESPESSURA DE 14 CM), PARA PAREDES COM ÁREA LÍQUIDA MENOR QUE 6M², COM VÃOS, UTILIZANDO COLHER DE PEDREIRO E ARGAMASSA DE ASSENTAMENTO COM PREPARO EM BETONEIRA. AF_12/2014</t>
  </si>
  <si>
    <t>79,24</t>
  </si>
  <si>
    <t>89303</t>
  </si>
  <si>
    <t>ALVENARIA ESTRUTURAL DE BLOCOS CERÂMICOS 14X19X39, (ESPESSURA DE 14 CM), PARA PAREDES COM ÁREA LÍQUIDA MENOR QUE 6M², COM VÃOS, UTILIZANDO COLHER DE PEDREIRO E ARGAMASSA DE ASSENTAMENTO COM PREPARO MANUAL. AF_12/2014</t>
  </si>
  <si>
    <t>80,70</t>
  </si>
  <si>
    <t>89304</t>
  </si>
  <si>
    <t>ALVENARIA ESTRUTURAL DE BLOCOS CERÂMICOS 14X19X39, (ESPESSURA DE 14 CM), PARA PAREDES COM ÁREA LÍQUIDA MAIOR OU IGUAL A 6M², COM VÃOS, UTILIZANDO COLHER DE PEDREIRO E ARGAMASSA DE ASSENTAMENTO COM PREPARO EM BETONEIRA. AF_12/2014</t>
  </si>
  <si>
    <t>68,36</t>
  </si>
  <si>
    <t>89305</t>
  </si>
  <si>
    <t>ALVENARIA ESTRUTURAL DE BLOCOS CERÂMICOS 14X19X39, (ESPESSURA DE 14 CM), PARA PAREDES COM ÁREA LÍQUIDA MAIOR OU IGUAL A 6M², COM VÃOS, UTILIZANDO COLHER DE PEDREIRO E ARGAMASSA DE ASSENTAMENTO COM PREPARO MANUAL. AF_12/2014</t>
  </si>
  <si>
    <t>69,82</t>
  </si>
  <si>
    <t>89306</t>
  </si>
  <si>
    <t>ALVENARIA ESTRUTURAL DE BLOCOS CERÂMICOS 14X19X29, (ESPESSURA DE 14 CM), PARA PAREDES COM ÁREA LÍQUIDA MENOR QUE 6M², SEM VÃOS, UTILIZANDO COLHER DE PEDREIRO E ARGAMASSA DE ASSENTAMENTO COM PREPARO EM BETONEIRA. AF_12/2014</t>
  </si>
  <si>
    <t>81,42</t>
  </si>
  <si>
    <t>89307</t>
  </si>
  <si>
    <t>ALVENARIA ESTRUTURAL DE BLOCOS CERÂMICOS 14X19X29, (ESPESSURA DE 14 CM), PARA PAREDES COM ÁREA LÍQUIDA MENOR QUE 6M², SEM VÃOS, UTILIZANDO COLHER DE PEDREIRO E ARGAMASSA DE ASSENTAMENTO COM PREPARO MANUAL. AF_12/2014</t>
  </si>
  <si>
    <t>83,04</t>
  </si>
  <si>
    <t>89308</t>
  </si>
  <si>
    <t>ALVENARIA ESTRUTURAL DE BLOCOS CERÂMICOS 14X19X29, (ESPESSURA DE 14 CM), PARA PAREDES COM ÁREA LÍQUIDA MAIOR OU IGUAL A 6M², SEM VÃOS, UTILIZANDO COLHER DE PEDREIRO E ARGAMASSA DE ASSENTAMENTO COM PREPARO EM BETONEIRA. AF_12/2014</t>
  </si>
  <si>
    <t>73,96</t>
  </si>
  <si>
    <t>89309</t>
  </si>
  <si>
    <t>ALVENARIA ESTRUTURAL DE BLOCOS CERÂMICOS 14X19X29, (ESPESSURA DE 14 CM), PARA PAREDES COM ÁREA LÍQUIDA MAIOR OU IGUAL A 6M², SEM VÃOS, UTILIZANDO COLHER DE PEDREIRO E ARGAMASSA DE ASSENTAMENTO COM PREPARO MANUAL. AF_12/2014</t>
  </si>
  <si>
    <t>75,58</t>
  </si>
  <si>
    <t>89310</t>
  </si>
  <si>
    <t>ALVENARIA ESTRUTURAL DE BLOCOS CERÂMICOS 14X19X29, (ESPESSURA DE 14 CM), PARA PAREDES COM ÁREA LÍQUIDA MENOR QUE 6M², COM VÃOS, UTILIZANDO COLHER DE PEDREIRO E ARGAMASSA DE ASSENTAMENTO COM PREPARO EM BETONEIRA. AF_12/2014</t>
  </si>
  <si>
    <t>95,68</t>
  </si>
  <si>
    <t>89311</t>
  </si>
  <si>
    <t>ALVENARIA ESTRUTURAL DE BLOCOS CERÂMICOS 14X19X29, (ESPESSURA DE 14 CM), PARA PAREDES COM ÁREA LÍQUIDA MENOR QUE 6M², COM VÃOS, UTILIZANDO COLHER DE PEDREIRO E ARGAMASSA DE ASSENTAMENTO COM PREPARO MANUAL. AF_12/2014</t>
  </si>
  <si>
    <t>97,30</t>
  </si>
  <si>
    <t>89312</t>
  </si>
  <si>
    <t>ALVENARIA ESTRUTURAL DE BLOCOS CERÂMICOS 14X19X29, (ESPESSURA DE 14 CM), PARA PAREDES COM ÁREA LÍQUIDA MAIOR OU IGUAL A 6M², COM VÃOS, UTILIZANDO COLHER DE PEDREIRO E ARGAMASSA DE ASSENTAMENTO COM PREPARO EM BETONEIRA. AF_12/2014</t>
  </si>
  <si>
    <t>79,70</t>
  </si>
  <si>
    <t>89313</t>
  </si>
  <si>
    <t>ALVENARIA ESTRUTURAL DE BLOCOS CERÂMICOS 14X19X29, (ESPESSURA DE 14 CM), PARA PAREDES COM ÁREA LÍQUIDA MAIOR OU IGUAL A 6M², COM VÃOS, UTILIZANDO COLHER DE PEDREIRO E ARGAMASSA DE ASSENTAMENTO COM PREPARO MANUAL. AF_12/2014</t>
  </si>
  <si>
    <t>81,32</t>
  </si>
  <si>
    <t>101157</t>
  </si>
  <si>
    <t>ALVENARIA DE VEDAÇÃO DE BLOCOS DE GESSO DE 7X50X66CM (ESPESSURA 7CM). AF_05/2020</t>
  </si>
  <si>
    <t>55,82</t>
  </si>
  <si>
    <t>101158</t>
  </si>
  <si>
    <t>ALVENARIA DE VEDAÇÃO DE BLOCOS DE GESSO DE 10X50X66CM (ESPESSURA 10CM). AF_05/2020</t>
  </si>
  <si>
    <t>72,92</t>
  </si>
  <si>
    <t>101162</t>
  </si>
  <si>
    <t>ALVENARIA DE VEDAÇÃO COM ELEMENTO VAZADO DE CERÂMICA (COBOGÓ) DE 7X20X20CM E ARGAMASSA DE ASSENTAMENTO COM PREPARO EM BETONEIRA. AF_05/2020</t>
  </si>
  <si>
    <t>121,86</t>
  </si>
  <si>
    <t>87447</t>
  </si>
  <si>
    <t>ALVENARIA DE VEDAÇÃO DE BLOCOS VAZADOS DE CONCRETO DE 9X19X39CM (ESPESSURA 9CM) DE PAREDES COM ÁREA LÍQUIDA MENOR QUE 6M² SEM VÃOS E ARGAMASSA DE ASSENTAMENTO COM PREPARO EM BETONEIRA. AF_06/2014</t>
  </si>
  <si>
    <t>59,58</t>
  </si>
  <si>
    <t>87448</t>
  </si>
  <si>
    <t>ALVENARIA DE VEDAÇÃO DE BLOCOS VAZADOS DE CONCRETO DE 9X19X39CM (ESPESSURA 9CM) DE PAREDES COM ÁREA LÍQUIDA MENOR QUE 6M² SEM VÃOS E ARGAMASSA DE ASSENTAMENTO COM PREPARO MANUAL. AF_06/2014</t>
  </si>
  <si>
    <t>59,96</t>
  </si>
  <si>
    <t>87449</t>
  </si>
  <si>
    <t>ALVENARIA DE VEDAÇÃO DE BLOCOS VAZADOS DE CONCRETO DE 14X19X39CM (ESPESSURA 14CM) DE PAREDES COM ÁREA LÍQUIDA MENOR QUE 6M² SEM VÃOS E ARGAMASSA DE ASSENTAMENTO COM PREPARO EM BETONEIRA. AF_06/2014</t>
  </si>
  <si>
    <t>78,77</t>
  </si>
  <si>
    <t>87450</t>
  </si>
  <si>
    <t>ALVENARIA DE VEDAÇÃO DE BLOCOS VAZADOS DE CONCRETO DE 14X19X39CM (ESPESSURA 14CM) DE PAREDES COM ÁREA LÍQUIDA MENOR QUE 6M² SEM VÃOS E ARGAMASSA DE ASSENTAMENTO COM PREPARO MANUAL. AF_06/2014</t>
  </si>
  <si>
    <t>79,71</t>
  </si>
  <si>
    <t>87451</t>
  </si>
  <si>
    <t>ALVENARIA DE VEDAÇÃO DE BLOCOS VAZADOS DE CONCRETO DE 19X19X39CM (ESPESSURA 19CM) DE PAREDES COM ÁREA LÍQUIDA MENOR QUE 6M² SEM VÃOS E ARGAMASSA DE ASSENTAMENTO COM PREPARO EM BETONEIRA. AF_06/2014</t>
  </si>
  <si>
    <t>96,90</t>
  </si>
  <si>
    <t>87452</t>
  </si>
  <si>
    <t>ALVENARIA DE VEDAÇÃO DE BLOCOS VAZADOS DE CONCRETO DE 19X19X39CM (ESPESSURA 19CM) DE PAREDES COM ÁREA LÍQUIDA MENOR QUE 6M² SEM VÃOS E ARGAMASSA DE ASSENTAMENTO COM PREPARO MANUAL. AF_06/2014</t>
  </si>
  <si>
    <t>97,37</t>
  </si>
  <si>
    <t>87453</t>
  </si>
  <si>
    <t>ALVENARIA DE VEDAÇÃO DE BLOCOS VAZADOS DE CONCRETO DE 9X19X39CM (ESPESSURA 9CM) DE PAREDES COM ÁREA LÍQUIDA MAIOR OU IGUAL A 6M² SEM VÃOS E ARGAMASSA DE ASSENTAMENTO COM PREPARO EM BETONEIRA. AF_06/2014</t>
  </si>
  <si>
    <t>54,24</t>
  </si>
  <si>
    <t>87454</t>
  </si>
  <si>
    <t>ALVENARIA DE VEDAÇÃO DE BLOCOS VAZADOS DE CONCRETO DE 9X19X39CM (ESPESSURA 9CM) DE PAREDES COM ÁREA LÍQUIDA MAIOR OU IGUAL A 6M² SEM VÃOS E ARGAMASSA DE ASSENTAMENTO COM PREPARO MANUAL. AF_06/2014</t>
  </si>
  <si>
    <t>55,04</t>
  </si>
  <si>
    <t>87455</t>
  </si>
  <si>
    <t>ALVENARIA DE VEDAÇÃO DE BLOCOS VAZADOS DE CONCRETO DE 14X19X39CM (ESPESSURA 14CM) DE PAREDES COM ÁREA LÍQUIDA MAIOR OU IGUAL A 6M² SEM VÃOS E ARGAMASSA DE ASSENTAMENTO COM PREPARO EM BETONEIRA. AF_06/2014</t>
  </si>
  <si>
    <t>71,88</t>
  </si>
  <si>
    <t>87456</t>
  </si>
  <si>
    <t>ALVENARIA DE VEDAÇÃO DE BLOCOS VAZADOS DE CONCRETO DE 14X19X39CM (ESPESSURA 14CM) DE PAREDES COM ÁREA LÍQUIDA MAIOR OU IGUAL A 6M² SEM VÃOS E ARGAMASSA DE ASSENTAMENTO COM PREPARO MANUAL. AF_06/2014</t>
  </si>
  <si>
    <t>87457</t>
  </si>
  <si>
    <t>ALVENARIA DE VEDAÇÃO DE BLOCOS VAZADOS DE CONCRETO DE 19X19X39CM (ESPESSURA 19CM) DE PAREDES COM ÁREA LÍQUIDA MAIOR OU IGUAL A 6M² SEM VÃOS E ARGAMASSA DE ASSENTAMENTO COM PREPARO EM BETONEIRA. AF_06/2014</t>
  </si>
  <si>
    <t>87458</t>
  </si>
  <si>
    <t>ALVENARIA DE VEDAÇÃO DE BLOCOS VAZADOS DE CONCRETO DE 19X19X39CM (ESPESSURA 19CM) DE PAREDES COM ÁREA LÍQUIDA MAIOR OU IGUAL A 6M² SEM VÃOS E ARGAMASSA DE ASSENTAMENTO COM PREPARO MANUAL. AF_06/2014</t>
  </si>
  <si>
    <t>88,64</t>
  </si>
  <si>
    <t>87459</t>
  </si>
  <si>
    <t>ALVENARIA DE VEDAÇÃO DE BLOCOS VAZADOS DE CONCRETO DE 9X19X39CM (ESPESSURA 9CM) DE PAREDES COM ÁREA LÍQUIDA MENOR QUE 6M² COM VÃOS E ARGAMASSA DE ASSENTAMENTO COM PREPARO EM BETONEIRA. AF_06/2014</t>
  </si>
  <si>
    <t>66,65</t>
  </si>
  <si>
    <t>87460</t>
  </si>
  <si>
    <t>ALVENARIA DE VEDAÇÃO DE BLOCOS VAZADOS DE CONCRETO DE 9X19X39CM (ESPESSURA 9CM) DE PAREDES COM ÁREA LÍQUIDA MENOR QUE 6M² COM VÃOS E ARGAMASSA DE ASSENTAMENTO COM PREPARO MANUAL. AF_06/2014</t>
  </si>
  <si>
    <t>67,45</t>
  </si>
  <si>
    <t>87461</t>
  </si>
  <si>
    <t>ALVENARIA DE VEDAÇÃO DE BLOCOS VAZADOS DE CONCRETO DE 14X19X39CM (ESPESSURA 14CM) DE PAREDES COM ÁREA LÍQUIDA MENOR QUE 6M² COM VÃOS E ARGAMASSA DE ASSENTAMENTO COM PREPARO EM BETONEIRA. AF_06/2014</t>
  </si>
  <si>
    <t>85,88</t>
  </si>
  <si>
    <t>87462</t>
  </si>
  <si>
    <t>ALVENARIA DE VEDAÇÃO DE BLOCOS VAZADOS DE CONCRETO DE 14X19X39CM (ESPESSURA 14CM) DE PAREDES COM ÁREA LÍQUIDA MENOR QUE 6M² COM VÃOS E ARGAMASSA DE ASSENTAMENTO COM PREPARO MANUAL. AF_06/2014</t>
  </si>
  <si>
    <t>86,82</t>
  </si>
  <si>
    <t>87463</t>
  </si>
  <si>
    <t>ALVENARIA DE VEDAÇÃO DE BLOCOS VAZADOS DE CONCRETO DE 19X19X39CM (ESPESSURA 19CM) DE PAREDES COM ÁREA LÍQUIDA MENOR QUE 6M² COM VÃOS E ARGAMASSA DE ASSENTAMENTO COM PREPARO EM BETONEIRA. AF_06/2014</t>
  </si>
  <si>
    <t>103,37</t>
  </si>
  <si>
    <t>87464</t>
  </si>
  <si>
    <t>ALVENARIA DE VEDAÇÃO DE BLOCOS VAZADOS DE CONCRETO DE 19X19X39CM (ESPESSURA 19CM) DE PAREDES COM ÁREA LÍQUIDA MENOR QUE 6M² COM VÃOS E ARGAMASSA DE ASSENTAMENTO COM PREPARO MANUAL. AF_06/2014</t>
  </si>
  <si>
    <t>104,54</t>
  </si>
  <si>
    <t>87465</t>
  </si>
  <si>
    <t>ALVENARIA DE VEDAÇÃO DE BLOCOS VAZADOS DE CONCRETO DE 9X19X39CM (ESPESSURA 9CM) DE PAREDES COM ÁREA LÍQUIDA MAIOR OU IGUAL A 6M² COM VÃOS E ARGAMASSA DE ASSENTAMENTO COM PREPARO EM BETONEIRA. AF_06/2014</t>
  </si>
  <si>
    <t>58,22</t>
  </si>
  <si>
    <t>87466</t>
  </si>
  <si>
    <t>ALVENARIA DE VEDAÇÃO DE BLOCOS VAZADOS DE CONCRETO DE 9X19X39CM (ESPESSURA 9CM) DE PAREDES COM ÁREA LÍQUIDA MAIOR OU IGUAL A 6M² COM VÃOS E ARGAMASSA DE ASSENTAMENTO COM PREPARO MANUAL. AF_06/2014</t>
  </si>
  <si>
    <t>59,02</t>
  </si>
  <si>
    <t>87467</t>
  </si>
  <si>
    <t>ALVENARIA DE VEDAÇÃO DE BLOCOS VAZADOS DE CONCRETO DE 14X19X39CM (ESPESSURA 14CM) DE PAREDES COM ÁREA LÍQUIDA MAIOR OU IGUAL A 6M² COM VÃOS E ARGAMASSA DE ASSENTAMENTO COM PREPARO EM BETONEIRA. AF_06/2014</t>
  </si>
  <si>
    <t>87468</t>
  </si>
  <si>
    <t>ALVENARIA DE VEDAÇÃO DE BLOCOS VAZADOS DE CONCRETO DE 14X19X39CM (ESPESSURA 14CM) DE PAREDES COM ÁREA LÍQUIDA MAIOR OU IGUAL A 6M² COM VÃOS E ARGAMASSA DE ASSENTAMENTO COM PREPARO MANUAL. AF_06/2014</t>
  </si>
  <si>
    <t>87469</t>
  </si>
  <si>
    <t>ALVENARIA DE VEDAÇÃO DE BLOCOS VAZADOS DE CONCRETO DE 19X19X39CM (ESPESSURA 19CM) DE PAREDES COM ÁREA LÍQUIDA MAIOR OU IGUAL A 6M² COM VÃOS E ARGAMASSA DE ASSENTAMENTO COM PREPARO EM BETONEIRA. AF_06/2014</t>
  </si>
  <si>
    <t>92,03</t>
  </si>
  <si>
    <t>87470</t>
  </si>
  <si>
    <t>ALVENARIA DE VEDAÇÃO DE BLOCOS VAZADOS DE CONCRETO DE 19X19X39CM (ESPESSURA 19CM) DE PAREDES COM ÁREA LÍQUIDA MAIOR OU IGUAL A 6M² COM VÃOS E ARGAMASSA DE ASSENTAMENTO COM PREPARO MANUAL. AF_06/2014</t>
  </si>
  <si>
    <t>93,20</t>
  </si>
  <si>
    <t>89044</t>
  </si>
  <si>
    <t>(COMPOSIÇÃO REPRESENTATIVA) DO SERVIÇO DE ALVENARIA DE VEDAÇÃO DE BLOCOS VAZADOS DE CONCRETO DE 9X19X39CM (ESPESSURA 9CM), PARA EDIFICAÇÃO HABITACIONAL MULTIFAMILIAR (PRÉDIO). AF_11/2014</t>
  </si>
  <si>
    <t>58,68</t>
  </si>
  <si>
    <t>89169</t>
  </si>
  <si>
    <t>(COMPOSIÇÃO REPRESENTATIVA) DO SERVIÇO DE ALVENARIA DE VEDAÇÃO DE BLOCOS VAZADOS DE CONCRETO DE 9X19X39CM (ESPESSURA 9CM), PARA EDIFICAÇÃO HABITACIONAL UNIFAMILIAR (CASA) E EDIFICAÇÃO PÚBLICA PADRÃO. AF_11/2014</t>
  </si>
  <si>
    <t>59,79</t>
  </si>
  <si>
    <t>89978</t>
  </si>
  <si>
    <t>(COMPOSIÇÃO REPRESENTATIVA) DO SERVIÇO DE ALVENARIA DE VEDAÇÃO DE BLOCOS VAZADOS DE CONCRETO DE 14X19X39CM (ESPESSURA 14CM), PARA EDIFICAÇÃO HABITACIONAL UNIFAMILIAR (CASA) E EDIFICAÇÃO PÚBLICA PADRÃO. AF_12/2014</t>
  </si>
  <si>
    <t>78,32</t>
  </si>
  <si>
    <t>89453</t>
  </si>
  <si>
    <t>ALVENARIA DE BLOCOS DE CONCRETO ESTRUTURAL 14X19X39 CM, (ESPESSURA 14 CM), FBK = 4,5 MPA, PARA PAREDES COM ÁREA LÍQUIDA MENOR QUE 6M², SEM VÃOS, UTILIZANDO PALHETA. AF_12/2014</t>
  </si>
  <si>
    <t>89454</t>
  </si>
  <si>
    <t>ALVENARIA DE BLOCOS DE CONCRETO ESTRUTURAL 14X19X39 CM, (ESPESSURA 14 CM), FBK = 4,5 MPA, PARA PAREDES COM ÁREA LÍQUIDA MAIOR OU IGUAL A 6M², SEM VÃOS, UTILIZANDO PALHETA. AF_12/2014</t>
  </si>
  <si>
    <t>63,19</t>
  </si>
  <si>
    <t>89455</t>
  </si>
  <si>
    <t>ALVENARIA DE BLOCOS DE CONCRETO ESTRUTURAL 14X19X39 CM, (ESPESSURA 14 CM) FBK = 14,0 MPA, PARA PAREDES COM ÁREA LÍQUIDA MENOR QUE 6M², SEM VÃOS, UTILIZANDO PALHETA. AF_12/2014</t>
  </si>
  <si>
    <t>83,33</t>
  </si>
  <si>
    <t>89456</t>
  </si>
  <si>
    <t>ALVENARIA DE BLOCOS DE CONCRETO ESTRUTURAL 14X19X39 CM, (ESPESSURA 14 CM) FBK = 14,0 MPA, PARA PAREDES COM ÁREA LÍQUIDA MAIOR OU IGUAL A 6M², SEM VÃOS, UTILIZANDO PALHETA. AF_12/2014</t>
  </si>
  <si>
    <t>77,89</t>
  </si>
  <si>
    <t>89457</t>
  </si>
  <si>
    <t>ALVENARIA DE BLOCOS DE CONCRETO ESTRUTURAL 14X19X39 CM, (ESPESSURA 14 CM), FBK = 4,5 MPA, PARA PAREDES COM ÁREA LÍQUIDA MENOR QUE 6M², COM VÃOS, UTILIZANDO PALHETA. AF_12/2014</t>
  </si>
  <si>
    <t>72,34</t>
  </si>
  <si>
    <t>89458</t>
  </si>
  <si>
    <t>ALVENARIA DE BLOCOS DE CONCRETO ESTRUTURAL 14X19X39 CM, (ESPESSURA 14 CM), FBK = 4,5 MPA, PARA PAREDES COM ÁREA LÍQUIDA MAIOR OU IGUAL A 6M², COM VÃOS, UTILIZANDO PALHETA. AF_12/2014</t>
  </si>
  <si>
    <t>89459</t>
  </si>
  <si>
    <t>ALVENARIA DE BLOCOS DE CONCRETO ESTRUTURAL 14X19X39 CM, (ESPESSURA 14 CM) FBK = 14,0 MPA, PARA PAREDES COM ÁREA LÍQUIDA MENOR QUE 6M², COM VÃOS, UTILIZANDO PALHETA. AF_12/2014</t>
  </si>
  <si>
    <t>87,93</t>
  </si>
  <si>
    <t>89460</t>
  </si>
  <si>
    <t>ALVENARIA DE BLOCOS DE CONCRETO ESTRUTURAL 14X19X39 CM, (ESPESSURA 14 CM) FBK = 14,0 MPA, PARA PAREDES COM ÁREA LÍQUIDA MAIOR OU IGUAL A 6M², COM VÃOS, UTILIZANDO PALHETA. AF_12/2014</t>
  </si>
  <si>
    <t>80,71</t>
  </si>
  <si>
    <t>89462</t>
  </si>
  <si>
    <t>ALVENARIA DE BLOCOS DE CONCRETO ESTRUTURAL 14X19X29 CM, (ESPESSURA 14 CM), FBK = 4,5 MPA, PARA PAREDES COM ÁREA LÍQUIDA MENOR QUE 6M², SEM VÃOS, UTILIZANDO PALHETA. AF_12/2014</t>
  </si>
  <si>
    <t>81,05</t>
  </si>
  <si>
    <t>89463</t>
  </si>
  <si>
    <t>ALVENARIA DE BLOCOS DE CONCRETO ESTRUTURAL 14X19X29 CM, (ESPESSURA 14 CM), FBK = 4,5 MPA, PARA PAREDES COM ÁREA LÍQUIDA MAIOR OU IGUAL A 6M², SEM VÃOS, UTILIZANDO PALHETA. AF_12/2014</t>
  </si>
  <si>
    <t>76,06</t>
  </si>
  <si>
    <t>89464</t>
  </si>
  <si>
    <t>ALVENARIA DE BLOCOS DE CONCRETO ESTRUTURAL 14X19X29 CM, (ESPESSURA 14 CM) FBK = 14,0 MPA, PARA PAREDES COM ÁREA LÍQUIDA MENOR QUE 6M², SEM VÃOS, UTILIZANDO PALHETA. AF_12/2014</t>
  </si>
  <si>
    <t>96,34</t>
  </si>
  <si>
    <t>89465</t>
  </si>
  <si>
    <t>ALVENARIA DE BLOCOS DE CONCRETO ESTRUTURAL 14X19X29 CM, (ESPESSURA 14 CM) FBK = 14,0 MPA, PARA PAREDES COM ÁREA LÍQUIDA MAIOR OU IGUAL A 6M², SEM VÃOS, UTILIZANDO PALHETA. AF_12/2014</t>
  </si>
  <si>
    <t>91,00</t>
  </si>
  <si>
    <t>89466</t>
  </si>
  <si>
    <t>ALVENARIA DE BLOCOS DE CONCRETO ESTRUTURAL 14X19X29 CM, (ESPESSURA 14 CM), FBK = 4,5 MPA, PARA PAREDES COM ÁREA LÍQUIDA MENOR QUE 6M², COM VÃOS, UTILIZANDO PALHETA. AF_12/2014</t>
  </si>
  <si>
    <t>86,79</t>
  </si>
  <si>
    <t>89467</t>
  </si>
  <si>
    <t>ALVENARIA DE BLOCOS DE CONCRETO ESTRUTURAL 14X19X29 CM, (ESPESSURA 14 CM), FBK = 4,5 MPA, PARA PAREDES COM ÁREA LÍQUIDA MAIOR OU IGUAL A 6M², COM VÃOS, UTILIZANDO PALHETA. AF_12/2014</t>
  </si>
  <si>
    <t>79,42</t>
  </si>
  <si>
    <t>89468</t>
  </si>
  <si>
    <t>ALVENARIA DE BLOCOS DE CONCRETO ESTRUTURAL 14X19X29 CM, (ESPESSURA 14 CM) FBK = 14,0 MPA, PARA PAREDES COM ÁREA LÍQUIDA MENOR QUE 6M², COM VÃOS, UTILIZANDO PALHETA. AF_12/2014</t>
  </si>
  <si>
    <t>102,43</t>
  </si>
  <si>
    <t>89469</t>
  </si>
  <si>
    <t>ALVENARIA DE BLOCOS DE CONCRETO ESTRUTURAL 14X19X29 CM, (ESPESSURA 14 CM) FBK = 14,0 MPA, PARA PAREDES COM ÁREA LÍQUIDA MAIOR OU IGUAL A 6M², COM VÃOS, UTILIZANDO PALHETA. AF_12/2014</t>
  </si>
  <si>
    <t>94,70</t>
  </si>
  <si>
    <t>89470</t>
  </si>
  <si>
    <t>ALVENARIA DE BLOCOS DE CONCRETO ESTRUTURAL 14X19X39 CM, (ESPESSURA 14 CM), FBK = 4,5 MPA, PARA PAREDES COM ÁREA LÍQUIDA MENOR QUE 6M², SEM VÃOS, UTILIZANDO COLHER DE PEDREIRO. AF_12/2014</t>
  </si>
  <si>
    <t>82,13</t>
  </si>
  <si>
    <t>89471</t>
  </si>
  <si>
    <t>ALVENARIA DE BLOCOS DE CONCRETO ESTRUTURAL 14X19X39 CM, (ESPESSURA 14 CM), FBK = 4,5 MPA, PARA PAREDES COM ÁREA LÍQUIDA MAIOR OU IGUAL A 6M², SEM VÃOS, UTILIZANDO COLHER DE PEDREIRO. AF_12/2014</t>
  </si>
  <si>
    <t>77,19</t>
  </si>
  <si>
    <t>89472</t>
  </si>
  <si>
    <t>ALVENARIA DE BLOCOS DE CONCRETO ESTRUTURAL 14X19X39 CM, (ESPESSURA 14 CM) FBK = 14,0 MPA, PARA PAREDES COM ÁREA LÍQUIDA MENOR QUE 6M², SEM VÃOS, UTILIZANDO COLHER DE PEDREIRO. AF_12/2014</t>
  </si>
  <si>
    <t>89473</t>
  </si>
  <si>
    <t>ALVENARIA DE BLOCOS DE CONCRETO ESTRUTURAL 14X19X39 CM, (ESPESSURA 14 CM) FBK = 14,0 MPA, PARA PAREDES COM ÁREA LÍQUIDA MAIOR OU IGUAL A 6M², SEM VÃOS, UTILIZANDO COLHER DE PEDREIRO. AF_12/2014</t>
  </si>
  <si>
    <t>91,89</t>
  </si>
  <si>
    <t>89474</t>
  </si>
  <si>
    <t>ALVENARIA DE BLOCOS DE CONCRETO ESTRUTURAL 14X19X39 CM, (ESPESSURA 14 CM), FBK = 4,5 MPA, PARA PAREDES COM ÁREA LÍQUIDA MENOR QUE 6M², COM VÃOS, UTILIZANDO COLHER DE PEDREIRO. AF_12/2014</t>
  </si>
  <si>
    <t>90,31</t>
  </si>
  <si>
    <t>89475</t>
  </si>
  <si>
    <t>ALVENARIA DE BLOCOS DE CONCRETO ESTRUTURAL 14X19X39 CM, (ESPESSURA 14 CM), FBK = 4,5 MPA, PARA PAREDES COM ÁREA LÍQUIDA MAIOR OU IGUAL A 6M², COM VÃOS, UTILIZANDO COLHER DE PEDREIRO. AF_12/2014</t>
  </si>
  <si>
    <t>81,79</t>
  </si>
  <si>
    <t>89476</t>
  </si>
  <si>
    <t>ALVENARIA DE BLOCOS DE CONCRETO ESTRUTURAL 14X19X39 CM, (ESPESSURA 14 CM) FBK = 14,0 MPA, PARA PAREDES COM ÁREA LÍQUIDA MENOR QUE 6M², COM VÃOS, UTILIZANDO COLHER DE PEDREIRO. AF_12/2014</t>
  </si>
  <si>
    <t>105,91</t>
  </si>
  <si>
    <t>89477</t>
  </si>
  <si>
    <t>ALVENARIA DE BLOCOS DE CONCRETO ESTRUTURAL 14X19X39 CM, (ESPESSURA 14 CM) FBK = 14,0 MPA, PARA PAREDES COM ÁREA LÍQUIDA MAIOR OU IGUAL A 6M², COM VÃOS, UTILIZANDO COLHER DE PEDREIRO. AF_12/2014</t>
  </si>
  <si>
    <t>89478</t>
  </si>
  <si>
    <t>ALVENARIA DE BLOCOS DE CONCRETO ESTRUTURAL 14X19X29 CM, (ESPESSURA 14 CM), FBK = 4,5 MPA, PARA PAREDES COM ÁREA LÍQUIDA MENOR QUE 6M², SEM VÃOS, UTILIZANDO COLHER DE PEDREIRO. AF_12/2014</t>
  </si>
  <si>
    <t>89479</t>
  </si>
  <si>
    <t>ALVENARIA DE BLOCOS DE CONCRETO ESTRUTURAL 14X19X29 CM, (ESPESSURA 14 CM), FBK = 4,5 MPA, PARA PAREDES COM ÁREA LÍQUIDA MAIOR OU IGUAL A 6M², SEM VÃOS, UTILIZANDO COLHER DE PEDREIRO. AF_12/2014</t>
  </si>
  <si>
    <t>90,29</t>
  </si>
  <si>
    <t>89480</t>
  </si>
  <si>
    <t>ALVENARIA DE BLOCOS DE CONCRETO ESTRUTURAL 14X19X29 CM, (ESPESSURA 14 CM) FBK = 14,0 MPA, PARA PAREDES COM ÁREA LÍQUIDA MENOR QUE 6M², SEM VÃOS, UTILIZANDO COLHER DE PEDREIRO. AF_12/2014</t>
  </si>
  <si>
    <t>110,34</t>
  </si>
  <si>
    <t>89483</t>
  </si>
  <si>
    <t>ALVENARIA DE BLOCOS DE CONCRETO ESTRUTURAL 14X19X29 CM, (ESPESSURA 14 CM) FBK = 14,0 MPA, PARA PAREDES COM ÁREA LÍQUIDA MAIOR OU IGUAL A 6M², SEM VÃOS, UTILIZANDO COLHER DE PEDREIRO. AF_12/2014</t>
  </si>
  <si>
    <t>105,25</t>
  </si>
  <si>
    <t>89484</t>
  </si>
  <si>
    <t>ALVENARIA DE BLOCOS DE CONCRETO ESTRUTURAL 14X19X29 CM, (ESPESSURA 14 CM), FBK = 4,5 MPA, PARA PAREDES COM ÁREA LÍQUIDA MENOR QUE 6M², COM VÃOS, UTILIZANDO COLHER DE PEDREIRO. AF_12/2014</t>
  </si>
  <si>
    <t>89486</t>
  </si>
  <si>
    <t>ALVENARIA DE BLOCOS DE CONCRETO ESTRUTURAL 14X19X29 CM, (ESPESSURA 14 CM), FBK = 4,5 MPA, PARA PAREDES COM ÁREA LÍQUIDA MAIOR OU IGUAL A 6M², COM VÃOS, UTILIZANDO COLHER DE PEDREIRO. AF_12/2014</t>
  </si>
  <si>
    <t>96,07</t>
  </si>
  <si>
    <t>89487</t>
  </si>
  <si>
    <t>ALVENARIA DE BLOCOS DE CONCRETO ESTRUTURAL 14X19X29 CM, (ESPESSURA 14 CM) FBK = 14,0 MPA, PARA PAREDES COM ÁREA LÍQUIDA MENOR QUE 6M², COM VÃOS, UTILIZANDO COLHER DE PEDREIRO. AF_12/2014</t>
  </si>
  <si>
    <t>120,65</t>
  </si>
  <si>
    <t>89488</t>
  </si>
  <si>
    <t>ALVENARIA DE BLOCOS DE CONCRETO ESTRUTURAL 14X19X29 CM, (ESPESSURA 14 CM) FBK = 14,0 MPA, PARA PAREDES COM ÁREA LÍQUIDA MAIOR OU IGUAL A 6M², COM VÃOS, UTILIZANDO COLHER DE PEDREIRO. AF_12/2014</t>
  </si>
  <si>
    <t>111,36</t>
  </si>
  <si>
    <t>91815</t>
  </si>
  <si>
    <t>(COMPOSIÇÃO REPRESENTATIVA) DE ALVENARIA DE BLOCOS DE CONCRETO ESTRUTURAL 14X19X39 CM, (ESPESSURA 14 CM), FBK = 4,5 MPA, UTILIZANDO PALHETA, PARA EDIFICAÇÃO HABITACIONAL. AF_10/2015</t>
  </si>
  <si>
    <t>91816</t>
  </si>
  <si>
    <t>COMPOSIÇÃO REPRESENTATIVA DE SERVIÇOS DE ALVENARIA DE BLOCOS DE CONCRETO ESTRUTURAL 14X19X29 CM, (ESPESSURA 14 CM), FBK = 4,5 MPA, UTILIZANDO PALHETA, PARA EDIFICAÇÃO HABITACIONAL. AF_10/2015</t>
  </si>
  <si>
    <t>101161</t>
  </si>
  <si>
    <t>ALVENARIA DE VEDAÇÃO COM ELEMENTO VAZADO DE CONCRETO (COBOGÓ) DE 7X50X50CM E ARGAMASSA DE ASSENTAMENTO COM PREPARO EM BETONEIRA. AF_05/2020</t>
  </si>
  <si>
    <t>167,12</t>
  </si>
  <si>
    <t>101163</t>
  </si>
  <si>
    <t>ALVENARIA DE VEDAÇÃO COM BLOCO DE VIDRO VAZADO, TIPO VENEZIANA, DE 6X20X20CM E ARGAMASSA DE ASSENTAMENTO COM PREPARO EM BETONEIRA. AF_05/2020</t>
  </si>
  <si>
    <t>608,69</t>
  </si>
  <si>
    <t>101164</t>
  </si>
  <si>
    <t>ALVENARIA DE VEDAÇÃO COM BLOCO DE VIDRO, TIPO CANELADO, DE 8X19X19CM E ARGAMASSA DE ASSENTAMENTO COM PREPARO EM BETONEIRA. AF_05/2020</t>
  </si>
  <si>
    <t>617,13</t>
  </si>
  <si>
    <t>96358</t>
  </si>
  <si>
    <t>PAREDE COM PLACAS DE GESSO ACARTONADO (DRYWALL), PARA USO INTERNO, COM DUAS FACES SIMPLES E ESTRUTURA METÁLICA COM GUIAS SIMPLES, SEM VÃOS. AF_06/2017_P</t>
  </si>
  <si>
    <t>95,00</t>
  </si>
  <si>
    <t>96359</t>
  </si>
  <si>
    <t>PAREDE COM PLACAS DE GESSO ACARTONADO (DRYWALL), PARA USO INTERNO, COM DUAS FACES SIMPLES E ESTRUTURA METÁLICA COM GUIAS SIMPLES, COM VÃOS AF_06/2017_P</t>
  </si>
  <si>
    <t>110,07</t>
  </si>
  <si>
    <t>96360</t>
  </si>
  <si>
    <t>PAREDE COM PLACAS DE GESSO ACARTONADO (DRYWALL), PARA USO INTERNO, COM DUAS FACES SIMPLES E ESTRUTURA METÁLICA COM GUIAS DUPLAS, SEM VÃOS. AF_06/2017_P</t>
  </si>
  <si>
    <t>133,53</t>
  </si>
  <si>
    <t>96361</t>
  </si>
  <si>
    <t>PAREDE COM PLACAS DE GESSO ACARTONADO (DRYWALL), PARA USO INTERNO, COM DUAS FACES SIMPLES E ESTRUTURA METÁLICA COM GUIAS DUPLAS, COM VÃOS. AF_06/2017_P</t>
  </si>
  <si>
    <t>163,00</t>
  </si>
  <si>
    <t>96362</t>
  </si>
  <si>
    <t>PAREDE COM PLACAS DE GESSO ACARTONADO (DRYWALL), PARA USO INTERNO, COM UMA FACE SIMPLES E OUTRA FACE DUPLA E ESTRUTURA METÁLICA COM GUIAS SIMPLES, SEM VÃOS. AF_06/2017_P</t>
  </si>
  <si>
    <t>119,02</t>
  </si>
  <si>
    <t>96363</t>
  </si>
  <si>
    <t>PAREDE COM PLACAS DE GESSO ACARTONADO (DRYWALL), PARA USO INTERNO, COM UMA FACE SIMPLES E OUTRA FACE DUPLA E ESTRUTURA METÁLICA COM GUIAS SIMPLES, COM VÃOS. AF_06/2017_P</t>
  </si>
  <si>
    <t>134,52</t>
  </si>
  <si>
    <t>96364</t>
  </si>
  <si>
    <t>PAREDE COM PLACAS DE GESSO ACARTONADO (DRYWALL), PARA USO INTERNO COM UMA FACE SIMPLES E OUTRA FACE DUPLA E ESTRUTURA METÁLICA COM GUIAS DUPLAS, SEM VÃOS. AF_06/2017_P</t>
  </si>
  <si>
    <t>157,54</t>
  </si>
  <si>
    <t>96365</t>
  </si>
  <si>
    <t>PAREDE COM PLACAS DE GESSO ACARTONADO (DRYWALL), PARA USO INTERNO, COM UMA FACE SIMPLES E OUTRA FACE DUPLA E   ESTRUTURA METÁLICA COM GUIAS DUPLAS, COM VÃOS. AF_06/2017_P</t>
  </si>
  <si>
    <t>96366</t>
  </si>
  <si>
    <t>PAREDE COM PLACAS DE GESSO ACARTONADO (DRYWALL), PARA USO INTERNO, COM DUAS FACES DUPLAS E ESTRUTURA METÁLICA COM GUIAS SIMPLES, SEM VÃOS. AF_06/2017_P</t>
  </si>
  <si>
    <t>143,05</t>
  </si>
  <si>
    <t>96367</t>
  </si>
  <si>
    <t>PAREDE COM PLACAS DE GESSO ACARTONADO (DRYWALL), PARA USO INTERNO, COM DUAS FACES DUPLAS E ESTRUTURA METÁLICA COM GUIAS SIMPLES, COM VÃOS. AF_06/2017_P</t>
  </si>
  <si>
    <t>158,95</t>
  </si>
  <si>
    <t>96368</t>
  </si>
  <si>
    <t>PAREDE COM PLACAS DE GESSO ACARTONADO (DRYWALL), PARA USO INTERNO COM DUAS FACES DUPLAS E ESTRUTURA METÁLICA COM GUIAS DUPLAS, SEM VÃOS. AF_06/2017</t>
  </si>
  <si>
    <t>181,58</t>
  </si>
  <si>
    <t>96369</t>
  </si>
  <si>
    <t>PAREDE COM PLACAS DE GESSO ACARTONADO (DRYWALL), PARA USO INTERNO, COM DUAS FACES DUPLAS E ESTRUTURA METÁLICA COM GUIAS DUPLAS, COM VÃOS. AF_06/2017_P</t>
  </si>
  <si>
    <t>211,88</t>
  </si>
  <si>
    <t>96370</t>
  </si>
  <si>
    <t>PAREDE COM PLACAS DE GESSO ACARTONADO (DRYWALL), PARA USO INTERNO, COM UMA FACE SIMPLES E ESTRUTURA METÁLICA COM GUIAS SIMPLES, SEM VÃOS. AF_06/2017_P</t>
  </si>
  <si>
    <t>67,38</t>
  </si>
  <si>
    <t>96371</t>
  </si>
  <si>
    <t>PAREDE COM PLACAS DE GESSO ACARTONADO (DRYWALL), PARA USO INTERNO, COM UMA FACE SIMPLES E ESTRUTURA METÁLICA COM GUIAS SIMPLES, COM VÃOS. AF_06/2017_P</t>
  </si>
  <si>
    <t>96373</t>
  </si>
  <si>
    <t>INSTALAÇÃO DE REFORÇO METÁLICO EM PAREDE DRYWALL. AF_06/2017</t>
  </si>
  <si>
    <t>96374</t>
  </si>
  <si>
    <t>INSTALAÇÃO DE REFORÇO DE MADEIRA EM PAREDE DRYWALL. AF_06/2017</t>
  </si>
  <si>
    <t>102235</t>
  </si>
  <si>
    <t>DIVISÓRIA FIXA EM VIDRO TEMPERADO 10 MM, SEM ABERTURA. AF_01/2021</t>
  </si>
  <si>
    <t>583,68</t>
  </si>
  <si>
    <t>102253</t>
  </si>
  <si>
    <t>DIVISORIA SANITÁRIA, TIPO CABINE, EM GRANITO CINZA POLIDO, ESP = 3CM, ASSENTADO COM ARGAMASSA COLANTE AC III-E, EXCLUSIVE FERRAGENS. AF_01/2021</t>
  </si>
  <si>
    <t>419,56</t>
  </si>
  <si>
    <t>102254</t>
  </si>
  <si>
    <t>DIVISORIA SANITÁRIA, TIPO CABINE, EM MÁRMORE BRANCO POLIDO, ESP = 3CM, ASSENTADO COM ARGAMASSA COLANTE AC III-E, EXCLUSIVE FERRAGENS. AF_01/2021</t>
  </si>
  <si>
    <t>552,30</t>
  </si>
  <si>
    <t>102255</t>
  </si>
  <si>
    <t>TAPA VISTA DE MICTÓRIO EM GRANITO CINZA POLIDO, ESP = 3CM, ASSENTADO COM ARGAMASSA COLANTE AC III-E . AF_01/2021</t>
  </si>
  <si>
    <t>467,18</t>
  </si>
  <si>
    <t>102256</t>
  </si>
  <si>
    <t>TAPA VISTA DE MICTÓRIO EM MÁRMORE BRANCO POLIDO, ESP = 3CM, ASSENTADO COM ARGAMASSA COLANTE AC III-E . AF_01/2021</t>
  </si>
  <si>
    <t>687,93</t>
  </si>
  <si>
    <t>102257</t>
  </si>
  <si>
    <t>DIVISORIA SANITÁRIA, TIPO CABINE, EM PAINEL DE GRANILITE, ESP = 3CM, ASSENTADO COM ARGAMASSA COLANTE AC III-E, EXCLUSIVE FERRAGENS. AF_01/2021</t>
  </si>
  <si>
    <t>279,91</t>
  </si>
  <si>
    <t>102258</t>
  </si>
  <si>
    <t>TAPA VISTA DE MICTÓRIO EM PAINEL DE GRANILITE, ESP = 3CM, ASSENTADO COM ARGAMASSA COLANTE AC III-E . AF_01/2021</t>
  </si>
  <si>
    <t>326,74</t>
  </si>
  <si>
    <t>101154</t>
  </si>
  <si>
    <t>ALVENARIA DE VEDAÇÃO DE BLOCOS DE CONCRETO CELULAR DE 10X30X60CM (ESPESSURA 10CM) E ARGAMASSA DE ASSENTAMENTO COM PREPARO EM BETONEIRA. AF_05/2020</t>
  </si>
  <si>
    <t>101155</t>
  </si>
  <si>
    <t>ALVENARIA DE VEDAÇÃO DE BLOCOS DE CONCRETO CELULAR DE 15X30X60CM (ESPESSURA 15CM) E ARGAMASSA DE ASSENTAMENTO COM PREPARO EM BETONEIRA. AF_05/2020</t>
  </si>
  <si>
    <t>148,35</t>
  </si>
  <si>
    <t>101156</t>
  </si>
  <si>
    <t>ALVENARIA DE VEDAÇÃO DE BLOCOS DE CONCRETO CELULAR DE 20X30X60CM (ESPESSURA 20CM) E ARGAMASSA DE ASSENTAMENTO COM PREPARO EM BETONEIRA. AF_05/2020</t>
  </si>
  <si>
    <t>218,28</t>
  </si>
  <si>
    <t>101810</t>
  </si>
  <si>
    <t>EXECUÇÃO DE TAPA BURACO COM APLICAÇÃO DE CONCRETO ASFÁLTICO (USINAGEM PRÓPRIA) E PINTURA DE LIGAÇÃO. AF_12/2020</t>
  </si>
  <si>
    <t>1.298,64</t>
  </si>
  <si>
    <t>101811</t>
  </si>
  <si>
    <t>EXECUÇÃO DE TAPA BURACO COM APLICAÇÃO DE PRÉ MISTURADO A FRIO (USINAGEM PRÓPRIA) E PINTURA DE LIGAÇÃO. AF_12/2020</t>
  </si>
  <si>
    <t>1.207,75</t>
  </si>
  <si>
    <t>101812</t>
  </si>
  <si>
    <t>RECOMPOSIÇÃO DE REVESTIMENTO EM CONCRETO ASFÁLTICO (USINAGEM PRÓPRIA), PARA O FECHAMENTO DE VALAS - INCLUSO DEMOLIÇÃO DO PAVIMENTO. AF_12/2020</t>
  </si>
  <si>
    <t>1.467,54</t>
  </si>
  <si>
    <t>101813</t>
  </si>
  <si>
    <t>RECOMPOSIÇÃO DE REVESTIMENTO EM PRÉ MISTURADO A FRIO (USINAGEM PRÓPRIA), PARA FECHAMENTO DE VALAS - INCLUSO DEMOLIÇÃO DO PAVIMENTO. AF_12/2020</t>
  </si>
  <si>
    <t>1.376,65</t>
  </si>
  <si>
    <t>101814</t>
  </si>
  <si>
    <t>RECOMPOSIÇÃO DE PAVIMENTOS EM PEDRA POLIÉDRICA, REJUNTAMENTO COM PÓ DE PEDRA, COM REAPROVEITAMENTO DAS PEDRAS POLIÉDRICAS PARA O FECHAMENTO DE VALAS - INCLUSO RETIRADA E COLOCAÇÃO DO MATERIAL. AF_12/2020</t>
  </si>
  <si>
    <t>35,76</t>
  </si>
  <si>
    <t>101815</t>
  </si>
  <si>
    <t>RECOMPOSIÇÃO DE PAVIMENTO EM PEDRAS POLIÉDRICAS, REJUNTAMENTO COM PEDRISCO E EMULSÃO ASFÁLTICA COM REAPROVEITAMENTO DAS PEDRAS POLIÉDRICAS, PARA O FECHAMENTO DE VALAS - INCLUSO RETIRADA E COLOCAÇÃO DO MATERIAL. AF_12/2020</t>
  </si>
  <si>
    <t>101816</t>
  </si>
  <si>
    <t>RECOMPOSIÇÃO DE PAVIMENTO EM PEDRAS POLIÉDRICAS, REJUNTAMENTO COM ARGAMASSA, COM REAPROVEITAMENTO DAS PEDRAS POLIÉDRICAS, PARA O FECHAMENTO DE VALAS - INCLUSO RETIRADA E COLOCAÇÃO DO MATERIAL. AF_12/2020</t>
  </si>
  <si>
    <t>53,85</t>
  </si>
  <si>
    <t>101817</t>
  </si>
  <si>
    <t>RECOMPOSIÇÃO DE PAVIMENTO EM PARALELEPÍPEDOS, REJUNTAMENTO COM PÓ DE PEDRA, COM REAPROVEITAMENTO DOS PARALELEPÍPEDOS, PARA O FECHAMENTO DE VALAS - INCLUSO RETIRADA E COLOCAÇÃO DO MATERIAL. AF_12/2020</t>
  </si>
  <si>
    <t>39,48</t>
  </si>
  <si>
    <t>101818</t>
  </si>
  <si>
    <t>RECOMPOSIÇÃO DE PAVIMENTO EM PARALELEPÍPEDOS, REJUNTAMENTO COM PEDRISCO E EMULSÃO ASFÁLTICA, COM REAPROVEITAMENTO DOS PARALELEPÍPEDOS, PARA O FECHAMENTO DE VALAS - INCLUSO RETIRADA E COLOCAÇÃO DO MATERIAL. AF_12/2020</t>
  </si>
  <si>
    <t>56,29</t>
  </si>
  <si>
    <t>101819</t>
  </si>
  <si>
    <t>RECOMPOSIÇÃO DE PAVIMENTO EM PARALELEPÍPEDOS, REJUNTAMENTO COM ARGAMASSA, COM REAPROVEITAMENTO DOS PARALELEPÍPEDOS, PARA O FECHAMENTO DE VALAS - INCLUSO RETIRADA E COLOCAÇÃO DO MATERIAL. AF_12/2020</t>
  </si>
  <si>
    <t>49,86</t>
  </si>
  <si>
    <t>101820</t>
  </si>
  <si>
    <t>RECOMPOSIÇÃO DE PAVIMENTO EM PISO INTERTRAVADO SEXTAVADO, COM REAPROVEITAMENTO DOS BLOCOS SEXTAVADO, PARA O FECHAMENTO DE VALAS - INCLUSO RETIRADA E COLOCAÇÃO DO MATERIAL. AF_12/2020</t>
  </si>
  <si>
    <t>101822</t>
  </si>
  <si>
    <t>RECOMPOSIÇÃO DE BASE E OU SUB-BASE PARA REMENDO PROFUNDO DE SOLOS DE COMPORTAMENTO LATERÍTICO (ARENOSO) - INCLUSO RETIRADA E COLOCAÇÃO DO MATERIAL. AF_12/2020</t>
  </si>
  <si>
    <t>108,04</t>
  </si>
  <si>
    <t>101823</t>
  </si>
  <si>
    <t>RECOMPOSIÇÃO DE BASE E OU SUB-BASE PARA REMENDO PROFUNDO DE SOLO MELHORADO COM CIMENTO (TEOR DE 2%) - INCLUSO RETIRADA E COLOCAÇÃO DO MATERIAL. AF_12/2020</t>
  </si>
  <si>
    <t>135,49</t>
  </si>
  <si>
    <t>101824</t>
  </si>
  <si>
    <t>RECOMPOSIÇÃO DE BASE E OU SUB-BASE PARA REMENDO PROFUNDO DE SOLO MELHORADO COM CIMENTO (TEOR DE 4%) - INCLUSO RETIRADA E COLOCAÇÃO DO MATERIAL. AF_12/2020</t>
  </si>
  <si>
    <t>161,06</t>
  </si>
  <si>
    <t>101825</t>
  </si>
  <si>
    <t>RECOMPOSIÇÃO DE BASE E OU SUB-BASE PARA REMENDO PROFUNDO DE SOLO COM CIMENTO (TEOR DE 6%) - INCLUSO RETIRADA E COLOCAÇÃO DO MATERIAL. AF_12/2020</t>
  </si>
  <si>
    <t>185,93</t>
  </si>
  <si>
    <t>101826</t>
  </si>
  <si>
    <t>RECOMPOSIÇÃO DE BASE E OU SUB-BASE PARA REMENDO PROFUNDO DE SOLO COM CIMENTO (TEOR DE 8%) - INCLUSO RETIRADA E COLOCAÇÃO DO MATERIAL. AF_12/2020</t>
  </si>
  <si>
    <t>210,48</t>
  </si>
  <si>
    <t>101827</t>
  </si>
  <si>
    <t>RECOMPOSIÇÃO DE BASE E OU SUB-BASE PARA REMENDO PROFUNDO DE SOLO BRITA (40/60) - INCLUSO RETIRADA E COLOCAÇÃO DO MATERIAL. AF_12/2020</t>
  </si>
  <si>
    <t>174,89</t>
  </si>
  <si>
    <t>101828</t>
  </si>
  <si>
    <t>RECOMPOSIÇÃO DE BASE E OU SUB-BASE PARA REMENDO PROFUNDO DE SOLO BRITA (50/50) - INCLUSO RETIRADA E COLOCAÇÃO DO MATERIAL. AF_12/2020</t>
  </si>
  <si>
    <t>163,75</t>
  </si>
  <si>
    <t>101829</t>
  </si>
  <si>
    <t>RECOMPOSIÇÃO DE BASE E OU SUB-BASE PARA REMENDO PROFUNDO DE SOLO BRITA (40/60) COM CIMENTO (TEOR DE 4%) - INCLUSO RETIRADA E COLOCAÇÃO DO MATERIAL. AF_12/2020</t>
  </si>
  <si>
    <t>101830</t>
  </si>
  <si>
    <t>RECOMPOSIÇÃO DE BASE E OU SUB-BASE PARA REMENDO PROFUNDO DE SOLO BRITA (40/60) COM CIMENTO (TEOR DE 6%) - INCLUSO RETIRADA E COLOCAÇÃO DO MATERIAL. AF_12/2020</t>
  </si>
  <si>
    <t>248,77</t>
  </si>
  <si>
    <t>101831</t>
  </si>
  <si>
    <t>RECOMPOSIÇÃO DE BASE E OU SUB-BASE PARA REMENDO PROFUNDO DE SOLO BRITA (40/60) COM CIMENTO (TEOR DE 8%) - INCLUSO RETIRADA E COLOCAÇÃO DO MATERIAL. AF_12/2020</t>
  </si>
  <si>
    <t>271,99</t>
  </si>
  <si>
    <t>101832</t>
  </si>
  <si>
    <t>RECOMPOSIÇÃO DE BASE E OU SUB-BASE PARA REMENDO PROFUNDO DE SOLO BRITA (50/50) COM CIMENTO (TEOR DE 4%) - INCLUSO RETIRADA E COLOCAÇÃO DO MATERIAL. AF_12/2020</t>
  </si>
  <si>
    <t>214,54</t>
  </si>
  <si>
    <t>101833</t>
  </si>
  <si>
    <t>RECOMPOSIÇÃO DE BASE E OU SUB-BASE PARA REMENDO PROFUNDO DE SOLO BRITA (50/50) COM CIMENTO (TEOR DE 6%) - INCLUSO RETIRADA E COLOCAÇÃO DO MATERIAL. AF_12/2020</t>
  </si>
  <si>
    <t>238,30</t>
  </si>
  <si>
    <t>101834</t>
  </si>
  <si>
    <t>RECOMPOSIÇÃO DE BASE E OU SUB-BASE PARA REMENDO PROFUNDO DE SOLO BRITA (50/50) COM CIMENTO (TEOR DE 8%) - INCLUSO RETIRADA E COLOCAÇÃO DO MATERIAL. AF_12/2020</t>
  </si>
  <si>
    <t>261,74</t>
  </si>
  <si>
    <t>101835</t>
  </si>
  <si>
    <t>RECOMPOSIÇÃO DE BASE E OU SUB-BASE PARA REMENDO PROFUNDO DE BRITA GRADUADA SIMPLES - INCLUSO RETIRADA E COLOCAÇÃO DO MATERIAL. AF_12/2020</t>
  </si>
  <si>
    <t>237,27</t>
  </si>
  <si>
    <t>101836</t>
  </si>
  <si>
    <t>RECOMPOSIÇÃO DE BASE E OU SUB-BASE PARA FECHAMENTO DE VALAS DE SOLOS DE COMPORTAMENTO LATERÍTICO (ARENOSO) - INCLUSO RETIRADA E COLOCAÇÃO DO MATERIAL. AF_12/2020</t>
  </si>
  <si>
    <t>101837</t>
  </si>
  <si>
    <t>RECOMPOSIÇÃO DE BASE E OU SUB-BASE PARA FECHAMENTO DE VALAS DE SOLO MELHORADO COM CIMENTO (TEOR DE 2%) - INCLUSO RETIRADA E COLOCAÇÃO DO MATERIAL. AF_12/2020</t>
  </si>
  <si>
    <t>50,67</t>
  </si>
  <si>
    <t>101838</t>
  </si>
  <si>
    <t>RECOMPOSIÇÃO DE BASE E OU SUB-BASE PARA FECHAMENTO DE VALAS DE SOLO MELHORADO COM CIMENTO (TEOR DE 4%) - INCLUSO RETIRADA E COLOCAÇÃO DO MATERIAL. AF_12/2020</t>
  </si>
  <si>
    <t>101839</t>
  </si>
  <si>
    <t>RECOMPOSIÇÃO DE BASE E OU SUB-BASE PARA FECHAMENTO DE VALAS DE SOLO COM CIMENTO (TEOR DE 6%) - INCLUSO RETIRADA E COLOCAÇÃO DO MATERIAL. AF_12/2020</t>
  </si>
  <si>
    <t>101,10</t>
  </si>
  <si>
    <t>101840</t>
  </si>
  <si>
    <t>RECOMPOSIÇÃO DE BASE E OU SUB-BASE PARA FECHAMENTO DE VALAS DE SOLO COM CIMENTO (TEOR DE 8%) - INCLUSO RETIRADA E COLOCAÇÃO DO MATERIAL. AF_12/2020</t>
  </si>
  <si>
    <t>170,03</t>
  </si>
  <si>
    <t>101841</t>
  </si>
  <si>
    <t>RECOMPOSIÇÃO DE BASE E OU SUB-BASE PARA FECHAMENTO DE VALAS DE SOLO BRITA (40/60) - INCLUSO RETIRADA E COLOCAÇÃO DO MATERIAL. AF_12/2020</t>
  </si>
  <si>
    <t>90,07</t>
  </si>
  <si>
    <t>101842</t>
  </si>
  <si>
    <t>RECOMPOSIÇÃO DE BASE E OU SUB-BASE PARA FECHAMENTO DE VALAS DE SOLO BRITA (50/50) - INCLUSO RETIRADA E COLOCAÇÃO DO MATERIAL. AF_12/2020</t>
  </si>
  <si>
    <t>78,93</t>
  </si>
  <si>
    <t>101843</t>
  </si>
  <si>
    <t>RECOMPOSIÇÃO DE BASE E OU SUB-BASE PARA FECHAMENTO DE VALAS DE SOLO BRITA (40/60) COM CIMENTO (TEOR DE 4%) - INCLUSO RETIRADA E COLOCAÇÃO DO MATERIAL. AF_12/2020</t>
  </si>
  <si>
    <t>140,42</t>
  </si>
  <si>
    <t>101844</t>
  </si>
  <si>
    <t>RECOMPOSIÇÃO DE BASE E OU SUB-BASE PARA FECHAMENTO DE VALAS DE SOLO BRITA (40/60) COM CIMENTO (TEOR DE 6%) - INCLUSO RETIRADA E COLOCAÇÃO DO MATERIAL. AF_12/2020</t>
  </si>
  <si>
    <t>163,95</t>
  </si>
  <si>
    <t>101845</t>
  </si>
  <si>
    <t>RECOMPOSIÇÃO DE BASE E OU SUB-BASE PARA FECHAMENTO DE VALAS DE SOLO BRITA (40/60) COM CIMENTO (TEOR DE 8%) - INCLUSO RETIRADA E COLOCAÇÃO DO MATERIAL. AF_12/2020</t>
  </si>
  <si>
    <t>187,17</t>
  </si>
  <si>
    <t>101846</t>
  </si>
  <si>
    <t>RECOMPOSIÇÃO DE BASE E OU SUB-BASE PARA FECHAMENTO DE VALAS DE SOLO BRITA (50/50) COM CIMENTO (TEOR DE 4%) - INCLUSO RETIRADA E COLOCAÇÃO DO MATERIAL. AF_12/2020</t>
  </si>
  <si>
    <t>129,72</t>
  </si>
  <si>
    <t>101847</t>
  </si>
  <si>
    <t>RECOMPOSIÇÃO DE BASE E OU SUB-BASE PARA FECHAMENTO DE VALAS DE SOLO BRITA (50/50) COM CIMENTO (TEOR DE 6%) - INCLUSO RETIRADA E COLOCAÇÃO DO MATERIAL. AF_12/2020</t>
  </si>
  <si>
    <t>153,48</t>
  </si>
  <si>
    <t>101848</t>
  </si>
  <si>
    <t>RECOMPOSIÇÃO DE BASE E OU SUB-BASE PARA FECHAMENTO DE VALAS DE SOLO BRITA (50/50) COM CIMENTO (TEOR DE 8%) - INCLUSO RETIRADA E COLOCAÇÃO DO MATERIAL. AF_12/2020</t>
  </si>
  <si>
    <t>176,92</t>
  </si>
  <si>
    <t>101849</t>
  </si>
  <si>
    <t>RECOMPOSIÇÃO DE BASE E OU SUB-BASE PARA FECHAMENTO DE VALAS DE BRITA GRADUADA SIMPLES - INCLUSO RETIRADA E COLOCAÇÃO DO MATERIAL. AF_12/2020</t>
  </si>
  <si>
    <t>152,45</t>
  </si>
  <si>
    <t>101850</t>
  </si>
  <si>
    <t>REASSENTAMENTO DE PARALELEPÍPEDOS, REJUNTAMENTO COM PÓ DE PEDRA, COM REAPROVEITAMENTO DOS PARALELEPÍPEDOS - INCLUSO RETIRADA E COLOCAÇÃO DO MATERIAL. AF_12/2020</t>
  </si>
  <si>
    <t>48,37</t>
  </si>
  <si>
    <t>101851</t>
  </si>
  <si>
    <t>REASSENTAMENTO DE PARALELEPÍPEDOS, REJUNTAMENTO COM PEDRISCO E EMULSÃO ASFÁLTICA, COM REAPROVEITAMENTO DOS PARALELEPÍPEDOS - INCLUSO RETIRADA E COLOCAÇÃO DO MATERIAL. AF_12/2020_P</t>
  </si>
  <si>
    <t>112,68</t>
  </si>
  <si>
    <t>101852</t>
  </si>
  <si>
    <t>REASSENTAMENTO DE PARALELEPÍPEDOS, REJUNTAMENTO COM ARGAMASSA, COM REAPROVEITAMENTO DOS PARALELEPÍPEDOS - INCLUSO RETIRADA E COLOCAÇÃO DO MATERIAL. AF_12/2020</t>
  </si>
  <si>
    <t>59,23</t>
  </si>
  <si>
    <t>101853</t>
  </si>
  <si>
    <t>REASSENTAMENTO DE PEDRAS POLIÉDRICAS, REJUNTAMENTO COM PÓ DE PEDRA, COM REAPROVEITAMENTO DAS PEDRAS POLIÉDRICAS - INCLUSO RETIRADA E COLOCAÇÃO DO MATERIAL.  AF_12/2020</t>
  </si>
  <si>
    <t>42,86</t>
  </si>
  <si>
    <t>101854</t>
  </si>
  <si>
    <t>REASSENTAMENTO DE PEDRAS POLIÉDRICAS, REJUNTAMENTO COM PEDRISCO E EMULSÃO ASFÁLTICA, COM REAPROVEITAMENTO DAS PEDRAS POLIÉDRICAS - INCLUSO RETIRADA E COLOCAÇÃO DO MATERIAL. AF_12/2020_P</t>
  </si>
  <si>
    <t>115,78</t>
  </si>
  <si>
    <t>101855</t>
  </si>
  <si>
    <t>REASSENTAMENTO DE PEDRAS POLIÉDRICAS, REJUNTAMENTO COM ARGAMASSA, COM REAPROVEITAMENTO DAS PEDRAS POLIÉDRICAS - INCLUSO RETIRADA E COLOCAÇÃO DO MATERIAL. AF_12/2020</t>
  </si>
  <si>
    <t>61,34</t>
  </si>
  <si>
    <t>101856</t>
  </si>
  <si>
    <t>REASSENTAMENTO DE BLOCOS PISOGRAMA PARA PISO INTERTRAVADO, COM REAPROVEITAMENTO DOS BLOCOS PISOGRAMA - INCLUSO RETIRADA E COLOCAÇÃO DO MATERIAL. AF_12/2020</t>
  </si>
  <si>
    <t>101857</t>
  </si>
  <si>
    <t>REASSENTAMENTO DE BLOCOS SEXTAVADO PARA PISO INTERTRAVADO, ESPESSURA DE 6 CM, EM CALÇADA, COM REAPROVEITAMENTO DOS BLOCOS SEXTAVADOS - INCLUSO RETIRADA E COLOCAÇÃO DO MATERIAL. AF_12/2020</t>
  </si>
  <si>
    <t>25,74</t>
  </si>
  <si>
    <t>101858</t>
  </si>
  <si>
    <t>REASSENTAMENTO DE BLOCOS SEXTAVADO PARA PISO INTERTRAVADO, ESPESSURA DE 6 CM, EM VIA/ESTACIONAMENTO, COM REAPROVEITAMENTO DOS BLOCOS SEXTAVADO - INCLUSO RETIRADA E COLOCAÇÃO DO MATERIAL. AF_12/2020</t>
  </si>
  <si>
    <t>101859</t>
  </si>
  <si>
    <t>REASSENTAMENTO DE BLOCOS SEXTAVADO PARA PISO INTERTRAVADO, ESPESSURA DE 8 CM, EM VIA/ESTACIONAMENTO, COM REAPROVEITAMENTO DOS BLOCOS SEXTAVADO - INCLUSO RETIRADA E COLOCAÇÃO DO MATERIAL. AF_12/2020</t>
  </si>
  <si>
    <t>101860</t>
  </si>
  <si>
    <t>REASSENTAMENTO DE BLOCOS SEXTAVADO PARA PISO INTERTRAVADO, ESPESSURA DE 10 CM, EM VIA/ESTACIONAMENTO, COM REAPROVEITAMENTO DOS BLOCOS SEXTAVADO - INCLUSO RETIRADA E COLOCAÇÃO DO MATERIAL. AF_12/2020</t>
  </si>
  <si>
    <t>26,84</t>
  </si>
  <si>
    <t>101861</t>
  </si>
  <si>
    <t>REASSENTAMENTO DE BLOCOS RETANGULAR PARA PISO INTERTRAVADO, ESPESSURA DE 4  CM, EM CALÇADA, COM REAPROVEITAMENTO DOS BLOCOS RETANGULAR - INCLUSO RETIRADA E COLOCAÇÃO DO MATERIAL. AF_12/2020</t>
  </si>
  <si>
    <t>24,91</t>
  </si>
  <si>
    <t>101862</t>
  </si>
  <si>
    <t>REASSENTAMENTO DE BLOCOS RETANGULAR PARA PISO INTERTRAVADO, ESPESSURA DE 6 CM, EM CALÇADA, COM REAPROVEITAMENTO DOS BLOCOS RETANGULAR - INCLUSO RETIRADA E COLOCAÇÃO DO MATERIAL. AF_12/2020</t>
  </si>
  <si>
    <t>27,41</t>
  </si>
  <si>
    <t>101863</t>
  </si>
  <si>
    <t>REASSENTAMENTO DE BLOCOS RETANGULAR PARA PISO INTERTRAVADO, ESPESSURA DE 6 CM, EM VIA/ESTACIONAMENTO, COM REAPROVEITAMENTO DOS BLOCOS RETANGULAR - INCLUSO RETIRADA E COLOCAÇÃO DO MATERIAL. AF_12/2020</t>
  </si>
  <si>
    <t>20,86</t>
  </si>
  <si>
    <t>101864</t>
  </si>
  <si>
    <t>REASSENTAMENTO DE BLOCOS RETANGULAR PARA PISO INTERTRAVADO, ESPESSURA DE 8 CM, EM VIA/ESTACIONAMENTO, COM REAPROVEITAMENTO DOS BLOCOS RETANGULAR - INCLUSO RETIRADA E COLOCAÇÃO DO MATERIAL. AF_12/2020</t>
  </si>
  <si>
    <t>101865</t>
  </si>
  <si>
    <t>REASSENTAMENTO DE BLOCOS RETANGULAR PARA PISO INTERTRAVADO, ESPESSURA DE 10 CM, EM VIA/ESTACIONAMENTO, COM REAPROVEITAMENTO DOS BLOCOS RETANGULAR - INCLUSO RETIRADA E COLOCAÇÃO DO MATERIAL. AF_12/2020</t>
  </si>
  <si>
    <t>28,57</t>
  </si>
  <si>
    <t>101866</t>
  </si>
  <si>
    <t>REASSENTAMENTO DE BLOCOS 16 FACES PARA PISO INTERTRAVADO, ESPESSURA DE 4  CM, EM CALÇADA, COM REAPROVEITAMENTO DOS BLOCOS 16 FACES - INCLUSO RETIRADA E COLOCAÇÃO DO MATERIAL. AF_12/2020</t>
  </si>
  <si>
    <t>25,09</t>
  </si>
  <si>
    <t>101867</t>
  </si>
  <si>
    <t>REASSENTAMENTO DE BLOCOS 16 FACES PARA PISO INTERTRAVADO, ESPESSURA DE 6 CM, EM CALÇADA, COM REAPROVEITAMENTO DOS BLOCOS 16 FACES - INCLUSO RETIRADA E COLOCAÇÃO DO MATERIAL. AF_12/2020</t>
  </si>
  <si>
    <t>28,96</t>
  </si>
  <si>
    <t>101868</t>
  </si>
  <si>
    <t>REASSENTAMENTO DE BLOCOS 16 FACES PARA PISO INTERTRAVADO, ESPESSURA DE 6 CM, EM VIA/ESTACIONAMENTO, COM REAPROVEITAMENTO DOS BLOCOS 16 FACES - INCLUSO RETIRADA E COLOCAÇÃO DO MATERIAL. AF_12/2020</t>
  </si>
  <si>
    <t>22,41</t>
  </si>
  <si>
    <t>101869</t>
  </si>
  <si>
    <t>REASSENTAMENTO DE BLOCOS 16 FACES PARA PISO INTERTRAVADO, ESPESSURA DE 8 CM, EM VIA/ESTACIONAMENTO, COM REAPROVEITAMENTO DOS BLOCOS 16 FACES - INCLUSO RETIRADA E COLOCAÇÃO DO MATERIAL. AF_12/2020</t>
  </si>
  <si>
    <t>101870</t>
  </si>
  <si>
    <t>REASSENTAMENTO DE BLOCOS 16 FACES PARA PISO INTERTRAVADO, ESPESSURA DE 10 CM, EM VIA/ESTACIONAMENTO, COM REAPROVEITAMENTO DOS BLOCOS 16 FACES - INCLUSO RETIRADA E COLOCAÇÃO DO MATERIAL. AF_12/2020</t>
  </si>
  <si>
    <t>102096</t>
  </si>
  <si>
    <t>EXECUÇÃO DE TAPA BURACO COM APLICAÇÃO DE CONCRETO ASFÁLTICO (AQUISIÇÃO EM USINA) E PINTURA DE LIGAÇÃO. AF_12/2020</t>
  </si>
  <si>
    <t>1.774,03</t>
  </si>
  <si>
    <t>102098</t>
  </si>
  <si>
    <t>RECOMPOSIÇÃO DE REVESTIMENTO EM CONCRETO ASFÁLTICO (AQUISIÇÃO EM USINA), PARA O FECHAMENTO DE VALAS - INCLUSO DEMOLIÇÃO DO PAVIMENTO. AF_12/2020</t>
  </si>
  <si>
    <t>1.942,93</t>
  </si>
  <si>
    <t>102101</t>
  </si>
  <si>
    <t>EXECUÇÃO DE PINTURA DE LIGAÇÃO COM EMULSÃO ASFÁLTICA RR-2C, PARA O FECHAMENTO DE VALAS. AF_12/2020</t>
  </si>
  <si>
    <t>102988</t>
  </si>
  <si>
    <t>RECOMPOSIÇÃO DE PAVIMENTO EM PISO INTERTRAVADO, COM REAPROVEITAMENTO DOS BLOCOS INTERTRAVADOS, PARA FECHAMENTO DE VALAS - INCLUSO RETIRADA E COLOCAÇÃO DO MATERIAL. AF_12/2020</t>
  </si>
  <si>
    <t>44,57</t>
  </si>
  <si>
    <t>100576</t>
  </si>
  <si>
    <t>REGULARIZAÇÃO E COMPACTAÇÃO DE SUBLEITO DE SOLO  PREDOMINANTEMENTE ARGILOSO. AF_11/2019</t>
  </si>
  <si>
    <t>2,09</t>
  </si>
  <si>
    <t>100577</t>
  </si>
  <si>
    <t>REGULARIZAÇÃO E COMPACTAÇÃO DE SUBLEITO DE SOLO PREDOMINANTEMENTE ARENOSO. AF_11/2019</t>
  </si>
  <si>
    <t>0,98</t>
  </si>
  <si>
    <t>96388</t>
  </si>
  <si>
    <t>EXECUÇÃO E COMPACTAÇÃO DE BASE E OU SUB BASE PARA PAVIMENTAÇÃO DE SOLOS DE COMPORTAMENTO LATERÍTICO (ARENOSO) - EXCLUSIVE SOLO, ESCAVAÇÃO, CARGA E TRANSPORTE. AF_11/2019</t>
  </si>
  <si>
    <t>96389</t>
  </si>
  <si>
    <t>EXECUÇÃO E COMPACTAÇÃO DE BASE E OU SUB BASE PARA PAVIMENTAÇÃO DE SOLO (PREDOMINANTEMENTE ARENOSO) COM CIMENTO (TEOR DE 2%) - EXCLUSIVE SOLO, ESCAVAÇÃO, CARGA E TRANSPORTE. AF_11/2019</t>
  </si>
  <si>
    <t>41,93</t>
  </si>
  <si>
    <t>96390</t>
  </si>
  <si>
    <t>EXECUÇÃO E COMPACTAÇÃO DE BASE E OU SUB BASE PARA PAVIMENTAÇÃO DE SOLO (PREDOMINANTEMENTE ARENOSO) COM CIMENTO (TEOR DE 4%) - EXCLUSIVE SOLO, ESCAVAÇÃO, CARGA E TRANSPORTE. AF_11/2019</t>
  </si>
  <si>
    <t>65,80</t>
  </si>
  <si>
    <t>96391</t>
  </si>
  <si>
    <t>EXECUÇÃO E COMPACTAÇÃO DE BASE E OU SUB BASE PARA PAVIMENTAÇÃO DE SOLO (PREDOMINANTEMENTE ARENOSO) COM CIMENTO (TEOR DE 6%) - EXCLUSIVE SOLO, ESCAVAÇÃO, CARGA E TRANSPORTE. AF_11/2019</t>
  </si>
  <si>
    <t>91,49</t>
  </si>
  <si>
    <t>96392</t>
  </si>
  <si>
    <t>EXECUÇÃO E COMPACTAÇÃO DE BASE E OU SUB BASE PARA PAVIMENTAÇÃO DE SOLO (PREDOMINANTEMENTE ARENOSO) COM CIMENTO (TEOR DE 8%) - EXCLUSIVE SOLO, ESCAVAÇÃO, CARGA E TRANSPORTE. AF_11/2019</t>
  </si>
  <si>
    <t>116,04</t>
  </si>
  <si>
    <t>96396</t>
  </si>
  <si>
    <t>EXECUÇÃO E COMPACTAÇÃO DE BASE E OU SUB BASE PARA PAVIMENTAÇÃO DE BRITA GRADUADA SIMPLES - EXCLUSIVE CARGA E TRANSPORTE. AF_11/2019</t>
  </si>
  <si>
    <t>140,26</t>
  </si>
  <si>
    <t>96397</t>
  </si>
  <si>
    <t>EXECUÇÃO E COMPACTAÇÃO DE BASE E OU SUB BASE PARA PAVIMENTAÇÃO DE BRITA GRADUADA SIMPLES TRATADA COM CIMENTO - EXCLUSIVE CARGA E TRANSPORTE. AF_11/2019</t>
  </si>
  <si>
    <t>189,25</t>
  </si>
  <si>
    <t>96398</t>
  </si>
  <si>
    <t>EXECUÇÃO E COMPACTAÇÃO DE BASE E OU SUB BASE PARA PAVIMENTAÇÃO DE CONCRETO COMPACTADO COM ROLO - EXCLUSIVE CARGA E TRANSPORTE. AF_11/2019</t>
  </si>
  <si>
    <t>254,27</t>
  </si>
  <si>
    <t>96399</t>
  </si>
  <si>
    <t>EXECUÇÃO E COMPACTAÇÃO DE BASE E OU SUB BASE PARA PAVIMENTAÇÃO DE PEDRA RACHÃO  - EXCLUSIVE CARGA E TRANSPORTE. AF_11/2019</t>
  </si>
  <si>
    <t>97,03</t>
  </si>
  <si>
    <t>96400</t>
  </si>
  <si>
    <t>EXECUÇÃO E COMPACTAÇÃO DE BASE E OU SUB BASE PARA PAVIMENTAÇÃO DE MACADAME SECO - EXCLUSIVE CARGA E TRANSPORTE. AF_11/2019</t>
  </si>
  <si>
    <t>126,27</t>
  </si>
  <si>
    <t>96402</t>
  </si>
  <si>
    <t>EXECUÇÃO DE PINTURA DE LIGAÇÃO COM EMULSÃO ASFÁLTICA RR-2C. AF_11/2019</t>
  </si>
  <si>
    <t>2,52</t>
  </si>
  <si>
    <t>100564</t>
  </si>
  <si>
    <t>EXECUÇÃO E COMPACTAÇÃO DE BASE E OU SUB-BASE PARA PAVIMENTAÇÃO DE SOLO (PREDOMINANTEMENTE ARENOSO) BRITA - 40/60 - EXCLUSIVE SOLO, ESCAVAÇÃO, CARGA E TRANSPORTE. AF_11/2019</t>
  </si>
  <si>
    <t>86,41</t>
  </si>
  <si>
    <t>100565</t>
  </si>
  <si>
    <t>EXECUÇÃO E COMPACTAÇÃO DE BASE E OU SUB-BASE PARA PAVIMENTAÇÃO DE SOLO (PREDOMINANTEMENTE ARENOSO) BRITA - 50/50 - EXCLUSIVE SOLO, ESCAVAÇÃO, CARGA E TRANSPORTE. AF_11/2019</t>
  </si>
  <si>
    <t>75,31</t>
  </si>
  <si>
    <t>100566</t>
  </si>
  <si>
    <t>EXECUÇÃO E COMPACTAÇÃO DE BASE E OU SUB-BASE PARA PAVIMENTAÇÃO DE SOLO (PREDOMINANTEMENTE ARENOSO) BRITA - 40/60 COM CIMENTO (TEOR DE 4%) - EXCLUSIVE SOLO, ESCAVAÇÃO, CARGA E TRANSPORTE. AF_11/2019</t>
  </si>
  <si>
    <t>136,75</t>
  </si>
  <si>
    <t>100567</t>
  </si>
  <si>
    <t>EXECUÇÃO E COMPACTAÇÃO DE BASE E OU SUB-BASE PARA PAVIMENTAÇÃO DE SOLO (PREDOMINANTEMENTE ARENOSO) BRITA - 40/60 COM CIMENTO (TEOR DE 6%) - EXCLUSIVE SOLO, ESCAVAÇÃO, CARGA E TRANSPORTE. AF_11/2019</t>
  </si>
  <si>
    <t>160,33</t>
  </si>
  <si>
    <t>100568</t>
  </si>
  <si>
    <t>EXECUÇÃO E COMPACTAÇÃO DE BASE E OU SUB-BASE PARA PAVIMENTAÇÃO DE SOLO (PREDOMINANTEMENTE ARENOSO) BRITA - 40/60 COM CIMENTO (TEOR DE 8%) - EXCLUSIVE SOLO, ESCAVAÇÃO, CARGA E TRANSPORTE. AF_11/2019</t>
  </si>
  <si>
    <t>183,50</t>
  </si>
  <si>
    <t>100569</t>
  </si>
  <si>
    <t>EXECUÇÃO E COMPACTAÇÃO DE BASE E OU SUB-BASE PARA PAVIMENTAÇÃO DE SOLO (PREDOMINANTEMENTE ARENOSO) BRITA - 50/50 COM CIMENTO (TEOR DE 4%)  - EXCLUSIVE SOLO, ESCAVAÇÃO, CARGA E TRANSPORTE. AF_11/2019</t>
  </si>
  <si>
    <t>126,06</t>
  </si>
  <si>
    <t>100570</t>
  </si>
  <si>
    <t>EXECUÇÃO E COMPACTAÇÃO DE BASE E OU SUB-BASE PARA PAVIMENTAÇÃO DE SOLO (PREDOMINANTEMENTE ARENOSO) BRITA - 50/50 COM CIMENTO (TEOR DE 6%) - EXCLUSIVE SOLO, ESCAVAÇÃO, CARGA E TRANSPORTE. AF_11/2019</t>
  </si>
  <si>
    <t>151,81</t>
  </si>
  <si>
    <t>100571</t>
  </si>
  <si>
    <t>EXECUÇÃO E COMPACTAÇÃO DE BASE E OU SUB-BASE PARA PAVIMENTAÇÃO DE SOLO (PREDOMINANTEMENTE ARENOSO) BRITA - 50/50 COM CIMENTO (TEOR DE 8%) - EXCLUSIVE SOLO, ESCAVAÇÃO, CARGA E TRANSPORTE. AF_11/2019</t>
  </si>
  <si>
    <t>173,29</t>
  </si>
  <si>
    <t>100572</t>
  </si>
  <si>
    <t>EXECUÇÃO E COMPACTAÇÃO DE BASE E OU SUB-BASE PARA PAVIMENTAÇÃO DE SOLO (PREDOMINANTEMENTE ARGILOSO) BRITA - 40/60 - EXCLUSIVE SOLO, ESCAVAÇÃO, CARGA E TRANSPORTE. AF_11/2019</t>
  </si>
  <si>
    <t>91,14</t>
  </si>
  <si>
    <t>100573</t>
  </si>
  <si>
    <t>EXECUÇÃO E COMPACTAÇÃO DE BASE E OU SUB-BASE PARA PAVIMENTAÇÃO DE SOLO (PREDOMINANTEMENTE ARGILOSO) BRITA - 50/50 - EXCLUSIVE SOLO, ESCAVAÇÃO, CARGA E TRANSPORTE. AF_11/2019</t>
  </si>
  <si>
    <t>80,04</t>
  </si>
  <si>
    <t>100574</t>
  </si>
  <si>
    <t>ESPALHAMENTO DE MATERIAL COM TRATOR DE ESTEIRAS. AF_11/2019</t>
  </si>
  <si>
    <t>1,23</t>
  </si>
  <si>
    <t>100575</t>
  </si>
  <si>
    <t>REGULARIZAÇÃO DE SUPERFÍCIES COM MOTONIVELADORA. AF_11/2019</t>
  </si>
  <si>
    <t>101767</t>
  </si>
  <si>
    <t>EXECUÇÃO E COMPACTAÇÃO DE BASE E OU SUB BASE PARA PAVIMENTAÇÃO DE SOLOS ESTABILIZADOS GRANULOMETRICAMENTE COM MISTURA DE SOLOS EM PISTA - EXCLUSIVE SOLO, ESCAVAÇÃO, CARGA E TRANSPORTE. AF_11/2019</t>
  </si>
  <si>
    <t>24,23</t>
  </si>
  <si>
    <t>101768</t>
  </si>
  <si>
    <t>EXECUÇÃO E COMPACTAÇÃO DE BASE E OU SUB BASE PARA PAVIMENTAÇÃO DE SOLO ESTABILIZADO GRANULOMETRICAMENTE SEM MISTURA DE SOLOS - EXCLUSIVE SOLO, ESCAVAÇÃO, CARGA E TRANSPORTE. AF_11/2019</t>
  </si>
  <si>
    <t>36,94</t>
  </si>
  <si>
    <t>92391</t>
  </si>
  <si>
    <t>EXECUÇÃO DE PAVIMENTO EM PISO INTERTRAVADO, COM BLOCO PISOGRAMA DE 35 X 25 CM, ESPESSURA 6 CM. AF_12/2015</t>
  </si>
  <si>
    <t>51,51</t>
  </si>
  <si>
    <t>92392</t>
  </si>
  <si>
    <t>EXECUÇÃO DE PAVIMENTO EM PISO INTERTRAVADO, COM BLOCO PISOGRAMA DE 35 X 25 CM, ESPESSURA 8 CM. AF_12/2015</t>
  </si>
  <si>
    <t>107,75</t>
  </si>
  <si>
    <t>92393</t>
  </si>
  <si>
    <t>EXECUÇÃO DE PAVIMENTO EM PISO INTERTRAVADO, COM BLOCO SEXTAVADO DE 25 X 25 CM, ESPESSURA 6 CM. AF_12/2015</t>
  </si>
  <si>
    <t>92394</t>
  </si>
  <si>
    <t>EXECUÇÃO DE PAVIMENTO EM PISO INTERTRAVADO, COM BLOCO SEXTAVADO DE 25 X 25 CM, ESPESSURA 8 CM. AF_12/2015</t>
  </si>
  <si>
    <t>65,15</t>
  </si>
  <si>
    <t>92395</t>
  </si>
  <si>
    <t>EXECUÇÃO DE PAVIMENTO EM PISO INTERTRAVADO, COM BLOCO SEXTAVADO DE 25 X 25 CM, ESPESSURA 10 CM. AF_12/2015</t>
  </si>
  <si>
    <t>79,90</t>
  </si>
  <si>
    <t>92396</t>
  </si>
  <si>
    <t>EXECUÇÃO DE PASSEIO EM PISO INTERTRAVADO, COM BLOCO RETANGULAR COR NATURAL DE 20 X 10 CM, ESPESSURA 6 CM. AF_12/2015</t>
  </si>
  <si>
    <t>64,69</t>
  </si>
  <si>
    <t>92397</t>
  </si>
  <si>
    <t>EXECUÇÃO DE PÁTIO/ESTACIONAMENTO EM PISO INTERTRAVADO, COM BLOCO RETANGULAR COR NATURAL DE 20 X 10 CM, ESPESSURA 6 CM. AF_12/2015</t>
  </si>
  <si>
    <t>51,79</t>
  </si>
  <si>
    <t>92398</t>
  </si>
  <si>
    <t>EXECUÇÃO DE PÁTIO/ESTACIONAMENTO EM PISO INTERTRAVADO, COM BLOCO RETANGULAR COR NATURAL DE 20 X 10 CM, ESPESSURA 8 CM. AF_12/2015</t>
  </si>
  <si>
    <t>66,94</t>
  </si>
  <si>
    <t>92399</t>
  </si>
  <si>
    <t>EXECUÇÃO DE VIA EM PISO INTERTRAVADO, COM BLOCO RETANGULAR COR NATURAL DE 20 X 10 CM, ESPESSURA 8 CM. AF_12/2015</t>
  </si>
  <si>
    <t>68,43</t>
  </si>
  <si>
    <t>92400</t>
  </si>
  <si>
    <t>EXECUÇÃO DE PÁTIO/ESTACIONAMENTO EM PISO INTERTRAVADO, COM BLOCO RETANGULAR DE 20 X 10 CM, ESPESSURA 10 CM. AF_12/2015</t>
  </si>
  <si>
    <t>80,52</t>
  </si>
  <si>
    <t>92401</t>
  </si>
  <si>
    <t>EXECUÇÃO DE VIA EM PISO INTERTRAVADO, COM BLOCO RETANGULAR DE 20 X 10 CM, ESPESSURA 10 CM. AF_12/2015</t>
  </si>
  <si>
    <t>82,10</t>
  </si>
  <si>
    <t>92402</t>
  </si>
  <si>
    <t>EXECUÇÃO DE PASSEIO EM PISO INTERTRAVADO, COM BLOCO 16 FACES DE 22 X 11 CM, ESPESSURA 6 CM. AF_12/2015</t>
  </si>
  <si>
    <t>66,46</t>
  </si>
  <si>
    <t>92403</t>
  </si>
  <si>
    <t>EXECUÇÃO DE PÁTIO/ESTACIONAMENTO EM PISO INTERTRAVADO, COM BLOCO 16 FACES DE 22 X 11 CM, ESPESSURA 6 CM. AF_12/2015</t>
  </si>
  <si>
    <t>53,44</t>
  </si>
  <si>
    <t>92404</t>
  </si>
  <si>
    <t>EXECUÇÃO DE PÁTIO/ESTACIONAMENTO EM PISO INTERTRAVADO, COM BLOCO 16 FACES DE 22 X 11 CM, ESPESSURA 8 CM. AF_12/2015</t>
  </si>
  <si>
    <t>68,59</t>
  </si>
  <si>
    <t>92405</t>
  </si>
  <si>
    <t>EXECUÇÃO DE VIA EM PISO INTERTRAVADO, COM BLOCO 16 FACES DE 22 X 11 CM, ESPESSURA 8 CM. AF_12/2015</t>
  </si>
  <si>
    <t>70,05</t>
  </si>
  <si>
    <t>92406</t>
  </si>
  <si>
    <t>EXECUÇÃO DE PÁTIO/ESTACIONAMENTO EM PISO INTERTRAVADO, COM BLOCO 16 FACES DE 22 X 11 CM, ESPESSURA 10 CM. AF_12/2015</t>
  </si>
  <si>
    <t>82,20</t>
  </si>
  <si>
    <t>92407</t>
  </si>
  <si>
    <t>EXECUÇÃO DE VIA EM PISO INTERTRAVADO, COM BLOCO 16 FACES DE 22 X 11 CM, ESPESSURA 10 CM. AF_12/2015</t>
  </si>
  <si>
    <t>83,74</t>
  </si>
  <si>
    <t>93679</t>
  </si>
  <si>
    <t>EXECUÇÃO DE PASSEIO EM PISO INTERTRAVADO, COM BLOCO RETANGULAR COLORIDO DE 20 X 10 CM, ESPESSURA 6 CM. AF_12/2015</t>
  </si>
  <si>
    <t>71,66</t>
  </si>
  <si>
    <t>93680</t>
  </si>
  <si>
    <t>EXECUÇÃO DE PÁTIO/ESTACIONAMENTO EM PISO INTERTRAVADO, COM BLOCO RETANGULAR COLORIDO DE 20 X 10 CM, ESPESSURA 6 CM. AF_12/2015</t>
  </si>
  <si>
    <t>58,46</t>
  </si>
  <si>
    <t>93681</t>
  </si>
  <si>
    <t>EXECUÇÃO DE PÁTIO/ESTACIONAMENTO EM PISO INTERTRAVADO, COM BLOCO RETANGULAR COLORIDO DE 20 X 10 CM, ESPESSURA 8 CM. AF_12/2015</t>
  </si>
  <si>
    <t>72,27</t>
  </si>
  <si>
    <t>93682</t>
  </si>
  <si>
    <t>EXECUÇÃO DE VIA EM PISO INTERTRAVADO, COM BLOCO RETANGULAR COLORIDO DE 20 X 10 CM, ESPESSURA 8 CM. AF_12/2015</t>
  </si>
  <si>
    <t>73,81</t>
  </si>
  <si>
    <t>97104</t>
  </si>
  <si>
    <t>EXECUÇÃO DE PAVIMENTO DE CONCRETO SIMPLES (PCS), FCK = 40 MPA, CAMADA COM ESPESSURA DE 15,0 CM. AF_11/2017</t>
  </si>
  <si>
    <t>97,01</t>
  </si>
  <si>
    <t>97105</t>
  </si>
  <si>
    <t>EXECUÇÃO DE PAVIMENTO DE CONCRETO SIMPLES (PCS), FCK = 40 MPA, CAMADA COM ESPESSURA DE 17,5 CM. AF_11/2017</t>
  </si>
  <si>
    <t>114,49</t>
  </si>
  <si>
    <t>97106</t>
  </si>
  <si>
    <t>EXECUÇÃO DE PAVIMENTO DE CONCRETO SIMPLES (PCS), FCK = 40 MPA, CAMADA COM ESPESSURA DE 20,0 CM. AF_11/2017</t>
  </si>
  <si>
    <t>124,04</t>
  </si>
  <si>
    <t>97107</t>
  </si>
  <si>
    <t>EXECUÇÃO DE PAVIMENTO DE CONCRETO SIMPLES (PCS), FCK = 40 MPA, CAMADA COM ESPESSURA DE 22,5 CM. AF_11/2017</t>
  </si>
  <si>
    <t>133,56</t>
  </si>
  <si>
    <t>97108</t>
  </si>
  <si>
    <t>EXECUÇÃO DE PAVIMENTO DE CONCRETO SIMPLES (PCS), FCK = 40 MPA, CAMADA COM ESPESSURA DE 25,0 CM. AF_11/2017</t>
  </si>
  <si>
    <t>158,91</t>
  </si>
  <si>
    <t>97109</t>
  </si>
  <si>
    <t>EXECUÇÃO DE PAVIMENTO DE CONCRETO SIMPLES (PCS), FCK = 40 MPA, CAMADA COM ESPESSURA DE 27,5 CM. AF_11/2017</t>
  </si>
  <si>
    <t>168,37</t>
  </si>
  <si>
    <t>97110</t>
  </si>
  <si>
    <t>EXECUÇÃO DE PAVIMENTO DE CONCRETO ARMADO (PCA), FCK = 40 MPA, CAMADA COM ESPESSURA DE 12,5 CM. AF_11/2017</t>
  </si>
  <si>
    <t>188,74</t>
  </si>
  <si>
    <t>97111</t>
  </si>
  <si>
    <t>EXECUÇÃO DE PAVIMENTO DE CONCRETO ARMADO (PCA), FCK = 40 MPA, CAMADA COM ESPESSURA DE 15,0 CM. AF_11/2017</t>
  </si>
  <si>
    <t>214,83</t>
  </si>
  <si>
    <t>97112</t>
  </si>
  <si>
    <t>EXECUÇÃO DE PAVIMENTO DE CONCRETO ARMADO (PCA), FCK = 40 MPA, CAMADA COM ESPESSURA DE 17,5 CM. AF_11/2017</t>
  </si>
  <si>
    <t>223,46</t>
  </si>
  <si>
    <t>97113</t>
  </si>
  <si>
    <t>APLICAÇÃO DE LONA PLÁSTICA PARA EXECUÇÃO DE PAVIMENTOS DE CONCRETO. AF_11/2017</t>
  </si>
  <si>
    <t>97114</t>
  </si>
  <si>
    <t>EXECUÇÃO DE JUNTAS DE CONTRAÇÃO PARA PAVIMENTOS DE CONCRETO. AF_11/2017</t>
  </si>
  <si>
    <t>97115</t>
  </si>
  <si>
    <t>APLICAÇÃO DE GRAXA EM BARRAS DE TRANSFERÊNCIA PARA EXECUÇÃO DE PAVIMENTO DE CONCRETO. AF_11/2017</t>
  </si>
  <si>
    <t>50,06</t>
  </si>
  <si>
    <t>97116</t>
  </si>
  <si>
    <t>BARRAS DE TRANSFERÊNCIA, AÇO CA-25 DE 16,0 MM, PARA EXECUÇÃO DE PAVIMENTO DE CONCRETO  FORNECIMENTO E INSTALAÇÃO. AF_11/2017</t>
  </si>
  <si>
    <t>23,32</t>
  </si>
  <si>
    <t>97117</t>
  </si>
  <si>
    <t>BARRAS DE TRANSFERÊNCIA, AÇO CA-25 DE 20,0 MM, PARA EXECUÇÃO DE PAVIMENTO DE CONCRETO  FORNECIMENTO E INSTALAÇÃO. AF_11/2017</t>
  </si>
  <si>
    <t>97118</t>
  </si>
  <si>
    <t>BARRAS DE TRANSFERÊNCIA, AÇO CA-25 DE 25,0 MM, PARA EXECUÇÃO DE PAVIMENTO DE CONCRETO  FORNECIMENTO E INSTALAÇÃO. AF_11/2017</t>
  </si>
  <si>
    <t>20,13</t>
  </si>
  <si>
    <t>97119</t>
  </si>
  <si>
    <t>BARRAS DE TRANSFERÊNCIA, AÇO CA-25 DE 32,0 MM, PARA EXECUÇÃO DE PAVIMENTO DE CONCRETO  FORNECIMENTO E INSTALAÇÃO. AF_11/2017</t>
  </si>
  <si>
    <t>97120</t>
  </si>
  <si>
    <t>BARRAS DE LIGAÇÃO, AÇO CA-50 DE 10 MM, PARA EXECUÇÃO DE PAVIMENTO DE CONCRETO  FORNECIMENTO E INSTALAÇÃO. AF_11/2017</t>
  </si>
  <si>
    <t>14,14</t>
  </si>
  <si>
    <t>97802</t>
  </si>
  <si>
    <t>PAVIMENTO COM TRATAMENTO SUPERFICIAL SIMPLES, COM EMULSÃO ASFÁLTICA RR-2C. AF_01/2020</t>
  </si>
  <si>
    <t>97803</t>
  </si>
  <si>
    <t>PAVIMENTO COM TRATAMENTO SUPERFICIAL SIMPLES, COM EMULSÃO ASFÁLTICA RR-2C, COM BANHO DILUÍDO. AF_01/2020</t>
  </si>
  <si>
    <t>9,69</t>
  </si>
  <si>
    <t>97805</t>
  </si>
  <si>
    <t>PAVIMENTO COM TRATAMENTO SUPERFICIAL DUPLO, COM EMULSÃO ASFÁLTICA RR-2C. AF_01/2020</t>
  </si>
  <si>
    <t>97806</t>
  </si>
  <si>
    <t>PAVIMENTO COM TRATAMENTO SUPERFICIAL DUPLO, COM EMULSÃO ASFÁLTICA RR-2C, COM BANHO DILUÍDO. AF_01/2020</t>
  </si>
  <si>
    <t>97807</t>
  </si>
  <si>
    <t>PAVIMENTO COM TRATAMENTO SUPERFICIAL DUPLO, COM EMULSÃO ASFÁLTICA RR-2C, COM CAPA SELANTE. AF_01/2020</t>
  </si>
  <si>
    <t>97809</t>
  </si>
  <si>
    <t>PAVIMENTO COM TRATAMENTO SUPERFICIAL TRIPLO, COM EMULSÃO ASFÁLTICA RR-2C. AF_01/2020</t>
  </si>
  <si>
    <t>97810</t>
  </si>
  <si>
    <t>PAVIMENTO COM TRATAMENTO SUPERFICIAL TRIPLO, COM EMULSÃO ASFÁLTICA RR-2C, COM BANHO DILUÍDO. AF_01/2020</t>
  </si>
  <si>
    <t>19,51</t>
  </si>
  <si>
    <t>97811</t>
  </si>
  <si>
    <t>PAVIMENTO COM TRATAMENTO SUPERFICIAL TRIPLO, COM EMULSÃO ASFÁLTICA RR-2C, COM CAPA SELANTE. AF_01/2020</t>
  </si>
  <si>
    <t>101167</t>
  </si>
  <si>
    <t>EXECUÇÃO DE PAVIMENTO EM PARALELEPÍPEDOS, REJUNTAMENTO COM PÓ DE PEDRA. AF_05/2020</t>
  </si>
  <si>
    <t>127,90</t>
  </si>
  <si>
    <t>101168</t>
  </si>
  <si>
    <t>EXECUÇÃO DE PAVIMENTO EM PARALELEPÍPEDOS, REJUNTAMENTO COM PEDRISCO E EMULSÃO ASFÁLTICA. AF_05/2020_P</t>
  </si>
  <si>
    <t>169,59</t>
  </si>
  <si>
    <t>101169</t>
  </si>
  <si>
    <t>EXECUÇÃO DE PAVIMENTO EM PARALELEPÍPEDOS, REJUNTAMENTO COM ARGAMASSA TRAÇO 1:3 (CIMENTO E AREIA). AF_05/2020</t>
  </si>
  <si>
    <t>138,79</t>
  </si>
  <si>
    <t>101170</t>
  </si>
  <si>
    <t>EXECUÇÃO DE PAVIMENTO EM PEDRAS POLIÉDRICAS, REJUNTAMENTO COM PÓ DE PEDRA. AF_05/2020</t>
  </si>
  <si>
    <t>32,96</t>
  </si>
  <si>
    <t>101171</t>
  </si>
  <si>
    <t>EXECUÇÃO DE PAVIMENTO EM PEDRAS POLIÉDRICAS, REJUNTAMENTO COM PEDRISCO E EMULSÃO ASFÁLTICA. AF_05/2020_P</t>
  </si>
  <si>
    <t>86,85</t>
  </si>
  <si>
    <t>101172</t>
  </si>
  <si>
    <t>EXECUÇÃO DE PAVIMENTO EM PEDRAS POLIÉDRICAS, REJUNTAMENTO COM ARGAMASSA TRAÇO 1:3 (CIMENTO E AREIA). AF_05/2020</t>
  </si>
  <si>
    <t>95995</t>
  </si>
  <si>
    <t>EXECUÇÃO DE PAVIMENTO COM APLICAÇÃO DE CONCRETO ASFÁLTICO, CAMADA DE ROLAMENTO - EXCLUSIVE CARGA E TRANSPORTE. AF_11/2019</t>
  </si>
  <si>
    <t>1.558,96</t>
  </si>
  <si>
    <t>95996</t>
  </si>
  <si>
    <t>EXECUÇÃO DE PAVIMENTO COM APLICAÇÃO DE CONCRETO ASFÁLTICO, CAMADA DE BINDER - EXCLUSIVE CARGA E TRANSPORTE. AF_11/2019</t>
  </si>
  <si>
    <t>1.482,41</t>
  </si>
  <si>
    <t>96001</t>
  </si>
  <si>
    <t>FRESAGEM DE PAVIMENTO ASFÁLTICO (PROFUNDIDADE ATÉ 5,0 CM) - EXCLUSIVE TRANSPORTE. AF_11/2019</t>
  </si>
  <si>
    <t>96393</t>
  </si>
  <si>
    <t>USINAGEM DE BRITA GRADUADA SIMPLES. AF_03/2020</t>
  </si>
  <si>
    <t>129,23</t>
  </si>
  <si>
    <t>96394</t>
  </si>
  <si>
    <t>USINAGEM DE BRITA GRADUADA TRATADA COM CIMENTO. AF_03/2020</t>
  </si>
  <si>
    <t>176,73</t>
  </si>
  <si>
    <t>96395</t>
  </si>
  <si>
    <t>USINAGEM DE CONCRETO PARA COMPACTAÇÃO COM ROLO. AF_03/2020</t>
  </si>
  <si>
    <t>243,24</t>
  </si>
  <si>
    <t>100624</t>
  </si>
  <si>
    <t>EXECUÇÃO DE PAVIMENTO COM APLICAÇÃO DE PRÉ-MISTURADO A FRIO, CAMADA DE ROLAMENTO - EXCLUSIVE CARGA E TRANSPORTE. AF_11/2019</t>
  </si>
  <si>
    <t>948,96</t>
  </si>
  <si>
    <t>100625</t>
  </si>
  <si>
    <t>EXECUÇÃO DE PAVIMENTO COM APLICAÇÃO DE PRÉ-MISTURADO A FRIO, CAMADA DE BINDER - EXCLUSIVE CARGA E TRANSPORTE. AF_11/2019</t>
  </si>
  <si>
    <t>903,91</t>
  </si>
  <si>
    <t>101020</t>
  </si>
  <si>
    <t>USINAGEM DE CONCRETO ASFÁLTICO COM CAP 50/70, PARA CAMADA DE BINDER, PADRÃO DNIT FAIXA B, EM USINA DE ASFALTO CONTÍNUA DE 80 TON/H. AF_03/2020</t>
  </si>
  <si>
    <t>401,70</t>
  </si>
  <si>
    <t>101021</t>
  </si>
  <si>
    <t>USINAGEM DE CONCRETO ASFÁLTICO COM CAP 50/70, PARA CAMADA DE ROLAMENTO, PADRÃO DNIT FAIXA C, EM USINA DE ASFALTO CONTÍNUA DE 80 TON/H. AF_03/2020</t>
  </si>
  <si>
    <t>430,98</t>
  </si>
  <si>
    <t>101022</t>
  </si>
  <si>
    <t>USINAGEM DE CONCRETO ASFÁLTICO COM CAP 50/70, PARA CAMADA DE BINDER, PADRÃO DNIT FAIXA B, EM USINA DE ASFALTO CONTÍNUA DE 140 TON/H. AF_03/2020_P</t>
  </si>
  <si>
    <t>350,13</t>
  </si>
  <si>
    <t>101023</t>
  </si>
  <si>
    <t>USINAGEM DE CONCRETO ASFÁLTICO COM CAP 50/70, PARA CAMADA DE ROLAMENTO, PADRÃO DNIT FAIXA C, EM USINA DE ASFALTO CONTÍNUA DE 140 TON/H. AF_03/2020_P</t>
  </si>
  <si>
    <t>379,42</t>
  </si>
  <si>
    <t>101024</t>
  </si>
  <si>
    <t>USINAGEM DE CONCRETO ASFÁLTICO COM CAP 50/70, PARA CAMADA DE BINDER, PADRÃO DNIT FAIXA B, EM USINA DE ASFALTO GRAVIMÉTRICA DE 150 TON/H. AF_03/2020_P</t>
  </si>
  <si>
    <t>356,31</t>
  </si>
  <si>
    <t>101025</t>
  </si>
  <si>
    <t>USINAGEM DE CONCRETO ASFÁLTICO COM CAP 50/70 PARA CAMADA DE ROLAMENTO, PADRÃO DNIT FAIXA C, EM USINA DE ASFALTO GRAVIMÉTRICA DE 150 TON/H. AF_03/2020_P</t>
  </si>
  <si>
    <t>385,59</t>
  </si>
  <si>
    <t>101026</t>
  </si>
  <si>
    <t>USINAGEM DE PRÉ MISTURADO A FRIO, PARA CAMADA DE BINDER, PADRÃO DNIT FAIXA B. AF_03/2020_P</t>
  </si>
  <si>
    <t>348,22</t>
  </si>
  <si>
    <t>101027</t>
  </si>
  <si>
    <t>USINAGEM DE PRÉ MISTURADO A FRIO, PARA CAMADA DE ROLAMENTO, PADRÃO DNIT FAIXA C. AF_03/2020_P</t>
  </si>
  <si>
    <t>358,80</t>
  </si>
  <si>
    <t>88411</t>
  </si>
  <si>
    <t>APLICAÇÃO MANUAL DE FUNDO SELADOR ACRÍLICO EM PANOS COM PRESENÇA DE VÃOS DE EDIFÍCIOS DE MÚLTIPLOS PAVIMENTOS. AF_06/2014</t>
  </si>
  <si>
    <t>3,05</t>
  </si>
  <si>
    <t>88412</t>
  </si>
  <si>
    <t>APLICAÇÃO MANUAL DE FUNDO SELADOR ACRÍLICO EM PANOS CEGOS DE FACHADA (SEM PRESENÇA DE VÃOS) DE EDIFÍCIOS DE MÚLTIPLOS PAVIMENTOS. AF_06/2014</t>
  </si>
  <si>
    <t>2,36</t>
  </si>
  <si>
    <t>88413</t>
  </si>
  <si>
    <t>APLICAÇÃO MANUAL DE FUNDO SELADOR ACRÍLICO EM SUPERFÍCIES EXTERNAS DE SACADA DE EDIFÍCIOS DE MÚLTIPLOS PAVIMENTOS. AF_06/2014</t>
  </si>
  <si>
    <t>4,43</t>
  </si>
  <si>
    <t>88414</t>
  </si>
  <si>
    <t>APLICAÇÃO MANUAL DE FUNDO SELADOR ACRÍLICO EM SUPERFÍCIES INTERNAS DA SACADA DE EDIFÍCIOS DE MÚLTIPLOS PAVIMENTOS. AF_06/2014</t>
  </si>
  <si>
    <t>4,87</t>
  </si>
  <si>
    <t>88415</t>
  </si>
  <si>
    <t>APLICAÇÃO MANUAL DE FUNDO SELADOR ACRÍLICO EM PAREDES EXTERNAS DE CASAS. AF_06/2014</t>
  </si>
  <si>
    <t>3,27</t>
  </si>
  <si>
    <t>88416</t>
  </si>
  <si>
    <t>APLICAÇÃO MANUAL DE PINTURA COM TINTA TEXTURIZADA ACRÍLICA EM PANOS COM PRESENÇA DE VÃOS DE EDIFÍCIOS DE MÚLTIPLOS PAVIMENTOS, UMA COR. AF_06/2014</t>
  </si>
  <si>
    <t>15,00</t>
  </si>
  <si>
    <t>88417</t>
  </si>
  <si>
    <t>APLICAÇÃO MANUAL DE PINTURA COM TINTA TEXTURIZADA ACRÍLICA EM PANOS CEGOS DE FACHADA (SEM PRESENÇA DE VÃOS) DE EDIFÍCIOS DE MÚLTIPLOS PAVIMENTOS, UMA COR. AF_06/2014</t>
  </si>
  <si>
    <t>88420</t>
  </si>
  <si>
    <t>APLICAÇÃO MANUAL DE PINTURA COM TINTA TEXTURIZADA ACRÍLICA EM SUPERFÍCIES EXTERNAS DE SACADA DE EDIFÍCIOS DE MÚLTIPLOS PAVIMENTOS, UMA COR. AF_06/2014</t>
  </si>
  <si>
    <t>19,96</t>
  </si>
  <si>
    <t>88421</t>
  </si>
  <si>
    <t>APLICAÇÃO MANUAL DE PINTURA COM TINTA TEXTURIZADA ACRÍLICA EM SUPERFÍCIES INTERNAS DA SACADA DE EDIFÍCIOS DE MÚLTIPLOS PAVIMENTOS, UMA COR. AF_06/2014</t>
  </si>
  <si>
    <t>88423</t>
  </si>
  <si>
    <t>APLICAÇÃO MANUAL DE PINTURA COM TINTA TEXTURIZADA ACRÍLICA EM PAREDES EXTERNAS DE CASAS, UMA COR. AF_06/2014</t>
  </si>
  <si>
    <t>15,77</t>
  </si>
  <si>
    <t>88424</t>
  </si>
  <si>
    <t>APLICAÇÃO MANUAL DE PINTURA COM TINTA TEXTURIZADA ACRÍLICA EM PANOS COM PRESENÇA DE VÃOS DE EDIFÍCIOS DE MÚLTIPLOS PAVIMENTOS, DUAS CORES. AF_06/2014</t>
  </si>
  <si>
    <t>88426</t>
  </si>
  <si>
    <t>APLICAÇÃO MANUAL DE PINTURA COM TINTA TEXTURIZADA ACRÍLICA EM PANOS CEGOS DE FACHADA (SEM PRESENÇA DE VÃOS) DE EDIFÍCIOS DE MÚLTIPLOS PAVIMENTOS, DUAS CORES. AF_06/2014</t>
  </si>
  <si>
    <t>88428</t>
  </si>
  <si>
    <t>APLICAÇÃO MANUAL DE PINTURA COM TINTA TEXTURIZADA ACRÍLICA EM SUPERFÍCIES EXTERNAS DE SACADA DE EDIFÍCIOS DE MÚLTIPLOS PAVIMENTOS, DUAS CORES. AF_06/2014</t>
  </si>
  <si>
    <t>26,88</t>
  </si>
  <si>
    <t>88429</t>
  </si>
  <si>
    <t>APLICAÇÃO MANUAL DE PINTURA COM TINTA TEXTURIZADA ACRÍLICA EM SUPERFÍCIES INTERNAS DA SACADA DE EDIFÍCIOS DE MÚLTIPLOS PAVIMENTOS, DUAS CORES. AF_06/2014</t>
  </si>
  <si>
    <t>29,61</t>
  </si>
  <si>
    <t>88431</t>
  </si>
  <si>
    <t>APLICAÇÃO MANUAL DE PINTURA COM TINTA TEXTURIZADA ACRÍLICA EM PAREDES EXTERNAS DE CASAS, DUAS CORES. AF_06/2014</t>
  </si>
  <si>
    <t>19,71</t>
  </si>
  <si>
    <t>88432</t>
  </si>
  <si>
    <t>APLICAÇÃO MANUAL DE PINTURA COM TINTA TEXTURIZADA ACRÍLICA EM MOLDURAS DE EPS, PRÉ-FABRICADOS, OU OUTROS. AF_06/2014</t>
  </si>
  <si>
    <t>15,72</t>
  </si>
  <si>
    <t>88484</t>
  </si>
  <si>
    <t>APLICAÇÃO DE FUNDO SELADOR ACRÍLICO EM TETO, UMA DEMÃO. AF_06/2014</t>
  </si>
  <si>
    <t>3,28</t>
  </si>
  <si>
    <t>88485</t>
  </si>
  <si>
    <t>APLICAÇÃO DE FUNDO SELADOR ACRÍLICO EM PAREDES, UMA DEMÃO. AF_06/2014</t>
  </si>
  <si>
    <t>2,87</t>
  </si>
  <si>
    <t>88488</t>
  </si>
  <si>
    <t>APLICAÇÃO MANUAL DE PINTURA COM TINTA LÁTEX ACRÍLICA EM TETO, DUAS DEMÃOS. AF_06/2014</t>
  </si>
  <si>
    <t>15,44</t>
  </si>
  <si>
    <t>88489</t>
  </si>
  <si>
    <t>APLICAÇÃO MANUAL DE PINTURA COM TINTA LÁTEX ACRÍLICA EM PAREDES, DUAS DEMÃOS. AF_06/2014</t>
  </si>
  <si>
    <t>88494</t>
  </si>
  <si>
    <t>APLICAÇÃO E LIXAMENTO DE MASSA LÁTEX EM TETO, UMA DEMÃO. AF_06/2014</t>
  </si>
  <si>
    <t>88495</t>
  </si>
  <si>
    <t>APLICAÇÃO E LIXAMENTO DE MASSA LÁTEX EM PAREDES, UMA DEMÃO. AF_06/2014</t>
  </si>
  <si>
    <t>88496</t>
  </si>
  <si>
    <t>APLICAÇÃO E LIXAMENTO DE MASSA LÁTEX EM TETO, DUAS DEMÃOS. AF_06/2014</t>
  </si>
  <si>
    <t>88497</t>
  </si>
  <si>
    <t>APLICAÇÃO E LIXAMENTO DE MASSA LÁTEX EM PAREDES, DUAS DEMÃOS. AF_06/2014</t>
  </si>
  <si>
    <t>95305</t>
  </si>
  <si>
    <t>TEXTURA ACRÍLICA, APLICAÇÃO MANUAL EM PAREDE, UMA DEMÃO. AF_09/2016</t>
  </si>
  <si>
    <t>12,28</t>
  </si>
  <si>
    <t>95306</t>
  </si>
  <si>
    <t>TEXTURA ACRÍLICA, APLICAÇÃO MANUAL EM TETO, UMA DEMÃO. AF_09/2016</t>
  </si>
  <si>
    <t>95622</t>
  </si>
  <si>
    <t>APLICAÇÃO MANUAL DE TINTA LÁTEX ACRÍLICA EM PANOS COM PRESENÇA DE VÃOS DE EDIFÍCIOS DE MÚLTIPLOS PAVIMENTOS, DUAS DEMÃOS. AF_11/2016</t>
  </si>
  <si>
    <t>14,03</t>
  </si>
  <si>
    <t>95623</t>
  </si>
  <si>
    <t>APLICAÇÃO MANUAL DE TINTA LÁTEX ACRÍLICA EM PANOS SEM PRESENÇA DE VÃOS DE EDIFÍCIOS DE MÚLTIPLOS PAVIMENTOS, DUAS DEMÃOS. AF_11/2016</t>
  </si>
  <si>
    <t>10,68</t>
  </si>
  <si>
    <t>95624</t>
  </si>
  <si>
    <t>APLICAÇÃO MANUAL DE TINTA LÁTEX ACRÍLICA EM SUPERFÍCIES EXTERNAS DE SACADA DE EDIFÍCIOS DE MÚLTIPLOS PAVIMENTOS, DUAS DEMÃOS. AF_11/2016</t>
  </si>
  <si>
    <t>20,84</t>
  </si>
  <si>
    <t>95625</t>
  </si>
  <si>
    <t>APLICAÇÃO MANUAL DE TINTA LÁTEX ACRÍLICA EM SUPERFÍCIES INTERNAS DE SACADA DE EDIFÍCIOS DE MÚLTIPLOS PAVIMENTOS, DUAS DEMÃOS. AF_11/2016</t>
  </si>
  <si>
    <t>22,98</t>
  </si>
  <si>
    <t>95626</t>
  </si>
  <si>
    <t>APLICAÇÃO MANUAL DE TINTA LÁTEX ACRÍLICA EM PAREDE EXTERNAS DE CASAS, DUAS DEMÃOS. AF_11/2016</t>
  </si>
  <si>
    <t>15,11</t>
  </si>
  <si>
    <t>96126</t>
  </si>
  <si>
    <t>APLICAÇÃO MANUAL DE MASSA ACRÍLICA EM PANOS DE FACHADA COM PRESENÇA DE VÃOS, DE EDIFÍCIOS DE MÚLTIPLOS PAVIMENTOS, UMA DEMÃO. AF_05/2017</t>
  </si>
  <si>
    <t>96127</t>
  </si>
  <si>
    <t>APLICAÇÃO MANUAL DE MASSA ACRÍLICA EM PANOS DE FACHADA SEM PRESENÇA DE VÃOS, DE EDIFÍCIOS DE MÚLTIPLOS PAVIMENTOS, UMA DEMÃO. AF_05/2017</t>
  </si>
  <si>
    <t>96128</t>
  </si>
  <si>
    <t>APLICAÇÃO MANUAL DE MASSA ACRÍLICA EM SUPERFÍCIES EXTERNAS DE SACADA DE EDIFÍCIOS DE MÚLTIPLOS PAVIMENTOS, UMA DEMÃO. AF_05/2017</t>
  </si>
  <si>
    <t>27,67</t>
  </si>
  <si>
    <t>96129</t>
  </si>
  <si>
    <t>APLICAÇÃO MANUAL DE MASSA ACRÍLICA EM SUPERFÍCIES INTERNAS DE SACADA DE EDIFÍCIOS DE MÚLTIPLOS PAVIMENTOS, UMA DEMÃO. AF_05/2017</t>
  </si>
  <si>
    <t>30,36</t>
  </si>
  <si>
    <t>96130</t>
  </si>
  <si>
    <t>APLICAÇÃO MANUAL DE MASSA ACRÍLICA EM PAREDES EXTERNAS DE CASAS, UMA DEMÃO. AF_05/2017</t>
  </si>
  <si>
    <t>20,51</t>
  </si>
  <si>
    <t>96131</t>
  </si>
  <si>
    <t>APLICAÇÃO MANUAL DE MASSA ACRÍLICA EM PANOS DE FACHADA COM PRESENÇA DE VÃOS, DE EDIFÍCIOS DE MÚLTIPLOS PAVIMENTOS, DUAS DEMÃOS. AF_05/2017</t>
  </si>
  <si>
    <t>96132</t>
  </si>
  <si>
    <t>APLICAÇÃO MANUAL DE MASSA ACRÍLICA EM PANOS DE FACHADA SEM PRESENÇA DE VÃOS, DE EDIFÍCIOS DE MÚLTIPLOS PAVIMENTOS, DUAS DEMÃOS. AF_05/2017</t>
  </si>
  <si>
    <t>21,15</t>
  </si>
  <si>
    <t>96133</t>
  </si>
  <si>
    <t>APLICAÇÃO MANUAL DE MASSA ACRÍLICA EM SUPERFÍCIES EXTERNAS DE SACADA DE EDIFÍCIOS DE MÚLTIPLOS PAVIMENTOS, DUAS DEMÃOS. AF_05/2017</t>
  </si>
  <si>
    <t>37,97</t>
  </si>
  <si>
    <t>96134</t>
  </si>
  <si>
    <t>APLICAÇÃO MANUAL DE MASSA ACRÍLICA EM SUPERFÍCIES INTERNAS DE SACADA DE EDIFÍCIOS DE MÚLTIPLOS PAVIMENTOS, DUAS DEMÃOS. AF_05/2017</t>
  </si>
  <si>
    <t>41,57</t>
  </si>
  <si>
    <t>96135</t>
  </si>
  <si>
    <t>APLICAÇÃO MANUAL DE MASSA ACRÍLICA EM PAREDES EXTERNAS DE CASAS, DUAS DEMÃOS. AF_05/2017</t>
  </si>
  <si>
    <t>28,49</t>
  </si>
  <si>
    <t>102193</t>
  </si>
  <si>
    <t>LIXAMENTO DE MADEIRA PARA APLICAÇÃO DE FUNDO OU PINTURA. AF_01/2021</t>
  </si>
  <si>
    <t>2,01</t>
  </si>
  <si>
    <t>102194</t>
  </si>
  <si>
    <t>LIXAMENTO DE MASSA PARA MADEIRA. AF_01/2021</t>
  </si>
  <si>
    <t>102197</t>
  </si>
  <si>
    <t>PINTURA FUNDO NIVELADOR ALQUÍDICO BRANCO EM MADEIRA. AF_01/2021</t>
  </si>
  <si>
    <t>23,33</t>
  </si>
  <si>
    <t>102200</t>
  </si>
  <si>
    <t>APLICAÇÃO MASSA ALQUÍDICA PARA MADEIRA, PARA PINTURA COM TINTA DE ACABAMENTO (PIGMENTADA). AF_01/2021</t>
  </si>
  <si>
    <t>19,14</t>
  </si>
  <si>
    <t>102202</t>
  </si>
  <si>
    <t>APLICAÇÃO MASSA EPÓXI PARA MADEIRA, PARA PINTURA COM TINTA PU DE ACABAMENTO (PIGMENTADA). AF_01/2021</t>
  </si>
  <si>
    <t>58,89</t>
  </si>
  <si>
    <t>102203</t>
  </si>
  <si>
    <t>PINTURA VERNIZ (INCOLOR) ALQUÍDICO EM MADEIRA, USO INTERNO E EXTERNO, 1 DEMÃO. AF_01/2021</t>
  </si>
  <si>
    <t>8,98</t>
  </si>
  <si>
    <t>102204</t>
  </si>
  <si>
    <t>PINTURA VERNIZ (INCOLOR) ALQUÍDICO EM MADEIRA, USO INTERNO, 1 DEMÃO. AF_01/2021</t>
  </si>
  <si>
    <t>9,24</t>
  </si>
  <si>
    <t>102205</t>
  </si>
  <si>
    <t>PINTURA VERNIZ (INCOLOR) POLIURETÂNICO (RESINA ALQUÍDICA MODIFICADA) EM MADEIRA, 1 DEMÃO. AF_01/2021</t>
  </si>
  <si>
    <t>8,43</t>
  </si>
  <si>
    <t>102207</t>
  </si>
  <si>
    <t>PINTURA TINTA DE ACABAMENTO (PIGMENTADA) A ÓLEO EM MADEIRA, 1 DEMÃO. AF_01/2021</t>
  </si>
  <si>
    <t>102208</t>
  </si>
  <si>
    <t>PINTURA TINTA DE ACABAMENTO (PIGMENTADA) ESMALTE SINTÉTICO FOSCO EM MADEIRA, 1 DEMÃO. AF_01/2021</t>
  </si>
  <si>
    <t>102209</t>
  </si>
  <si>
    <t>PINTURA TINTA DE ACABAMENTO (PIGMENTADA) ESMALTE SINTÉTICO ACETINADO EM MADEIRA, 1 DEMÃO. AF_01/2021</t>
  </si>
  <si>
    <t>102210</t>
  </si>
  <si>
    <t>PINTURA TINTA DE ACABAMENTO (PIGMENTADA) ESMALTE SINTÉTICO BRILHANTE EM MADEIRA, 1 DEMÃO. AF_01/2021</t>
  </si>
  <si>
    <t>7,21</t>
  </si>
  <si>
    <t>102213</t>
  </si>
  <si>
    <t>PINTURA VERNIZ (INCOLOR) ALQUÍDICO EM MADEIRA, USO INTERNO E EXTERNO, 2 DEMÃOS. AF_01/2021</t>
  </si>
  <si>
    <t>102214</t>
  </si>
  <si>
    <t>PINTURA VERNIZ (INCOLOR) ALQUÍDICO EM MADEIRA, USO INTERNO, 2 DEMÃOS. AF_01/2021</t>
  </si>
  <si>
    <t>102215</t>
  </si>
  <si>
    <t>PINTURA VERNIZ (INCOLOR) POLIURETÂNICO (RESINA ALQUÍDICA MODIFICADA) EM MADEIRA, 2 DEMÃOS. AF_01/2021</t>
  </si>
  <si>
    <t>16,88</t>
  </si>
  <si>
    <t>102217</t>
  </si>
  <si>
    <t>PINTURA TINTA DE ACABAMENTO (PIGMENTADA) A ÓLEO EM MADEIRA, 2 DEMÃOS. AF_01/2021</t>
  </si>
  <si>
    <t>15,36</t>
  </si>
  <si>
    <t>102218</t>
  </si>
  <si>
    <t>PINTURA TINTA DE ACABAMENTO (PIGMENTADA) ESMALTE SINTÉTICO FOSCO EM MADEIRA, 2 DEMÃOS. AF_01/2021</t>
  </si>
  <si>
    <t>102219</t>
  </si>
  <si>
    <t>PINTURA TINTA DE ACABAMENTO (PIGMENTADA) ESMALTE SINTÉTICO ACETINADO EM MADEIRA, 2 DEMÃOS. AF_01/2021</t>
  </si>
  <si>
    <t>102220</t>
  </si>
  <si>
    <t>PINTURA TINTA DE ACABAMENTO (PIGMENTADA) ESMALTE SINTÉTICO BRILHANTE EM MADEIRA, 2 DEMÃOS. AF_01/2021</t>
  </si>
  <si>
    <t>102223</t>
  </si>
  <si>
    <t>PINTURA VERNIZ (INCOLOR) ALQUÍDICO EM MADEIRA, USO INTERNO E EXTERNO, 3 DEMÃOS. AF_01/2021</t>
  </si>
  <si>
    <t>102224</t>
  </si>
  <si>
    <t>PINTURA VERNIZ (INCOLOR) ALQUÍDICO EM MADEIRA, USO INTERNO, 3 DEMÃOS. AF_01/2021</t>
  </si>
  <si>
    <t>27,71</t>
  </si>
  <si>
    <t>102225</t>
  </si>
  <si>
    <t>PINTURA VERNIZ (INCOLOR) POLIURETÂNICO (RESINA ALQUÍDICA MODIFICADA) EM MADEIRA, 3 DEMÃOS. AF_01/2021</t>
  </si>
  <si>
    <t>25,31</t>
  </si>
  <si>
    <t>102227</t>
  </si>
  <si>
    <t>PINTURA TINTA DE ACABAMENTO (PIGMENTADA) A ÓLEO EM MADEIRA, 3 DEMÃOS. AF_01/2021</t>
  </si>
  <si>
    <t>23,06</t>
  </si>
  <si>
    <t>102228</t>
  </si>
  <si>
    <t>PINTURA TINTA DE ACABAMENTO (PIGMENTADA) ESMALTE SINTÉTICO FOSCO EM MADEIRA, 3 DEMÃOS. AF_01/2021</t>
  </si>
  <si>
    <t>22,04</t>
  </si>
  <si>
    <t>102229</t>
  </si>
  <si>
    <t>PINTURA TINTA DE ACABAMENTO (PIGMENTADA) ESMALTE SINTÉTICO ACETINADO EM MADEIRA, 3 DEMÃOS. AF_01/2021</t>
  </si>
  <si>
    <t>102230</t>
  </si>
  <si>
    <t>PINTURA TINTA DE ACABAMENTO (PIGMENTADA) ESMALTE SINTÉTICO BRILHANTE EM MADEIRA, 3 DEMÃOS. AF_01/2021</t>
  </si>
  <si>
    <t>21,69</t>
  </si>
  <si>
    <t>102233</t>
  </si>
  <si>
    <t>PINTURA IMUNIZANTE PARA MADEIRA, 1 DEMÃO. AF_01/2021</t>
  </si>
  <si>
    <t>9,72</t>
  </si>
  <si>
    <t>102234</t>
  </si>
  <si>
    <t>PINTURA IMUNIZANTE PARA MADEIRA, 2 DEMÃOS. AF_01/2021</t>
  </si>
  <si>
    <t>100716</t>
  </si>
  <si>
    <t>JATEAMENTO ABRASIVO COM GRANALHA DE AÇO EM PERFIL METÁLICO EM FÁBRICA. AF_01/2020</t>
  </si>
  <si>
    <t>25,38</t>
  </si>
  <si>
    <t>100717</t>
  </si>
  <si>
    <t>LIXAMENTO MANUAL EM SUPERFÍCIES METÁLICAS EM OBRA. AF_01/2020</t>
  </si>
  <si>
    <t>9,20</t>
  </si>
  <si>
    <t>100718</t>
  </si>
  <si>
    <t>COLOCAÇÃO DE FITA PROTETORA PARA PINTURA. AF_01/2020</t>
  </si>
  <si>
    <t>1,24</t>
  </si>
  <si>
    <t>100719</t>
  </si>
  <si>
    <t>PINTURA COM TINTA ALQUÍDICA DE FUNDO (TIPO ZARCÃO) PULVERIZADA SOBRE PERFIL METÁLICO EXECUTADO EM FÁBRICA (POR DEMÃO). AF_01/2020_P</t>
  </si>
  <si>
    <t>100720</t>
  </si>
  <si>
    <t>PINTURA COM TINTA ALQUÍDICA DE FUNDO (TIPO ZARCÃO) APLICADA A ROLO OU PINCEL SOBRE PERFIL METÁLICO EXECUTADO EM FÁBRICA (POR DEMÃO). AF_01/2020</t>
  </si>
  <si>
    <t>100721</t>
  </si>
  <si>
    <t>PINTURA COM TINTA ALQUÍDICA DE FUNDO (TIPO ZARCÃO) PULVERIZADA SOBRE SUPERFÍCIES METÁLICAS (EXCETO PERFIL) EXECUTADO EM OBRA (POR DEMÃO). AF_01/2020_P</t>
  </si>
  <si>
    <t>100722</t>
  </si>
  <si>
    <t>PINTURA COM TINTA ALQUÍDICA DE FUNDO (TIPO ZARCÃO) APLICADA A ROLO OU PINCEL SOBRE SUPERFÍCIES METÁLICAS (EXCETO PERFIL) EXECUTADO EM OBRA (POR DEMÃO). AF_01/2020</t>
  </si>
  <si>
    <t>22,06</t>
  </si>
  <si>
    <t>100723</t>
  </si>
  <si>
    <t>PINTURA COM TINTA ALQUÍDICA DE FUNDO E ACABAMENTO (ESMALTE SINTÉTICO GRAFITE) PULVERIZADA SOBRE PERFIL METÁLICO EXECUTADO EM FÁBRICA (POR DEMÃO). AF_01/2020_P</t>
  </si>
  <si>
    <t>10,20</t>
  </si>
  <si>
    <t>100724</t>
  </si>
  <si>
    <t>PINTURA COM TINTA ALQUÍDICA DE FUNDO E ACABAMENTO (ESMALTE SINTÉTICO GRAFITE) APLICADA A ROLO OU PINCEL SOBRE PERFIL METÁLICO EXECUTADO EM FÁBRICA (POR DEMÃO). AF_01/2020</t>
  </si>
  <si>
    <t>100725</t>
  </si>
  <si>
    <t>PINTURA COM TINTA ALQUÍDICA DE FUNDO E ACABAMENTO (ESMALTE SINTÉTICO GRAFITE) PULVERIZADA SOBRE SUPERFÍCIES METÁLICAS (EXCETO PERFIL) EXECUTADO EM OBRA (POR DEMÃO). AF_01/2020_P</t>
  </si>
  <si>
    <t>100726</t>
  </si>
  <si>
    <t>PINTURA COM TINTA ALQUÍDICA DE FUNDO E ACABAMENTO (ESMALTE SINTÉTICO GRAFITE) APLICADA A ROLO OU PINCEL SOBRE SUPERFÍCIES METÁLICAS (EXCETO PERFIL) EXECUTADO EM OBRA (POR DEMÃO). AF_01/2020</t>
  </si>
  <si>
    <t>24,79</t>
  </si>
  <si>
    <t>100727</t>
  </si>
  <si>
    <t>PINTURA COM TINTA EPOXÍDICA DE FUNDO PULVERIZADA SOBRE PERFIL METÁLICO EXECUTADO EM FÁBRICA (POR DEMÃO). AF_01/2020_P</t>
  </si>
  <si>
    <t>23,46</t>
  </si>
  <si>
    <t>100728</t>
  </si>
  <si>
    <t>PINTURA COM TINTA EPOXÍDICA DE FUNDO APLICADA A ROLO OU PINCEL SOBRE PERFIL METÁLICO EXECUTADO EM FÁBRICA (POR DEMÃO). AF_01/2020</t>
  </si>
  <si>
    <t>21,50</t>
  </si>
  <si>
    <t>100729</t>
  </si>
  <si>
    <t>PINTURA COM TINTA EPOXÍDICA DE ACABAMENTO PULVERIZADA SOBRE PERFIL METÁLICO EXECUTADO EM FÁBRICA (POR DEMÃO). AF_01/2020_P</t>
  </si>
  <si>
    <t>17,67</t>
  </si>
  <si>
    <t>100730</t>
  </si>
  <si>
    <t>PINTURA COM TINTA EPOXÍDICA DE ACABAMENTO APLICADA A ROLO OU PINCEL SOBRE PERFIL METÁLICO EXECUTADO EM FÁBRICA (POR DEMÃO). AF_01/2020</t>
  </si>
  <si>
    <t>100733</t>
  </si>
  <si>
    <t>PINTURA COM TINTA ACRÍLICA DE FUNDO PULVERIZADA SOBRE SUPERFÍCIES METÁLICAS (EXCETO PERFIL) EXECUTADO EM OBRA (POR DEMÃO). AF_01/2020_P</t>
  </si>
  <si>
    <t>100734</t>
  </si>
  <si>
    <t>PINTURA COM TINTA ACRÍLICA DE FUNDO APLICADA A ROLO OU PINCEL SOBRE SUPERFÍCIES METÁLICAS (EXCETO PERFIL) EXECUTADO EM OBRA (POR DEMÃO). AF_01/2020</t>
  </si>
  <si>
    <t>14,79</t>
  </si>
  <si>
    <t>100735</t>
  </si>
  <si>
    <t>PINTURA COM TINTA ACRÍLICA DE ACABAMENTO PULVERIZADA SOBRE SUPERFÍCIES METÁLICAS (EXCETO PERFIL) EXECUTADO EM OBRA (POR DEMÃO). AF_01/2020_P</t>
  </si>
  <si>
    <t>10,07</t>
  </si>
  <si>
    <t>100736</t>
  </si>
  <si>
    <t>PINTURA COM TINTA ACRÍLICA DE ACABAMENTO APLICADA A ROLO OU PINCEL SOBRE SUPERFÍCIES METÁLICAS (EXCETO PERFIL) EXECUTADO EM OBRA (POR DEMÃO). AF_01/2020</t>
  </si>
  <si>
    <t>100739</t>
  </si>
  <si>
    <t>PINTURA COM TINTA ALQUÍDICA DE ACABAMENTO (ESMALTE SINTÉTICO ACETINADO) PULVERIZADA SOBRE PERFIL METÁLICO EXECUTADO EM FÁBRICA (POR DEMÃO). AF_01/2020_P</t>
  </si>
  <si>
    <t>9,35</t>
  </si>
  <si>
    <t>100740</t>
  </si>
  <si>
    <t>PINTURA COM TINTA ALQUÍDICA DE ACABAMENTO (ESMALTE SINTÉTICO ACETINADO) APLICADA A ROLO OU PINCEL SOBRE PERFIL METÁLICO EXECUTADO EM FÁBRICA (POR DEMÃO). AF_01/2020</t>
  </si>
  <si>
    <t>10,18</t>
  </si>
  <si>
    <t>100741</t>
  </si>
  <si>
    <t>PINTURA COM TINTA ALQUÍDICA DE ACABAMENTO (ESMALTE SINTÉTICO ACETINADO) PULVERIZADA SOBRE SUPERFÍCIES METÁLICAS (EXCETO PERFIL) EXECUTADO EM OBRA (POR DEMÃO). AF_01/2020_P</t>
  </si>
  <si>
    <t>100742</t>
  </si>
  <si>
    <t>PINTURA COM TINTA ALQUÍDICA DE ACABAMENTO (ESMALTE SINTÉTICO ACETINADO) APLICADA A ROLO OU PINCEL SOBRE SUPERFÍCIES METÁLICAS (EXCETO PERFIL) EXECUTADO EM OBRA (POR DEMÃO). AF_01/2020</t>
  </si>
  <si>
    <t>100743</t>
  </si>
  <si>
    <t>PINTURA COM TINTA ALQUÍDICA DE ACABAMENTO (ESMALTE SINTÉTICO BRILHANTE) PULVERIZADA SOBRE PERFIL METÁLICO EXECUTADO EM FÁBRICA  (POR DEMÃO). AF_01/2020_P</t>
  </si>
  <si>
    <t>100744</t>
  </si>
  <si>
    <t>PINTURA COM TINTA ALQUÍDICA DE ACABAMENTO (ESMALTE SINTÉTICO BRILHANTE) APLICADA A ROLO OU PINCEL SOBRE PERFIL METÁLICO EXECUTADO EM FÁBRICA (POR DEMÃO). AF_01/2020</t>
  </si>
  <si>
    <t>100745</t>
  </si>
  <si>
    <t>PINTURA COM TINTA ALQUÍDICA DE ACABAMENTO (ESMALTE SINTÉTICO BRILHANTE) PULVERIZADA SOBRE SUPERFÍCIES METÁLICAS (EXCETO PERFIL) EXECUTADO EM OBRA  (POR DEMÃO). AF_01/2020_P</t>
  </si>
  <si>
    <t>100746</t>
  </si>
  <si>
    <t>PINTURA COM TINTA ALQUÍDICA DE ACABAMENTO (ESMALTE SINTÉTICO BRILHANTE) APLICADA A ROLO OU PINCEL SOBRE SUPERFÍCIES METÁLICAS (EXCETO PERFIL) EXECUTADO EM OBRA (POR DEMÃO). AF_01/2020</t>
  </si>
  <si>
    <t>100747</t>
  </si>
  <si>
    <t>PINTURA COM TINTA ALQUÍDICA DE ACABAMENTO (ESMALTE SINTÉTICO FOSCO) PULVERIZADA SOBRE PERFIL METÁLICO EXECUTADO EM FÁBRICA (POR DEMÃO). AF_01/2020_P</t>
  </si>
  <si>
    <t>9,23</t>
  </si>
  <si>
    <t>100748</t>
  </si>
  <si>
    <t>PINTURA COM TINTA ALQUÍDICA DE ACABAMENTO (ESMALTE SINTÉTICO FOSCO) APLICADA A ROLO OU PINCEL SOBRE PERFIL METÁLICO EXECUTADO EM FÁBRICA (POR DEMÃO). AF_01/2020</t>
  </si>
  <si>
    <t>100749</t>
  </si>
  <si>
    <t>PINTURA COM TINTA ALQUÍDICA DE ACABAMENTO (ESMALTE SINTÉTICO FOSCO) PULVERIZADA SOBRE SUPERFÍCIES METÁLICAS (EXCETO PERFIL) EXECUTADO EM OBRA (POR DEMÃO). AF_01/2020_P</t>
  </si>
  <si>
    <t>21,93</t>
  </si>
  <si>
    <t>100750</t>
  </si>
  <si>
    <t>PINTURA COM TINTA ALQUÍDICA DE ACABAMENTO (ESMALTE SINTÉTICO FOSCO) APLICADA A ROLO OU PINCEL SOBRE SUPERFÍCIES METÁLICAS (EXCETO PERFIL) EXECUTADO EM OBRA (POR DEMÃO). AF_01/2020</t>
  </si>
  <si>
    <t>22,45</t>
  </si>
  <si>
    <t>100751</t>
  </si>
  <si>
    <t>PINTURA COM TINTA EPOXÍDICA DE ACABAMENTO PULVERIZADA SOBRE PERFIL METÁLICO EXECUTADO EM FÁBRICA (02 DEMÃOS). AF_01/2020_P</t>
  </si>
  <si>
    <t>35,35</t>
  </si>
  <si>
    <t>100752</t>
  </si>
  <si>
    <t>PINTURA COM TINTA EPOXÍDICA DE ACABAMENTO APLICADA A ROLO OU PINCEL SOBRE PERFIL METÁLICO EXECUTADO EM FÁBRICA (02 DEMÃOS). AF_01/2020</t>
  </si>
  <si>
    <t>100753</t>
  </si>
  <si>
    <t>PINTURA COM TINTA ACRÍLICA DE ACABAMENTO PULVERIZADA SOBRE SUPERFÍCIES METÁLICAS (EXCETO PERFIL) EXECUTADO EM OBRA (02 DEMÃOS). AF_01/2020_P</t>
  </si>
  <si>
    <t>20,15</t>
  </si>
  <si>
    <t>100754</t>
  </si>
  <si>
    <t>PINTURA COM TINTA ACRÍLICA DE ACABAMENTO APLICADA A ROLO OU PINCEL SOBRE SUPERFÍCIES METÁLICAS (EXCETO PERFIL) EXECUTADO EM OBRA (02 DEMÃOS). AF_01/2020</t>
  </si>
  <si>
    <t>26,86</t>
  </si>
  <si>
    <t>100757</t>
  </si>
  <si>
    <t>PINTURA COM TINTA ALQUÍDICA DE ACABAMENTO (ESMALTE SINTÉTICO ACETINADO) PULVERIZADA SOBRE SUPERFÍCIES METÁLICAS (EXCETO PERFIL) EXECUTADO EM OBRA (02 DEMÃOS). AF_01/2020_P</t>
  </si>
  <si>
    <t>44,15</t>
  </si>
  <si>
    <t>100758</t>
  </si>
  <si>
    <t>PINTURA COM TINTA ALQUÍDICA DE ACABAMENTO (ESMALTE SINTÉTICO ACETINADO) APLICADA A ROLO OU PINCEL SOBRE SUPERFÍCIES METÁLICAS (EXCETO PERFIL) EXECUTADO EM OBRA (02 DEMÃOS). AF_01/2020</t>
  </si>
  <si>
    <t>45,07</t>
  </si>
  <si>
    <t>100759</t>
  </si>
  <si>
    <t>PINTURA COM TINTA ALQUÍDICA DE ACABAMENTO (ESMALTE SINTÉTICO BRILHANTE) PULVERIZADA SOBRE SUPERFÍCIES METÁLICAS (EXCETO PERFIL) EXECUTADO EM OBRA (02 DEMÃOS). AF_01/2020_P</t>
  </si>
  <si>
    <t>43,69</t>
  </si>
  <si>
    <t>100760</t>
  </si>
  <si>
    <t>PINTURA COM TINTA ALQUÍDICA DE ACABAMENTO (ESMALTE SINTÉTICO BRILHANTE) APLICADA A ROLO OU PINCEL SOBRE SUPERFÍCIES METÁLICAS (EXCETO PERFIL) EXECUTADO EM OBRA (02 DEMÃOS). AF_01/2020</t>
  </si>
  <si>
    <t>44,78</t>
  </si>
  <si>
    <t>100761</t>
  </si>
  <si>
    <t>PINTURA COM TINTA ALQUÍDICA DE ACABAMENTO (ESMALTE SINTÉTICO FOSCO) PULVERIZADA SOBRE SUPERFÍCIES METÁLICAS (EXCETO PERFIL) EXECUTADO EM OBRA (02 DEMÃOS). AF_01/2020_P</t>
  </si>
  <si>
    <t>43,88</t>
  </si>
  <si>
    <t>100762</t>
  </si>
  <si>
    <t>PINTURA COM TINTA ALQUÍDICA DE ACABAMENTO (ESMALTE SINTÉTICO FOSCO) APLICADA A ROLO OU PINCEL SOBRE SUPERFÍCIES METÁLICAS (EXCETO PERFIL) EXECUTADO EM OBRA (02 DEMÃOS). AF_01/2020</t>
  </si>
  <si>
    <t>44,90</t>
  </si>
  <si>
    <t>102488</t>
  </si>
  <si>
    <t>PREPARO DO PISO CIMENTADO PARA PINTURA - LIXAMENTO E LIMPEZA. AF_05/2021</t>
  </si>
  <si>
    <t>3,20</t>
  </si>
  <si>
    <t>102489</t>
  </si>
  <si>
    <t>PINTURA HIDROFUGANTE COM SILICONE, APLICAÇÃO MANUAL, 2 DEMÃOS. AF_05/2021</t>
  </si>
  <si>
    <t>102491</t>
  </si>
  <si>
    <t>PINTURA DE PISO COM TINTA ACRÍLICA, APLICAÇÃO MANUAL, 2 DEMÃOS, INCLUSO FUNDO PREPARADOR. AF_05/2021</t>
  </si>
  <si>
    <t>102492</t>
  </si>
  <si>
    <t>PINTURA DE PISO COM TINTA ACRÍLICA, APLICAÇÃO MANUAL, 3 DEMÃOS, INCLUSO FUNDO PREPARADOR. AF_05/2021</t>
  </si>
  <si>
    <t>20,47</t>
  </si>
  <si>
    <t>102494</t>
  </si>
  <si>
    <t>PINTURA DE PISO COM TINTA EPÓXI, APLICAÇÃO MANUAL, 2 DEMÃOS, INCLUSO PRIMER EPÓXI. AF_05/2021</t>
  </si>
  <si>
    <t>55,18</t>
  </si>
  <si>
    <t>102496</t>
  </si>
  <si>
    <t>PINTURA DE RODAPÉ COM TINTA EPÓXI, APLICAÇÃO MANUAL, 2 DEMÃOS, INCLUSÃO PRIMER EPÓXI. AF_05/2021</t>
  </si>
  <si>
    <t>102497</t>
  </si>
  <si>
    <t>PINTURA DE RODAPÉ EM PEDRA DECORATIVA COM VERNIZ DE POLIURETANO, APLICAÇÃO MANUAL, 3 DEMÃOS. AF_05/2021</t>
  </si>
  <si>
    <t>4,28</t>
  </si>
  <si>
    <t>102498</t>
  </si>
  <si>
    <t>PINTURA DE MEIO-FIO COM TINTA BRANCA A BASE DE CAL (CAIAÇÃO). AF_05/2021</t>
  </si>
  <si>
    <t>1,41</t>
  </si>
  <si>
    <t>102499</t>
  </si>
  <si>
    <t>ENCERAMENTO DE PISO EM MADEIRA. AF_05/2021</t>
  </si>
  <si>
    <t>2,58</t>
  </si>
  <si>
    <t>102500</t>
  </si>
  <si>
    <t>PINTURA DE DEMARCAÇÃO DE VAGA COM TINTA ACRÍLICA, E = 10 CM, APLICAÇÃO MANUAL. AF_05/2021</t>
  </si>
  <si>
    <t>102501</t>
  </si>
  <si>
    <t>PINTURA DE FAIXA DE PEDESTRE OU ZEBRADA COM TINTA ACRÍLICA, E  = 30 CM, APLICAÇÃO MANUAL. AF_05/2021</t>
  </si>
  <si>
    <t>102504</t>
  </si>
  <si>
    <t>PINTURA DE DEMARCAÇÃO DE QUADRA POLIESPORTIVA COM TINTA ACRÍLICA, E = 5 CM, APLICAÇÃO MANUAL. AF_05/2021</t>
  </si>
  <si>
    <t>102505</t>
  </si>
  <si>
    <t>PINTURA DE DEMARCAÇÃO DE QUADRA POLIESPORTIVA COM BORRACHA CLORADA, E = 5 CM, APLICAÇÃO MANUAL. AF_05/2021</t>
  </si>
  <si>
    <t>9,32</t>
  </si>
  <si>
    <t>102506</t>
  </si>
  <si>
    <t>PINTURA DE DEMARCAÇÃO DE QUADRA POLIESPORTIVA COM TINTA EPÓXI, E = 5 CM, APLICAÇÃO MANUAL. AF_05/2021</t>
  </si>
  <si>
    <t>9,65</t>
  </si>
  <si>
    <t>102507</t>
  </si>
  <si>
    <t>PINTURA DE DEMARCAÇÃO DE VAGA COM TINTA EPÓXI, E = 10 CM, APLICAÇÃO MANUAL. AF_05/2021</t>
  </si>
  <si>
    <t>102508</t>
  </si>
  <si>
    <t>PINTURA DE FAIXA DE PEDESTRE OU ZEBRADA COM TINTA EPÓXI, E  = 30 CM, APLICAÇÃO MANUAL. AF_05/2021</t>
  </si>
  <si>
    <t>102509</t>
  </si>
  <si>
    <t>PINTURA DE FAIXA DE PEDESTRE OU ZEBRADA TINTA RETRORREFLETIVA A BASE DE RESINA ACRÍLICA COM MICROESFERAS DE VIDRO, E = 30 CM, APLICAÇÃO MANUAL. AF_05/2021</t>
  </si>
  <si>
    <t>26,16</t>
  </si>
  <si>
    <t>102512</t>
  </si>
  <si>
    <t>PINTURA DE EIXO VIÁRIO SOBRE ASFALTO COM TINTA RETRORREFLETIVA A BASE DE RESINA ACRÍLICA COM MICROESFERAS DE VIDRO, APLICAÇÃO MECÂNICA COM DEMARCADORA AUTOPROPELIDA. AF_05/2021</t>
  </si>
  <si>
    <t>4,59</t>
  </si>
  <si>
    <t>102513</t>
  </si>
  <si>
    <t>PINTURA DE SÍMBOLOS E TEXTOS COM TINTA ACRÍLICA, DEMARCAÇÃO COM FITA ADESIVA E APLICAÇÃO COM ROLO. AF_05/2021</t>
  </si>
  <si>
    <t>40,88</t>
  </si>
  <si>
    <t>102520</t>
  </si>
  <si>
    <t>PINTURA DE SINALIZAÇÃO VERTICAL DE SEGURANÇA, FAIXAS AMARELA E PRETA, APLICAÇÃO MANUAL, 2 DEMÃOS. AF_05/2021</t>
  </si>
  <si>
    <t>71,32</t>
  </si>
  <si>
    <t>101749</t>
  </si>
  <si>
    <t>PISO CIMENTADO, TRAÇO 1:3 (CIMENTO E AREIA), ACABAMENTO LISO, ESPESSURA 4,0 CM, PREPARO MECÂNICO DA ARGAMASSA. AF_09/2020</t>
  </si>
  <si>
    <t>101750</t>
  </si>
  <si>
    <t>PISO CIMENTADO, TRAÇO 1:3 (CIMENTO E AREIA), ACABAMENTO RÚSTICO, ESPESSURA 4,0 CM, PREPARO MECÂNICO DA ARGAMASSA. AF_09/2020</t>
  </si>
  <si>
    <t>39,98</t>
  </si>
  <si>
    <t>101729</t>
  </si>
  <si>
    <t>PISO EM TACO DE MADEIRA 7X42CM, FIXADO COM COLA BASE DE PVA. AF_09/2020</t>
  </si>
  <si>
    <t>162,13</t>
  </si>
  <si>
    <t>101746</t>
  </si>
  <si>
    <t>ASSOALHO DE MADEIRA. AF_09/2020</t>
  </si>
  <si>
    <t>244,24</t>
  </si>
  <si>
    <t>101751</t>
  </si>
  <si>
    <t>PISO EM TACO DE MADEIRA 7X21CM, FIXADO COM COLA BASE DE PVA. AF_09/2020</t>
  </si>
  <si>
    <t>168,76</t>
  </si>
  <si>
    <t>87246</t>
  </si>
  <si>
    <t>REVESTIMENTO CERÂMICO PARA PISO COM PLACAS TIPO ESMALTADA EXTRA DE DIMENSÕES 35X35 CM APLICADA EM AMBIENTES DE ÁREA MENOR QUE 5 M2. AF_06/2014</t>
  </si>
  <si>
    <t>58,00</t>
  </si>
  <si>
    <t>87247</t>
  </si>
  <si>
    <t>REVESTIMENTO CERÂMICO PARA PISO COM PLACAS TIPO ESMALTADA EXTRA DE DIMENSÕES 35X35 CM APLICADA EM AMBIENTES DE ÁREA ENTRE 5 M2 E 10 M2. AF_06/2014</t>
  </si>
  <si>
    <t>87248</t>
  </si>
  <si>
    <t>REVESTIMENTO CERÂMICO PARA PISO COM PLACAS TIPO ESMALTADA EXTRA DE DIMENSÕES 35X35 CM APLICADA EM AMBIENTES DE ÁREA MAIOR QUE 10 M2. AF_06/2014</t>
  </si>
  <si>
    <t>44,94</t>
  </si>
  <si>
    <t>87249</t>
  </si>
  <si>
    <t>REVESTIMENTO CERÂMICO PARA PISO COM PLACAS TIPO ESMALTADA EXTRA DE DIMENSÕES 45X45 CM APLICADA EM AMBIENTES DE ÁREA MENOR QUE 5 M2. AF_06/2014</t>
  </si>
  <si>
    <t>64,75</t>
  </si>
  <si>
    <t>87250</t>
  </si>
  <si>
    <t>REVESTIMENTO CERÂMICO PARA PISO COM PLACAS TIPO ESMALTADA EXTRA DE DIMENSÕES 45X45 CM APLICADA EM AMBIENTES DE ÁREA ENTRE 5 M2 E 10 M2. AF_06/2014</t>
  </si>
  <si>
    <t>87251</t>
  </si>
  <si>
    <t>REVESTIMENTO CERÂMICO PARA PISO COM PLACAS TIPO ESMALTADA EXTRA DE DIMENSÕES 45X45 CM APLICADA EM AMBIENTES DE ÁREA MAIOR QUE 10 M2. AF_06/2014</t>
  </si>
  <si>
    <t>45,99</t>
  </si>
  <si>
    <t>87255</t>
  </si>
  <si>
    <t>REVESTIMENTO CERÂMICO PARA PISO COM PLACAS TIPO ESMALTADA EXTRA DE DIMENSÕES 60X60 CM APLICADA EM AMBIENTES DE ÁREA MENOR QUE 5 M2. AF_06/2014</t>
  </si>
  <si>
    <t>105,72</t>
  </si>
  <si>
    <t>87256</t>
  </si>
  <si>
    <t>REVESTIMENTO CERÂMICO PARA PISO COM PLACAS TIPO ESMALTADA EXTRA DE DIMENSÕES 60X60 CM APLICADA EM AMBIENTES DE ÁREA ENTRE 5 M2 E 10 M2. AF_06/2014</t>
  </si>
  <si>
    <t>92,00</t>
  </si>
  <si>
    <t>87257</t>
  </si>
  <si>
    <t>REVESTIMENTO CERÂMICO PARA PISO COM PLACAS TIPO ESMALTADA EXTRA DE DIMENSÕES 60X60 CM APLICADA EM AMBIENTES DE ÁREA MAIOR QUE 10 M2. AF_06/2014</t>
  </si>
  <si>
    <t>83,31</t>
  </si>
  <si>
    <t>87258</t>
  </si>
  <si>
    <t>REVESTIMENTO CERÂMICO PARA PISO COM PLACAS TIPO PORCELANATO DE DIMENSÕES 45X45 CM APLICADA EM AMBIENTES DE ÁREA MENOR QUE 5 M². AF_06/2014</t>
  </si>
  <si>
    <t>137,90</t>
  </si>
  <si>
    <t>87259</t>
  </si>
  <si>
    <t>REVESTIMENTO CERÂMICO PARA PISO COM PLACAS TIPO PORCELANATO DE DIMENSÕES 45X45 CM APLICADA EM AMBIENTES DE ÁREA ENTRE 5 M² E 10 M². AF_06/2014</t>
  </si>
  <si>
    <t>124,88</t>
  </si>
  <si>
    <t>87260</t>
  </si>
  <si>
    <t>REVESTIMENTO CERÂMICO PARA PISO COM PLACAS TIPO PORCELANATO DE DIMENSÕES 45X45 CM APLICADA EM AMBIENTES DE ÁREA MAIOR QUE 10 M². AF_06/2014</t>
  </si>
  <si>
    <t>87261</t>
  </si>
  <si>
    <t>REVESTIMENTO CERÂMICO PARA PISO COM PLACAS TIPO PORCELANATO DE DIMENSÕES 60X60 CM APLICADA EM AMBIENTES DE ÁREA MENOR QUE 5 M². AF_06/2014</t>
  </si>
  <si>
    <t>159,62</t>
  </si>
  <si>
    <t>87262</t>
  </si>
  <si>
    <t>REVESTIMENTO CERÂMICO PARA PISO COM PLACAS TIPO PORCELANATO DE DIMENSÕES 60X60 CM APLICADA EM AMBIENTES DE ÁREA ENTRE 5 M² E 10 M². AF_06/2014</t>
  </si>
  <si>
    <t>87263</t>
  </si>
  <si>
    <t>REVESTIMENTO CERÂMICO PARA PISO COM PLACAS TIPO PORCELANATO DE DIMENSÕES 60X60 CM APLICADA EM AMBIENTES DE ÁREA MAIOR QUE 10 M². AF_06/2014</t>
  </si>
  <si>
    <t>135,41</t>
  </si>
  <si>
    <t>89046</t>
  </si>
  <si>
    <t>(COMPOSIÇÃO REPRESENTATIVA) DO SERVIÇO DE REVESTIMENTO CERÂMICO PARA PISO COM PLACAS TIPO ESMALTADA EXTRA DE DIMENSÕES 35X35 CM, PARA EDIFICAÇÃO HABITACIONAL MULTIFAMILIAR (PRÉDIO). AF_11/2014</t>
  </si>
  <si>
    <t>50,48</t>
  </si>
  <si>
    <t>89171</t>
  </si>
  <si>
    <t>(COMPOSIÇÃO REPRESENTATIVA) DO SERVIÇO DE REVESTIMENTO CERÂMICO PARA PISO COM PLACAS TIPO ESMALTADA EXTRA DE DIMENSÕES 35X35 CM, PARA EDIFICAÇÃO HABITACIONAL UNIFAMILIAR (CASA) E EDIFICAÇÃO PÚBLICA PADRÃO. AF_11/2014</t>
  </si>
  <si>
    <t>47,61</t>
  </si>
  <si>
    <t>93389</t>
  </si>
  <si>
    <t>REVESTIMENTO CERÂMICO PARA PISO COM PLACAS TIPO ESMALTADA PADRÃO POPULAR DE DIMENSÕES 35X35 CM APLICADA EM AMBIENTES DE ÁREA MENOR QUE 5 M2. AF_06/2014</t>
  </si>
  <si>
    <t>52,33</t>
  </si>
  <si>
    <t>93390</t>
  </si>
  <si>
    <t>REVESTIMENTO CERÂMICO PARA PISO COM PLACAS TIPO ESMALTADA PADRÃO POPULAR DE DIMENSÕES 35X35 CM APLICADA EM AMBIENTES DE ÁREA ENTRE 5 M2 E 10 M2. AF_06/2014</t>
  </si>
  <si>
    <t>45,25</t>
  </si>
  <si>
    <t>93391</t>
  </si>
  <si>
    <t>REVESTIMENTO CERÂMICO PARA PISO COM PLACAS TIPO ESMALTADA PADRÃO POPULAR DE DIMENSÕES 35X35 CM APLICADA EM AMBIENTES DE ÁREA MAIOR QUE 10 M2. AF_06/2014</t>
  </si>
  <si>
    <t>98671</t>
  </si>
  <si>
    <t>PISO EM GRANITO APLICADO EM AMBIENTES INTERNOS. AF_09/2020</t>
  </si>
  <si>
    <t>209,68</t>
  </si>
  <si>
    <t>98672</t>
  </si>
  <si>
    <t>PISO EM MÁRMORE APLICADO EM AMBIENTES INTERNOS. AF_09/2020</t>
  </si>
  <si>
    <t>375,48</t>
  </si>
  <si>
    <t>98678</t>
  </si>
  <si>
    <t>PISO ELEVADO COM ESTRUTURA EM AÇO, COMPOSTO POR PEDESTAIS E LONGARINAS. AF_09/2020</t>
  </si>
  <si>
    <t>397,25</t>
  </si>
  <si>
    <t>98679</t>
  </si>
  <si>
    <t>PISO CIMENTADO, TRAÇO 1:3 (CIMENTO E AREIA), ACABAMENTO LISO, ESPESSURA 2,0 CM, PREPARO MECÂNICO DA ARGAMASSA. AF_09/2020</t>
  </si>
  <si>
    <t>98680</t>
  </si>
  <si>
    <t>PISO CIMENTADO, TRAÇO 1:3 (CIMENTO E AREIA), ACABAMENTO LISO, ESPESSURA 3,0 CM, PREPARO MECÂNICO DA ARGAMASSA. AF_09/2020</t>
  </si>
  <si>
    <t>36,38</t>
  </si>
  <si>
    <t>98681</t>
  </si>
  <si>
    <t>PISO CIMENTADO, TRAÇO 1:3 (CIMENTO E AREIA), ACABAMENTO RÚSTICO, ESPESSURA 2,0 CM, PREPARO MECÂNICO DA ARGAMASSA. AF_09/2020</t>
  </si>
  <si>
    <t>27,07</t>
  </si>
  <si>
    <t>98682</t>
  </si>
  <si>
    <t>PISO CIMENTADO, TRAÇO 1:3 (CIMENTO E AREIA), ACABAMENTO RÚSTICO, ESPESSURA 3,0 CM, PREPARO MECÂNICO DA ARGAMASSA. AF_09/2020</t>
  </si>
  <si>
    <t>98685</t>
  </si>
  <si>
    <t>RODAPÉ EM GRANITO, ALTURA 10 CM. AF_09/2020</t>
  </si>
  <si>
    <t>39,39</t>
  </si>
  <si>
    <t>98686</t>
  </si>
  <si>
    <t>RODAPÉ EM LADRILHO HIDRÁULICO, ALTURA 7 CM. AF_09/2020</t>
  </si>
  <si>
    <t>98688</t>
  </si>
  <si>
    <t>RODAPÉ EM POLIESTIRENO, ALTURA 5 CM. AF_09/2020</t>
  </si>
  <si>
    <t>59,66</t>
  </si>
  <si>
    <t>98689</t>
  </si>
  <si>
    <t>SOLEIRA EM GRANITO, LARGURA 15 CM, ESPESSURA 2,0 CM. AF_09/2020</t>
  </si>
  <si>
    <t>101090</t>
  </si>
  <si>
    <t>PISO EM PEDRA PORTUGUESA ASSENTADO SOBRE ARGAMASSA SECA DE CIMENTO E AREIA, TRAÇO 1:3, REJUNTADO COM CIMENTO COMUM. AF_05/2020</t>
  </si>
  <si>
    <t>181,52</t>
  </si>
  <si>
    <t>101091</t>
  </si>
  <si>
    <t>PISO EM LADRILHO HIDRÁULICO APLICADO EM AMBIENTES EXTERNOS. AF_05/2020</t>
  </si>
  <si>
    <t>120,52</t>
  </si>
  <si>
    <t>101725</t>
  </si>
  <si>
    <t>PISO EM LADRILHO HIDRÁULICO APLICADO EM AMBIENTES INTERNOS DE ÁREA MENOR QUE 5 M², INCLUSO APLICAÇÃO DE RESINA. AF_09/2020</t>
  </si>
  <si>
    <t>242,19</t>
  </si>
  <si>
    <t>101726</t>
  </si>
  <si>
    <t>PISO EM LADRILHO HIDRÁULICO APLICADO EM AMBIENTES INTERNOS DE ÁREA ENTRE 5 E 15 M², INCLUSO APLICAÇÃO DE RESINA. AF_09/2020</t>
  </si>
  <si>
    <t>157,99</t>
  </si>
  <si>
    <t>101731</t>
  </si>
  <si>
    <t>PISO EM PEDRA  ASSENTADO SOBRE ARGAMASSA 1:3 (CIMENTO E AREIA). AF_09/2020</t>
  </si>
  <si>
    <t>274,50</t>
  </si>
  <si>
    <t>101732</t>
  </si>
  <si>
    <t>PISO EM PEDRA ARDÓSIA ASSENTADO SOBRE ARGAMASSA 1:3 (CIMENTO E AREIA). AF_09/2020</t>
  </si>
  <si>
    <t>101094</t>
  </si>
  <si>
    <t>PISO PODOTÁTIL, DIRECIONAL OU ALERTA, ASSENTADO SOBRE ARGAMASSA. AF_05/2020</t>
  </si>
  <si>
    <t>101727</t>
  </si>
  <si>
    <t>PISO VINÍLICO SEMI-FLEXÍVEL EM PLACAS, PADRÃO LISO, ESPESSURA 3,2 MM, FIXADO COM COLA. AF_09/2020</t>
  </si>
  <si>
    <t>182,95</t>
  </si>
  <si>
    <t>101733</t>
  </si>
  <si>
    <t>PISO DE BORRACHA PASTILHADO/FRISADO, ESPESSURA 7MM, ASSENTADO COM ARGAMASSA. AF_09/2020</t>
  </si>
  <si>
    <t>248,75</t>
  </si>
  <si>
    <t>101734</t>
  </si>
  <si>
    <t>PISO DE BORRACHA PASTILHADO, ESPESSURA 15MM, ASSENTADO COM ARGAMASSA. AF_09/2020</t>
  </si>
  <si>
    <t>377,59</t>
  </si>
  <si>
    <t>101735</t>
  </si>
  <si>
    <t>PISO DE BORRACHA ESPORTIVO, ESPESSURA 15MM, ASSENTADO COM ARGAMASSA. AF_09/2020</t>
  </si>
  <si>
    <t>386,94</t>
  </si>
  <si>
    <t>101736</t>
  </si>
  <si>
    <t>PISO DE BORRACHA PASTILHADO, ESPESSURA 3,5MM, FIXADO COM ADESIVO ACRÍLICO. AF_09/2020</t>
  </si>
  <si>
    <t>99,06</t>
  </si>
  <si>
    <t>101737</t>
  </si>
  <si>
    <t>PISO DE BORRACHA CANELADO, ESPESSURA 3,5MM, FIXADO COM ADESIVO ACRÍLICO. AF_09/2020</t>
  </si>
  <si>
    <t>117,55</t>
  </si>
  <si>
    <t>101748</t>
  </si>
  <si>
    <t>PREPARO DE CONTRAPISO COM POLITRIZ. AF_09/2020</t>
  </si>
  <si>
    <t>3,22</t>
  </si>
  <si>
    <t>101092</t>
  </si>
  <si>
    <t>PISO EM GRANITO APLICADO EM CALÇADAS OU PISOS EXTERNOS. AF_05/2020</t>
  </si>
  <si>
    <t>219,78</t>
  </si>
  <si>
    <t>101093</t>
  </si>
  <si>
    <t>PISO EM MÁRMORE APLICADO EM CALÇADAS OU PISOS EXTERNOS. AF_05/2020</t>
  </si>
  <si>
    <t>385,58</t>
  </si>
  <si>
    <t>98695</t>
  </si>
  <si>
    <t>SOLEIRA EM MÁRMORE, LARGURA 15 CM, ESPESSURA 2,0 CM. AF_09/2020</t>
  </si>
  <si>
    <t>70,21</t>
  </si>
  <si>
    <t>98697</t>
  </si>
  <si>
    <t>RODAPÉ EM MÁRMORE, ALTURA 7 CM. AF_09/2020</t>
  </si>
  <si>
    <t>45,81</t>
  </si>
  <si>
    <t>101738</t>
  </si>
  <si>
    <t>RODAPÉ EM MADEIRA, ALTURA 7CM, FIXADO COM COLA. AF_09/2020</t>
  </si>
  <si>
    <t>101739</t>
  </si>
  <si>
    <t>RODAPÉ EM MADEIRA, ALTURA 7CM, FIXADO COM COLA E PARAFUSOS. AF_09/2020</t>
  </si>
  <si>
    <t>29,71</t>
  </si>
  <si>
    <t>88648</t>
  </si>
  <si>
    <t>RODAPÉ CERÂMICO DE 7CM DE ALTURA COM PLACAS TIPO ESMALTADA EXTRA  DE DIMENSÕES 35X35CM. AF_06/2014</t>
  </si>
  <si>
    <t>6,74</t>
  </si>
  <si>
    <t>88649</t>
  </si>
  <si>
    <t>RODAPÉ CERÂMICO DE 7CM DE ALTURA COM PLACAS TIPO ESMALTADA EXTRA DE DIMENSÕES 45X45CM. AF_06/2014</t>
  </si>
  <si>
    <t>88650</t>
  </si>
  <si>
    <t>RODAPÉ CERÂMICO DE 7CM DE ALTURA COM PLACAS TIPO ESMALTADA EXTRA DE DIMENSÕES 60X60CM. AF_06/2014</t>
  </si>
  <si>
    <t>96467</t>
  </si>
  <si>
    <t>RODAPÉ CERÂMICO DE 7CM DE ALTURA COM PLACAS TIPO ESMALTADA COMERCIAL DE DIMENSÕES 35X35CM (PADRAO POPULAR). AF_06/2017</t>
  </si>
  <si>
    <t>101740</t>
  </si>
  <si>
    <t>RODAPÉ EM ARDÓSIA ALTURA 10CM. AF_09/2020</t>
  </si>
  <si>
    <t>43,30</t>
  </si>
  <si>
    <t>101741</t>
  </si>
  <si>
    <t>RODAPÉ EM MARMORITE, ALTURA 10CM. AF_09/2020</t>
  </si>
  <si>
    <t>94990</t>
  </si>
  <si>
    <t>EXECUÇÃO DE PASSEIO (CALÇADA) OU PISO DE CONCRETO COM CONCRETO MOLDADO IN LOCO, FEITO EM OBRA, ACABAMENTO CONVENCIONAL, NÃO ARMADO. AF_07/2016</t>
  </si>
  <si>
    <t>636,81</t>
  </si>
  <si>
    <t>94991</t>
  </si>
  <si>
    <t>EXECUÇÃO DE PASSEIO (CALÇADA) OU PISO DE CONCRETO COM CONCRETO MOLDADO IN LOCO, USINADO, ACABAMENTO CONVENCIONAL, NÃO ARMADO. AF_07/2016</t>
  </si>
  <si>
    <t>503,37</t>
  </si>
  <si>
    <t>94992</t>
  </si>
  <si>
    <t>EXECUÇÃO DE PASSEIO (CALÇADA) OU PISO DE CONCRETO COM CONCRETO MOLDADO IN LOCO, FEITO EM OBRA, ACABAMENTO CONVENCIONAL, ESPESSURA 6 CM, ARMADO. AF_07/2016</t>
  </si>
  <si>
    <t>102,95</t>
  </si>
  <si>
    <t>94993</t>
  </si>
  <si>
    <t>EXECUÇÃO DE PASSEIO (CALÇADA) OU PISO DE CONCRETO COM CONCRETO MOLDADO IN LOCO, USINADO, ACABAMENTO CONVENCIONAL, ESPESSURA 6 CM, ARMADO. AF_07/2016</t>
  </si>
  <si>
    <t>94,95</t>
  </si>
  <si>
    <t>94994</t>
  </si>
  <si>
    <t>EXECUÇÃO DE PASSEIO (CALÇADA) OU PISO DE CONCRETO COM CONCRETO MOLDADO IN LOCO, FEITO EM OBRA, ACABAMENTO CONVENCIONAL, ESPESSURA 8 CM, ARMADO. AF_07/2016</t>
  </si>
  <si>
    <t>117,48</t>
  </si>
  <si>
    <t>94995</t>
  </si>
  <si>
    <t>EXECUÇÃO DE PASSEIO (CALÇADA) OU PISO DE CONCRETO COM CONCRETO MOLDADO IN LOCO, USINADO, ACABAMENTO CONVENCIONAL, ESPESSURA 8 CM, ARMADO. AF_07/2016</t>
  </si>
  <si>
    <t>106,81</t>
  </si>
  <si>
    <t>94996</t>
  </si>
  <si>
    <t>EXECUÇÃO DE PASSEIO (CALÇADA) OU PISO DE CONCRETO COM CONCRETO MOLDADO IN LOCO, FEITO EM OBRA, ACABAMENTO CONVENCIONAL, ESPESSURA 10 CM, ARMADO. AF_07/2016</t>
  </si>
  <si>
    <t>130,32</t>
  </si>
  <si>
    <t>94997</t>
  </si>
  <si>
    <t>EXECUÇÃO DE PASSEIO (CALÇADA) OU PISO DE CONCRETO COM CONCRETO MOLDADO IN LOCO, USINADO, ACABAMENTO CONVENCIONAL, ESPESSURA 10 CM, ARMADO. AF_07/2016</t>
  </si>
  <si>
    <t>116,98</t>
  </si>
  <si>
    <t>94998</t>
  </si>
  <si>
    <t>EXECUÇÃO DE PASSEIO (CALÇADA) OU PISO DE CONCRETO COM CONCRETO MOLDADO IN LOCO, FEITO EM OBRA, ACABAMENTO CONVENCIONAL, ESPESSURA 12 CM, ARMADO. AF_07/2016</t>
  </si>
  <si>
    <t>144,21</t>
  </si>
  <si>
    <t>94999</t>
  </si>
  <si>
    <t>EXECUÇÃO DE PASSEIO (CALÇADA) OU PISO DE CONCRETO COM CONCRETO MOLDADO IN LOCO, USINADO, ACABAMENTO CONVENCIONAL, ESPESSURA 12 CM, ARMADO. AF_07/2016</t>
  </si>
  <si>
    <t>128,20</t>
  </si>
  <si>
    <t>101747</t>
  </si>
  <si>
    <t>PISO EM CONCRETO 20 MPA PREPARO MECÂNICO, ESPESSURA 7CM. AF_09/2020</t>
  </si>
  <si>
    <t>58,95</t>
  </si>
  <si>
    <t>101743</t>
  </si>
  <si>
    <t>PISO TÊXTIL (CARPETE) EM PLACA. AF_09/2020</t>
  </si>
  <si>
    <t>156,81</t>
  </si>
  <si>
    <t>101744</t>
  </si>
  <si>
    <t>PISO TÊXTIL (CARPETE) EM MANTA (ROLO) E = 6 A 7 MM. AF_09/2020</t>
  </si>
  <si>
    <t>125,00</t>
  </si>
  <si>
    <t>101745</t>
  </si>
  <si>
    <t>PISO TÊXTIL (CARPETE) EM MANTA (ROLO) E = 9 A 10 MM. AF_09/2020</t>
  </si>
  <si>
    <t>153,57</t>
  </si>
  <si>
    <t>87620</t>
  </si>
  <si>
    <t>CONTRAPISO EM ARGAMASSA TRAÇO 1:4 (CIMENTO E AREIA), PREPARO MECÂNICO COM BETONEIRA 400 L, APLICADO EM ÁREAS SECAS SOBRE LAJE, ADERIDO, ACABAMENTO NÃO REFORÇADO, ESPESSURA 2CM. AF_07/2021</t>
  </si>
  <si>
    <t>87622</t>
  </si>
  <si>
    <t>CONTRAPISO EM ARGAMASSA TRAÇO 1:4 (CIMENTO E AREIA), PREPARO MANUAL, APLICADO EM ÁREAS SECAS SOBRE LAJE, ADERIDO, ACABAMENTO NÃO REFORÇADO, ESPESSURA 2CM. AF_07/2021</t>
  </si>
  <si>
    <t>87623</t>
  </si>
  <si>
    <t>CONTRAPISO EM ARGAMASSA PRONTA, PREPARO MECÂNICO COM MISTURADOR 300 KG, APLICADO EM ÁREAS SECAS SOBRE LAJE, ADERIDO, ACABAMENTO NÃO REFORÇADO, ESPESSURA 2CM. AF_07/2021</t>
  </si>
  <si>
    <t>52,73</t>
  </si>
  <si>
    <t>87624</t>
  </si>
  <si>
    <t>57,88</t>
  </si>
  <si>
    <t>87630</t>
  </si>
  <si>
    <t>CONTRAPISO EM ARGAMASSA TRAÇO 1:4 (CIMENTO E AREIA), PREPARO MECÂNICO COM BETONEIRA 400 L, APLICADO EM ÁREAS SECAS SOBRE LAJE, ADERIDO, ACABAMENTO NÃO REFORÇADO, ESPESSURA 3CM. AF_07/2021</t>
  </si>
  <si>
    <t>87632</t>
  </si>
  <si>
    <t>CONTRAPISO EM ARGAMASSA TRAÇO 1:4 (CIMENTO E AREIA), PREPARO MANUAL, APLICADO EM ÁREAS SECAS SOBRE LAJE, ADERIDO, ACABAMENTO NÃO REFORÇADO, ESPESSURA 3CM. AF_07/2021</t>
  </si>
  <si>
    <t>33,64</t>
  </si>
  <si>
    <t>87633</t>
  </si>
  <si>
    <t>CONTRAPISO EM ARGAMASSA PRONTA, PREPARO MECÂNICO COM MISTURADOR 300 KG, APLICADO EM ÁREAS SECAS SOBRE LAJE, ADERIDO, ACABAMENTO NÃO REFORÇADO, ESPESSURA 3CM. AF_07/2021</t>
  </si>
  <si>
    <t>70,41</t>
  </si>
  <si>
    <t>87634</t>
  </si>
  <si>
    <t>CONTRAPISO EM ARGAMASSA PRONTA, PREPARO MANUAL, APLICADO EM ÁREAS SECAS SOBRE LAJE, ADERIDO, ACABAMENTO NÃO REFORÇADO, ESPESSURA 3CM. AF_07/2021</t>
  </si>
  <si>
    <t>77,57</t>
  </si>
  <si>
    <t>87640</t>
  </si>
  <si>
    <t>CONTRAPISO EM ARGAMASSA TRAÇO 1:4 (CIMENTO E AREIA), PREPARO MECÂNICO COM BETONEIRA 400 L, APLICADO EM ÁREAS SECAS SOBRE LAJE, ADERIDO, ACABAMENTO NÃO REFORÇADO, ESPESSURA 4CM. AF_07/2021</t>
  </si>
  <si>
    <t>35,25</t>
  </si>
  <si>
    <t>87642</t>
  </si>
  <si>
    <t>CONTRAPISO EM ARGAMASSA TRAÇO 1:4 (CIMENTO E AREIA), PREPARO MANUAL, APLICADO EM ÁREAS SECAS SOBRE LAJE, ADERIDO, ACABAMENTO NÃO REFORÇADO, ESPESSURA 4CM. AF_07/2021</t>
  </si>
  <si>
    <t>87643</t>
  </si>
  <si>
    <t>CONTRAPISO EM ARGAMASSA PRONTA, PREPARO MECÂNICO COM MISTURADOR 300 KG, APLICADO EM ÁREAS SECAS SOBRE LAJE, ADERIDO, ACABAMENTO NÃO REFORÇADO, ESPESSURA 4CM. AF_07/2021</t>
  </si>
  <si>
    <t>84,90</t>
  </si>
  <si>
    <t>87644</t>
  </si>
  <si>
    <t>CONTRAPISO EM ARGAMASSA PRONTA, PREPARO MANUAL, APLICADO EM ÁREAS SECAS SOBRE LAJE, ADERIDO, ACABAMENTO NÃO REFORÇADO, ESPESSURA 4CM. AF_07/2021</t>
  </si>
  <si>
    <t>93,70</t>
  </si>
  <si>
    <t>87680</t>
  </si>
  <si>
    <t>CONTRAPISO EM ARGAMASSA TRAÇO 1:4 (CIMENTO E AREIA), PREPARO MECÂNICO COM BETONEIRA 400 L, APLICADO EM ÁREAS SECAS SOBRE LAJE, NÃO ADERIDO, ACABAMENTO NÃO REFORÇADO, ESPESSURA 4CM. AF_07/2021</t>
  </si>
  <si>
    <t>31,59</t>
  </si>
  <si>
    <t>87682</t>
  </si>
  <si>
    <t>CONTRAPISO EM ARGAMASSA TRAÇO 1:4 (CIMENTO E AREIA), PREPARO MANUAL, APLICADO EM ÁREAS SECAS SOBRE LAJE, NÃO ADERIDO, ACABAMENTO NÃO REFORÇADO, ESPESSURA 4CM. AF_07/2021</t>
  </si>
  <si>
    <t>36,02</t>
  </si>
  <si>
    <t>87683</t>
  </si>
  <si>
    <t>CONTRAPISO EM ARGAMASSA PRONTA, PREPARO MECÂNICO COM MISTURADOR 300 KG, APLICADO EM ÁREAS SECAS SOBRE LAJE, NÃO ADERIDO, ACABAMENTO NÃO REFORÇADO, ESPESSURA 4CM. AF_07/2021</t>
  </si>
  <si>
    <t>81,24</t>
  </si>
  <si>
    <t>87684</t>
  </si>
  <si>
    <t>CONTRAPISO EM ARGAMASSA PRONTA, PREPARO MANUAL, APLICADO EM ÁREAS SECAS SOBRE LAJE, NÃO ADERIDO, ACABAMENTO NÃO REFORÇADO, ESPESSURA 4CM. AF_07/2021</t>
  </si>
  <si>
    <t>90,04</t>
  </si>
  <si>
    <t>87690</t>
  </si>
  <si>
    <t>CONTRAPISO EM ARGAMASSA TRAÇO 1:4 (CIMENTO E AREIA), PREPARO MECÂNICO COM BETONEIRA 400 L, APLICADO EM ÁREAS SECAS SOBRE LAJE, NÃO ADERIDO, ACABAMENTO NÃO REFORÇADO, ESPESSURA 5CM. AF_07/2021</t>
  </si>
  <si>
    <t>36,21</t>
  </si>
  <si>
    <t>87692</t>
  </si>
  <si>
    <t>CONTRAPISO EM ARGAMASSA TRAÇO 1:4 (CIMENTO E AREIA), PREPARO MANUAL, APLICADO EM ÁREAS SECAS SOBRE LAJE, NÃO ADERIDO, ACABAMENTO NÃO REFORÇADO, ESPESSURA 5CM. AF_07/2021</t>
  </si>
  <si>
    <t>41,28</t>
  </si>
  <si>
    <t>87693</t>
  </si>
  <si>
    <t>CONTRAPISO EM ARGAMASSA PRONTA, PREPARO MECÂNICO COM MISTURADOR 300 KG, APLICADO EM ÁREAS SECAS SOBRE LAJE, NÃO ADERIDO, ESPESSURA 5CM. AF_07/2021</t>
  </si>
  <si>
    <t>93,07</t>
  </si>
  <si>
    <t>87694</t>
  </si>
  <si>
    <t>CONTRAPISO EM ARGAMASSA PRONTA, PREPARO MANUAL, APLICADO EM ÁREAS SECAS SOBRE LAJE, NÃO ADERIDO, ACABAMENTO NÃO REFORÇADO, ESPESSURA 5CM. AF_07/2021</t>
  </si>
  <si>
    <t>87700</t>
  </si>
  <si>
    <t>CONTRAPISO EM ARGAMASSA TRAÇO 1:4 (CIMENTO E AREIA), PREPARO MECÂNICO COM BETONEIRA 400 L, APLICADO EM ÁREAS SECAS SOBRE LAJE, NÃO ADERIDO, ACABAMENTO NÃO REFORÇADO, ESPESSURA 6CM. AF_07/2021</t>
  </si>
  <si>
    <t>87702</t>
  </si>
  <si>
    <t>CONTRAPISO EM ARGAMASSA TRAÇO 1:4 (CIMENTO E AREIA), PREPARO MANUAL, APLICADO EM ÁREAS SECAS SOBRE LAJE, NÃO ADERIDO, ACABAMENTO NÃO REFORÇADO, ESPESSURA 6CM. AF_07/2021</t>
  </si>
  <si>
    <t>44,56</t>
  </si>
  <si>
    <t>87703</t>
  </si>
  <si>
    <t>CONTRAPISO EM ARGAMASSA PRONTA, PREPARO MECÂNICO COM MISTURADOR 300 KG, APLICADO EM ÁREAS SECAS SOBRE LAJE, NÃO ADERIDO, ACABAMENTO NÃO REFORÇADO, ESPESSURA 6CM. AF_07/2021</t>
  </si>
  <si>
    <t>100,95</t>
  </si>
  <si>
    <t>87704</t>
  </si>
  <si>
    <t>CONTRAPISO EM ARGAMASSA PRONTA, PREPARO MANUAL, APLICADO EM ÁREAS SECAS SOBRE LAJE, NÃO ADERIDO, ACABAMENTO NÃO REFORÇADO, ESPESSURA 6CM. AF_07/2021</t>
  </si>
  <si>
    <t>111,93</t>
  </si>
  <si>
    <t>87735</t>
  </si>
  <si>
    <t>CONTRAPISO EM ARGAMASSA TRAÇO 1:4 (CIMENTO E AREIA), PREPARO MECÂNICO COM BETONEIRA 400 L, APLICADO EM ÁREAS MOLHADAS SOBRE LAJE, ADERIDO, ACABAMENTO NÃO REFORÇADO, ESPESSURA 2CM. AF_07/2021</t>
  </si>
  <si>
    <t>34,51</t>
  </si>
  <si>
    <t>87737</t>
  </si>
  <si>
    <t>CONTRAPISO EM ARGAMASSA TRAÇO 1:4 (CIMENTO E AREIA), PREPARO MANUAL, APLICADO EM ÁREAS MOLHADAS SOBRE LAJE, ADERIDO, ACABAMENTO NÃO REFORÇADO, ESPESSURA 2CM. AF_07/2021</t>
  </si>
  <si>
    <t>87738</t>
  </si>
  <si>
    <t>CONTRAPISO EM ARGAMASSA PRONTA, PREPARO MECÂNICO COM MISTURADOR 300 KG, APLICADO EM ÁREAS MOLHADAS SOBRE LAJE, ADERIDO, ACABAMENTO NÃO REFORÇADO, ESPESSURA 2CM. AF_07/2021</t>
  </si>
  <si>
    <t>63,54</t>
  </si>
  <si>
    <t>87739</t>
  </si>
  <si>
    <t>CONTRAPISO EM ARGAMASSA PRONTA, PREPARO MANUAL, APLICADO EM ÁREAS MOLHADAS SOBRE LAJE, ADERIDO, ACABAMENTO NÃO REFORÇADO, ESPESSURA 2CM. AF_07/2021</t>
  </si>
  <si>
    <t>68,69</t>
  </si>
  <si>
    <t>87745</t>
  </si>
  <si>
    <t>CONTRAPISO EM ARGAMASSA TRAÇO 1:4 (CIMENTO E AREIA), PREPARO MECÂNICO COM BETONEIRA 400 L, APLICADO EM ÁREAS MOLHADAS SOBRE LAJE, ADERIDO, ACABAMENTO NÃO REFORÇADO, ESPESSURA 3CM. AF_07/2021</t>
  </si>
  <si>
    <t>40,87</t>
  </si>
  <si>
    <t>87747</t>
  </si>
  <si>
    <t>CONTRAPISO EM ARGAMASSA TRAÇO 1:4 (CIMENTO E AREIA), PREPARO MANUAL, APLICADO EM ÁREAS MOLHADAS SOBRE LAJE, ADERIDO, ACABAMENTO NÃO REFORÇADO, ESPESSURA 3CM. AF_07/2021</t>
  </si>
  <si>
    <t>44,47</t>
  </si>
  <si>
    <t>87748</t>
  </si>
  <si>
    <t>CONTRAPISO EM ARGAMASSA PRONTA, PREPARO MECÂNICO COM MISTURADOR 300 KG, APLICADO EM ÁREAS MOLHADAS SOBRE LAJE, ADERIDO, ACABAMENTO NÃO REFORÇADO, ESPESSURA 3CM. AF_07/2021</t>
  </si>
  <si>
    <t>87749</t>
  </si>
  <si>
    <t>CONTRAPISO EM ARGAMASSA PRONTA, PREPARO MANUAL, APLICADO EM ÁREAS MOLHADAS SOBRE LAJE, ADERIDO, ACABAMENTO NÃO REFORÇADO, ESPESSURA 3CM. AF_07/2021</t>
  </si>
  <si>
    <t>88,40</t>
  </si>
  <si>
    <t>87755</t>
  </si>
  <si>
    <t>CONTRAPISO EM ARGAMASSA TRAÇO 1:4 (CIMENTO E AREIA), PREPARO MECÂNICO COM BETONEIRA 400 L, APLICADO EM ÁREAS MOLHADAS SOBRE IMPERMEABILIZAÇÃO, ACABAMENTO NÃO REFORÇADO, ESPESSURA 3CM. AF_07/2021</t>
  </si>
  <si>
    <t>39,25</t>
  </si>
  <si>
    <t>87757</t>
  </si>
  <si>
    <t>CONTRAPISO EM ARGAMASSA TRAÇO 1:4 (CIMENTO E AREIA), PREPARO MANUAL, APLICADO EM ÁREAS MOLHADAS SOBRE IMPERMEABILIZAÇÃO, ACABAMENTO NÃO REFORÇADO, ESPESSURA 3CM. AF_07/2021</t>
  </si>
  <si>
    <t>87758</t>
  </si>
  <si>
    <t>CONTRAPISO EM ARGAMASSA PRONTA, PREPARO MECÂNICO COM MISTURADOR 300 KG, APLICADO EM ÁREAS MOLHADAS SOBRE IMPERMEABILIZAÇÃO, ACABAMENTO NÃO REFORÇADO, ESPESSURA 3CM. AF_07/2021</t>
  </si>
  <si>
    <t>79,62</t>
  </si>
  <si>
    <t>87759</t>
  </si>
  <si>
    <t>CONTRAPISO EM ARGAMASSA PRONTA, PREPARO MANUAL, APLICADO EM ÁREAS MOLHADAS SOBRE IMPERMEABILIZAÇÃO, ACABAMENTO NÃO REFORÇADO, ESPESSURA 3CM. AF_07/2021</t>
  </si>
  <si>
    <t>87765</t>
  </si>
  <si>
    <t>CONTRAPISO EM ARGAMASSA TRAÇO 1:4 (CIMENTO E AREIA), PREPARO MECÂNICO COM BETONEIRA 400 L, APLICADO EM ÁREAS MOLHADAS SOBRE IMPERMEABILIZAÇÃO, ACABAMENTO NÃO REFORÇADO, ESPESSURA 4CM. AF_07/2021</t>
  </si>
  <si>
    <t>44,49</t>
  </si>
  <si>
    <t>87767</t>
  </si>
  <si>
    <t>CONTRAPISO EM ARGAMASSA TRAÇO 1:4 (CIMENTO E AREIA), PREPARO MANUAL, APLICADO EM ÁREAS MOLHADAS SOBRE IMPERMEABILIZAÇÃO, ACABAMENTO NÃO REFORÇADO, ESPESSURA 4CM. AF_07/2021</t>
  </si>
  <si>
    <t>87768</t>
  </si>
  <si>
    <t>CONTRAPISO EM ARGAMASSA PRONTA, PREPARO MECÂNICO COM MISTURADOR 300 KG, APLICADO EM ÁREAS MOLHADAS SOBRE IMPERMEABILIZAÇÃO, ACABAMENTO NÃO REFORÇADO, ESPESSURA 4CM. AF_07/2021</t>
  </si>
  <si>
    <t>94,14</t>
  </si>
  <si>
    <t>87769</t>
  </si>
  <si>
    <t>CONTRAPISO EM ARGAMASSA PRONTA, PREPARO MANUAL, APLICADO EM ÁREAS MOLHADAS SOBRE IMPERMEABILIZAÇÃO, ACABAMENTO NÃO REFORÇADO, ESPESSURA 4CM. AF_07/2021</t>
  </si>
  <si>
    <t>102,94</t>
  </si>
  <si>
    <t>88470</t>
  </si>
  <si>
    <t>CONTRAPISO COM ARGAMASSA AUTONIVELANTE, APLICADO SOBRE LAJE, NÃO ADERIDO, ESPESSURA 3CM. AF_07/2021</t>
  </si>
  <si>
    <t>88471</t>
  </si>
  <si>
    <t>CONTRAPISO COM ARGAMASSA AUTONIVELANTE, APLICADO SOBRE LAJE, NÃO ADERIDO, ESPESSURA 4CM. AF_07/2021</t>
  </si>
  <si>
    <t>88472</t>
  </si>
  <si>
    <t>CONTRAPISO COM ARGAMASSA AUTONIVELANTE, APLICADO SOBRE LAJE, NÃO ADERIDO, ESPESSURA 5CM. AF_07/2021</t>
  </si>
  <si>
    <t>24,82</t>
  </si>
  <si>
    <t>88476</t>
  </si>
  <si>
    <t>CONTRAPISO COM ARGAMASSA AUTONIVELANTE, APLICADO SOBRE LAJE, ADERIDO, ESPESSURA 2CM. AF_07/2021</t>
  </si>
  <si>
    <t>88477</t>
  </si>
  <si>
    <t>CONTRAPISO COM ARGAMASSA AUTONIVELANTE, APLICADO SOBRE LAJE, ADERIDO, ESPESSURA 3CM. AF_07/2021</t>
  </si>
  <si>
    <t>88478</t>
  </si>
  <si>
    <t>CONTRAPISO COM ARGAMASSA AUTONIVELANTE, APLICADO SOBRE LAJE, ADERIDO, ESPESSURA 4CM. AF_07/2021</t>
  </si>
  <si>
    <t>24,70</t>
  </si>
  <si>
    <t>90930</t>
  </si>
  <si>
    <t>CONTRAPISO ACÚSTICO EM ARGAMASSA TRAÇO 1:4 (CIMENTO E AREIA), PREPARO MECÂNICO COM BETONEIRA 400L, APLICADO EM ÁREAS SECAS, ACABAMENTO NÃO REFORÇADO, ESPESSURA 5CM. AF_07/2021</t>
  </si>
  <si>
    <t>67,74</t>
  </si>
  <si>
    <t>90932</t>
  </si>
  <si>
    <t>CONTRAPISO ACÚSTICO EM ARGAMASSA TRAÇO 1:4 (CIMENTO E AREIA), PREPARO MANUAL, APLICADO EM ÁREAS SECAS, ACABAMENTO NÃO REFORÇADO, ESPESSURA 5CM. AF_07/2021</t>
  </si>
  <si>
    <t>72,81</t>
  </si>
  <si>
    <t>90933</t>
  </si>
  <si>
    <t>CONTRAPISO ACÚSTICO EM ARGAMASSA PRONTA, PREPARO MECÂNICO COM MISTURADOR 300 KG, APLICADO EM ÁREAS SECAS, ACABAMENTO NÃO REFORÇADO, ESPESSURA 5CM. AF_07/2021</t>
  </si>
  <si>
    <t>124,60</t>
  </si>
  <si>
    <t>90934</t>
  </si>
  <si>
    <t>CONTRAPISO ACÚSTICO EM ARGAMASSA PRONTA, PREPARO MANUAL, APLICADO EM ÁREAS SECAS, ACABAMENTO NÃO REFORÇADO, ESPESSURA 5CM. AF_07/2021</t>
  </si>
  <si>
    <t>134,68</t>
  </si>
  <si>
    <t>90940</t>
  </si>
  <si>
    <t>CONTRAPISO ACÚSTICO EM ARGAMASSA TRAÇO 1:4 (CIMENTO E AREIA), PREPARO MECÂNICO COM BETONEIRA 400L, APLICADO EM ÁREAS SECAS, ACABAMENTO NÃO REFORÇADO, ESPESSURA 6CM. AF_07/2021</t>
  </si>
  <si>
    <t>71,73</t>
  </si>
  <si>
    <t>90942</t>
  </si>
  <si>
    <t>CONTRAPISO ACÚSTICO EM ARGAMASSA TRAÇO 1:4 (CIMENTO E AREIA), PREPARO MANUAL, APLICADO EM ÁREAS SECAS, ACABAMENTO NÃO REFORÇADO, ESPESSURA 6CM. AF_07/2021</t>
  </si>
  <si>
    <t>77,26</t>
  </si>
  <si>
    <t>90943</t>
  </si>
  <si>
    <t>CONTRAPISO ACÚSTICO EM ARGAMASSA PRONTA, PREPARO MECÂNICO COM MISTURADOR 300 KG, APLICADO EM ÁREAS SECAS, ACABAMENTO NÃO REFORÇADO, ESPESSURA 6CM. AF_07/2021</t>
  </si>
  <si>
    <t>133,65</t>
  </si>
  <si>
    <t>90944</t>
  </si>
  <si>
    <t>CONTRAPISO ACÚSTICO EM ARGAMASSA PRONTA, PREPARO MANUAL, APLICADO EM ÁREAS SECA, ACABAMENTO NÃO REFORÇADO, ESPESSURA 6CM. AF_07/2021</t>
  </si>
  <si>
    <t>144,63</t>
  </si>
  <si>
    <t>90950</t>
  </si>
  <si>
    <t>CONTRAPISO ACÚSTICO EM ARGAMASSA TRAÇO 1:4 (CIMENTO E AREIA), PREPARO MECÂNICO COM BETONEIRA 400L, APLICADO EM ÁREAS SECAS, ACABAMENTO NÃO REFORÇADO, ESPESSURA 7CM. AF_07/2021</t>
  </si>
  <si>
    <t>79,05</t>
  </si>
  <si>
    <t>90952</t>
  </si>
  <si>
    <t>CONTRAPISO ACÚSTICO EM ARGAMASSA TRAÇO 1:4 (CIMENTO E AREIA), PREPARO MANUAL, APLICADO EM ÁREAS SECAS, ACABAMENTO NÃO REFORÇADO, ESPESSURA 7CM. AF_07/2021</t>
  </si>
  <si>
    <t>85,40</t>
  </si>
  <si>
    <t>90953</t>
  </si>
  <si>
    <t>CONTRAPISO ACÚSTICO EM ARGAMASSA PRONTA, PREPARO MECÂNICO COM MISTURADOR 300 KG, APLICADO EM ÁREAS SECAS, ACABAMENTO NÃO REFORÇADO, ESPESSURA 7CM. AF_07/2021</t>
  </si>
  <si>
    <t>150,24</t>
  </si>
  <si>
    <t>90954</t>
  </si>
  <si>
    <t>CONTRAPISO ACÚSTICO EM ARGAMASSA PRONTA, PREPARO MANUAL, APLICADO EM ÁREAS SECAS, ACABAMENTO NÃO REFORÇADO, ESPESSURA 7CM. AF_07/2021</t>
  </si>
  <si>
    <t>162,86</t>
  </si>
  <si>
    <t>94438</t>
  </si>
  <si>
    <t>(COMPOSIÇÃO REPRESENTATIVA) DO SERVIÇO DE CONTRAPISO EM ARGAMASSA TRAÇO 1:4 (CIM E AREIA), EM BETONEIRA 400 L, ESPESSURA 3 CM ÁREAS SECAS E 3 CM ÁREAS MOLHADAS, PARA EDIFICAÇÃO HABITACIONAL UNIFAMILIAR (CASA) E EDIFICAÇÃO PÚBLICA PADRÃO. AF_11/2014</t>
  </si>
  <si>
    <t>33,68</t>
  </si>
  <si>
    <t>94439</t>
  </si>
  <si>
    <t>(COMPOSIÇÃO REPRESENTATIVA) DO SERVIÇO DE CONTRAPISO EM ARGAMASSA TRAÇO 1:4 (CIM E AREIA), BETONEIRA 400 L, E = 4 CM ÁREAS SECAS E  MOLHADAS SOBRE LAJE , E = 3 CM ÁREAS MOLHADAS SOBRE IMPERMEABILIZAÇÃO, CASA E EDIFICAÇÃO PÚBLICA PADRÃO. AF_11/2014</t>
  </si>
  <si>
    <t>37,86</t>
  </si>
  <si>
    <t>94779</t>
  </si>
  <si>
    <t>(COMPOSIÇÃO REPRESENTATIVA) DO SERVIÇO DE CONTRAPISO EM ARGAMASSA TRAÇO 1:4 (CIM E AREIA), EM BETONEIRA 400 L, ESPESSURA 3 CM ÁREAS SECAS E 3 CM ÁREAS MOLHADAS, PARA EDIFICAÇÃO HABITACIONAL MULTIFAMILIAR (PRÉDIO). AF_11/2014</t>
  </si>
  <si>
    <t>32,29</t>
  </si>
  <si>
    <t>94782</t>
  </si>
  <si>
    <t>(COMPOSIÇÃO REPRESENTATIVA) DO SERVIÇO DE CONTRAPISO EM ARGAMASSA TRAÇO 1:4 (CIM E AREIA), BETONEIRA 400 L, E = 4 CM ÁREAS SECAS E  MOLHADAS SOBRE LAJE , E = 3 CM ÁREAS MOLHADAS SOBRE IMPERMEABILIZAÇÃO, PARA EDIFICAÇÃO MULTIFAMILIAR. AF_11/2014</t>
  </si>
  <si>
    <t>36,91</t>
  </si>
  <si>
    <t>102803</t>
  </si>
  <si>
    <t>REFORÇO SUPERFICIAL PARA CONTRAPISOS DE ARGAMASSA SEMI-SECA. AF_07/2021</t>
  </si>
  <si>
    <t>2,06</t>
  </si>
  <si>
    <t>101742</t>
  </si>
  <si>
    <t>RODAPÉ BORRACHA LISO, ALTURA = 7CM, ESPESSURA = 2 MM, PARA ARGAMASSA. AF_09/2020</t>
  </si>
  <si>
    <t>54,28</t>
  </si>
  <si>
    <t>87871</t>
  </si>
  <si>
    <t>CHAPISCO APLICADO SOMENTE EM ESTRUTURAS DE CONCRETO EM ALVENARIAS INTERNAS, COM DESEMPENADEIRA DENTADA. ARGAMASSA INDUSTRIALIZADA COM PREPARO MANUAL. AF_06/2014</t>
  </si>
  <si>
    <t>87872</t>
  </si>
  <si>
    <t>CHAPISCO APLICADO SOMENTE EM ESTRUTURAS DE CONCRETO EM ALVENARIAS INTERNAS, COM DESEMPENADEIRA DENTADA.  ARGAMASSA INDUSTRIALIZADA COM PREPARO EM MISTURADOR 300 KG. AF_06/2014</t>
  </si>
  <si>
    <t>87873</t>
  </si>
  <si>
    <t>CHAPISCO APLICADO EM ALVENARIAS E ESTRUTURAS DE CONCRETO INTERNAS, COM ROLO PARA TEXTURA ACRÍLICA.  ARGAMASSA TRAÇO 1:4 E EMULSÃO POLIMÉRICA (ADESIVO) COM PREPARO MANUAL. AF_06/2014</t>
  </si>
  <si>
    <t>87874</t>
  </si>
  <si>
    <t>CHAPISCO APLICADO EM ALVENARIAS E ESTRUTURAS DE CONCRETO INTERNAS, COM ROLO PARA TEXTURA ACRÍLICA.  ARGAMASSA TRAÇO 1:4 E EMULSÃO POLIMÉRICA (ADESIVO) COM PREPARO EM BETONEIRA 400L. AF_06/2014</t>
  </si>
  <si>
    <t>5,08</t>
  </si>
  <si>
    <t>87876</t>
  </si>
  <si>
    <t>CHAPISCO APLICADO EM ALVENARIAS E ESTRUTURAS DE CONCRETO INTERNAS, COM ROLO PARA TEXTURA ACRÍLICA.  ARGAMASSA INDUSTRIALIZADA COM PREPARO MANUAL. AF_06/2014</t>
  </si>
  <si>
    <t>6,85</t>
  </si>
  <si>
    <t>87877</t>
  </si>
  <si>
    <t>CHAPISCO APLICADO EM ALVENARIAS E ESTRUTURAS DE CONCRETO INTERNAS, COM ROLO PARA TEXTURA ACRÍLICA.  ARGAMASSA INDUSTRIALIZADA COM PREPARO EM MISTURADOR 300 KG. AF_06/2014</t>
  </si>
  <si>
    <t>87878</t>
  </si>
  <si>
    <t>CHAPISCO APLICADO EM ALVENARIAS E ESTRUTURAS DE CONCRETO INTERNAS, COM COLHER DE PEDREIRO.  ARGAMASSA TRAÇO 1:3 COM PREPARO MANUAL. AF_06/2014</t>
  </si>
  <si>
    <t>3,96</t>
  </si>
  <si>
    <t>87879</t>
  </si>
  <si>
    <t>CHAPISCO APLICADO EM ALVENARIAS E ESTRUTURAS DE CONCRETO INTERNAS, COM COLHER DE PEDREIRO.  ARGAMASSA TRAÇO 1:3 COM PREPARO EM BETONEIRA 400L. AF_06/2014</t>
  </si>
  <si>
    <t>87881</t>
  </si>
  <si>
    <t>CHAPISCO APLICADO NO TETO, COM ROLO PARA TEXTURA ACRÍLICA. ARGAMASSA TRAÇO 1:4 E EMULSÃO POLIMÉRICA (ADESIVO) COM PREPARO MANUAL. AF_06/2014</t>
  </si>
  <si>
    <t>87882</t>
  </si>
  <si>
    <t>CHAPISCO APLICADO NO TETO, COM ROLO PARA TEXTURA ACRÍLICA. ARGAMASSA TRAÇO 1:4 E EMULSÃO POLIMÉRICA (ADESIVO) COM PREPARO EM BETONEIRA 400L. AF_06/2014</t>
  </si>
  <si>
    <t>87884</t>
  </si>
  <si>
    <t>CHAPISCO APLICADO NO TETO, COM ROLO PARA TEXTURA ACRÍLICA. ARGAMASSA INDUSTRIALIZADA COM PREPARO MANUAL. AF_06/2014</t>
  </si>
  <si>
    <t>87885</t>
  </si>
  <si>
    <t>CHAPISCO APLICADO NO TETO, COM ROLO PARA TEXTURA ACRÍLICA. ARGAMASSA INDUSTRIALIZADA COM PREPARO EM MISTURADOR 300 KG. AF_06/2014</t>
  </si>
  <si>
    <t>87886</t>
  </si>
  <si>
    <t>CHAPISCO APLICADO NO TETO, COM DESEMPENADEIRA DENTADA. ARGAMASSA INDUSTRIALIZADA COM PREPARO MANUAL. AF_06/2014</t>
  </si>
  <si>
    <t>87887</t>
  </si>
  <si>
    <t>CHAPISCO APLICADO NO TETO, COM DESEMPENADEIRA DENTADA. ARGAMASSA INDUSTRIALIZADA COM PREPARO EM MISTURADOR 300 KG. AF_06/2014</t>
  </si>
  <si>
    <t>17,72</t>
  </si>
  <si>
    <t>87888</t>
  </si>
  <si>
    <t>CHAPISCO APLICADO EM ALVENARIA (SEM PRESENÇA DE VÃOS) E ESTRUTURAS DE CONCRETO DE FACHADA, COM ROLO PARA TEXTURA ACRÍLICA.  ARGAMASSA TRAÇO 1:4 E EMULSÃO POLIMÉRICA (ADESIVO) COM PREPARO MANUAL. AF_06/2014</t>
  </si>
  <si>
    <t>87889</t>
  </si>
  <si>
    <t>CHAPISCO APLICADO EM ALVENARIA (SEM PRESENÇA DE VÃOS) E ESTRUTURAS DE CONCRETO DE FACHADA, COM ROLO PARA TEXTURA ACRÍLICA.  ARGAMASSA TRAÇO 1:4 E EMULSÃO POLIMÉRICA (ADESIVO) COM PREPARO EM BETONEIRA 400L. AF_06/2014</t>
  </si>
  <si>
    <t>87891</t>
  </si>
  <si>
    <t>CHAPISCO APLICADO EM ALVENARIA (SEM PRESENÇA DE VÃOS) E ESTRUTURAS DE CONCRETO DE FACHADA, COM ROLO PARA TEXTURA ACRÍLICA.  ARGAMASSA INDUSTRIALIZADA COM PREPARO MANUAL. AF_06/2014</t>
  </si>
  <si>
    <t>8,21</t>
  </si>
  <si>
    <t>87892</t>
  </si>
  <si>
    <t>CHAPISCO APLICADO EM ALVENARIA (SEM PRESENÇA DE VÃOS) E ESTRUTURAS DE CONCRETO DE FACHADA, COM ROLO PARA TEXTURA ACRÍLICA.  ARGAMASSA INDUSTRIALIZADA COM PREPARO EM MISTURADOR 300 KG. AF_06/2014</t>
  </si>
  <si>
    <t>87893</t>
  </si>
  <si>
    <t>CHAPISCO APLICADO EM ALVENARIA (SEM PRESENÇA DE VÃOS) E ESTRUTURAS DE CONCRETO DE FACHADA, COM COLHER DE PEDREIRO.  ARGAMASSA TRAÇO 1:3 COM PREPARO MANUAL. AF_06/2014</t>
  </si>
  <si>
    <t>6,33</t>
  </si>
  <si>
    <t>87894</t>
  </si>
  <si>
    <t>CHAPISCO APLICADO EM ALVENARIA (SEM PRESENÇA DE VÃOS) E ESTRUTURAS DE CONCRETO DE FACHADA, COM COLHER DE PEDREIRO.  ARGAMASSA TRAÇO 1:3 COM PREPARO EM BETONEIRA 400L. AF_06/2014</t>
  </si>
  <si>
    <t>5,93</t>
  </si>
  <si>
    <t>87896</t>
  </si>
  <si>
    <t>CHAPISCO APLICADO EM ALVENARIA (SEM PRESENÇA DE VÃOS) E ESTRUTURAS DE CONCRETO DE FACHADA, COM EQUIPAMENTO DE PROJEÇÃO.  ARGAMASSA TRAÇO 1:3 COM PREPARO MANUAL. AF_06/2014</t>
  </si>
  <si>
    <t>87897</t>
  </si>
  <si>
    <t>CHAPISCO APLICADO EM ALVENARIA (SEM PRESENÇA DE VÃOS) E ESTRUTURAS DE CONCRETO DE FACHADA, COM EQUIPAMENTO DE PROJEÇÃO.  ARGAMASSA TRAÇO 1:3 COM PREPARO EM BETONEIRA 400 L. AF_06/2014</t>
  </si>
  <si>
    <t>5,34</t>
  </si>
  <si>
    <t>87899</t>
  </si>
  <si>
    <t>CHAPISCO APLICADO EM ALVENARIA (COM PRESENÇA DE VÃOS) E ESTRUTURAS DE CONCRETO DE FACHADA, COM ROLO PARA TEXTURA ACRÍLICA.  ARGAMASSA TRAÇO 1:4 E EMULSÃO POLIMÉRICA (ADESIVO) COM PREPARO MANUAL. AF_06/2014</t>
  </si>
  <si>
    <t>7,76</t>
  </si>
  <si>
    <t>87900</t>
  </si>
  <si>
    <t>CHAPISCO APLICADO EM ALVENARIA (COM PRESENÇA DE VÃOS) E ESTRUTURAS DE CONCRETO DE FACHADA, COM ROLO PARA TEXTURA ACRÍLICA.  ARGAMASSA TRAÇO 1:4 E EMULSÃO POLIMÉRICA (ADESIVO) COM PREPARO EM BETONEIRA 400L. AF_06/2014</t>
  </si>
  <si>
    <t>87902</t>
  </si>
  <si>
    <t>CHAPISCO APLICADO EM ALVENARIA (COM PRESENÇA DE VÃOS) E ESTRUTURAS DE CONCRETO DE FACHADA, COM ROLO PARA TEXTURA ACRÍLICA.  ARGAMASSA INDUSTRIALIZADA COM PREPARO MANUAL. AF_06/2014</t>
  </si>
  <si>
    <t>9,41</t>
  </si>
  <si>
    <t>87903</t>
  </si>
  <si>
    <t>CHAPISCO APLICADO EM ALVENARIA (COM PRESENÇA DE VÃOS) E ESTRUTURAS DE CONCRETO DE FACHADA, COM ROLO PARA TEXTURA ACRÍLICA.  ARGAMASSA INDUSTRIALIZADA COM PREPARO EM MISTURADOR 300 KG. AF_06/2014</t>
  </si>
  <si>
    <t>87904</t>
  </si>
  <si>
    <t>CHAPISCO APLICADO EM ALVENARIA (COM PRESENÇA DE VÃOS) E ESTRUTURAS DE CONCRETO DE FACHADA, COM COLHER DE PEDREIRO.  ARGAMASSA TRAÇO 1:3 COM PREPARO MANUAL. AF_06/2014</t>
  </si>
  <si>
    <t>8,34</t>
  </si>
  <si>
    <t>87905</t>
  </si>
  <si>
    <t>CHAPISCO APLICADO EM ALVENARIA (COM PRESENÇA DE VÃOS) E ESTRUTURAS DE CONCRETO DE FACHADA, COM COLHER DE PEDREIRO.  ARGAMASSA TRAÇO 1:3 COM PREPARO EM BETONEIRA 400L. AF_06/2014</t>
  </si>
  <si>
    <t>7,94</t>
  </si>
  <si>
    <t>87907</t>
  </si>
  <si>
    <t>CHAPISCO APLICADO EM ALVENARIA (COM PRESENÇA DE VÃOS) E ESTRUTURAS DE CONCRETO DE FACHADA, COM EQUIPAMENTO DE PROJEÇÃO.  ARGAMASSA TRAÇO 1:3 COM PREPARO MANUAL. AF_06/2014</t>
  </si>
  <si>
    <t>7,51</t>
  </si>
  <si>
    <t>87908</t>
  </si>
  <si>
    <t>CHAPISCO APLICADO EM ALVENARIA (COM PRESENÇA DE VÃOS) E ESTRUTURAS DE CONCRETO DE FACHADA, COM EQUIPAMENTO DE PROJEÇÃO.  ARGAMASSA TRAÇO 1:3 COM PREPARO EM BETONEIRA 400 L. AF_06/2014</t>
  </si>
  <si>
    <t>7,11</t>
  </si>
  <si>
    <t>87910</t>
  </si>
  <si>
    <t>CHAPISCO APLICADO SOMENTE NA ESTRUTURA DE CONCRETO DA FACHADA, COM DESEMPENADEIRA DENTADA. ARGAMASSA INDUSTRIALIZADA COM PREPARO MANUAL. AF_06/2014</t>
  </si>
  <si>
    <t>87911</t>
  </si>
  <si>
    <t>CHAPISCO APLICADO SOMENTE NA ESTRUTURA DE CONCRETO DA FACHADA, COM DESEMPENADEIRA DENTADA. ARGAMASSA INDUSTRIALIZADA COM PREPARO EM MISTURADOR 300 KG. AF_06/2014</t>
  </si>
  <si>
    <t>87411</t>
  </si>
  <si>
    <t>APLICAÇÃO MANUAL DE GESSO DESEMPENADO (SEM TALISCAS) EM TETO DE AMBIENTES DE ÁREA MAIOR QUE 10M², ESPESSURA DE 0,5CM. AF_06/2014</t>
  </si>
  <si>
    <t>87412</t>
  </si>
  <si>
    <t>APLICAÇÃO MANUAL DE GESSO DESEMPENADO (SEM TALISCAS) EM TETO DE AMBIENTES DE ÁREA ENTRE 5M² E 10M², ESPESSURA DE 0,5CM. AF_06/2014</t>
  </si>
  <si>
    <t>19,61</t>
  </si>
  <si>
    <t>87413</t>
  </si>
  <si>
    <t>APLICAÇÃO MANUAL DE GESSO DESEMPENADO (SEM TALISCAS) EM TETO DE AMBIENTES DE ÁREA MENOR QUE 5M², ESPESSURA DE 0,5CM. AF_06/2014</t>
  </si>
  <si>
    <t>87414</t>
  </si>
  <si>
    <t>APLICAÇÃO MANUAL DE GESSO DESEMPENADO (SEM TALISCAS) EM TETO DE AMBIENTES DE ÁREA MAIOR QUE 10M², ESPESSURA DE 1,0CM. AF_06/2014</t>
  </si>
  <si>
    <t>21,22</t>
  </si>
  <si>
    <t>87415</t>
  </si>
  <si>
    <t>APLICAÇÃO MANUAL DE GESSO DESEMPENADO (SEM TALISCAS) EM TETO DE AMBIENTES DE ÁREA ENTRE 5M² E 10M², ESPESSURA DE 1,0CM. AF_06/2014</t>
  </si>
  <si>
    <t>26,59</t>
  </si>
  <si>
    <t>87416</t>
  </si>
  <si>
    <t>APLICAÇÃO MANUAL DE GESSO DESEMPENADO (SEM TALISCAS) EM TETO DE AMBIENTES DE ÁREA MENOR QUE 5M², ESPESSURA DE 1,0CM. AF_06/2014</t>
  </si>
  <si>
    <t>87417</t>
  </si>
  <si>
    <t>APLICAÇÃO MANUAL DE GESSO DESEMPENADO (SEM TALISCAS) EM PAREDES DE AMBIENTES DE ÁREA MAIOR QUE 10M², ESPESSURA DE 0,5CM. AF_06/2014</t>
  </si>
  <si>
    <t>14,85</t>
  </si>
  <si>
    <t>87418</t>
  </si>
  <si>
    <t>APLICAÇÃO MANUAL DE GESSO DESEMPENADO (SEM TALISCAS) EM PAREDES DE AMBIENTES DE ÁREA ENTRE 5M² E 10M², ESPESSURA DE 0,5CM. AF_06/2014</t>
  </si>
  <si>
    <t>87419</t>
  </si>
  <si>
    <t>APLICAÇÃO MANUAL DE GESSO DESEMPENADO (SEM TALISCAS) EM PAREDES DE AMBIENTES DE ÁREA MENOR QUE 5M², ESPESSURA DE 0,5CM. AF_06/2014</t>
  </si>
  <si>
    <t>16,44</t>
  </si>
  <si>
    <t>87420</t>
  </si>
  <si>
    <t>APLICAÇÃO MANUAL DE GESSO DESEMPENADO (SEM TALISCAS) EM PAREDES DE AMBIENTES DE ÁREA MAIOR QUE 10M², ESPESSURA DE 1,0CM. AF_06/2014</t>
  </si>
  <si>
    <t>87421</t>
  </si>
  <si>
    <t>APLICAÇÃO MANUAL DE GESSO DESEMPENADO (SEM TALISCAS) EM PAREDES DE AMBIENTES DE ÁREA ENTRE 5M² E 10M², ESPESSURA DE 1,0CM. AF_06/2014</t>
  </si>
  <si>
    <t>23,02</t>
  </si>
  <si>
    <t>87422</t>
  </si>
  <si>
    <t>APLICAÇÃO MANUAL DE GESSO DESEMPENADO (SEM TALISCAS) EM PAREDES DE AMBIENTES DE ÁREA MENOR QUE 5M², ESPESSURA DE 1,0CM. AF_06/2014</t>
  </si>
  <si>
    <t>87423</t>
  </si>
  <si>
    <t>APLICAÇÃO MANUAL DE GESSO SARRAFEADO (COM TALISCAS) EM PAREDES DE AMBIENTES DE ÁREA MAIOR QUE 10M², ESPESSURA DE 1,0CM. AF_06/2014</t>
  </si>
  <si>
    <t>29,35</t>
  </si>
  <si>
    <t>87424</t>
  </si>
  <si>
    <t>APLICAÇÃO MANUAL DE GESSO SARRAFEADO (COM TALISCAS) EM PAREDES DE AMBIENTES DE ÁREA ENTRE 5M² E 10M², ESPESSURA DE 1,0CM. AF_06/2014</t>
  </si>
  <si>
    <t>87425</t>
  </si>
  <si>
    <t>APLICAÇÃO MANUAL DE GESSO SARRAFEADO (COM TALISCAS) EM PAREDES DE AMBIENTES DE ÁREA MENOR QUE 5M², ESPESSURA DE 1,0CM. AF_06/2014</t>
  </si>
  <si>
    <t>30,94</t>
  </si>
  <si>
    <t>87426</t>
  </si>
  <si>
    <t>APLICAÇÃO MANUAL DE GESSO SARRAFEADO (COM TALISCAS) EM PAREDES DE AMBIENTES DE ÁREA MAIOR QUE 10M², ESPESSURA DE 1,5CM. AF_06/2014</t>
  </si>
  <si>
    <t>34,75</t>
  </si>
  <si>
    <t>87427</t>
  </si>
  <si>
    <t>APLICAÇÃO MANUAL DE GESSO SARRAFEADO (COM TALISCAS) EM PAREDES DE AMBIENTES DE ÁREA ENTRE 5M² E 10M², ESPESSURA DE 1,5CM. AF_06/2014</t>
  </si>
  <si>
    <t>87428</t>
  </si>
  <si>
    <t>APLICAÇÃO MANUAL DE GESSO SARRAFEADO (COM TALISCAS) EM PAREDES DE AMBIENTES DE ÁREA MENOR QUE 5M², ESPESSURA DE 1,5CM. AF_06/2014</t>
  </si>
  <si>
    <t>36,34</t>
  </si>
  <si>
    <t>87429</t>
  </si>
  <si>
    <t>APLICAÇÃO DE GESSO PROJETADO COM EQUIPAMENTO DE PROJEÇÃO EM PAREDES DE AMBIENTES DE ÁREA MAIOR QUE 10M², DESEMPENADO (SEM TALISCAS), ESPESSURA DE 0,5CM. AF_06/2014</t>
  </si>
  <si>
    <t>15,54</t>
  </si>
  <si>
    <t>87430</t>
  </si>
  <si>
    <t>APLICAÇÃO DE GESSO PROJETADO COM EQUIPAMENTO DE PROJEÇÃO EM PAREDES DE AMBIENTES DE ÁREA ENTRE 5M² E 10M², DESEMPENADO (SEM TALISCAS), ESPESSURA DE 0,5CM. AF_06/2014</t>
  </si>
  <si>
    <t>15,94</t>
  </si>
  <si>
    <t>87431</t>
  </si>
  <si>
    <t>APLICAÇÃO DE GESSO PROJETADO COM EQUIPAMENTO DE PROJEÇÃO EM PAREDES DE AMBIENTES DE ÁREA MENOR QUE 5M², DESEMPENADO (SEM TALISCAS), ESPESSURA DE 0,5CM. AF_06/2014</t>
  </si>
  <si>
    <t>16,14</t>
  </si>
  <si>
    <t>87432</t>
  </si>
  <si>
    <t>APLICAÇÃO DE GESSO PROJETADO COM EQUIPAMENTO DE PROJEÇÃO EM PAREDES DE AMBIENTES DE ÁREA MAIOR QUE 10M², DESEMPENADO (SEM TALISCAS), ESPESSURA DE 1,0CM. AF_06/2014</t>
  </si>
  <si>
    <t>22,42</t>
  </si>
  <si>
    <t>87433</t>
  </si>
  <si>
    <t>APLICAÇÃO DE GESSO PROJETADO COM EQUIPAMENTO DE PROJEÇÃO EM PAREDES DE AMBIENTES DE ÁREA ENTRE 5M² E 10M², DESEMPENADO (SEM TALISCAS), ESPESSURA DE 1,0CM. AF_06/2014</t>
  </si>
  <si>
    <t>87434</t>
  </si>
  <si>
    <t>APLICAÇÃO DE GESSO PROJETADO COM EQUIPAMENTO DE PROJEÇÃO EM PAREDES DE AMBIENTES DE ÁREA MENOR QUE 5M², DESEMPENADO (SEM TALISCAS), ESPESSURA DE 1,0CM. AF_06/2014</t>
  </si>
  <si>
    <t>23,81</t>
  </si>
  <si>
    <t>87435</t>
  </si>
  <si>
    <t>APLICAÇÃO DE GESSO PROJETADO COM EQUIPAMENTO DE PROJEÇÃO EM PAREDES DE AMBIENTES DE ÁREA MAIOR QUE 10M², SARRAFEADO (COM TALISCAS), ESPESSURA DE 1,0CM. AF_06/2014</t>
  </si>
  <si>
    <t>25,01</t>
  </si>
  <si>
    <t>87436</t>
  </si>
  <si>
    <t>APLICAÇÃO DE GESSO PROJETADO COM EQUIPAMENTO DE PROJEÇÃO EM PAREDES DE AMBIENTES DE ÁREA ENTRE 5M² E 10M², SARRAFEADO (COM TALISCAS), ESPESSURA DE 1,0CM. AF_06/2014</t>
  </si>
  <si>
    <t>26,40</t>
  </si>
  <si>
    <t>87437</t>
  </si>
  <si>
    <t>APLICAÇÃO DE GESSO PROJETADO COM EQUIPAMENTO DE PROJEÇÃO EM PAREDES DE AMBIENTES DE ÁREA MENOR QUE 5M², SARRAFEADO (COM TALISCAS), ESPESSURA DE 1,0CM. AF_06/2014</t>
  </si>
  <si>
    <t>87438</t>
  </si>
  <si>
    <t>APLICAÇÃO DE GESSO PROJETADO COM EQUIPAMENTO DE PROJEÇÃO EM PAREDES DE AMBIENTES DE ÁREA MAIOR QUE 10M², SARRAFEADO (COM TALISCAS), ESPESSURA DE 1,5CM. AF_06/2014</t>
  </si>
  <si>
    <t>30,86</t>
  </si>
  <si>
    <t>87439</t>
  </si>
  <si>
    <t>APLICAÇÃO DE GESSO PROJETADO COM EQUIPAMENTO DE PROJEÇÃO EM PAREDES DE AMBIENTES DE ÁREA ENTRE 5M² E 10M², SARRAFEADO (COM TALISCAS), ESPESSURA DE 1,5CM. AF_06/2014</t>
  </si>
  <si>
    <t>32,63</t>
  </si>
  <si>
    <t>87440</t>
  </si>
  <si>
    <t>APLICAÇÃO DE GESSO PROJETADO COM EQUIPAMENTO DE PROJEÇÃO EM PAREDES DE AMBIENTES DE ÁREA MENOR QUE 5M², SARRAFEADO (COM TALISCAS), ESPESSURA DE 1,5CM. AF_06/2014</t>
  </si>
  <si>
    <t>33,44</t>
  </si>
  <si>
    <t>87527</t>
  </si>
  <si>
    <t>EMBOÇO, PARA RECEBIMENTO DE CERÂMICA, EM ARGAMASSA TRAÇO 1:2:8, PREPARO MECÂNICO COM BETONEIRA 400L, APLICADO MANUALMENTE EM FACES INTERNAS DE PAREDES, PARA AMBIENTE COM ÁREA MENOR QUE 5M2, ESPESSURA DE 20MM, COM EXECUÇÃO DE TALISCAS. AF_06/2014</t>
  </si>
  <si>
    <t>34,76</t>
  </si>
  <si>
    <t>87528</t>
  </si>
  <si>
    <t>EMBOÇO, PARA RECEBIMENTO DE CERÂMICA, EM ARGAMASSA TRAÇO 1:2:8, PREPARO MANUAL, APLICADO MANUALMENTE EM FACES INTERNAS DE PAREDES, PARA AMBIENTE COM ÁREA MENOR QUE 5M2, ESPESSURA DE 20MM, COM EXECUÇÃO DE TALISCAS. AF_06/2014</t>
  </si>
  <si>
    <t>87529</t>
  </si>
  <si>
    <t>MASSA ÚNICA, PARA RECEBIMENTO DE PINTURA, EM ARGAMASSA TRAÇO 1:2:8, PREPARO MECÂNICO COM BETONEIRA 400L, APLICADA MANUALMENTE EM FACES INTERNAS DE PAREDES, ESPESSURA DE 20MM, COM EXECUÇÃO DE TALISCAS. AF_06/2014</t>
  </si>
  <si>
    <t>31,25</t>
  </si>
  <si>
    <t>87530</t>
  </si>
  <si>
    <t>MASSA ÚNICA, PARA RECEBIMENTO DE PINTURA, EM ARGAMASSA TRAÇO 1:2:8, PREPARO MANUAL, APLICADA MANUALMENTE EM FACES INTERNAS DE PAREDES, ESPESSURA DE 20MM, COM EXECUÇÃO DE TALISCAS. AF_06/2014</t>
  </si>
  <si>
    <t>34,67</t>
  </si>
  <si>
    <t>87531</t>
  </si>
  <si>
    <t>EMBOÇO, PARA RECEBIMENTO DE CERÂMICA, EM ARGAMASSA TRAÇO 1:2:8, PREPARO MECÂNICO COM BETONEIRA 400L, APLICADO MANUALMENTE EM FACES INTERNAS DE PAREDES, PARA AMBIENTE COM ÁREA ENTRE 5M2 E 10M2, ESPESSURA DE 20MM, COM EXECUÇÃO DE TALISCAS. AF_06/2014</t>
  </si>
  <si>
    <t>30,01</t>
  </si>
  <si>
    <t>87532</t>
  </si>
  <si>
    <t>EMBOÇO, PARA RECEBIMENTO DE CERÂMICA, EM ARGAMASSA TRAÇO 1:2:8, PREPARO MANUAL, APLICADO MANUALMENTE EM FACES INTERNAS DE PAREDES, PARA AMBIENTE COM ÁREA  ENTRE 5M2 E 10M2, ESPESSURA DE 20MM, COM EXECUÇÃO DE TALISCAS. AF_06/2014</t>
  </si>
  <si>
    <t>87535</t>
  </si>
  <si>
    <t>EMBOÇO, PARA RECEBIMENTO DE CERÂMICA, EM ARGAMASSA TRAÇO 1:2:8, PREPARO MECÂNICO COM BETONEIRA 400L, APLICADO MANUALMENTE EM FACES INTERNAS DE PAREDES, PARA AMBIENTE COM ÁREA  MAIOR QUE 10M2, ESPESSURA DE 20MM, COM EXECUÇÃO DE TALISCAS. AF_06/2014</t>
  </si>
  <si>
    <t>26,51</t>
  </si>
  <si>
    <t>87536</t>
  </si>
  <si>
    <t>EMBOÇO, PARA RECEBIMENTO DE CERÂMICA, EM ARGAMASSA TRAÇO 1:2:8, PREPARO MANUAL, APLICADO MANUALMENTE EM FACES INTERNAS DE PAREDES, PARA AMBIENTE COM ÁREA  MAIOR QUE 10M2, ESPESSURA DE 20MM, COM EXECUÇÃO DE TALISCAS. AF_06/2014</t>
  </si>
  <si>
    <t>29,93</t>
  </si>
  <si>
    <t>87537</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</si>
  <si>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</si>
  <si>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60,80</t>
  </si>
  <si>
    <t>87538</t>
  </si>
  <si>
    <t>MASSA ÚNICA, PARA RECEBIMENTO DE PINTURA, EM ARGAMASSA INDUSTRIALIZADA, PREPARO MECÂNICO, APLICADO COM EQUIPAMENTO DE MISTURA E PROJEÇÃO DE 1,5 M3/H DE ARGAMASSA EM FACES INTERNAS DE PAREDES, ESPESSURA DE 20MM, COM EXECUÇÃO DE TALISCAS. AF_06/2014</t>
  </si>
  <si>
    <t>57,76</t>
  </si>
  <si>
    <t>87539</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</si>
  <si>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</si>
  <si>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56,68</t>
  </si>
  <si>
    <t>87541</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</si>
  <si>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</si>
  <si>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53,66</t>
  </si>
  <si>
    <t>87543</t>
  </si>
  <si>
    <t>MASSA ÚNICA, PARA RECEBIMENTO DE PINTURA OU CERÂMICA, ARGAMASSA INDUSTRIALIZADA, PREPARO MECÂNICO, APLICADO COM EQUIPAMENTO DE MISTURA E PROJEÇÃO DE 1,5 M3/H EM FACES INTERNAS DE PAREDES, ESPESSURA DE 5MM, SEM EXECUÇÃO DE TALISCAS. AF_06/2014</t>
  </si>
  <si>
    <t>87545</t>
  </si>
  <si>
    <t>EMBOÇO, PARA RECEBIMENTO DE CERÂMICA, EM ARGAMASSA TRAÇO 1:2:8, PREPARO MECÂNICO COM BETONEIRA 400L, APLICADO MANUALMENTE EM FACES INTERNAS DE PAREDES, PARA AMBIENTE COM ÁREA MENOR QUE 5M2, ESPESSURA DE 10MM, COM EXECUÇÃO DE TALISCAS. AF_06/2014</t>
  </si>
  <si>
    <t>23,86</t>
  </si>
  <si>
    <t>87546</t>
  </si>
  <si>
    <t>EMBOÇO, PARA RECEBIMENTO DE CERÂMICA, EM ARGAMASSA TRAÇO 1:2:8, PREPARO MANUAL, APLICADO MANUALMENTE EM FACES INTERNAS DE PAREDES, PARA AMBIENTE COM ÁREA MENOR QUE 5M2, ESPESSURA DE 10MM, COM EXECUÇÃO DE TALISCAS. AF_06/2014</t>
  </si>
  <si>
    <t>25,80</t>
  </si>
  <si>
    <t>87547</t>
  </si>
  <si>
    <t>MASSA ÚNICA, PARA RECEBIMENTO DE PINTURA, EM ARGAMASSA TRAÇO 1:2:8, PREPARO MECÂNICO COM BETONEIRA 400L, APLICADA MANUALMENTE EM FACES INTERNAS DE PAREDES, ESPESSURA DE 10MM, COM EXECUÇÃO DE TALISCAS. AF_06/2014</t>
  </si>
  <si>
    <t>20,37</t>
  </si>
  <si>
    <t>87548</t>
  </si>
  <si>
    <t>MASSA ÚNICA, PARA RECEBIMENTO DE PINTURA, EM ARGAMASSA TRAÇO 1:2:8, PREPARO MANUAL, APLICADA MANUALMENTE EM FACES INTERNAS DE PAREDES, ESPESSURA DE 10MM, COM EXECUÇÃO DE TALISCAS. AF_06/2014</t>
  </si>
  <si>
    <t>87549</t>
  </si>
  <si>
    <t>EMBOÇO, PARA RECEBIMENTO DE CERÂMICA, EM ARGAMASSA TRAÇO 1:2:8, PREPARO MECÂNICO COM BETONEIRA 400L, APLICADO MANUALMENTE EM FACES INTERNAS DE PAREDES, PARA AMBIENTE COM ÁREA ENTRE 5M2 E 10M2, ESPESSURA DE 10MM, COM EXECUÇÃO DE TALISCAS. AF_06/2014</t>
  </si>
  <si>
    <t>19,11</t>
  </si>
  <si>
    <t>87550</t>
  </si>
  <si>
    <t>EMBOÇO, PARA RECEBIMENTO DE CERÂMICA, EM ARGAMASSA TRAÇO 1:2:8, PREPARO MANUAL, APLICADO MANUALMENTE EM FACES INTERNAS DE PAREDES, PARA AMBIENTE COM ÁREA ENTRE 5M2 E 10M2, ESPESSURA DE 10MM, COM EXECUÇÃO DE TALISCAS. AF_06/2014</t>
  </si>
  <si>
    <t>87553</t>
  </si>
  <si>
    <t>EMBOÇO, PARA RECEBIMENTO DE CERÂMICA, EM ARGAMASSA TRAÇO 1:2:8, PREPARO MECÂNICO COM BETONEIRA 400L, APLICADO MANUALMENTE EM FACES INTERNAS DE PAREDES, PARA AMBIENTE COM ÁREA MAIOR QUE 10M2, ESPESSURA DE 10MM, COM EXECUÇÃO DE TALISCAS. AF_06/2014</t>
  </si>
  <si>
    <t>87554</t>
  </si>
  <si>
    <t>EMBOÇO, PARA RECEBIMENTO DE CERÂMICA, EM ARGAMASSA TRAÇO 1:2:8, PREPARO MANUAL, APLICADO MANUALMENTE EM FACES INTERNAS DE PAREDES, PARA AMBIENTE COM ÁREA MAIOR QUE 10M2, ESPESSURA DE 10MM, COM EXECUÇÃO DE TALISCAS. AF_06/2014</t>
  </si>
  <si>
    <t>87555</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</si>
  <si>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</si>
  <si>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37,58</t>
  </si>
  <si>
    <t>87556</t>
  </si>
  <si>
    <t>MASSA ÚNICA, PARA RECEBIMENTO DE PINTURA, EM ARGAMASSA INDUSTRIALIZADA, PREPARO MECÂNICO, APLICADO COM EQUIPAMENTO DE MISTURA E PROJEÇÃO DE 1,5 M3/H DE ARGAMASSA EM FACES INTERNAS DE PAREDES, ESPESSURA DE 10MM, COM EXECUÇÃO DE TALISCAS. AF_06/2014</t>
  </si>
  <si>
    <t>87557</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</si>
  <si>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</si>
  <si>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33,46</t>
  </si>
  <si>
    <t>87559</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</si>
  <si>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</si>
  <si>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87561</t>
  </si>
  <si>
    <t>MASSA ÚNICA, PARA RECEBIMENTO DE PINTURA OU CERÂMICA, EM ARGAMASSA INDUSTRIALIZADA, PREPARO MECÂNICO, APLICADO COM EQUIPAMENTO DE MISTURA E PROJEÇÃO DE 1,5 M3/H DE ARGAMASSA EM FACES INTERNAS DE PAREDES, ESPESSURA DE 10MM, SEM EXECUÇÃO DE TALISCAS. AF_06/2014</t>
  </si>
  <si>
    <t>87775</t>
  </si>
  <si>
    <t>EMBOÇO OU MASSA ÚNICA EM ARGAMASSA TRAÇO 1:2:8, PREPARO MECÂNICO COM BETONEIRA 400 L, APLICADA MANUALMENTE EM PANOS DE FACHADA COM PRESENÇA DE VÃOS, ESPESSURA DE 25 MM. AF_06/2014</t>
  </si>
  <si>
    <t>52,19</t>
  </si>
  <si>
    <t>87777</t>
  </si>
  <si>
    <t>EMBOÇO OU MASSA ÚNICA EM ARGAMASSA TRAÇO 1:2:8, PREPARO MANUAL, APLICADA MANUALMENTE EM PANOS DE FACHADA COM PRESENÇA DE VÃOS, ESPESSURA DE 25 MM. AF_06/2014</t>
  </si>
  <si>
    <t>55,05</t>
  </si>
  <si>
    <t>87778</t>
  </si>
  <si>
    <t>EMBOÇO OU MASSA ÚNICA EM ARGAMASSA INDUSTRIALIZADA, PREPARO MECÂNICO E APLICAÇÃO COM EQUIPAMENTO DE MISTURA E PROJEÇÃO DE 1,5 M3/H DE ARGAMASSA EM PANOS DE FACHADA COM PRESENÇA DE VÃOS, ESPESSURA DE 25 MM. AF_06/2014</t>
  </si>
  <si>
    <t>71,33</t>
  </si>
  <si>
    <t>87779</t>
  </si>
  <si>
    <t>EMBOÇO OU MASSA ÚNICA EM ARGAMASSA TRAÇO 1:2:8, PREPARO MECÂNICO COM BETONEIRA 400 L, APLICADA MANUALMENTE EM PANOS DE FACHADA COM PRESENÇA DE VÃOS, ESPESSURA DE 35 MM. AF_06/2014</t>
  </si>
  <si>
    <t>60,30</t>
  </si>
  <si>
    <t>87781</t>
  </si>
  <si>
    <t>EMBOÇO OU MASSA ÚNICA EM ARGAMASSA TRAÇO 1:2:8, PREPARO MANUAL, APLICADA MANUALMENTE EM PANOS DE FACHADA COM PRESENÇA DE VÃOS, ESPESSURA DE 35 MM. AF_06/2014</t>
  </si>
  <si>
    <t>64,13</t>
  </si>
  <si>
    <t>87783</t>
  </si>
  <si>
    <t>EMBOÇO OU MASSA ÚNICA EM ARGAMASSA INDUSTRIALIZADA, PREPARO MECÂNICO E APLICAÇÃO COM EQUIPAMENTO DE MISTURA E PROJEÇÃO DE 1,5 M3/H DE ARGAMASSA EM PANOS DE FACHADA COM PRESENÇA DE VÃOS, ESPESSURA DE 35 MM. AF_06/2014</t>
  </si>
  <si>
    <t>87,89</t>
  </si>
  <si>
    <t>87784</t>
  </si>
  <si>
    <t>EMBOÇO OU MASSA ÚNICA EM ARGAMASSA TRAÇO 1:2:8, PREPARO MECÂNICO COM BETONEIRA 400 L, APLICADA MANUALMENTE EM PANOS DE FACHADA COM PRESENÇA DE VÃOS, ESPESSURA DE 45 MM. AF_06/2014</t>
  </si>
  <si>
    <t>68,41</t>
  </si>
  <si>
    <t>87786</t>
  </si>
  <si>
    <t>EMBOÇO OU MASSA ÚNICA EM ARGAMASSA TRAÇO 1:2:8, PREPARO MANUAL, APLICADA MANUALMENTE EM PANOS DE FACHADA COM PRESENÇA DE VÃOS, ESPESSURA DE 45 MM. AF_06/2014</t>
  </si>
  <si>
    <t>73,21</t>
  </si>
  <si>
    <t>87787</t>
  </si>
  <si>
    <t>EMBOÇO OU MASSA ÚNICA EM ARGAMASSA INDUSTRIALIZADA, PREPARO MECÂNICO E APLICAÇÃO COM EQUIPAMENTO DE MISTURA E PROJEÇÃO DE 1,5 M3/H DE ARGAMASSA EM PANOS DE FACHADA COM PRESENÇA DE VÃOS, ESPESSURA DE 45 MM. AF_06/2014</t>
  </si>
  <si>
    <t>104,43</t>
  </si>
  <si>
    <t>87788</t>
  </si>
  <si>
    <t>EMBOÇO OU MASSA ÚNICA EM ARGAMASSA TRAÇO 1:2:8, PREPARO MECÂNICO COM BETONEIRA 400 L, APLICADA MANUALMENTE EM PANOS DE FACHADA COM PRESENÇA DE VÃOS, ESPESSURA MAIOR OU IGUAL A 50 MM. AF_06/2014</t>
  </si>
  <si>
    <t>87790</t>
  </si>
  <si>
    <t>EMBOÇO OU MASSA ÚNICA EM ARGAMASSA TRAÇO 1:2:8, PREPARO MANUAL, APLICADA MANUALMENTE EM PANOS DE FACHADA COM PRESENÇA DE VÃOS, ESPESSURA MAIOR OU IGUAL A 50 MM. AF_06/2014</t>
  </si>
  <si>
    <t>92,91</t>
  </si>
  <si>
    <t>87791</t>
  </si>
  <si>
    <t>EMBOÇO OU MASSA ÚNICA EM ARGAMASSA INDUSTRIALIZADA, PREPARO MECÂNICO E APLICAÇÃO COM EQUIPAMENTO DE MISTURA E PROJEÇÃO DE 1,5 M3/H DE ARGAMASSA EM PANOS DE FACHADA COM PRESENÇA DE VÃOS, ESPESSURA MAIOR OU IGUAL A 50 MM. AF_06/2014</t>
  </si>
  <si>
    <t>123,92</t>
  </si>
  <si>
    <t>87792</t>
  </si>
  <si>
    <t>EMBOÇO OU MASSA ÚNICA EM ARGAMASSA TRAÇO 1:2:8, PREPARO MECÂNICO COM BETONEIRA 400 L, APLICADA MANUALMENTE EM PANOS CEGOS DE FACHADA (SEM PRESENÇA DE VÃOS), ESPESSURA DE 25 MM. AF_06/2014</t>
  </si>
  <si>
    <t>87794</t>
  </si>
  <si>
    <t>EMBOÇO OU MASSA ÚNICA EM ARGAMASSA TRAÇO 1:2:8, PREPARO MANUAL, APLICADA MANUALMENTE EM PANOS CEGOS DE FACHADA (SEM PRESENÇA DE VÃOS), ESPESSURA DE 25 MM. AF_06/2014</t>
  </si>
  <si>
    <t>38,15</t>
  </si>
  <si>
    <t>87795</t>
  </si>
  <si>
    <t>EMBOÇO OU MASSA ÚNICA EM ARGAMASSA INDUSTRIALIZADA, PREPARO MECÂNICO E APLICAÇÃO COM EQUIPAMENTO DE MISTURA E PROJEÇÃO DE 1,5 M3/H DE ARGAMASSA EM PANOS CEGOS DE FACHADA (SEM PRESENÇA DE VÃOS), ESPESSURA DE 25 MM. AF_06/2014</t>
  </si>
  <si>
    <t>87797</t>
  </si>
  <si>
    <t>EMBOÇO OU MASSA ÚNICA EM ARGAMASSA TRAÇO 1:2:8, PREPARO MECÂNICO COM BETONEIRA 400 L, APLICADA MANUALMENTE EM PANOS CEGOS DE FACHADA (SEM PRESENÇA DE VÃOS), ESPESSURA DE 35 MM. AF_06/2014</t>
  </si>
  <si>
    <t>43,29</t>
  </si>
  <si>
    <t>87799</t>
  </si>
  <si>
    <t>EMBOÇO OU MASSA ÚNICA EM ARGAMASSA TRAÇO 1:2:8, PREPARO MANUAL, APLICADA MANUALMENTE EM PANOS CEGOS DE FACHADA (SEM PRESENÇA DE VÃOS), ESPESSURA DE 35 MM. AF_06/2014</t>
  </si>
  <si>
    <t>46,86</t>
  </si>
  <si>
    <t>87800</t>
  </si>
  <si>
    <t>EMBOÇO OU MASSA ÚNICA EM ARGAMASSA INDUSTRIALIZADA, PREPARO MECÂNICO E APLICAÇÃO COM EQUIPAMENTO DE MISTURA E PROJEÇÃO DE 1,5 M3/H DE ARGAMASSA EM PANOS CEGOS DE FACHADA (SEM PRESENÇA DE VÃOS), ESPESSURA DE 35 MM. AF_06/2014</t>
  </si>
  <si>
    <t>68,64</t>
  </si>
  <si>
    <t>87801</t>
  </si>
  <si>
    <t>EMBOÇO OU MASSA ÚNICA EM ARGAMASSA TRAÇO 1:2:8, PREPARO MECÂNICO COM BETONEIRA 400 L, APLICADA MANUALMENTE EM PANOS CEGOS DE FACHADA (SEM PRESENÇA DE VÃOS), ESPESSURA DE 45 MM. AF_06/2014</t>
  </si>
  <si>
    <t>87803</t>
  </si>
  <si>
    <t>EMBOÇO OU MASSA ÚNICA EM ARGAMASSA TRAÇO 1:2:8, PREPARO MANUAL, APLICADA MANUALMENTE EM PANOS CEGOS DE FACHADA (SEM PRESENÇA DE VÃOS), ESPESSURA DE 45 MM. AF_06/2014</t>
  </si>
  <si>
    <t>55,58</t>
  </si>
  <si>
    <t>87804</t>
  </si>
  <si>
    <t>EMBOÇO OU MASSA ÚNICA EM ARGAMASSA INDUSTRIALIZADA, PREPARO MECÂNICO E APLICAÇÃO COM EQUIPAMENTO DE MISTURA E PROJEÇÃO DE 1,5 M3/H DE ARGAMASSA EM PANOS CEGOS DE FACHADA (SEM PRESENÇA DE VÃOS), ESPESSURA DE 45 MM. AF_06/2014</t>
  </si>
  <si>
    <t>84,34</t>
  </si>
  <si>
    <t>87805</t>
  </si>
  <si>
    <t>EMBOÇO OU MASSA ÚNICA EM ARGAMASSA TRAÇO 1:2:8, PREPARO MECÂNICO COM BETONEIRA 400 L, APLICADA MANUALMENTE EM PANOS CEGOS DE FACHADA (SEM PRESENÇA DE VÃOS), ESPESSURA MAIOR OU IGUAL A 50 MM. AF_06/2014</t>
  </si>
  <si>
    <t>87807</t>
  </si>
  <si>
    <t>EMBOÇO OU MASSA ÚNICA EM ARGAMASSA TRAÇO 1:2:8, PREPARO MANUAL, APLICADA MANUALMENTE EM PANOS CEGOS DE FACHADA (SEM PRESENÇA DE VÃOS), ESPESSURA MAIOR OU IGUAL A 50 MM. AF_06/2014</t>
  </si>
  <si>
    <t>63,40</t>
  </si>
  <si>
    <t>87808</t>
  </si>
  <si>
    <t>EMBOÇO OU MASSA ÚNICA EM ARGAMASSA INDUSTRIALIZADA, PREPARO MECÂNICO E APLICAÇÃO COM EQUIPAMENTO DE MISTURA E PROJEÇÃO DE 1,5 M3/H DE ARGAMASSA EM PANOS CEGOS DE FACHADA (SEM PRESENÇA DE VÃOS), ESPESSURA MAIOR OU IGUAL A 50 MM. AF_06/2014</t>
  </si>
  <si>
    <t>91,76</t>
  </si>
  <si>
    <t>87809</t>
  </si>
  <si>
    <t>EMBOÇO OU MASSA ÚNICA EM ARGAMASSA TRAÇO 1:2:8, PREPARO MECÂNICO COM BETONEIRA 400 L, APLICADA MANUALMENTE EM SUPERFÍCIES EXTERNAS DA SACADA, ESPESSURA DE 25 MM, SEM USO DE TELA METÁLICA DE REFORÇO CONTRA FISSURAÇÃO. AF_06/2014</t>
  </si>
  <si>
    <t>87811</t>
  </si>
  <si>
    <t>EMBOÇO OU MASSA ÚNICA EM ARGAMASSA TRAÇO 1:2:8, PREPARO MANUAL, APLICADA MANUALMENTE EM SUPERFÍCIES EXTERNAS DA SACADA, ESPESSURA DE 25 MM, SEM USO DE TELA METÁLICA DE REFORÇO CONTRA FISSURAÇÃO. AF_06/2014</t>
  </si>
  <si>
    <t>87812</t>
  </si>
  <si>
    <t>EMBOÇO OU MASSA ÚNICA EM ARGAMASSA INDUSTRIALIZADA, PREPARO MECÂNICO E APLICAÇÃO COM EQUIPAMENTO DE MISTURA E PROJEÇÃO DE 1,5 M3/H EM SUPERFÍCIES EXTERNAS DA SACADA, ESPESSURA 25 MM, SEM USO DE TELA METÁLICA. AF_06/2014</t>
  </si>
  <si>
    <t>96,95</t>
  </si>
  <si>
    <t>87813</t>
  </si>
  <si>
    <t>EMBOÇO OU MASSA ÚNICA EM ARGAMASSA TRAÇO 1:2:8, PREPARO MECÂNICO COM BETONEIRA 400 L, APLICADA MANUALMENTE EM SUPERFÍCIES EXTERNAS DA SACADA, ESPESSURA DE 35 MM, SEM USO DE TELA METÁLICA DE REFORÇO CONTRA FISSURAÇÃO. AF_06/2014</t>
  </si>
  <si>
    <t>87,70</t>
  </si>
  <si>
    <t>87815</t>
  </si>
  <si>
    <t>EMBOÇO OU MASSA ÚNICA EM ARGAMASSA TRAÇO 1:2:8, PREPARO MANUAL, APLICADA MANUALMENTE EM SUPERFÍCIES EXTERNAS DA SACADA, ESPESSURA DE 35 MM, SEM USO DE TELA METÁLICA DE REFORÇO CONTRA FISSURAÇÃO. AF_06/2014</t>
  </si>
  <si>
    <t>91,27</t>
  </si>
  <si>
    <t>87816</t>
  </si>
  <si>
    <t>EMBOÇO OU MASSA ÚNICA EM ARGAMASSA INDUSTRIALIZADA, PREPARO MECÂNICO E APLICAÇÃO COM EQUIPAMENTO DE MISTURA E PROJEÇÃO DE 1,5 M3/H EM SUPERFÍCIES EXTERNAS DA SACADA, ESPESSURA 35 MM, SEM USO DE TELA METÁLICA. AF_06/2014</t>
  </si>
  <si>
    <t>112,64</t>
  </si>
  <si>
    <t>87817</t>
  </si>
  <si>
    <t>EMBOÇO OU MASSA ÚNICA EM ARGAMASSA TRAÇO 1:2:8, PREPARO MECÂNICO COM BETONEIRA 400 L, APLICADA MANUALMENTE EM SUPERFÍCIES EXTERNAS DA SACADA, ESPESSURA DE 45 MM, SEM USO DE TELA METÁLICA DE REFORÇO CONTRA FISSURAÇÃO. AF_06/2014</t>
  </si>
  <si>
    <t>95,07</t>
  </si>
  <si>
    <t>87819</t>
  </si>
  <si>
    <t>EMBOÇO OU MASSA ÚNICA EM ARGAMASSA TRAÇO 1:2:8, PREPARO MANUAL, APLICADA MANUALMENTE EM SUPERFÍCIES EXTERNAS DA SACADA, ESPESSURA DE 45 MM, SEM USO DE TELA METÁLICA DE REFORÇO CONTRA FISSURAÇÃO. AF_06/2014</t>
  </si>
  <si>
    <t>99,56</t>
  </si>
  <si>
    <t>87820</t>
  </si>
  <si>
    <t>EMBOÇO OU MASSA ÚNICA EM ARGAMASSA INDUSTRIALIZADA, PREPARO MECÂNICO E APLICAÇÃO COM EQUIPAMENTO DE MISTURA E PROJEÇÃO DE 1,5 M3/H EM SUPERFÍCIES EXTERNAS DA SACADA, ESPESSURA 45 MM, SEM USO DE TELA METÁLICA. AF_06/2014</t>
  </si>
  <si>
    <t>87821</t>
  </si>
  <si>
    <t>EMBOÇO OU MASSA ÚNICA EM ARGAMASSA TRAÇO 1:2:8, PREPARO MECÂNICO COM BETONEIRA 400 L, APLICADA MANUALMENTE EM SUPERFÍCIES EXTERNAS DA SACADA, ESPESSURA MAIOR OU IGUAL A 50 MM, SEM USO DE TELA METÁLICA DE REFORÇO CONTRA FISSURAÇÃO. AF_06/2014</t>
  </si>
  <si>
    <t>137,56</t>
  </si>
  <si>
    <t>87823</t>
  </si>
  <si>
    <t>EMBOÇO OU MASSA ÚNICA EM ARGAMASSA TRAÇO 1:2:8, PREPARO MANUAL, APLICADA MANUALMENTE EM SUPERFÍCIES EXTERNAS DA SACADA, ESPESSURA MAIOR OU IGUAL A 50 MM, SEM USO DE TELA METÁLICA DE REFORÇO CONTRA FISSURAÇÃO. AF_06/2014</t>
  </si>
  <si>
    <t>142,50</t>
  </si>
  <si>
    <t>87824</t>
  </si>
  <si>
    <t>EMBOÇO OU MASSA ÚNICA EM ARGAMASSA INDUSTRIALIZADA, PREPARO MECÂNICO E APLICAÇÃO COM EQUIPAMENTO DE MISTURA E PROJEÇÃO DE 1,5 M3/H EM SUPERFÍCIES EXTERNAS DA SACADA, ESPESSURA MAIOR OU IGUAL A 50 MM, SEM USO DE TELA METÁLICA. AF_06/2014</t>
  </si>
  <si>
    <t>170,44</t>
  </si>
  <si>
    <t>87825</t>
  </si>
  <si>
    <t>EMBOÇO OU MASSA ÚNICA EM ARGAMASSA TRAÇO 1:2:8, PREPARO MECÂNICO COM BETONEIRA 400 L, APLICADA MANUALMENTE NAS PAREDES INTERNAS DA SACADA, ESPESSURA DE 25 MM, SEM USO DE TELA METÁLICA DE REFORÇO CONTRA FISSURAÇÃO. AF_06/2014</t>
  </si>
  <si>
    <t>87827</t>
  </si>
  <si>
    <t>EMBOÇO OU MASSA ÚNICA EM ARGAMASSA TRAÇO 1:2:8, PREPARO MANUAL, APLICADA MANUALMENTE NAS PAREDES INTERNAS DA SACADA, ESPESSURA DE 25 MM, SEM USO DE TELA METÁLICA DE REFORÇO CONTRA FISSURAÇÃO. AF_06/2014</t>
  </si>
  <si>
    <t>87828</t>
  </si>
  <si>
    <t>EMBOÇO OU MASSA ÚNICA EM ARGAMASSA INDUSTRIALIZADA, PREPARO MECÂNICO E APLICAÇÃO COM EQUIPAMENTO DE MISTURA E PROJEÇÃO DE 1,5 M3/H NAS PAREDES INTERNAS DA SACADA, ESPESSURA 25 MM, SEM USO DE TELA METÁLICA. AF_06/2014</t>
  </si>
  <si>
    <t>85,51</t>
  </si>
  <si>
    <t>87829</t>
  </si>
  <si>
    <t>EMBOÇO OU MASSA ÚNICA EM ARGAMASSA TRAÇO 1:2:8, PREPARO MECÂNICO COM BETONEIRA 400 L, APLICADA MANUALMENTE NAS PAREDES INTERNAS DA SACADA, ESPESSURA DE 35 MM, SEM USO DE TELA METÁLICA DE REFORÇO CONTRA FISSURAÇÃO. AF_06/2014</t>
  </si>
  <si>
    <t>87831</t>
  </si>
  <si>
    <t>EMBOÇO OU MASSA ÚNICA EM ARGAMASSA TRAÇO 1:2:8, PREPARO MANUAL, APLICADA MANUALMENTE NAS PAREDES INTERNAS DA SACADA, ESPESSURA DE 35 MM, SEM USO DE TELA METÁLICA DE REFORÇO CONTRA FISSURAÇÃO. AF_06/2014</t>
  </si>
  <si>
    <t>75,95</t>
  </si>
  <si>
    <t>87832</t>
  </si>
  <si>
    <t>EMBOÇO OU MASSA ÚNICA EM ARGAMASSA INDUSTRIALIZADA, PREPARO MECÂNICO E APLICAÇÃO COM EQUIPAMENTO DE MISTURA E PROJEÇÃO DE 1,5 M3/H DE ARGAMASSA NAS PAREDES INTERNAS DA SACADA, ESPESSURA 35 MM, SEM USO DE TELA METÁLICA. AF_06/2014</t>
  </si>
  <si>
    <t>103,89</t>
  </si>
  <si>
    <t>87834</t>
  </si>
  <si>
    <t>REVESTIMENTO DECORATIVO MONOCAMADA APLICADO MANUALMENTE EM PANOS CEGOS DA FACHADA DE UM EDIFÍCIO DE ESTRUTURA CONVENCIONAL, COM ACABAMENTO RASPADO. AF_06/2014</t>
  </si>
  <si>
    <t>137,47</t>
  </si>
  <si>
    <t>87835</t>
  </si>
  <si>
    <t>REVESTIMENTO DECORATIVO MONOCAMADA APLICADO MANUALMENTE EM PANOS CEGOS DA FACHADA DE UM EDIFÍCIO DE ALVENARIA ESTRUTURAL, COM ACABAMENTO RASPADO. AF_06/2014</t>
  </si>
  <si>
    <t>87836</t>
  </si>
  <si>
    <t>REVESTIMENTO DECORATIVO MONOCAMADA APLICADO COM EQUIPAMENTO DE PROJEÇÃO EM PANOS CEGOS DA FACHADA DE UM EDIFÍCIO DE ESTRUTURA CONVENCIONAL, COM ACABAMENTO RASPADO. AF_06/2014</t>
  </si>
  <si>
    <t>87837</t>
  </si>
  <si>
    <t>REVESTIMENTO DECORATIVO MONOCAMADA APLICADO COM EQUIPAMENTO DE PROJEÇÃO EM PANOS CEGOS DA FACHADA DE UM EDIFÍCIO DE ALVENARIA ESTRUTURAL, COM ACABAMENTO RASPADO. AF_06/2014</t>
  </si>
  <si>
    <t>89,73</t>
  </si>
  <si>
    <t>87838</t>
  </si>
  <si>
    <t>REVESTIMENTO DECORATIVO MONOCAMADA APLICADO MANUALMENTE EM PANOS DA FACHADA COM PRESENÇA DE VÃOS, DE UM EDIFÍCIO DE ESTRUTURA CONVENCIONAL E ACABAMENTO RASPADO. AF_06/2014</t>
  </si>
  <si>
    <t>144,18</t>
  </si>
  <si>
    <t>87839</t>
  </si>
  <si>
    <t>REVESTIMENTO DECORATIVO MONOCAMADA APLICADO MANUALMENTE EM PANOS DA FACHADA COM PRESENÇA DE VÃOS, DE UM EDIFÍCIO DE ALVENARIA ESTRUTURAL E ACABAMENTO RASPADO. AF_06/2014</t>
  </si>
  <si>
    <t>100,81</t>
  </si>
  <si>
    <t>87840</t>
  </si>
  <si>
    <t>REVESTIMENTO DECORATIVO MONOCAMADA APLICADO COM EQUIPAMENTO DE PROJEÇÃO EM PANOS DA FACHADA COM PRESENÇA DE VÃOS, DE UM EDIFÍCIO DE ESTRUTURA CONVENCIONAL E ACABAMENTO RASPADO. AF_06/2014</t>
  </si>
  <si>
    <t>136,14</t>
  </si>
  <si>
    <t>87841</t>
  </si>
  <si>
    <t>REVESTIMENTO DECORATIVO MONOCAMADA APLICADO COM EQUIPAMENTO DE PROJEÇÃO EM PANOS DA FACHADA COM PRESENÇA DE VÃOS, DE UM EDIFÍCIO DE ALVENARIA ESTRUTURAL E ACABAMENTO RASPADO. AF_06/2014</t>
  </si>
  <si>
    <t>93,29</t>
  </si>
  <si>
    <t>87842</t>
  </si>
  <si>
    <t>REVESTIMENTO DECORATIVO MONOCAMADA APLICADO MANUALMENTE EM SUPERFÍCIES EXTERNAS DA SACADA DE UM EDIFÍCIO DE ESTRUTURA CONVENCIONAL E ACABAMENTO RASPADO. AF_06/2014</t>
  </si>
  <si>
    <t>148,13</t>
  </si>
  <si>
    <t>87843</t>
  </si>
  <si>
    <t>REVESTIMENTO DECORATIVO MONOCAMADA APLICADO MANUALMENTE EM SUPERFÍCIES EXTERNAS DA SACADA DE UM EDIFÍCIO DE ALVENARIA ESTRUTURAL E ACABAMENTO RASPADO. AF_06/2014</t>
  </si>
  <si>
    <t>111,01</t>
  </si>
  <si>
    <t>87844</t>
  </si>
  <si>
    <t>REVESTIMENTO DECORATIVO MONOCAMADA APLICADO COM EQUIPAMENTO DE PROJEÇÃO EM SUPERFÍCIES EXTERNAS DA SACADA DE UM EDIFÍCIO DE ESTRUTURA CONVENCIONAL E ACABAMENTO RASPADO. AF_06/2014</t>
  </si>
  <si>
    <t>135,68</t>
  </si>
  <si>
    <t>87845</t>
  </si>
  <si>
    <t>REVESTIMENTO DECORATIVO MONOCAMADA APLICADO COM EQUIPAMENTO DE PROJEÇÃO EM SUPERFÍCIES EXTERNAS DA SACADA DE UM EDIFÍCIO DE ALVENARIA ESTRUTURAL E ACABAMENTO RASPADO. AF_06/2014</t>
  </si>
  <si>
    <t>99,13</t>
  </si>
  <si>
    <t>87846</t>
  </si>
  <si>
    <t>REVESTIMENTO DECORATIVO MONOCAMADA APLICADO MANUALMENTE EM PANOS CEGOS DA FACHADA DE UM EDIFÍCIO DE ESTRUTURA CONVENCIONAL, COM ACABAMENTO TRAVERTINO. AF_06/2014</t>
  </si>
  <si>
    <t>149,79</t>
  </si>
  <si>
    <t>87847</t>
  </si>
  <si>
    <t>REVESTIMENTO DECORATIVO MONOCAMADA APLICADO MANUALMENTE EM PANOS CEGOS DA FACHADA DE UM EDIFÍCIO DE ALVENARIA ESTRUTURAL, COM ACABAMENTO TRAVERTINO. AF_06/2014</t>
  </si>
  <si>
    <t>107,90</t>
  </si>
  <si>
    <t>87848</t>
  </si>
  <si>
    <t>REVESTIMENTO DECORATIVO MONOCAMADA APLICADO COM EQUIPAMENTO DE PROJEÇÃO EM PANOS CEGOS DA FACHADA DE UM EDIFÍCIO DE ESTRUTURA CONVENCIONAL, COM ACABAMENTO TRAVERTINO. AF_06/2014</t>
  </si>
  <si>
    <t>142,20</t>
  </si>
  <si>
    <t>87849</t>
  </si>
  <si>
    <t>REVESTIMENTO DECORATIVO MONOCAMADA APLICADO COM EQUIPAMENTO DE PROJEÇÃO EM PANOS CEGOS DA FACHADA DE UM EDIFÍCIO DE ALVENARIA ESTRUTURAL, COM ACABAMENTO TRAVERTINO. AF_06/2014</t>
  </si>
  <si>
    <t>100,84</t>
  </si>
  <si>
    <t>87850</t>
  </si>
  <si>
    <t>REVESTIMENTO DECORATIVO MONOCAMADA APLICADO MANUALMENTE EM PANOS DA FACHADA COM PRESENÇA DE VÃOS, DE UM EDIFÍCIO DE ESTRUTURA CONVENCIONAL E ACABAMENTO TRAVERTINO. AF_06/2014</t>
  </si>
  <si>
    <t>156,52</t>
  </si>
  <si>
    <t>87851</t>
  </si>
  <si>
    <t>REVESTIMENTO DECORATIVO MONOCAMADA APLICADO MANUALMENTE EM PANOS DA FACHADA COM PRESENÇA DE VÃOS, DE UM EDIFÍCIO DE ALVENARIA ESTRUTURAL E ACABAMENTO TRAVERTINO. AF_06/2014</t>
  </si>
  <si>
    <t>113,16</t>
  </si>
  <si>
    <t>87852</t>
  </si>
  <si>
    <t>REVESTIMENTO DECORATIVO MONOCAMADA APLICADO COM EQUIPAMENTO DE PROJEÇÃO EM PANOS DA FACHADA COM PRESENÇA DE VÃOS, DE UM EDIFÍCIO DE ESTRUTURA CONVENCIONAL E ACABAMENTO TRAVERTINO. AF_06/2014</t>
  </si>
  <si>
    <t>147,22</t>
  </si>
  <si>
    <t>87853</t>
  </si>
  <si>
    <t>REVESTIMENTO DECORATIVO MONOCAMADA APLICADO COM EQUIPAMENTO DE PROJEÇÃO EM PANOS DA FACHADA COM PRESENÇA DE VÃOS, DE UM EDIFÍCIO DE ALVENARIA ESTRUTURAL E ACABAMENTO TRAVERTINO. AF_06/2014</t>
  </si>
  <si>
    <t>104,37</t>
  </si>
  <si>
    <t>87854</t>
  </si>
  <si>
    <t>REVESTIMENTO DECORATIVO MONOCAMADA APLICADO MANUALMENTE EM SUPERFÍCIES EXTERNAS DA SACADA DE UM EDIFÍCIO DE ESTRUTURA CONVENCIONAL E ACABAMENTO TRAVERTINO. AF_06/2014</t>
  </si>
  <si>
    <t>160,44</t>
  </si>
  <si>
    <t>87855</t>
  </si>
  <si>
    <t>REVESTIMENTO DECORATIVO MONOCAMADA APLICADO MANUALMENTE EM SUPERFÍCIES EXTERNAS DA SACADA DE UM EDIFÍCIO DE ALVENARIA ESTRUTURAL E ACABAMENTO TRAVERTINO. AF_06/2014</t>
  </si>
  <si>
    <t>123,37</t>
  </si>
  <si>
    <t>87856</t>
  </si>
  <si>
    <t>REVESTIMENTO DECORATIVO MONOCAMADA APLICADO COM EQUIPAMENTO DE PROJEÇÃO EM SUPERFÍCIES EXTERNAS DA SACADA DE UM EDIFÍCIO DE ESTRUTURA CONVENCIONAL E ACABAMENTO TRAVERTINO. AF_06/2014</t>
  </si>
  <si>
    <t>146,79</t>
  </si>
  <si>
    <t>87857</t>
  </si>
  <si>
    <t>REVESTIMENTO DECORATIVO MONOCAMADA APLICADO COM EQUIPAMENTO DE PROJEÇÃO EM SUPERFÍCIES EXTERNAS DA SACADA DE UM EDIFÍCIO DE ALVENARIA ESTRUTURAL E ACABAMENTO TRAVERTINO. AF_06/2014</t>
  </si>
  <si>
    <t>110,21</t>
  </si>
  <si>
    <t>87858</t>
  </si>
  <si>
    <t>REVESTIMENTO DECORATIVO MONOCAMADA APLICADO MANUALMENTE NAS PAREDES INTERNAS DA SACADA COM ACABAMENTO RASPADO. AF_06/2014</t>
  </si>
  <si>
    <t>105,57</t>
  </si>
  <si>
    <t>87859</t>
  </si>
  <si>
    <t>REVESTIMENTO DECORATIVO MONOCAMADA APLICADO MANUALMENTE NAS PAREDES INTERNAS DA SACADA COM ACABAMENTO TRAVERTINO. AF_06/2014</t>
  </si>
  <si>
    <t>123,61</t>
  </si>
  <si>
    <t>89048</t>
  </si>
  <si>
    <t>(COMPOSIÇÃO REPRESENTATIVA) DO SERVIÇO DE EMBOÇO/MASSA ÚNICA, TRAÇO 1:2:8, PREPARO MECÂNICO, COM BETONEIRA DE 400L, EM PAREDES DE AMBIENTES INTERNOS, COM EXECUÇÃO DE TALISCAS, PARA EDIFICAÇÃO HABITACIONAL MULTIFAMILIAR (PRÉDIO). AF_11/2014</t>
  </si>
  <si>
    <t>89049</t>
  </si>
  <si>
    <t>(COMPOSIÇÃO REPRESENTATIVA) DO SERVIÇO DE APLICAÇÃO MANUAL DE GESSO DESEMPENADO (SEM TALISCAS) EM TETO, ESPESSURA 0,5 CM, PARA EDIFICAÇÃO HABITACIONAL MULTIFAMILIAR (PRÉDIO). AF_11/2014</t>
  </si>
  <si>
    <t>19,13</t>
  </si>
  <si>
    <t>89173</t>
  </si>
  <si>
    <t>(COMPOSIÇÃO REPRESENTATIVA) DO SERVIÇO DE EMBOÇO/MASSA ÚNICA, APLICADO MANUALMENTE, TRAÇO 1:2:8, EM BETONEIRA DE 400L, PAREDES INTERNAS, COM EXECUÇÃO DE TALISCAS, EDIFICAÇÃO HABITACIONAL UNIFAMILIAR (CASAS) E EDIFICAÇÃO PÚBLICA PADRÃO. AF_12/2014</t>
  </si>
  <si>
    <t>90406</t>
  </si>
  <si>
    <t>MASSA ÚNICA, PARA RECEBIMENTO DE PINTURA, EM ARGAMASSA TRAÇO 1:2:8, PREPARO MECÂNICO COM BETONEIRA 400L, APLICADA MANUALMENTE EM TETO, ESPESSURA DE 20MM, COM EXECUÇÃO DE TALISCAS. AF_03/2015</t>
  </si>
  <si>
    <t>41,47</t>
  </si>
  <si>
    <t>90407</t>
  </si>
  <si>
    <t>MASSA ÚNICA, PARA RECEBIMENTO DE PINTURA, EM ARGAMASSA TRAÇO 1:2:8, PREPARO MANUAL, APLICADA MANUALMENTE EM TETO, ESPESSURA DE 20MM, COM EXECUÇÃO DE TALISCAS. AF_03/2015</t>
  </si>
  <si>
    <t>44,89</t>
  </si>
  <si>
    <t>90408</t>
  </si>
  <si>
    <t>MASSA ÚNICA, PARA RECEBIMENTO DE PINTURA, EM ARGAMASSA TRAÇO 1:2:8, PREPARO MECÂNICO COM BETONEIRA 400L, APLICADA MANUALMENTE EM TETO, ESPESSURA DE 10MM, COM EXECUÇÃO DE TALISCAS. AF_03/2015</t>
  </si>
  <si>
    <t>30,29</t>
  </si>
  <si>
    <t>90409</t>
  </si>
  <si>
    <t>MASSA ÚNICA, PARA RECEBIMENTO DE PINTURA, EM ARGAMASSA TRAÇO 1:2:8, PREPARO MANUAL, APLICADA MANUALMENTE EM TETO, ESPESSURA DE 10MM, COM EXECUÇÃO DE TALISCAS. AF_03/2015</t>
  </si>
  <si>
    <t>32,23</t>
  </si>
  <si>
    <t>87242</t>
  </si>
  <si>
    <t>REVESTIMENTO CERÂMICO PARA PAREDES EXTERNAS EM PASTILHAS DE PORCELANA 5 X 5 CM (PLACAS DE 30 X 30 CM), ALINHADAS A PRUMO, APLICADO EM PANOS COM VÃOS. AF_06/2014</t>
  </si>
  <si>
    <t>228,60</t>
  </si>
  <si>
    <t>87243</t>
  </si>
  <si>
    <t>REVESTIMENTO CERÂMICO PARA PAREDES EXTERNAS EM PASTILHAS DE PORCELANA 5 X 5 CM (PLACAS DE 30 X 30 CM), ALINHADAS A PRUMO, APLICADO EM PANOS SEM VÃOS. AF_06/2014</t>
  </si>
  <si>
    <t>209,10</t>
  </si>
  <si>
    <t>87244</t>
  </si>
  <si>
    <t>REVESTIMENTO CERÂMICO PARA PAREDES EXTERNAS EM PASTILHAS DE PORCELANA 5 X 5 CM (PLACAS DE 30 X 30 CM), ALINHADAS A PRUMO, APLICADO EM SUPERFÍCIES EXTERNAS DA SACADA. AF_06/2014</t>
  </si>
  <si>
    <t>87245</t>
  </si>
  <si>
    <t>REVESTIMENTO CERÂMICO PARA PAREDES EXTERNAS EM PASTILHAS DE PORCELANA 5 X 5 CM (PLACAS DE 30 X 30 CM), ALINHADAS A PRUMO, APLICADO EM SUPERFÍCIES INTERNAS DA SACADA. AF_06/2014</t>
  </si>
  <si>
    <t>267,62</t>
  </si>
  <si>
    <t>87264</t>
  </si>
  <si>
    <t>REVESTIMENTO CERÂMICO PARA PAREDES INTERNAS COM PLACAS TIPO ESMALTADA EXTRA DE DIMENSÕES 20X20 CM APLICADAS EM AMBIENTES DE ÁREA MENOR QUE 5 M² NA ALTURA INTEIRA DAS PAREDES. AF_06/2014</t>
  </si>
  <si>
    <t>68,54</t>
  </si>
  <si>
    <t>87265</t>
  </si>
  <si>
    <t>REVESTIMENTO CERÂMICO PARA PAREDES INTERNAS COM PLACAS TIPO ESMALTADA EXTRA DE DIMENSÕES 20X20 CM APLICADAS EM AMBIENTES DE ÁREA MAIOR QUE 5 M² NA ALTURA INTEIRA DAS PAREDES. AF_06/2014</t>
  </si>
  <si>
    <t>60,54</t>
  </si>
  <si>
    <t>87266</t>
  </si>
  <si>
    <t>REVESTIMENTO CERÂMICO PARA PAREDES INTERNAS COM PLACAS TIPO ESMALTADA EXTRA DE DIMENSÕES 20X20 CM APLICADAS EM AMBIENTES DE ÁREA MENOR QUE 5 M² A MEIA ALTURA DAS PAREDES. AF_06/2014</t>
  </si>
  <si>
    <t>71,35</t>
  </si>
  <si>
    <t>87267</t>
  </si>
  <si>
    <t>REVESTIMENTO CERÂMICO PARA PAREDES INTERNAS COM PLACAS TIPO ESMALTADA EXTRA DE DIMENSÕES 20X20 CM APLICADAS EM AMBIENTES DE ÁREA MAIOR QUE 5 M² A MEIA ALTURA DAS PAREDES. AF_06/2014</t>
  </si>
  <si>
    <t>67,84</t>
  </si>
  <si>
    <t>87268</t>
  </si>
  <si>
    <t>REVESTIMENTO CERÂMICO PARA PAREDES INTERNAS COM PLACAS TIPO ESMALTADA EXTRA DE DIMENSÕES 25X35 CM APLICADAS EM AMBIENTES DE ÁREA MENOR QUE 5 M² NA ALTURA INTEIRA DAS PAREDES. AF_06/2014</t>
  </si>
  <si>
    <t>73,59</t>
  </si>
  <si>
    <t>87269</t>
  </si>
  <si>
    <t>REVESTIMENTO CERÂMICO PARA PAREDES INTERNAS COM PLACAS TIPO ESMALTADA EXTRA DE DIMENSÕES 25X35 CM APLICADAS EM AMBIENTES DE ÁREA MAIOR QUE 5 M² NA ALTURA INTEIRA DAS PAREDES. AF_06/2014</t>
  </si>
  <si>
    <t>64,89</t>
  </si>
  <si>
    <t>87270</t>
  </si>
  <si>
    <t>REVESTIMENTO CERÂMICO PARA PAREDES INTERNAS COM PLACAS TIPO ESMALTADA EXTRA DE DIMENSÕES 25X35 CM APLICADAS EM AMBIENTES DE ÁREA MENOR QUE 5 M² A MEIA ALTURA DAS PAREDES. AF_06/2014</t>
  </si>
  <si>
    <t>75,97</t>
  </si>
  <si>
    <t>87271</t>
  </si>
  <si>
    <t>REVESTIMENTO CERÂMICO PARA PAREDES INTERNAS COM PLACAS TIPO ESMALTADA EXTRA DE DIMENSÕES 25X35 CM APLICADAS EM AMBIENTES DE ÁREA MAIOR QUE 5 M² A MEIA ALTURA DAS PAREDES. AF_06/2014</t>
  </si>
  <si>
    <t>71,83</t>
  </si>
  <si>
    <t>87272</t>
  </si>
  <si>
    <t>REVESTIMENTO CERÂMICO PARA PAREDES INTERNAS COM PLACAS TIPO ESMALTADA EXTRA  DE DIMENSÕES 33X45 CM APLICADAS EM AMBIENTES DE ÁREA MENOR QUE 5 M² NA ALTURA INTEIRA DAS PAREDES. AF_06/2014</t>
  </si>
  <si>
    <t>78,03</t>
  </si>
  <si>
    <t>87273</t>
  </si>
  <si>
    <t>REVESTIMENTO CERÂMICO PARA PAREDES INTERNAS COM PLACAS TIPO ESMALTADA EXTRA DE DIMENSÕES 33X45 CM APLICADAS EM AMBIENTES DE ÁREA MAIOR QUE 5 M² NA ALTURA INTEIRA DAS PAREDES. AF_06/2014</t>
  </si>
  <si>
    <t>67,39</t>
  </si>
  <si>
    <t>87274</t>
  </si>
  <si>
    <t>REVESTIMENTO CERÂMICO PARA PAREDES INTERNAS COM PLACAS TIPO ESMALTADA EXTRA DE DIMENSÕES 33X45 CM APLICADAS EM AMBIENTES DE ÁREA MENOR QUE 5 M² A MEIA ALTURA DAS PAREDES. AF_06/2014</t>
  </si>
  <si>
    <t>87275</t>
  </si>
  <si>
    <t>REVESTIMENTO CERÂMICO PARA PAREDES INTERNAS COM PLACAS TIPO ESMALTADA EXTRA  DE DIMENSÕES 33X45 CM APLICADAS EM AMBIENTES DE ÁREA MAIOR QUE 5 M² A MEIA ALTURA DAS PAREDES. AF_06/2014</t>
  </si>
  <si>
    <t>76,11</t>
  </si>
  <si>
    <t>88786</t>
  </si>
  <si>
    <t>REVESTIMENTO CERÂMICO PARA PAREDES EXTERNAS EM PASTILHAS DE PORCELANA 2,5 X 2,5 CM (PLACAS DE 30 X 30 CM), ALINHADAS A PRUMO, APLICADO EM PANOS COM VÃOS. AF_10/2014</t>
  </si>
  <si>
    <t>325,85</t>
  </si>
  <si>
    <t>88787</t>
  </si>
  <si>
    <t>REVESTIMENTO CERÂMICO PARA PAREDES EXTERNAS EM PASTILHAS DE PORCELANA 2,5 X 2,5 CM (PLACAS DE 30 X 30 CM), ALINHADAS A PRUMO, APLICADO EM PANOS SEM VÃOS. AF_10/2014</t>
  </si>
  <si>
    <t>300,73</t>
  </si>
  <si>
    <t>88788</t>
  </si>
  <si>
    <t>REVESTIMENTO CERÂMICO PARA PAREDES EXTERNAS EM PASTILHAS DE PORCELANA 2,5 X 2,5 CM (PLACAS DE 30 X 30 CM), ALINHADAS A PRUMO, APLICADO EM SUPERFÍCIES EXTERNAS DA SACADA. AF_10/2014</t>
  </si>
  <si>
    <t>313,13</t>
  </si>
  <si>
    <t>88789</t>
  </si>
  <si>
    <t>REVESTIMENTO CERÂMICO PARA PAREDES EXTERNAS EM PASTILHAS DE PORCELANA 2,5 X 2,5 CM (PLACAS DE 30 X 30 CM), ALINHADAS A PRUMO, APLICADO EM SUPERFÍCIES INTERNAS DA SACADA. AF_10/2014</t>
  </si>
  <si>
    <t>378,53</t>
  </si>
  <si>
    <t>89045</t>
  </si>
  <si>
    <t>(COMPOSIÇÃO REPRESENTATIVA) DO SERVIÇO DE REVESTIMENTO CERÂMICO PARA AMBIENTES DE ÁREAS MOLHADAS, MEIA PAREDE OU PAREDE INTEIRA, COM PLACAS TIPO ESMALTADA EXTRA, DIMENSÕES 20X20 CM, PARA EDIFICAÇÃO HABITACIONAL MULTIFAMILIAR (PRÉDIO). AF_11/2014</t>
  </si>
  <si>
    <t>89170</t>
  </si>
  <si>
    <t>(COMPOSIÇÃO REPRESENTATIVA) DO SERVIÇO DE REVESTIMENTO CERÂMICO PARA PAREDES INTERNAS, MEIA OU PAREDE INTEIRA, PLACAS TIPO ESMALTADA EXTRA DE 20X20 CM, PARA EDIFICAÇÕES HABITACIONAIS UNIFAMILIAR (CASAS) E EDIFICAÇÕES PÚBLICAS PADRÃO. AF_11/2014</t>
  </si>
  <si>
    <t>93392</t>
  </si>
  <si>
    <t>REVESTIMENTO CERÂMICO PARA PAREDES INTERNAS COM PLACAS TIPO ESMALTADA PADRÃO POPULAR DE DIMENSÕES 20X20 CM, ARGAMASSA TIPO AC I, APLICADAS EM AMBIENTES DE ÁREA MENOR QUE 5 M2 NA ALTURA INTEIRA DAS PAREDES. AF_06/2014</t>
  </si>
  <si>
    <t>58,13</t>
  </si>
  <si>
    <t>93393</t>
  </si>
  <si>
    <t>REVESTIMENTO CERÂMICO PARA PAREDES INTERNAS COM PLACAS TIPO ESMALTADA PADRÃO POPULAR DE DIMENSÕES 20X20 CM, ARGAMASSA TIPO AC I, APLICADAS EM AMBIENTES DE ÁREA MAIOR QUE 5 M2 NA ALTURA INTEIRA DAS PAREDES. AF_06/2014</t>
  </si>
  <si>
    <t>50,23</t>
  </si>
  <si>
    <t>93394</t>
  </si>
  <si>
    <t>REVESTIMENTO CERÂMICO PARA PAREDES INTERNAS COM PLACAS TIPO ESMALTADA PADRÃO POPULAR DE DIMENSÕES 20X20 CM, ARGAMASSA TIPO AC I, APLICADAS EM AMBIENTES DE ÁREA MENOR QUE 5 M2 A MEIA ALTURA DAS PAREDES. AF_06/2014</t>
  </si>
  <si>
    <t>60,94</t>
  </si>
  <si>
    <t>93395</t>
  </si>
  <si>
    <t>REVESTIMENTO CERÂMICO PARA PAREDES INTERNAS COM PLACAS TIPO ESMALTADA PADRÃO POPULAR DE DIMENSÕES 20X20 CM, ARGAMASSA TIPO AC I, APLICADAS EM AMBIENTES DE ÁREA MAIOR QUE 5 M2 A MEIA ALTURA DAS PAREDES. AF_06/2014</t>
  </si>
  <si>
    <t>57,43</t>
  </si>
  <si>
    <t>99194</t>
  </si>
  <si>
    <t>REVESTIMENTO CERÂMICO PARA PAREDES INTERNAS COM PLACAS TIPO ESMALTADA PADRÃO POPULAR DE DIMENSÕES 20X20 CM, ARGAMASSA TIPO AC III, APLICADAS EM AMBIENTES DE ÁREA MENOR QUE 5 M2 NA ALTURA INTEIRA DAS PAREDES. AF_06/2014</t>
  </si>
  <si>
    <t>63,57</t>
  </si>
  <si>
    <t>99195</t>
  </si>
  <si>
    <t>REVESTIMENTO CERÂMICO PARA PAREDES INTERNAS COM PLACAS TIPO ESMALTADA PADRÃO POPULAR DE DIMENSÕES 20X20 CM, ARGAMASSA TIPO AC III, APLICADAS EM AMBIENTES DE ÁREA MAIOR QUE 5 M2 NA ALTURA INTEIRA DAS PAREDES. AF_06/2014</t>
  </si>
  <si>
    <t>55,67</t>
  </si>
  <si>
    <t>99196</t>
  </si>
  <si>
    <t>REVESTIMENTO CERÂMICO PARA PAREDES INTERNAS COM PLACAS TIPO ESMALTADA PADRÃO POPULAR DE DIMENSÕES 20X20 CM, ARGAMASSA TIPO AC III, APLICADAS EM AMBIENTES DE ÁREA MENOR QUE 5 M2 A MEIA ALTURA DAS PAREDES. AF_06/2014</t>
  </si>
  <si>
    <t>66,38</t>
  </si>
  <si>
    <t>99198</t>
  </si>
  <si>
    <t>REVESTIMENTO CERÂMICO PARA PAREDES INTERNAS COM PLACAS TIPO ESMALTADA PADRÃO POPULAR DE DIMENSÕES 20X20 CM, ARGAMASSA TIPO AC III, APLICADAS EM AMBIENTES DE ÁREA MAIOR QUE 5 M2 A MEIA ALTURA DAS PAREDES. AF_06/2014</t>
  </si>
  <si>
    <t>62,87</t>
  </si>
  <si>
    <t>101965</t>
  </si>
  <si>
    <t>PEITORIL LINEAR EM GRANITO OU MÁRMORE, L = 15CM, COMPRIMENTO DE ATÉ 2M, ASSENTADO COM ARGAMASSA 1:6 COM ADITIVO. AF_11/2020</t>
  </si>
  <si>
    <t>101966</t>
  </si>
  <si>
    <t>CHAPIM SOBRE MUROS LINEARES, EM GRANITO OU MÁRMORE, L = 25 CM, ASSENTADO COM ARGAMASSA 1:6 COM ADITIVO. AF_11/2020</t>
  </si>
  <si>
    <t>114,41</t>
  </si>
  <si>
    <t>101979</t>
  </si>
  <si>
    <t>CHAPIM (RUFO CAPA) EM AÇO GALVANIZADO, CORTE 33. AF_11/2020</t>
  </si>
  <si>
    <t>59,21</t>
  </si>
  <si>
    <t>96112</t>
  </si>
  <si>
    <t>FORRO EM MADEIRA PINUS, PARA AMBIENTES RESIDENCIAIS, INCLUSIVE ESTRUTURA DE FIXAÇÃO. AF_05/2017</t>
  </si>
  <si>
    <t>138,44</t>
  </si>
  <si>
    <t>96117</t>
  </si>
  <si>
    <t>FORRO EM MADEIRA PINUS, PARA AMBIENTES COMERCIAIS, INCLUSIVE ESTRUTURA DE FIXAÇÃO. AF_05/2017</t>
  </si>
  <si>
    <t>177,01</t>
  </si>
  <si>
    <t>96122</t>
  </si>
  <si>
    <t>ACABAMENTOS PARA FORRO (RODA-FORRO EM MADEIRA PINUS). AF_05/2017</t>
  </si>
  <si>
    <t>42,78</t>
  </si>
  <si>
    <t>96109</t>
  </si>
  <si>
    <t>FORRO EM PLACAS DE GESSO, PARA AMBIENTES RESIDENCIAIS. AF_05/2017_P</t>
  </si>
  <si>
    <t>96110</t>
  </si>
  <si>
    <t>FORRO EM DRYWALL, PARA AMBIENTES RESIDENCIAIS, INCLUSIVE ESTRUTURA DE FIXAÇÃO. AF_05/2017_P</t>
  </si>
  <si>
    <t>73,03</t>
  </si>
  <si>
    <t>96113</t>
  </si>
  <si>
    <t>FORRO EM PLACAS DE GESSO, PARA AMBIENTES COMERCIAIS. AF_05/2017_P</t>
  </si>
  <si>
    <t>31,93</t>
  </si>
  <si>
    <t>96114</t>
  </si>
  <si>
    <t>FORRO EM DRYWALL, PARA AMBIENTES COMERCIAIS, INCLUSIVE ESTRUTURA DE FIXAÇÃO. AF_05/2017_P</t>
  </si>
  <si>
    <t>77,13</t>
  </si>
  <si>
    <t>96120</t>
  </si>
  <si>
    <t>ACABAMENTOS PARA FORRO (MOLDURA DE GESSO). AF_05/2017</t>
  </si>
  <si>
    <t>96123</t>
  </si>
  <si>
    <t>ACABAMENTOS PARA FORRO (MOLDURA EM DRYWALL, COM LARGURA DE 15 CM). AF_05/2017_P</t>
  </si>
  <si>
    <t>36,46</t>
  </si>
  <si>
    <t>99054</t>
  </si>
  <si>
    <t>ACABAMENTOS PARA FORRO (SANCA DE GESSO MONTADA NA OBRA). AF_05/2017_P</t>
  </si>
  <si>
    <t>45,00</t>
  </si>
  <si>
    <t>96111</t>
  </si>
  <si>
    <t>FORRO EM RÉGUAS DE PVC, FRISADO, PARA AMBIENTES RESIDENCIAIS, INCLUSIVE ESTRUTURA DE FIXAÇÃO. AF_05/2017_P</t>
  </si>
  <si>
    <t>68,22</t>
  </si>
  <si>
    <t>96116</t>
  </si>
  <si>
    <t>FORRO EM RÉGUAS DE PVC, FRISADO, PARA AMBIENTES COMERCIAIS, INCLUSIVE ESTRUTURA DE FIXAÇÃO. AF_05/2017_P</t>
  </si>
  <si>
    <t>75,62</t>
  </si>
  <si>
    <t>96121</t>
  </si>
  <si>
    <t>ACABAMENTOS PARA FORRO (RODA-FORRO EM PERFIL METÁLICO E PLÁSTICO). AF_05/2017</t>
  </si>
  <si>
    <t>11,58</t>
  </si>
  <si>
    <t>96485</t>
  </si>
  <si>
    <t>FORRO EM RÉGUAS DE PVC, LISO, PARA AMBIENTES RESIDENCIAIS, INCLUSIVE ESTRUTURA DE FIXAÇÃO. AF_05/2017_P</t>
  </si>
  <si>
    <t>77,90</t>
  </si>
  <si>
    <t>96486</t>
  </si>
  <si>
    <t>FORRO DE PVC, LISO, PARA AMBIENTES COMERCIAIS, INCLUSIVE ESTRUTURA DE FIXAÇÃO. AF_05/2017_P</t>
  </si>
  <si>
    <t>85,89</t>
  </si>
  <si>
    <t>91514</t>
  </si>
  <si>
    <t>ESTUCAMENTO DE PANOS DE FACHADA SEM VÃOS DO SISTEMA DE PAREDES DE CONCRETO EM EDIFICAÇÕES DE MÚLTIPLOS PAVIMENTOS. AF_06/2015</t>
  </si>
  <si>
    <t>91515</t>
  </si>
  <si>
    <t>ESTUCAMENTO DE PANOS DE FACHADA COM VÃOS DO SISTEMA DE PAREDES DE CONCRETO EM EDIFICAÇÕES DE MÚLTIPLOS PAVIMENTOS. AF_06/2015</t>
  </si>
  <si>
    <t>91516</t>
  </si>
  <si>
    <t>ESTUCAMENTO DE SUPERFÍCIE EXTERNA DA SACADA DO SISTEMA DE PAREDES DE CONCRETO EM EDIFICAÇÕES DE MÚLTIPLOS PAVIMENTOS. AF_06/2015</t>
  </si>
  <si>
    <t>12,59</t>
  </si>
  <si>
    <t>91517</t>
  </si>
  <si>
    <t>ESTUCAMENTO DE PANOS DE FACHADA SEM VÃOS DO SISTEMA DE PAREDES DE CONCRETO EM EDIFICAÇÕES DE PAVIMENTO ÚNICO. AF_06/2015</t>
  </si>
  <si>
    <t>14,01</t>
  </si>
  <si>
    <t>91519</t>
  </si>
  <si>
    <t>ESTUCAMENTO DE PANOS DE FACHADA COM VÃOS DO SISTEMA DE PAREDES DE CONCRETO EM EDIFICAÇÕES DE PAVIMENTO ÚNICO. AF_06/2015</t>
  </si>
  <si>
    <t>91520</t>
  </si>
  <si>
    <t>ESTUCAMENTO DE DENSIDADE BAIXA NAS FACES INTERNAS DE PAREDES DO SISTEMA DE PAREDES DE CONCRETO. AF_06/2015</t>
  </si>
  <si>
    <t>2,33</t>
  </si>
  <si>
    <t>91522</t>
  </si>
  <si>
    <t>ESTUCAMENTO, PARA QUALQUER REVESTIMENTO, EM TETO DO SISTEMA DE PAREDES DE CONCRETO. AF_06/2015</t>
  </si>
  <si>
    <t>91525</t>
  </si>
  <si>
    <t>ESTUCAMENTO DE DENSIDADE ALTA, NAS FACES INTERNAS DE PAREDES DO SISTEMA DE PAREDES DE CONCRETO. AF_06/2015</t>
  </si>
  <si>
    <t>5,03</t>
  </si>
  <si>
    <t>87280</t>
  </si>
  <si>
    <t>ARGAMASSA TRAÇO 1:7 (EM VOLUME DE CIMENTO E AREIA MÉDIA ÚMIDA) COM ADIÇÃO DE PLASTIFICANTE PARA EMBOÇO/MASSA ÚNICA/ASSENTAMENTO DE ALVENARIA DE VEDAÇÃO, PREPARO MECÂNICO COM BETONEIRA 400 L. AF_08/2019</t>
  </si>
  <si>
    <t>311,68</t>
  </si>
  <si>
    <t>87281</t>
  </si>
  <si>
    <t>ARGAMASSA TRAÇO 1:7 (EM VOLUME DE CIMENTO E AREIA MÉDIA ÚMIDA) COM ADIÇÃO DE PLASTIFICANTE PARA EMBOÇO/MASSA ÚNICA/ASSENTAMENTO DE ALVENARIA DE VEDAÇÃO, PREPARO MECÂNICO COM BETONEIRA 600 L. AF_08/2019</t>
  </si>
  <si>
    <t>300,95</t>
  </si>
  <si>
    <t>87283</t>
  </si>
  <si>
    <t>ARGAMASSA TRAÇO 1:6 (EM VOLUME DE CIMENTO E AREIA MÉDIA ÚMIDA) COM ADIÇÃO DE PLASTIFICANTE PARA EMBOÇO/MASSA ÚNICA/ASSENTAMENTO DE ALVENARIA DE VEDAÇÃO, PREPARO MECÂNICO COM BETONEIRA 400 L. AF_08/2019</t>
  </si>
  <si>
    <t>321,92</t>
  </si>
  <si>
    <t>87284</t>
  </si>
  <si>
    <t>ARGAMASSA TRAÇO 1:6 (EM VOLUME DE CIMENTO E AREIA MÉDIA ÚMIDA) COM ADIÇÃO DE PLASTIFICANTE PARA EMBOÇO/MASSA ÚNICA/ASSENTAMENTO DE ALVENARIA DE VEDAÇÃO, PREPARO MECÂNICO COM BETONEIRA 600 L. AF_08/2019</t>
  </si>
  <si>
    <t>309,87</t>
  </si>
  <si>
    <t>87286</t>
  </si>
  <si>
    <t>ARGAMASSA TRAÇO 1:1:6 (EM VOLUME DE CIMENTO, CAL E AREIA MÉDIA ÚMIDA) PARA EMBOÇO/MASSA ÚNICA/ASSENTAMENTO DE ALVENARIA DE VEDAÇÃO, PREPARO MECÂNICO COM BETONEIRA 400 L. AF_08/2019</t>
  </si>
  <si>
    <t>434,04</t>
  </si>
  <si>
    <t>87287</t>
  </si>
  <si>
    <t>ARGAMASSA TRAÇO 1:1:6 (EM VOLUME DE CIMENTO, CAL E AREIA MÉDIA ÚMIDA) PARA EMBOÇO/MASSA ÚNICA/ASSENTAMENTO DE ALVENARIA DE VEDAÇÃO, PREPARO MECÂNICO COM BETONEIRA 600 L. AF_08/2019</t>
  </si>
  <si>
    <t>409,91</t>
  </si>
  <si>
    <t>87289</t>
  </si>
  <si>
    <t>ARGAMASSA TRAÇO 1:1,5:7,5 (EM VOLUME DE CIMENTO, CAL E AREIA MÉDIA ÚMIDA) PARA EMBOÇO/MASSA ÚNICA/ASSENTAMENTO DE ALVENARIA DE VEDAÇÃO, PREPARO MECÂNICO COM BETONEIRA 400 L. AF_08/2019</t>
  </si>
  <si>
    <t>420,69</t>
  </si>
  <si>
    <t>87290</t>
  </si>
  <si>
    <t>ARGAMASSA TRAÇO 1:1,5:7,5 (EM VOLUME DE CIMENTO, CAL E AREIA MÉDIA ÚMIDA) PARA EMBOÇO/MASSA ÚNICA/ASSENTAMENTO DE ALVENARIA DE VEDAÇÃO, PREPARO MECÂNICO COM BETONEIRA 600 L. AF_08/2019</t>
  </si>
  <si>
    <t>407,07</t>
  </si>
  <si>
    <t>87292</t>
  </si>
  <si>
    <t>ARGAMASSA TRAÇO 1:2:8 (EM VOLUME DE CIMENTO, CAL E AREIA MÉDIA ÚMIDA) PARA EMBOÇO/MASSA ÚNICA/ASSENTAMENTO DE ALVENARIA DE VEDAÇÃO, PREPARO MECÂNICO COM BETONEIRA 400 L. AF_08/2019</t>
  </si>
  <si>
    <t>433,63</t>
  </si>
  <si>
    <t>87294</t>
  </si>
  <si>
    <t>ARGAMASSA TRAÇO 1:2:9 (EM VOLUME DE CIMENTO, CAL E AREIA MÉDIA ÚMIDA) PARA EMBOÇO/MASSA ÚNICA/ASSENTAMENTO DE ALVENARIA DE VEDAÇÃO, PREPARO MECÂNICO COM BETONEIRA 600 L. AF_08/2019</t>
  </si>
  <si>
    <t>408,39</t>
  </si>
  <si>
    <t>87295</t>
  </si>
  <si>
    <t>ARGAMASSA TRAÇO 1:3:12 (EM VOLUME DE CIMENTO, CAL E AREIA MÉDIA ÚMIDA) PARA EMBOÇO/MASSA ÚNICA/ASSENTAMENTO DE ALVENARIA DE VEDAÇÃO, PREPARO MECÂNICO COM BETONEIRA 400 L. AF_08/2019</t>
  </si>
  <si>
    <t>429,81</t>
  </si>
  <si>
    <t>87296</t>
  </si>
  <si>
    <t>ARGAMASSA TRAÇO 1:3:12 (EM VOLUME DE CIMENTO, CAL E AREIA MÉDIA ÚMIDA) PARA EMBOÇO/MASSA ÚNICA/ASSENTAMENTO DE ALVENARIA DE VEDAÇÃO, PREPARO MECÂNICO COM BETONEIRA 600 L. AF_08/2019</t>
  </si>
  <si>
    <t>396,37</t>
  </si>
  <si>
    <t>87298</t>
  </si>
  <si>
    <t>ARGAMASSA TRAÇO 1:3 (EM VOLUME DE CIMENTO E AREIA MÉDIA ÚMIDA) PARA CONTRAPISO, PREPARO MECÂNICO COM BETONEIRA 400 L. AF_08/2019</t>
  </si>
  <si>
    <t>486,64</t>
  </si>
  <si>
    <t>87299</t>
  </si>
  <si>
    <t>ARGAMASSA TRAÇO 1:3 (EM VOLUME DE CIMENTO E AREIA MÉDIA ÚMIDA) PARA CONTRAPISO, PREPARO MECÂNICO COM BETONEIRA 600 L. AF_08/2019</t>
  </si>
  <si>
    <t>309,11</t>
  </si>
  <si>
    <t>87301</t>
  </si>
  <si>
    <t>ARGAMASSA TRAÇO 1:4 (EM VOLUME DE CIMENTO E AREIA MÉDIA ÚMIDA) PARA CONTRAPISO, PREPARO MECÂNICO COM BETONEIRA 400 L. AF_08/2019</t>
  </si>
  <si>
    <t>435,83</t>
  </si>
  <si>
    <t>87302</t>
  </si>
  <si>
    <t>ARGAMASSA TRAÇO 1:4 (EM VOLUME DE CIMENTO E AREIA MÉDIA ÚMIDA) PARA CONTRAPISO, PREPARO MECÂNICO COM BETONEIRA 600 L. AF_08/2019</t>
  </si>
  <si>
    <t>421,59</t>
  </si>
  <si>
    <t>87304</t>
  </si>
  <si>
    <t>ARGAMASSA TRAÇO 1:5 (EM VOLUME DE CIMENTO E AREIA MÉDIA ÚMIDA) PARA CONTRAPISO, PREPARO MECÂNICO COM BETONEIRA 400 L. AF_08/2019</t>
  </si>
  <si>
    <t>387,13</t>
  </si>
  <si>
    <t>87305</t>
  </si>
  <si>
    <t>ARGAMASSA TRAÇO 1:5 (EM VOLUME DE CIMENTO E AREIA MÉDIA ÚMIDA) PARA CONTRAPISO, PREPARO MECÂNICO COM BETONEIRA 600 L. AF_08/2019</t>
  </si>
  <si>
    <t>385,54</t>
  </si>
  <si>
    <t>87307</t>
  </si>
  <si>
    <t>ARGAMASSA TRAÇO 1:6 (EM VOLUME DE CIMENTO E AREIA MÉDIA ÚMIDA) PARA CONTRAPISO, PREPARO MECÂNICO COM BETONEIRA 400 L. AF_08/2019</t>
  </si>
  <si>
    <t>368,58</t>
  </si>
  <si>
    <t>87308</t>
  </si>
  <si>
    <t>ARGAMASSA TRAÇO 1:6 (EM VOLUME DE CIMENTO E AREIA MÉDIA ÚMIDA) PARA CONTRAPISO, PREPARO MECÂNICO COM BETONEIRA 600 L. AF_08/2019</t>
  </si>
  <si>
    <t>355,29</t>
  </si>
  <si>
    <t>87310</t>
  </si>
  <si>
    <t>ARGAMASSA TRAÇO 1:5 (EM VOLUME DE CIMENTO E AREIA GROSSA ÚMIDA) PARA CHAPISCO CONVENCIONAL, PREPARO MECÂNICO COM BETONEIRA 400 L. AF_08/2019</t>
  </si>
  <si>
    <t>328,87</t>
  </si>
  <si>
    <t>87311</t>
  </si>
  <si>
    <t>ARGAMASSA TRAÇO 1:5 (EM VOLUME DE CIMENTO E AREIA GROSSA ÚMIDA) PARA CHAPISCO CONVENCIONAL, PREPARO MECÂNICO COM BETONEIRA 600 L. AF_08/2019</t>
  </si>
  <si>
    <t>315,47</t>
  </si>
  <si>
    <t>87313</t>
  </si>
  <si>
    <t>ARGAMASSA TRAÇO 1:3 (EM VOLUME DE CIMENTO E AREIA GROSSA ÚMIDA) PARA CHAPISCO CONVENCIONAL, PREPARO MECÂNICO COM BETONEIRA 400 L. AF_08/2019</t>
  </si>
  <si>
    <t>400,31</t>
  </si>
  <si>
    <t>87314</t>
  </si>
  <si>
    <t>ARGAMASSA TRAÇO 1:3 (EM VOLUME DE CIMENTO E AREIA GROSSA ÚMIDA) PARA CHAPISCO CONVENCIONAL, PREPARO MECÂNICO COM BETONEIRA 600 L. AF_08/2019</t>
  </si>
  <si>
    <t>388,26</t>
  </si>
  <si>
    <t>87316</t>
  </si>
  <si>
    <t>ARGAMASSA TRAÇO 1:4 (EM VOLUME DE CIMENTO E AREIA GROSSA ÚMIDA) PARA CHAPISCO CONVENCIONAL, PREPARO MECÂNICO COM BETONEIRA 400 L. AF_08/2019</t>
  </si>
  <si>
    <t>364,64</t>
  </si>
  <si>
    <t>87317</t>
  </si>
  <si>
    <t>ARGAMASSA TRAÇO 1:4 (EM VOLUME DE CIMENTO E AREIA GROSSA ÚMIDA) PARA CHAPISCO CONVENCIONAL, PREPARO MECÂNICO COM BETONEIRA 600 L. AF_08/2019</t>
  </si>
  <si>
    <t>345,28</t>
  </si>
  <si>
    <t>87319</t>
  </si>
  <si>
    <t>ARGAMASSA TRAÇO 1:5 (EM VOLUME DE CIMENTO E AREIA GROSSA ÚMIDA) COM ADIÇÃO DE EMULSÃO POLIMÉRICA PARA CHAPISCO ROLADO, PREPARO MECÂNICO COM BETONEIRA 400 L. AF_08/2019</t>
  </si>
  <si>
    <t>2.615,77</t>
  </si>
  <si>
    <t>87320</t>
  </si>
  <si>
    <t>ARGAMASSA TRAÇO 1:5 (EM VOLUME DE CIMENTO E AREIA GROSSA ÚMIDA) COM ADIÇÃO DE EMULSÃO POLIMÉRICA PARA CHAPISCO ROLADO, PREPARO MECÂNICO COM BETONEIRA 600 L. AF_08/2019</t>
  </si>
  <si>
    <t>2.613,89</t>
  </si>
  <si>
    <t>87322</t>
  </si>
  <si>
    <t>ARGAMASSA TRAÇO 1:3 (EM VOLUME DE CIMENTO E AREIA GROSSA ÚMIDA) COM ADIÇÃO DE EMULSÃO POLIMÉRICA PARA CHAPISCO ROLADO, PREPARO MECÂNICO COM BETONEIRA 400 L. AF_08/2019</t>
  </si>
  <si>
    <t>2.700,40</t>
  </si>
  <si>
    <t>87323</t>
  </si>
  <si>
    <t>ARGAMASSA TRAÇO 1:3 (EM VOLUME DE CIMENTO E AREIA GROSSA ÚMIDA) COM ADIÇÃO DE EMULSÃO POLIMÉRICA PARA CHAPISCO ROLADO, PREPARO MECÂNICO COM BETONEIRA 600 L. AF_08/2019</t>
  </si>
  <si>
    <t>2.691,37</t>
  </si>
  <si>
    <t>87325</t>
  </si>
  <si>
    <t>ARGAMASSA TRAÇO 1:4 (EM VOLUME DE CIMENTO E AREIA GROSSA ÚMIDA) COM ADIÇÃO DE EMULSÃO POLIMÉRICA PARA CHAPISCO ROLADO, PREPARO MECÂNICO COM BETONEIRA 400 L. AF_08/2019</t>
  </si>
  <si>
    <t>2.639,72</t>
  </si>
  <si>
    <t>87326</t>
  </si>
  <si>
    <t>ARGAMASSA TRAÇO 1:4 (EM VOLUME DE CIMENTO E AREIA GROSSA ÚMIDA) COM ADIÇÃO DE EMULSÃO POLIMÉRICA PARA CHAPISCO ROLADO, PREPARO MECÂNICO COM BETONEIRA 600 L. AF_08/2019</t>
  </si>
  <si>
    <t>2.635,87</t>
  </si>
  <si>
    <t>87327</t>
  </si>
  <si>
    <t>ARGAMASSA TRAÇO 1:7 (EM VOLUME DE CIMENTO E AREIA MÉDIA ÚMIDA) COM ADIÇÃO DE PLASTIFICANTE PARA EMBOÇO/MASSA ÚNICA/ASSENTAMENTO DE ALVENARIA DE VEDAÇÃO, PREPARO MECÂNICO COM MISTURADOR DE EIXO HORIZONTAL DE 300 KG. AF_08/2019</t>
  </si>
  <si>
    <t>337,88</t>
  </si>
  <si>
    <t>87328</t>
  </si>
  <si>
    <t>ARGAMASSA TRAÇO 1:7 (EM VOLUME DE CIMENTO E AREIA MÉDIA ÚMIDA) COM ADIÇÃO DE PLASTIFICANTE PARA EMBOÇO/MASSA ÚNICA/ASSENTAMENTO DE ALVENARIA DE VEDAÇÃO, PREPARO MECÂNICO COM MISTURADOR DE EIXO HORIZONTAL DE 600 KG. AF_08/2019</t>
  </si>
  <si>
    <t>274,40</t>
  </si>
  <si>
    <t>87329</t>
  </si>
  <si>
    <t>ARGAMASSA TRAÇO 1:6 (EM VOLUME DE CIMENTO E AREIA MÉDIA ÚMIDA) COM ADIÇÃO DE PLASTIFICANTE PARA EMBOÇO/MASSA ÚNICA/ASSENTAMENTO DE ALVENARIA DE VEDAÇÃO, PREPARO MECÂNICO COM MISTURADOR DE EIXO HORIZONTAL DE 300 KG. AF_08/2019</t>
  </si>
  <si>
    <t>367,32</t>
  </si>
  <si>
    <t>87330</t>
  </si>
  <si>
    <t>ARGAMASSA TRAÇO 1:6 (EM VOLUME DE CIMENTO E AREIA MÉDIA ÚMIDA) COM ADIÇÃO DE PLASTIFICANTE PARA EMBOÇO/MASSA ÚNICA/ASSENTAMENTO DE ALVENARIA DE VEDAÇÃO, PREPARO MECÂNICO COM MISTURADOR DE EIXO HORIZONTAL DE 600 KG. AF_08/2019</t>
  </si>
  <si>
    <t>295,82</t>
  </si>
  <si>
    <t>87331</t>
  </si>
  <si>
    <t>ARGAMASSA TRAÇO 1:1:6 (EM VOLUME DE CIMENTO, CAL E AREIA MÉDIA ÚMIDA) PARA EMBOÇO/MASSA ÚNICA/ASSENTAMENTO DE ALVENARIA DE VEDAÇÃO, PREPARO MECÂNICO COM MISTURADOR DE EIXO HORIZONTAL DE 300 KG. AF_08/2019</t>
  </si>
  <si>
    <t>458,95</t>
  </si>
  <si>
    <t>87332</t>
  </si>
  <si>
    <t>ARGAMASSA TRAÇO 1:1:6 (EM VOLUME DE CIMENTO, CAL E AREIA MÉDIA ÚMIDA) PARA EMBOÇO/MASSA ÚNICA/ASSENTAMENTO DE ALVENARIA DE VEDAÇÃO, PREPARO MECÂNICO COM MISTURADOR DE EIXO HORIZONTAL DE 600 KG. AF_08/2019</t>
  </si>
  <si>
    <t>392,78</t>
  </si>
  <si>
    <t>87333</t>
  </si>
  <si>
    <t>ARGAMASSA TRAÇO 1:1,5:7,5 (EM VOLUME DE CIMENTO, CAL E AREIA MÉDIA ÚMIDA) PARA EMBOÇO/MASSA ÚNICA/ASSENTAMENTO DE ALVENARIA DE VEDAÇÃO, PREPARO MECÂNICO COM MISTURADOR DE EIXO HORIZONTAL DE 300 KG. AF_08/2019</t>
  </si>
  <si>
    <t>429,30</t>
  </si>
  <si>
    <t>87334</t>
  </si>
  <si>
    <t>ARGAMASSA TRAÇO 1:1,5:7,5 (EM VOLUME DE CIMENTO, CAL E AREIA MÉDIA ÚMIDA) PARA EMBOÇO/MASSA ÚNICA/ASSENTAMENTO DE ALVENARIA DE VEDAÇÃO, PREPARO MECÂNICO COM MISTURADOR DE EIXO HORIZONTAL DE 600 KG. AF_08/2019</t>
  </si>
  <si>
    <t>388,03</t>
  </si>
  <si>
    <t>87335</t>
  </si>
  <si>
    <t>ARGAMASSA TRAÇO 1:2:8 (EM VOLUME DE CIMENTO, CAL E AREIA MÉDIA ÚMIDA) PARA EMBOÇO/MASSA ÚNICA/ASSENTAMENTO DE ALVENARIA DE VEDAÇÃO, PREPARO MECÂNICO COM MISTURADOR DE EIXO HORIZONTAL DE 300 KG. AF_08/2019</t>
  </si>
  <si>
    <t>421,06</t>
  </si>
  <si>
    <t>87336</t>
  </si>
  <si>
    <t>ARGAMASSA TRAÇO 1:2:8 (EM VOLUME DE CIMENTO, CAL E AREIA MÉDIA ÚMIDA) PARA EMBOÇO/MASSA ÚNICA/ASSENTAMENTO DE ALVENARIA DE VEDAÇÃO, PREPARO MECÂNICO COM MISTURADOR DE EIXO HORIZONTAL DE 600 KG. AF_08/2019</t>
  </si>
  <si>
    <t>405,66</t>
  </si>
  <si>
    <t>87337</t>
  </si>
  <si>
    <t>ARGAMASSA TRAÇO 1:2:9 (EM VOLUME DE CIMENTO, CAL E AREIA MÉDIA ÚMIDA) PARA EMBOÇO/MASSA ÚNICA/ASSENTAMENTO DE ALVENARIA DE VEDAÇÃO, PREPARO MECÂNICO COM MISTURADOR DE EIXO HORIZONTAL DE 300 KG. AF_08/2019</t>
  </si>
  <si>
    <t>416,95</t>
  </si>
  <si>
    <t>87338</t>
  </si>
  <si>
    <t>ARGAMASSA TRAÇO 1:3:12 (EM VOLUME DE CIMENTO, CAL E AREIA MÉDIA ÚMIDA) PARA EMBOÇO/MASSA ÚNICA/ASSENTAMENTO DE ALVENARIA DE VEDAÇÃO, PREPARO MECÂNICO COM MISTURADOR DE EIXO HORIZONTAL DE 600 KG. AF_08/2019</t>
  </si>
  <si>
    <t>399,04</t>
  </si>
  <si>
    <t>87339</t>
  </si>
  <si>
    <t>ARGAMASSA TRAÇO 1:3 (EM VOLUME DE CIMENTO E AREIA MÉDIA ÚMIDA) PARA CONTRAPISO, PREPARO MECÂNICO COM MISTURADOR DE EIXO HORIZONTAL DE 160 KG. AF_08/2019</t>
  </si>
  <si>
    <t>617,85</t>
  </si>
  <si>
    <t>87340</t>
  </si>
  <si>
    <t>ARGAMASSA TRAÇO 1:3 (EM VOLUME DE CIMENTO E AREIA MÉDIA ÚMIDA) PARA CONTRAPISO, PREPARO MECÂNICO COM MISTURADOR DE EIXO HORIZONTAL DE 300 KG. AF_08/2019</t>
  </si>
  <si>
    <t>489,67</t>
  </si>
  <si>
    <t>87341</t>
  </si>
  <si>
    <t>ARGAMASSA TRAÇO 1:3 (EM VOLUME DE CIMENTO E AREIA MÉDIA ÚMIDA) PARA CONTRAPISO, PREPARO MECÂNICO COM MISTURADOR DE EIXO HORIZONTAL DE 600 KG. AF_08/2019</t>
  </si>
  <si>
    <t>455,05</t>
  </si>
  <si>
    <t>87342</t>
  </si>
  <si>
    <t>ARGAMASSA TRAÇO 1:4 (EM VOLUME DE CIMENTO E AREIA MÉDIA ÚMIDA) PARA CONTRAPISO, PREPARO MECÂNICO COM MISTURADOR DE EIXO HORIZONTAL DE 160 KG. AF_08/2019</t>
  </si>
  <si>
    <t>513,52</t>
  </si>
  <si>
    <t>87343</t>
  </si>
  <si>
    <t>ARGAMASSA TRAÇO 1:4 (EM VOLUME DE CIMENTO E AREIA MÉDIA ÚMIDA) PARA CONTRAPISO, PREPARO MECÂNICO COM MISTURADOR DE EIXO HORIZONTAL DE 300 KG. AF_08/2019</t>
  </si>
  <si>
    <t>441,12</t>
  </si>
  <si>
    <t>87344</t>
  </si>
  <si>
    <t>ARGAMASSA TRAÇO 1:4 (EM VOLUME DE CIMENTO E AREIA MÉDIA ÚMIDA) PARA CONTRAPISO, PREPARO MECÂNICO COM MISTURADOR DE EIXO HORIZONTAL DE 600 KG. AF_08/2019</t>
  </si>
  <si>
    <t>397,82</t>
  </si>
  <si>
    <t>87345</t>
  </si>
  <si>
    <t>ARGAMASSA TRAÇO 1:5 (EM VOLUME DE CIMENTO E AREIA MÉDIA ÚMIDA) PARA CONTRAPISO, PREPARO MECÂNICO COM MISTURADOR DE EIXO HORIZONTAL DE 160 KG. AF_08/2019</t>
  </si>
  <si>
    <t>453,65</t>
  </si>
  <si>
    <t>87346</t>
  </si>
  <si>
    <t>ARGAMASSA TRAÇO 1:5 (EM VOLUME DE CIMENTO E AREIA MÉDIA ÚMIDA) PARA CONTRAPISO, PREPARO MECÂNICO COM MISTURADOR DE EIXO HORIZONTAL DE 300 KG. AF_08/2019</t>
  </si>
  <si>
    <t>393,70</t>
  </si>
  <si>
    <t>87347</t>
  </si>
  <si>
    <t>ARGAMASSA TRAÇO 1:5 (EM VOLUME DE CIMENTO E AREIA MÉDIA ÚMIDA) PARA CONTRAPISO, PREPARO MECÂNICO COM MISTURADOR DE EIXO HORIZONTAL DE 600 KG. AF_08/2019</t>
  </si>
  <si>
    <t>358,95</t>
  </si>
  <si>
    <t>87348</t>
  </si>
  <si>
    <t>ARGAMASSA TRAÇO 1:6 (EM VOLUME DE CIMENTO E AREIA MÉDIA ÚMIDA) PARA CONTRAPISO, PREPARO MECÂNICO COM MISTURADOR DE EIXO HORIZONTAL DE 160 KG. AF_08/2019</t>
  </si>
  <si>
    <t>408,42</t>
  </si>
  <si>
    <t>87349</t>
  </si>
  <si>
    <t>ARGAMASSA TRAÇO 1:6 (EM VOLUME DE CIMENTO E AREIA MÉDIA ÚMIDA) PARA CONTRAPISO, PREPARO MECÂNICO COM MISTURADOR DE EIXO HORIZONTAL DE 600 KG. AF_08/2019</t>
  </si>
  <si>
    <t>326,76</t>
  </si>
  <si>
    <t>87350</t>
  </si>
  <si>
    <t>ARGAMASSA TRAÇO 1:5 (EM VOLUME DE CIMENTO E AREIA GROSSA ÚMIDA) PARA CHAPISCO CONVENCIONAL, PREPARO MECÂNICO COM MISTURADOR DE EIXO HORIZONTAL DE 300 KG. AF_08/2019</t>
  </si>
  <si>
    <t>378,47</t>
  </si>
  <si>
    <t>87351</t>
  </si>
  <si>
    <t>ARGAMASSA TRAÇO 1:5 (EM VOLUME DE CIMENTO E AREIA GROSSA ÚMIDA) PARA CHAPISCO CONVENCIONAL, PREPARO MECÂNICO COM MISTURADOR DE EIXO HORIZONTAL DE 600 KG. AF_08/2019</t>
  </si>
  <si>
    <t>87352</t>
  </si>
  <si>
    <t>ARGAMASSA TRAÇO 1:3 (EM VOLUME DE CIMENTO E AREIA GROSSA ÚMIDA) PARA CHAPISCO CONVENCIONAL, PREPARO MECÂNICO COM MISTURADOR DE EIXO HORIZONTAL DE 160 KG. AF_08/2019</t>
  </si>
  <si>
    <t>486,53</t>
  </si>
  <si>
    <t>87353</t>
  </si>
  <si>
    <t>ARGAMASSA TRAÇO 1:3 (EM VOLUME DE CIMENTO E AREIA GROSSA ÚMIDA) PARA CHAPISCO CONVENCIONAL, PREPARO MECÂNICO COM MISTURADOR DE EIXO HORIZONTAL DE 300 KG. AF_08/2019</t>
  </si>
  <si>
    <t>408,20</t>
  </si>
  <si>
    <t>87354</t>
  </si>
  <si>
    <t>ARGAMASSA TRAÇO 1:3 (EM VOLUME DE CIMENTO E AREIA GROSSA ÚMIDA) PARA CHAPISCO CONVENCIONAL, PREPARO MECÂNICO COM MISTURADOR DE EIXO HORIZONTAL DE 600 KG. AF_08/2019</t>
  </si>
  <si>
    <t>369,71</t>
  </si>
  <si>
    <t>87355</t>
  </si>
  <si>
    <t>ARGAMASSA TRAÇO 1:4 (EM VOLUME DE CIMENTO E AREIA GROSSA ÚMIDA) PARA CHAPISCO CONVENCIONAL, PREPARO MECÂNICO COM MISTURADOR DE EIXO HORIZONTAL DE 160 KG. AF_08/2019</t>
  </si>
  <si>
    <t>406,86</t>
  </si>
  <si>
    <t>87356</t>
  </si>
  <si>
    <t>ARGAMASSA TRAÇO 1:4 (EM VOLUME DE CIMENTO E AREIA GROSSA ÚMIDA) PARA CHAPISCO CONVENCIONAL, PREPARO MECÂNICO COM MISTURADOR DE EIXO HORIZONTAL DE 300 KG. AF_08/2019</t>
  </si>
  <si>
    <t>353,34</t>
  </si>
  <si>
    <t>87357</t>
  </si>
  <si>
    <t>ARGAMASSA TRAÇO 1:4 (EM VOLUME DE CIMENTO E AREIA GROSSA ÚMIDA) PARA CHAPISCO CONVENCIONAL, PREPARO MECÂNICO COM MISTURADOR DE EIXO HORIZONTAL DE 600 KG. AF_08/2019</t>
  </si>
  <si>
    <t>325,22</t>
  </si>
  <si>
    <t>87358</t>
  </si>
  <si>
    <t>ARGAMASSA TRAÇO 1:5 (EM VOLUME DE CIMENTO E AREIA GROSSA ÚMIDA) COM ADIÇÃO DE EMULSÃO POLIMÉRICA PARA CHAPISCO ROLADO, PREPARO MECÂNICO COM MISTURADOR DE EIXO HORIZONTAL DE 300 KG. AF_08/2019</t>
  </si>
  <si>
    <t>2.595,47</t>
  </si>
  <si>
    <t>87359</t>
  </si>
  <si>
    <t>ARGAMASSA TRAÇO 1:5 (EM VOLUME DE CIMENTO E AREIA GROSSA ÚMIDA) COM ADIÇÃO DE EMULSÃO POLIMÉRICA PARA CHAPISCO ROLADO, PREPARO MECÂNICO COM MISTURADOR DE EIXO HORIZONTAL DE 600 KG. AF_08/2019</t>
  </si>
  <si>
    <t>2.560,73</t>
  </si>
  <si>
    <t>87360</t>
  </si>
  <si>
    <t>ARGAMASSA TRAÇO 1:3 (EM VOLUME DE CIMENTO E AREIA GROSSA ÚMIDA) COM ADIÇÃO DE EMULSÃO POLIMÉRICA PARA CHAPISCO ROLADO, PREPARO MECÂNICO COM MISTURADOR DE EIXO HORIZONTAL DE 160 KG. AF_08/2019</t>
  </si>
  <si>
    <t>2.685,84</t>
  </si>
  <si>
    <t>87361</t>
  </si>
  <si>
    <t>ARGAMASSA TRAÇO 1:3 (EM VOLUME DE CIMENTO E AREIA GROSSA ÚMIDA) COM ADIÇÃO DE EMULSÃO POLIMÉRICA PARA CHAPISCO ROLADO, PREPARO MECÂNICO COM MISTURADOR DE EIXO HORIZONTAL DE 300 KG. AF_08/2019</t>
  </si>
  <si>
    <t>2.635,73</t>
  </si>
  <si>
    <t>87362</t>
  </si>
  <si>
    <t>ARGAMASSA TRAÇO 1:3 (EM VOLUME DE CIMENTO E AREIA GROSSA ÚMIDA) COM ADIÇÃO DE EMULSÃO POLIMÉRICA PARA CHAPISCO ROLADO, PREPARO MECÂNICO COM MISTURADOR DE EIXO HORIZONTAL DE 600 KG. AF_08/2019</t>
  </si>
  <si>
    <t>2.625,83</t>
  </si>
  <si>
    <t>87363</t>
  </si>
  <si>
    <t>ARGAMASSA TRAÇO 1:4 (EM VOLUME DE CIMENTO E AREIA GROSSA ÚMIDA) COM ADIÇÃO DE EMULSÃO POLIMÉRICA PARA CHAPISCO ROLADO, PREPARO MECÂNICO COM MISTURADOR DE EIXO HORIZONTAL DE 300 KG. AF_08/2019</t>
  </si>
  <si>
    <t>2.627,29</t>
  </si>
  <si>
    <t>87364</t>
  </si>
  <si>
    <t>ARGAMASSA TRAÇO 1:4 (EM VOLUME DE CIMENTO E AREIA GROSSA ÚMIDA) COM ADIÇÃO DE EMULSÃO POLIMÉRICA PARA CHAPISCO ROLADO, PREPARO MECÂNICO COM MISTURADOR DE EIXO HORIZONTAL DE 600 KG. AF_08/2019</t>
  </si>
  <si>
    <t>2.586,90</t>
  </si>
  <si>
    <t>87365</t>
  </si>
  <si>
    <t>ARGAMASSA TRAÇO 1:7 (EM VOLUME DE CIMENTO E AREIA MÉDIA ÚMIDA) COM ADIÇÃO DE PLASTIFICANTE PARA EMBOÇO/MASSA ÚNICA/ASSENTAMENTO DE ALVENARIA DE VEDAÇÃO, PREPARO MANUAL. AF_08/2019</t>
  </si>
  <si>
    <t>394,06</t>
  </si>
  <si>
    <t>87366</t>
  </si>
  <si>
    <t>ARGAMASSA TRAÇO 1:6 (EM VOLUME DE CIMENTO E AREIA MÉDIA ÚMIDA) COM ADIÇÃO DE PLASTIFICANTE PARA EMBOÇO/MASSA ÚNICA/ASSENTAMENTO DE ALVENARIA DE VEDAÇÃO, PREPARO MANUAL. AF_08/2019</t>
  </si>
  <si>
    <t>418,51</t>
  </si>
  <si>
    <t>87367</t>
  </si>
  <si>
    <t>ARGAMASSA TRAÇO 1:1:6 (EM VOLUME DE CIMENTO, CAL E AREIA MÉDIA ÚMIDA) PARA EMBOÇO/MASSA ÚNICA/ASSENTAMENTO DE ALVENARIA DE VEDAÇÃO, PREPARO MANUAL. AF_08/2019</t>
  </si>
  <si>
    <t>515,42</t>
  </si>
  <si>
    <t>87368</t>
  </si>
  <si>
    <t>ARGAMASSA TRAÇO 1:1,5:7,5 (EM VOLUME DE CIMENTO, CAL E AREIA MÉDIA ÚMIDA) PARA EMBOÇO/MASSA ÚNICA/ASSENTAMENTO DE ALVENARIA DE VEDAÇÃO, PREPARO MANUAL. AF_08/2019</t>
  </si>
  <si>
    <t>507,49</t>
  </si>
  <si>
    <t>87369</t>
  </si>
  <si>
    <t>ARGAMASSA TRAÇO 1:2:8 (EM VOLUME DE CIMENTO, CAL E AREIA MÉDIA ÚMIDA) PARA EMBOÇO/MASSA ÚNICA/ASSENTAMENTO DE ALVENARIA DE VEDAÇÃO, PREPARO MANUAL. AF_08/2019</t>
  </si>
  <si>
    <t>524,62</t>
  </si>
  <si>
    <t>87370</t>
  </si>
  <si>
    <t>ARGAMASSA TRAÇO 1:2:9 (EM VOLUME DE CIMENTO, CAL E AREIA MÉDIA ÚMIDA) PARA EMBOÇO/MASSA ÚNICA/ASSENTAMENTO DE ALVENARIA DE VEDAÇÃO, PREPARO MANUAL. AF_08/2019</t>
  </si>
  <si>
    <t>502,93</t>
  </si>
  <si>
    <t>87371</t>
  </si>
  <si>
    <t>ARGAMASSA TRAÇO 1:3:12 (EM VOLUME DE CIMENTO, CAL E AREIA MÉDIA ÚMIDA) PARA EMBOÇO/MASSA ÚNICA/ASSENTAMENTO DE ALVENARIA DE VEDAÇÃO, PREPARO MANUAL. AF_08/2019</t>
  </si>
  <si>
    <t>495,66</t>
  </si>
  <si>
    <t>87372</t>
  </si>
  <si>
    <t>ARGAMASSA TRAÇO 1:3 (EM VOLUME DE CIMENTO E AREIA MÉDIA ÚMIDA) PARA CONTRAPISO, PREPARO MANUAL. AF_08/2019</t>
  </si>
  <si>
    <t>588,47</t>
  </si>
  <si>
    <t>87373</t>
  </si>
  <si>
    <t>ARGAMASSA TRAÇO 1:4 (EM VOLUME DE CIMENTO E AREIA MÉDIA ÚMIDA) PARA CONTRAPISO, PREPARO MANUAL. AF_08/2019</t>
  </si>
  <si>
    <t>519,43</t>
  </si>
  <si>
    <t>87374</t>
  </si>
  <si>
    <t>ARGAMASSA TRAÇO 1:5 (EM VOLUME DE CIMENTO E AREIA MÉDIA ÚMIDA) PARA CONTRAPISO, PREPARO MANUAL. AF_08/2019</t>
  </si>
  <si>
    <t>481,58</t>
  </si>
  <si>
    <t>87375</t>
  </si>
  <si>
    <t>ARGAMASSA TRAÇO 1:6 (EM VOLUME DE CIMENTO E AREIA MÉDIA ÚMIDA) PARA CONTRAPISO, PREPARO MANUAL. AF_08/2019</t>
  </si>
  <si>
    <t>457,35</t>
  </si>
  <si>
    <t>87376</t>
  </si>
  <si>
    <t>ARGAMASSA TRAÇO 1:5 (EM VOLUME DE CIMENTO E AREIA GROSSA ÚMIDA) PARA CHAPISCO CONVENCIONAL, PREPARO MANUAL. AF_08/2019</t>
  </si>
  <si>
    <t>421,61</t>
  </si>
  <si>
    <t>87377</t>
  </si>
  <si>
    <t>ARGAMASSA TRAÇO 1:3 (EM VOLUME DE CIMENTO E AREIA GROSSA ÚMIDA) PARA CHAPISCO CONVENCIONAL, PREPARO MANUAL. AF_08/2019</t>
  </si>
  <si>
    <t>496,86</t>
  </si>
  <si>
    <t>87378</t>
  </si>
  <si>
    <t>447,68</t>
  </si>
  <si>
    <t>87379</t>
  </si>
  <si>
    <t>ARGAMASSA TRAÇO 1:5 (EM VOLUME DE CIMENTO E AREIA GROSSA ÚMIDA) COM ADIÇÃO DE EMULSÃO POLIMÉRICA PARA CHAPISCO ROLADO, PREPARO MANUAL. AF_08/2019</t>
  </si>
  <si>
    <t>2.692,06</t>
  </si>
  <si>
    <t>87380</t>
  </si>
  <si>
    <t>ARGAMASSA TRAÇO 1:3 (EM VOLUME DE CIMENTO E AREIA GROSSA ÚMIDA) COM ADIÇÃO DE EMULSÃO POLIMÉRICA PARA CHAPISCO ROLADO, PREPARO MANUAL. AF_08/2019</t>
  </si>
  <si>
    <t>2.764,67</t>
  </si>
  <si>
    <t>87381</t>
  </si>
  <si>
    <t>ARGAMASSA TRAÇO 1:4 (EM VOLUME DE CIMENTO E AREIA GROSSA ÚMIDA) COM ADIÇÃO DE EMULSÃO POLIMÉRICA PARA CHAPISCO ROLADO, PREPARO MANUAL. AF_08/2019</t>
  </si>
  <si>
    <t>2.716,93</t>
  </si>
  <si>
    <t>87382</t>
  </si>
  <si>
    <t>ARGAMASSA INDUSTRIALIZADA MULTIUSO PARA REVESTIMENTOS E ASSENTAMENTO DA ALVENARIA, PREPARO COM MISTURADOR DE EIXO HORIZONTAL DE 160 KG. AF_08/2019</t>
  </si>
  <si>
    <t>1.192,60</t>
  </si>
  <si>
    <t>87383</t>
  </si>
  <si>
    <t>ARGAMASSA INDUSTRIALIZADA MULTIUSO PARA REVESTIMENTOS E ASSENTAMENTO DA ALVENARIA, PREPARO COM MISTURADOR DE EIXO HORIZONTAL DE 300 KG. AF_08/2019</t>
  </si>
  <si>
    <t>1.181,73</t>
  </si>
  <si>
    <t>87384</t>
  </si>
  <si>
    <t>ARGAMASSA INDUSTRIALIZADA MULTIUSO PARA REVESTIMENTOS E ASSENTAMENTO DA ALVENARIA, PREPARO COM MISTURADOR DE EIXO HORIZONTAL DE 600 KG. AF_08/2019</t>
  </si>
  <si>
    <t>1.166,84</t>
  </si>
  <si>
    <t>87385</t>
  </si>
  <si>
    <t>ARGAMASSA PRONTA PARA CONTRAPISO, PREPARO COM MISTURADOR DE EIXO HORIZONTAL DE 160 KG. AF_08/2019</t>
  </si>
  <si>
    <t>1.389,69</t>
  </si>
  <si>
    <t>87386</t>
  </si>
  <si>
    <t>ARGAMASSA PRONTA PARA CONTRAPISO, PREPARO COM MISTURADOR DE EIXO HORIZONTAL DE 300 KG. AF_08/2019</t>
  </si>
  <si>
    <t>1.372,58</t>
  </si>
  <si>
    <t>87387</t>
  </si>
  <si>
    <t>ARGAMASSA PRONTA PARA CONTRAPISO, PREPARO COM MISTURADOR DE EIXO HORIZONTAL DE 600 KG. AF_08/2019</t>
  </si>
  <si>
    <t>1.358,07</t>
  </si>
  <si>
    <t>87388</t>
  </si>
  <si>
    <t>ARGAMASSA PARA REVESTIMENTO DECORATIVO MONOCAMADA (MONOCAPA), PREPARO COM MISTURADOR DE EIXO HORIZONTAL DE 160 KG. AF_08/2019</t>
  </si>
  <si>
    <t>3.235,34</t>
  </si>
  <si>
    <t>87389</t>
  </si>
  <si>
    <t>ARGAMASSA PARA REVESTIMENTO DECORATIVO MONOCAMADA (MONOCAPA), PREPARO COM MISTURADOR DE EIXO HORIZONTAL DE 300 KG. AF_08/2019</t>
  </si>
  <si>
    <t>3.238,41</t>
  </si>
  <si>
    <t>87390</t>
  </si>
  <si>
    <t>ARGAMASSA PARA REVESTIMENTO DECORATIVO MONOCAMADA (MONOCAPA), PREPARO COM MISTURADOR DE EIXO HORIZONTAL DE 600 KG. AF_08/2019</t>
  </si>
  <si>
    <t>3.244,91</t>
  </si>
  <si>
    <t>87391</t>
  </si>
  <si>
    <t>ARGAMASSA INDUSTRIALIZADA PARA CHAPISCO ROLADO, PREPARO COM MISTURADOR DE EIXO HORIZONTAL DE 160 KG. AF_08/2019</t>
  </si>
  <si>
    <t>3.600,21</t>
  </si>
  <si>
    <t>87393</t>
  </si>
  <si>
    <t>ARGAMASSA INDUSTRIALIZADA PARA CHAPISCO ROLADO, PREPARO COM MISTURADOR DE EIXO HORIZONTAL DE 300 KG. AF_08/2019</t>
  </si>
  <si>
    <t>3.621,84</t>
  </si>
  <si>
    <t>87394</t>
  </si>
  <si>
    <t>ARGAMASSA INDUSTRIALIZADA PARA CHAPISCO ROLADO, PREPARO COM MISTURADOR DE EIXO HORIZONTAL DE 600 KG. AF_08/2019</t>
  </si>
  <si>
    <t>3.641,30</t>
  </si>
  <si>
    <t>87395</t>
  </si>
  <si>
    <t>ARGAMASSA INDUSTRIALIZADA PARA CHAPISCO COLANTE, PREPARO COM MISTURADOR DE EIXO HORIZONTAL DE 160 KG. AF_08/2019</t>
  </si>
  <si>
    <t>2.290,38</t>
  </si>
  <si>
    <t>87396</t>
  </si>
  <si>
    <t>ARGAMASSA INDUSTRIALIZADA PARA CHAPISCO COLANTE, PREPARO COM MISTURADOR DE EIXO HORIZONTAL DE 300 KG. AF_08/2019</t>
  </si>
  <si>
    <t>2.294,42</t>
  </si>
  <si>
    <t>87397</t>
  </si>
  <si>
    <t>ARGAMASSA INDUSTRIALIZADA PARA CHAPISCO COLANTE, PREPARO COM MISTURADOR DE EIXO HORIZONTAL DE 600 KG. AF_08/2019</t>
  </si>
  <si>
    <t>2.297,08</t>
  </si>
  <si>
    <t>87398</t>
  </si>
  <si>
    <t>ARGAMASSA INDUSTRIALIZADA MULTIUSO PARA REVESTIMENTOS E ASSENTAMENTO DA ALVENARIA, PREPARO MANUAL. AF_08/2019</t>
  </si>
  <si>
    <t>1.343,10</t>
  </si>
  <si>
    <t>87399</t>
  </si>
  <si>
    <t>ARGAMASSA PRONTA PARA CONTRAPISO, PREPARO MANUAL. AF_08/2019</t>
  </si>
  <si>
    <t>1.538,62</t>
  </si>
  <si>
    <t>87401</t>
  </si>
  <si>
    <t>ARGAMASSA INDUSTRIALIZADA PARA CHAPISCO ROLADO, PREPARO MANUAL. AF_08/2019</t>
  </si>
  <si>
    <t>3.816,92</t>
  </si>
  <si>
    <t>87402</t>
  </si>
  <si>
    <t>ARGAMASSA INDUSTRIALIZADA PARA CHAPISCO COLANTE, PREPARO MANUAL. AF_08/2019</t>
  </si>
  <si>
    <t>2.480,27</t>
  </si>
  <si>
    <t>87404</t>
  </si>
  <si>
    <t>ARGAMASSA PARA REVESTIMENTO DECORATIVO MONOCAMADA (MONOCAPA), MISTURA E PROJEÇÃO DE 1,5 M3/H DE ARGAMASSA. AF_08/2019</t>
  </si>
  <si>
    <t>3.388,64</t>
  </si>
  <si>
    <t>87405</t>
  </si>
  <si>
    <t>ARGAMASSA PARA REVESTIMENTO DECORATIVO MONOCAMADA (MONOCAPA), MISTURA E PROJEÇÃO DE 2 M3/H DE ARGAMASSA. AF_06/2014</t>
  </si>
  <si>
    <t>3.381,74</t>
  </si>
  <si>
    <t>87407</t>
  </si>
  <si>
    <t>ARGAMASSA INDUSTRIALIZADA PARA REVESTIMENTOS, MISTURA E PROJEÇÃO DE 1,5 M³/H DE ARGAMASSA. AF_08/2019</t>
  </si>
  <si>
    <t>1.222,58</t>
  </si>
  <si>
    <t>87408</t>
  </si>
  <si>
    <t>ARGAMASSA INDUSTRIALIZADA PARA REVESTIMENTOS, MISTURA E PROJEÇÃO DE 2 M³/H DE ARGAMASSA. AF_06/2014</t>
  </si>
  <si>
    <t>1.204,71</t>
  </si>
  <si>
    <t>87410</t>
  </si>
  <si>
    <t>ARGAMASSA À BASE DE GESSO, MISTURA E PROJEÇÃO DE 1,5 M³/H DE ARGAMASSA. AF_08/2019</t>
  </si>
  <si>
    <t>787,17</t>
  </si>
  <si>
    <t>88626</t>
  </si>
  <si>
    <t>ARGAMASSA TRAÇO 1:0,5:4,5 (EM VOLUME DE CIMENTO, CAL E AREIA MÉDIA ÚMIDA), PREPARO MECÂNICO COM BETONEIRA 400 L. AF_08/2019</t>
  </si>
  <si>
    <t>406,11</t>
  </si>
  <si>
    <t>88627</t>
  </si>
  <si>
    <t>ARGAMASSA TRAÇO 1:0,5:4,5 (EM VOLUME DE CIMENTO, CAL E AREIA MÉDIA ÚMIDA) PARA ASSENTAMENTO DE ALVENARIA, PREPARO MANUAL. AF_08/2019</t>
  </si>
  <si>
    <t>475,12</t>
  </si>
  <si>
    <t>88628</t>
  </si>
  <si>
    <t>ARGAMASSA TRAÇO 1:3 (EM VOLUME DE CIMENTO E AREIA MÉDIA ÚMIDA), PREPARO MECÂNICO COM BETONEIRA 400 L. AF_08/2019</t>
  </si>
  <si>
    <t>403,19</t>
  </si>
  <si>
    <t>88629</t>
  </si>
  <si>
    <t>ARGAMASSA TRAÇO 1:3 (EM VOLUME DE CIMENTO E AREIA MÉDIA ÚMIDA), PREPARO MANUAL. AF_08/2019</t>
  </si>
  <si>
    <t>478,63</t>
  </si>
  <si>
    <t>88630</t>
  </si>
  <si>
    <t>ARGAMASSA TRAÇO 1:4 (CIMENTO E AREIA MÉDIA), PREPARO MECÂNICO COM BETONEIRA 400 L. AF_08/2014</t>
  </si>
  <si>
    <t>335,66</t>
  </si>
  <si>
    <t>88631</t>
  </si>
  <si>
    <t>ARGAMASSA TRAÇO 1:4 (EM VOLUME DE CIMENTO E AREIA MÉDIA ÚMIDA), PREPARO MANUAL. AF_08/2019</t>
  </si>
  <si>
    <t>423,91</t>
  </si>
  <si>
    <t>88715</t>
  </si>
  <si>
    <t>ARGAMASSA TRAÇO 1:2:9 (EM VOLUME DE CIMENTO, CAL E AREIA MÉDIA ÚMIDA) PARA EMBOÇO/MASSA ÚNICA/ASSENTAMENTO DE ALVENARIA DE VEDAÇÃO, PREPARO MECÂNICO COM BETONEIRA 400 L. AF_08/2019</t>
  </si>
  <si>
    <t>405,30</t>
  </si>
  <si>
    <t>95563</t>
  </si>
  <si>
    <t>ARGAMASSA TRAÇO 1:1,93 (EM VOLUME DE CIMENTO E AREIA MÉDIA ÚMIDA), FCK 20 MPA, PREPARO MECÂNICO COM MISTURADOR DUPLO HORIZONTAL DE ALTA TURBULÊNCIA. AF_03/2020</t>
  </si>
  <si>
    <t>614,68</t>
  </si>
  <si>
    <t>100464</t>
  </si>
  <si>
    <t>ARGAMASSA TRAÇO 1:0,5:4,5  (EM VOLUME DE CIMENTO, CAL E AREIA MÉDIA ÚMIDA), PREPARO MECÂNICO COM MISTURADOR DE EIXO HORIZONTAL DE 160 KG. AF_08/2019</t>
  </si>
  <si>
    <t>435,81</t>
  </si>
  <si>
    <t>100465</t>
  </si>
  <si>
    <t>ARGAMASSA TRAÇO 1:0,5:4,5  (EM VOLUME DE CIMENTO, CAL E AREIA MÉDIA ÚMIDA), PREPARO MECÂNICO COM MISTURADOR DE EIXO HORIZONTAL DE 300 KG. AF_08/2019</t>
  </si>
  <si>
    <t>395,77</t>
  </si>
  <si>
    <t>100466</t>
  </si>
  <si>
    <t>ARGAMASSA TRAÇO 1:0,5:4,5  (EM VOLUME DE CIMENTO, CAL E AREIA MÉDIA ÚMIDA), PREPARO MECÂNICO COM MISTURADOR DE EIXO HORIZONTAL DE 600 KG. AF_08/2019</t>
  </si>
  <si>
    <t>373,27</t>
  </si>
  <si>
    <t>100468</t>
  </si>
  <si>
    <t>ARGAMASSA TRAÇO 1:3 (EM VOLUME DE CIMENTO E AREIA MÉDIA ÚMIDA), PREPARO MECÂNICO COM MISTURADOR DE EIXO HORIZONTAL DE 160 KG. AF_08/2019</t>
  </si>
  <si>
    <t>519,31</t>
  </si>
  <si>
    <t>100469</t>
  </si>
  <si>
    <t>ARGAMASSA TRAÇO 1:3 (EM VOLUME DE CIMENTO E AREIA MÉDIA ÚMIDA), PREPARO MECÂNICO COM MISTURADOR DE EIXO HORIZONTAL DE 300 KG. AF_08/2019</t>
  </si>
  <si>
    <t>396,38</t>
  </si>
  <si>
    <t>100470</t>
  </si>
  <si>
    <t>ARGAMASSA TRAÇO 1:3 (EM VOLUME DE CIMENTO E AREIA MÉDIA ÚMIDA), PREPARO MECÂNICO COM MISTURADOR DE EIXO HORIZONTAL DE 600 KG. AF_08/2019</t>
  </si>
  <si>
    <t>348,89</t>
  </si>
  <si>
    <t>100472</t>
  </si>
  <si>
    <t>ARGAMASSA TRAÇO 1:4 (EM VOLUME DE CIMENTO E AREIA MÉDIA ÚMIDA), PREPARO MECÂNICO COM MISTURADOR DE EIXO HORIZONTAL DE 160 KG. AF_08/2019</t>
  </si>
  <si>
    <t>404,41</t>
  </si>
  <si>
    <t>100473</t>
  </si>
  <si>
    <t>ARGAMASSA TRAÇO 1:4 (EM VOLUME DE CIMENTO E AREIA MÉDIA ÚMIDA), PREPARO MECÂNICO COM MISTURADOR DE EIXO HORIZONTAL DE 300 KG. AF_08/2019</t>
  </si>
  <si>
    <t>353,96</t>
  </si>
  <si>
    <t>100474</t>
  </si>
  <si>
    <t>ARGAMASSA TRAÇO 1:4 (EM VOLUME DE CIMENTO E AREIA MÉDIA ÚMIDA), PREPARO MECÂNICO COM MISTURADOR DE EIXO HORIZONTAL DE 600 KG. AF_08/2019</t>
  </si>
  <si>
    <t>328,85</t>
  </si>
  <si>
    <t>100475</t>
  </si>
  <si>
    <t>ARGAMASSA TRAÇO 1:3 (EM VOLUME DE CIMENTO E AREIA MÉDIA ÚMIDA) COM ADIÇÃO DE IMPERMEABILIZANTE, PREPARO MECÂNICO COM BETONEIRA 400 L. AF_08/2019</t>
  </si>
  <si>
    <t>533,91</t>
  </si>
  <si>
    <t>100477</t>
  </si>
  <si>
    <t>ARGAMASSA TRAÇO 1:3 (EM VOLUME DE CIMENTO E AREIA MÉDIA ÚMIDA) COM ADIÇÃO DE IMPERMEABILIZANTE, PREPARO MECÂNICO COM MISTURADOR DE EIXO HORIZONTAL DE 160 KG. AF_08/2019</t>
  </si>
  <si>
    <t>603,02</t>
  </si>
  <si>
    <t>100478</t>
  </si>
  <si>
    <t>ARGAMASSA TRAÇO 1:3 (EM VOLUME DE CIMENTO E AREIA MÉDIA ÚMIDA) COM ADIÇÃO DE IMPERMEABILIZANTE, PREPARO MECÂNICO COM MISTURADOR DE EIXO HORIZONTAL DE 300 KG. AF_08/2019</t>
  </si>
  <si>
    <t>524,12</t>
  </si>
  <si>
    <t>100479</t>
  </si>
  <si>
    <t>ARGAMASSA TRAÇO 1:3 (EM VOLUME DE CIMENTO E AREIA MÉDIA ÚMIDA) COM ADIÇÃO DE IMPERMEABILIZANTE, PREPARO MECÂNICO COM MISTURADOR DE EIXO HORIZONTAL DE 600 KG. AF_08/2019</t>
  </si>
  <si>
    <t>504,61</t>
  </si>
  <si>
    <t>100480</t>
  </si>
  <si>
    <t>ARGAMASSA TRAÇO 1:3 (EM VOLUME DE CIMENTO E AREIA MÉDIA ÚMIDA) COM ADIÇÃO DE IMPERMEABILIZANTE, PREPARO MANUAL. AF_08/2019</t>
  </si>
  <si>
    <t>607,02</t>
  </si>
  <si>
    <t>100481</t>
  </si>
  <si>
    <t>ARGAMASSA TRAÇO 1:4 (EM VOLUME DE CIMENTO E AREIA MÉDIA ÚMIDA) COM ADIÇÃO DE IMPERMEABILIZANTE, PREPARO MECÂNICO COM BETONEIRA 400 L. AF_08/2019</t>
  </si>
  <si>
    <t>453,69</t>
  </si>
  <si>
    <t>100483</t>
  </si>
  <si>
    <t>ARGAMASSA TRAÇO 1:4 (EM VOLUME DE CIMENTO E AREIA MÉDIA ÚMIDA) COM ADIÇÃO DE IMPERMEABILIZANTE, PREPARO MECÂNICO COM MISTURADOR DE EIXO HORIZONTAL DE 160 KG. AF_08/2019</t>
  </si>
  <si>
    <t>505,77</t>
  </si>
  <si>
    <t>100484</t>
  </si>
  <si>
    <t>ARGAMASSA TRAÇO 1:4 (EM VOLUME DE CIMENTO E AREIA MÉDIA ÚMIDA) COM ADIÇÃO DE IMPERMEABILIZANTE, PREPARO MECÂNICO COM MISTURADOR DE EIXO HORIZONTAL DE 300 KG. AF_08/2019</t>
  </si>
  <si>
    <t>456,20</t>
  </si>
  <si>
    <t>100485</t>
  </si>
  <si>
    <t>ARGAMASSA TRAÇO 1:4 (EM VOLUME DE CIMENTO E AREIA MÉDIA ÚMIDA) COM ADIÇÃO DE IMPERMEABILIZANTE, PREPARO MECÂNICO COM MISTURADOR DE EIXO HORIZONTAL DE 600 KG. AF_08/2019</t>
  </si>
  <si>
    <t>432,47</t>
  </si>
  <si>
    <t>100486</t>
  </si>
  <si>
    <t>ARGAMASSA TRAÇO 1:4 (EM VOLUME DE CIMENTO E AREIA MÉDIA ÚMIDA) COM ADIÇÃO DE IMPERMEABILIZANTE, PREPARO MANUAL. AF_08/2019</t>
  </si>
  <si>
    <t>531,01</t>
  </si>
  <si>
    <t>100487</t>
  </si>
  <si>
    <t>ARGAMASSA TRAÇO 1:2:9 (EM VOLUME DE CIMENTO, CAL E AREIA MÉDIA ÚMIDA) PARA EMBOÇO/MASSA ÚNICA/ASSENTAMENTO DE ALVENARIA DE VEDAÇÃO, PREPARO MECÂNICO COM MISTURADOR DE EIXO HORIZONTAL DE 600 KG. AF_08/2019</t>
  </si>
  <si>
    <t>380,13</t>
  </si>
  <si>
    <t>100488</t>
  </si>
  <si>
    <t>ARGAMASSA TRAÇO 1:0,5:4,5 (EM VOLUME DE CIMENTO, CAL E AREIA MÉDIA ÚMIDA), PREPARO MECÂNICO COM BETONEIRA 600 L. AF_08/2019</t>
  </si>
  <si>
    <t>393,01</t>
  </si>
  <si>
    <t>100489</t>
  </si>
  <si>
    <t>ARGAMASSA TRAÇO 1:3 (EM VOLUME DE CIMENTO E AREIA MÉDIA ÚMIDA), PREPARO MECÂNICO COM BETONEIRA 600 L. AF_08/2019</t>
  </si>
  <si>
    <t>397,94</t>
  </si>
  <si>
    <t>100490</t>
  </si>
  <si>
    <t>ARGAMASSA TRAÇO 1:4 (EM VOLUME DE CIMENTO E AREIA MÉDIA ÚMIDA), PREPARO MECÂNICO COM BETONEIRA 600 L. AF_08/2019</t>
  </si>
  <si>
    <t>344,47</t>
  </si>
  <si>
    <t>100491</t>
  </si>
  <si>
    <t>ARGAMASSA TRAÇO 1:3 (EM VOLUME DE CIMENTO E AREIA MÉDIA ÚMIDA) COM ADIÇÃO DE IMPERMEABILIZANTE, PREPARO MECÂNICO COM BETONEIRA 600 L. AF_08/2019</t>
  </si>
  <si>
    <t>529,26</t>
  </si>
  <si>
    <t>100492</t>
  </si>
  <si>
    <t>ARGAMASSA TRAÇO 1:4 (EM VOLUME DE CIMENTO E AREIA MÉDIA ÚMIDA) COM ADIÇÃO DE IMPERMEABILIZANTE, PREPARO MECÂNICO COM BETONEIRA 600 L. AF_08/2019</t>
  </si>
  <si>
    <t>449,56</t>
  </si>
  <si>
    <t>92121</t>
  </si>
  <si>
    <t>PENEIRAMENTO DE AREIA COM PENEIRA ELÉTRICA. AF_11/2015</t>
  </si>
  <si>
    <t>26,07</t>
  </si>
  <si>
    <t>92122</t>
  </si>
  <si>
    <t>PENEIRAMENTO DE AREIA COM PENEIRA MANUAL. AF_11/2015</t>
  </si>
  <si>
    <t>92123</t>
  </si>
  <si>
    <t>ENSACAMENTO DE AREIA. AF_11/2015</t>
  </si>
  <si>
    <t>100195</t>
  </si>
  <si>
    <t>TRANSPORTE HORIZONTAL MANUAL, DE SACOS DE 50 KG (UNIDADE: KGXKM). AF_07/2019</t>
  </si>
  <si>
    <t>KGXKM</t>
  </si>
  <si>
    <t>100196</t>
  </si>
  <si>
    <t>TRANSPORTE HORIZONTAL MANUAL, DE SACOS DE 30 KG (UNIDADE: KGXKM). AF_07/2019</t>
  </si>
  <si>
    <t>1,10</t>
  </si>
  <si>
    <t>100197</t>
  </si>
  <si>
    <t>TRANSPORTE HORIZONTAL MANUAL, DE SACOS DE 20 KG (UNIDADE: KGXKM). AF_07/2019</t>
  </si>
  <si>
    <t>1,66</t>
  </si>
  <si>
    <t>100198</t>
  </si>
  <si>
    <t>TRANSPORTE HORIZONTAL COM CARRINHO PLATAFORMA, DE SACOS DE 50 KG (UNIDADE: KGXKM). AF_07/2019</t>
  </si>
  <si>
    <t>100199</t>
  </si>
  <si>
    <t>TRANSPORTE HORIZONTAL COM CARRINHO PLATAFORMA, DE SACOS DE 30 KG (UNIDADE: KGXKM). AF_07/2019</t>
  </si>
  <si>
    <t>100200</t>
  </si>
  <si>
    <t>TRANSPORTE HORIZONTAL COM CARRINHO PLATAFORMA, DE SACOS DE 20 KG (UNIDADE: KGXKM). AF_07/2019</t>
  </si>
  <si>
    <t>0,34</t>
  </si>
  <si>
    <t>100201</t>
  </si>
  <si>
    <t>TRANSPORTE HORIZONTAL COM CARRINHO DE MÃO, DE SACOS DE 50 KG (UNIDADE: KGXKM). AF_07/2019</t>
  </si>
  <si>
    <t>0,67</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</si>
  <si>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</si>
  <si>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</si>
  <si>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</si>
  <si>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100205</t>
  </si>
  <si>
    <t>TRANSPORTE HORIZONTAL COM JERICA DE 60 L, DE MASSA/ GRANEL (UNIDADE: M3XKM). AF_07/2019</t>
  </si>
  <si>
    <t>M3XKM</t>
  </si>
  <si>
    <t>1.237,03</t>
  </si>
  <si>
    <t>100206</t>
  </si>
  <si>
    <t>TRANSPORTE HORIZONTAL COM JERICA DE 90 L, DE MASSA/ GRANEL (UNIDADE: M3XKM). AF_07/2019</t>
  </si>
  <si>
    <t>894,16</t>
  </si>
  <si>
    <t>100207</t>
  </si>
  <si>
    <t>TRANSPORTE HORIZONTAL COM CARREGADEIRA, DE MASSA/ GRANEL (UNIDADE: M3XKM). AF_07/2019</t>
  </si>
  <si>
    <t>388,17</t>
  </si>
  <si>
    <t>TRANSPORTE HORIZONTAL MANUAL, DE BLOCOS VAZADOS DE CONCRETO OU CERÂMICO DE 19X19X39CM (UNIDADE: BLOCOXKM). AF_07/2019</t>
  </si>
  <si>
    <t>UNXKM</t>
  </si>
  <si>
    <t>16,36</t>
  </si>
  <si>
    <t>100209</t>
  </si>
  <si>
    <t>TRANSPORTE HORIZONTAL MANUAL, DE BLOCOS CERÂMICOS FURADOS NA HORIZONTAL DE 9X19X19CM (UNIDADE: BLOCOXKM). AF_07/2019</t>
  </si>
  <si>
    <t>8,18</t>
  </si>
  <si>
    <t>100210</t>
  </si>
  <si>
    <t>TRANSPORTE HORIZONTAL COM CARRINHO DE MÃO, DE BLOCOS VAZADOS DE CONCRETO OU CERÂMICO DE 19X19X39CM (UNIDADE: BLOCOXKM). AF_07/2019</t>
  </si>
  <si>
    <t>15,07</t>
  </si>
  <si>
    <t>100211</t>
  </si>
  <si>
    <t>TRANSPORTE HORIZONTAL COM CARRINHO DE MÃO, DE BLOCOS CERÂMICOS FURADOS NA HORIZONTAL DE 9X19X19CM (UNIDADE: BLOCOXKM). AF_07/2019</t>
  </si>
  <si>
    <t>100212</t>
  </si>
  <si>
    <t>TRANSPORTE HORIZONTAL COM CARRINHO PLATAFORMA, DE BLOCOS VAZADOS DE CONCRETO OU CERÂMICO DE 19X19X39CM (UNIDADE: BLOCOXKM). AF_07/2019</t>
  </si>
  <si>
    <t>100213</t>
  </si>
  <si>
    <t>TRANSPORTE HORIZONTAL COM CARRINHO PLATAFORMA, DE BLOCOS CERÂMICOS FURADOS NA HORIZONTAL DE 9X19X19CM (UNIDADE: BLOCOXKM). AF_07/2019</t>
  </si>
  <si>
    <t>2,30</t>
  </si>
  <si>
    <t>100214</t>
  </si>
  <si>
    <t>TRANSPORTE HORIZONTAL COM CARRINHO MINI PÁLETES, DE BLOCOS VAZADOS DE CONCRETO DE 19X19X39CM (UNIDADE: BLOCOXKM). AF_07/2019</t>
  </si>
  <si>
    <t>100215</t>
  </si>
  <si>
    <t>TRANSPORTE HORIZONTAL COM CARRINHO MINI PÁLETES, DE BLOCOS CERÂMICOS FURADOS NA VERTICAL DE 19X19X39CM (UNIDADE: BLOCOXKM). AF_07/2019</t>
  </si>
  <si>
    <t>100216</t>
  </si>
  <si>
    <t>TRANSPORTE HORIZONTAL COM CARRINHO MINI PÁLETES, DE BLOCOS CERÂMICOS FURADOS NA HORIZONTAL DE 9X19X19CM (UNIDADE: BLOCOXKM). AF_07/2019</t>
  </si>
  <si>
    <t>100217</t>
  </si>
  <si>
    <t>TRANSPORTE HORIZONTAL COM MANIPULADOR TELESCÓPICO, DE BLOCOS VAZADOS DE CONCRETO DE 19X19X39CM (UNIDADE: BLOCOXKM). AF_07/2019</t>
  </si>
  <si>
    <t>2,72</t>
  </si>
  <si>
    <t>100218</t>
  </si>
  <si>
    <t>TRANSPORTE HORIZONTAL COM MANIPULADOR TELESCÓPICO, DE BLOCOS CERÂMICOS FURADOS NA VERTICAL DE 19X19X39CM (UNIDADE: BLOCOXKM). AF_07/2019</t>
  </si>
  <si>
    <t>1,87</t>
  </si>
  <si>
    <t>100219</t>
  </si>
  <si>
    <t>TRANSPORTE HORIZONTAL COM MANIPULADOR TELESCÓPICO, DE BLOCOS CERÂMICOS FURADOS NA HORIZONTAL DE 9X19X19CM (UNIDADE: BLOCOXKM). AF_07/2019</t>
  </si>
  <si>
    <t>0,41</t>
  </si>
  <si>
    <t>100220</t>
  </si>
  <si>
    <t>TRANSPORTE HORIZONTAL MANUAL, DE CAIXA COM REVESTIMENTO CERÂMICO (UNIDADE: M2XKM). AF_07/2019</t>
  </si>
  <si>
    <t>M2XKM</t>
  </si>
  <si>
    <t>23,51</t>
  </si>
  <si>
    <t>100221</t>
  </si>
  <si>
    <t>TRANSPORTE HORIZONTAL COM CARRINHO DE MÃO, DE CAIXA COM REVESTIMENTO CERÂMICO (UNIDADE: M2XKM). AF_07/2019</t>
  </si>
  <si>
    <t>100222</t>
  </si>
  <si>
    <t>TRANSPORTE HORIZONTAL COM CARRINHO PLATAFORMA, DE CAIXA COM REVESTIMENTO CERÂMICO (UNIDADE: M2XKM). AF_07/2019</t>
  </si>
  <si>
    <t>10,09</t>
  </si>
  <si>
    <t>100223</t>
  </si>
  <si>
    <t>TRANSPORTE HORIZONTAL COM CARRINHO MINI PÁLETES, DE CAIXA COM REVESTIMENTO CERÂMICO (UNIDADE: M2XKM). AF_07/2019</t>
  </si>
  <si>
    <t>4,72</t>
  </si>
  <si>
    <t>100224</t>
  </si>
  <si>
    <t>TRANSPORTE HORIZONTAL COM MANIPULADOR TELESCÓPICO, DE CAIXA COM REVESTIMENTO CERÂMICO (UNIDADE: M2XKM). AF_07/2019</t>
  </si>
  <si>
    <t>100225</t>
  </si>
  <si>
    <t>TRANSPORTE HORIZONTAL MANUAL, DE LATA DE 18 LITROS (UNIDADE: LXKM). AF_07/2019</t>
  </si>
  <si>
    <t>LXKM</t>
  </si>
  <si>
    <t>1,84</t>
  </si>
  <si>
    <t>100226</t>
  </si>
  <si>
    <t>TRANSPORTE HORIZONTAL COM CARRINHO PLATAFORMA, DE LATA DE 18 LITROS (UNIDADE: LXKM). AF_07/2019</t>
  </si>
  <si>
    <t>100227</t>
  </si>
  <si>
    <t>TRANSPORTE HORIZONTAL COM CARRINHO RACIONAL, DE LATA DE 18 LITROS (UNIDADE: LXKM). AF_07/2019</t>
  </si>
  <si>
    <t>0,85</t>
  </si>
  <si>
    <t>100228</t>
  </si>
  <si>
    <t>TRANSPORTE HORIZONTAL COM MANIPULADOR TELESCÓPICO, DE LATA DE 18 LITROS (UNIDADE: LXKM). AF_07/2019</t>
  </si>
  <si>
    <t>100229</t>
  </si>
  <si>
    <t>TRANSPORTE VERTICAL MANUAL, 1 PAVIMENTO, DE SACOS DE 50 KG (UNIDADE: KG). AF_07/2019</t>
  </si>
  <si>
    <t>100230</t>
  </si>
  <si>
    <t>TRANSPORTE VERTICAL MANUAL, 1 PAVIMENTO, DE SACOS DE 30 KG (UNIDADE: KG). AF_07/2019</t>
  </si>
  <si>
    <t>100231</t>
  </si>
  <si>
    <t>TRANSPORTE VERTICAL MANUAL, 1 PAVIMENTO, DE SACOS DE 20 KG (UNIDADE: KG). AF_07/2019</t>
  </si>
  <si>
    <t>100232</t>
  </si>
  <si>
    <t>TRANSPORTE VERTICAL MANUAL, 1 PAVIMENTO, DE BLOCOS VAZADOS DE CONCRETO OU CERÂMICO DE 19X19X39CM (UNIDADE: BLOCO). AF_07/2019</t>
  </si>
  <si>
    <t>100233</t>
  </si>
  <si>
    <t>TRANSPORTE VERTICAL MANUAL, 1 PAVIMENTO, DE BLOCOS CERÂMICOS FURADOS NA HORIZONTAL DE 9X19X19CM (UNIDADE: BLOCO). AF_07/2019</t>
  </si>
  <si>
    <t>100234</t>
  </si>
  <si>
    <t>TRANSPORTE VERTICAL MANUAL, 1 PAVIMENTO, DE CAIXA COM REVESTIMENTO CERÂMICO (UNIDADE: M2). AF_07/2019</t>
  </si>
  <si>
    <t>100235</t>
  </si>
  <si>
    <t>TRANSPORTE VERTICAL MANUAL, 1 PAVIMENTO, DE LATA DE 18 LITROS (UNIDADE: L). AF_07/2019</t>
  </si>
  <si>
    <t>100236</t>
  </si>
  <si>
    <t>TRANSPORTE HORIZONTAL MANUAL, DE TUBO DE PVC SOLDÁVEL COM DIÂMETRO MENOR OU IGUAL A 60 MM (UNIDADE: MXKM). AF_07/2019</t>
  </si>
  <si>
    <t>MXKM</t>
  </si>
  <si>
    <t>2,34</t>
  </si>
  <si>
    <t>100237</t>
  </si>
  <si>
    <t>TRANSPORTE HORIZONTAL MANUAL, DE TUBO DE PVC SOLDÁVEL COM DIÂMETRO MAIOR QUE 60 MM E MENOR OU IGUAL A 85 MM (UNIDADE: MXKM). AF_07/2019</t>
  </si>
  <si>
    <t>100238</t>
  </si>
  <si>
    <t>TRANSPORTE HORIZONTAL MANUAL, DE TUBO DE CPVC COM DIÂMETRO MENOR OU IGUAL A 73 MM (UNIDADE: MXKM). AF_07/2019</t>
  </si>
  <si>
    <t>100239</t>
  </si>
  <si>
    <t>TRANSPORTE HORIZONTAL MANUAL, DE TUBO DE CPVC COM DIÂMETRO MAIOR QUE 73 MM E MENOR OU IGUAL A 89 MM (UNIDADE: MXKM). AF_07/2019</t>
  </si>
  <si>
    <t>5,62</t>
  </si>
  <si>
    <t>100240</t>
  </si>
  <si>
    <t>TRANSPORTE HORIZONTAL MANUAL, DE TUBO DE PPR - PN12 OU PN25 - COM DIÂMETRO MENOR OU IGUAL A 50 MM (UNIDADE: MXKM). AF_07/2019</t>
  </si>
  <si>
    <t>3,37</t>
  </si>
  <si>
    <t>100241</t>
  </si>
  <si>
    <t>TRANSPORTE HORIZONTAL MANUAL, DE TUBO DE PPR - PN12 OU PN25 - COM DIÂMETRO MAIOR QUE 50 MM E MENOR OU IGUAL A 75 MM (UNIDADE: MXKM). AF_07/2019</t>
  </si>
  <si>
    <t>100242</t>
  </si>
  <si>
    <t>TRANSPORTE HORIZONTAL MANUAL, DE TUBO DE PPR - PN12 OU PN25 - COM DIÂMETRO MAIOR QUE 75 MM E MENOR OU IGUAL A 110 MM (UNIDADE: MXKM). AF_07/2019</t>
  </si>
  <si>
    <t>16,61</t>
  </si>
  <si>
    <t>100243</t>
  </si>
  <si>
    <t>TRANSPORTE HORIZONTAL MANUAL, DE TUBO DE COBRE - CLASSE E - COM DIÂMETRO MENOR OU IGUAL A 54 MM (UNIDADE: MXKM). AF_07/2019</t>
  </si>
  <si>
    <t>2,70</t>
  </si>
  <si>
    <t>100244</t>
  </si>
  <si>
    <t>TRANSPORTE HORIZONTAL MANUAL, DE TUBO DE COBRE - CLASSE E - COM DIÂMETRO MAIOR QUE 54 MM E MENOR OU IGUAL A 79 MM (UNIDADE: MXKM). AF_07/2019</t>
  </si>
  <si>
    <t>100245</t>
  </si>
  <si>
    <t>TRANSPORTE HORIZONTAL MANUAL, DE TUBO DE COBRE - CLASSE E - COM DIÂMETRO MAIOR QUE 79 MM E MENOR OU IGUAL A 104 MM (UNIDADE: MXKM). AF_07/2019</t>
  </si>
  <si>
    <t>100246</t>
  </si>
  <si>
    <t>TRANSPORTE HORIZONTAL MANUAL, DE TUBO DE PVC SÉRIE NORMAL - ESGOTO PREDIAL, OU REFORÇADO PARA ESGOTO OU ÁGUAS PLUVIAIS PREDIAL, COM DIÂMETRO MENOR OU IGUAL A 75 MM (UNIDADE: MXKM). AF_07/2019</t>
  </si>
  <si>
    <t>100247</t>
  </si>
  <si>
    <t>TRANSPORTE HORIZONTAL MANUAL, DE TUBO DE PVC SÉRIE NORMAL - ESGOTO PREDIAL, OU REFORÇADO PARA ESGOTO OU ÁGUAS PLUVIAIS PREDIAL, COM DIÂMETRO MAIOR QUE 75 MM E MENOR OU IGUAL A 100 MM (UNIDADE: MXKM). AF_07/2019</t>
  </si>
  <si>
    <t>100248</t>
  </si>
  <si>
    <t>TRANSPORTE HORIZONTAL MANUAL, DE TUBO DE PVC SÉRIE NORMAL - ESGOTO PREDIAL, OU REFORÇADO PARA ESGOTO OU ÁGUAS PLUVIAIS PREDIAL, COM DIÂMETRO MAIOR QUE 100 MM E MENOR OU IGUAL A 150 MM (UNIDADE: MXKM). AF_07/2019</t>
  </si>
  <si>
    <t>100249</t>
  </si>
  <si>
    <t>TRANSPORTE HORIZONTAL MANUAL, DE TUBO DE AÇO CARBONO LEVE OU MÉDIO, PRETO OU GALVANIZADO, COM DIÂMETRO MENOR OU IGUAL A 20 MM (UNIDADE: MXKM). AF_07/2019</t>
  </si>
  <si>
    <t>100250</t>
  </si>
  <si>
    <t>TRANSPORTE HORIZONTAL MANUAL, DE TUBO DE AÇO CARBONO LEVE OU MÉDIO, PRETO OU GALVANIZADO, COM DIÂMETRO MAIOR QUE 20 MM E MENOR OU IGUAL A 32 MM (UNIDADE: MXKM). AF_07/2019</t>
  </si>
  <si>
    <t>100251</t>
  </si>
  <si>
    <t>TRANSPORTE HORIZONTAL MANUAL, DE TUBO DE AÇO CARBONO LEVE OU MÉDIO, PRETO OU GALVANIZADO, COM DIÂMETRO MAIOR QUE 32 MM E MENOR OU IGUAL A 65 MM (UNIDADE: MXKM). AF_07/2019</t>
  </si>
  <si>
    <t>100252</t>
  </si>
  <si>
    <t>TRANSPORTE HORIZONTAL MANUAL, DE TUBO DE AÇO CARBONO LEVE OU MÉDIO, PRETO OU GALVANIZADO, COM DIÂMETRO MAIOR QUE 65 MM E MENOR OU IGUAL A 90 MM (UNIDADE: MXKM). AF_07/2019</t>
  </si>
  <si>
    <t>100253</t>
  </si>
  <si>
    <t>TRANSPORTE HORIZONTAL MANUAL, DE TUBO DE AÇO CARBONO LEVE OU MÉDIO, PRETO OU GALVANIZADO, COM DIÂMETRO MAIOR QUE 90 MM E MENOR OU IGUAL A 125 MM (UNIDADE: MXKM). AF_07/2019</t>
  </si>
  <si>
    <t>22,15</t>
  </si>
  <si>
    <t>100254</t>
  </si>
  <si>
    <t>TRANSPORTE HORIZONTAL MANUAL, DE TUBO DE AÇO CARBONO LEVE OU MÉDIO, PRETO OU GALVANIZADO, COM DIÂMETRO MAIOR QUE 125 MM E MENOR OU IGUAL A 150 MM (UNIDADE: MXKM). AF_07/2019</t>
  </si>
  <si>
    <t>33,23</t>
  </si>
  <si>
    <t>100255</t>
  </si>
  <si>
    <t>TRANSPORTE HORIZONTAL MANUAL, DE TÁBUAS DE MADEIRA COM SEÇÃO TRANSVERSAL DE 2,5 X 25 CM E 2,5 X 30 CM (UNIDADE: MXKM). AF_07/2019</t>
  </si>
  <si>
    <t>11,24</t>
  </si>
  <si>
    <t>100256</t>
  </si>
  <si>
    <t>TRANSPORTE HORIZONTAL MANUAL, DE CAIBROS DE MADEIRA COM SEÇÃO TRANSVERSAL DE 7,5 X 6 CM E 6 X 8 CM (UNIDADE: MXKM). AF_07/2019</t>
  </si>
  <si>
    <t>7,49</t>
  </si>
  <si>
    <t>100257</t>
  </si>
  <si>
    <t>TRANSPORTE HORIZONTAL MANUAL, DE RIPAS DE MADEIRA COM SEÇÃO TRANSVERSAL DE 1 X 5 CM E 2 X 5 CM (UNIDADE: MXKM). AF_07/2019</t>
  </si>
  <si>
    <t>100258</t>
  </si>
  <si>
    <t>TRANSPORTE HORIZONTAL MANUAL, DE VIGAS DE MADEIRA COM SEÇÃO TRANSVERSAL DE 5 X 12 CM (UNIDADE: MXKM). AF_07/2019</t>
  </si>
  <si>
    <t>100259</t>
  </si>
  <si>
    <t>TRANSPORTE HORIZONTAL MANUAL, DE VIGAS DE MADEIRA COM SEÇÃO TRANSVERSAL DE 6 X 16 CM (UNIDADE: MXKM). AF_07/2019</t>
  </si>
  <si>
    <t>100260</t>
  </si>
  <si>
    <t>TRANSPORTE HORIZONTAL MANUAL, DE VERGALHÕES DE AÇO COM DIÂMETRO DE 5 MM (UNIDADE: KGXKM). AF_07/2019</t>
  </si>
  <si>
    <t>7,30</t>
  </si>
  <si>
    <t>100261</t>
  </si>
  <si>
    <t>TRANSPORTE HORIZONTAL MANUAL, DE VERGALHÕES DE AÇO COM DIÂMETRO DE 6,3 MM (UNIDADE: KGXKM). AF_07/2019</t>
  </si>
  <si>
    <t>100262</t>
  </si>
  <si>
    <t>TRANSPORTE HORIZONTAL MANUAL, DE VERGALHÕES DE AÇO COM DIÂMETRO DE 8 MM (UNIDADE: KGXKM). AF_07/2019</t>
  </si>
  <si>
    <t>2,84</t>
  </si>
  <si>
    <t>100263</t>
  </si>
  <si>
    <t>TRANSPORTE HORIZONTAL MANUAL, DE VERGALHÕES DE AÇO COM DIÂMETRO DE 10 MM; 12,5 MM; 16 MM; 20 MM; 25 MM OU 32 MM (UNIDADE: KGXKM). AF_07/2019</t>
  </si>
  <si>
    <t>100264</t>
  </si>
  <si>
    <t>TRANSPORTE HORIZONTAL MANUAL, DE JANELA (UNIDADE: M2XKM). AF_07/2019</t>
  </si>
  <si>
    <t>33,18</t>
  </si>
  <si>
    <t>100265</t>
  </si>
  <si>
    <t>TRANSPORTE VERTICAL MANUAL, 1 PAVIMENTO, DE JANELA (UNIDADE: M2). AF_07/2019</t>
  </si>
  <si>
    <t>100266</t>
  </si>
  <si>
    <t>TRANSPORTE HORIZONTAL MANUAL, DE PORTA (UNIDADE: UNIDXKM). AF_07/2019</t>
  </si>
  <si>
    <t>70,53</t>
  </si>
  <si>
    <t>100267</t>
  </si>
  <si>
    <t>TRANSPORTE VERTICAL MANUAL, 1 PAVIMENTO, DE PORTA (UNIDADE: UNID). AF_07/2019</t>
  </si>
  <si>
    <t>100268</t>
  </si>
  <si>
    <t>TRANSPORTE HORIZONTAL MANUAL, DE BANCADA DE MÁRMORE OU GRANITO PARA COZINHA/LAVATÓRIO OU MÁRMORE SINTÉTICO COM CUBA INTEGRADA (UNIDADE: UNIDXKM). AF_07/2019</t>
  </si>
  <si>
    <t>100269</t>
  </si>
  <si>
    <t>TRANSPORTE VERTICAL, BANCADA DE MÁRMORE OU GRANITO PARA COZINHA/LAVATÓRIO OU MÁRMORE SINTÉTICO COM CUBA INTEGRADA, MANUAL, 1 PAVIMENTO, (UNIDADE: UNID). AF_07/2019</t>
  </si>
  <si>
    <t>100270</t>
  </si>
  <si>
    <t>TRANSPORTE HORIZONTAL COM CARRINHO PLATAFORMA, DE BANCADA DE MÁRMORE OU GRANITO PARA COZINHA/LAVATÓRIO OU MÁRMORE SINTÉTICO COM CUBA INTEGRADA (UNIDADE: UNIDXKM). AF_07/2019</t>
  </si>
  <si>
    <t>52,87</t>
  </si>
  <si>
    <t>100271</t>
  </si>
  <si>
    <t>TRANSPORTE HORIZONTAL MANUAL, DE VIDRO (UNIDADE: M2XKM). AF_07/2019</t>
  </si>
  <si>
    <t>52,89</t>
  </si>
  <si>
    <t>100272</t>
  </si>
  <si>
    <t>TRANSPORTE VERTICAL MANUAL, 1 PAVIMENTO, DE VIDRO (UNIDADE: M2). AF_07/2019</t>
  </si>
  <si>
    <t>100273</t>
  </si>
  <si>
    <t>TRANSPORTE HORIZONTAL MANUAL, DE TELA DE AÇO (UNIDADE: KGXKM). AF_07/2019</t>
  </si>
  <si>
    <t>100274</t>
  </si>
  <si>
    <t>TRANSPORTE HORIZONTAL MANUAL, DE COMPENSADO DE MADEIRA (UNIDADE: M2XKM). AF_07/2019</t>
  </si>
  <si>
    <t>23,52</t>
  </si>
  <si>
    <t>100275</t>
  </si>
  <si>
    <t>TRANSPORTE HORIZONTAL MANUAL, DE TELHA TERMOACÚSTICA OU TELHA DE AÇO ZINCADO (UNIDADE: M2XKM). AF_07/2019</t>
  </si>
  <si>
    <t>100276</t>
  </si>
  <si>
    <t>TRANSPORTE HORIZONTAL MANUAL, DE TELHA DE FIBROCIMENTO OU TELHA ESTRUTURAL DE FIBROCIMENTO, CANALETE 90 OU KALHETÃO (UNIDADE: M2XKM). AF_07/2019</t>
  </si>
  <si>
    <t>100277</t>
  </si>
  <si>
    <t>TRANSPORTE HORIZONTAL COM MANIPULADOR TELESCÓPICO, DE TELHAS TERMOACÚSTICAS, FIBROCIMENTO, AÇO ZINCADO, FIBROCIMENTO ESTRUTURAL, CANALETE 90 OU KALHETÃO (UNIDADE: M2XKM). AF_07/2019</t>
  </si>
  <si>
    <t>1,74</t>
  </si>
  <si>
    <t>100278</t>
  </si>
  <si>
    <t>TRANSPORTE HORIZONTAL MANUAL, DE BACIA SANITÁRIA, CAIXA ACOPLADA, TANQUE OU PIA (UNIDADE: UNIDXKM). AF_07/2019</t>
  </si>
  <si>
    <t>100279</t>
  </si>
  <si>
    <t>TRANSPORTE VERTICAL MANUAL, 1 PAVIMENTO, DE BACIA SANITÁRIA, CAIXA ACOPLADA, TANQUE OU PIA (UNIDADE: UNID). AF_07/2019</t>
  </si>
  <si>
    <t>100280</t>
  </si>
  <si>
    <t>TRANSPORTE HORIZONTAL COM CARRINHO PLATAFORMA, DE BACIA SANITÁRIA, CAIXA ACOPLADA, TANQUE OU PIA (UNIDADE: UNIDXKM). AF_07/2019</t>
  </si>
  <si>
    <t>100281</t>
  </si>
  <si>
    <t>TRANSPORTE HORIZONTAL COM MANIPULADOR TELESCÓPICO, DE BACIA SANITÁRIA, CAIXA ACOPLADA, TANQUE OU PIA (UNIDADE: UNIDXKM). AF_07/2019</t>
  </si>
  <si>
    <t>3,33</t>
  </si>
  <si>
    <t>100282</t>
  </si>
  <si>
    <t>TRANSPORTE HORIZONTAL MANUAL, DE TELHA DE CONCRETO OU CERÂMICA (UNIDADE: M2XKM). AF_07/2019</t>
  </si>
  <si>
    <t>132,14</t>
  </si>
  <si>
    <t>100283</t>
  </si>
  <si>
    <t>TRANSPORTE HORIZONTAL COM CARRINHO PLATAFORMA, DE TELHA DE CONCRETO OU CERÂMICA (UNIDADE: M2XKM). AF_07/2019</t>
  </si>
  <si>
    <t>100284</t>
  </si>
  <si>
    <t>TRANSPORTE HORIZONTAL COM MANIPULADOR TELESCÓPICO, DE TELHA DE CONCRETO OU CERÂMICA (UNIDADE: M2XKM). AF_07/2019</t>
  </si>
  <si>
    <t>9,78</t>
  </si>
  <si>
    <t>100285</t>
  </si>
  <si>
    <t>TRANSPORTE HORIZONTAL MANUAL, DE BARRAMENTO BLINDADO (UNIDADE: MXKM). AF_07/2019</t>
  </si>
  <si>
    <t>35,50</t>
  </si>
  <si>
    <t>100286</t>
  </si>
  <si>
    <t>TRANSPORTE HORIZONTAL COM CARRINHO PLATAFORMA, DE BARRAMENTO BLINDADO (UNIDADE: MXKM). AF_07/2019</t>
  </si>
  <si>
    <t>11,57</t>
  </si>
  <si>
    <t>100287</t>
  </si>
  <si>
    <t>TRANSPORTE HORIZONTAL MANUAL, DE CALHA QUADRADA NÚMERO 24  CORTE 33 (UNIDADE: MXKM). AF_07/2019</t>
  </si>
  <si>
    <t>99802</t>
  </si>
  <si>
    <t>LIMPEZA DE PISO CERÂMICO OU PORCELANATO COM VASSOURA A SECO. AF_04/2019</t>
  </si>
  <si>
    <t>99803</t>
  </si>
  <si>
    <t>LIMPEZA DE PISO CERÂMICO OU PORCELANATO COM PANO ÚMIDO. AF_04/2019</t>
  </si>
  <si>
    <t>1,75</t>
  </si>
  <si>
    <t>99804</t>
  </si>
  <si>
    <t>LIMPEZA DE PISO CERÂMICO OU PORCELANATO UTILIZANDO DETERGENTE NEUTRO E ESCOVAÇÃO MANUAL. AF_04/2019</t>
  </si>
  <si>
    <t>99805</t>
  </si>
  <si>
    <t>LIMPEZA DE PISO CERÂMICO OU COM PEDRAS RÚSTICAS UTILIZANDO ÁCIDO MURIÁTICO. AF_04/2019</t>
  </si>
  <si>
    <t>9,44</t>
  </si>
  <si>
    <t>99806</t>
  </si>
  <si>
    <t>LIMPEZA DE REVESTIMENTO CERÂMICO EM PAREDE COM PANO ÚMIDO AF_04/2019</t>
  </si>
  <si>
    <t>0,72</t>
  </si>
  <si>
    <t>99807</t>
  </si>
  <si>
    <t>LIMPEZA DE REVESTIMENTO CERÂMICO EM PAREDE UTILIZANDO DETERGENTE NEUTRO E ESCOVAÇÃO MANUAL. AF_04/2019</t>
  </si>
  <si>
    <t>1,37</t>
  </si>
  <si>
    <t>99808</t>
  </si>
  <si>
    <t>LIMPEZA DE REVESTIMENTO CERÂMICO EM PAREDE UTILIZANDO ÁCIDO MURIÁTICO. AF_04/2019</t>
  </si>
  <si>
    <t>3,29</t>
  </si>
  <si>
    <t>99809</t>
  </si>
  <si>
    <t>LIMPEZA DE PISO DE LADRILHO HIDRÁULICO COM PANO ÚMIDO. AF_04/2019</t>
  </si>
  <si>
    <t>99810</t>
  </si>
  <si>
    <t>LIMPEZA DE PISO DE MÁRMORE/GRANITO UTILIZANDO DETERGENTE NEUTRO E ESCOVAÇÃO MANUAL. AF_04/2019</t>
  </si>
  <si>
    <t>6,20</t>
  </si>
  <si>
    <t>99811</t>
  </si>
  <si>
    <t>LIMPEZA DE CONTRAPISO COM VASSOURA A SECO. AF_04/2019</t>
  </si>
  <si>
    <t>2,98</t>
  </si>
  <si>
    <t>99812</t>
  </si>
  <si>
    <t>LIMPEZA DE LADRILHO HIDRÁULICO EM PAREDE COM PANO ÚMIDO. AF_04/2019</t>
  </si>
  <si>
    <t>0,95</t>
  </si>
  <si>
    <t>99813</t>
  </si>
  <si>
    <t>LIMPEZA DE MÁRMORE/GRANITO EM PAREDE UTILIZANDO DETERGENTE NEUTRO E ESCOVAÇÃO MANUAL. AF_04/2019</t>
  </si>
  <si>
    <t>99814</t>
  </si>
  <si>
    <t>LIMPEZA DE SUPERFÍCIE COM JATO DE ALTA PRESSÃO. AF_04/2019</t>
  </si>
  <si>
    <t>99815</t>
  </si>
  <si>
    <t>LIMPEZA DE PIA INOX COM BANCADA DE PEDRA, INCLUSIVE METAIS CORRESPONDENTES. AF_04/2019</t>
  </si>
  <si>
    <t>7,15</t>
  </si>
  <si>
    <t>99816</t>
  </si>
  <si>
    <t>LIMPEZA DE TANQUE OU LAVATÓRIO DE LOUÇA ISOLADO, INCLUSIVE METAIS CORRESPONDENTES. AF_04/2019</t>
  </si>
  <si>
    <t>99817</t>
  </si>
  <si>
    <t>LIMPEZA DE LAVATÓRIO DE LOUÇA COM BANCADA DE PEDRA, INCLUSIVE METAIS CORRESPONDENTES. AF_04/2019</t>
  </si>
  <si>
    <t>99818</t>
  </si>
  <si>
    <t>LIMPEZA DE BACIA SANITÁRIA, BIDÊ OU MICTÓRIO EM LOUÇA, INCLUSIVE METAIS CORRESPONDENTES. AF_04/2019</t>
  </si>
  <si>
    <t>99819</t>
  </si>
  <si>
    <t>LIMPEZA DE BANCADA DE PEDRA (MÁRMORE OU GRANITO). AF_04/2019</t>
  </si>
  <si>
    <t>99820</t>
  </si>
  <si>
    <t>LIMPEZA DE JANELA INTEIRAMENTE DE VIDRO. AF_04/2019</t>
  </si>
  <si>
    <t>1,61</t>
  </si>
  <si>
    <t>99821</t>
  </si>
  <si>
    <t>LIMPEZA DE JANELA DE VIDRO COM CAIXILHO EM AÇO/ALUMÍNIO/PVC. AF_04/2019</t>
  </si>
  <si>
    <t>2,49</t>
  </si>
  <si>
    <t>99822</t>
  </si>
  <si>
    <t>LIMPEZA DE PORTA DE MADEIRA. AF_04/2019</t>
  </si>
  <si>
    <t>99823</t>
  </si>
  <si>
    <t>LIMPEZA DE PORTA INTEIRAMENTE DE VIDRO. AF_04/2019</t>
  </si>
  <si>
    <t>99824</t>
  </si>
  <si>
    <t>LIMPEZA DE PORTA EM AÇO/ALUMÍNIO. AF_04/2019</t>
  </si>
  <si>
    <t>99825</t>
  </si>
  <si>
    <t>LIMPEZA DE PORTA DE VIDRO COM CAIXILHO EM AÇO/ ALUMÍNIO/ PVC. AF_04/2019</t>
  </si>
  <si>
    <t>99826</t>
  </si>
  <si>
    <t>LIMPEZA DE FORRO REMOVÍVEL COM PANO ÚMIDO. AF_04/2019</t>
  </si>
  <si>
    <t>97010</t>
  </si>
  <si>
    <t>GUARDA-CORPO FIXADO EM FÔRMA DE MADEIRA COM TRAVESSÕES EM MADEIRA PREGADA E FECHAMENTO EM TELA DE POLIPROPILENO PARA EDIFICAÇÕES COM ATÉ 2 PAVIMENTOS. AF_11/2017</t>
  </si>
  <si>
    <t>66,54</t>
  </si>
  <si>
    <t>97011</t>
  </si>
  <si>
    <t>GUARDA-CORPO FIXADO EM FÔRMA DE MADEIRA COM TRAVESSÕES EM MADEIRA PREGADA E FECHAMENTO EM TELA DE POLIPROPILENO PARA EDIFICAÇÕES COM  3 PAVIMENTOS. AF_11/2017</t>
  </si>
  <si>
    <t>50,86</t>
  </si>
  <si>
    <t>97012</t>
  </si>
  <si>
    <t>GUARDA-CORPO FIXADO EM FÔRMA DE MADEIRA COM TRAVESSÕES EM MADEIRA PREGADA E FECHAMENTO EM TELA DE POLIPROPILENO PARA EDIFICAÇÕES COM ALTURA IGUAL OU SUPERIOR A 4 PAVIMENTOS. AF_11/2017</t>
  </si>
  <si>
    <t>97013</t>
  </si>
  <si>
    <t>GUARDA-CORPO FIXADO EM FÔRMA DE MADEIRA COM TRAVESSÕES EM MADEIRA PREGADA E FECHAMENTO EM PAINEL COMPENSADO PARA EDIFICAÇÕES COM ATÉ 2 PAVIMENTOS. AF_11/2017</t>
  </si>
  <si>
    <t>104,07</t>
  </si>
  <si>
    <t>97014</t>
  </si>
  <si>
    <t>GUARDA-CORPO FIXADO EM FÔRMA DE MADEIRA COM TRAVESSÕES EM MADEIRA PREGADA E FECHAMENTO EM PAINEL COMPENSADO PARA EDIFICAÇÕES COM 3 PAVIMENTOS. AF_11/2017</t>
  </si>
  <si>
    <t>76,13</t>
  </si>
  <si>
    <t>97015</t>
  </si>
  <si>
    <t>GUARDA-CORPO FIXADO EM FÔRMA DE MADEIRA COM TRAVESSÕES EM MADEIRA PREGADA E FECHAMENTO EM PAINEL COMPENSADO PARA EDIFICAÇÕES COM ALTURA IGUAL OU SUPERIOR A 4 PAVIMENTOS. AF_11/2017</t>
  </si>
  <si>
    <t>97016</t>
  </si>
  <si>
    <t>GUARDA-CORPO FIXADO EM FÔRMA DE MADEIRA COM TRAVESSÕES EM MADEIRA PREGADA PRÉ-MONTADA E ENCAIXE NA FÔRMA. PARA EDIFICAÇÕES COM ATÉ 2 PAVIMENTOS. AF_11/2017</t>
  </si>
  <si>
    <t>59,33</t>
  </si>
  <si>
    <t>97017</t>
  </si>
  <si>
    <t>GUARDA-CORPO FIXADO EM FÔRMA DE MADEIRA COM TRAVESSÕES EM MADEIRA PREGADA PRÉ-MONTADA E ENCAIXE NA FÔRMA PARA EDIFICAÇÕES COM 3 PAVIMENTOS. AF_11/2017</t>
  </si>
  <si>
    <t>97018</t>
  </si>
  <si>
    <t>GUARDA-CORPO FIXADO EM FÔRMA DE MADEIRA COM TRAVESSÕES EM MADEIRA PREGADA PRÉ-MONTADA E ENCAIXE NA FÔRMA. PARA EDIFICAÇÕES COM ALTURA IGUAL OU SUPERIOR A 4 PAVIMENTOS. AF_11/2017</t>
  </si>
  <si>
    <t>36,63</t>
  </si>
  <si>
    <t>97031</t>
  </si>
  <si>
    <t>GUARDA-CORPO EM LAJE PÓS-DESFÔRMA, PARA ESTRUTURAS EM CONCRETO, COM ESCORAS DE MADEIRA ESTRONCADAS NA ESTRUTURA, TRAVESSÕES DE MADEIRA PREGADOS E FECHAMENTO EM TELA DE POLIPROPILENO PARA EDIFICAÇÕES COM ALTURA ATÉ 4 PAVIMENTOS (1 MONTAGEM POR OBRA). AF_11/2017</t>
  </si>
  <si>
    <t>92,81</t>
  </si>
  <si>
    <t>97032</t>
  </si>
  <si>
    <t>GUARDA-CORPO EM LAJE PÓS-DESFÔRMA, PARA ESTRUTURAS EM CONCRETO, COM ESCORAS DE MADEIRA ESTRONCADAS NA ESTRUTURA, TRAVESSÕES DE MADEIRA PREGADOS E FECHAMENTO EM TELA DE POLIPROPILENO PARA EDIFICAÇÕES ACIMA DE 4 PAV. (2 MONTAGENS POR OBRA). AF_11/2017</t>
  </si>
  <si>
    <t>56,83</t>
  </si>
  <si>
    <t>97033</t>
  </si>
  <si>
    <t>GUARDA-CORPO EM LAJE PÓS-DESFORMA, PARA ESTRUTURAS EM CONCRETO, COM ESCORAS METÁLICAS ESTRONCADAS NA ESTRUTURA, TRAVESSÕES DE MADEIRA E FECHAMENTO EM TELA DE POLIPROPILENO PARA EDIFICAÇÕES COM ALTURA ATÉ 4 PAVIMENTOS (1 MONTAGEM POR OBRA). AF_11/2017</t>
  </si>
  <si>
    <t>97034</t>
  </si>
  <si>
    <t>GUARDA-CORPO EM LAJE PÓS-DESFORMA, PARA ESTRUTURAS EM CONCRETO, COM ESCORAS METÁLICAS ESTRONCADAS NA ESTRUTURA, TRAVESSÕES DE MADEIRA E FECHAMENTO EM TELA DE POLIPROPILENO PARA EDIFICAÇÕES ACIMA DE 4 PAVIMENTOS (2 MONTAGENS POR OBRA). AF_11/2017</t>
  </si>
  <si>
    <t>53,97</t>
  </si>
  <si>
    <t>97039</t>
  </si>
  <si>
    <t>FECHAMENTO REMOVÍVEL DE VÃO DE PORTAS, EM MADEIRA (VÃO DO ELEVADOR)  1 MONTAGEM EM OBRA. AF_11/2017</t>
  </si>
  <si>
    <t>49,67</t>
  </si>
  <si>
    <t>97040</t>
  </si>
  <si>
    <t>FECHAMENTO REMOVÍVEL DE ABERTURA DE CAIXILHO, EM MADEIRA  4 MONTAGENS EM OBRA. AF_11/2017</t>
  </si>
  <si>
    <t>97041</t>
  </si>
  <si>
    <t>FECHAMENTO REMOVÍVEL DE ABERTURA NO PISO, EM MADEIRA  1 MONTAGEM EM OBRA. AF_11/2017</t>
  </si>
  <si>
    <t>266,25</t>
  </si>
  <si>
    <t>97046</t>
  </si>
  <si>
    <t>PONTEIRAS DE PROTEÇÃO DE VERGALHÕES EXPOSTOS EM FUNDAÇÕES. AF_11/2017</t>
  </si>
  <si>
    <t>97047</t>
  </si>
  <si>
    <t>PONTEIRAS DE PROTEÇÃO DE VERGALHÕES EXPOSTOS EM ESTRUTURAS DE CONCRETO ARMADO CONVENCIONAL. AF_11/2017</t>
  </si>
  <si>
    <t>97048</t>
  </si>
  <si>
    <t>PONTEIRAS DE PROTEÇÃO DE VERGALHÕES EXPOSTOS EM ALVENARIA ESTRUTURAL. AF_11/2017</t>
  </si>
  <si>
    <t>97054</t>
  </si>
  <si>
    <t>INSTALAÇÃO DE SINALIZADOR NOTURNO LED. AF_11/2017</t>
  </si>
  <si>
    <t>97062</t>
  </si>
  <si>
    <t>COLOCAÇÃO DE TELA EM ANDAIME FACHADEIRO. AF_11/2017</t>
  </si>
  <si>
    <t>97063</t>
  </si>
  <si>
    <t>MONTAGEM E DESMONTAGEM DE ANDAIME MODULAR FACHADEIRO, COM PISO METÁLICO, PARA EDIFICAÇÕES COM MÚLTIPLOS PAVIMENTOS (EXCLUSIVE ANDAIME E LIMPEZA). AF_11/2017</t>
  </si>
  <si>
    <t>10,60</t>
  </si>
  <si>
    <t>97064</t>
  </si>
  <si>
    <t>MONTAGEM E DESMONTAGEM DE ANDAIME TUBULAR TIPO TORRE (EXCLUSIVE ANDAIME E LIMPEZA). AF_11/2017</t>
  </si>
  <si>
    <t>19,30</t>
  </si>
  <si>
    <t>97065</t>
  </si>
  <si>
    <t>MONTAGEM E DESMONTAGEM DE ANDAIME MULTIDIRECIONAL (EXCLUSIVE ANDAIME E LIMPEZA). AF_11/2017</t>
  </si>
  <si>
    <t>97066</t>
  </si>
  <si>
    <t>COBERTURA PARA PROTEÇÃO DE PEDESTRES SOBRE ESTRUTURA DE ANDAIME, INCLUSIVE MONTAGEM E DESMONTAGEM. AF_11/2017</t>
  </si>
  <si>
    <t>113,62</t>
  </si>
  <si>
    <t>97067</t>
  </si>
  <si>
    <t>PLATAFORMA DE PROTEÇÃO PRINCIPAL PARA ALVENARIA ESTRUTURAL PARA SER APOIADA EM ANDAIME, INCLUSIVE MONTAGEM E DESMONTAGEM. AF_11/2017</t>
  </si>
  <si>
    <t>707,46</t>
  </si>
  <si>
    <t>97621</t>
  </si>
  <si>
    <t>DEMOLIÇÃO DE ALVENARIA DE BLOCO FURADO, DE FORMA MANUAL, COM REAPROVEITAMENTO. AF_12/2017</t>
  </si>
  <si>
    <t>98,02</t>
  </si>
  <si>
    <t>97622</t>
  </si>
  <si>
    <t>DEMOLIÇÃO DE ALVENARIA DE BLOCO FURADO, DE FORMA MANUAL, SEM REAPROVEITAMENTO. AF_12/2017</t>
  </si>
  <si>
    <t>47,78</t>
  </si>
  <si>
    <t>97623</t>
  </si>
  <si>
    <t>DEMOLIÇÃO DE ALVENARIA DE TIJOLO MACIÇO, DE FORMA MANUAL, COM REAPROVEITAMENTO. AF_12/2017</t>
  </si>
  <si>
    <t>146,35</t>
  </si>
  <si>
    <t>97624</t>
  </si>
  <si>
    <t>DEMOLIÇÃO DE ALVENARIA DE TIJOLO MACIÇO, DE FORMA MANUAL, SEM REAPROVEITAMENTO. AF_12/2017</t>
  </si>
  <si>
    <t>89,83</t>
  </si>
  <si>
    <t>97625</t>
  </si>
  <si>
    <t>DEMOLIÇÃO DE ALVENARIA PARA QUALQUER TIPO DE BLOCO, DE FORMA MECANIZADA, SEM REAPROVEITAMENTO. AF_12/2017</t>
  </si>
  <si>
    <t>97626</t>
  </si>
  <si>
    <t>DEMOLIÇÃO DE PILARES E VIGAS EM CONCRETO ARMADO, DE FORMA MANUAL, SEM REAPROVEITAMENTO. AF_12/2017</t>
  </si>
  <si>
    <t>519,94</t>
  </si>
  <si>
    <t>97627</t>
  </si>
  <si>
    <t>DEMOLIÇÃO DE PILARES E VIGAS EM CONCRETO ARMADO, DE FORMA MECANIZADA COM MARTELETE, SEM REAPROVEITAMENTO. AF_12/2017</t>
  </si>
  <si>
    <t>241,02</t>
  </si>
  <si>
    <t>97628</t>
  </si>
  <si>
    <t>DEMOLIÇÃO DE LAJES, DE FORMA MANUAL, SEM REAPROVEITAMENTO. AF_12/2017</t>
  </si>
  <si>
    <t>236,12</t>
  </si>
  <si>
    <t>97629</t>
  </si>
  <si>
    <t>DEMOLIÇÃO DE LAJES, DE FORMA MECANIZADA COM MARTELETE, SEM REAPROVEITAMENTO. AF_12/2017</t>
  </si>
  <si>
    <t>97631</t>
  </si>
  <si>
    <t>DEMOLIÇÃO DE ARGAMASSAS, DE FORMA MANUAL, SEM REAPROVEITAMENTO. AF_12/2017</t>
  </si>
  <si>
    <t>97632</t>
  </si>
  <si>
    <t>DEMOLIÇÃO DE RODAPÉ CERÂMICO, DE FORMA MANUAL, SEM REAPROVEITAMENTO. AF_12/2017</t>
  </si>
  <si>
    <t>97633</t>
  </si>
  <si>
    <t>DEMOLIÇÃO DE REVESTIMENTO CERÂMICO, DE FORMA MANUAL, SEM REAPROVEITAMENTO. AF_12/2017</t>
  </si>
  <si>
    <t>19,69</t>
  </si>
  <si>
    <t>97634</t>
  </si>
  <si>
    <t>DEMOLIÇÃO DE REVESTIMENTO CERÂMICO, DE FORMA MECANIZADA COM MARTELETE, SEM REAPROVEITAMENTO. AF_12/2017</t>
  </si>
  <si>
    <t>10,31</t>
  </si>
  <si>
    <t>97635</t>
  </si>
  <si>
    <t>DEMOLIÇÃO DE PAVIMENTO INTERTRAVADO, DE FORMA MANUAL, COM REAPROVEITAMENTO. AF_12/2017</t>
  </si>
  <si>
    <t>97636</t>
  </si>
  <si>
    <t>DEMOLIÇÃO PARCIAL DE PAVIMENTO ASFÁLTICO, DE FORMA MECANIZADA, SEM REAPROVEITAMENTO. AF_12/2017</t>
  </si>
  <si>
    <t>19,18</t>
  </si>
  <si>
    <t>97637</t>
  </si>
  <si>
    <t>REMOÇÃO DE TAPUME/ CHAPAS METÁLICAS E DE MADEIRA, DE FORMA MANUAL, SEM REAPROVEITAMENTO. AF_12/2017</t>
  </si>
  <si>
    <t>97638</t>
  </si>
  <si>
    <t>REMOÇÃO DE CHAPAS E PERFIS DE DRYWALL, DE FORMA MANUAL, SEM REAPROVEITAMENTO. AF_12/2017</t>
  </si>
  <si>
    <t>97639</t>
  </si>
  <si>
    <t>REMOÇÃO DE PLACAS E PILARETES DE CONCRETO, DE FORMA MANUAL, SEM REAPROVEITAMENTO. AF_12/2017</t>
  </si>
  <si>
    <t>97640</t>
  </si>
  <si>
    <t>REMOÇÃO DE FORROS DE DRYWALL, PVC E FIBROMINERAL, DE FORMA MANUAL, SEM REAPROVEITAMENTO. AF_12/2017</t>
  </si>
  <si>
    <t>97641</t>
  </si>
  <si>
    <t>REMOÇÃO DE FORRO DE GESSO, DE FORMA MANUAL, SEM REAPROVEITAMENTO. AF_12/2017</t>
  </si>
  <si>
    <t>97642</t>
  </si>
  <si>
    <t>REMOÇÃO DE TRAMA METÁLICA OU DE MADEIRA PARA FORRO, DE FORMA MANUAL, SEM REAPROVEITAMENTO. AF_12/2017</t>
  </si>
  <si>
    <t>97643</t>
  </si>
  <si>
    <t>REMOÇÃO DE PISO DE MADEIRA (ASSOALHO E BARROTE), DE FORMA MANUAL, SEM REAPROVEITAMENTO. AF_12/2017</t>
  </si>
  <si>
    <t>21,27</t>
  </si>
  <si>
    <t>97644</t>
  </si>
  <si>
    <t>REMOÇÃO DE PORTAS, DE FORMA MANUAL, SEM REAPROVEITAMENTO. AF_12/2017</t>
  </si>
  <si>
    <t>97645</t>
  </si>
  <si>
    <t>REMOÇÃO DE JANELAS, DE FORMA MANUAL, SEM REAPROVEITAMENTO. AF_12/2017</t>
  </si>
  <si>
    <t>31,61</t>
  </si>
  <si>
    <t>97647</t>
  </si>
  <si>
    <t>REMOÇÃO DE TELHAS, DE FIBROCIMENTO, METÁLICA E CERÂMICA, DE FORMA MANUAL, SEM REAPROVEITAMENTO. AF_12/2017</t>
  </si>
  <si>
    <t>97648</t>
  </si>
  <si>
    <t>REMOÇÃO DE PROTEÇÃO TÉRMICA PARA COBERTURA EM EPS, DE FORMA MANUAL, SEM REAPROVEITAMENTO. AF_12/2017</t>
  </si>
  <si>
    <t>97649</t>
  </si>
  <si>
    <t>REMOÇÃO DE TELHAS DE FIBROCIMENTO, METÁLICA E CERÂMICA, DE FORMA MECANIZADA, COM USO DE GUINDASTE, SEM REAPROVEITAMENTO. AF_12/2017</t>
  </si>
  <si>
    <t>97650</t>
  </si>
  <si>
    <t>REMOÇÃO DE TRAMA DE MADEIRA PARA COBERTURA, DE FORMA MANUAL, SEM REAPROVEITAMENTO. AF_12/2017</t>
  </si>
  <si>
    <t>97651</t>
  </si>
  <si>
    <t>REMOÇÃO DE TESOURAS DE MADEIRA, COM VÃO MENOR QUE 8M, DE FORMA MANUAL, SEM REAPROVEITAMENTO. AF_12/2017</t>
  </si>
  <si>
    <t>68,70</t>
  </si>
  <si>
    <t>97652</t>
  </si>
  <si>
    <t>REMOÇÃO DE TESOURAS DE MADEIRA, COM VÃO MAIOR OU IGUAL A 8M, DE FORMA MANUAL, SEM REAPROVEITAMENTO. AF_12/2017</t>
  </si>
  <si>
    <t>155,75</t>
  </si>
  <si>
    <t>97653</t>
  </si>
  <si>
    <t>REMOÇÃO DE TESOURAS DE MADEIRA, COM VÃO MENOR QUE 8M, DE FORMA MECANIZADA, COM REAPROVEITAMENTO. AF_12/2017</t>
  </si>
  <si>
    <t>129,53</t>
  </si>
  <si>
    <t>97654</t>
  </si>
  <si>
    <t>REMOÇÃO DE TESOURAS DE MADEIRA, COM VÃO MAIOR OU IGUAL A 8M, DE FORMA MECANIZADA, COM REAPROVEITAMENTO. AF_12/2017</t>
  </si>
  <si>
    <t>153,36</t>
  </si>
  <si>
    <t>97655</t>
  </si>
  <si>
    <t>REMOÇÃO DE TRAMA METÁLICA PARA COBERTURA, DE FORMA MANUAL, SEM REAPROVEITAMENTO. AF_12/2017</t>
  </si>
  <si>
    <t>97656</t>
  </si>
  <si>
    <t>REMOÇÃO DE TESOURAS METÁLICAS, COM VÃO MENOR QUE 8M, DE FORMA MANUAL, SEM REAPROVEITAMENTO. AF_12/2017</t>
  </si>
  <si>
    <t>183,73</t>
  </si>
  <si>
    <t>97657</t>
  </si>
  <si>
    <t>REMOÇÃO DE TESOURAS METÁLICAS, COM VÃO MAIOR OU IGUAL A 8M, DE FORMA MANUAL, SEM REAPROVEITAMENTO. AF_12/2017</t>
  </si>
  <si>
    <t>364,18</t>
  </si>
  <si>
    <t>97658</t>
  </si>
  <si>
    <t>REMOÇÃO DE TESOURAS METÁLICAS, COM VÃO MENOR QUE 8M, DE FORMA MECANIZADA, COM REAPROVEITAMENTO. AF_12/2017</t>
  </si>
  <si>
    <t>174,15</t>
  </si>
  <si>
    <t>97659</t>
  </si>
  <si>
    <t>REMOÇÃO DE TESOURAS METÁLICAS, COM VÃO MAIOR OU IGUAL A 8M, DE FORMA MECANIZADA, COM REAPROVEITAMENTO. AF_12/2017</t>
  </si>
  <si>
    <t>225,62</t>
  </si>
  <si>
    <t>97660</t>
  </si>
  <si>
    <t>REMOÇÃO DE INTERRUPTORES/TOMADAS ELÉTRICAS, DE FORMA MANUAL, SEM REAPROVEITAMENTO. AF_12/2017</t>
  </si>
  <si>
    <t>97661</t>
  </si>
  <si>
    <t>REMOÇÃO DE CABOS ELÉTRICOS, DE FORMA MANUAL, SEM REAPROVEITAMENTO. AF_12/2017</t>
  </si>
  <si>
    <t>97662</t>
  </si>
  <si>
    <t>REMOÇÃO DE TUBULAÇÕES (TUBOS E CONEXÕES) DE ÁGUA FRIA, DE FORMA MANUAL, SEM REAPROVEITAMENTO. AF_12/2017</t>
  </si>
  <si>
    <t>97663</t>
  </si>
  <si>
    <t>REMOÇÃO DE LOUÇAS, DE FORMA MANUAL, SEM REAPROVEITAMENTO. AF_12/2017</t>
  </si>
  <si>
    <t>97664</t>
  </si>
  <si>
    <t>REMOÇÃO DE ACESSÓRIOS, DE FORMA MANUAL, SEM REAPROVEITAMENTO. AF_12/2017</t>
  </si>
  <si>
    <t>97665</t>
  </si>
  <si>
    <t>REMOÇÃO DE LUMINÁRIAS, DE FORMA MANUAL, SEM REAPROVEITAMENTO. AF_12/2017</t>
  </si>
  <si>
    <t>97666</t>
  </si>
  <si>
    <t>REMOÇÃO DE METAIS SANITÁRIOS, DE FORMA MANUAL, SEM REAPROVEITAMENTO. AF_12/2017</t>
  </si>
  <si>
    <t>7,35</t>
  </si>
  <si>
    <t>95967</t>
  </si>
  <si>
    <t>SERVIÇOS TÉCNICOS ESPECIALIZADOS PARA ACOMPANHAMENTO DE EXECUÇÃO DE FUNDAÇÕES PROFUNDAS E ESTRUTURAS DE CONTENÇÃO</t>
  </si>
  <si>
    <t>143,73</t>
  </si>
  <si>
    <t>99058</t>
  </si>
  <si>
    <t>LOCAÇÃO DE PONTO PARA REFERÊNCIA TOPOGRÁFICA. AF_10/2018</t>
  </si>
  <si>
    <t>99059</t>
  </si>
  <si>
    <t>LOCACAO CONVENCIONAL DE OBRA, UTILIZANDO GABARITO DE TÁBUAS CORRIDAS PONTALETADAS A CADA 2,00M -  2 UTILIZAÇÕES. AF_10/2018</t>
  </si>
  <si>
    <t>55,96</t>
  </si>
  <si>
    <t>99060</t>
  </si>
  <si>
    <t>LOCAÇÃO COM CAVALETE COM ALTURA DE 1,00 M - 2 UTILIZAÇÕES. AF_10/2018</t>
  </si>
  <si>
    <t>149,11</t>
  </si>
  <si>
    <t>99061</t>
  </si>
  <si>
    <t>LOCAÇÃO COM CAVALETE COM ALTURA DE 0,50 M - 2 UTILIZAÇÕES. AF_10/2018</t>
  </si>
  <si>
    <t>99,51</t>
  </si>
  <si>
    <t>99062</t>
  </si>
  <si>
    <t>MARCAÇÃO DE PONTOS EM GABARITO OU CAVALETE. AF_10/2018</t>
  </si>
  <si>
    <t>99063</t>
  </si>
  <si>
    <t>LOCAÇÃO DE REDE DE ÁGUA OU ESGOTO. AF_10/2018</t>
  </si>
  <si>
    <t>4,97</t>
  </si>
  <si>
    <t>99064</t>
  </si>
  <si>
    <t>LOCAÇÃO DE PAVIMENTAÇÃO. AF_10/2018</t>
  </si>
  <si>
    <t>0,50</t>
  </si>
  <si>
    <t>93588</t>
  </si>
  <si>
    <t>TRANSPORTE COM CAMINHÃO BASCULANTE DE 10 M³, EM VIA URBANA EM LEITO NATURAL (UNIDADE: M3XKM). AF_07/2020</t>
  </si>
  <si>
    <t>2,47</t>
  </si>
  <si>
    <t>93589</t>
  </si>
  <si>
    <t>TRANSPORTE COM CAMINHÃO BASCULANTE DE 10 M³, EM VIA URBANA EM REVESTIMENTO PRIMÁRIO (UNIDADE: M3XKM). AF_07/2020</t>
  </si>
  <si>
    <t>2,12</t>
  </si>
  <si>
    <t>93590</t>
  </si>
  <si>
    <t>TRANSPORTE COM CAMINHÃO BASCULANTE DE 10 M³, EM VIA URBANA PAVIMENTADA, ADICIONAL PARA DMT EXCEDENTE A 30 KM (UNIDADE: M3XKM). AF_07/2020</t>
  </si>
  <si>
    <t>0,77</t>
  </si>
  <si>
    <t>93591</t>
  </si>
  <si>
    <t>TRANSPORTE COM CAMINHÃO BASCULANTE DE 14 M³, EM VIA URBANA EM LEITO NATURAL (UNIDADE: M3XKM). AF_07/2020</t>
  </si>
  <si>
    <t>2,19</t>
  </si>
  <si>
    <t>93592</t>
  </si>
  <si>
    <t>TRANSPORTE COM CAMINHÃO BASCULANTE DE 14 M³, EM VIA URBANA EM REVESTIMENTO PRIMÁRIO (UNIDADE: M3XKM). AF_07/2020</t>
  </si>
  <si>
    <t>1,91</t>
  </si>
  <si>
    <t>93593</t>
  </si>
  <si>
    <t>TRANSPORTE COM CAMINHÃO BASCULANTE DE 14 M³, EM VIA URBANA PAVIMENTADA, ADICIONAL PARA DMT EXCEDENTE A 30 KM (UNIDADE: M3XKM). AF_07/2020</t>
  </si>
  <si>
    <t>0,70</t>
  </si>
  <si>
    <t>93594</t>
  </si>
  <si>
    <t>TRANSPORTE COM CAMINHÃO BASCULANTE DE 10 M³, EM VIA URBANA EM LEITO NATURAL (UNIDADE: TXKM). AF_07/2020</t>
  </si>
  <si>
    <t>1,64</t>
  </si>
  <si>
    <t>93595</t>
  </si>
  <si>
    <t>TRANSPORTE COM CAMINHÃO BASCULANTE DE 10 M³, EM VIA URBANA EM REVESTIMENTO PRIMÁRIO (UNIDADE: TXKM). AF_07/2020</t>
  </si>
  <si>
    <t>1,43</t>
  </si>
  <si>
    <t>93596</t>
  </si>
  <si>
    <t>TRANSPORTE COM CAMINHÃO BASCULANTE DE 10 M³, EM VIA URBANA PAVIMENTADA, ADICIONAL PARA DMT EXCEDENTE A 30 KM (UNIDADE: TXKM). AF_07/2020</t>
  </si>
  <si>
    <t>93597</t>
  </si>
  <si>
    <t>TRANSPORTE COM CAMINHÃO BASCULANTE DE 14 M³, EM VIA URBANA EM LEITO NATURAL (UNIDADE: TXKM). AF_07/2020</t>
  </si>
  <si>
    <t>93598</t>
  </si>
  <si>
    <t>TRANSPORTE COM CAMINHÃO BASCULANTE DE 14 M³, EM VIA URBANA EM REVESTIMENTO PRIMÁRIO (UNIDADE: TXKM). AF_07/2020</t>
  </si>
  <si>
    <t>93599</t>
  </si>
  <si>
    <t>TRANSPORTE COM CAMINHÃO BASCULANTE DE 14 M³, EM VIA URBANA PAVIMENTADA, ADICIONAL PARA DMT EXCEDENTE A 30 KM (UNIDADE: TXKM). AF_07/2020</t>
  </si>
  <si>
    <t>95425</t>
  </si>
  <si>
    <t>TRANSPORTE COM CAMINHÃO BASCULANTE DE 18 M³, EM VIA URBANA EM LEITO NATURAL (UNIDADE: M3XKM). AF_07/2020</t>
  </si>
  <si>
    <t>95426</t>
  </si>
  <si>
    <t>TRANSPORTE COM CAMINHÃO BASCULANTE DE 18 M³, EM VIA URBANA EM REVESTIMENTO PRIMÁRIO (UNIDADE: M3XKM). AF_07/2020</t>
  </si>
  <si>
    <t>95427</t>
  </si>
  <si>
    <t>TRANSPORTE COM CAMINHÃO BASCULANTE DE 18 M³, EM VIA URBANA PAVIMENTADA, ADICIONAL PARA DMT EXCEDENTE A 30 KM (UNIDADE: M3XKM). AF_07/2020</t>
  </si>
  <si>
    <t>95428</t>
  </si>
  <si>
    <t>TRANSPORTE COM CAMINHÃO BASCULANTE DE 18 M³, EM VIA URBANA EM LEITO NATURAL (UNIDADE: TXKM). AF_07/2020</t>
  </si>
  <si>
    <t>1,25</t>
  </si>
  <si>
    <t>95429</t>
  </si>
  <si>
    <t>TRANSPORTE COM CAMINHÃO BASCULANTE DE 18 M³, EM VIA URBANA EM REVESTIMENTO PRIMÁRIO (UNIDADE: TXKM). AF_07/2020</t>
  </si>
  <si>
    <t>95430</t>
  </si>
  <si>
    <t>TRANSPORTE COM CAMINHÃO BASCULANTE DE 18 M³, EM VIA URBANA PAVIMENTADA, ADICIONAL PARA DMT EXCEDENTE A 30 KM (UNIDADE: TXKM). AF_07/2020</t>
  </si>
  <si>
    <t>0,38</t>
  </si>
  <si>
    <t>95875</t>
  </si>
  <si>
    <t>TRANSPORTE COM CAMINHÃO BASCULANTE DE 10 M³, EM VIA URBANA PAVIMENTADA, DMT ATÉ 30 KM (UNIDADE: M3XKM). AF_07/2020</t>
  </si>
  <si>
    <t>1,95</t>
  </si>
  <si>
    <t>95876</t>
  </si>
  <si>
    <t>TRANSPORTE COM CAMINHÃO BASCULANTE DE 14 M³, EM VIA URBANA PAVIMENTADA, DMT ATÉ 30 KM (UNIDADE: M3XKM). AF_07/2020</t>
  </si>
  <si>
    <t>1,73</t>
  </si>
  <si>
    <t>95877</t>
  </si>
  <si>
    <t>TRANSPORTE COM CAMINHÃO BASCULANTE DE 18 M³, EM VIA URBANA PAVIMENTADA, DMT ATÉ 30 KM (UNIDADE: M3XKM). AF_07/2020</t>
  </si>
  <si>
    <t>95878</t>
  </si>
  <si>
    <t>TRANSPORTE COM CAMINHÃO BASCULANTE DE 10 M³, EM VIA URBANA PAVIMENTADA, DMT ATÉ 30 KM (UNIDADE: TXKM). AF_07/2020</t>
  </si>
  <si>
    <t>1,31</t>
  </si>
  <si>
    <t>95879</t>
  </si>
  <si>
    <t>TRANSPORTE COM CAMINHÃO BASCULANTE DE 14 M³, EM VIA URBANA PAVIMENTADA, DMT ATÉ 30 KM (UNIDADE: TXKM). AF_07/2020</t>
  </si>
  <si>
    <t>95880</t>
  </si>
  <si>
    <t>TRANSPORTE COM CAMINHÃO BASCULANTE DE 18 M³, EM VIA URBANA PAVIMENTADA, DMT ATÉ 30 KM (UNIDADE: TXKM). AF_07/2020</t>
  </si>
  <si>
    <t>0,99</t>
  </si>
  <si>
    <t>97912</t>
  </si>
  <si>
    <t>TRANSPORTE COM CAMINHÃO BASCULANTE DE 6 M³, EM VIA URBANA EM LEITO NATURAL (UNIDADE: M3XKM). AF_07/2020</t>
  </si>
  <si>
    <t>97913</t>
  </si>
  <si>
    <t>TRANSPORTE COM CAMINHÃO BASCULANTE DE 6 M³, EM VIA URBANA EM REVESTIMENTO PRIMÁRIO (UNIDADE: M3XKM). AF_07/2020</t>
  </si>
  <si>
    <t>2,59</t>
  </si>
  <si>
    <t>97914</t>
  </si>
  <si>
    <t>TRANSPORTE COM CAMINHÃO BASCULANTE DE 6 M³, EM VIA URBANA PAVIMENTADA, DMT ATÉ 30 KM (UNIDADE: M3XKM). AF_07/2020</t>
  </si>
  <si>
    <t>97915</t>
  </si>
  <si>
    <t>TRANSPORTE COM CAMINHÃO BASCULANTE DE 6 M³, EM VIA URBANA PAVIMENTADA, ADICIONAL PARA DMT EXCEDENTE A 30 KM (UNIDADE: M3XKM). AF_07/2020</t>
  </si>
  <si>
    <t>100937</t>
  </si>
  <si>
    <t>TRANSPORTE COM CAMINHÃO BASCULANTE DE 6 M³, EM VIA INTERNA (DENTRO DO CANTEIRO - UNIDADE: M3XKM). AF_07/2020</t>
  </si>
  <si>
    <t>7,14</t>
  </si>
  <si>
    <t>100938</t>
  </si>
  <si>
    <t>TRANSPORTE COM CAMINHÃO BASCULANTE DE 10 M³, EM VIA INTERNA (DENTRO DO CANTEIRO - UNIDADE: M3XKM). AF_07/2020</t>
  </si>
  <si>
    <t>5,87</t>
  </si>
  <si>
    <t>100939</t>
  </si>
  <si>
    <t>TRANSPORTE COM CAMINHÃO BASCULANTE DE 14 M³, EM VIA INTERNA (DENTRO DO CANTEIRO - UNIDADE:M3XKM). AF_07/2020</t>
  </si>
  <si>
    <t>100940</t>
  </si>
  <si>
    <t>TRANSPORTE COM CAMINHÃO BASCULANTE DE 18 M³, EM VIA INTERNA (DENTRO DO CANTEIRO - UNIDADE: M3XKM). AF_07/2020</t>
  </si>
  <si>
    <t>4,49</t>
  </si>
  <si>
    <t>100941</t>
  </si>
  <si>
    <t>TRANSPORTE COM CAMINHÃO BASCULANTE DE 6 M³, EM VIA INTERNA (DENTRO DO CANTEIRO - UNIDADE: TXKM). AF_07/2020</t>
  </si>
  <si>
    <t>100942</t>
  </si>
  <si>
    <t>TRANSPORTE COM CAMINHÃO BASCULANTE DE 10 M³, EM VIA INTERNA A OBRA (UNIDADE: TXKM). AF_07/2020</t>
  </si>
  <si>
    <t>100943</t>
  </si>
  <si>
    <t>TRANSPORTE COM CAMINHÃO BASCULANTE DE 14 M³, EM VIA INTERNA (DENTRO DO CANTEIRO - UNIDADE: TXKM). AF_07/2020</t>
  </si>
  <si>
    <t>3,49</t>
  </si>
  <si>
    <t>100944</t>
  </si>
  <si>
    <t>TRANSPORTE COM CAMINHÃO BASCULANTE DE 18 M³, EM VIA INTERNA (DENTRO DO CANTEIRO - UNIDADE: TXKM). AF_07/2020</t>
  </si>
  <si>
    <t>3,00</t>
  </si>
  <si>
    <t>100945</t>
  </si>
  <si>
    <t>TRANSPORTE COM CAMINHÃO CARROCERIA 9T, EM VIA URBANA EM LEITO NATURAL (UNIDADE: TXKM). AF_07/2020</t>
  </si>
  <si>
    <t>2,10</t>
  </si>
  <si>
    <t>100946</t>
  </si>
  <si>
    <t>TRANSPORTE COM CAMINHÃO CARROCERIA 9T, EM VIA URBANA EM REVESTIMENTO PRIMÁRIO (UNIDADE: TXKM). AF_07/2020</t>
  </si>
  <si>
    <t>1,81</t>
  </si>
  <si>
    <t>100947</t>
  </si>
  <si>
    <t>TRANSPORTE COM CAMINHÃO CARROCERIA 9T, EM VIA URBANA PAVIMENTADA, DMT ATÉ 30KM (UNIDADE: TXKM). AF_07/2020</t>
  </si>
  <si>
    <t>1,67</t>
  </si>
  <si>
    <t>100948</t>
  </si>
  <si>
    <t>TRANSPORTE COM CAMINHÃO CARROCERIA 9T, EM VIA URBANA PAVIMENTADA, ADICIONAL PARA DMT EXCEDENTE A 30 KM (UNIDADE: TXKM). AF_07/2020</t>
  </si>
  <si>
    <t>100949</t>
  </si>
  <si>
    <t>TRANSPORTE COM CAMINHÃO CARROCERIA 9T, EM VIA INTERNA (DENTRO DO CANTEIRO - UNIDADE: TXKM). AF_07/2020</t>
  </si>
  <si>
    <t>100950</t>
  </si>
  <si>
    <t>TRANSPORTE COM CAMINHÃO CARROCERIA COM GUINDAUTO (MUNCK),  MOMENTO MÁXIMO DE CARGA 11,7 TM, EM VIA URBANA EM LEITO NATURAL (UNIDADE: TXKM). AF_07/2020</t>
  </si>
  <si>
    <t>100951</t>
  </si>
  <si>
    <t>TRANSPORTE COM CAMINHÃO CARROCERIA COM GUINDAUTO (MUNCK),  MOMENTO MÁXIMO DE CARGA 11,7 TM, EM VIA URBANA EM REVESTIMENTO PRIMÁRIO (UNIDADE: TXKM). AF_07/2020</t>
  </si>
  <si>
    <t>100952</t>
  </si>
  <si>
    <t>TRANSPORTE COM CAMINHÃO CARROCERIA COM GUINDAUTO (MUNCK),  MOMENTO MÁXIMO DE CARGA 11,7 TM, EM VIA URBANA PAVIMENTADA, DMT ATÉ 30KM (UNIDADE: TXKM). AF_07/2020</t>
  </si>
  <si>
    <t>100953</t>
  </si>
  <si>
    <t>TRANSPORTE COM CAMINHÃO CARROCERIA COM GUINDAUTO (MUNCK),  MOMENTO MÁXIMO DE CARGA 11,7 TM, EM VIA URBANA PAVIMENTADA, ADICIONAL PARA DMT EXCEDENTE A 30 KM (UNIDADE: TXKM). AF_07/2020</t>
  </si>
  <si>
    <t>100954</t>
  </si>
  <si>
    <t>TRANSPORTE COM CAMINHÃO CARROCERIA COM GUINDAUTO (MUNCK),  MOMENTO MÁXIMO DE CARGA 11,7 TM, EM VIA INTERNA (DENTRO DO CANTEIRO - UNIDADE: TXKM). AF_07/2020</t>
  </si>
  <si>
    <t>100955</t>
  </si>
  <si>
    <t>TRANSPORTE COM CAMINHÃO PIPA DE 6 M³, EM VIA URBANA EM LEITO NATURAL (UNIDADE: M3XKM). AF_07/2020</t>
  </si>
  <si>
    <t>100956</t>
  </si>
  <si>
    <t>TRANSPORTE COM CAMINHÃO PIPA DE 6 M³, EM VIA URBANA EM REVESTIMENTO PRIMÁRIO (UNIDADE: M3XKM). AF_07/2020</t>
  </si>
  <si>
    <t>3,43</t>
  </si>
  <si>
    <t>100957</t>
  </si>
  <si>
    <t>TRANSPORTE COM CAMINHÃO PIPA DE 6 M³, EM VIA URBANA PAVIMENTADA, DMT ATÉ 30KM (UNIDADE: M3XKM). AF_07/2020</t>
  </si>
  <si>
    <t>100958</t>
  </si>
  <si>
    <t>TRANSPORTE COM CAMINHÃO PIPA DE 6 M³, EM VIA URBANA PAVIMENTADA, ADICIONAL PARA DMT EXCEDENTE A 30 KM (UNIDADE: M3XKM). AF_07/2020</t>
  </si>
  <si>
    <t>100959</t>
  </si>
  <si>
    <t>TRANSPORTE COM CAMINHÃO PIPA DE 6 M³, EM VIA INTERNA (DENTRO DO CANTEIRO - UNIDADE: M3XKM). AF_07/2020</t>
  </si>
  <si>
    <t>100960</t>
  </si>
  <si>
    <t>TRANSPORTE COM CAMINHÃO PIPA DE 10 M³, EM VIA URBANA EM LEITO NATURAL (UNIDADE: M3XKM). AF_07/2020</t>
  </si>
  <si>
    <t>100961</t>
  </si>
  <si>
    <t>TRANSPORTE COM CAMINHÃO PIPA DE 10 M³, EM VIA URBANA EM REVESTIMENTO PRIMÁRIO (UNIDADE: M3XKM). AF_07/2020</t>
  </si>
  <si>
    <t>2,46</t>
  </si>
  <si>
    <t>100962</t>
  </si>
  <si>
    <t>TRANSPORTE COM CAMINHÃO PIPA DE 10 M³, EM VIA URBANA PAVIMENTADA, DMT ATÉ 30KM (UNIDADE: M3XKM). AF_07/2020</t>
  </si>
  <si>
    <t>100963</t>
  </si>
  <si>
    <t>TRANSPORTE COM CAMINHÃO PIPA DE 10 M³, EM VIA URBANA PAVIMENTADA, ADICIONAL PARA DMT EXCEDENTE A 30 KM (UNIDADE: M3XKM). AF_07/2020</t>
  </si>
  <si>
    <t>100964</t>
  </si>
  <si>
    <t>TRANSPORTE COM CAMINHÃO PIPA DE 10 M³, EM VIA INTERNA (DENTRO DO CANTEIRO - UNIDADE: M3XKM). AF_07/2020</t>
  </si>
  <si>
    <t>6,83</t>
  </si>
  <si>
    <t>100973</t>
  </si>
  <si>
    <t>CARGA, MANOBRA E DESCARGA DE SOLOS E MATERIAIS GRANULARES EM CAMINHÃO BASCULANTE 6 M³ - CARGA COM PÁ CARREGADEIRA (CAÇAMBA DE 1,7 A 2,8 M³ / 128 HP) E DESCARGA LIVRE (UNIDADE: M3). AF_07/2020</t>
  </si>
  <si>
    <t>7,47</t>
  </si>
  <si>
    <t>100974</t>
  </si>
  <si>
    <t>CARGA, MANOBRA E DESCARGA DE SOLOS E MATERIAIS GRANULARES EM CAMINHÃO BASCULANTE 10 M³ - CARGA COM PÁ CARREGADEIRA (CAÇAMBA DE 1,7 A 2,8 M³ / 128 HP) E DESCARGA LIVRE (UNIDADE: M3). AF_07/2020</t>
  </si>
  <si>
    <t>100975</t>
  </si>
  <si>
    <t>CARGA, MANOBRA E DESCARGA DE SOLOS E MATERIAIS GRANULARES EM CAMINHÃO BASCULANTE 14 M³ - CARGA COM PÁ CARREGADEIRA (CAÇAMBA DE 1,7 A 2,8 M³ / 128 HP) E DESCARGA LIVRE (UNIDADE: M3). AF_07/2020</t>
  </si>
  <si>
    <t>100965</t>
  </si>
  <si>
    <t>TRANSPORTE COM CAMINHÃO TANQUE DE TRANSPORTE DE MATERIAL ASFÁLTICO DE 30000 L, EM VIA URBANA EM  LEITO NATURAL (UNIDADE: TXKM). AF_07/2020</t>
  </si>
  <si>
    <t>100966</t>
  </si>
  <si>
    <t>TRANSPORTE COM CAMINHÃO TANQUE DE TRANSPORTE DE MATERIAL ASFÁLTICO DE 30000 L, EM VIA URBANA EM  REVESTIMENTO PRIMÁRIO (UNIDADE: TXKM). AF_07/2020</t>
  </si>
  <si>
    <t>100969</t>
  </si>
  <si>
    <t>TRANSPORTE COM CAMINHÃO TANQUE DE TRANSPORTE DE MATERIAL ASFÁLTICO DE 20000 L, EM VIA URBANA EM LEITO NATURAL (UNIDADE: TXKM). AF_07/2020</t>
  </si>
  <si>
    <t>100970</t>
  </si>
  <si>
    <t>TRANSPORTE COM CAMINHÃO TANQUE DE TRANSPORTE DE MATERIAL ASFÁLTICO DE 20000 L, EM VIA URBANA EM  REVESTIMENTO PRIMÁRIO (UNIDADE: TXKM). AF_07/2020</t>
  </si>
  <si>
    <t>102330</t>
  </si>
  <si>
    <t>TRANSPORTE COM CAMINHÃO TANQUE DE TRANSPORTE DE MATERIAL ASFÁLTICO DE 30000 L, EM VIA URBANA PAVIMENTADA, DMT ATÉ 30KM (UNIDADE: TXKM). AF_07/2020</t>
  </si>
  <si>
    <t>102331</t>
  </si>
  <si>
    <t>TRANSPORTE COM CAMINHÃO TANQUE DE TRANSPORTE DE MATERIAL ASFÁLTICO DE 30000 L, EM VIA URBANA PAVIMENTADA, ADICIONAL PARA DMT EXCEDENTE A 30 KM (UNIDADE: TXKM). AF_07/2020</t>
  </si>
  <si>
    <t>102332</t>
  </si>
  <si>
    <t>TRANSPORTE COM CAMINHÃO TANQUE DE TRANSPORTE DE MATERIAL ASFÁLTICO DE 20000 L, EM VIA URBANA PAVIMENTADA, DMT ATÉ 30KM (UNIDADE: TXKM). AF_07/2020</t>
  </si>
  <si>
    <t>102333</t>
  </si>
  <si>
    <t>TRANSPORTE COM CAMINHÃO TANQUE DE TRANSPORTE DE MATERIAL ASFÁLTICO DE 20000 L, EM VIA URBANA PAVIMENTADA, ADICIONAL PARA DMT EXCEDENTE A 30 KM (UNIDADE: TXKM). AF_07/2020</t>
  </si>
  <si>
    <t>101019</t>
  </si>
  <si>
    <t>CARGA, MANOBRA E DESCARGA MANUAL DE TUBOS PLÁSTICOS, DN MENOR OU IGUAL A 100 MM, EM CAMINHÃO CARROCERIA 9T. AF_07/2020</t>
  </si>
  <si>
    <t>441,96</t>
  </si>
  <si>
    <t>101479</t>
  </si>
  <si>
    <t>CARGA, MANOBRA E DESCARGA MANUAL DE TUBOS PLÁSTICOS, DN 200 MM, EM CAMINHÃO CARROCERIA 9T. AF_07/2020</t>
  </si>
  <si>
    <t>128,76</t>
  </si>
  <si>
    <t>102568</t>
  </si>
  <si>
    <t>CARGA, MANOBRA E DESCARGA MANUAL DE TUBOS PLÁSTICOS, DN 150 MM, EM CAMINHÃO CARROCERIA 9T. AF_06/2021</t>
  </si>
  <si>
    <t>219,35</t>
  </si>
  <si>
    <t>100976</t>
  </si>
  <si>
    <t>CARGA, MANOBRA E DESCARGA DE SOLOS E MATERIAIS GRANULARES EM CAMINHÃO BASCULANTE 18 M³ - CARGA COM PÁ CARREGADEIRA (CAÇAMBA DE 1,7 A 2,8 M³ / 128 HP) E DESCARGA LIVRE (UNIDADE: M3). AF_07/2020</t>
  </si>
  <si>
    <t>100977</t>
  </si>
  <si>
    <t>CARGA, MANOBRA E DESCARGA DE SOLOS E MATERIAIS GRANULARES EM CAMINHÃO BASCULANTE 6 M³ - CARGA COM ESCAVADEIRA HIDRÁULICA (CAÇAMBA DE 1,20 M³ / 155 HP) E DESCARGA LIVRE (UNIDADE: M3). AF_07/2020</t>
  </si>
  <si>
    <t>100978</t>
  </si>
  <si>
    <t>CARGA, MANOBRA E DESCARGA DE SOLOS E MATERIAIS GRANULARES EM CAMINHÃO BASCULANTE 10 M³ - CARGA COM ESCAVADEIRA HIDRÁULICA (CAÇAMBA DE 1,20 M³ / 155 HP) E DESCARGA LIVRE (UNIDADE: M3). AF_07/2020</t>
  </si>
  <si>
    <t>100979</t>
  </si>
  <si>
    <t>CARGA, MANOBRA E DESCARGA DE SOLOS E MATERIAIS GRANULARES EM CAMINHÃO BASCULANTE 14 M³ - CARGA COM ESCAVADEIRA HIDRÁULICA (CAÇAMBA DE 1,20 M³ / 155 HP) E DESCARGA LIVRE (UNIDADE: M3). AF_07/2020</t>
  </si>
  <si>
    <t>5,54</t>
  </si>
  <si>
    <t>100980</t>
  </si>
  <si>
    <t>CARGA, MANOBRA E DESCARGA DE SOLOS E MATERIAIS GRANULARES EM CAMINHÃO BASCULANTE 18 M³ - CARGA COM ESCAVADEIRA HIDRÁULICA (CAÇAMBA DE 1,20 M³ / 155 HP) E DESCARGA LIVRE (UNIDADE: M3). AF_07/2020</t>
  </si>
  <si>
    <t>100981</t>
  </si>
  <si>
    <t>CARGA, MANOBRA E DESCARGA DE ENTULHO EM CAMINHÃO BASCULANTE 6 M³ - CARGA COM ESCAVADEIRA HIDRÁULICA  (CAÇAMBA DE 0,80 M³ / 111 HP) E DESCARGA LIVRE (UNIDADE: M3). AF_07/2020</t>
  </si>
  <si>
    <t>7,88</t>
  </si>
  <si>
    <t>100982</t>
  </si>
  <si>
    <t>CARGA, MANOBRA E DESCARGA DE ENTULHO EM CAMINHÃO BASCULANTE 10 M³ - CARGA COM ESCAVADEIRA HIDRÁULICA  (CAÇAMBA DE 0,80 M³ / 111 HP) E DESCARGA LIVRE (UNIDADE: M3). AF_07/2020</t>
  </si>
  <si>
    <t>7,43</t>
  </si>
  <si>
    <t>100983</t>
  </si>
  <si>
    <t>CARGA, MANOBRA E DESCARGA DE ENTULHO EM CAMINHÃO BASCULANTE 14 M³ - CARGA COM ESCAVADEIRA HIDRÁULICA  (CAÇAMBA DE 0,80 M³ / 111 HP) E DESCARGA LIVRE (UNIDADE: M3). AF_07/2020</t>
  </si>
  <si>
    <t>7,53</t>
  </si>
  <si>
    <t>100984</t>
  </si>
  <si>
    <t>CARGA, MANOBRA E DESCARGA DE ENTULHO EM CAMINHÃO BASCULANTE 18 M³ - CARGA COM ESCAVADEIRA HIDRÁULICA  (CAÇAMBA DE 0,80 M³ / 111 HP) E DESCARGA LIVRE (UNIDADE: M3). AF_07/2020</t>
  </si>
  <si>
    <t>7,38</t>
  </si>
  <si>
    <t>100985</t>
  </si>
  <si>
    <t>CARGA DE MISTURA ASFÁLTICA EM CAMINHÃO BASCULANTE 6 M³ (UNIDADE: M3). AF_07/2020</t>
  </si>
  <si>
    <t>5,98</t>
  </si>
  <si>
    <t>100986</t>
  </si>
  <si>
    <t>CARGA DE MISTURA ASFÁLTICA EM CAMINHÃO BASCULANTE 10 M³ (UNIDADE: M3). AF_07/2020</t>
  </si>
  <si>
    <t>100987</t>
  </si>
  <si>
    <t>CARGA DE MISTURA ASFÁLTICA EM CAMINHÃO BASCULANTE 14 M³ (UNIDADE: M3). AF_07/2020</t>
  </si>
  <si>
    <t>8,31</t>
  </si>
  <si>
    <t>100988</t>
  </si>
  <si>
    <t>CARGA DE MISTURA ASFÁLTICA EM CAMINHÃO BASCULANTE 18 M³ (UNIDADE: M3). AF_07/2020</t>
  </si>
  <si>
    <t>100989</t>
  </si>
  <si>
    <t>CARGA, MANOBRA E DESCARGA DE SOLOS E MATERIAIS GRANULARES EM CAMINHÃO BASCULANTE 6 M³ - CARGA COM PÁ CARREGADEIRA (CAÇAMBA DE 1,7 A 2,8 M³ / 128 HP) E DESCARGA LIVRE (UNIDADE: T). AF_07/2020</t>
  </si>
  <si>
    <t>100990</t>
  </si>
  <si>
    <t>CARGA, MANOBRA E DESCARGA DE SOLOS E MATERIAIS GRANULARES EM CAMINHÃO BASCULANTE 10 M³ - CARGA COM PÁ CARREGADEIRA (CAÇAMBA DE 1,7 A 2,8 M³ / 128 HP) E DESCARGA LIVRE (UNIDADE: T). AF_07/2020</t>
  </si>
  <si>
    <t>4,74</t>
  </si>
  <si>
    <t>100991</t>
  </si>
  <si>
    <t>CARGA, MANOBRA E DESCARGA DE SOLOS E MATERIAIS GRANULARES EM CAMINHÃO BASCULANTE 14 M³ - CARGA COM PÁ CARREGADEIRA (CAÇAMBA DE 1,7 A 2,8 M³ / 128 HP) E DESCARGA LIVRE (UNIDADE: T). AF_07/2020</t>
  </si>
  <si>
    <t>4,85</t>
  </si>
  <si>
    <t>100992</t>
  </si>
  <si>
    <t>CARGA, MANOBRA E DESCARGA DE SOLOS E MATERIAIS GRANULARES EM CAMINHÃO BASCULANTE 18 M³ - CARGA COM PÁ CARREGADEIRA (CAÇAMBA DE 1,7 A 2,8 M³ / 128 HP) E DESCARGA LIVRE (UNIDADE: T). AF_07/2020</t>
  </si>
  <si>
    <t>100993</t>
  </si>
  <si>
    <t>CARGA, MANOBRA E DESCARGA DE SOLOS E MATERIAIS GRANULARES EM CAMINHÃO BASCULANTE 6 M³ - CARGA COM ESCAVADEIRA HIDRÁULICA (CAÇAMBA DE 1,20 M³ / 155 HP) E DESCARGA LIVRE (UNIDADE: T). AF_07/2020</t>
  </si>
  <si>
    <t>4,27</t>
  </si>
  <si>
    <t>100994</t>
  </si>
  <si>
    <t>CARGA, MANOBRA E DESCARGA DE SOLOS E MATERIAIS GRANULARES EM CAMINHÃO BASCULANTE 10 M³ - CARGA COM ESCAVADEIRA HIDRÁULICA (CAÇAMBA DE 1,20 M³ / 155 HP) E DESCARGA LIVRE (UNIDADE: T). AF_07/2020</t>
  </si>
  <si>
    <t>100995</t>
  </si>
  <si>
    <t>CARGA, MANOBRA E DESCARGA DE SOLOS E MATERIAIS GRANULARES EM CAMINHÃO BASCULANTE 14 M³ - CARGA COM ESCAVADEIRA HIDRÁULICA (CAÇAMBA DE 1,20 M³ / 155 HP) E DESCARGA LIVRE (UNIDADE: T). AF_07/2020</t>
  </si>
  <si>
    <t>3,70</t>
  </si>
  <si>
    <t>100996</t>
  </si>
  <si>
    <t>CARGA, MANOBRA E DESCARGA DE SOLOS E MATERIAIS GRANULARES EM CAMINHÃO BASCULANTE 18 M³ - CARGA COM ESCAVADEIRA HIDRÁULICA (CAÇAMBA DE 1,20 M³ / 155 HP) E DESCARGA LIVRE (UNIDADE: T). AF_07/2020</t>
  </si>
  <si>
    <t>100997</t>
  </si>
  <si>
    <t>CARGA, MANOBRA E DESCARGA DE ENTULHO EM CAMINHÃO BASCULANTE 6 M³ - CARGA COM ESCAVADEIRA HIDRÁULICA  (CAÇAMBA DE 0,80 M³ / 111 HP) E DESCARGA LIVRE (UNIDADE: T). AF_07/2020</t>
  </si>
  <si>
    <t>100998</t>
  </si>
  <si>
    <t>CARGA, MANOBRA E DESCARGA DE ENTULHO EM CAMINHÃO BASCULANTE 10 M³ - CARGA COM ESCAVADEIRA HIDRÁULICA  (CAÇAMBA DE 0,80 M³ / 111 HP) E DESCARGA LIVRE (UNIDADE: T). AF_07/2020</t>
  </si>
  <si>
    <t>100999</t>
  </si>
  <si>
    <t>CARGA, MANOBRA E DESCARGA DE ENTULHO EM CAMINHÃO BASCULANTE 14 M³ - CARGA COM ESCAVADEIRA HIDRÁULICA  (CAÇAMBA DE 0,80 M³ / 111 HP) E DESCARGA LIVRE (UNIDADE: T). AF_07/2020</t>
  </si>
  <si>
    <t>101000</t>
  </si>
  <si>
    <t>CARGA, MANOBRA E DESCARGA DE ENTULHO EM CAMINHÃO BASCULANTE 18 M³ - CARGA COM ESCAVADEIRA HIDRÁULICA  (CAÇAMBA DE 0,80 M³ / 111 HP) E DESCARGA LIVRE (UNIDADE: T). AF_07/2020</t>
  </si>
  <si>
    <t>101001</t>
  </si>
  <si>
    <t>CARGA DE MISTURA ASFÁLTICA EM CAMINHÃO BASCULANTE 6 M³ (UNIDADE: T). AF_07/2020</t>
  </si>
  <si>
    <t>3,99</t>
  </si>
  <si>
    <t>101002</t>
  </si>
  <si>
    <t>CARGA DE MISTURA ASFÁLTICA EM CAMINHÃO BASCULANTE 10 M³ (UNIDADE: T). AF_07/2020</t>
  </si>
  <si>
    <t>101003</t>
  </si>
  <si>
    <t>CARGA DE MISTURA ASFÁLTICA EM CAMINHÃO BASCULANTE 14 M³ (UNIDADE: T). AF_07/2020</t>
  </si>
  <si>
    <t>5,53</t>
  </si>
  <si>
    <t>101004</t>
  </si>
  <si>
    <t>CARGA DE MISTURA ASFÁLTICA EM CAMINHÃO BASCULANTE 18 M³ (UNIDADE: T). AF_07/2020</t>
  </si>
  <si>
    <t>101005</t>
  </si>
  <si>
    <t>CARGA, MANOBRA E DESCARGA DE ÁGUA EM CAMINHÃO PIPA 6 M³. AF_07/2020</t>
  </si>
  <si>
    <t>15,06</t>
  </si>
  <si>
    <t>101006</t>
  </si>
  <si>
    <t>CARGA, MANOBRA E DESCARGA DE ÁGUA EM CAMINHÃO PIPA 10 M³. AF_07/2020</t>
  </si>
  <si>
    <t>16,20</t>
  </si>
  <si>
    <t>101007</t>
  </si>
  <si>
    <t>CARGA DE ÁGUA EM CAMINHÃO PIPA 6 M³. AF_07/2020</t>
  </si>
  <si>
    <t>101008</t>
  </si>
  <si>
    <t>CARGA DE ÁGUA EM CAMINHÃO PIPA 10 M³. AF_07/2020</t>
  </si>
  <si>
    <t>101009</t>
  </si>
  <si>
    <t>CARGA, MANOBRA E DESCARGA DE POSTE DE CONCRETO EM CAMINHÃO CARROCERIA COM GUINDAUTO (MUNCK) 11,7 TM. AF_07/2020</t>
  </si>
  <si>
    <t>101010</t>
  </si>
  <si>
    <t>CARGA, MANOBRA E DESCARGA DE PERFIL METÁLICO EM CAMINHÃO CARROCERIA COM GUINDAUTO (MUNCK) 11,7 TM. AF_07/2020</t>
  </si>
  <si>
    <t>101013</t>
  </si>
  <si>
    <t>CARGA, MANOBRA E DESCARGA DE TUBOS DE CONCRETO, DN MENOR OU IGUAL A 300 MM, EM CAMINHÃO CARROCERIA COM GUINDAUTO (MUNCK) 11,7 TM. AF_07/2020</t>
  </si>
  <si>
    <t>101014</t>
  </si>
  <si>
    <t>CARGA, MANOBRA E DESCARGA DE TUBOS DE CONCRETO, DN 400 MM, EM CAMINHÃO CARROCERIA COM GUINDAUTO (MUNCK) 11,7 TM. AF_07/2020</t>
  </si>
  <si>
    <t>31,92</t>
  </si>
  <si>
    <t>101015</t>
  </si>
  <si>
    <t>CARGA, MANOBRA E DESCARGA DE TUBOS DE CONCRETO, DN 500 MM, EM CAMINHÃO CARROCERIA COM GUINDAUTO (MUNCK) 11,7 TM. AF_07/2020</t>
  </si>
  <si>
    <t>26,23</t>
  </si>
  <si>
    <t>101016</t>
  </si>
  <si>
    <t>CARGA, MANOBRA E DESCARGA DE TUBOS METÁLICOS, DN MENOR OU IGUAL A 150 MM, EM CAMINHÃO CARROCERIA COM GUINDAUTO (MUNCK) 11,7 TM. AF_07/2020</t>
  </si>
  <si>
    <t>101017</t>
  </si>
  <si>
    <t>CARGA, MANOBRA E DESCARGA DE TUBOS METÁLICOS, DN 200 MM, EM CAMINHÃO CARROCERIA COM GUINDAUTO (MUNCK) 11,7 TM. AF_07/2020</t>
  </si>
  <si>
    <t>101018</t>
  </si>
  <si>
    <t>CARGA, MANOBRA E DESCARGA DE TUBOS METÁLICOS, DN 250 MM, EM CAMINHÃO CARROCERIA COM GUINDAUTO (MUNCK) 11,7 TM. AF_07/2020</t>
  </si>
  <si>
    <t>101463</t>
  </si>
  <si>
    <t>CARGA, MANOBRA E DESCARGA DE TUBOS DE CONCRETO, DN 600 MM, EM CAMINHÃO CARROCERIA COM GUINDAUTO (MUNCK) 11,7 TM. AF_07/2020</t>
  </si>
  <si>
    <t>34,96</t>
  </si>
  <si>
    <t>101464</t>
  </si>
  <si>
    <t>CARGA, MANOBRA E DESCARGA DE TUBOS DE CONCRETO, DN 700 MM, EM CAMINHÃO CARROCERIA COM GUINDAUTO (MUNCK) 11,7 TM. AF_07/2020</t>
  </si>
  <si>
    <t>26,85</t>
  </si>
  <si>
    <t>101465</t>
  </si>
  <si>
    <t>CARGA, MANOBRA E DESCARGA DE TUBOS DE CONCRETO, DN 800 MM, EM CAMINHÃO CARROCERIA COM GUINDAUTO (MUNCK) 11,7 TM. AF_07/2020</t>
  </si>
  <si>
    <t>101466</t>
  </si>
  <si>
    <t>CARGA, MANOBRA E DESCARGA DE TUBOS DE CONCRETO, DN 900 MM, EM CAMINHÃO CARROCERIA COM GUINDAUTO (MUNCK) 11,7 TM. AF_07/2020</t>
  </si>
  <si>
    <t>101467</t>
  </si>
  <si>
    <t>CARGA, MANOBRA E DESCARGA DE TUBOS DE CONCRETO, DN 1000 MM, EM CAMINHÃO CARROCERIA COM GUINDAUTO (MUNCK) 11,7 TM. AF_07/2020</t>
  </si>
  <si>
    <t>13,98</t>
  </si>
  <si>
    <t>101468</t>
  </si>
  <si>
    <t>CARGA, MANOBRA E DESCARGA DE TUBOS DE CONCRETO, DN 1200 MM, EM CAMINHÃO CARROCERIA COM GUINDAUTO (MUNCK) 11,7 TM. AF_07/2020</t>
  </si>
  <si>
    <t>12,78</t>
  </si>
  <si>
    <t>101469</t>
  </si>
  <si>
    <t>CARGA, MANOBRA E DESCARGA DE TUBOS METÁLICOS, DN 300 MM, EM CAMINHÃO CARROCERIA COM GUINDAUTO (MUNCK) 11,7 TM. AF_07/2020</t>
  </si>
  <si>
    <t>28,61</t>
  </si>
  <si>
    <t>101470</t>
  </si>
  <si>
    <t>CARGA, MANOBRA E DESCARGA DE TUBOS METÁLICOS, DN 350 MM, EM CAMINHÃO CARROCERIA COM GUINDAUTO (MUNCK) 11,7 TM. AF_07/2020</t>
  </si>
  <si>
    <t>22,70</t>
  </si>
  <si>
    <t>101471</t>
  </si>
  <si>
    <t>CARGA, MANOBRA E DESCARGA DE TUBOS METÁLICOS, DN 400 MM, EM CAMINHÃO CARROCERIA COM GUINDAUTO (MUNCK) 11,7 TM. AF_07/2020</t>
  </si>
  <si>
    <t>19,48</t>
  </si>
  <si>
    <t>101472</t>
  </si>
  <si>
    <t>CARGA, MANOBRA E DESCARGA DE TUBOS METÁLICOS, DN 500 MM, EM CAMINHÃO CARROCERIA COM GUINDAUTO (MUNCK) 11,7 TM. AF_07/2020</t>
  </si>
  <si>
    <t>101473</t>
  </si>
  <si>
    <t>CARGA, MANOBRA E DESCARGA DE TUBOS METÁLICOS, DN 600 MM, EM CAMINHÃO CARROCERIA COM GUINDAUTO (MUNCK) 11,7 TM. AF_07/2020</t>
  </si>
  <si>
    <t>101474</t>
  </si>
  <si>
    <t>CARGA, MANOBRA E DESCARGA DE TUBOS METÁLICOS, DN 700 MM, EM CAMINHÃO CARROCERIA COM GUINDAUTO (MUNCK) 11,7 TM. AF_07/2020</t>
  </si>
  <si>
    <t>101475</t>
  </si>
  <si>
    <t>CARGA, MANOBRA E DESCARGA DE TUBOS METÁLICOS, DN 800 MM, EM CAMINHÃO CARROCERIA COM GUINDAUTO (MUNCK) 11,7 TM. AF_07/2020</t>
  </si>
  <si>
    <t>13,85</t>
  </si>
  <si>
    <t>101476</t>
  </si>
  <si>
    <t>CARGA, MANOBRA E DESCARGA DE TUBOS METÁLICOS, DN 900 MM, EM CAMINHÃO CARROCERIA COM GUINDAUTO (MUNCK) 11,7 TM. AF_07/2020</t>
  </si>
  <si>
    <t>12,35</t>
  </si>
  <si>
    <t>101477</t>
  </si>
  <si>
    <t>CARGA, MANOBRA E DESCARGA DE TUBOS METÁLICOS, DN 1000 MM, EM CAMINHÃO CARROCERIA COM GUINDAUTO (MUNCK) 11,7 TM. AF_07/2020</t>
  </si>
  <si>
    <t>10,11</t>
  </si>
  <si>
    <t>101478</t>
  </si>
  <si>
    <t>CARGA, MANOBRA E DESCARGA DE TUBOS METÁLICOS, DN 1200 MM, EM CAMINHÃO CARROCERIA COM GUINDAUTO (MUNCK) 11,7 TM. AF_07/2020</t>
  </si>
  <si>
    <t>8,61</t>
  </si>
  <si>
    <t>101480</t>
  </si>
  <si>
    <t>CARGA, MANOBRA E DESCARGA DE TUBOS PLÁSTICOS, DN 250 MM, EM CAMINHÃO CARROCERIA COM GUINDAUTO (MUNCK) 11,7 TM. AF_07/2020</t>
  </si>
  <si>
    <t>51,15</t>
  </si>
  <si>
    <t>101481</t>
  </si>
  <si>
    <t>CARGA, MANOBRA E DESCARGA DE TUBOS PLÁSTICOS, DN 300 MM, EM CAMINHÃO CARROCERIA COM GUINDAUTO (MUNCK) 11,7 TM. AF_07/2020</t>
  </si>
  <si>
    <t>36,96</t>
  </si>
  <si>
    <t>101482</t>
  </si>
  <si>
    <t>CARGA, MANOBRA E DESCARGA DE TUBOS PLÁSTICOS, DN 400 MM, EM CAMINHÃO CARROCERIA COM GUINDAUTO (MUNCK) 11,7 TM. AF_07/2020</t>
  </si>
  <si>
    <t>101483</t>
  </si>
  <si>
    <t>CARGA, MANOBRA E DESCARGA DE TUBOS PLÁSTICOS, DN 500 MM, EM CAMINHÃO CARROCERIA COM GUINDAUTO (MUNCK) 11,7 TM. AF_07/2020</t>
  </si>
  <si>
    <t>28,66</t>
  </si>
  <si>
    <t>101484</t>
  </si>
  <si>
    <t>CARGA, MANOBRA E DESCARGA DE TUBOS PLÁSTICOS, DN 600 MM, EM CAMINHÃO CARROCERIA COM GUINDAUTO (MUNCK) 11,7 TM. AF_07/2020</t>
  </si>
  <si>
    <t>148,57</t>
  </si>
  <si>
    <t>101485</t>
  </si>
  <si>
    <t>CARGA, MANOBRA E DESCARGA DE TUBOS PLÁSTICOS, DN 750 MM, EM CAMINHÃO CARROCERIA COM GUINDAUTO (MUNCK) 11,7 TM. AF_07/2020</t>
  </si>
  <si>
    <t>114,04</t>
  </si>
  <si>
    <t>101486</t>
  </si>
  <si>
    <t>CARGA, MANOBRA E DESCARGA DE TUBOS PLÁSTICOS, DN 900 MM, EM CAMINHÃO CARROCERIA COM GUINDAUTO (MUNCK) 11,7 TM. AF_07/2020</t>
  </si>
  <si>
    <t>102,73</t>
  </si>
  <si>
    <t>101487</t>
  </si>
  <si>
    <t>CARGA, MANOBRA E DESCARGA DE TUBOS PLÁSTICOS, DN 1000 MM, EM CAMINHÃO CARROCERIA COM GUINDAUTO (MUNCK) 11,7 TM. AF_07/2020</t>
  </si>
  <si>
    <t>75,22</t>
  </si>
  <si>
    <t>101488</t>
  </si>
  <si>
    <t>CARGA, MANOBRA E DESCARGA DE TUBOS PLÁSTICOS, DN 1200 MM, EM CAMINHÃO CARROCERIA COM GUINDAUTO (MUNCK) 11,7 TM. AF_07/2020</t>
  </si>
  <si>
    <t>65,08</t>
  </si>
  <si>
    <t>101188</t>
  </si>
  <si>
    <t>RECOMPOSIÇÃO PARCIAL DE ARAME FARPADO Nº 14 CLASSE 250, FIXADO EM CERCA COM MOURÕES DE CONCRETO - FORNECIMENTO E INSTALAÇÃO. AF_05/2020</t>
  </si>
  <si>
    <t>101189</t>
  </si>
  <si>
    <t>CERCA COM MOURÕES DE CONCRETO, RETO, H=3,00 M, ESPAÇAMENTO DE 2,5 M, CRAVADOS 0,5 M, COM 4 FIOS DE ARAME FARPADO Nº 14 CLASSE 250 - FORNECIMENTO E INSTALAÇÃO. AF_05/2020</t>
  </si>
  <si>
    <t>62,54</t>
  </si>
  <si>
    <t>101190</t>
  </si>
  <si>
    <t>CERCA COM MOURÕES DE CONCRETO, RETO, H=3,00 M, ESPAÇAMENTO DE 2,5 M, CRAVADOS 0,5 M, COM 4 FIOS DE ARAME DE AÇO OVALADO 15X17 - FORNECIMENTO E INSTALAÇÃO. AF_05/2020</t>
  </si>
  <si>
    <t>61,59</t>
  </si>
  <si>
    <t>101191</t>
  </si>
  <si>
    <t>CERCA COM MOURÕES DE CONCRETO, RETO, H=3,00 M, ESPAÇAMENTO DE 2,5 M, CRAVADOS 0,5 M, COM 4 FIOS DE ARAME MISTO - FORNECIMENTO E INSTALAÇÃO. AF_05/2020</t>
  </si>
  <si>
    <t>62,06</t>
  </si>
  <si>
    <t>101192</t>
  </si>
  <si>
    <t>CERCA COM MOURÕES DE CONCRETO, RETO, H=2,30 M, ESPAÇAMENTO DE 2,5 M, CRAVADOS 0,5 M, COM 4 FIOS DE ARAME FARPADO Nº 14 CLASSE 250 - FORNECIMENTO E INSTALAÇÃO. AF_05/2020</t>
  </si>
  <si>
    <t>101193</t>
  </si>
  <si>
    <t>CERCA COM MOURÕES DE CONCRETO, RETO, H=2,30 M, ESPAÇAMENTO DE 2,5 M, CRAVADOS 0,5 M, COM 4 FIOS DE ARAME DE AÇO OVALADO 15X17 - FORNECIMENTO E INSTALAÇÃO. AF_05/2020</t>
  </si>
  <si>
    <t>56,38</t>
  </si>
  <si>
    <t>101194</t>
  </si>
  <si>
    <t>CERCA COM MOURÕES DE CONCRETO, RETO, H=2,30 M, ESPAÇAMENTO DE 2,5 M, CRAVADOS 0,5 M, COM 4 FIOS DE ARAME MISTO - FORNECIMENTO E INSTALAÇÃO. AF_05/2020</t>
  </si>
  <si>
    <t>56,85</t>
  </si>
  <si>
    <t>101197</t>
  </si>
  <si>
    <t>CERCA COM MOURÕES DE CONCRETO, SEÇÃO "T" PONTA INCLINADA, 10X10 CM, ESPAÇAMENTO DE 2,5 M, CRAVADOS 0,5 M, COM 11 FIOS DE ARAME FARPADO Nº 14 - FORNECIMENTO E INSTALAÇÃO. AF_05/2020</t>
  </si>
  <si>
    <t>113,29</t>
  </si>
  <si>
    <t>101198</t>
  </si>
  <si>
    <t>CERCA COM MOURÕES DE CONCRETO, SEÇÃO "T" PONTA INCLINADA, 10X10 CM, ESPAÇAMENTO DE 2,5 M, CRAVADOS 0,5 M, COM 11 FIOS DE ARAME DE AÇO OVALADO 15X17 - FORNECIMENTO E INSTALAÇÃO. AF_05/2020</t>
  </si>
  <si>
    <t>87,82</t>
  </si>
  <si>
    <t>101199</t>
  </si>
  <si>
    <t>CERCA COM MOURÕES DE CONCRETO, SEÇÃO "T" PONTA INCLINADA, 10X10CM, ESPAÇAMENTO DE 2,5M, CRAVADOS 0,5M, COM 11 FIOS DE ARAME MISTO - FORNECIMENTO E INSTALAÇÃO. AF_05/2020</t>
  </si>
  <si>
    <t>89,00</t>
  </si>
  <si>
    <t>101200</t>
  </si>
  <si>
    <t>CERCA COM MOURÕES DE MADEIRA, 7,5X7,5 CM, ESPAÇAMENTO DE 2,5 M, ALTURA LIVRE DE 2 M, CRAVADOS 0,5 M, COM 4 FIOS DE ARAME FARPADO Nº 14 CLASSE 250 - FORNECIMENTO E INSTALAÇÃO. AF_05/2020</t>
  </si>
  <si>
    <t>57,17</t>
  </si>
  <si>
    <t>101201</t>
  </si>
  <si>
    <t>CERCA COM MOURÕES DE MADEIRA, 7,5X7,5 CM, ESPAÇAMENTO DE 2,5 M, ALTURA LIVRE DE 2 M, CRAVADOS 0,5 M, COM 8 FIOS DE ARAME FARPADO Nº 14 CLASSE 250 - FORNECIMENTO E INSTALAÇÃO. AF_05/2020</t>
  </si>
  <si>
    <t>71,70</t>
  </si>
  <si>
    <t>101202</t>
  </si>
  <si>
    <t>CERCA COM MOURÕES DE MADEIRA ROLIÇA, DIÂMETRO 11 CM, ESPAÇAMENTO DE 2,5 M, ALTURA LIVRE DE 1,7 M, CRAVADOS 0,5 M, COM 5 FIOS DE ARAME FARPADO Nº 14 CLASSE 250 - FORNECIMENTO E INSTALAÇÃO. AF_05/2020</t>
  </si>
  <si>
    <t>40,98</t>
  </si>
  <si>
    <t>101203</t>
  </si>
  <si>
    <t>CERCA COM MOURÕES DE MADEIRA ROLIÇA, DIÂMETRO 11 CM, ESPAÇAMENTO DE 2,5 M, ALTURA LIVRE DE 1,7 M, CRAVADOS 0,5 M, COM 5 FIOS DE ARAME DE AÇO OVALADO 15X17 - FORNECIMENTO E INSTALAÇÃO. AF_05/2020</t>
  </si>
  <si>
    <t>39,79</t>
  </si>
  <si>
    <t>101204</t>
  </si>
  <si>
    <t>CERCA COM MOURÕES DE MADEIRA ROLIÇA, DIÂMETRO 11 CM, ESPAÇAMENTO DE 2,5 M, ALTURA LIVRE DE 1,7 M, CRAVADOS 0,5 M, COM 5 FIOS DE ARAME MISTO - FORNECIMENTO E INSTALAÇÃO. AF_05/2020</t>
  </si>
  <si>
    <t>101205</t>
  </si>
  <si>
    <t>PORTÃO COM MOURÕES DE MADEIRA ROLIÇA, DIÂMETRO 11 CM, COM 5 FIOS DE ARAME FARPADO Nº 14 CLASSE 250, SEM DOBRADIÇAS - FORNECIMENTO E INSTALAÇÃO. AF_05/2020</t>
  </si>
  <si>
    <t>102362</t>
  </si>
  <si>
    <t>ALAMBRADO PARA QUADRA POLIESPORTIVA, ESTRUTURADO POR TUBOS DE ACO GALVANIZADO, (MONTANTES COM DIAMETRO 2", TRAVESSAS E ESCORAS COM DIÂMETRO 1 ¼), COM TELA DE ARAME GALVANIZADO, FIO 14 BWG E MALHA QUADRADA 5X5CM (EXCETO MURETA). AF_03/2021</t>
  </si>
  <si>
    <t>198,46</t>
  </si>
  <si>
    <t>102363</t>
  </si>
  <si>
    <t>ALAMBRADO PARA QUADRA POLIESPORTIVA, ESTRUTURADO POR TUBOS DE ACO GALVANIZADO, (MONTANTES COM DIAMETRO 2", TRAVESSAS E ESCORAS COM DIÂMETRO 1 ¼), COM TELA DE ARAME GALVANIZADO, FIO 12 BWG E MALHA QUADRADA 5X5CM (EXCETO MURETA). AF_03/2021</t>
  </si>
  <si>
    <t>210,94</t>
  </si>
  <si>
    <t>102364</t>
  </si>
  <si>
    <t>ALAMBRADO PARA QUADRA POLIESPORTIVA, ESTRUTURADO POR TUBOS DE ACO GALVANIZADO, (MONTANTES COM DIAMETRO 2", TRAVESSAS E ESCORAS COM DIÂMETRO 1 ¼), COM TELA DE ARAME GALVANIZADO, FIO 10 BWG E MALHA QUADRADA 5X5CM (EXCETO MURETA). AF_03/2021</t>
  </si>
  <si>
    <t>233,64</t>
  </si>
  <si>
    <t>98509</t>
  </si>
  <si>
    <t>PLANTIO DE ARBUSTO OU  CERCA VIVA. AF_05/2018</t>
  </si>
  <si>
    <t>40,76</t>
  </si>
  <si>
    <t>98510</t>
  </si>
  <si>
    <t>PLANTIO DE ÁRVORE ORNAMENTAL COM ALTURA DE MUDA MENOR OU IGUAL A 2,00 M. AF_05/2018</t>
  </si>
  <si>
    <t>63,30</t>
  </si>
  <si>
    <t>98511</t>
  </si>
  <si>
    <t>PLANTIO DE ÁRVORE ORNAMENTAL COM ALTURA DE MUDA MAIOR QUE 2,00 M E MENOR OU IGUAL A 4,00 M. AF_05/2018</t>
  </si>
  <si>
    <t>119,07</t>
  </si>
  <si>
    <t>98516</t>
  </si>
  <si>
    <t>PLANTIO DE PALMEIRA COM ALTURA DE MUDA MENOR OU IGUAL A 2,00 M. AF_05/2018</t>
  </si>
  <si>
    <t>311,23</t>
  </si>
  <si>
    <t>98519</t>
  </si>
  <si>
    <t>REVOLVIMENTO E LIMPEZA MANUAL DE SOLO. AF_05/2018</t>
  </si>
  <si>
    <t>1,83</t>
  </si>
  <si>
    <t>98520</t>
  </si>
  <si>
    <t>APLICAÇÃO DE ADUBO EM SOLO. AF_05/2018</t>
  </si>
  <si>
    <t>5,05</t>
  </si>
  <si>
    <t>98521</t>
  </si>
  <si>
    <t>APLICAÇÃO DE CALCÁRIO PARA CORREÇÃO DO PH DO SOLO. AF_05/2018</t>
  </si>
  <si>
    <t>98522</t>
  </si>
  <si>
    <t>ALAMBRADO EM MOURÕES DE CONCRETO, COM TELA DE ARAME GALVANIZADO (INCLUSIVE MURETA EM CONCRETO). AF_05/2018</t>
  </si>
  <si>
    <t>152,58</t>
  </si>
  <si>
    <t>98524</t>
  </si>
  <si>
    <t>LIMPEZA MANUAL DE VEGETAÇÃO EM TERRENO COM ENXADA.AF_05/2018</t>
  </si>
  <si>
    <t>98503</t>
  </si>
  <si>
    <t>PLANTIO DE GRAMA EM PAVIMENTO CONCREGRAMA. AF_05/2018</t>
  </si>
  <si>
    <t>98504</t>
  </si>
  <si>
    <t>PLANTIO DE GRAMA EM PLACAS. AF_05/2018</t>
  </si>
  <si>
    <t>98505</t>
  </si>
  <si>
    <t>PLANTIO DE FORRAÇÃO. AF_05/2018</t>
  </si>
  <si>
    <t>58,85</t>
  </si>
  <si>
    <t>103185</t>
  </si>
  <si>
    <t>INSTALAÇÃO DE ESQUI TRIPLO, EM TUBO DE AÇO CARBONO - EQUIPAMENTO DE GINÁSTICA PARA ACADEMIA AO AR LIVRE / ACADEMIA DA TERCEIRA IDADE - ATI, INSTALADO SOBRE PISO DE CONCRETO EXISTENTE. AF_10/2021</t>
  </si>
  <si>
    <t>5.405,20</t>
  </si>
  <si>
    <t>103186</t>
  </si>
  <si>
    <t>INSTALAÇÃO DE MULTIEXERCITADOR COM SEIS FUNÇÕES, EM TUBO DE AÇO CARBONO - EQUIPAMENTO DE GINÁSTICA PARA ACADEMIA AO AR LIVRE / ACADEMIA DA TERCEIRA IDADE - ATI, INSTALADO SOBRE PISO DE CONCRETO EXISTENTE. AF_10/2021</t>
  </si>
  <si>
    <t>5.696,53</t>
  </si>
  <si>
    <t>103187</t>
  </si>
  <si>
    <t>INSTALAÇÃO DE SIMULADOR DE CAMINHADA TRIPLO, EM TUBO DE AÇO CARBONO - EQUIPAMENTO DE GINÁSTICA PARA ACADEMIA AO AR LIVRE / ACADEMIA DA TERCEIRA IDADE - ATI, INSTALADO SOBRE PISO DE CONCRETO EXISTENTE. AF_10/2021</t>
  </si>
  <si>
    <t>4.283,70</t>
  </si>
  <si>
    <t>103188</t>
  </si>
  <si>
    <t>INSTALAÇÃO DE SIMULADOR DE CAVALGADA TRIPLO, EM TUBO DE AÇO CARBONO - EQUIPAMENTO DE GINÁSTICA PARA ACADEMIA AO AR LIVRE / ACADEMIA DA TERCEIRA IDADE - ATI, INSTALADO SOBRE PISO DE CONCRETO EXISTENTE. AF_10/2021</t>
  </si>
  <si>
    <t>4.604,64</t>
  </si>
  <si>
    <t>103189</t>
  </si>
  <si>
    <t>INSTALAÇÃO DE SIMULADOR DE REMO INDIVIDUAL, EM TUBO DE AÇO CARBONO - EQUIPAMENTO DE GINÁSTICA PARA ACADEMIA AO AR LIVRE / ACADEMIA DA TERCEIRA IDADE - ATI, INSTALADO SOBRE PISO DE CONCRETO EXISTENTE. AF_10/2021</t>
  </si>
  <si>
    <t>2.308,32</t>
  </si>
  <si>
    <t>103190</t>
  </si>
  <si>
    <t>INSTALAÇÃO DE PRESSÃO DE PERNAS TRIPLO, EM TUBO DE AÇO CARBONO - EQUIPAMENTO DE GINÁSTICA PARA ACADEMIA AO AR LIVRE / ACADEMIA DA TERCEIRA IDADE - ATI, INSTALADO SOBRE SOLO. AF_10/2021</t>
  </si>
  <si>
    <t>3.575,44</t>
  </si>
  <si>
    <t>103191</t>
  </si>
  <si>
    <t>INSTALAÇÃO DE ALONGADOR COM TRÊS ALTURAS, EM TUBO DE AÇO CARBONO - EQUIPAMENTO DE GINASTICA PARA ACADEMIA AO AR LIVRE / ACADEMIA DA TERCEIRA IDADE - ATI, INSTALADO SOBRE SOLO. AF_10/2021</t>
  </si>
  <si>
    <t>2.079,98</t>
  </si>
  <si>
    <t>103192</t>
  </si>
  <si>
    <t>INSTALAÇÃO DE ROTAÇÃO DIAGONAL DUPLA, APARELHO TRIPLO, EM TUBO DE AÇO CARBONO - EQUIPAMENTO DE GINÁSTICA PARA ACADEMIA AO AR LIVRE / ACADEMIA DA TERCEIRA IDADE - ATI, INSTALADO SOBRE SOLO. AF_10/2021</t>
  </si>
  <si>
    <t>2.214,88</t>
  </si>
  <si>
    <t>103193</t>
  </si>
  <si>
    <t>INSTALAÇÃO DE ROTAÇÃO VERTICAL DUPLO, EM TUBO DE AÇO CARBONO - EQUIPAMENTO DE GINÁSTICA PARA ACADEMIA AO AR LIVRE / ACADEMIA DA TERCEIRA IDADE - ATI, INSTALADO SOBRE SOLO. AF_10/2021</t>
  </si>
  <si>
    <t>1.704,51</t>
  </si>
  <si>
    <t>103194</t>
  </si>
  <si>
    <t>INSTALAÇÃO DE SURF DUPLO, EM TUBO DE AÇO CARBONO - EQUIPAMENTO DE GINÁSTICA PARA ACADEMIA AO AR LIVRE / ACADEMIA DA TERCEIRA IDADE - ATI, INSTALADO SOBRE SOLO. AF_10/2021</t>
  </si>
  <si>
    <t>2.457,83</t>
  </si>
  <si>
    <t>103195</t>
  </si>
  <si>
    <t>INSTALAÇÃO DE PLACA ORIENTATIVA SOBRE EXERCÍCIOS, 2,00M X 1,00M, EM TUBO DE AÇO CARBONO - PARA ACADEMIA AO AR LIVRE / ACADEMIA DA TERCEIRA IDADE - ATI, INSTALADO SOBRE SOLO. AF_10/2021</t>
  </si>
  <si>
    <t>1.917,99</t>
  </si>
  <si>
    <t>103205</t>
  </si>
  <si>
    <t>INSTALAÇÃO DE PRESSÃO DE PERNAS TRIPLO, EM TUBO DE AÇO CARBONO - EQUIPAMENTO DE GINÁSTICA PARA ACADEMIA AO AR LIVRE / ACADEMIA DA TERCEIRA IDADE - ATI, INSTALADO SOBRE PISO DE CONCRETO EXISTENTE. AF_10/2021</t>
  </si>
  <si>
    <t>3.586,85</t>
  </si>
  <si>
    <t>103206</t>
  </si>
  <si>
    <t>INSTALAÇÃO DE ALONGADOR COM TRÊS ALTURAS, EM TUBO DE AÇO CARBONO - EQUIPAMENTO DE GINÁSTICA PARA ACADEMIA AO AR LIVRE / ACADEMIA DA TERCEIRA IDADE - ATI, INSTALADO SOBRE PISO DE CONCRETO EXISTENTE. AF_10/2021</t>
  </si>
  <si>
    <t>2.091,40</t>
  </si>
  <si>
    <t>103207</t>
  </si>
  <si>
    <t>INSTALAÇÃO DE ROTAÇÃO DIAGONAL DUPLA, APARELHO TRIPLO, EM TUBO DE AÇO CARBONO - EQUIPAMENTO DE GINÁSTICA PARA ACADEMIA AO AR LIVRE / ACADEMIA DA TERCEIRA IDADE - ATI, INSTALADO SOBRE PISO DE CONCRETO EXISTENTE. AF_10/2021</t>
  </si>
  <si>
    <t>2.226,30</t>
  </si>
  <si>
    <t>103208</t>
  </si>
  <si>
    <t>INSTALAÇÃO DE ROTAÇÃO VERTICAL DUPLO, EM TUBO DE ACO CARBONO - EQUIPAMENTO DE GINASTICA PARA ACADEMIA AO AR LIVRE / ACADEMIA DA TERCEIRA IDADE - ATI, INSTALADO SOBRE PISO DE CONCRETO EXISTENTE. AF_10/2021</t>
  </si>
  <si>
    <t>1.715,93</t>
  </si>
  <si>
    <t>103209</t>
  </si>
  <si>
    <t>INSTALAÇÃO DE SURF DUPLO, EM TUBO DE AÇO CARBONO - EQUIPAMENTO DE GINÁSTICA PARA ACADEMIA AO AR LIVRE / ACADEMIA DA TERCEIRA IDADE - ATI, INSTALADO SOBRE PISO DE CONCRETO EXISTENTE. AF_10/2021</t>
  </si>
  <si>
    <t>2.469,25</t>
  </si>
  <si>
    <t>103210</t>
  </si>
  <si>
    <t>INSTALAÇÃO DE PLACA ORIENTATIVA SOBRE EXERCÍCIOS, 2,00M X 1,00M, EM TUBO DE AÇO CARBONO - PARA ACADEMIA AO AR LIVRE / ACADEMIA DA TERCEIRA IDADE - ATI, INSTALADO SOBRE PISO DE CONCRETO EXISTENTE. AF_10/2021</t>
  </si>
  <si>
    <t>2.003,53</t>
  </si>
  <si>
    <t>103304</t>
  </si>
  <si>
    <t>INSTALAÇÃO DE BANCO METÁLICO COM ENCOSTO, 1,60 M DE COMPRIMENTO, EM TUBO DE AÇO CARBONO COM PINTURA ELETROSTÁTICA, SOBRE PISO DE CONCRETO EXISTENTE. AF_11/2021</t>
  </si>
  <si>
    <t>1.096,70</t>
  </si>
  <si>
    <t>103307</t>
  </si>
  <si>
    <t>INSTALAÇÃO DE LIXEIRA METÁLICA DUPLA, CAPACIDADE DE 60 L, EM TUBO DE AÇO CARBONO E CESTOS EM CHAPA DE AÇO COM PINTURA ELETROSTÁTICA, SOBRE PISO DE CONCRETO EXISTENTE. AF_11/2021</t>
  </si>
  <si>
    <t>1.169,27</t>
  </si>
  <si>
    <t>103310</t>
  </si>
  <si>
    <t>INSTALAÇÃO DE LIXEIRA METÁLICA DUPLA, CAPACIDADE DE 60 L, EM TUBO DE AÇO CARBONO E CESTOS EM CHAPA DE AÇO COM PINTURA ELETROSTÁTICA, SOBRE SOLO. AF_11/2021</t>
  </si>
  <si>
    <t>1.125,95</t>
  </si>
  <si>
    <t>103314</t>
  </si>
  <si>
    <t>INSTALAÇÃO DE PERGOLADO DE MADEIRA, EM MAÇARANDUBA, ANGELIM OU EQUIVALENTE DA REGIÃO, FIXADO COM CONCRETO SOBRE PISO DE CONCRETO EXISTENTE. AF_11/2021</t>
  </si>
  <si>
    <t>260,25</t>
  </si>
  <si>
    <t>103315</t>
  </si>
  <si>
    <t>INSTALAÇÃO DE PERGOLADO DE MADEIRA, EM MAÇARANDUBA, ANGELIM OU EQUIVALENTE DA REGIÃO, FIXADO COM CONCRETO SOBRE SOLO. AF_11/2021</t>
  </si>
  <si>
    <t>253,04</t>
  </si>
  <si>
    <t>98525</t>
  </si>
  <si>
    <t>LIMPEZA MECANIZADA DE CAMADA VEGETAL, VEGETAÇÃO E PEQUENAS ÁRVORES (DIÂMETRO DE TRONCO MENOR QUE 0,20 M), COM TRATOR DE ESTEIRAS.AF_05/2018</t>
  </si>
  <si>
    <t>98526</t>
  </si>
  <si>
    <t>REMOÇÃO DE RAÍZES REMANESCENTES DE TRONCO DE ÁRVORE COM DIÂMETRO MAIOR OU IGUAL A 0,20 M E MENOR QUE 0,40 M.AF_05/2018</t>
  </si>
  <si>
    <t>78,21</t>
  </si>
  <si>
    <t>98527</t>
  </si>
  <si>
    <t>REMOÇÃO DE RAÍZES REMANESCENTES DE TRONCO DE ÁRVORE COM DIÂMETRO MAIOR OU IGUAL A 0,40 M E MENOR QUE 0,60 M.AF_05/2018</t>
  </si>
  <si>
    <t>168,39</t>
  </si>
  <si>
    <t>98528</t>
  </si>
  <si>
    <t>REMOÇÃO DE RAÍZES REMANESCENTES DE TRONCO DE ÁRVORE COM DIÂMETRO MAIOR OU IGUAL A 0,60 M.AF_05/2018</t>
  </si>
  <si>
    <t>246,26</t>
  </si>
  <si>
    <t>98529</t>
  </si>
  <si>
    <t>CORTE RASO E RECORTE DE ÁRVORE COM DIÂMETRO DE TRONCO MAIOR OU IGUAL A 0,20 M E MENOR QUE 0,40 M.AF_05/2018</t>
  </si>
  <si>
    <t>65,64</t>
  </si>
  <si>
    <t>98530</t>
  </si>
  <si>
    <t>CORTE RASO E RECORTE DE ÁRVORE COM DIÂMETRO DE TRONCO MAIOR OU IGUAL A 0,40 M E MENOR QUE 0,60 M.AF_05/2018</t>
  </si>
  <si>
    <t>116,94</t>
  </si>
  <si>
    <t>98531</t>
  </si>
  <si>
    <t>CORTE RASO E RECORTE DE ÁRVORE COM DIÂMETRO DE TRONCO MAIOR OU IGUAL A 0,60 M.AF_05/2018</t>
  </si>
  <si>
    <t>266,75</t>
  </si>
  <si>
    <t>98532</t>
  </si>
  <si>
    <t>PODA EM ALTURA DE ÁRVORE COM DIÂMETRO DE TRONCO MENOR QUE 0,20 M.AF_05/2018</t>
  </si>
  <si>
    <t>96,05</t>
  </si>
  <si>
    <t>98533</t>
  </si>
  <si>
    <t>PODA EM ALTURA DE ÁRVORE COM DIÂMETRO DE TRONCO MAIOR OU IGUAL A 0,20 M E MENOR QUE 0,40 M.AF_05/2018</t>
  </si>
  <si>
    <t>262,29</t>
  </si>
  <si>
    <t>98534</t>
  </si>
  <si>
    <t>PODA EM ALTURA DE ÁRVORE COM DIÂMETRO DE TRONCO MAIOR OU IGUAL A 0,40 M E MENOR QUE 0,60 M.AF_05/2018</t>
  </si>
  <si>
    <t>672,89</t>
  </si>
  <si>
    <t>98535</t>
  </si>
  <si>
    <t>PODA EM ALTURA DE ÁRVORE COM DIÂMETRO DE TRONCO MAIOR OU IGUAL A 0,60 M.AF_05/2018</t>
  </si>
  <si>
    <t>1.063,45</t>
  </si>
  <si>
    <t>88238</t>
  </si>
  <si>
    <t>AJUDANTE DE ARMADOR COM ENCARGOS COMPLEMENTARES</t>
  </si>
  <si>
    <t>88239</t>
  </si>
  <si>
    <t>AJUDANTE DE CARPINTEIRO COM ENCARGOS COMPLEMENTARES</t>
  </si>
  <si>
    <t>21,16</t>
  </si>
  <si>
    <t>88240</t>
  </si>
  <si>
    <t>AJUDANTE DE ESTRUTURA METÁLICA COM ENCARGOS COMPLEMENTARES</t>
  </si>
  <si>
    <t>88241</t>
  </si>
  <si>
    <t>AJUDANTE DE OPERAÇÃO EM GERAL COM ENCARGOS COMPLEMENTARES</t>
  </si>
  <si>
    <t>88242</t>
  </si>
  <si>
    <t>AJUDANTE DE PEDREIRO COM ENCARGOS COMPLEMENTARES</t>
  </si>
  <si>
    <t>18,01</t>
  </si>
  <si>
    <t>88243</t>
  </si>
  <si>
    <t>AJUDANTE ESPECIALIZADO COM ENCARGOS COMPLEMENTARES</t>
  </si>
  <si>
    <t>88245</t>
  </si>
  <si>
    <t>ARMADOR COM ENCARGOS COMPLEMENTARES</t>
  </si>
  <si>
    <t>25,10</t>
  </si>
  <si>
    <t>88246</t>
  </si>
  <si>
    <t>ASSENTADOR DE TUBOS COM ENCARGOS COMPLEMENTARES</t>
  </si>
  <si>
    <t>88247</t>
  </si>
  <si>
    <t>AUXILIAR DE ELETRICISTA COM ENCARGOS COMPLEMENTARES</t>
  </si>
  <si>
    <t>20,65</t>
  </si>
  <si>
    <t>88248</t>
  </si>
  <si>
    <t>AUXILIAR DE ENCANADOR OU BOMBEIRO HIDRÁULICO COM ENCARGOS COMPLEMENTARES</t>
  </si>
  <si>
    <t>17,19</t>
  </si>
  <si>
    <t>88249</t>
  </si>
  <si>
    <t>AUXILIAR DE LABORATÓRIO COM ENCARGOS COMPLEMENTARES</t>
  </si>
  <si>
    <t>23,96</t>
  </si>
  <si>
    <t>88250</t>
  </si>
  <si>
    <t>AUXILIAR DE MECÂNICO COM ENCARGOS COMPLEMENTARES</t>
  </si>
  <si>
    <t>88251</t>
  </si>
  <si>
    <t>AUXILIAR DE SERRALHEIRO COM ENCARGOS COMPLEMENTARES</t>
  </si>
  <si>
    <t>20,34</t>
  </si>
  <si>
    <t>88252</t>
  </si>
  <si>
    <t>AUXILIAR DE SERVIÇOS GERAIS COM ENCARGOS COMPLEMENTARES</t>
  </si>
  <si>
    <t>18,90</t>
  </si>
  <si>
    <t>88253</t>
  </si>
  <si>
    <t>AUXILIAR DE TOPÓGRAFO COM ENCARGOS COMPLEMENTARES</t>
  </si>
  <si>
    <t>13,49</t>
  </si>
  <si>
    <t>88255</t>
  </si>
  <si>
    <t>AUXILIAR TÉCNICO DE ENGENHARIA COM ENCARGOS COMPLEMENTARES</t>
  </si>
  <si>
    <t>36,57</t>
  </si>
  <si>
    <t>88256</t>
  </si>
  <si>
    <t>AZULEJISTA OU LADRILHISTA COM ENCARGOS COMPLEMENTARES</t>
  </si>
  <si>
    <t>26,11</t>
  </si>
  <si>
    <t>88257</t>
  </si>
  <si>
    <t>BLASTER, DINAMITADOR OU CABO DE FOGO COM ENCARGOS COMPLEMENTARES</t>
  </si>
  <si>
    <t>88258</t>
  </si>
  <si>
    <t>CADASTRISTA DE REDES DE AGUA E ESGOTO COM ENCARGOS COMPLEMENTARES</t>
  </si>
  <si>
    <t>16,76</t>
  </si>
  <si>
    <t>88260</t>
  </si>
  <si>
    <t>CALCETEIRO COM ENCARGOS COMPLEMENTARES</t>
  </si>
  <si>
    <t>22,69</t>
  </si>
  <si>
    <t>88261</t>
  </si>
  <si>
    <t>CARPINTEIRO DE ESQUADRIA COM ENCARGOS COMPLEMENTARES</t>
  </si>
  <si>
    <t>22,14</t>
  </si>
  <si>
    <t>88262</t>
  </si>
  <si>
    <t>CARPINTEIRO DE FORMAS COM ENCARGOS COMPLEMENTARES</t>
  </si>
  <si>
    <t>25,18</t>
  </si>
  <si>
    <t>88263</t>
  </si>
  <si>
    <t>CAVOUQUEIRO OU OPERADOR PERFURATRIZ/ROMPEDOR COM ENCARGOS COMPLEMENTARES</t>
  </si>
  <si>
    <t>19,97</t>
  </si>
  <si>
    <t>88264</t>
  </si>
  <si>
    <t>ELETRICISTA COM ENCARGOS COMPLEMENTARES</t>
  </si>
  <si>
    <t>88265</t>
  </si>
  <si>
    <t>ELETRICISTA INDUSTRIAL COM ENCARGOS COMPLEMENTARES</t>
  </si>
  <si>
    <t>28,80</t>
  </si>
  <si>
    <t>88266</t>
  </si>
  <si>
    <t>ELETROTÉCNICO COM ENCARGOS COMPLEMENTARES</t>
  </si>
  <si>
    <t>30,70</t>
  </si>
  <si>
    <t>88267</t>
  </si>
  <si>
    <t>ENCANADOR OU BOMBEIRO HIDRÁULICO COM ENCARGOS COMPLEMENTARES</t>
  </si>
  <si>
    <t>21,94</t>
  </si>
  <si>
    <t>88269</t>
  </si>
  <si>
    <t>GESSEIRO COM ENCARGOS COMPLEMENTARES</t>
  </si>
  <si>
    <t>88270</t>
  </si>
  <si>
    <t>IMPERMEABILIZADOR COM ENCARGOS COMPLEMENTARES</t>
  </si>
  <si>
    <t>88272</t>
  </si>
  <si>
    <t>MACARIQUEIRO COM ENCARGOS COMPLEMENTARES</t>
  </si>
  <si>
    <t>27,44</t>
  </si>
  <si>
    <t>88273</t>
  </si>
  <si>
    <t>MARCENEIRO COM ENCARGOS COMPLEMENTARES</t>
  </si>
  <si>
    <t>25,65</t>
  </si>
  <si>
    <t>88274</t>
  </si>
  <si>
    <t>MARMORISTA/GRANITEIRO COM ENCARGOS COMPLEMENTARES</t>
  </si>
  <si>
    <t>88275</t>
  </si>
  <si>
    <t>MECÃNICO DE EQUIPAMENTOS PESADOS COM ENCARGOS COMPLEMENTARES</t>
  </si>
  <si>
    <t>32,59</t>
  </si>
  <si>
    <t>88277</t>
  </si>
  <si>
    <t>MONTADOR (TUBO AÇO/EQUIPAMENTOS) COM ENCARGOS COMPLEMENTARES</t>
  </si>
  <si>
    <t>25,47</t>
  </si>
  <si>
    <t>88278</t>
  </si>
  <si>
    <t>MONTADOR DE ESTRUTURA METÁLICA COM ENCARGOS COMPLEMENTARES</t>
  </si>
  <si>
    <t>88279</t>
  </si>
  <si>
    <t>MONTADOR ELETROMECÃNICO COM ENCARGOS COMPLEMENTARES</t>
  </si>
  <si>
    <t>35,98</t>
  </si>
  <si>
    <t>88281</t>
  </si>
  <si>
    <t>MOTORISTA DE BASCULANTE COM ENCARGOS COMPLEMENTARES</t>
  </si>
  <si>
    <t>88282</t>
  </si>
  <si>
    <t>MOTORISTA DE CAMINHÃO COM ENCARGOS COMPLEMENTARES</t>
  </si>
  <si>
    <t>88283</t>
  </si>
  <si>
    <t>MOTORISTA DE CAMINHÃO E CARRETA COM ENCARGOS COMPLEMENTARES</t>
  </si>
  <si>
    <t>31,69</t>
  </si>
  <si>
    <t>88284</t>
  </si>
  <si>
    <t>MOTORISTA DE VEIÍCULO LEVE COM ENCARGOS COMPLEMENTARES</t>
  </si>
  <si>
    <t>24,33</t>
  </si>
  <si>
    <t>88285</t>
  </si>
  <si>
    <t>MOTORISTA DE VEÍCULO PESADO COM ENCARGOS COMPLEMENTARES</t>
  </si>
  <si>
    <t>27,99</t>
  </si>
  <si>
    <t>88286</t>
  </si>
  <si>
    <t>MOTORISTA OPERADOR DE MUNCK COM ENCARGOS COMPLEMENTARES</t>
  </si>
  <si>
    <t>28,44</t>
  </si>
  <si>
    <t>88288</t>
  </si>
  <si>
    <t>NIVELADOR COM ENCARGOS COMPLEMENTARES</t>
  </si>
  <si>
    <t>16,60</t>
  </si>
  <si>
    <t>88291</t>
  </si>
  <si>
    <t>OPERADOR DE BETONEIRA (CAMINHÃO) COM ENCARGOS COMPLEMENTARES</t>
  </si>
  <si>
    <t>23,12</t>
  </si>
  <si>
    <t>88292</t>
  </si>
  <si>
    <t>OPERADOR DE COMPRESSOR OU COMPRESSORISTA COM ENCARGOS COMPLEMENTARES</t>
  </si>
  <si>
    <t>26,14</t>
  </si>
  <si>
    <t>88293</t>
  </si>
  <si>
    <t>OPERADOR DE DEMARCADORA DE FAIXAS COM ENCARGOS COMPLEMENTARES</t>
  </si>
  <si>
    <t>27,27</t>
  </si>
  <si>
    <t>88294</t>
  </si>
  <si>
    <t>OPERADOR DE ESCAVADEIRA COM ENCARGOS COMPLEMENTARES</t>
  </si>
  <si>
    <t>29,46</t>
  </si>
  <si>
    <t>88295</t>
  </si>
  <si>
    <t>OPERADOR DE GUINCHO COM ENCARGOS COMPLEMENTARES</t>
  </si>
  <si>
    <t>24,51</t>
  </si>
  <si>
    <t>88296</t>
  </si>
  <si>
    <t>OPERADOR DE GUINDASTE COM ENCARGOS COMPLEMENTARES</t>
  </si>
  <si>
    <t>41,23</t>
  </si>
  <si>
    <t>88297</t>
  </si>
  <si>
    <t>OPERADOR DE MÁQUINAS E EQUIPAMENTOS COM ENCARGOS COMPLEMENTARES</t>
  </si>
  <si>
    <t>88298</t>
  </si>
  <si>
    <t>OPERADOR DE MARTELETE OU MARTELETEIRO COM ENCARGOS COMPLEMENTARES</t>
  </si>
  <si>
    <t>16,48</t>
  </si>
  <si>
    <t>88299</t>
  </si>
  <si>
    <t>OPERADOR DE MOTO-ESCREIPER COM ENCARGOS COMPLEMENTARES</t>
  </si>
  <si>
    <t>27,66</t>
  </si>
  <si>
    <t>88300</t>
  </si>
  <si>
    <t>OPERADOR DE MOTONIVELADORA COM ENCARGOS COMPLEMENTARES</t>
  </si>
  <si>
    <t>32,74</t>
  </si>
  <si>
    <t>88301</t>
  </si>
  <si>
    <t>OPERADOR DE PÁ CARREGADEIRA COM ENCARGOS COMPLEMENTARES</t>
  </si>
  <si>
    <t>88302</t>
  </si>
  <si>
    <t>OPERADOR DE PAVIMENTADORA COM ENCARGOS COMPLEMENTARES</t>
  </si>
  <si>
    <t>28,38</t>
  </si>
  <si>
    <t>88303</t>
  </si>
  <si>
    <t>OPERADOR DE ROLO COMPACTADOR COM ENCARGOS COMPLEMENTARES</t>
  </si>
  <si>
    <t>88304</t>
  </si>
  <si>
    <t>OPERADOR DE USINA DE ASFALTO, DE SOLOS OU DE CONCRETO COM ENCARGOS COMPLEMENTARES</t>
  </si>
  <si>
    <t>88306</t>
  </si>
  <si>
    <t>OPERADOR JATO DE AREIA OU JATISTA COM ENCARGOS COMPLEMENTARES</t>
  </si>
  <si>
    <t>26,92</t>
  </si>
  <si>
    <t>88307</t>
  </si>
  <si>
    <t>OPERADOR PARA BATE ESTACAS COM ENCARGOS COMPLEMENTARES</t>
  </si>
  <si>
    <t>88308</t>
  </si>
  <si>
    <t>PASTILHEIRO COM ENCARGOS COMPLEMENTARES</t>
  </si>
  <si>
    <t>88309</t>
  </si>
  <si>
    <t>PEDREIRO COM ENCARGOS COMPLEMENTARES</t>
  </si>
  <si>
    <t>25,25</t>
  </si>
  <si>
    <t>88310</t>
  </si>
  <si>
    <t>PINTOR COM ENCARGOS COMPLEMENTARES</t>
  </si>
  <si>
    <t>88311</t>
  </si>
  <si>
    <t>PINTOR DE LETREIROS COM ENCARGOS COMPLEMENTARES</t>
  </si>
  <si>
    <t>32,43</t>
  </si>
  <si>
    <t>88312</t>
  </si>
  <si>
    <t>PINTOR PARA TINTA EPÓXI COM ENCARGOS COMPLEMENTARES</t>
  </si>
  <si>
    <t>27,83</t>
  </si>
  <si>
    <t>88313</t>
  </si>
  <si>
    <t>POCEIRO COM ENCARGOS COMPLEMENTARES</t>
  </si>
  <si>
    <t>88314</t>
  </si>
  <si>
    <t>RASTELEIRO COM ENCARGOS COMPLEMENTARES</t>
  </si>
  <si>
    <t>88315</t>
  </si>
  <si>
    <t>SERRALHEIRO COM ENCARGOS COMPLEMENTARES</t>
  </si>
  <si>
    <t>88316</t>
  </si>
  <si>
    <t>SERVENTE COM ENCARGOS COMPLEMENTARES</t>
  </si>
  <si>
    <t>88317</t>
  </si>
  <si>
    <t>SOLDADOR COM ENCARGOS COMPLEMENTARES</t>
  </si>
  <si>
    <t>28,60</t>
  </si>
  <si>
    <t>88318</t>
  </si>
  <si>
    <t>SOLDADOR A (PARA SOLDA A SER TESTADA COM RAIOS "X") COM ENCARGOS COMPLEMENTARES</t>
  </si>
  <si>
    <t>88320</t>
  </si>
  <si>
    <t>TAQUEADOR OU TAQUEIRO COM ENCARGOS COMPLEMENTARES</t>
  </si>
  <si>
    <t>29,49</t>
  </si>
  <si>
    <t>88321</t>
  </si>
  <si>
    <t>TÉCNICO DE LABORATÓRIO COM ENCARGOS COMPLEMENTARES</t>
  </si>
  <si>
    <t>40,77</t>
  </si>
  <si>
    <t>88322</t>
  </si>
  <si>
    <t>TÉCNICO DE SONDAGEM COM ENCARGOS COMPLEMENTARES</t>
  </si>
  <si>
    <t>28,03</t>
  </si>
  <si>
    <t>88323</t>
  </si>
  <si>
    <t>TELHADISTA COM ENCARGOS COMPLEMENTARES</t>
  </si>
  <si>
    <t>22,93</t>
  </si>
  <si>
    <t>88324</t>
  </si>
  <si>
    <t>TRATORISTA COM ENCARGOS COMPLEMENTARES</t>
  </si>
  <si>
    <t>30,53</t>
  </si>
  <si>
    <t>88325</t>
  </si>
  <si>
    <t>VIDRACEIRO COM ENCARGOS COMPLEMENTARES</t>
  </si>
  <si>
    <t>88326</t>
  </si>
  <si>
    <t>VIGIA NOTURNO COM ENCARGOS COMPLEMENTARES</t>
  </si>
  <si>
    <t>88377</t>
  </si>
  <si>
    <t>OPERADOR DE BETONEIRA ESTACIONÁRIA/MISTURADOR COM ENCARGOS COMPLEMENTARES</t>
  </si>
  <si>
    <t>22,51</t>
  </si>
  <si>
    <t>88441</t>
  </si>
  <si>
    <t>JARDINEIRO COM ENCARGOS COMPLEMENTARES</t>
  </si>
  <si>
    <t>88597</t>
  </si>
  <si>
    <t>DESENHISTA DETALHISTA COM ENCARGOS COMPLEMENTARES</t>
  </si>
  <si>
    <t>50,80</t>
  </si>
  <si>
    <t>90766</t>
  </si>
  <si>
    <t>ALMOXARIFE COM ENCARGOS COMPLEMENTARES</t>
  </si>
  <si>
    <t>90767</t>
  </si>
  <si>
    <t>APONTADOR OU APROPRIADOR COM ENCARGOS COMPLEMENTARES</t>
  </si>
  <si>
    <t>24,61</t>
  </si>
  <si>
    <t>90768</t>
  </si>
  <si>
    <t>ARQUITETO DE OBRA JUNIOR COM ENCARGOS COMPLEMENTARES</t>
  </si>
  <si>
    <t>69,53</t>
  </si>
  <si>
    <t>90769</t>
  </si>
  <si>
    <t>ARQUITETO DE OBRA PLENO COM ENCARGOS COMPLEMENTARES</t>
  </si>
  <si>
    <t>98,12</t>
  </si>
  <si>
    <t>90770</t>
  </si>
  <si>
    <t>ARQUITETO DE OBRA SENIOR COM ENCARGOS COMPLEMENTARES</t>
  </si>
  <si>
    <t>90771</t>
  </si>
  <si>
    <t>AUXILIAR DE DESENHISTA COM ENCARGOS COMPLEMENTARES</t>
  </si>
  <si>
    <t>90772</t>
  </si>
  <si>
    <t>AUXILIAR DE ESCRITORIO COM ENCARGOS COMPLEMENTARES</t>
  </si>
  <si>
    <t>90773</t>
  </si>
  <si>
    <t>DESENHISTA COPISTA COM ENCARGOS COMPLEMENTARES</t>
  </si>
  <si>
    <t>29,77</t>
  </si>
  <si>
    <t>90775</t>
  </si>
  <si>
    <t>DESENHISTA PROJETISTA COM ENCARGOS COMPLEMENTARES</t>
  </si>
  <si>
    <t>39,17</t>
  </si>
  <si>
    <t>90776</t>
  </si>
  <si>
    <t>ENCARREGADO GERAL COM ENCARGOS COMPLEMENTARES</t>
  </si>
  <si>
    <t>90777</t>
  </si>
  <si>
    <t>ENGENHEIRO CIVIL DE OBRA JUNIOR COM ENCARGOS COMPLEMENTARES</t>
  </si>
  <si>
    <t>94,28</t>
  </si>
  <si>
    <t>90778</t>
  </si>
  <si>
    <t>ENGENHEIRO CIVIL DE OBRA PLENO COM ENCARGOS COMPLEMENTARES</t>
  </si>
  <si>
    <t>107,10</t>
  </si>
  <si>
    <t>90779</t>
  </si>
  <si>
    <t>ENGENHEIRO CIVIL DE OBRA SENIOR COM ENCARGOS COMPLEMENTARES</t>
  </si>
  <si>
    <t>145,84</t>
  </si>
  <si>
    <t>90780</t>
  </si>
  <si>
    <t>MESTRE DE OBRAS COM ENCARGOS COMPLEMENTARES</t>
  </si>
  <si>
    <t>54,53</t>
  </si>
  <si>
    <t>90781</t>
  </si>
  <si>
    <t>TOPOGRAFO COM ENCARGOS COMPLEMENTARES</t>
  </si>
  <si>
    <t>30,79</t>
  </si>
  <si>
    <t>91677</t>
  </si>
  <si>
    <t>ENGENHEIRO ELETRICISTA COM ENCARGOS COMPLEMENTARES</t>
  </si>
  <si>
    <t>101,61</t>
  </si>
  <si>
    <t>91678</t>
  </si>
  <si>
    <t>ENGENHEIRO SANITARISTA COM ENCARGOS COMPLEMENTARES</t>
  </si>
  <si>
    <t>96,14</t>
  </si>
  <si>
    <t>93558</t>
  </si>
  <si>
    <t>MOTORISTA DE CAMINHAO COM ENCARGOS COMPLEMENTARES</t>
  </si>
  <si>
    <t>MES</t>
  </si>
  <si>
    <t>4.468,51</t>
  </si>
  <si>
    <t>93559</t>
  </si>
  <si>
    <t>8.946,31</t>
  </si>
  <si>
    <t>93560</t>
  </si>
  <si>
    <t>5.251,84</t>
  </si>
  <si>
    <t>93561</t>
  </si>
  <si>
    <t>6.902,08</t>
  </si>
  <si>
    <t>93562</t>
  </si>
  <si>
    <t>6.241,32</t>
  </si>
  <si>
    <t>93563</t>
  </si>
  <si>
    <t>4.130,28</t>
  </si>
  <si>
    <t>93564</t>
  </si>
  <si>
    <t>4.335,50</t>
  </si>
  <si>
    <t>93565</t>
  </si>
  <si>
    <t>16.551,90</t>
  </si>
  <si>
    <t>93566</t>
  </si>
  <si>
    <t>3.115,62</t>
  </si>
  <si>
    <t>93567</t>
  </si>
  <si>
    <t>18.799,44</t>
  </si>
  <si>
    <t>93568</t>
  </si>
  <si>
    <t>25.592,05</t>
  </si>
  <si>
    <t>93569</t>
  </si>
  <si>
    <t>ARQUITETO JUNIOR COM ENCARGOS COMPLEMENTARES</t>
  </si>
  <si>
    <t>12.229,03</t>
  </si>
  <si>
    <t>93570</t>
  </si>
  <si>
    <t>ARQUITETO PLENO COM ENCARGOS COMPLEMENTARES</t>
  </si>
  <si>
    <t>17.248,56</t>
  </si>
  <si>
    <t>93571</t>
  </si>
  <si>
    <t>ARQUITETO SENIOR COM ENCARGOS COMPLEMENTARES</t>
  </si>
  <si>
    <t>22.710,85</t>
  </si>
  <si>
    <t>93572</t>
  </si>
  <si>
    <t>ENCARREGADO GERAL DE OBRAS COM ENCARGOS COMPLEMENTARES</t>
  </si>
  <si>
    <t>6.443,85</t>
  </si>
  <si>
    <t>94295</t>
  </si>
  <si>
    <t>9.580,46</t>
  </si>
  <si>
    <t>94296</t>
  </si>
  <si>
    <t>5.428,23</t>
  </si>
  <si>
    <t>95308</t>
  </si>
  <si>
    <t>CURSO DE CAPACITAÇÃO PARA AJUDANTE DE ARMADOR (ENCARGOS COMPLEMENTARES) - HORISTA</t>
  </si>
  <si>
    <t>95309</t>
  </si>
  <si>
    <t>CURSO DE CAPACITAÇÃO PARA AJUDANTE DE CARPINTEIRO (ENCARGOS COMPLEMENTARES) - HORISTA</t>
  </si>
  <si>
    <t>0,17</t>
  </si>
  <si>
    <t>95310</t>
  </si>
  <si>
    <t>CURSO DE CAPACITAÇÃO PARA AJUDANTE DE ESTRUTURA METÁLICA (ENCARGOS COMPLEMENTARES) - HORISTA</t>
  </si>
  <si>
    <t>0,14</t>
  </si>
  <si>
    <t>95311</t>
  </si>
  <si>
    <t>CURSO DE CAPACITAÇÃO PARA AJUDANTE DE OPERAÇÃO EM GERAL (ENCARGOS COMPLEMENTARES) - HORISTA</t>
  </si>
  <si>
    <t>95312</t>
  </si>
  <si>
    <t>CURSO DE CAPACITAÇÃO PARA AJUDANTE DE PEDREIRO (ENCARGOS COMPLEMENTARES) - HORISTA</t>
  </si>
  <si>
    <t>95313</t>
  </si>
  <si>
    <t>CURSO DE CAPACITAÇÃO PARA AJUDANTE ESPECIALIZADO (ENCARGOS COMPLEMENTARES) - HORISTA</t>
  </si>
  <si>
    <t>95314</t>
  </si>
  <si>
    <t>CURSO DE CAPACITAÇÃO PARA ARMADOR (ENCARGOS COMPLEMENTARES) - HORISTA</t>
  </si>
  <si>
    <t>95315</t>
  </si>
  <si>
    <t>CURSO DE CAPACITAÇÃO PARA ASSENTADOR DE TUBOS (ENCARGOS COMPLEMENTARES) - HORISTA</t>
  </si>
  <si>
    <t>95316</t>
  </si>
  <si>
    <t>CURSO DE CAPACITAÇÃO PARA AUXILIAR DE ELETRICISTA (ENCARGOS COMPLEMENTARES) - HORISTA</t>
  </si>
  <si>
    <t>95317</t>
  </si>
  <si>
    <t>CURSO DE CAPACITAÇÃO PARA AUXILIAR DE ENCANADOR OU BOMBEIRO HIDRÁULICO (ENCARGOS COMPLEMENTARES) - HORISTA</t>
  </si>
  <si>
    <t>95318</t>
  </si>
  <si>
    <t>CURSO DE CAPACITAÇÃO PARA AUXILIAR DE LABORATÓRIO (ENCARGOS COMPLEMENTARES) - HORISTA</t>
  </si>
  <si>
    <t>95319</t>
  </si>
  <si>
    <t>CURSO DE CAPACITAÇÃO PARA AUXILIAR DE MECÂNICO (ENCARGOS COMPLEMENTARES) - HORISTA</t>
  </si>
  <si>
    <t>95320</t>
  </si>
  <si>
    <t>CURSO DE CAPACITAÇÃO PARA AUXILIAR DE SERRALHEIRO (ENCARGOS COMPLEMENTARES) - HORISTA</t>
  </si>
  <si>
    <t>95321</t>
  </si>
  <si>
    <t>CURSO DE CAPACITAÇÃO PARA AUXILIAR DE SERVIÇOS GERAIS (ENCARGOS COMPLEMENTARES) - HORISTA</t>
  </si>
  <si>
    <t>95322</t>
  </si>
  <si>
    <t>CURSO DE CAPACITAÇÃO PARA AUXILIAR DE TOPÓGRAFO (ENCARGOS COMPLEMENTARES) - HORISTA</t>
  </si>
  <si>
    <t>0,07</t>
  </si>
  <si>
    <t>95323</t>
  </si>
  <si>
    <t>CURSO DE CAPACITAÇÃO PARA AUXILIAR TÉCNICO DE ENGENHARIA (ENCARGOS COMPLEMENTARES) - HORISTA</t>
  </si>
  <si>
    <t>95324</t>
  </si>
  <si>
    <t>CURSO DE CAPACITAÇÃO PARA AZULEJISTA OU LADRILHISTA (ENCARGOS COMPLEMENTARES) - HORISTA</t>
  </si>
  <si>
    <t>95325</t>
  </si>
  <si>
    <t>CURSO DE CAPACITAÇÃO PARA BLASTER, DINAMITADOR OU CABO DE FOGO (ENCARGOS COMPLEMENTARES) - HORISTA</t>
  </si>
  <si>
    <t>95326</t>
  </si>
  <si>
    <t>CURSO DE CAPACITAÇÃO PARA CADASTRISTA DE REDES DE AGUA E ESGOTO (ENCARGOS COMPLEMENTARES) - HORISTA</t>
  </si>
  <si>
    <t>95328</t>
  </si>
  <si>
    <t>CURSO DE CAPACITAÇÃO PARA CALCETEIRO (ENCARGOS COMPLEMENTARES) - HORISTA</t>
  </si>
  <si>
    <t>95329</t>
  </si>
  <si>
    <t>CURSO DE CAPACITAÇÃO PARA CARPINTEIRO DE ESQUADRIA (ENCARGOS COMPLEMENTARES) - HORISTA</t>
  </si>
  <si>
    <t>95330</t>
  </si>
  <si>
    <t>CURSO DE CAPACITAÇÃO PARA CARPINTEIRO DE FÔRMAS (ENCARGOS COMPLEMENTARES) - HORISTA</t>
  </si>
  <si>
    <t>95331</t>
  </si>
  <si>
    <t>CURSO DE CAPACITAÇÃO PARA CAVOUQUEIRO OU OPERADOR PERFURATRIZ/ROMPEDOR (ENCARGOS COMPLEMENTARES) - HORISTA</t>
  </si>
  <si>
    <t>95332</t>
  </si>
  <si>
    <t>CURSO DE CAPACITAÇÃO PARA ELETRICISTA (ENCARGOS COMPLEMENTARES) - HORISTA</t>
  </si>
  <si>
    <t>95333</t>
  </si>
  <si>
    <t>CURSO DE CAPACITAÇÃO PARA ELETRICISTA INDUSTRIAL (ENCARGOS COMPLEMENTARES) - HORISTA</t>
  </si>
  <si>
    <t>95334</t>
  </si>
  <si>
    <t>CURSO DE CAPACITAÇÃO PARA ELETROTÉCNICO (ENCARGOS COMPLEMENTARES) - HORISTA</t>
  </si>
  <si>
    <t>95335</t>
  </si>
  <si>
    <t>CURSO DE CAPACITAÇÃO PARA ENCANADOR OU BOMBEIRO HIDRÁULICO (ENCARGOS COMPLEMENTARES) - HORISTA</t>
  </si>
  <si>
    <t>95337</t>
  </si>
  <si>
    <t>CURSO DE CAPACITAÇÃO PARA GESSEIRO (ENCARGOS COMPLEMENTARES) - HORISTA</t>
  </si>
  <si>
    <t>95338</t>
  </si>
  <si>
    <t>CURSO DE CAPACITAÇÃO PARA IMPERMEABILIZADOR (ENCARGOS COMPLEMENTARES) - HORISTA</t>
  </si>
  <si>
    <t>95339</t>
  </si>
  <si>
    <t>CURSO DE CAPACITAÇÃO PARA MAÇARIQUEIRO (ENCARGOS COMPLEMENTARES) - HORISTA</t>
  </si>
  <si>
    <t>95340</t>
  </si>
  <si>
    <t>CURSO DE CAPACITAÇÃO PARA MARCENEIRO (ENCARGOS COMPLEMENTARES) - HORISTA</t>
  </si>
  <si>
    <t>95341</t>
  </si>
  <si>
    <t>CURSO DE CAPACITAÇÃO PARA MARMORISTA/GRANITEIRO (ENCARGOS COMPLEMENTARES) - HORISTA</t>
  </si>
  <si>
    <t>95342</t>
  </si>
  <si>
    <t>CURSO DE CAPACITAÇÃO PARA MECÂNICO DE EQUIPAMENTOS PESADOS (ENCARGOS COMPLEMENTARES) - HORISTA</t>
  </si>
  <si>
    <t>95343</t>
  </si>
  <si>
    <t>CURSO DE CAPACITAÇÃO PARA MONTADOR  DE TUBO AÇO/EQUIPAMENTOS (ENCARGOS COMPLEMENTARES) - HORISTA</t>
  </si>
  <si>
    <t>95344</t>
  </si>
  <si>
    <t>CURSO DE CAPACITAÇÃO PARA MONTADOR DE ESTRUTURA METÁLICA (ENCARGOS COMPLEMENTARES) - HORISTA</t>
  </si>
  <si>
    <t>0,19</t>
  </si>
  <si>
    <t>95345</t>
  </si>
  <si>
    <t>CURSO DE CAPACITAÇÃO PARA MONTADOR ELETROMECÂNICO (ENCARGOS COMPLEMENTARES) - HORISTA</t>
  </si>
  <si>
    <t>95346</t>
  </si>
  <si>
    <t>CURSO DE CAPACITAÇÃO PARA MOTORISTA DE BASCULANTE (ENCARGOS COMPLEMENTARES) - HORISTA</t>
  </si>
  <si>
    <t>95347</t>
  </si>
  <si>
    <t>CURSO DE CAPACITAÇÃO PARA MOTORISTA DE CAMINHÃO (ENCARGOS COMPLEMENTARES) - HORISTA</t>
  </si>
  <si>
    <t>95348</t>
  </si>
  <si>
    <t>CURSO DE CAPACITAÇÃO PARA MOTORISTA DE CAMINHÃO E CARRETA (ENCARGOS COMPLEMENTARES) - HORISTA</t>
  </si>
  <si>
    <t>95349</t>
  </si>
  <si>
    <t>CURSO DE CAPACITAÇÃO PARA MOTORISTA DE VEÍCULO LEVE (ENCARGOS COMPLEMENTARES) - HORISTA</t>
  </si>
  <si>
    <t>95350</t>
  </si>
  <si>
    <t>CURSO DE CAPACITAÇÃO PARA MOTORISTA DE VEÍCULO PESADO (ENCARGOS COMPLEMENTARES) - HORISTA</t>
  </si>
  <si>
    <t>95351</t>
  </si>
  <si>
    <t>CURSO DE CAPACITAÇÃO PARA MOTORISTA OPERADOR DE MUNCK (ENCARGOS COMPLEMENTARES) - HORISTA</t>
  </si>
  <si>
    <t>95352</t>
  </si>
  <si>
    <t>CURSO DE CAPACITAÇÃO PARA NIVELADOR (ENCARGOS COMPLEMENTARES) - HORISTA</t>
  </si>
  <si>
    <t>95354</t>
  </si>
  <si>
    <t>CURSO DE CAPACITAÇÃO PARA OPERADOR DE BETONEIRA (CAMINHÃO) (ENCARGOS COMPLEMENTARES) - HORISTA</t>
  </si>
  <si>
    <t>95355</t>
  </si>
  <si>
    <t>CURSO DE CAPACITAÇÃO PARA OPERADOR DE COMPRESSOR OU COMPRESSORISTA (ENCARGOS COMPLEMENTARES) - HORISTA</t>
  </si>
  <si>
    <t>95356</t>
  </si>
  <si>
    <t>CURSO DE CAPACITAÇÃO PARA OPERADOR DE DEMARCADORA DE FAIXAS (ENCARGOS COMPLEMENTARES) - HORISTA</t>
  </si>
  <si>
    <t>95357</t>
  </si>
  <si>
    <t>CURSO DE CAPACITAÇÃO PARA OPERADOR DE ESCAVADEIRA (ENCARGOS COMPLEMENTARES) - HORISTA</t>
  </si>
  <si>
    <t>0,22</t>
  </si>
  <si>
    <t>95358</t>
  </si>
  <si>
    <t>CURSO DE CAPACITAÇÃO PARA OPERADOR DE GUINCHO (ENCARGOS COMPLEMENTARES) - HORISTA</t>
  </si>
  <si>
    <t>95359</t>
  </si>
  <si>
    <t>CURSO DE CAPACITAÇÃO PARA OPERADOR DE GUINDASTE (ENCARGOS COMPLEMENTARES) - HORISTA</t>
  </si>
  <si>
    <t>95360</t>
  </si>
  <si>
    <t>CURSO DE CAPACITAÇÃO PARA OPERADOR DE MÁQUINAS E EQUIPAMENTOS (ENCARGOS COMPLEMENTARES) - HORISTA</t>
  </si>
  <si>
    <t>95361</t>
  </si>
  <si>
    <t>CURSO DE CAPACITAÇÃO PARA OPERADOR DE MARTELETE OU MARTELETEIRO (ENCARGOS COMPLEMENTARES) - HORISTA</t>
  </si>
  <si>
    <t>95362</t>
  </si>
  <si>
    <t>CURSO DE CAPACITAÇÃO PARA OPERADOR DE MOTO-ESCREIPER (ENCARGOS COMPLEMENTARES) - HORISTA</t>
  </si>
  <si>
    <t>95363</t>
  </si>
  <si>
    <t>CURSO DE CAPACITAÇÃO PARA OPERADOR DE MOTONIVELADORA (ENCARGOS COMPLEMENTARES) - HORISTA</t>
  </si>
  <si>
    <t>95364</t>
  </si>
  <si>
    <t>CURSO DE CAPACITAÇÃO PARA OPERADOR DE PÁ CARREGADEIRA (ENCARGOS COMPLEMENTARES) - HORISTA</t>
  </si>
  <si>
    <t>95365</t>
  </si>
  <si>
    <t>CURSO DE CAPACITAÇÃO PARA OPERADOR DE PAVIMENTADORA (ENCARGOS COMPLEMENTARES) - HORISTA</t>
  </si>
  <si>
    <t>95366</t>
  </si>
  <si>
    <t>CURSO DE CAPACITAÇÃO PARA OPERADOR DE ROLO COMPACTADOR (ENCARGOS COMPLEMENTARES) - HORISTA</t>
  </si>
  <si>
    <t>95367</t>
  </si>
  <si>
    <t>CURSO DE CAPACITAÇÃO PARA OPERADOR DE USINA DE ASFALTO, DE SOLOS OU DE CONCRETO (ENCARGOS COMPLEMENTARES) - HORISTA</t>
  </si>
  <si>
    <t>95368</t>
  </si>
  <si>
    <t>CURSO DE CAPACITAÇÃO PARA OPERADOR JATO DE AREIA OU JATISTA (ENCARGOS COMPLEMENTARES) - HORISTA</t>
  </si>
  <si>
    <t>0,20</t>
  </si>
  <si>
    <t>95369</t>
  </si>
  <si>
    <t>CURSO DE CAPACITAÇÃO PARA OPERADOR PARA BATE ESTACAS (ENCARGOS COMPLEMENTARES) - HORISTA</t>
  </si>
  <si>
    <t>95370</t>
  </si>
  <si>
    <t>CURSO DE CAPACITAÇÃO PARA PASTILHEIRO (ENCARGOS COMPLEMENTARES) - HORISTA</t>
  </si>
  <si>
    <t>95371</t>
  </si>
  <si>
    <t>CURSO DE CAPACITAÇÃO PARA PEDREIRO (ENCARGOS COMPLEMENTARES) - HORISTA</t>
  </si>
  <si>
    <t>95372</t>
  </si>
  <si>
    <t>CURSO DE CAPACITAÇÃO PARA PINTOR (ENCARGOS COMPLEMENTARES) - HORISTA</t>
  </si>
  <si>
    <t>95373</t>
  </si>
  <si>
    <t>CURSO DE CAPACITAÇÃO PARA PINTOR DE LETREIROS (ENCARGOS COMPLEMENTARES) - HORISTA</t>
  </si>
  <si>
    <t>95374</t>
  </si>
  <si>
    <t>CURSO DE CAPACITAÇÃO PARA PINTOR PARA TINTA EPÓXI (ENCARGOS COMPLEMENTARES) - HORISTA</t>
  </si>
  <si>
    <t>95375</t>
  </si>
  <si>
    <t>CURSO DE CAPACITAÇÃO PARA POCEIRO (ENCARGOS COMPLEMENTARES) - HORISTA</t>
  </si>
  <si>
    <t>95376</t>
  </si>
  <si>
    <t>CURSO DE CAPACITAÇÃO PARA RASTELEIRO (ENCARGOS COMPLEMENTARES) - HORISTA</t>
  </si>
  <si>
    <t>95377</t>
  </si>
  <si>
    <t>CURSO DE CAPACITAÇÃO PARA SERRALHEIRO (ENCARGOS COMPLEMENTARES) - HORISTA</t>
  </si>
  <si>
    <t>95378</t>
  </si>
  <si>
    <t>CURSO DE CAPACITAÇÃO PARA SERVENTE (ENCARGOS COMPLEMENTARES) - HORISTA</t>
  </si>
  <si>
    <t>95379</t>
  </si>
  <si>
    <t>CURSO DE CAPACITAÇÃO PARA SOLDADOR (ENCARGOS COMPLEMENTARES) - HORISTA</t>
  </si>
  <si>
    <t>95380</t>
  </si>
  <si>
    <t>CURSO DE CAPACITAÇÃO PARA SOLDADOR A (PARA SOLDA A SER TESTADA COM RAIOS  X ) (ENCARGOS COMPLEMENTARES) - HORISTA</t>
  </si>
  <si>
    <t>95382</t>
  </si>
  <si>
    <t>CURSO DE CAPACITAÇÃO PARA TAQUEADOR OU TAQUEIRO (ENCARGOS COMPLEMENTARES) - HORISTA</t>
  </si>
  <si>
    <t>95383</t>
  </si>
  <si>
    <t>CURSO DE CAPACITAÇÃO PARA TÉCNICO DE LABORATÓRIO (ENCARGOS COMPLEMENTARES) - HORISTA</t>
  </si>
  <si>
    <t>95384</t>
  </si>
  <si>
    <t>CURSO DE CAPACITAÇÃO PARA TÉCNICO DE SONDAGEM (ENCARGOS COMPLEMENTARES) - HORISTA</t>
  </si>
  <si>
    <t>95385</t>
  </si>
  <si>
    <t>CURSO DE CAPACITAÇÃO PARA TELHADISTA (ENCARGOS COMPLEMENTARES) - HORISTA</t>
  </si>
  <si>
    <t>95386</t>
  </si>
  <si>
    <t>CURSO DE CAPACITAÇÃO PARA TRATORISTA (ENCARGOS COMPLEMENTARES) - HORISTA</t>
  </si>
  <si>
    <t>95387</t>
  </si>
  <si>
    <t>CURSO DE CAPACITAÇÃO PARA VIDRACEIRO (ENCARGOS COMPLEMENTARES) - HORISTA</t>
  </si>
  <si>
    <t>95388</t>
  </si>
  <si>
    <t>CURSO DE CAPACITAÇÃO PARA VIGIA NOTURNO (ENCARGOS COMPLEMENTARES) - HORISTA</t>
  </si>
  <si>
    <t>95389</t>
  </si>
  <si>
    <t>CURSO DE CAPACITAÇÃO PARA OPERADOR DE BETONEIRA ESTACIONÁRIA/MISTURADOR (ENCARGOS COMPLEMENTARES) - HORISTA</t>
  </si>
  <si>
    <t>95390</t>
  </si>
  <si>
    <t>CURSO DE CAPACITAÇÃO PARA JARDINEIRO (ENCARGOS COMPLEMENTARES) - HORISTA</t>
  </si>
  <si>
    <t>95391</t>
  </si>
  <si>
    <t>CURSO DE CAPACITAÇÃO PARA DESENHISTA DETALHISTA (ENCARGOS COMPLEMENTARES) - HORISTA</t>
  </si>
  <si>
    <t>95392</t>
  </si>
  <si>
    <t>CURSO DE CAPACITAÇÃO PARA ALMOXARIFE (ENCARGOS COMPLEMENTARES) - HORISTA</t>
  </si>
  <si>
    <t>95393</t>
  </si>
  <si>
    <t>CURSO DE CAPACITAÇÃO PARA APONTADOR OU APROPRIADOR (ENCARGOS COMPLEMENTARES) - HORISTA</t>
  </si>
  <si>
    <t>95394</t>
  </si>
  <si>
    <t>CURSO DE CAPACITAÇÃO PARA ARQUITETO DE OBRA JÚNIOR (ENCARGOS COMPLEMENTARES) - HORISTA</t>
  </si>
  <si>
    <t>95395</t>
  </si>
  <si>
    <t>CURSO DE CAPACITAÇÃO PARA ARQUITETO DE OBRA PLENO (ENCARGOS COMPLEMENTARES) - HORISTA</t>
  </si>
  <si>
    <t>95396</t>
  </si>
  <si>
    <t>CURSO DE CAPACITAÇÃO PARA ARQUITETO DE OBRA SÊNIOR (ENCARGOS COMPLEMENTARES) - HORISTA</t>
  </si>
  <si>
    <t>95397</t>
  </si>
  <si>
    <t>CURSO DE CAPACITAÇÃO PARA AUXILIAR DE DESENHISTA (ENCARGOS COMPLEMENTARES) - HORISTA</t>
  </si>
  <si>
    <t>95398</t>
  </si>
  <si>
    <t>CURSO DE CAPACITAÇÃO PARA AUXILIAR DE ESCRITÓRIO (ENCARGOS COMPLEMENTARES) - HORISTA</t>
  </si>
  <si>
    <t>95399</t>
  </si>
  <si>
    <t>CURSO DE CAPACITAÇÃO PARA DESENHISTA COPISTA (ENCARGOS COMPLEMENTARES) - HORISTA</t>
  </si>
  <si>
    <t>95400</t>
  </si>
  <si>
    <t>CURSO DE CAPACITAÇÃO PARA DESENHISTA PROJETISTA (ENCARGOS COMPLEMENTARES) - HORISTA</t>
  </si>
  <si>
    <t>95401</t>
  </si>
  <si>
    <t>CURSO DE CAPACITAÇÃO PARA ENCARREGADO GERAL (ENCARGOS COMPLEMENTARES) - HORISTA</t>
  </si>
  <si>
    <t>95402</t>
  </si>
  <si>
    <t>CURSO DE CAPACITAÇÃO PARA ENGENHEIRO CIVIL DE OBRA JÚNIOR (ENCARGOS COMPLEMENTARES) - HORISTA</t>
  </si>
  <si>
    <t>1,09</t>
  </si>
  <si>
    <t>95403</t>
  </si>
  <si>
    <t>CURSO DE CAPACITAÇÃO PARA ENGENHEIRO CIVIL DE OBRA PLENO (ENCARGOS COMPLEMENTARES) - HORISTA</t>
  </si>
  <si>
    <t>95404</t>
  </si>
  <si>
    <t>CURSO DE CAPACITAÇÃO PARA ENGENHEIRO CIVIL DE OBRA SÊNIOR (ENCARGOS COMPLEMENTARES) - HORISTA</t>
  </si>
  <si>
    <t>1,71</t>
  </si>
  <si>
    <t>95405</t>
  </si>
  <si>
    <t>CURSO DE CAPACITAÇÃO PARA MESTRE DE OBRAS (ENCARGOS COMPLEMENTARES) - HORISTA</t>
  </si>
  <si>
    <t>95406</t>
  </si>
  <si>
    <t>CURSO DE CAPACITAÇÃO PARA TOPÓGRAFO (ENCARGOS COMPLEMENTARES) - HORISTA</t>
  </si>
  <si>
    <t>95407</t>
  </si>
  <si>
    <t>CURSO DE CAPACITAÇÃO PARA ENGENHEIRO ELETRICISTA (ENCARGOS COMPLEMENTARES) - HORISTA</t>
  </si>
  <si>
    <t>2,68</t>
  </si>
  <si>
    <t>95408</t>
  </si>
  <si>
    <t>CURSO DE CAPACITAÇÃO  PARA MOTORISTA DE CAMINHÃO (ENCARGOS COMPLEMENTARES) - MENSALISTA</t>
  </si>
  <si>
    <t>95409</t>
  </si>
  <si>
    <t>CURSO DE CAPACITAÇÃO PARA DESENHISTA DETALHISTA (ENCARGOS COMPLEMENTARES) - MENSALISTA</t>
  </si>
  <si>
    <t>95410</t>
  </si>
  <si>
    <t>CURSO DE CAPACITAÇÃO PARA DESENHISTA COPISTA (ENCARGOS COMPLEMENTARES) - MENSALISTA</t>
  </si>
  <si>
    <t>15,32</t>
  </si>
  <si>
    <t>95411</t>
  </si>
  <si>
    <t>CURSO DE CAPACITAÇÃO PARA DESENHISTA PROJETISTA (ENCARGOS COMPLEMENTARES) - MENSALISTA</t>
  </si>
  <si>
    <t>20,42</t>
  </si>
  <si>
    <t>95412</t>
  </si>
  <si>
    <t>CURSO DE CAPACITAÇÃO PARA AUXILIAR DE DESENHISTA (ENCARGOS COMPLEMENTARES) - MENSALISTA</t>
  </si>
  <si>
    <t>95413</t>
  </si>
  <si>
    <t>CURSO DE CAPACITAÇÃO PARA ALMOXARIFE (ENCARGOS COMPLEMENTARES) - MENSALISTA</t>
  </si>
  <si>
    <t>95414</t>
  </si>
  <si>
    <t>CURSO DE CAPACITAÇÃO PARA APONTADOR OU APROPRIADOR (ENCARGOS COMPLEMENTARES) - MENSALISTA</t>
  </si>
  <si>
    <t>52,13</t>
  </si>
  <si>
    <t>95415</t>
  </si>
  <si>
    <t>CURSO DE CAPACITAÇÃO PARA ENGENHEIRO CIVIL DE OBRA JÚNIOR (ENCARGOS COMPLEMENTARES) - MENSALISTA</t>
  </si>
  <si>
    <t>146,65</t>
  </si>
  <si>
    <t>95416</t>
  </si>
  <si>
    <t>CURSO DE CAPACITAÇÃO PARA AUXILIAR DE ESCRITÓRIO (ENCARGOS COMPLEMENTARES) - MENSALISTA</t>
  </si>
  <si>
    <t>95417</t>
  </si>
  <si>
    <t>CURSO DE CAPACITAÇÃO PARA ENGENHEIRO CIVIL DE OBRA PLENO (ENCARGOS COMPLEMENTARES) - MENSALISTA</t>
  </si>
  <si>
    <t>166,92</t>
  </si>
  <si>
    <t>95418</t>
  </si>
  <si>
    <t>CURSO DE CAPACITAÇÃO PARA ENGENHEIRO CIVIL DE OBRA SÊNIOR (ENCARGOS COMPLEMENTARES) - MENSALISTA</t>
  </si>
  <si>
    <t>228,17</t>
  </si>
  <si>
    <t>95419</t>
  </si>
  <si>
    <t>CURSO DE CAPACITAÇÃO PARA ARQUITETO JÚNIOR (ENCARGOS COMPLEMENTARES) - MENSALISTA</t>
  </si>
  <si>
    <t>60,58</t>
  </si>
  <si>
    <t>95420</t>
  </si>
  <si>
    <t>CURSO DE CAPACITAÇÃO PARA ARQUITETO PLENO (ENCARGOS COMPLEMENTARES) - MENSALISTA</t>
  </si>
  <si>
    <t>86,05</t>
  </si>
  <si>
    <t>95421</t>
  </si>
  <si>
    <t>CURSO DE CAPACITAÇÃO PARA ARQUITETO SÊNIOR (ENCARGOS COMPLEMENTARES) - MENSALISTA</t>
  </si>
  <si>
    <t>113,76</t>
  </si>
  <si>
    <t>95422</t>
  </si>
  <si>
    <t>CURSO DE CAPACITAÇÃO PARA ENCARREGADO GERAL DE OBRAS (ENCARGOS COMPLEMENTARES) - MENSALISTA</t>
  </si>
  <si>
    <t>95423</t>
  </si>
  <si>
    <t>CURSO DE CAPACITAÇÃO PARA MESTRE DE OBRAS (ENCARGOS COMPLEMENTARES) - MENSALISTA</t>
  </si>
  <si>
    <t>118,89</t>
  </si>
  <si>
    <t>95424</t>
  </si>
  <si>
    <t>CURSO DE CAPACITAÇÃO PARA TOPÓGRAFO (ENCARGOS COMPLEMENTARES) - MENSALISTA</t>
  </si>
  <si>
    <t>26,04</t>
  </si>
  <si>
    <t>100288</t>
  </si>
  <si>
    <t>CURSO DE CAPACITAÇÃO PARA VIGIA DIURNO (ENCARGOS COMPLEMENTARES) - HORISTA</t>
  </si>
  <si>
    <t>100289</t>
  </si>
  <si>
    <t>VIGIA DIURNO COM ENCARGOS COMPLEMENTARES</t>
  </si>
  <si>
    <t>18,46</t>
  </si>
  <si>
    <t>100290</t>
  </si>
  <si>
    <t>CURSO DE CAPACITAÇÃO PARA AUXILIAR DE ALMOXARIFE (ENCARGOS COMPLEMENTARES) - HORISTA</t>
  </si>
  <si>
    <t>100291</t>
  </si>
  <si>
    <t>CURSO DE CAPACITAÇÃO PARA AJUDANTE DE PINTOR (ENCARGOS COMPLEMENTARES) - HORISTA</t>
  </si>
  <si>
    <t>100292</t>
  </si>
  <si>
    <t>CURSO DE CAPACITAÇÃO PARA COORDENADOR/GERENTE DE OBRA (ENCARGOS COMPLEMENTARES) - HORISTA</t>
  </si>
  <si>
    <t>100293</t>
  </si>
  <si>
    <t>CURSO DE CAPACITAÇÃO PARA AUXILIAR DE AZULEJISTA (ENCARGOS COMPLEMENTARES) - HORISTA</t>
  </si>
  <si>
    <t>100294</t>
  </si>
  <si>
    <t>CURSO DE CAPACITAÇÃO PARA ARQUITETO PAISAGISTA (ENCARGOS COMPLEMENTARES) - HORISTA</t>
  </si>
  <si>
    <t>100295</t>
  </si>
  <si>
    <t>CURSO DE CAPACITAÇÃO PARA MONTADOR DE ELETROELETRONICOS (ENCARGOS COMPLEMENTARES) - HORISTA</t>
  </si>
  <si>
    <t>100296</t>
  </si>
  <si>
    <t>CURSO DE CAPACITAÇÃO PARA ENGENHEIRO CIVIL JUNIOR (ENCARGOS COMPLEMENTARES) - HORISTA</t>
  </si>
  <si>
    <t>100297</t>
  </si>
  <si>
    <t>CURSO DE CAPACITAÇÃO PARA ENGENHEIRO CIVIL PLENO (ENCARGOS COMPLEMENTARES) - HORISTA</t>
  </si>
  <si>
    <t>100298</t>
  </si>
  <si>
    <t>CURSO DE CAPACITAÇÃO PARA MECÂNICO DE REFRIGERAÇÃO (ENCARGOS COMPLEMENTARES) - HORISTA</t>
  </si>
  <si>
    <t>100299</t>
  </si>
  <si>
    <t>CURSO DE CAPACITAÇÃO PARA TÉCNICO EM SEGURANÇA DO TRABALHO (ENCARGOS COMPLEMENTARES) - HORISTA</t>
  </si>
  <si>
    <t>100300</t>
  </si>
  <si>
    <t>AUXILIAR DE ALMOXARIFE COM ENCARGOS COMPLEMENTARES</t>
  </si>
  <si>
    <t>18,27</t>
  </si>
  <si>
    <t>AJUDANTE DE PINTOR COM ENCARGOS COMPLEMENTARES</t>
  </si>
  <si>
    <t>100302</t>
  </si>
  <si>
    <t>COORDENADOR/GERENTE DE OBRA COM ENCARGOS COMPLEMENTARES</t>
  </si>
  <si>
    <t>136,44</t>
  </si>
  <si>
    <t>100303</t>
  </si>
  <si>
    <t>AUXILIAR DE AZULEJISTA COM ENCARGOS COMPLEMENTARES</t>
  </si>
  <si>
    <t>20,02</t>
  </si>
  <si>
    <t>100304</t>
  </si>
  <si>
    <t>ARQUITETO PAISAGISTA COM ENCARGOS COMPLEMENTARES</t>
  </si>
  <si>
    <t>72,31</t>
  </si>
  <si>
    <t>100305</t>
  </si>
  <si>
    <t>ENGENHEIRO CIVIL JUNIOR COM ENCARGOS COMPLEMENTARES</t>
  </si>
  <si>
    <t>95,40</t>
  </si>
  <si>
    <t>100306</t>
  </si>
  <si>
    <t>ENGENHEIRO CIVIL PLENO COM ENCARGOS COMPLEMENTARES</t>
  </si>
  <si>
    <t>107,41</t>
  </si>
  <si>
    <t>100307</t>
  </si>
  <si>
    <t>MONTADOR DE ELETROELETRÔNICOS COM ENCARGOS COMPLEMENTARES</t>
  </si>
  <si>
    <t>24,80</t>
  </si>
  <si>
    <t>100308</t>
  </si>
  <si>
    <t>MECÂNICO DE REFRIGERAÇÃO COM ENCARGOS COMPLEMENTARES</t>
  </si>
  <si>
    <t>100309</t>
  </si>
  <si>
    <t>TÉCNICO EM SEGURANÇA DO TRABALHO COM ENCARGOS COMPLEMENTARES</t>
  </si>
  <si>
    <t>36,50</t>
  </si>
  <si>
    <t>100310</t>
  </si>
  <si>
    <t>CURSO DE CAPACITAÇÃO PARA AUXILIAR DE ALMOXARIFE (ENCARGOS COMPLEMENTARES) - MENSALISTA</t>
  </si>
  <si>
    <t>100311</t>
  </si>
  <si>
    <t>CURSO DE CAPACITAÇÃO PARA COORDENADOR/GERENTE DE OBRA (ENCARGOS COMPLEMENTARES) - MENSALISTA</t>
  </si>
  <si>
    <t>73,23</t>
  </si>
  <si>
    <t>100312</t>
  </si>
  <si>
    <t>CURSO DE CAPACITAÇÃO PARA ARQUITETO PAISAGISTA (ENCARGOS COMPLEMENTARES) - MENSALISTA</t>
  </si>
  <si>
    <t>100,40</t>
  </si>
  <si>
    <t>100313</t>
  </si>
  <si>
    <t>CURSO DE CAPACITAÇÃO PARA ENGENHEIRO CIVIL JUNIOR (ENCARGOS COMPLEMENTARES) - MENSALISTA</t>
  </si>
  <si>
    <t>116,09</t>
  </si>
  <si>
    <t>100314</t>
  </si>
  <si>
    <t>CURSO DE CAPACITAÇÃO PARA ENGENHEIRO CIVIL PLENO (ENCARGOS COMPLEMENTARES) - MENSALISTA</t>
  </si>
  <si>
    <t>130,97</t>
  </si>
  <si>
    <t>100315</t>
  </si>
  <si>
    <t>CURSO DE CAPACITAÇÃO PARA TÉCNICO EM SEGURANÇA DO TRABALHO (ENCARGOS COMPLEMENTARES) - MENSALISTA</t>
  </si>
  <si>
    <t>100316</t>
  </si>
  <si>
    <t>3.235,83</t>
  </si>
  <si>
    <t>100317</t>
  </si>
  <si>
    <t>COORDENADOR / GERENTE DE OBRA COM ENCARGOS COMPLEMENTARES</t>
  </si>
  <si>
    <t>23.986,91</t>
  </si>
  <si>
    <t>100318</t>
  </si>
  <si>
    <t>12.786,08</t>
  </si>
  <si>
    <t>100319</t>
  </si>
  <si>
    <t>16.756,43</t>
  </si>
  <si>
    <t>100320</t>
  </si>
  <si>
    <t>18.867,44</t>
  </si>
  <si>
    <t>100321</t>
  </si>
  <si>
    <t>6.421,95</t>
  </si>
  <si>
    <t>100533</t>
  </si>
  <si>
    <t>TECNICO DE EDIFICACOES COM ENCARGOS COMPLEMENTARES</t>
  </si>
  <si>
    <t>29,65</t>
  </si>
  <si>
    <t>100534</t>
  </si>
  <si>
    <t>5.230,17</t>
  </si>
  <si>
    <t>100535</t>
  </si>
  <si>
    <t>CURSO DE CAPACITAÇÃO PARA TECNICO DE EDIFICACOES (ENCARGOS COMPLEMENTARES) - HORISTA</t>
  </si>
  <si>
    <t>100536</t>
  </si>
  <si>
    <t>CURSO DE CAPACITAÇÃO PARA TECNICO DE EDIFICACOES (ENCARGOS COMPLEMENTARES) - MENSALISTA</t>
  </si>
  <si>
    <t>54,08</t>
  </si>
  <si>
    <t>101284</t>
  </si>
  <si>
    <t>CURSO DE CAPACITAÇÃO PARA ENGENHEIRO CIVIL SENIOR (ENCARGOS COMPLEMENTARES) - HORISTA</t>
  </si>
  <si>
    <t>1,35</t>
  </si>
  <si>
    <t>101285</t>
  </si>
  <si>
    <t>CURSO DE CAPACITAÇÃO PARA ENGENHEIRO SANITARISTA (ENCARGOS COMPLEMENTARES) - HORISTA</t>
  </si>
  <si>
    <t>101286</t>
  </si>
  <si>
    <t>CURSO DE CAPACITAÇÃO PARA AJUDANTE DE ARMADOR (ENCARGOS COMPLEMENTARES) - MENSALISTA</t>
  </si>
  <si>
    <t>16,26</t>
  </si>
  <si>
    <t>101287</t>
  </si>
  <si>
    <t>CURSO DE CAPACITAÇÃO PARA AJUDANTE DE ELETRICISTA (ENCARGOS COMPLEMENTARES) - MENSALISTA</t>
  </si>
  <si>
    <t>56,74</t>
  </si>
  <si>
    <t>101288</t>
  </si>
  <si>
    <t>CURSO DE CAPACITAÇÃO PARA AJUDANTE DE ESTRUTURAS METÁLICAS(ENCARGOS COMPLEMENTARES) - MENSALISTA</t>
  </si>
  <si>
    <t>101289</t>
  </si>
  <si>
    <t>CURSO DE CAPACITAÇÃO PARA AJUDANTE DE OPERAÇÃO EM GERAL (ENCARGOS COMPLEMENTARES) - MENSALISTA</t>
  </si>
  <si>
    <t>101290</t>
  </si>
  <si>
    <t>CURSO DE CAPACITAÇÃO PARA AJUDANTE DE PINTOR (ENCARGOS COMPLEMENTARES) - MENSALISTA</t>
  </si>
  <si>
    <t>101291</t>
  </si>
  <si>
    <t>CURSO DE CAPACITAÇÃO PARA AJUDANTE DE SERRALHEIRO (ENCARGOS COMPLEMENTARES) - MENSALISTA</t>
  </si>
  <si>
    <t>17,44</t>
  </si>
  <si>
    <t>101292</t>
  </si>
  <si>
    <t>CURSO DE CAPACITAÇÃO PARA AJUDANTE ESPECIALIZADO (ENCARGOS COMPLEMENTARES) - MENSALISTA</t>
  </si>
  <si>
    <t>19,07</t>
  </si>
  <si>
    <t>101293</t>
  </si>
  <si>
    <t>CURSO DE CAPACITAÇÃO PARA ARMADOR (ENCARGOS COMPLEMENTARES) - MENSALISTA</t>
  </si>
  <si>
    <t>23,31</t>
  </si>
  <si>
    <t>101294</t>
  </si>
  <si>
    <t>CURSO DE CAPACITAÇÃO PARA ASSENTADOR DE MANILHA (ENCARGOS COMPLEMENTARES) - MENSALISTA</t>
  </si>
  <si>
    <t>36,33</t>
  </si>
  <si>
    <t>101295</t>
  </si>
  <si>
    <t>CURSO DE CAPACITAÇÃO PARA AUXILIAR DE AZULEJISTA (ENCARGOS COMPLEMENTARES) - MENSALISTA</t>
  </si>
  <si>
    <t>21,78</t>
  </si>
  <si>
    <t>101296</t>
  </si>
  <si>
    <t>CURSO DE CAPACITAÇÃO PARA AUXILIAR DE ENCANADOR OU BOMBEIRO HIDRÁULICO (ENCARGOS COMPLEMENTARES) - MENSALISTA</t>
  </si>
  <si>
    <t>22,17</t>
  </si>
  <si>
    <t>101297</t>
  </si>
  <si>
    <t>CURSO DE CAPACITAÇÃO PARA AUXILIAR DE LABORATORISTA (ENCARGOS COMPLEMENTARES) - MENSALISTA</t>
  </si>
  <si>
    <t>19,92</t>
  </si>
  <si>
    <t>101298</t>
  </si>
  <si>
    <t>CURSO DE CAPACITAÇÃO PARA AUXILIAR DE MECANICO (ENCARGOS COMPLEMENTARES) - MENSALISTA</t>
  </si>
  <si>
    <t>19,46</t>
  </si>
  <si>
    <t>101299</t>
  </si>
  <si>
    <t>CURSO DE CAPACITAÇÃO PARA AUXILIAR DE PEDREIRO (ENCARGOS COMPLEMENTARES) - MENSALISTA</t>
  </si>
  <si>
    <t>18,62</t>
  </si>
  <si>
    <t>101300</t>
  </si>
  <si>
    <t>CURSO DE CAPACITAÇÃO PARA AUXILIAR DE SERVIÇOS GERAIS (ENCARGOS COMPLEMENTARES) - MENSALISTA</t>
  </si>
  <si>
    <t>101301</t>
  </si>
  <si>
    <t>CURSO DE CAPACITAÇÃO PARA AUXILIAR DE TOPÓGRAFO (ENCARGOS COMPLEMENTARES) - MENSALISTA</t>
  </si>
  <si>
    <t>101302</t>
  </si>
  <si>
    <t>CURSO DE CAPACITAÇÃO PARA AUXILIAR TÉCNICO DE ENGENHARIA (ENCARGOS COMPLEMENTARES) - MENSALISTA</t>
  </si>
  <si>
    <t>31,23</t>
  </si>
  <si>
    <t>101303</t>
  </si>
  <si>
    <t>CURSO DE CAPACITAÇÃO PARA MONTADOR DE ELETROELETRONICOS(ENCARGOS COMPLEMENTARES) - MENSALISTA</t>
  </si>
  <si>
    <t>60,72</t>
  </si>
  <si>
    <t>101304</t>
  </si>
  <si>
    <t>CURSO DE CAPACITAÇÃO PARA AZULEJISTA OU LADRILHISTA (ENCARGOS COMPLEMENTARES) - MENSALISTA</t>
  </si>
  <si>
    <t>31,40</t>
  </si>
  <si>
    <t>101305</t>
  </si>
  <si>
    <t>CURSO DE CAPACITAÇÃO PARA BLASTER, DINAMITADOR OU CABO DE FORÇA (ENCARGOS COMPLEMENTARES) - MENSALISTA</t>
  </si>
  <si>
    <t>40,34</t>
  </si>
  <si>
    <t>101307</t>
  </si>
  <si>
    <t>CURSO DE CAPACITAÇÃO PARA CALCETEIRO (ENCARGOS COMPLEMENTARES) - MENSALISTA</t>
  </si>
  <si>
    <t>20,33</t>
  </si>
  <si>
    <t>101308</t>
  </si>
  <si>
    <t>CURSO DE CAPACITAÇÃO PARA MONTADOR DE ESTRUTURAS METALICAS (ENCARGOS COMPLEMENTARES) - MENSALISTA</t>
  </si>
  <si>
    <t>25,84</t>
  </si>
  <si>
    <t>101309</t>
  </si>
  <si>
    <t>CURSO DE CAPACITAÇÃO PARA CARPINTEIRO AUXILIAR (ENCARGOS COMPLEMENTARES) - MENSALISTA</t>
  </si>
  <si>
    <t>23,78</t>
  </si>
  <si>
    <t>101310</t>
  </si>
  <si>
    <t>CURSO DE CAPACITAÇÃO PARA CARPINTEIRO DE ESQUADRIAS (ENCARGOS COMPLEMENTARES) - MENSALISTA</t>
  </si>
  <si>
    <t>25,34</t>
  </si>
  <si>
    <t>101311</t>
  </si>
  <si>
    <t>CURSO DE CAPACITAÇÃO PARA CARPINTEIRO DE FORMAS (ENCARGOS COMPLEMENTARES) - MENSALISTA</t>
  </si>
  <si>
    <t>101312</t>
  </si>
  <si>
    <t>CURSO DE CAPACITAÇÃO PARA CAVOUQUEIRO OU OPERADOR DE PERFURATRIZ (ENCARGOS COMPLEMENTARES) - MENSALISTA</t>
  </si>
  <si>
    <t>18,29</t>
  </si>
  <si>
    <t>101313</t>
  </si>
  <si>
    <t>CURSO DE CAPACITAÇÃO PARA ELETRICISTA (ENCARGOS COMPLEMENTARES) - MENSALISTA</t>
  </si>
  <si>
    <t>80,67</t>
  </si>
  <si>
    <t>101314</t>
  </si>
  <si>
    <t>CURSO DE CAPACITAÇÃO PARA ELETRICISTA DE MANUTENÇÃO INDUSTRIAL (ENCARGOS COMPLEMENTARES) - MENSALISTA</t>
  </si>
  <si>
    <t>88,88</t>
  </si>
  <si>
    <t>101315</t>
  </si>
  <si>
    <t>CURSO DE CAPACITAÇÃO PARA ELETROTÉCNICO (ENCARGOS COMPLEMENTARES) - MENSALISTA</t>
  </si>
  <si>
    <t>101316</t>
  </si>
  <si>
    <t>CURSO DE CAPACITAÇÃO PARA ENCANADOR OU BOMBEIRO HIDRÁULICO (ENCARGOS COMPLEMENTARES) - MENSALISTA</t>
  </si>
  <si>
    <t>31,27</t>
  </si>
  <si>
    <t>101317</t>
  </si>
  <si>
    <t>CURSO DE CAPACITAÇÃO PARA ENGENHEIRO CIVIL SENIOR (ENCARGOS COMPLEMENTARES) - MENSALISTA</t>
  </si>
  <si>
    <t>179,48</t>
  </si>
  <si>
    <t>101318</t>
  </si>
  <si>
    <t>CURSO DE CAPACITAÇÃO PARA ENGENHEIRO ELETRICISTA (ENCARGOS COMPLEMENTARES) - MENSALISTA</t>
  </si>
  <si>
    <t>359,66</t>
  </si>
  <si>
    <t>101319</t>
  </si>
  <si>
    <t>CURSO DE CAPACITAÇÃO PARA ENGENHEIRO SANITARISTA (ENCARGOS COMPLEMENTARES) - MENSALISTA</t>
  </si>
  <si>
    <t>51,36</t>
  </si>
  <si>
    <t>101320</t>
  </si>
  <si>
    <t>CURSO DE CAPACITAÇÃO PARA MONTADOR DE MAQUINAS (ENCARGOS COMPLEMENTARES) - MENSALISTA</t>
  </si>
  <si>
    <t>26,00</t>
  </si>
  <si>
    <t>101322</t>
  </si>
  <si>
    <t>CURSO DE CAPACITAÇÃO PARA GESSEIRO (ENCARGOS COMPLEMENTARES) - MENSALISTA</t>
  </si>
  <si>
    <t>101323</t>
  </si>
  <si>
    <t>CURSO DE CAPACITAÇÃO PARA IMPERMEABILIZADOR (ENCARGOS COMPLEMENTARES) - MENSALISTA</t>
  </si>
  <si>
    <t>39,91</t>
  </si>
  <si>
    <t>101324</t>
  </si>
  <si>
    <t>CURSO DE CAPACITAÇÃO PARA MOTORISTA DE CAMINHAO-BASCULANTE (ENCARGOS COMPLEMENTARES) - MENSALISTA</t>
  </si>
  <si>
    <t>10,16</t>
  </si>
  <si>
    <t>101325</t>
  </si>
  <si>
    <t>CURSO DE CAPACITAÇÃO PARA INSTALADOR DE TUBULAÇÕES (ENCARGOS COMPLEMENTARES) - MENSALISTA</t>
  </si>
  <si>
    <t>32,06</t>
  </si>
  <si>
    <t>101326</t>
  </si>
  <si>
    <t>CURSO DE CAPACITAÇÃO PARA JARDINEIRO (ENCARGOS COMPLEMENTARES) - MENSALISTA</t>
  </si>
  <si>
    <t>101327</t>
  </si>
  <si>
    <t>CURSO DE CAPACITAÇÃO PARA LEITURISTA OU CADASTRISTA DE REDES DE ÁGUA (ENCARGOS COMPLEMENTARES) - MENSALISTA</t>
  </si>
  <si>
    <t>8,23</t>
  </si>
  <si>
    <t>101328</t>
  </si>
  <si>
    <t>CURSO DE CAPACITAÇÃO PARA MOTORISTA DE CAMINHAO-CARRETA (ENCARGOS COMPLEMENTARES) - MENSALISTA</t>
  </si>
  <si>
    <t>101329</t>
  </si>
  <si>
    <t>CURSO DE CAPACITAÇÃO PARA MAÇARIQUEIRO (ENCARGOS COMPLEMENTARES) - MENSALISTA</t>
  </si>
  <si>
    <t>39,18</t>
  </si>
  <si>
    <t>101330</t>
  </si>
  <si>
    <t>CURSO DE CAPACITAÇÃO PARA MARCENEIRO (ENCARGOS COMPLEMENTARES) - MENSALISTA</t>
  </si>
  <si>
    <t>101331</t>
  </si>
  <si>
    <t>CURSO DE CAPACITAÇÃO PARA MARMORISTA / GRANITEIRO (ENCARGOS COMPLEMENTARES) - MENSALISTA</t>
  </si>
  <si>
    <t>101332</t>
  </si>
  <si>
    <t>CURSO DE CAPACITAÇÃO PARA MOTORISTA DE CARRO DE PASSEIO (ENCARGOS COMPLEMENTARES) - MENSALISTA</t>
  </si>
  <si>
    <t>101333</t>
  </si>
  <si>
    <t>CURSO DE CAPACITAÇÃO PARA MECÂNICO DE EQUIPAMENTOS PESADOS (ENCARGOS COMPLEMENTARES) - MENSALISTA</t>
  </si>
  <si>
    <t>24,43</t>
  </si>
  <si>
    <t>101334</t>
  </si>
  <si>
    <t>CURSO DE CAPACITAÇÃO PARA MECÂNICO DE REFRIGERAÇÃO (ENCARGOS COMPLEMENTARES) - MENSALISTA</t>
  </si>
  <si>
    <t>53,15</t>
  </si>
  <si>
    <t>101335</t>
  </si>
  <si>
    <t>CURSO DE CAPACITAÇÃO PARA MOTORISTA DE ONIBUS / MICRO-ONIBUS (ENCARGOS COMPLEMENTARES) - MENSALISTA</t>
  </si>
  <si>
    <t>12,38</t>
  </si>
  <si>
    <t>101336</t>
  </si>
  <si>
    <t>CURSO DE CAPACITAÇÃO PARA MOTORISTA OPERADOR DE CAMINHAO COM MUNCK (ENCARGOS COMPLEMENTARES) - MENSALISTA</t>
  </si>
  <si>
    <t>40,75</t>
  </si>
  <si>
    <t>101337</t>
  </si>
  <si>
    <t>CURSO DE CAPACITAÇÃO PARA NIVELADOR (ENCARGOS COMPLEMENTARES) - MENSALISTA</t>
  </si>
  <si>
    <t>101338</t>
  </si>
  <si>
    <t>CURSO DE CAPACITAÇÃO PARA OPERADOR DE BATE-ESTACAS (ENCARGOS COMPLEMENTARES) - MENSALISTA</t>
  </si>
  <si>
    <t>21,70</t>
  </si>
  <si>
    <t>101339</t>
  </si>
  <si>
    <t>CURSO DE CAPACITAÇÃO PARA OPERADOR DE BETONEIRA (ENCARGOS COMPLEMENTARES) - MENSALISTA</t>
  </si>
  <si>
    <t>101340</t>
  </si>
  <si>
    <t>CURSO DE CAPACITAÇÃO PARA OPERADOR DE BETONEIRA ESTACIONARIA / MISTURADOR (ENCARGOS COMPLEMENTARES) - MENSALISTA</t>
  </si>
  <si>
    <t>15,43</t>
  </si>
  <si>
    <t>101341</t>
  </si>
  <si>
    <t>CURSO DE CAPACITAÇÃO PARA OPERADOR DE COMPRESSOR DE AR OU COMPRESSORISTA (ENCARGOS COMPLEMENTARES) - MENSALISTA</t>
  </si>
  <si>
    <t>101342</t>
  </si>
  <si>
    <t>CURSO DE CAPACITAÇÃO PARA OPERADOR DE DEMARCADORA DE FAIXAS DE TRAFEGO (ENCARGOS COMPLEMENTARES) - MENSALISTA</t>
  </si>
  <si>
    <t>19,68</t>
  </si>
  <si>
    <t>101343</t>
  </si>
  <si>
    <t>CURSO DE CAPACITAÇÃO PARA OPERADOR DE ESCAVADEIRA (ENCARGOS COMPLEMENTARES) - MENSALISTA</t>
  </si>
  <si>
    <t>101344</t>
  </si>
  <si>
    <t>CURSO DE CAPACITAÇÃO PARA OPERADOR DE GUINCHO OU GUINCHEIRO (ENCARGOS COMPLEMENTARES) - MENSALISTA</t>
  </si>
  <si>
    <t>33,86</t>
  </si>
  <si>
    <t>101345</t>
  </si>
  <si>
    <t>CURSO DE CAPACITAÇÃO PARA OPERADOR DE GUINDASTE (ENCARGOS COMPLEMENTARES) - MENSALISTA</t>
  </si>
  <si>
    <t>63,18</t>
  </si>
  <si>
    <t>101346</t>
  </si>
  <si>
    <t>CURSO DE CAPACITAÇÃO PARA OPERADOR DE JATO ABRASIVO OU JATISTA (ENCARGOS COMPLEMENTARES) - MENSALISTA</t>
  </si>
  <si>
    <t>101347</t>
  </si>
  <si>
    <t>CURSO DE CAPACITAÇÃO PARA OPERADOR DE MAQUINAS E TRATORES DIVERSOS (ENCARGOS COMPLEMENTARES) - MENSALISTA</t>
  </si>
  <si>
    <t>101348</t>
  </si>
  <si>
    <t>CURSO DE CAPACITAÇÃO PARA OPERADOR DE MARTELETE OU MARTELETEIRO (ENCARGOS COMPLEMENTARES) - MENSALISTA</t>
  </si>
  <si>
    <t>10,06</t>
  </si>
  <si>
    <t>101349</t>
  </si>
  <si>
    <t>CURSO DE CAPACITAÇÃO PARA OPERADOR DE MOTO SCRAPER (ENCARGOS COMPLEMENTARES) - MENSALISTA</t>
  </si>
  <si>
    <t>20,01</t>
  </si>
  <si>
    <t>101350</t>
  </si>
  <si>
    <t>CURSO DE CAPACITAÇÃO PARA OPERADOR DE MOTONIVELADORA (ENCARGOS COMPLEMENTARES) - MENSALISTA</t>
  </si>
  <si>
    <t>24,55</t>
  </si>
  <si>
    <t>101351</t>
  </si>
  <si>
    <t>CURSO DE CAPACITAÇÃO PARA OPERADOR DE PA CARREGADEIRA (ENCARGOS COMPLEMENTARES) - MENSALISTA</t>
  </si>
  <si>
    <t>101352</t>
  </si>
  <si>
    <t>CURSO DE CAPACITAÇÃO PARA OPERADOR DE PAVIMENTADORA / MESA VIBROACABADORA (ENCARGOS COMPLEMENTARES) - MENSALISTA</t>
  </si>
  <si>
    <t>20,66</t>
  </si>
  <si>
    <t>101353</t>
  </si>
  <si>
    <t>CURSO DE CAPACITAÇÃO PARA OPERADOR DE ROLO COMPACTADOR (ENCARGOS COMPLEMENTARES) - MENSALISTA</t>
  </si>
  <si>
    <t>101354</t>
  </si>
  <si>
    <t>CURSO DE CAPACITAÇÃO PARA OPERADOR DE TRATOR - EXCLUSIVE AGROPECUARIA (ENCARGOS COMPLEMENTARES) - MENSALISTA</t>
  </si>
  <si>
    <t>101355</t>
  </si>
  <si>
    <t>CURSO DE CAPACITAÇÃO PARA OPERADOR DE USINA DE ASFALTO, DE SOLOS OU DE CONCRETO (ENCARGOS COMPLEMENTARES) - MENSALISTA</t>
  </si>
  <si>
    <t>101356</t>
  </si>
  <si>
    <t>CURSO DE CAPACITAÇÃO PARA PASTILHEIRO (ENCARGOS COMPLEMENTARES) - MENSALISTA</t>
  </si>
  <si>
    <t>101357</t>
  </si>
  <si>
    <t>CURSO DE CAPACITAÇÃO PARA PEDREIRO (ENCARGOS COMPLEMENTARES) - MENSALISTA</t>
  </si>
  <si>
    <t>43,01</t>
  </si>
  <si>
    <t>101358</t>
  </si>
  <si>
    <t>CURSO DE CAPACITAÇÃO PARA PINTOR (ENCARGOS COMPLEMENTARES) - MENSALISTA</t>
  </si>
  <si>
    <t>30,05</t>
  </si>
  <si>
    <t>101359</t>
  </si>
  <si>
    <t>CURSO DE CAPACITAÇÃO PARA PINTOR DE LETREIROS (ENCARGOS COMPLEMENTARES) - MENSALISTA</t>
  </si>
  <si>
    <t>39,60</t>
  </si>
  <si>
    <t>101360</t>
  </si>
  <si>
    <t>CURSO DE CAPACITAÇÃO PARA PINTOR PARA TINTA EPOXI (ENCARGOS COMPLEMENTARES) - MENSALISTA</t>
  </si>
  <si>
    <t>32,32</t>
  </si>
  <si>
    <t>101361</t>
  </si>
  <si>
    <t>CURSO DE CAPACITAÇÃO PARA POCEIRO / ESCAVADOR DE VALAS E TUBULOES (ENCARGOS COMPLEMENTARES) - MENSALISTA</t>
  </si>
  <si>
    <t>41,16</t>
  </si>
  <si>
    <t>101362</t>
  </si>
  <si>
    <t>CURSO DE CAPACITAÇÃO PARA RASTELEIRO (ENCARGOS COMPLEMENTARES) - MENSALISTA</t>
  </si>
  <si>
    <t>8,49</t>
  </si>
  <si>
    <t>101363</t>
  </si>
  <si>
    <t>CURSO DE CAPACITAÇÃO PARA SERRALHEIRO (ENCARGOS COMPLEMENTARES) - MENSALISTA</t>
  </si>
  <si>
    <t>101364</t>
  </si>
  <si>
    <t>CURSO DE CAPACITAÇÃO PARA SERVENTE DE OBRAS (ENCARGOS COMPLEMENTARES) - MENSALISTA</t>
  </si>
  <si>
    <t>27,12</t>
  </si>
  <si>
    <t>101365</t>
  </si>
  <si>
    <t>CURSO DE CAPACITAÇÃO PARA SOLDADOR (ENCARGOS COMPLEMENTARES) - MENSALISTA</t>
  </si>
  <si>
    <t>101366</t>
  </si>
  <si>
    <t>CURSO DE CAPACITAÇÃO PARA SOLDADOR ELETRICO (ENCARGOS COMPLEMENTARES) - MENSALISTA</t>
  </si>
  <si>
    <t>101367</t>
  </si>
  <si>
    <t>CURSO DE CAPACITAÇÃO PARA TAQUEADOR OU TAQUEIRO (ENCARGOS COMPLEMENTARES) - MENSALISTA</t>
  </si>
  <si>
    <t>28,90</t>
  </si>
  <si>
    <t>101368</t>
  </si>
  <si>
    <t>CURSO DE CAPACITAÇÃO PARA TECNICO EM LABORATORIO E CAMPO DE CONSTRUCAO CIVIL (ENCARGOS COMPLEMENTARES) - MENSALISTA</t>
  </si>
  <si>
    <t>34,90</t>
  </si>
  <si>
    <t>101369</t>
  </si>
  <si>
    <t>CURSO DE CAPACITAÇÃO PARA TECNICO EM SONDAGEM (ENCARGOS COMPLEMENTARES) - MENSALISTA</t>
  </si>
  <si>
    <t>32,66</t>
  </si>
  <si>
    <t>101370</t>
  </si>
  <si>
    <t>CURSO DE CAPACITAÇÃO PARA TELHADOR (ENCARGOS COMPLEMENTARES) - MENSALISTA</t>
  </si>
  <si>
    <t>20,78</t>
  </si>
  <si>
    <t>101371</t>
  </si>
  <si>
    <t>CURSO DE CAPACITAÇÃO PARA VIDRACEIRO (ENCARGOS COMPLEMENTARES) - MENSALISTA</t>
  </si>
  <si>
    <t>28,51</t>
  </si>
  <si>
    <t>101372</t>
  </si>
  <si>
    <t>CURSO DE CAPACITAÇÃO PARA VIGIA DIURNO (ENCARGOS COMPLEMENTARES) - MENSALISTA</t>
  </si>
  <si>
    <t>101373</t>
  </si>
  <si>
    <t>ENGENHEIRO CIVIL SENIOR COM ENCARGOS COMPLEMENTARES</t>
  </si>
  <si>
    <t>146,64</t>
  </si>
  <si>
    <t>101374</t>
  </si>
  <si>
    <t>3.487,46</t>
  </si>
  <si>
    <t>101375</t>
  </si>
  <si>
    <t>AJUDANTE DE ELETRICISTA COM ENCARGOS COMPLEMENTARES</t>
  </si>
  <si>
    <t>3.698,43</t>
  </si>
  <si>
    <t>101376</t>
  </si>
  <si>
    <t>AJUDANTE DE ESTRUTURAS METÁLICAS COM ENCARGOS COMPLEMENTARES</t>
  </si>
  <si>
    <t>3.669,25</t>
  </si>
  <si>
    <t>101377</t>
  </si>
  <si>
    <t>3.567,66</t>
  </si>
  <si>
    <t>101378</t>
  </si>
  <si>
    <t>3.804,07</t>
  </si>
  <si>
    <t>101379</t>
  </si>
  <si>
    <t>AJUDANTE DE SERRALHEIRO COM ENCARGOS COMPLEMENTARES</t>
  </si>
  <si>
    <t>3.654,95</t>
  </si>
  <si>
    <t>101380</t>
  </si>
  <si>
    <t>3.865,22</t>
  </si>
  <si>
    <t>101381</t>
  </si>
  <si>
    <t>4.487,63</t>
  </si>
  <si>
    <t>101382</t>
  </si>
  <si>
    <t>ASSENTADOR DE MANILHAS COM ENCARGOS COMPLEMENTARES</t>
  </si>
  <si>
    <t>5.009,41</t>
  </si>
  <si>
    <t>101383</t>
  </si>
  <si>
    <t>3.596,05</t>
  </si>
  <si>
    <t>101384</t>
  </si>
  <si>
    <t>3.094,15</t>
  </si>
  <si>
    <t>101385</t>
  </si>
  <si>
    <t>AUXILIAR DE LABORATORISTA DE SOLOS E DE CONCRETO COM ENCARGOS COMPLEMENTARES</t>
  </si>
  <si>
    <t>4.230,30</t>
  </si>
  <si>
    <t>101386</t>
  </si>
  <si>
    <t>3.740,35</t>
  </si>
  <si>
    <t>101387</t>
  </si>
  <si>
    <t>AUXILIAR DE PEDREIRO COM ENCARGOS COMPLEMENTARES</t>
  </si>
  <si>
    <t>3.246,36</t>
  </si>
  <si>
    <t>101388</t>
  </si>
  <si>
    <t>3.403,83</t>
  </si>
  <si>
    <t>101389</t>
  </si>
  <si>
    <t>2.391,55</t>
  </si>
  <si>
    <t>101390</t>
  </si>
  <si>
    <t>AUXILIAR TÉCNICO / ASSISTENTE DE ENGENHARIA COM ENCARGOS COMPLEMENTARES</t>
  </si>
  <si>
    <t>6.444,58</t>
  </si>
  <si>
    <t>101391</t>
  </si>
  <si>
    <t>AZULEJISTA OU LADRILHEIRO COM ENCARGOS COMPLEMENTARES</t>
  </si>
  <si>
    <t>4.663,49</t>
  </si>
  <si>
    <t>101392</t>
  </si>
  <si>
    <t>BLASTER, DINAMITADOR OU CABO DE FORÇA COM ENCARGOS COMPLEMENTARES</t>
  </si>
  <si>
    <t>4.654,64</t>
  </si>
  <si>
    <t>101394</t>
  </si>
  <si>
    <t>4.065,35</t>
  </si>
  <si>
    <t>101395</t>
  </si>
  <si>
    <t>CARPINTEIRO AUXILIAR COM ENCARGOS COMPLEMENTARES</t>
  </si>
  <si>
    <t>3.796,58</t>
  </si>
  <si>
    <t>101396</t>
  </si>
  <si>
    <t>CARPINTEIRO DE ESQUADRIAS COM ENCARGOS COMPLEMENTARES</t>
  </si>
  <si>
    <t>3.969,74</t>
  </si>
  <si>
    <t>101397</t>
  </si>
  <si>
    <t>4.500,24</t>
  </si>
  <si>
    <t>101398</t>
  </si>
  <si>
    <t>CAVOUQUEIRO OU OPERADOR DE PERFURATRIZ COM ENCARGOS COMPLEMENTARES</t>
  </si>
  <si>
    <t>3.574,09</t>
  </si>
  <si>
    <t>101399</t>
  </si>
  <si>
    <t>4.758,03</t>
  </si>
  <si>
    <t>101400</t>
  </si>
  <si>
    <t>ELETRICISTA DE MANUTENÇÃO INDUSTRIAL COM ENCARGOS COMPLEMENTARES</t>
  </si>
  <si>
    <t>5.121,80</t>
  </si>
  <si>
    <t>101401</t>
  </si>
  <si>
    <t>5.455,40</t>
  </si>
  <si>
    <t>101402</t>
  </si>
  <si>
    <t>3.923,15</t>
  </si>
  <si>
    <t>101403</t>
  </si>
  <si>
    <t>25.748,76</t>
  </si>
  <si>
    <t>101404</t>
  </si>
  <si>
    <t>17.776,09</t>
  </si>
  <si>
    <t>101405</t>
  </si>
  <si>
    <t>16.911,50</t>
  </si>
  <si>
    <t>101407</t>
  </si>
  <si>
    <t>3.623,58</t>
  </si>
  <si>
    <t>101408</t>
  </si>
  <si>
    <t>4.267,35</t>
  </si>
  <si>
    <t>101409</t>
  </si>
  <si>
    <t>INSTALADOR DE TUBULAÇÕES COM ENCARGOS COMPLEMENTARES</t>
  </si>
  <si>
    <t>4.535,72</t>
  </si>
  <si>
    <t>101410</t>
  </si>
  <si>
    <t>4.368,75</t>
  </si>
  <si>
    <t>101411</t>
  </si>
  <si>
    <t>LEITURISTA OU CADASTRISTA DE REDES DE ÁGUA COM ENCARGOS COMPLEMENTARES</t>
  </si>
  <si>
    <t>2.967,32</t>
  </si>
  <si>
    <t>101412</t>
  </si>
  <si>
    <t>MAÇARIQUEIRO COM ENCARGOS COMPLEMENTARES</t>
  </si>
  <si>
    <t>4.904,88</t>
  </si>
  <si>
    <t>101413</t>
  </si>
  <si>
    <t>4.581,00</t>
  </si>
  <si>
    <t>101414</t>
  </si>
  <si>
    <t>MARMORISTA / GRANITEIRO COM ENCARGOS COMPLEMENTARES</t>
  </si>
  <si>
    <t>4.662,53</t>
  </si>
  <si>
    <t>101415</t>
  </si>
  <si>
    <t>MECÂNICO DE EQUIPAMENTOS PESADOS COM ENCARGOS COMPLEMENTARES</t>
  </si>
  <si>
    <t>5.795,73</t>
  </si>
  <si>
    <t>101416</t>
  </si>
  <si>
    <t>4.346,36</t>
  </si>
  <si>
    <t>101417</t>
  </si>
  <si>
    <t>MONTADOR DE ELETROELETRÔNICO COM ENCARGOS COMPLEMENTARES</t>
  </si>
  <si>
    <t>4.425,01</t>
  </si>
  <si>
    <t>101418</t>
  </si>
  <si>
    <t>MONTADOR DE ESTRUTURAS METÁLICAS COM ENCARGOS COMPLEMENTARES</t>
  </si>
  <si>
    <t>4.646,26</t>
  </si>
  <si>
    <t>101419</t>
  </si>
  <si>
    <t>MONTADOR DE MÁQUINAS COM ENCARGOS COMPLEMENTARES</t>
  </si>
  <si>
    <t>6.310,72</t>
  </si>
  <si>
    <t>101420</t>
  </si>
  <si>
    <t>MOTORISTA DE CAMINHÃO BASCULANTE COM ENCARGOS COMPLEMENTARES</t>
  </si>
  <si>
    <t>4.270,52</t>
  </si>
  <si>
    <t>101421</t>
  </si>
  <si>
    <t>MOTORISTA DE CAMINHÃO CARRETA COM ENCARGOS COMPLEMENTARES</t>
  </si>
  <si>
    <t>5.638,75</t>
  </si>
  <si>
    <t>101422</t>
  </si>
  <si>
    <t>MOTORISTA DE CARRO DE PASSEIO COM ENCARGOS COMPLEMENTARES</t>
  </si>
  <si>
    <t>4.342,84</t>
  </si>
  <si>
    <t>101423</t>
  </si>
  <si>
    <t>MOTORISTA DE ÔNIBUS / MICRO-ÔNIBUS COM ENCARGOS COMPLEMENTARES</t>
  </si>
  <si>
    <t>4.988,51</t>
  </si>
  <si>
    <t>101424</t>
  </si>
  <si>
    <t>MOTORISTA OPERADOR DE CAMINHÃO COM MUNCK COM ENCARGOS COMPLEMENTARES</t>
  </si>
  <si>
    <t>5.055,70</t>
  </si>
  <si>
    <t>101425</t>
  </si>
  <si>
    <t>NIVELADOR  COM ENCARGOS COMPLEMENTARES</t>
  </si>
  <si>
    <t>2.936,24</t>
  </si>
  <si>
    <t>101426</t>
  </si>
  <si>
    <t>OPERADOR DE BATE-ESTACA COM ENCARGOS COMPLEMENTARES</t>
  </si>
  <si>
    <t>5.256,63</t>
  </si>
  <si>
    <t>101427</t>
  </si>
  <si>
    <t>4.131,62</t>
  </si>
  <si>
    <t>101428</t>
  </si>
  <si>
    <t>OPERADOR DE BETONEIRA ESTACIONÁRIA COM ENCARGOS COMPLEMENTARES</t>
  </si>
  <si>
    <t>4.021,40</t>
  </si>
  <si>
    <t>101429</t>
  </si>
  <si>
    <t>OPERADOR DE COMPRESSOR DE AR OU COMPRESSORISTA COM ENCARGOS COMPLEMENTARES</t>
  </si>
  <si>
    <t>4.660,32</t>
  </si>
  <si>
    <t>101430</t>
  </si>
  <si>
    <t>OPERADOR DE DEMARCADORA DE FAIXAS DE TRÁFEGO COM ENCARGOS COMPLEMENTARES</t>
  </si>
  <si>
    <t>4.858,98</t>
  </si>
  <si>
    <t>101431</t>
  </si>
  <si>
    <t>5.237,73</t>
  </si>
  <si>
    <t>101432</t>
  </si>
  <si>
    <t>OPERADOR DE GUINCHO OU GUINCHEIRO COM ENCARGOS COMPLEMENTARES</t>
  </si>
  <si>
    <t>4.366,31</t>
  </si>
  <si>
    <t>101433</t>
  </si>
  <si>
    <t>7.298,85</t>
  </si>
  <si>
    <t>101434</t>
  </si>
  <si>
    <t>OPERADOR DE JATO ABRASIVO OU JATISTA COM ENCARGOS COMPLEMENTARES</t>
  </si>
  <si>
    <t>4.791,60</t>
  </si>
  <si>
    <t>101435</t>
  </si>
  <si>
    <t>OPERADOR DE MÁQUINAS E TRATORES DIVERSOS COM ENCARGOS COMPLEMENTARES</t>
  </si>
  <si>
    <t>5.008,32</t>
  </si>
  <si>
    <t>101436</t>
  </si>
  <si>
    <t>2.963,38</t>
  </si>
  <si>
    <t>101437</t>
  </si>
  <si>
    <t>OPERADOR DE MOTO SCRAPER COM ENCARGOS COMPLEMENTARES</t>
  </si>
  <si>
    <t>4.925,10</t>
  </si>
  <si>
    <t>101438</t>
  </si>
  <si>
    <t>5.819,96</t>
  </si>
  <si>
    <t>101439</t>
  </si>
  <si>
    <t>4.785,19</t>
  </si>
  <si>
    <t>101440</t>
  </si>
  <si>
    <t>OPERADOR DE PAVIMENTADORA / MESA VIBROACABADORA COM ENCARGOS COMPLEMENTARES</t>
  </si>
  <si>
    <t>5.052,93</t>
  </si>
  <si>
    <t>101441</t>
  </si>
  <si>
    <t>4.047,04</t>
  </si>
  <si>
    <t>101442</t>
  </si>
  <si>
    <t>OPERADOR DE TRATOR - EXCLUSIVE AGROPECUÁRIA COM ENCARGOS COMPLEMENTARES</t>
  </si>
  <si>
    <t>5.427,78</t>
  </si>
  <si>
    <t>101443</t>
  </si>
  <si>
    <t>4.477,65</t>
  </si>
  <si>
    <t>101444</t>
  </si>
  <si>
    <t>4.662,54</t>
  </si>
  <si>
    <t>101445</t>
  </si>
  <si>
    <t>4.507,33</t>
  </si>
  <si>
    <t>101446</t>
  </si>
  <si>
    <t>4.731,18</t>
  </si>
  <si>
    <t>101447</t>
  </si>
  <si>
    <t>5.789,73</t>
  </si>
  <si>
    <t>101448</t>
  </si>
  <si>
    <t>4.983,15</t>
  </si>
  <si>
    <t>101449</t>
  </si>
  <si>
    <t>POCEIRO / ESCAVADOR DE VALAS COM ENCARGOS COMPLEMENTARES</t>
  </si>
  <si>
    <t>4.163,20</t>
  </si>
  <si>
    <t>101450</t>
  </si>
  <si>
    <t>3.729,38</t>
  </si>
  <si>
    <t>101451</t>
  </si>
  <si>
    <t>101452</t>
  </si>
  <si>
    <t>SERVENTE DE OBRAS COM ENCARGOS COMPLEMENTARES</t>
  </si>
  <si>
    <t>3.256,56</t>
  </si>
  <si>
    <t>101453</t>
  </si>
  <si>
    <t>5.112,21</t>
  </si>
  <si>
    <t>101454</t>
  </si>
  <si>
    <t>SOLDADOR ELÉTRICO COM ENCARGOS COMPLEMENTARES</t>
  </si>
  <si>
    <t>5.449,40</t>
  </si>
  <si>
    <t>101455</t>
  </si>
  <si>
    <t>5.259,21</t>
  </si>
  <si>
    <t>101456</t>
  </si>
  <si>
    <t>TÉCNICO DE LABORATÓRIO E CAMPO DE CONSTRUÇÃO COM ENCARGOS COMPLEMENTARES</t>
  </si>
  <si>
    <t>7.182,72</t>
  </si>
  <si>
    <t>101457</t>
  </si>
  <si>
    <t>TÉCNICO EM SONDAGEM COM ENCARGOS COMPLEMENTARES</t>
  </si>
  <si>
    <t>5.613,71</t>
  </si>
  <si>
    <t>101458</t>
  </si>
  <si>
    <t>TELHADOR COM ENCARGOS COMPLEMENTARES</t>
  </si>
  <si>
    <t>4.107,53</t>
  </si>
  <si>
    <t>101459</t>
  </si>
  <si>
    <t>4.342,72</t>
  </si>
  <si>
    <t>101460</t>
  </si>
  <si>
    <t>3.324,23</t>
  </si>
  <si>
    <t>4 placas de obras nas dimensões 2,0m x 4,0m.</t>
  </si>
  <si>
    <t>Barracão para almoxarifados com área de 10,90m2 conforme padrão.</t>
  </si>
  <si>
    <t>Barracão para depósito de cimento com área de 10,90m2 conforme padrão.</t>
  </si>
  <si>
    <t>SINALIZAÇÃO DA OBRA</t>
  </si>
  <si>
    <t>Total do Item 12</t>
  </si>
  <si>
    <t>Total do Item 13</t>
  </si>
  <si>
    <t>15 cones em cada quadra, considerando utilização em etapas.</t>
  </si>
  <si>
    <t>MOBILIZAÇÃO E DESMOBILIZAÇÃO DE MÁQUINAS</t>
  </si>
  <si>
    <t>Composição 73</t>
  </si>
  <si>
    <t>CAMINHÃO PIPA 10.000 L TRUCADO, PESO BRUTO TOTAL 23.000 KG, CARGA ÚTIL MÁXIMA 15.935 KG, DISTÂNCIA ENTRE EIXOS 4,8 M, POTÊNCIA 230 CV, INCLUSIVE TANQUE DE AÇO PARA TRANSPORTE DE ÁGUA - CHP DIURNO.</t>
  </si>
  <si>
    <t xml:space="preserve">CAMINHÃO PIPA 10.000 L TRUCADO, PESO BRUTO TOTAL 23.000 KG, CARGA ÚTIL MÁXIMA 15.935 KG, DISTÂNCIA ENTRE EIXOS 4,8 M, POTÊNCIA 230 CV, INCLUSIVE TANQUE DE AÇO PARA TRANSPORTE DE ÁGUA - CHI DIURNO. </t>
  </si>
  <si>
    <t>MOTONIVELADORA POTÊNCIA BÁSICA LÍQUIDA (PRIMEIRA MARCHA) 125 HP, PESO BRUTO 13032 KG, LARGURA DA LÂMINA DE 3,7 M - CHP DIURNO.</t>
  </si>
  <si>
    <t xml:space="preserve">MOTONIVELADORA POTÊNCIA BÁSICA LÍQUIDA (PRIMEIRA MARCHA) 125 HP, PESO BRUTO 13032 KG, LARGURA DA LÂMINA DE 3,7 M - CHI DIURNO. </t>
  </si>
  <si>
    <t>ROLO COMPACTADOR VIBRATÓRIO PÉ DE CARNEIRO PARA SOLOS, POTÊNCIA 80 HP, PESO OPERACIONAL SEM/COM LASTRO 7,4 / 8,8 T, LARGURA DE TRABALHO 1,68 M - CHP DIURNO.</t>
  </si>
  <si>
    <t>ROLO COMPACTADOR VIBRATÓRIO PÉ DE CARNEIRO PARA SOLOS, POTÊNCIA 80 HP, PESO OPERACIONAL SEM/COM LASTRO 7,4 / 8,8 T, LARGURA DE TRABALHO 1,68 M - CHI DIURNO.</t>
  </si>
  <si>
    <t>ROLO COMPACTADOR DE PNEUS, ESTATICO, PRESSAO VARIAVEL, POTENCIA 110 HP, PESO SEM/COM LASTRO 10,8/27 T, LARGURA DE ROLAGEM 2,30 M - CHP DIURNO.</t>
  </si>
  <si>
    <t xml:space="preserve">ROLO COMPACTADOR DE PNEUS, ESTATICO, PRESSAO VARIAVEL, POTENCIA 110 HP, PESO SEM/COM LASTRO 10,8/27 T, LARGURA DE ROLAGEM 2,30 M - CHI DIURNO. </t>
  </si>
  <si>
    <t>Execução e compactação de aterro com solo predominantemente arenoso - exclusive solo, escavação, carga e transporte</t>
  </si>
  <si>
    <t>Composição 74</t>
  </si>
  <si>
    <t>Composição 75</t>
  </si>
  <si>
    <t xml:space="preserve">Escavação mecanizada de vala com prof. até 1,5 m (média montante e jusante/uma composição por trecho), escavadeira (0,8 m3), larg. de 1,5 m a 2,5 m, em solo de 1a categoria, em locais com alto nível de interferência. </t>
  </si>
  <si>
    <t>ESCAVADEIRA HIDRÁULICA SOBRE ESTEIRAS, CAÇAMBA 0,80 M3, PESO OPERACIONAL 17 T, POTENCIA BRUTA 111 HP - CHP DIURNO.</t>
  </si>
  <si>
    <t xml:space="preserve">ESCAVADEIRA HIDRÁULICA SOBRE ESTEIRAS, CAÇAMBA 0,80 M3, PESO OPERACIONAL 17 T, POTENCIA BRUTA 111 HP - CHI DIURNO. </t>
  </si>
  <si>
    <t>Composição 76</t>
  </si>
  <si>
    <t>OPERADOR DE MÁQUINA</t>
  </si>
  <si>
    <t>CORTADORA DE PISO COM MOTOR 4 TEMPOS A GASOLINA, POTÊNCIA DE 13 HP, COM DISCO DE CORTE DIAMANTADO SEGMENTADO PARA CONCRETO, DIÂMETRO DE 350 MM, FURO DE 1" (14 X 1") - CHP DIURNO.</t>
  </si>
  <si>
    <t>CORTADORA DE PISO COM MOTOR 4 TEMPOS A GASOLINA, POTÊNCIA DE 13 HP, COM DISCO DE CORTE DIAMANTADO SEGMENTADO PARA CONCRETO, DIÂMETRO DE 350 MM, FURO DE 1" (14 X 1") - CHI DIURNO.</t>
  </si>
  <si>
    <t>Demolição parcial de pavimento asfáltico, de forma mecanizada, sem reaproveitamento</t>
  </si>
  <si>
    <t>PAV-SOLO</t>
  </si>
  <si>
    <t>LIT</t>
  </si>
  <si>
    <t>Estabilização e impermeabilização do solo com emulsão polimérica.</t>
  </si>
  <si>
    <t>Composição 77</t>
  </si>
  <si>
    <t>CAMINHÃO PIPA 10.000 L TRUCADO, PESO BRUTO TOTAL 23.000 KG, CARGA ÚTIL MÁXIMA 15.935 KG, DISTÂNCIA ENTRE EIXOS 4,8 M, POTÊNCIA 230 CV, INCLUSIVE TANQUE DE AÇO PARA TRANSPORTE DE ÁGUA - CHI DIURNO.</t>
  </si>
  <si>
    <t>GRADE DE DISCO REBOCÁVEL COM 20 DISCOS 24" X 6 MM COM PNEUS PARA TRANSPORTE - CHP DIURNO.</t>
  </si>
  <si>
    <t xml:space="preserve">TRATOR DE PNEUS, POTÊNCIA 85 CV, TRAÇÃO 4X4, PESO COM LASTRO DE 4.675 KG - CHP DIURNO. </t>
  </si>
  <si>
    <t>Execução e compactação de base e/ou sub-base para pavimentação de solos estabilizados granulometricamente com mistura de solos em pista - exclusive solo, escavação, carga e transporte.</t>
  </si>
  <si>
    <t>Acabamento polido para piso de concreto armado ou laje sobre solo de alta resistência</t>
  </si>
  <si>
    <t>Composição 78</t>
  </si>
  <si>
    <t>ENDURECEDOR MINERAL DE BASE CIMENTICIA PARA PISO DE CONCRETO</t>
  </si>
  <si>
    <t xml:space="preserve">DESEMPENADEIRA DE CONCRETO, PESO DE 75KG, 4 PÁS, MOTOR A GASOLINA, POTÊNCIA 5,5 HP - CHP DIURNO. </t>
  </si>
  <si>
    <t>DESMOLDANTE PROTETOR PARA FORMAS DE MADEIRA, DE BASE OLEOSA EMULSIONADA EM AGUA</t>
  </si>
  <si>
    <t>SARRAFO *2,5 X 7,5* CM EM PINUS, MISTA OU EQUIVALENTE DA REGIAO - BRUTA</t>
  </si>
  <si>
    <t>PREGO DE ACO POLIDO COM CABECA 17 X 27 (2 1/2 X 11)</t>
  </si>
  <si>
    <t>TABUA NAO APARELHADA *2,5 X 30* CM, EM MACARANDUBA, ANGELIM OU EQUIVALENTE DA REGIAO - BRUTA</t>
  </si>
  <si>
    <t>AGENTE DE CURA, PROTETOR DA EVAPORACAO DA AGUA DE HIDRATACAO DO CONCRETO</t>
  </si>
  <si>
    <t>Execução de pavimento de concreto armado (PCA), FCK = 40 MPA, camada com espessura de 17,5 cm.</t>
  </si>
  <si>
    <t xml:space="preserve">RÉGUA VIBRATÓRIA DUPLA PARA CONCRETO, PESO DE 60KG, COMPRIMENTO 4 M, COM MOTOR A GASOLINA, POTÊNCIA 5,5 HP - CHP DIURNO. </t>
  </si>
  <si>
    <t>RÉGUA VIBRATÓRIA DUPLA PARA CONCRETO, PESO DE 60KG, COMPRIMENTO 4 M, COM MOTOR A GASOLINA, POTÊNCIA 5,5 HP - CHI DIURNO.</t>
  </si>
  <si>
    <t xml:space="preserve">ARMAÇÃO PARA EXECUÇÃO DE RADIER, PISO DE CONCRETO OU LAJE SOBRE SOLO, COM USO DE TELA Q-113. </t>
  </si>
  <si>
    <t>ARMAÇÃO PARA EXECUÇÃO DE RADIER, PISO DE CONCRETO OU LAJE SOBRE SOLO, COM USO DE TELA Q-196.</t>
  </si>
  <si>
    <t>APLICAÇÃO DE LONA PLÁSTICA PARA EXECUÇÃO DE PAVIMENTOS DE CONCRETO.</t>
  </si>
  <si>
    <t>EXECUÇÃO DE JUNTAS DE CONTRAÇÃO PARA PAVIMENTOS DE CONCRETO.</t>
  </si>
  <si>
    <t>APLICAÇÃO DE GRAXA EM BARRAS DE TRANSFERÊNCIA PARA EXECUÇÃO DE PAVIMENTO DE CONCRETO.</t>
  </si>
  <si>
    <t>BARRAS DE TRANSFERÊNCIA, AÇO CA-25 DE 25,0 MM, PARA EXECUÇÃO DE PAVIMENTO DE CONCRETO  FORNECIMENTO E INSTALAÇÃO.</t>
  </si>
  <si>
    <t>BARRAS DE LIGAÇÃO, AÇO CA-50 DE 10 MM, PARA EXECUÇÃO DE PAVIMENTO DE CONCRETO  FORNECIMENTO E INSTALAÇÃO.</t>
  </si>
  <si>
    <t>Composição 79</t>
  </si>
  <si>
    <t>CONCRETO USINADO BOMBEAVEL, CLASSE DE RESISTENCIA C30, COM BRITA 0 E 1, SLUMP = 100 +/- 20 MM, EXCLUI SERVICO DE BOMBEAMENTO (NBR 8953)</t>
  </si>
  <si>
    <t>MOTORISTA DE CAMINHÃO</t>
  </si>
  <si>
    <t>CAMINHÃO PIPA 6.000 L, PESO BRUTO TOTAL 13.000 KG, DISTÂNCIA ENTRE EIXOS 4,80 M, POTÊNCIA 189 CV INCLUSIVE TANQUE DE AÇO PARA TRANSPORTE DE ÁGUA, CAPACIDADE 6 M3 - CHI DIURNO.</t>
  </si>
  <si>
    <t>Composição 80</t>
  </si>
  <si>
    <t>Pintura de demarcação de vaga com tinta epóxi, E = 10 cm</t>
  </si>
  <si>
    <t>PINTOR</t>
  </si>
  <si>
    <t>DILUENTE EPOXI</t>
  </si>
  <si>
    <t>TINTA EPOXI BASE AGUA PREMIUM, BRANCA</t>
  </si>
  <si>
    <t>UM</t>
  </si>
  <si>
    <t>FITA CREPE ROLO DE 25 MM X 50 M</t>
  </si>
  <si>
    <t>COMPOSIÇÃO ANALÍTICA DE CUSTOS UNITÁRIO</t>
  </si>
  <si>
    <t>DESCRIÇÃO:</t>
  </si>
  <si>
    <t>UNIDADE:</t>
  </si>
  <si>
    <t>DATA BASE:</t>
  </si>
  <si>
    <t>Fonte</t>
  </si>
  <si>
    <t>(A) EQUIPAMENTO</t>
  </si>
  <si>
    <t>Horas prod.</t>
  </si>
  <si>
    <t>Horas imp.</t>
  </si>
  <si>
    <t>Valor prod.</t>
  </si>
  <si>
    <t>Valor imp.</t>
  </si>
  <si>
    <t>Custo horário</t>
  </si>
  <si>
    <t>TOTAL (A) :</t>
  </si>
  <si>
    <t>(B) MÃO DE OBRA</t>
  </si>
  <si>
    <t>Encargos (%)</t>
  </si>
  <si>
    <t>Consumo</t>
  </si>
  <si>
    <t>TOTAL (B) :</t>
  </si>
  <si>
    <t>(B) ITENS DE INCIDÊNCIA</t>
  </si>
  <si>
    <t>Mão de obra</t>
  </si>
  <si>
    <t>Equipam.</t>
  </si>
  <si>
    <t>Material</t>
  </si>
  <si>
    <t>Custo</t>
  </si>
  <si>
    <t>TOTAL (C) :</t>
  </si>
  <si>
    <t>CUSTO HORÁRIO DE EXECUÇÃO (A) + (B) + (C) :</t>
  </si>
  <si>
    <t xml:space="preserve"> (D) PRODUÇÃO DE EQUIPE :</t>
  </si>
  <si>
    <t>(E) CUSTO UNITÁRIO DA EXECUÇÃO [(A) + (B) + (C)] / (D) :</t>
  </si>
  <si>
    <t>(F) MATERIAIS</t>
  </si>
  <si>
    <t>Custo unitário</t>
  </si>
  <si>
    <t>TOTAL (F) :</t>
  </si>
  <si>
    <t>(G) SERVIÇOS</t>
  </si>
  <si>
    <t>TOTAL (G) :</t>
  </si>
  <si>
    <t>(H) ITENS DE TRANSPORTE</t>
  </si>
  <si>
    <t>XP</t>
  </si>
  <si>
    <t>XR</t>
  </si>
  <si>
    <t>TOTAL (H) :</t>
  </si>
  <si>
    <t>CUSTO DIRETO TOTAL (E) + (F) + (G) + (H) :</t>
  </si>
  <si>
    <t>PREÇO UNITÁRIO TOTAL :</t>
  </si>
  <si>
    <t>Estabilização e impermeabilização do solo com emulsão polimérica</t>
  </si>
  <si>
    <t>SINAPI</t>
  </si>
  <si>
    <t>Motorista de Caminhão</t>
  </si>
  <si>
    <t>Cotação de Preços</t>
  </si>
  <si>
    <t>Execução e compactação de base e/ou sub-base para pavimentação de solos estabilizados granulometricamente com mistura de solos em pista - exclusive solo, escavação, carga e transporte</t>
  </si>
  <si>
    <t>Servente (Auxiliar de Obras - SINDUSCON)</t>
  </si>
  <si>
    <t>Caminhão Pipa 10.000 L trucado, peso brutal total 23.000 kg, carga útil máxima 15.935 kg, distância entre eixos 4,8 m, potência 230 cv, inclusive tanque de aço para transporte de água - CHP Diurno.</t>
  </si>
  <si>
    <t>Caminhão Pipa 10.000 L trucado, peso brutal total 23.000 kg, carga útil máxima 15.935 kg, distância entre eixos 4,8 m, potência 230 cv, inclusive tanque de aço para transporte de água - CHI Diurno.</t>
  </si>
  <si>
    <t>Grade de disco rebocável com 20 discos 24'' x 6 mm com pneus para transporte - CHP Diurno.</t>
  </si>
  <si>
    <t>Grade de disco rebocável com 20 discos 24'' x 6 mm com pneus para transporte - CHI Diurno.</t>
  </si>
  <si>
    <t>GRADE DE DISCO REBOCÁVEL COM 20 DISCOS 24" X 6 MM COM PNEUS PARA TRANSPORTE - CHI DIURNO.</t>
  </si>
  <si>
    <t>Motoniveladora potência básica líquida (primeira marcha) 125 HP, peso bruto 13032 kg, largura da lâmina de 3,7 m - CHP Diurno.</t>
  </si>
  <si>
    <t>MOTONIVELADORA POTÊNCIA BÁSICA LÍQUIDA (PRIMEIRA MARCHA) 125 HP, PESO BRUTO 13032 KG, LARGURA DA LÂMINA DE 3,7 M - CHI DIURNO.</t>
  </si>
  <si>
    <t>Motoniveladora potência básica líquida (primeira marcha) 125 HP, peso bruto 13032 kg, largura da lâmina de 3,7 m - CHI Diurno.</t>
  </si>
  <si>
    <t>Rolo compactador vibratório pé de carneiro para solos, potência 80 HP, peso operacional sem/com lastro 7,4 / 8,8 T, largura de trabalho 1,68 - CHP Diurno.</t>
  </si>
  <si>
    <t>Rolo compactador vibratório pé de carneiro para solos, potência 80 HP, peso operacional sem/com lastro 7,4 / 8,8 T, largura de trabalho 1,68 - CHI Diurno.</t>
  </si>
  <si>
    <t>Trator de pneus, potência 85 cv, tração 4x4, peso com lastro de 4.675 kg - CHP Diurno.</t>
  </si>
  <si>
    <t>Trator de pneus, potência 85 cv, tração 4x4, peso com lastro de 4.675 kg - CHI Diurno.</t>
  </si>
  <si>
    <t xml:space="preserve">TRATOR DE PNEUS, POTÊNCIA 85 CV, TRAÇÃO 4X4, PESO COM LASTRO DE 4.675 KG - CHI DIURNO. </t>
  </si>
  <si>
    <t>Rolo compactador de pneus, estático, pressão variável, potência 110 HP, peso sem/com lastro 10,8/27 T, largura de rolagem 2,30 m - CHP Diurno.</t>
  </si>
  <si>
    <t>Rolo compactador de pneus, estático, pressão variável, potência 110 HP, peso sem/com lastro 10,8/27 T, largura de rolagem 2,30 m - CHI Diurno.</t>
  </si>
  <si>
    <t>CP 004</t>
  </si>
  <si>
    <t>CP 005</t>
  </si>
  <si>
    <t>CP 006</t>
  </si>
  <si>
    <t>Pedreiro - (Oficial - SINDUSCON)</t>
  </si>
  <si>
    <t>Endurecedor mineral de base cimentícia para piso de concreto</t>
  </si>
  <si>
    <t>CP 007</t>
  </si>
  <si>
    <t>Régua vibradora dupla para concreto, peso de 60 kg, comprimento de 4 m, com motor a gasolina, potência 5,5 HP - CHP Diurno.</t>
  </si>
  <si>
    <t>Régua vibradora dupla para concreto, peso de 60 kg, comprimento de 4 m, com motor a gasolina, potência 5,5 HP - CHI Diurno.</t>
  </si>
  <si>
    <t>Barras de transferência, aço CA-25 de 25,0 mm, para execução de pavimento de concreto fornecimento e instalação.</t>
  </si>
  <si>
    <t>Barras de ligação, aço CA-50 de 10 mm, para execução de pavimento de concreto, fornecimento e instalação.</t>
  </si>
  <si>
    <t>Desmoldante protetor para formas de madeira, de base oleosa emulsionada em água.</t>
  </si>
  <si>
    <t>Sarrafo * 2,5 x 7,5 * cm em pinus, mista ou equivalente da região - bruta.</t>
  </si>
  <si>
    <t>Prego de aço polido com cabeça 17 x 27 (2 1/2 x 11)</t>
  </si>
  <si>
    <t>Tábua não aparelhada * 2,5 x 30 * cm, em macaranduba, angelim ou equivalente da região - bruta</t>
  </si>
  <si>
    <t>Agente de cura, protetor da evaporação da água de hidratação do concreto</t>
  </si>
  <si>
    <t>Sevente (Auxiliar de Obras - SINDUSCON)</t>
  </si>
  <si>
    <t>Carpinteiro (Oficial - SINDUSCON)</t>
  </si>
  <si>
    <t>Armação para execução de radier, piso de concreto ou laje sobre o solo, com uso de tela Q-113</t>
  </si>
  <si>
    <t>Armação para execução de radier, piso de concreto ou laje sobre o solo, com uso de tela Q-196</t>
  </si>
  <si>
    <t>Aplicação de lona plástica para execução de pavimento de concreto.</t>
  </si>
  <si>
    <t>Aplicação de graxa em barras de transferência para execução de pavimento de concreto.</t>
  </si>
  <si>
    <t>Execução de juntas de contração para pavimento de concreto.</t>
  </si>
  <si>
    <t>CP 008</t>
  </si>
  <si>
    <t>Pintor</t>
  </si>
  <si>
    <t>Un</t>
  </si>
  <si>
    <t xml:space="preserve">Fita crepe rolo de 25 mm x 50 m </t>
  </si>
  <si>
    <t>Carreg. de pneus Case W-20 1,33 m3 (1.0) (E016)</t>
  </si>
  <si>
    <t>Servente (Auxiliar de obras - SINDUSCON)</t>
  </si>
  <si>
    <t>CP 009</t>
  </si>
  <si>
    <t>un</t>
  </si>
  <si>
    <t>CP-005</t>
  </si>
  <si>
    <t>CP-006</t>
  </si>
  <si>
    <t>CP-008</t>
  </si>
  <si>
    <t>CP-009</t>
  </si>
  <si>
    <t>CP-010</t>
  </si>
  <si>
    <t>CP-007</t>
  </si>
  <si>
    <t>OBRAS DE CONTENÇÃO</t>
  </si>
  <si>
    <t>Pintura de demarcação de vaga com tinta acrílica, E = 10 cm, aplicação manual.</t>
  </si>
  <si>
    <t>Tinta acrílica premium para piso</t>
  </si>
  <si>
    <t>Escavadeira hidráulica sobre esteiras, caçamba 0,80 m3, peso operacional 17 t, potência bruta 111 hp - CHP Diurno.</t>
  </si>
  <si>
    <t>CP 010</t>
  </si>
  <si>
    <t>Execução de pavimento de concreto armado (PCA), FCK = 20 MPA, camada com espessura de 10,0 cm.</t>
  </si>
  <si>
    <t>INSTALAÇÃO HIDRÁULICA</t>
  </si>
  <si>
    <t>Total do Item 9</t>
  </si>
  <si>
    <t>Xadrez (pó corante tipo xadrez marca de ref.)</t>
  </si>
  <si>
    <t>Eletricista (Oficial - SINDUSCON)</t>
  </si>
  <si>
    <t>Retirada de balizador de concreto</t>
  </si>
  <si>
    <t>Encarregado de pavimentação</t>
  </si>
  <si>
    <t>Pedreiro (Oficial - SINDUSCON)</t>
  </si>
  <si>
    <t>CP 012</t>
  </si>
  <si>
    <t>Rolo compactador vibratório pé de carneiro para solos, potência 80 HP, peso operacional sem/com lastro 7,4 / 8,8 T, largura de trabalho 1,68 m - CHP Diurno.</t>
  </si>
  <si>
    <t>Rolo compactador vibratório pé de carneiro para solos, potência 80 HP, peso operacional sem/com lastro 7,4 / 8,8 T, largura de trabalho 1,68 m - CHI Diurno.</t>
  </si>
  <si>
    <t>CP-014</t>
  </si>
  <si>
    <t>CP-015</t>
  </si>
  <si>
    <t>Fita zebrada para isolamento de área</t>
  </si>
  <si>
    <t>Fita zebrada 70mmx100m</t>
  </si>
  <si>
    <t>CP-016</t>
  </si>
  <si>
    <t>CP-017</t>
  </si>
  <si>
    <t>Encanador (Oficial - SINDUSCON)</t>
  </si>
  <si>
    <t>Remoção de rede de esgoto existente</t>
  </si>
  <si>
    <t xml:space="preserve">Carreg. de pneus case w-20 1,33 m3 (1.0) (E016)  </t>
  </si>
  <si>
    <t>CP-018</t>
  </si>
  <si>
    <t>Ajudante (Ajudante Prático - SINDUSCON)</t>
  </si>
  <si>
    <t>Disjuntor a Seco 1 Polo, 25A, Curva B</t>
  </si>
  <si>
    <t>Categoria</t>
  </si>
  <si>
    <t>Nº de Preços</t>
  </si>
  <si>
    <t>Preço Médio</t>
  </si>
  <si>
    <t>Pesquisa de Mercado</t>
  </si>
  <si>
    <t>C/ BDI:</t>
  </si>
  <si>
    <t>-</t>
  </si>
  <si>
    <t>Fornecedor</t>
  </si>
  <si>
    <t>CNPJ</t>
  </si>
  <si>
    <t>Contato/Telefone/E-mail</t>
  </si>
  <si>
    <t>Considerado</t>
  </si>
  <si>
    <t>SIM</t>
  </si>
  <si>
    <t xml:space="preserve">Magazine Luiza </t>
  </si>
  <si>
    <t>47.960.950/1088-36</t>
  </si>
  <si>
    <t>Telefone: 0800-310-0002</t>
  </si>
  <si>
    <t>UND</t>
  </si>
  <si>
    <t>Preço/und</t>
  </si>
  <si>
    <t>Fita Zebrada 70x100m</t>
  </si>
  <si>
    <t>Loja Top 10</t>
  </si>
  <si>
    <t>Dutra Máquinas</t>
  </si>
  <si>
    <t>27.864.907/0001-55</t>
  </si>
  <si>
    <t> 50.970.342/0001-02</t>
  </si>
  <si>
    <t>Telefone: (11) 2091-5365</t>
  </si>
  <si>
    <t>Telefone: (11) 2795-8830</t>
  </si>
  <si>
    <t>PREÇO/M</t>
  </si>
  <si>
    <t>Telha Norte</t>
  </si>
  <si>
    <t>03.840.986/0056-70</t>
  </si>
  <si>
    <t>Telefone: (11) 3787-1000
E-mail: atendimento@telhanorte.com.br</t>
  </si>
  <si>
    <t>Eletrotrafo</t>
  </si>
  <si>
    <t>80.224.785/0001-15</t>
  </si>
  <si>
    <t>Telefone: (43) 35205000
E-mail: faleconosco@eletrotrafo.com.br</t>
  </si>
  <si>
    <t>49.474.398/0008-63</t>
  </si>
  <si>
    <t>SANTIL</t>
  </si>
  <si>
    <t>Telefone:  (11) 3998-3000</t>
  </si>
  <si>
    <t>Disjuntor a Seco 1 Polo, 20A, Curva B</t>
  </si>
  <si>
    <t>EXTRA</t>
  </si>
  <si>
    <t>33.041.260/0652-90</t>
  </si>
  <si>
    <t>Telefone: (11) 4003-3383</t>
  </si>
  <si>
    <t>PJ Neblina</t>
  </si>
  <si>
    <t>34.956.963/0001-85</t>
  </si>
  <si>
    <t>Telefone: (11) 3619-1600
E-mail: atendimento@pjneblina.com.br</t>
  </si>
  <si>
    <t>Disjuntor a Seco 1 Polo, 16A, Curva B</t>
  </si>
  <si>
    <t>Vasta - Casa e Construção</t>
  </si>
  <si>
    <t>42.697.399/0001-51</t>
  </si>
  <si>
    <t>Telefone: (47) 99259-9606
atendimento@vastadistribuidora.com.br</t>
  </si>
  <si>
    <t>Magazine Luiza</t>
  </si>
  <si>
    <t>Ponto Frio</t>
  </si>
  <si>
    <t>Leroy Merlin</t>
  </si>
  <si>
    <t>01.438.784/0048-60</t>
  </si>
  <si>
    <t>Telefone: 0800-020-5376</t>
  </si>
  <si>
    <t>Disjuntor a Seco 1 Polo, 80A, Curva C</t>
  </si>
  <si>
    <t>Disjuntor a Seco 1 Polo, 63A, Curva C</t>
  </si>
  <si>
    <t>Anhanguera Ferramentas</t>
  </si>
  <si>
    <t>00.565.813/0001-29</t>
  </si>
  <si>
    <t>Telefone: (19)  3516-3000</t>
  </si>
  <si>
    <t>Disjuntor a Seco 1 Polo, 70A, Curva C</t>
  </si>
  <si>
    <t>Dimensional</t>
  </si>
  <si>
    <t xml:space="preserve"> 06.913.480/0015-63</t>
  </si>
  <si>
    <t>Telefone: (19) 99150-1751
E-mail: atendimento.b2c@dimensional.com.br</t>
  </si>
  <si>
    <t>Submarino</t>
  </si>
  <si>
    <t>00.776.574/0006-60</t>
  </si>
  <si>
    <t>Telefone: 0800-049-5275</t>
  </si>
  <si>
    <t>Portal Elétrico</t>
  </si>
  <si>
    <t>32.212.269/0001-28</t>
  </si>
  <si>
    <t>Telefone: (47) 997330608</t>
  </si>
  <si>
    <t>Relé Fotoelétrico para comando de iluminação externa 1000 W - fornecimento e instalação</t>
  </si>
  <si>
    <t>Relé fotoelétrico interno e externo bivolt 1000 W, de conector, sem base</t>
  </si>
  <si>
    <t>Fita isolante adesiva antichama, uso até 750 V, em rolo de 19 mm x 5 m</t>
  </si>
  <si>
    <t>Caixa de passagem de concreto armado de 0,40 x 0,040 x 0,70m</t>
  </si>
  <si>
    <t>Pedreiro (Oficial - SINDUSOCON)</t>
  </si>
  <si>
    <t>Concreto estrutural fck = 15,0 Mpa, tudo incluído</t>
  </si>
  <si>
    <t>Formas planas de madeira com 04 (quatro) reaproveitamentos, inclusive fornecimento e transporte de madeiras</t>
  </si>
  <si>
    <t>Valor sem Encargos Sociais</t>
  </si>
  <si>
    <t>Valor com Encargos Sociais</t>
  </si>
  <si>
    <t>CP-012</t>
  </si>
  <si>
    <t>Bicicletário de Chão para 05 bicicletas AL-43, fixado no chão. Fabricante: Altmayer Sport ou equivalente</t>
  </si>
  <si>
    <t>Bicicletário de Chão para 05 bicicletas AL-43, ficado no chão. Fabricante: Altmayer Sport ou equivalente</t>
  </si>
  <si>
    <t>CP 014</t>
  </si>
  <si>
    <t>CP 015</t>
  </si>
  <si>
    <t>CP 016</t>
  </si>
  <si>
    <t>CP 017</t>
  </si>
  <si>
    <t>CP 018</t>
  </si>
  <si>
    <t>CP 020</t>
  </si>
  <si>
    <t>CP 021</t>
  </si>
  <si>
    <t>CP 022</t>
  </si>
  <si>
    <t>CP 023</t>
  </si>
  <si>
    <t>CP 024</t>
  </si>
  <si>
    <t>CP 025</t>
  </si>
  <si>
    <t>CP 026</t>
  </si>
  <si>
    <t>CP 027</t>
  </si>
  <si>
    <t>CP 028</t>
  </si>
  <si>
    <t>CP 031</t>
  </si>
  <si>
    <t>Fio cabo - Terra</t>
  </si>
  <si>
    <t>CP-21</t>
  </si>
  <si>
    <t>Luminária Solar UFO 300W</t>
  </si>
  <si>
    <t>Foto Volt</t>
  </si>
  <si>
    <t>28.352.962/0001-29</t>
  </si>
  <si>
    <t>Telefone: (12) 3013-5830 
E-mail: contato@fotovolt.com.br</t>
  </si>
  <si>
    <t>PREÇO/und</t>
  </si>
  <si>
    <t>Quatro viagens para mobilizar e desmobilizar equipamentos</t>
  </si>
  <si>
    <t>6 meses de execução da obra</t>
  </si>
  <si>
    <t>Execução e compactação de aterro com solo predominantemente argiloso - inclusive solo de jazida.</t>
  </si>
  <si>
    <t>LOCAL COM DMT DE 3,1 A 5,0 KM (Caminhão basculante) - 0,947XINCC-MXP+1,065XINCC-MXR+1,929XINCC-M - XP=2,0km, XR=1,5km</t>
  </si>
  <si>
    <t>LOCAL COM DMT DE 5,1 A 10,0 KM (Caminhão basculante) - 0,889XINCC-MXP + 0,987XINCC-MXR + 1,852XINCC-M - XP = 4,0km, XR=4,0km</t>
  </si>
  <si>
    <t>CP-001</t>
  </si>
  <si>
    <t>CP-002</t>
  </si>
  <si>
    <t>CP-003</t>
  </si>
  <si>
    <t>CP-011</t>
  </si>
  <si>
    <t>CP-013</t>
  </si>
  <si>
    <t>CP-019</t>
  </si>
  <si>
    <t>Caminhão Tanque MB L1620/51 6.000 L (1.0) E406</t>
  </si>
  <si>
    <t>Muda de árvore ornamental, oiti/aroeira/salsa/angico/ipe/jacaranda ou equivalente da região</t>
  </si>
  <si>
    <t>Terra vegetal</t>
  </si>
  <si>
    <t>Casas Bahia</t>
  </si>
  <si>
    <t xml:space="preserve">33.041.260/0652-90 </t>
  </si>
  <si>
    <t>Telefone: (11) 4003-4336</t>
  </si>
  <si>
    <t>Miranda Engenharia</t>
  </si>
  <si>
    <t>22.153.445/0001-44</t>
  </si>
  <si>
    <t>Telefone: (28) 99987-1854 
E-mail: miranda.eng@outlook.com.br</t>
  </si>
  <si>
    <t xml:space="preserve"> 00.776.574/0006-60</t>
  </si>
  <si>
    <t>CP 001</t>
  </si>
  <si>
    <t>Conforme projeto</t>
  </si>
  <si>
    <t xml:space="preserve"> PESQUISA DE MERCADO - COMPOSIÇÃO 01</t>
  </si>
  <si>
    <t>CP-01</t>
  </si>
  <si>
    <t xml:space="preserve"> PESQUISA DE MERCADO - COMPOSIÇÃO  18</t>
  </si>
  <si>
    <t>CP-18</t>
  </si>
  <si>
    <t>CP-15</t>
  </si>
  <si>
    <t>CP 002</t>
  </si>
  <si>
    <t>CP 003</t>
  </si>
  <si>
    <t>CP 011</t>
  </si>
  <si>
    <t>CP 013</t>
  </si>
  <si>
    <t>CP 019</t>
  </si>
  <si>
    <t xml:space="preserve"> PESQUISA DE MERCADO - COMPOSIÇÃO 15</t>
  </si>
  <si>
    <t xml:space="preserve"> PESQUISA DE MERCADO - COMPOSIÇÃO  17</t>
  </si>
  <si>
    <t>CP-17</t>
  </si>
  <si>
    <t xml:space="preserve"> PESQUISA DE MERCADO - COMPOSIÇÃO  16</t>
  </si>
  <si>
    <t>CP-16</t>
  </si>
  <si>
    <t xml:space="preserve"> PESQUISA DE MERCADO - COMPOSIÇÃO  20</t>
  </si>
  <si>
    <t>CP-20</t>
  </si>
  <si>
    <t xml:space="preserve"> PESQUISA DE MERCADO - COMPOSIÇÃO  21</t>
  </si>
  <si>
    <t xml:space="preserve"> PESQUISA DE MERCADO - COMPOSIÇÃO  22</t>
  </si>
  <si>
    <t>CP-22</t>
  </si>
  <si>
    <t>CP-029</t>
  </si>
  <si>
    <t>CP-030</t>
  </si>
  <si>
    <t>CP-031</t>
  </si>
  <si>
    <t>CP-032</t>
  </si>
  <si>
    <t>CP 032</t>
  </si>
  <si>
    <t>Telefone: 0800 773 3838</t>
  </si>
  <si>
    <t>Demoliçao de demais equipamentos</t>
  </si>
  <si>
    <t>previsto para demolições de muretas, rampas, escadas, etc., não aferidas com precissão</t>
  </si>
  <si>
    <t xml:space="preserve">MARCOS FELIPE PINTO DE SOUZA </t>
  </si>
  <si>
    <t>AMERICA LATINA ENGENHARIA</t>
  </si>
  <si>
    <t>ENGENHEIRO CIVIL CREA ES 0050929/D</t>
  </si>
  <si>
    <t>RESOLUÇÃO TC Nº 329, DE 24 DE SETEMBRO DE 2019.</t>
  </si>
  <si>
    <t>CP 029</t>
  </si>
  <si>
    <t>CP 030</t>
  </si>
  <si>
    <t>CP 033</t>
  </si>
  <si>
    <t>CRONOGRAMA FÍSICO FINANCEIRO</t>
  </si>
  <si>
    <t>MÊS 01</t>
  </si>
  <si>
    <t>MÊS 02</t>
  </si>
  <si>
    <t>MÊS 03</t>
  </si>
  <si>
    <t>MÊS 04</t>
  </si>
  <si>
    <t>MÊS 05</t>
  </si>
  <si>
    <t>MÊS 06</t>
  </si>
  <si>
    <t xml:space="preserve">MEDIDO NO MÊS   </t>
  </si>
  <si>
    <t xml:space="preserve">ACUMULADO NO MÊS   </t>
  </si>
  <si>
    <t>VALOR</t>
  </si>
  <si>
    <t>PESO</t>
  </si>
  <si>
    <t>EXEC.    %</t>
  </si>
  <si>
    <t>ACUM.    %</t>
  </si>
  <si>
    <t>TOTALIZAÇÃO</t>
  </si>
  <si>
    <t>URBANIZAÇÃO DA ORLA DE PIÚMA/ES</t>
  </si>
  <si>
    <t>Total do Item 2</t>
  </si>
  <si>
    <t>LICITAÇÃO</t>
  </si>
  <si>
    <t>ESTUDO</t>
  </si>
  <si>
    <t>CALÇADÃO/CICLOVIA</t>
  </si>
  <si>
    <t>Total do Item 14</t>
  </si>
  <si>
    <t>Previsão de religação devido a possiveis danificações devido aos trabalhos com maquinas para terraplenagem e pavimentação</t>
  </si>
  <si>
    <t>Q12 = 1und / Q13 = 4und / Q14 = 1und / Q15 = 4und / Q17 = 1und / Q18 = 1und</t>
  </si>
  <si>
    <t>Q15 = 93,87m³ / Q17 = 46,04m³ / Q18 = 19,42m³</t>
  </si>
  <si>
    <t>Ajudante de Eletricista</t>
  </si>
  <si>
    <t>Cabo de Cobre nu 35 mm2 meio-duro</t>
  </si>
  <si>
    <t>Chumbador de aço, diâmetro 5/8'', comprimento 6'', com porca</t>
  </si>
  <si>
    <t>Esmalte Sintético</t>
  </si>
  <si>
    <t>Pintor (Oficial - SINDUSCON)</t>
  </si>
  <si>
    <t>Zarcão</t>
  </si>
  <si>
    <t>Aguarraz Mineral</t>
  </si>
  <si>
    <t>Lixa para ferro nº 100 K-246 225x275 mm - Norton ou Equivalente</t>
  </si>
  <si>
    <t>Concreto estrutural fck = 10,0 MPa, inclusive
transportes areia, cimento e pedra britada</t>
  </si>
  <si>
    <t>Coletor com carga traseira de lixo de 1000 litros - (container de lixo) C-1000. Fab.: Contemar Ambiental ou equivalente</t>
  </si>
  <si>
    <t>Encarregado de O.A.C.</t>
  </si>
  <si>
    <t>Balizador de concreto nas dimensões 0,45x0,45x1,05 (L x C x H)</t>
  </si>
  <si>
    <t>Banco de concreto com dimensões 0,45x2,20x1,10 (L x C x H)</t>
  </si>
  <si>
    <t>Lixeira com tampa aro aço INOX 430 dupla urbana</t>
  </si>
  <si>
    <t>Pesquisa de Preços</t>
  </si>
  <si>
    <t xml:space="preserve"> PESQUISA DE MERCADO - COMPOSIÇÃO  24</t>
  </si>
  <si>
    <t>CP-24</t>
  </si>
  <si>
    <t>LIXEIRA C/ TAMPA ARO AÇO INOX 430 DUPLA URBANA</t>
  </si>
  <si>
    <t>inovar Metais</t>
  </si>
  <si>
    <t xml:space="preserve"> 23.100.120/0001-66</t>
  </si>
  <si>
    <t>Telefone: (11) 3205-0555</t>
  </si>
  <si>
    <t>28.368.644/0001-56</t>
  </si>
  <si>
    <t>Metais do Império</t>
  </si>
  <si>
    <t>E-mail: eduardo@pesqueiracontabilidade.com.br</t>
  </si>
  <si>
    <t>Cia dos Metais</t>
  </si>
  <si>
    <t xml:space="preserve">04.654.882/0001-60 </t>
  </si>
  <si>
    <t>Telefone: (47) 97433-2643</t>
  </si>
  <si>
    <t>1 unidade para a execução do trecho 02, posicionado no canteiro de obras</t>
  </si>
  <si>
    <t>1 unidade para o sanitário do canteiro de obras</t>
  </si>
  <si>
    <t>25,00 metros para a instalação da rede de água do canteiro de obras</t>
  </si>
  <si>
    <t>20,00 metros para a instalação da rede de esgoto do canteiro de obras</t>
  </si>
  <si>
    <t>25,00 metros para a instalação da rede de esgoto do canteiro de obras</t>
  </si>
  <si>
    <t>mobilização dos containers</t>
  </si>
  <si>
    <t>tela de proteção para a execução do trecho 02</t>
  </si>
  <si>
    <t>Tapume para vedação do canteiro de obras</t>
  </si>
  <si>
    <t>Sinalização das obras do trecho 02</t>
  </si>
  <si>
    <t>Para isolamento em trechos especificos da execução do trecho 02</t>
  </si>
  <si>
    <t>Volume de corte * peso esp. médio e transporte para bota-fora, conforme indicado no memorial de terraplenagem</t>
  </si>
  <si>
    <t>Volume de aterro * peso esp. médio e transporte para bota-fora, conforme indicado no memorial de terraplenagem</t>
  </si>
  <si>
    <t>SEDURB</t>
  </si>
  <si>
    <t>MÊS 07</t>
  </si>
  <si>
    <t>MÊS 08</t>
  </si>
  <si>
    <t>Gabião caixa, malha hexagonal de (8x10) cm, fio com 2,4mm de diâmetro, revestido de PVC rígido, inclusive materiais e montagem.</t>
  </si>
  <si>
    <t>MAT005500</t>
  </si>
  <si>
    <t>SCO-RJ</t>
  </si>
  <si>
    <t>Arame galvanizado nº 16</t>
  </si>
  <si>
    <t>MAT095150</t>
  </si>
  <si>
    <t>Pedra de mão</t>
  </si>
  <si>
    <t>MAT096550</t>
  </si>
  <si>
    <t>Peça de madeira serrada, seção (2,5cm x 22,5cm / 1'' x 9'') - grupo ll da Tabela Classificarória de Especificações de Produtos Madeireiros</t>
  </si>
  <si>
    <t>Peça de madeira serrada, seção (7,5cm x 7,5cm / 3'' x 3'') - grupo ll da Tabela Classificarória de Especificações de Produtos Madeireiros</t>
  </si>
  <si>
    <t>MAT096800</t>
  </si>
  <si>
    <t>MAT112150</t>
  </si>
  <si>
    <t>Prego com cabeça, de (18x30)</t>
  </si>
  <si>
    <t>MAT133100</t>
  </si>
  <si>
    <t>Tela em aço revestido de PVC, fio 2,4mm, malha hexagonal de (8x10)cm</t>
  </si>
  <si>
    <t>Q12 = 206,25m² / Q13 = 2.727,96m² / Q14 = 997,05m² / Q15 = 1.677,07m² / Q16 = 2.264,23m² / Q17 = 1.187,91m² / Q18 = 318,17m² / Q19 = 1.755,14m² / Q20 = 467,66m²</t>
  </si>
  <si>
    <t>Q12 = 3und / Q13 = 14und / Q14 = 10und / Q15 = 4und / Q17 = 4und / Q18 = 1und / Q20 = 2und</t>
  </si>
  <si>
    <t>Q12 = 130,88m / Q13 = 676,11m / Q14 = 178,72m / Q15 = 386,08m / Q16 = 307,25m / Q17 = 322,74m / Q18 = 187,72m / Q19 = 96,73m / Q20 = 227,47</t>
  </si>
  <si>
    <t>Q12 = 564,45m² / Q13 = 2.722,93m² / Q14 = 1.077,99m² / Q15 = 1.906,06m² / Q16 = 2.428,65m² / Q17 = 2.316,77m² / Q18 = 964,84m² / Q19 = 1.524,00m² / Q20 = 1.921,00m²</t>
  </si>
  <si>
    <t>Área da placa = 0,28m²
Quantidade de placas = 52und</t>
  </si>
  <si>
    <t>(107*20)-(46*20) = 1220 * 2 lados
2440 + 240 = 2.160
Distância linerar do trecho + quantidade para requadro das ruas</t>
  </si>
  <si>
    <t>Q13 = 3und / Q14 = 1und / Q15 = 3und / Q16 = 4und / Q17 = 4und / Q18 = 2und / Q19 = 5und / Q20 = 3und</t>
  </si>
  <si>
    <t>Q13 = 418,40m / Q14 = 97,60m / Q15 = 231,20m / Q19 = 298,04m / Q20 = 126,70m</t>
  </si>
  <si>
    <t>Pau Ferro (Libidibia Ferrea)</t>
  </si>
  <si>
    <t>Muda de Pau Ferro de 1,5 a 2,0 metros</t>
  </si>
  <si>
    <t>Quaresmeira (Tibouchina granulosa)</t>
  </si>
  <si>
    <t>Muda de Quaresmeira</t>
  </si>
  <si>
    <t xml:space="preserve"> PESQUISA DE MERCADO - COMPOSIÇÃO  26</t>
  </si>
  <si>
    <t>CP-26</t>
  </si>
  <si>
    <t>Muda de Pau de Ferro</t>
  </si>
  <si>
    <t>VIVEIRO -Cultura Ecológica</t>
  </si>
  <si>
    <t>29.201.825/0001-56</t>
  </si>
  <si>
    <t>Telefone: (53) 99946-6721
E-mail: contato@viveiroculturaecologica.com.br</t>
  </si>
  <si>
    <t>Telefone: 4003-5544</t>
  </si>
  <si>
    <t xml:space="preserve"> PESQUISA DE MERCADO - COMPOSIÇÃO  27</t>
  </si>
  <si>
    <t>CP-27</t>
  </si>
  <si>
    <t>Click Mudas</t>
  </si>
  <si>
    <t>10.696.758/0001-60</t>
  </si>
  <si>
    <t>Telefone: (27) 4062-8155
E-mail: contato@ibflorestas.org.br</t>
  </si>
  <si>
    <t>Agrofy</t>
  </si>
  <si>
    <t>33.042.462/0001-20</t>
  </si>
  <si>
    <t>Telefone: (11) 9378-0443</t>
  </si>
  <si>
    <t>Arborização para paisagismo ( mudas viveiro de espera) com altura maior que 1,50m ) - Sucupira roxa, Canafístula, Oiti da Praia, Biriba Branca, Manduirana, Pata de Vaca, Chuva de Ouro, Angelim da Praia e Coco</t>
  </si>
  <si>
    <t>Contrapiso em argamassa traço 1:4 (cimento e areia), preparo mecânico com betoneira 400l, aplicado em áreas secas sobre laje, não aderido, acabamento não reforçado, espessura 5cm.</t>
  </si>
  <si>
    <t>Argamassa traço 1:4 (em volume de cimento e areia média úmida) para contrapiso, preparo mecânico com betoneira 400l</t>
  </si>
  <si>
    <t>CP 034</t>
  </si>
  <si>
    <t>Reaterro mecânizado de vala com escavadeira hidráulica (capacidade da caçamba: 0,8 m2 / potência: 111 hp), largura de 1,5 a 2,5 m, profundidade de 1,5 a 3,0 m , com solo de 1ª categoria em locais com alto nível de interferência.</t>
  </si>
  <si>
    <t>Escavadeira hidráulica sobre esteiras, caçamba 0,80 m3, peso operacional 7 t, potência bruta 111 hp - CHP Diurno.</t>
  </si>
  <si>
    <t>Escavadeira hidráulica sobre esteiras, caçamba 0,80 m3, peso operacional 7 t, potência bruta 111 hp - CHI Diurno.</t>
  </si>
  <si>
    <t>Compactador de solos de percussão (soquete) com motor a gasolina 4 tempos, potência 4 cv - CHP Diurno.</t>
  </si>
  <si>
    <t>Compactador de solos de percussão (soquete) com motor a gasolina 4 tempos, potência 4 cv - CHI Diurno.</t>
  </si>
  <si>
    <t>Umidificação de material para valas com caminhão pipa 10000l.</t>
  </si>
  <si>
    <t>CP-033</t>
  </si>
  <si>
    <t>CP-034</t>
  </si>
  <si>
    <t xml:space="preserve">BDI DIF: </t>
  </si>
  <si>
    <t>1.3</t>
  </si>
  <si>
    <t>1.4</t>
  </si>
  <si>
    <t>1.5</t>
  </si>
  <si>
    <t>1.6</t>
  </si>
  <si>
    <t>1.7</t>
  </si>
  <si>
    <t>ESTRUTURAS EM ALUMÍNIO</t>
  </si>
  <si>
    <t>1.8</t>
  </si>
  <si>
    <t>IMPERMEABILIZAÇÃO DA LAJE</t>
  </si>
  <si>
    <t>1.9</t>
  </si>
  <si>
    <t>REVESTIMENTO PAREDES</t>
  </si>
  <si>
    <t>1.10</t>
  </si>
  <si>
    <t>1.11</t>
  </si>
  <si>
    <t>INSTALAÇÃO ÁGUA FRIA</t>
  </si>
  <si>
    <t>3R 23 12 00 00 10 13 04 15</t>
  </si>
  <si>
    <t>PINI / TCPO</t>
  </si>
  <si>
    <t>Adaptador soldável longo PVC com flanges livres para caixa d'água Ø 50 mm x 1 1/2"</t>
  </si>
  <si>
    <t>3R 23 12 00 00 10 13 04 13</t>
  </si>
  <si>
    <t>Adaptador soldável longo PVC com flanges livres para caixa d'água Ø 32 mm x 1"</t>
  </si>
  <si>
    <t>3R 23 12 00 00 10 14 05 03</t>
  </si>
  <si>
    <t>Bucha de redução soldável PVC curta Ø 25 mm x 20 mm</t>
  </si>
  <si>
    <t>3R 23 12 00 00 10 17 08 10</t>
  </si>
  <si>
    <t>Joelho 90° de redução soldável PVC Ø 32 x 25 mm</t>
  </si>
  <si>
    <t>3R 23 12 00 00 10 19 10 15</t>
  </si>
  <si>
    <t>Tê 90° soldável PVC Ø 20 mm</t>
  </si>
  <si>
    <t>3R 23 12 00 00 10 19 10 09</t>
  </si>
  <si>
    <t>Tê 90° de redução soldável PVC Ø 50 x 20 mm</t>
  </si>
  <si>
    <t xml:space="preserve">3R 23 12 00 00 19 14 06 18  </t>
  </si>
  <si>
    <t>Luva de ferro galvanizado Ø 20 mm - 3/4"</t>
  </si>
  <si>
    <t>INSTALAÇÃO ESGOTO</t>
  </si>
  <si>
    <t>3R 23 12 00 00 33 30 03 06</t>
  </si>
  <si>
    <t>Caixa sifonada PVC com grelha branca 150 x 150 x 50 mm</t>
  </si>
  <si>
    <t>3R 23 14 00 00 00 03 11 06 </t>
  </si>
  <si>
    <t>Curva 90º PVC coletor de esgoto JEI Ø 100 mm</t>
  </si>
  <si>
    <t>3R 23 14 00 00 10 27 13 21</t>
  </si>
  <si>
    <t>Junção 45° PVC com redução ponta bolsa e virola Ø 75 x 50 mm</t>
  </si>
  <si>
    <t>3R 23 14 00 00 10 27 13 19</t>
  </si>
  <si>
    <t>Junção 45° PVC ponta bolsa e virola Ø 100 x 100 mm</t>
  </si>
  <si>
    <t xml:space="preserve">3R 23 14 00 00 10 27 13 17   </t>
  </si>
  <si>
    <t>Junção 45° PVC ponta bolsa e virola Ø 50 x 50 mm</t>
  </si>
  <si>
    <t>3R 23 14 00 00 10 27 13 22</t>
  </si>
  <si>
    <t>Junção 45° PVC com redução ponta bolsa e virola Ø 100 x 50 mm</t>
  </si>
  <si>
    <t>CP-035</t>
  </si>
  <si>
    <t>CP-036</t>
  </si>
  <si>
    <t>CP-037</t>
  </si>
  <si>
    <t>CP-038</t>
  </si>
  <si>
    <t>3R 23 14 00 00 10 27 13 43 </t>
  </si>
  <si>
    <t>Redução excêntrica PVC PBV Ø 100 x 50 mm</t>
  </si>
  <si>
    <t>3R 23 14 00 00 10 27 13 42</t>
  </si>
  <si>
    <t>Redução excêntrica PVC PBV Ø 75 x 50 mm</t>
  </si>
  <si>
    <t>3R 23 14 00 00 10 27 13 53</t>
  </si>
  <si>
    <t>Tê 90° PVC ponta bolsa e virola Ø 75 x 75 mm</t>
  </si>
  <si>
    <t>3R 23 14 00 00 10 27 13 52</t>
  </si>
  <si>
    <t>Tê 90° PVC ponta bolsa e virola Ø 50 x 50 mm</t>
  </si>
  <si>
    <t>CP-039</t>
  </si>
  <si>
    <t>LOUÇAS E ACESSÓRIOS</t>
  </si>
  <si>
    <t>CP-040</t>
  </si>
  <si>
    <t>CP-041</t>
  </si>
  <si>
    <t>CP-042</t>
  </si>
  <si>
    <t>CP-043</t>
  </si>
  <si>
    <t>CP-044</t>
  </si>
  <si>
    <t>1.12</t>
  </si>
  <si>
    <t>CP-045</t>
  </si>
  <si>
    <t>CP-046</t>
  </si>
  <si>
    <t>CP-047</t>
  </si>
  <si>
    <t>CP-048</t>
  </si>
  <si>
    <t>CP-049</t>
  </si>
  <si>
    <t>CP-050</t>
  </si>
  <si>
    <t>CP-051</t>
  </si>
  <si>
    <t>CP-052</t>
  </si>
  <si>
    <t>CP-053</t>
  </si>
  <si>
    <t>CP-054</t>
  </si>
  <si>
    <t>CP-055</t>
  </si>
  <si>
    <t>CP-056</t>
  </si>
  <si>
    <t>CP-057</t>
  </si>
  <si>
    <t>CP-058</t>
  </si>
  <si>
    <t>CP-059</t>
  </si>
  <si>
    <t>CP-060</t>
  </si>
  <si>
    <t>CP-061</t>
  </si>
  <si>
    <t>1.13</t>
  </si>
  <si>
    <t>SOBRE PAREDES E TETOS</t>
  </si>
  <si>
    <t>CP-062</t>
  </si>
  <si>
    <t>1.14</t>
  </si>
  <si>
    <t>SERVIÇOS COMPLEMENTARES E PAISAGISMO</t>
  </si>
  <si>
    <t>CP-063</t>
  </si>
  <si>
    <t>CP-064</t>
  </si>
  <si>
    <t>CP-065</t>
  </si>
  <si>
    <t>CP-066</t>
  </si>
  <si>
    <t>CP-067</t>
  </si>
  <si>
    <t>1.15</t>
  </si>
  <si>
    <t>CONSERVAÇÃO E LIMPEZA</t>
  </si>
  <si>
    <t>TOTAL GERAL DO QUIOSQUE</t>
  </si>
  <si>
    <t>Obs.2: Conforme RESOLUÇÃO TC Nº 329, DE 24 DE SETEMBRO DE 2019, aplicado BDI diferenciado para aquisiçao de materiais e equipamentos no valor de 15,57%.</t>
  </si>
  <si>
    <t>MARCOS FELIPE DE SOUZA</t>
  </si>
  <si>
    <t>Para locação de toda a laje onde está localizado o quiosque, a quantidade é igual à área limitada 
pela locação dos pilares (estrutural).</t>
  </si>
  <si>
    <t>Soma-se conforme projeto</t>
  </si>
  <si>
    <t xml:space="preserve">Para construção de uma fundação ou vala de largura B, comprimento L e profundidade H, a 
escavação deve conter uma folga de 20 cm para cada lado e 10cm na profundidade para garantir 
trabalhabilidade, Logo: 
Vescavação = (B+40 cm) x (L+40 cm) x (H+10 cm) 
</t>
  </si>
  <si>
    <t>P03=P13=P24=P25 (1,60m x 1,60m x 2m)
V esc = (1,60m + 0,4m) x (1,60m + 0,4m) x (2,0m + 0,1m)</t>
  </si>
  <si>
    <t>Soma-se área das fundações conforme projeto</t>
  </si>
  <si>
    <t xml:space="preserve">Vreaterro = Vescavação – Vconcreto </t>
  </si>
  <si>
    <t>Vreaterro = 298,96m3 - 95,98m3</t>
  </si>
  <si>
    <t>Para janela: (largura da janela + 40cm) x 2 x quantidade de janelas (verga em cima e em baixo)</t>
  </si>
  <si>
    <t xml:space="preserve">Para porta: (largura da porta + 40cm) x quantidade de portas </t>
  </si>
  <si>
    <t xml:space="preserve">Para cobogó: (largura do vão do cobogó + 40cm) x quantidade de vãos </t>
  </si>
  <si>
    <t>Soma-se paredes conforme projeto</t>
  </si>
  <si>
    <t xml:space="preserve">As áreas de alvenaria são calculadas considerando o comprimento das paredes em planta e o 
pé-direito, subtraindo-se apenas a área que exceder, em cada vão, a 2m2. Vãos com área inferior 
ou igual a 2m2 não são descontados, bem como elementos estruturais de concreto inclusos na 
alvenaria (vigas, pilares). Esse critério visa compensar o trabalho de requadro dos vãos ou a 
execução do encontro da alvenaria com os elementos estruturais. </t>
  </si>
  <si>
    <t>conforme projeto</t>
  </si>
  <si>
    <t xml:space="preserve">2 unidades </t>
  </si>
  <si>
    <t>Área de pintura do teto = 55,94m2</t>
  </si>
  <si>
    <t>MARCOS FELIPE PINTO DE SOUZA</t>
  </si>
  <si>
    <t>QUIOSQUE DA ORLA DE PIÚMA/ES</t>
  </si>
  <si>
    <t>CP 062</t>
  </si>
  <si>
    <t>Pintura acabamento cimento queimado, sobre bloco de concreto, a duas demãos.</t>
  </si>
  <si>
    <t>Valor sem encargos sociais</t>
  </si>
  <si>
    <t>Valor com encargos sociais</t>
  </si>
  <si>
    <t>PINTOR - (OFICIAL - SINDUSCON) (LABOR)</t>
  </si>
  <si>
    <t>AJUDANTE (AJUDANTE PRATICO - SINDUSCON) (LABOR)</t>
  </si>
  <si>
    <t>Ferramentas manuais</t>
  </si>
  <si>
    <t>X</t>
  </si>
  <si>
    <t>Pesquisa de mercado</t>
  </si>
  <si>
    <t>Cimento Queimado Portokoll</t>
  </si>
  <si>
    <t>Joelho com bucha de latão 20mm x 1/2"</t>
  </si>
  <si>
    <t xml:space="preserve">ENCANADOR - (OFICIAL - SINDUSCON) (LABOR) </t>
  </si>
  <si>
    <t>SERVENTE (AUXILIAR DE OBRAS - SINDUSCON) (LABOR)</t>
  </si>
  <si>
    <t>JOELHO COM BUCHA DE LATÃO 20MM X 1/2"</t>
  </si>
  <si>
    <t xml:space="preserve">FITA DE VEDACAO 18MM X 50M (LABOR) </t>
  </si>
  <si>
    <t>Adaptador Flange Soldável p/ Caixa Dágua 20 mm X 1/2</t>
  </si>
  <si>
    <t xml:space="preserve">ADESIVO PARA TUBO DE PVC RIGIDO (LABOR) </t>
  </si>
  <si>
    <t>SOLUCAO LIMPADORA PARA PVC RIGIDO (LABOR)</t>
  </si>
  <si>
    <t>CP 063</t>
  </si>
  <si>
    <t>Toldo articulado com braço retrátil cores</t>
  </si>
  <si>
    <t xml:space="preserve">PEDREIRO - (OFICIAL - SINDUSCON) (LABOR) </t>
  </si>
  <si>
    <t>Brise em alumínio branco, perfis verticais 10x15 cm e perfis horizontais 03x10 cm, fornecimento e instalação</t>
  </si>
  <si>
    <t>SERRALHEIRO</t>
  </si>
  <si>
    <t>AJUDANTE DE SERRALHEIRO</t>
  </si>
  <si>
    <t>PERFIL DE ALUMINIO ANODIZADO</t>
  </si>
  <si>
    <t>PRIMER A BASE DE EPOXI (LABOR)</t>
  </si>
  <si>
    <t>SOLVENTE PARA TINTA A BASE DE EPOXI (LABOR)</t>
  </si>
  <si>
    <t>TINTA EPOXI CATALISAVEL PARA ACABAMENTO
(LABOR)</t>
  </si>
  <si>
    <t>TRINCHA 2" (LABOR)</t>
  </si>
  <si>
    <t>Rebite de Repuxo em Alumínio</t>
  </si>
  <si>
    <t xml:space="preserve">Janela de correr com estrutura em metalon e fechamento em chapas de alumínio </t>
  </si>
  <si>
    <t>2N 36 16 25 12 33</t>
  </si>
  <si>
    <t>2N 36 16 25 15 10</t>
  </si>
  <si>
    <t>Ajudante (Ajudante Prático - SINDUSCON) (LABOR)</t>
  </si>
  <si>
    <t>Pintor (Oficial - SINDUSCON) (LABOR)</t>
  </si>
  <si>
    <t xml:space="preserve">Barra de metalon quadrada 30x30 mm </t>
  </si>
  <si>
    <t>Chapa de alumínio lisa com  3 mm de espessura</t>
  </si>
  <si>
    <t>Roldana (Rodízio Napoleão)</t>
  </si>
  <si>
    <t>Trilho para roldana napoleão</t>
  </si>
  <si>
    <t>Suporte para trilho</t>
  </si>
  <si>
    <t>AGUARRAZ MINERAL (LABOR)</t>
  </si>
  <si>
    <t>ESMALTE SINTETICO (LABOR)</t>
  </si>
  <si>
    <t>LIXA P/ FERRO Nº 100 K-246 225X275MM - NORTON OU
EQUIVALENTE (LABOR)</t>
  </si>
  <si>
    <t>ZARCAO (LABOR)</t>
  </si>
  <si>
    <t>Muxarabi em barra chata 2" x 1/8 inclusive requadro, soldagem, pintura e instalação.</t>
  </si>
  <si>
    <t xml:space="preserve">MONTADOR DE ESTRUTURA - SINTRACONST </t>
  </si>
  <si>
    <t xml:space="preserve"> AJUDANTE MONTADOR ELETROMECÂNICO - (AJUDANTE DE MONTAGEM SINTRACONST)</t>
  </si>
  <si>
    <t xml:space="preserve">PINTOR -(OFICIAL - SINDUSCON) </t>
  </si>
  <si>
    <t xml:space="preserve">AJUDANTE (AJUDANTE PRATICO - SINDUSCON) </t>
  </si>
  <si>
    <t>Barra Chata 2" x 1/8</t>
  </si>
  <si>
    <t>JATEAMENTO PADRÃO SA 2  1/2 (LABOR)</t>
  </si>
  <si>
    <t>PRIMER A BASE DE EPÓXI (LABOR)</t>
  </si>
  <si>
    <t>TINTA EPÓXI CATALISAVEL PARA ACABAMENTO (LABOR)</t>
  </si>
  <si>
    <t>ZARCÃO (LABOR)</t>
  </si>
  <si>
    <t>ELETRODO REVESTIDO AWS - E7018, DIÂMETRO IGUAL À 4,00MM</t>
  </si>
  <si>
    <t>SOLVENTE PARA TINTA A BASE DE EPÓXI (LABOR)</t>
  </si>
  <si>
    <t>Pergolado em alumínio branco, inclusive fornecimento e instalação conforme detalhamento em projeto</t>
  </si>
  <si>
    <t>PARAFUSO GALV. C/PORCA E ARRUELA 16MM X 200MM</t>
  </si>
  <si>
    <t>CANTONEIRA ABAS IGUAIS DE FERRO ASTM A-36 - 1/8" X 3/4" X 3/4"</t>
  </si>
  <si>
    <t>Impermeabilização sobre bloco de concreto empregando nata de cimento e aditivo impermeabilizante tipo sika 1 ou equivalente, traço 1:1 a duas demãos.</t>
  </si>
  <si>
    <t xml:space="preserve">CIMENTO PORTLAND CP III - 40 (LABOR) </t>
  </si>
  <si>
    <t xml:space="preserve">ADITIVO SIKA 1 (LABOR) </t>
  </si>
  <si>
    <t>Piso de concreto polido, espessura 3 cm, inclusive junta plástica de 17x3 mm</t>
  </si>
  <si>
    <t>ALISADORA DE CONCRETO COM MOTOR A GASOLINA DE 5,5 HP, PESO COM MOTOR DE 78 UN KG, 4 PAS</t>
  </si>
  <si>
    <t>AREIA LAVADA MEDIA (LABOR)</t>
  </si>
  <si>
    <t>SARRAFO DE MADEIRA DE LEI 8 X 2.5 CM (BRUTA)
(LABOR)</t>
  </si>
  <si>
    <t>JUNTA PLASTICA DE 17 X 3 MM (LABOR)</t>
  </si>
  <si>
    <t>CP 038</t>
  </si>
  <si>
    <t>Redução 50mm x 40mm</t>
  </si>
  <si>
    <t>Redução 50x40</t>
  </si>
  <si>
    <t xml:space="preserve">SOLUCAO LIMPADORA PARA PVC RIGIDO (LABOR) </t>
  </si>
  <si>
    <t>CP 064</t>
  </si>
  <si>
    <t>Plantio de muda de piteira agave, inclusive terra vegetal e vaso para plantio.</t>
  </si>
  <si>
    <t>SERVENTE DE OBRAS</t>
  </si>
  <si>
    <t>JARDINEIRO HORISTA</t>
  </si>
  <si>
    <t>TERRA VEGETAL (LABOR)</t>
  </si>
  <si>
    <t>VASO DE PLANTA</t>
  </si>
  <si>
    <t>MUDA DE PITEIRA AGAVE</t>
  </si>
  <si>
    <t>CP 065</t>
  </si>
  <si>
    <t>Plantio de muda bromélia inclusive terra vegetal, vaso e suporte para vaso.</t>
  </si>
  <si>
    <t>Muda de Bromélia</t>
  </si>
  <si>
    <t>VASO DE PLANTA COM ALTURA MÍNIMA 60 CM</t>
  </si>
  <si>
    <t>Tripé para vaso de planta</t>
  </si>
  <si>
    <t>CP 067</t>
  </si>
  <si>
    <t>CP 068</t>
  </si>
  <si>
    <t>Chapa Expandida 1/8mm, inclusive soldagem, pintura epóxi e plantio de muda arbusto/trepadeira ou equivalente</t>
  </si>
  <si>
    <t>CHAPA EXPANDIDA</t>
  </si>
  <si>
    <t>TINTA EPOXI CATALISAVEL PARA ACABAMENTO</t>
  </si>
  <si>
    <t>ELETRODO REVESTIDO AWS - E708, DIÂMETRO IGUAL A 4,00MM</t>
  </si>
  <si>
    <t>MUDA DE ARBUSTO FOLHAGEM, SANSAO-DO-CAMPO OU EQUIVALENTE DA REGIAO, H= *50 A 70* CM</t>
  </si>
  <si>
    <t>CP 039</t>
  </si>
  <si>
    <t>Caixa de gordura simples de alv. bloco concr.9x19x39cm, dim.1250mmx550mm e Hmáx=1m, com tampa em concr.esp.5cm, lastro concr. esp. 10cm, revestida intern. c/ chapisco e reboco impermeab, escavação, reaterro e parede interna em concr.</t>
  </si>
  <si>
    <t xml:space="preserve">BETONEIRA 320 L (E301) (LABOR) </t>
  </si>
  <si>
    <t>AJUDANTE (AJUDANTE PRATICO - SINDUSCON)
(LABOR)</t>
  </si>
  <si>
    <t xml:space="preserve">ARMADOR (OFICIAL - SINDUSCON) (LABOR) </t>
  </si>
  <si>
    <t xml:space="preserve">CARPINTEIRO (OFICIAL - SINDUSCON) (LABOR) </t>
  </si>
  <si>
    <t>SERVENTE (AUXILIAR DE OBRAS - SINDUSCON)
(LABOR)</t>
  </si>
  <si>
    <t>ACO CA-50 DE 8.0MM (LABOR)</t>
  </si>
  <si>
    <t>ADITIVO SIKA 1 (LABOR)</t>
  </si>
  <si>
    <t>ARAME RECOZIDO N.18 BWG (LABOR)</t>
  </si>
  <si>
    <t xml:space="preserve">AREIA LAVADA MEDIA (LABOR) </t>
  </si>
  <si>
    <t>BLOCO DE CONCRETO 9 X 19 X 39CM - VEDACAO
(LABOR)</t>
  </si>
  <si>
    <t xml:space="preserve">BRITA 1 (LABOR) </t>
  </si>
  <si>
    <t xml:space="preserve">BRITA 2 (LABOR) </t>
  </si>
  <si>
    <t xml:space="preserve">CAL HIDRATADO P/ ARGAMASSA CH III (LABOR) </t>
  </si>
  <si>
    <t xml:space="preserve"> KG </t>
  </si>
  <si>
    <t>CIMENTO PORTLAND CP III - 40 (LABOR)</t>
  </si>
  <si>
    <t xml:space="preserve">DESMOLDANTE PARA FORMAS (LABOR) </t>
  </si>
  <si>
    <t xml:space="preserve">JOELHO 90 DE PVC P/ ESGOTO DE 75MM (LABOR) </t>
  </si>
  <si>
    <t xml:space="preserve">PREGO 18X27 (LABOR) </t>
  </si>
  <si>
    <t xml:space="preserve">SARRAFO DE MADEIRA PINUS 10 X 2.5CM (LABOR) </t>
  </si>
  <si>
    <t xml:space="preserve">TABUA DE MADEIRA PINUS 30 X 2.5 CM (LABOR) </t>
  </si>
  <si>
    <t>CP 052</t>
  </si>
  <si>
    <t>Arandela quadrada led 12w.</t>
  </si>
  <si>
    <t xml:space="preserve">ELETRICISTA (OFICIAL - SINDUSCON) (LABOR) </t>
  </si>
  <si>
    <t xml:space="preserve">Arandela Quadrada </t>
  </si>
  <si>
    <t>CP 053</t>
  </si>
  <si>
    <t>Painel plafon de sobrepor 25w led quadrado 30x30 cm.</t>
  </si>
  <si>
    <t xml:space="preserve">Painel plafon 25w led quadrado </t>
  </si>
  <si>
    <t>CP 054</t>
  </si>
  <si>
    <t>Painel plafon de sobrepor 36w led quadrado 40x40 cm.</t>
  </si>
  <si>
    <t xml:space="preserve">Painel plafon 36w led quadrado </t>
  </si>
  <si>
    <t>Fornecimento e aplicação de concreto USINADO Fck=40 MPa - considerando lançamento MANUAL para INFRA-
ESTRUTURA (5% de perdas já incluído no custo)</t>
  </si>
  <si>
    <t>CONCRETO USINADO BOMBEAVEL, CLASSE DE RESISTENCIA C40, COM BRITA 0 E 1, SLUMP = 100 +/- 20 MM, EXCLUI SERVICO DE BOMBEAMENTO (NBR 8953)</t>
  </si>
  <si>
    <t>Fornecimento e aplicação de concreto USINADO Fck=40 MPa - considerando BOMBEAMENTO (5% de perdas já incluído no custo) (6% de taxa p/ concr. bombeavel)</t>
  </si>
  <si>
    <t>VIBRADOR DE IMERSAO ELETRICO 2HP (E306) (LABOR)</t>
  </si>
  <si>
    <t xml:space="preserve">BOMBEAMENTO DE CONCRETO (LABOR) </t>
  </si>
  <si>
    <t>CP 043</t>
  </si>
  <si>
    <t>PEDREIRO (OFICIAL - SINDUSCON)</t>
  </si>
  <si>
    <t xml:space="preserve">SERVENTE (AUXILIAR DE OBRAS - SINDUSCON)  </t>
  </si>
  <si>
    <t>Areia lavada média</t>
  </si>
  <si>
    <t>Cimento Portland CP III - 40</t>
  </si>
  <si>
    <t>Granito branco Siena e = 2 cm, para bancadas</t>
  </si>
  <si>
    <t>Rodopia em granito branco Siena, L = 20cm, e = 2 cm</t>
  </si>
  <si>
    <t>CP 044</t>
  </si>
  <si>
    <t>CP 055</t>
  </si>
  <si>
    <t>CP 056</t>
  </si>
  <si>
    <t>CP 057</t>
  </si>
  <si>
    <t>CP 058</t>
  </si>
  <si>
    <t>CP 059</t>
  </si>
  <si>
    <t>Disjuntor a Seco 1 Polo, 10A, Curva B</t>
  </si>
  <si>
    <t>CP 066</t>
  </si>
  <si>
    <t>Coifa de parede pirâmide com 90 cm, inclusive fornecimento e instalação</t>
  </si>
  <si>
    <t>Coifa de parede pirãmide com 90 cm</t>
  </si>
  <si>
    <t>PORTA DE ALUMÍNIO DE ABRIR COM LAMBRI, COM GUARNIÇÃO, FIXAÇÃO COM PARAFUSOS - FORNECIMENTO E INSTALAÇÃO.</t>
  </si>
  <si>
    <t>SELANTE ELASTICO MONOCOMPONENTE A BASE DE POLIURETANO (PU) PARA JUNTAS DIV 310ML ERSAS</t>
  </si>
  <si>
    <t>ML</t>
  </si>
  <si>
    <t>PORTA DE ABRIR EM ALUMINIO COM LAMBRI HORIZONTAL/LAMINADA, ACABAMENTO ANODIZADO NATURAL, SEM GUARNICAO/ALIZAR/VISTA</t>
  </si>
  <si>
    <t>BUCHA DE NYLON SEM ABA S10, COM PARAFUSO DE 6,10 X 65 MM EM ACO ZINCADO COM ROSCA SOBERBA, CABECA CHATA E FENDA PHILLIPS</t>
  </si>
  <si>
    <t>GUARNICAO / MOLDURA / ARREMATE DE ACABAMENTO PARA ESQUADRIA, EM ALUMINIO PERFIL 25, ACABAMENTO ANODIZADO BRANCO OU BRILHANTE, PARA 1 FACE</t>
  </si>
  <si>
    <t>PORTA DE ALUMÍNIO DE ABRIR COM LAMBRI, COM VENEZIANA, COM GUARNIÇÃO, FIXAÇÃO COM PARAFUSOS - FORNECIMENTO E INSTALAÇÃO.</t>
  </si>
  <si>
    <t>Perfil venesiana lisa</t>
  </si>
  <si>
    <t>ALVENARIA DE VEDAÇÃO COM BLOCO DE VIDRO, TIPO CANELADO, DE 8X19X19CM E ARGAMASSA DE ASSENTAMENTO COM PREPARO EM BETONEIRA.</t>
  </si>
  <si>
    <t>BLOCO / TIJOLO DE VIDRO INCOLOR, CANELADO / ONDULADO, *19 X 19 X 8* CM (A UM X L X E)</t>
  </si>
  <si>
    <t>ACO CA-60, 4,2 MM, OU 5,0 MM, OU 6,0 MM, OU 7,0 MM, VERGALHAO</t>
  </si>
  <si>
    <t>ARGAMASSA TRAÇO 1:2:8 (EM VOLUME DE CIMENTO, CAL E AREIA MÉDIA ÚMIDA) PARA EMBOÇO/MASSA ÚNICA/ASSENTAMENTO DE ALVENARIA DE VEDAÇÃO, PREPARO MECÂNICO COM BETONEIRA 400 L.</t>
  </si>
  <si>
    <t>IMPERMEABILIZAÇÃO DE SUPERFÍCIE COM MANTA ASFÁLTICA, DUAS CAMADAS, INCLUSIVE APLICAÇÃO DE PRIMER ASFÁLTICO, E=3MM E E=4MM</t>
  </si>
  <si>
    <t>IMPERMEABILIZADOR</t>
  </si>
  <si>
    <t>PRIMER PARA MANTA ASFALTICA A BASE DE ASFALTO MODIFICADO DILUIDO EM SOLVENTE, APLICACAO A FRIO</t>
  </si>
  <si>
    <t>MANTA ASFALTICA ELASTOMERICA EM POLIESTER 3 MM, TIPO III, CLASSE B, ACABAMENTO PP (NBR 9952)</t>
  </si>
  <si>
    <t>MANTA ASFALTICA ELASTOMERICA EM POLIESTER 4 MM, TIPO III, CLASSE B, ACABAMENTO PP (NBR 9952)</t>
  </si>
  <si>
    <t>GAS DE COZINHA - GLP</t>
  </si>
  <si>
    <t>ADAPTADOR CURTO COM BOLSA E ROSCA PARA REGISTRO, PVC, SOLDÁVEL, DN 32MM X 1, INSTALADO EM RAMAL OU SUB-RAMAL DE ÁGUA - FORNECIMENTO E INSTALAÇÃO.</t>
  </si>
  <si>
    <t>AUXILIAR DE ENCANADOR OU BOMBEIRO HIDRAULICO</t>
  </si>
  <si>
    <t>ADAPTADOR PVC SOLDAVEL CURTO COM BOLSA E ROSCA, 32 MM X 1", PARA AGUA FRIA</t>
  </si>
  <si>
    <t>ADESIVO PLASTICO PARA PVC, FRASCO COM *850* GR</t>
  </si>
  <si>
    <t>SOLUCAO PREPARADORA / LIMPADORA PARA PVC, FRASCO COM 1000 CM3</t>
  </si>
  <si>
    <t>LIXA D'AGUA EM FOLHA, GRAO 100</t>
  </si>
  <si>
    <t>ADAPTADOR CURTO COM BOLSA E ROSCA PARA REGISTRO, PVC, SOLDÁVEL, DN 60MM X 2, INSTALADO EM PRUMADA DE ÁGUA - FORNECIMENTO E INSTALAÇÃO.</t>
  </si>
  <si>
    <t>ADAPTADOR PVC SOLDAVEL CURTO COM BOLSA E ROSCA, 60 MM X 2", PARA AGUA FRIA</t>
  </si>
  <si>
    <t>ADAPTADOR CURTO COM BOLSA E ROSCA PARA REGISTRO, PVC, SOLDÁVEL, DN 50MM X 1.1/2, INSTALADO EM PRUMADA DE ÁGUA - FORNECIMENTO E INSTALAÇÃO.</t>
  </si>
  <si>
    <t>ADAPTADOR PVC SOLDAVEL CURTO COM BOLSA E ROSCA, 50 MM X1 1/2", PARA AGUA FRIA</t>
  </si>
  <si>
    <t>ADAPTADOR CURTO COM BOLSA E ROSCA PARA REGISTRO, PVC, SOLDÁVEL, DN 40MM X 1.1/4, INSTALADO EM PRUMADA DE ÁGUA - FORNECIMENTO E INSTALAÇÃO.</t>
  </si>
  <si>
    <t>ADAPTADOR PVC SOLDAVEL CURTO COM BOLSA E ROSCA, 40 MM X 1 1/4", PARA AGUA FRIA</t>
  </si>
  <si>
    <t>CURVA 90 GRAUS, PVC, SOLDÁVEL, DN 50MM, INSTALADO EM PRUMADA DE ÁGUA - FORNECIMENTO E INSTALAÇÃO.</t>
  </si>
  <si>
    <t>CURVA DE PVC 90 GRAUS, SOLDAVEL, 50 MM, PARA AGUA FRIA PREDIAL (NBR 5648)</t>
  </si>
  <si>
    <t>CURVA 90 GRAUS, PVC, SOLDÁVEL, DN 20MM, INSTALADO EM RAMAL OU SUB-RAMAL DE ÁGUA - FORNECIMENTO E INSTALAÇÃO.</t>
  </si>
  <si>
    <t>CURVA DE PVC 90 GRAUS, SOLDAVEL, 20 MM, PARA AGUA FRIA PREDIAL (NBR 5648)</t>
  </si>
  <si>
    <t>CURVA 90 GRAUS, PVC, SOLDÁVEL, DN 32MM, INSTALADO EM RAMAL OU SUB-RAMAL DE ÁGUA - FORNECIMENTO E INSTALAÇÃO.</t>
  </si>
  <si>
    <t>CURVA DE PVC 90 GRAUS, SOLDAVEL, 32 MM, PARA AGUA FRIA PREDIAL (NBR 5648)</t>
  </si>
  <si>
    <t>JOELHO 90 GRAUS, PVC, SOLDÁVEL, DN 50MM, INSTALADO EM PRUMADA DE ÁGUA - FORNECIMENTO E INSTALAÇÃO.</t>
  </si>
  <si>
    <t>JOELHO PVC, SOLDAVEL, 90 GRAUS, 50 MM, PARA AGUA FRIA PREDIAL</t>
  </si>
  <si>
    <t>JOELHO 90 GRAUS, PVC, SOLDÁVEL, DN 32MM, INSTALADO EM RAMAL OU SUB-RAMAL DE ÁGUA - FORNECIMENTO E INSTALAÇÃO.</t>
  </si>
  <si>
    <t>JOELHO PVC, SOLDAVEL, 90 GRAUS, 32 MM, PARA AGUA FRIA PREDIAL</t>
  </si>
  <si>
    <t>TÊ, PVC, SOLDÁVEL, DN 32 MM INSTALADO EM RESERVAÇÃO DE ÁGUA DE EDIFICAÇÃO QUE POSSUA RESERVATÓRIO DE FIBRA/FIBROCIMENTO FORNECIMENTO E INSTALAÇÃO.</t>
  </si>
  <si>
    <t>TE SOLDAVEL, PVC, 90 GRAUS, 32 MM, PARA AGUA FRIA PREDIAL (NBR 5648)</t>
  </si>
  <si>
    <t>ADESIVO PLASTICO PARA PVC, FRASCO COM 175 GR</t>
  </si>
  <si>
    <t>TÊ, PVC, SOLDÁVEL, DN 50 MM INSTALADO EM RESERVAÇÃO DE ÁGUA DE EDIFICAÇÃO QUE POSSUA RESERVATÓRIO DE FIBRA/FIBROCIMENTO FORNECIMENTO E INSTALAÇÃO.</t>
  </si>
  <si>
    <t>TE SOLDAVEL, PVC, 90 GRAUS,50 MM, PARA AGUA FRIA PREDIAL (NBR 5648)</t>
  </si>
  <si>
    <t>TÊ DE REDUÇÃO, PVC, SOLDÁVEL, DN 32 MM X 25 MM, INSTALADO EM RESERVAÇÃO DE ÁGUA DE EDIFICAÇÃO QUE POSSUA RESERVATÓRIO DE FIBRA/FIBROCIMENTO FORNECIMENTO E INSTALAÇÃO.</t>
  </si>
  <si>
    <t>TE DE REDUCAO, PVC, SOLDAVEL, 90 GRAUS, 32 MM X 25 MM, PARA AGUA FRIA PREDIAL</t>
  </si>
  <si>
    <t>JOELHO 45 GRAUS, PVC, SERIE NORMAL, ESGOTO PREDIAL, DN 75 MM, JUNTA ELÁSTICA, FORNECIDO E INSTALADO EM RAMAL DE DESCARGA OU RAMAL DE ESGOTO SANITÁRIO</t>
  </si>
  <si>
    <t>ANEL BORRACHA PARA TUBO ESGOTO PREDIAL, DN 75 MM (NBR 5688)</t>
  </si>
  <si>
    <t>JOELHO PVC, SOLDAVEL, PB, 45 GRAUS, DN 75 MM, PARA ESGOTO PREDIAL</t>
  </si>
  <si>
    <t>PASTA LUBRIFICANTE PARA TUBOS E CONEXOES COM JUNTA ELASTICA, EMBALAGEM DE *400* GR (USO EM PVC, ACO, POLIETILENO E OUTROS)</t>
  </si>
  <si>
    <t>JOELHO 45 GRAUS, PVC, SERIE NORMAL, ESGOTO PREDIAL, DN 100 MM, JUNTA ELÁSTICA, FORNECIDO E INSTALADO EM RAMAL DE DESCARGA OU RAMAL DE ESGOTO SANITÁRIO</t>
  </si>
  <si>
    <t>ANEL BORRACHA PARA TUBO ESGOTO PREDIAL, DN 100 MM (NBR 5688)</t>
  </si>
  <si>
    <t>JOELHO PVC, SOLDAVEL, PB, 45 GRAUS, DN 100 MM, PARA ESGOTO PREDIAL</t>
  </si>
  <si>
    <t>JOELHO 45 GRAUS, PVC, SERIE NORMAL, ESGOTO PREDIAL, DN 50 MM, JUNTA ELÁSTICA, FORNECIDO E INSTALADO EM RAMAL DE DESCARGA OU RAMAL DE ESGOTO SANITÁRIO</t>
  </si>
  <si>
    <t>ANEL BORRACHA PARA TUBO ESGOTO PREDIAL, DN 50 MM (NBR 5688)</t>
  </si>
  <si>
    <t>JOELHO PVC, SOLDAVEL, PB, 45 GRAUS, DN 50 MM, PARA ESGOTO PREDIAL</t>
  </si>
  <si>
    <t>JOELHO 45 GRAUS, PVC, SERIE NORMAL, ESGOTO PREDIAL, DN 40 MM, JUNTA SOLDÁVEL, FORNECIDO E INSTALADO EM RAMAL DE DESCARGA OU RAMAL DE ESGOTO SANITÁRIO.</t>
  </si>
  <si>
    <t xml:space="preserve">ADESIVO PLASTICO PARA PVC, FRASCO COM *850* </t>
  </si>
  <si>
    <t xml:space="preserve">JOELHO PVC, SOLDAVEL, BB, 45 GRAUS, DN 40 MM, PARA ESGOTO PREDIAL   </t>
  </si>
  <si>
    <t>SOLUCAO PREPARADORA / LIMPADORA PARA PVC, FRASCO COM 1000</t>
  </si>
  <si>
    <t xml:space="preserve">LIXA D'AGUA EM FOLHA, GRAO 100  </t>
  </si>
  <si>
    <t>JOELHO 90 GRAUS, PVC, SERIE NORMAL, ESGOTO PREDIAL, DN 75 MM, JUNTA ELÁSTI CA, FORNECIDO E INSTALADO EM RAMAL DE DESCARGA OU RAMAL DE ESGOTO SANITÁRIO.</t>
  </si>
  <si>
    <t xml:space="preserve">ANEL BORRACHA PARA TUBO ESGOTO PREDIAL, DN 75 MM (NBR 5688)   </t>
  </si>
  <si>
    <t>JOELHO PVC, SOLDAVEL, PB, 90 GRAUS, DN 75 MM, PARA ESGOTO PREDIAL</t>
  </si>
  <si>
    <t>JOELHO 90 GRAUS, PVC, SERIE NORMAL, ESGOTO PREDIAL, DN 50 MM, JUNTA ELÁSTICA, FORNECIDO E INSTALADO EM RAMAL DE DESCARGA OU RAMAL DE ESGOTO SANITÁRIO.</t>
  </si>
  <si>
    <t xml:space="preserve">ANEL BORRACHA PARA TUBO ESGOTO PREDIAL, DN 50 MM (NBR 5688) </t>
  </si>
  <si>
    <t xml:space="preserve">JOELHO PVC, SOLDAVEL, PB, 90 GRAUS, DN 50 MM, PARA ESGOTO PREDIAL </t>
  </si>
  <si>
    <t>JOELHO 90 GRAUS, PVC, SERIE NORMAL, ESGOTO PREDIAL, DN 40 MM, JUNTA SOLDÁV EL, FORNECIDO E INSTALADO EM RAMAL DE DESCARGA OU RAMAL DE ESGOTO SANITÁRIO.</t>
  </si>
  <si>
    <t>ADESIVO PLASTICO PARA PVC, FRASCO COM *850*</t>
  </si>
  <si>
    <t xml:space="preserve">JOELHO PVC, SOLDAVEL, BB, 90 GRAUS, DN 40 MM, PARA ESGOTO PREDIAL </t>
  </si>
  <si>
    <t xml:space="preserve">SOLUCAO PREPARADORA / LIMPADORA PARA PVC, FRASCO COM 1000 </t>
  </si>
  <si>
    <t xml:space="preserve">LIXA D'AGUA EM FOLHA, GRAO 100 </t>
  </si>
  <si>
    <t>LUVA SIMPLES, PVC, SERIE NORMAL, ESGOTO PREDIAL, DN 75 MM, JUNTA ELÁSTICA, FORNECIDO E INSTALADO EM RAMAL DE DESCARGA OU RAMAL DE ESGOTO SANITÁRIO.</t>
  </si>
  <si>
    <t xml:space="preserve">ANEL BORRACHA PARA TUBO ESGOTO PREDIAL, DN 75 MM (NBR 5688)  </t>
  </si>
  <si>
    <t>LUVA SIMPLES, PVC, SOLDAVEL, DN 75 MM, SERIE NORMAL, PARA ESGOTO PREDIAL</t>
  </si>
  <si>
    <t>PASTA LUBRIFICANTE PARA TUBOS E CONEXOES COM JUNTA ELASTICA, EMBALAGEM DE*400* GR (USO EM PVC, ACO, POLIETILENO E OUTROS)</t>
  </si>
  <si>
    <t>CP 035</t>
  </si>
  <si>
    <t>LUVA SIMPLES, PVC, SERIE NORMAL, ESGOTO PREDIAL, DN 50 MM, JUNTA ELÁSTICA, FORNECIDO E INSTALADO EM RAMAL DE DESCARGA OU RAMAL DE ESGOTO SANITÁRIO.</t>
  </si>
  <si>
    <t>LUVA SIMPLES, PVC, SOLDAVEL, DN 50 MM, SERIE NORMAL, PARA ESGOTO PREDIAL</t>
  </si>
  <si>
    <t>PASTA LUBRIFICANTE PARA TUBOS E CONEXOES COM JUNTA ELASTICA, EMBALAGEM DE  *400* GR (USO EM PVC, ACO, POLIETILENO E OUTROS)</t>
  </si>
  <si>
    <t>CP 036</t>
  </si>
  <si>
    <t>LUVA SIMPLES, PVC, SERIE NORMAL, ESGOTO PREDIAL, DN 40 MM, JUNTA SOLDÁVEL, FORNECIDO E INSTALADO EM RAMAL DE DESCARGA OU RAMAL DE ESGOTO SANITÁRIO.</t>
  </si>
  <si>
    <t xml:space="preserve">LUVA SIMPLES, PVC, SOLDAVEL, DN 40 MM, SERIE NORMAL, PARA ESGOTO PREDIAL </t>
  </si>
  <si>
    <t>CP 037</t>
  </si>
  <si>
    <t>LUVA DE CORRER, PVC, SERIE NORMAL, ESGOTO PREDIAL, DN 100 MM, JUNTA ELÁSTICA, FORNECIDO E INSTALADO EM RAMAL DE DESCARGA OU RAMAL DE ESGOTO SANITÁRIO.</t>
  </si>
  <si>
    <t xml:space="preserve">ANEL BORRACHA PARA TUBO ESGOTO PREDIAL, DN 100 MM (NBR 5688)   </t>
  </si>
  <si>
    <t xml:space="preserve">LUVA DE CORRER, PVC, DN 100 MM, PARA ESGOTO PREDIAL       </t>
  </si>
  <si>
    <t>PASTA LUBRIFICANTE PARA TUBOS E CONEXOES COM JUNTA ELASTICA, EMBALAGEM DE*400* GR</t>
  </si>
  <si>
    <t>CP 040</t>
  </si>
  <si>
    <t>LAVATÓRIO LOUÇA BRANCA COM COLUNA, *44 X 35,5* CM, PADRÃO POPULAR - FORNECIMENTO E INSTALAÇÃO.</t>
  </si>
  <si>
    <t>PARAFUSO NIQUELADO 3 1/2" COM ACABAMENTO CROMADO PARA FIXAR PECA SANITARIA  , INCLUI PORCA CEGA, ARRUELA E BUCHA DE NYLON TAMANHO S-8</t>
  </si>
  <si>
    <t xml:space="preserve">LAVATORIO DE LOUCA BRANCA, COM COLUNA, DIMENSOES *44 X 35* CM (L X C) </t>
  </si>
  <si>
    <t xml:space="preserve">REJUNTE EPOXI, QUALQUER COR   </t>
  </si>
  <si>
    <t>CP 041</t>
  </si>
  <si>
    <t>BARRA DE APOIO RETA, EM ACO INOX POLIDO, COMPRIMENTO 70 CM,  FIXADA NA PAREDE - FORNECIMENTO E INSTALAÇÃO.</t>
  </si>
  <si>
    <t>BARRA DE APOIO RETA, EM ACO INOX POLIDO, COMPRIMENTO 70CM, DIAMETRO MINIMO 3 CM</t>
  </si>
  <si>
    <t>CP 042</t>
  </si>
  <si>
    <t>BARRA DE APOIO RETA, EM ACO INOX POLIDO, COMPRIMENTO 80 CM,  FIXADA NA PAR EDE - FORNECIMENTO E INSTALAÇÃO.</t>
  </si>
  <si>
    <t>BARRA DE APOIO RETA, EM ACO INOX POLIDO, COMPRIMENTO 80CM, DIAMETRO MINIMO 3 CM</t>
  </si>
  <si>
    <t>CP 045</t>
  </si>
  <si>
    <t>ELETRODUTO FLEXÍVEL CORRUGADO, PVC, DN 20 MM (1/2"), PARA CIRCUITOS TERMINAIS, INSTALADO EM PAREDE - FORNECIMENTO E INSTALAÇÃO.</t>
  </si>
  <si>
    <t xml:space="preserve">ELETRICISTA (OFICIAL - SINDUSCON) </t>
  </si>
  <si>
    <t xml:space="preserve">ELETRODUTO PVC FLEXIVEL CORRUGADO, COR AMARELA, DE 20 MM    </t>
  </si>
  <si>
    <t>CP 046</t>
  </si>
  <si>
    <t>ELETRODUTO FLEXÍVEL CORRUGADO, PVC, DN 25 MM (3/4"), PARA CIRCUITOS TERMINAIS, INSTALADO EM PAREDE - FORNECIMENTO E INSTALAÇÃO.</t>
  </si>
  <si>
    <t xml:space="preserve">ELETRODUTO PVC FLEXIVEL CORRUGADO, COR AMARELA, DE 25 MM </t>
  </si>
  <si>
    <t>CP 047</t>
  </si>
  <si>
    <t>ELETRODUTO FLEXÍVEL CORRUGADO, PVC, DN 25 MM (3/4"), PARA CIRCUITOS TERMINAIS, INSTALADO EM LAJE - FORNECIMENTO E INSTALAÇÃO.</t>
  </si>
  <si>
    <t>ARAME RECOZIDO 16 BWG, D = 1,65 MM (0,016 KG/M) OU 18 BWG, D = 1,25 MM (0,01 KG/M)</t>
  </si>
  <si>
    <t>CP 048</t>
  </si>
  <si>
    <t>QUADRO DE DISTRIBUIÇÃO DE ENERGIA EM PVC, DE EMBUTIR, SEM BARRAMENTO, PARA  6 DISJUNTORES - FORNECIMENTO E INSTALAÇÃO.</t>
  </si>
  <si>
    <t>QUADRO DE DISTRIBUICAO, SEM BARRAMENTO, EM PVC, DE EMBUTIR, PARA 6 DISJUNTORES NEMA OU 8 DISJUNTORES</t>
  </si>
  <si>
    <t>ARGAMASSA TRAÇO 1:1:6 (EM VOLUME DE CIMENTO, CAL E AREIA MÉDIA ÚMIDA) PARAEMBOÇO/MASSA ÚNICA/ASSENTAMENTO DE ALVENARIA DE VEDAÇÃO, PREPARO MANUAL.</t>
  </si>
  <si>
    <t>CP 049</t>
  </si>
  <si>
    <t>TOMADA MÉDIA DE EMBUTIR (1 MÓDULO), 2P+T 20 A, INCLUINDO SUPORTE E PLACA -   FORNECIMENTO E INSTALAÇÃO.</t>
  </si>
  <si>
    <t xml:space="preserve"> TOMADA 2P+T 20A 250V, CONJUNTO MONTADO PARA EMBUTIR 4" X 2" (PLACA + SUPORTE + MODULO)</t>
  </si>
  <si>
    <t>CP 050</t>
  </si>
  <si>
    <t>TOMADA ALTA DE EMBUTIR (1 MÓDULO), 2P+T 20 A, INCLUINDO SUPORTE E PLACA -FORNECIMENTO E INSTALAÇÃO.</t>
  </si>
  <si>
    <t>CP 051</t>
  </si>
  <si>
    <t>TOMADA BAIXA DE EMBUTIR (2 MÓDULOS), 2P+T 20 A, INCLUINDO SUPORTE E PLACA  - FORNECIMENTO E INSTALAÇÃO.</t>
  </si>
  <si>
    <t>CP 060</t>
  </si>
  <si>
    <t>CABO DE COBRE FLEXÍVEL ISOLADO, 2,5 MM², ANTI-CHAMA 450/750 V, PARA CIRCUITOS TERMINAIS - FORNECIMENTO E INSTALAÇÃO.</t>
  </si>
  <si>
    <t>CABO DE COBRE, FLEXIVEL, CLASSE 4 OU 5, ISOLACAO EM PVC/A, ANTICHAMA BWF-B, 1 CONDUTOR, 450/750 V, SECAO NOMINAL 2,5 MM2</t>
  </si>
  <si>
    <t xml:space="preserve">FITA ISOLANTE ADESIVA ANTICHAMA, USO ATE 750 V, EM ROLO DE 19 MM X 5 M  </t>
  </si>
  <si>
    <t>CP 061</t>
  </si>
  <si>
    <t>CABO DE COBRE FLEXÍVEL ISOLADO, 1,5 MM², ANTI-CHAMA 450/750 V, PARA CIRCUITOS TERMINAIS - FORNECIMENTO E INSTALAÇÃO.</t>
  </si>
  <si>
    <t>CABO DE COBRE, FLEXIVEL, CLASSE 4 OU 5, ISOLACAO EM PVC/A, ANTICHAMA BWF-B , 1 CONDUTOR, 450/750 V, SECAO NOMINAL 1,5 MM2</t>
  </si>
  <si>
    <t>Chuveirão Externo Inox Piscina Campo Praia Ducha Ionizador, inclusive fornecimento e instalação</t>
  </si>
  <si>
    <t>Chuveirão Externo Inox Piscina Campo Praia Ducha Ionizador</t>
  </si>
  <si>
    <t>AMÉRICA LATINA ENGENHARIA</t>
  </si>
  <si>
    <t xml:space="preserve"> PESQUISA DE MERCADO - COMPOSIÇÃO 62</t>
  </si>
  <si>
    <t>CP-62</t>
  </si>
  <si>
    <t>Cimento Queimado PortoKoll</t>
  </si>
  <si>
    <t>PREÇO/KG</t>
  </si>
  <si>
    <t>Rendimento</t>
  </si>
  <si>
    <t>PRECO / M2</t>
  </si>
  <si>
    <t>Copafer</t>
  </si>
  <si>
    <t>55.728.224/0001-06</t>
  </si>
  <si>
    <t>Telefone: (11) 4996-6000</t>
  </si>
  <si>
    <t>2,5 M2</t>
  </si>
  <si>
    <t>Casa e Construção</t>
  </si>
  <si>
    <t>63.004.030.0030-20</t>
  </si>
  <si>
    <t>Telefone: (11) 4001-0100</t>
  </si>
  <si>
    <t xml:space="preserve"> PESQUISA DE MERCADO - COMPOSIÇÃO 23</t>
  </si>
  <si>
    <t>CP-23</t>
  </si>
  <si>
    <t>TOCA OBRA</t>
  </si>
  <si>
    <t>34.546.775/0001-89</t>
  </si>
  <si>
    <t>Telefone: (11) 2504-3060
E-mail:contato@tocaobra.com.br</t>
  </si>
  <si>
    <t xml:space="preserve"> PESQUISA DE MERCADO - COMPOSIÇÃO  13</t>
  </si>
  <si>
    <t>CP-13</t>
  </si>
  <si>
    <t>MAGAZINE LUIZA</t>
  </si>
  <si>
    <t>EXTRA.COM</t>
  </si>
  <si>
    <t xml:space="preserve"> 33.041.260/0652-90</t>
  </si>
  <si>
    <t>Telefone: 4003-3383</t>
  </si>
  <si>
    <t>LEROY MERLIM</t>
  </si>
  <si>
    <t>01.438.784/0048-61</t>
  </si>
  <si>
    <t>Telefone:  +55 (11) 4007-1380
E-mail: atendimento@Leroy Merlin.com.br</t>
  </si>
  <si>
    <t xml:space="preserve"> PESQUISA DE MERCADO - COMPOSIÇÃO  63</t>
  </si>
  <si>
    <t>CP-63</t>
  </si>
  <si>
    <t>Preço/m2</t>
  </si>
  <si>
    <t>MADEIRAMADEIRA
dimensão 3,00mx2,50m</t>
  </si>
  <si>
    <t xml:space="preserve">10.490.181/0001-35 </t>
  </si>
  <si>
    <t>Telefone: (41) 4063-7569
E-mail: contato@madeiramadeira.com.br</t>
  </si>
  <si>
    <t>CASA DE TOLDOS MOURA &amp; CIA
2,50mx2,00m</t>
  </si>
  <si>
    <t>23.112.049/0001-31</t>
  </si>
  <si>
    <t>Telefone: (16) 99336-5563
E-mail: casadostoldos2015@gmail.com</t>
  </si>
  <si>
    <t>LEROY MERLIM
3,00mx2,00m</t>
  </si>
  <si>
    <t xml:space="preserve"> PESQUISA DE MERCADO - COMPOSIÇÃO  67</t>
  </si>
  <si>
    <t>CP-67</t>
  </si>
  <si>
    <t>AMAZON</t>
  </si>
  <si>
    <t xml:space="preserve"> 15.436.940/0001-03</t>
  </si>
  <si>
    <t>Telefone: 0800 038 0541
ajuda-amazon@amazon.com.br</t>
  </si>
  <si>
    <t xml:space="preserve"> PESQUISA DE MERCADO - COMPOSIÇÃO 64</t>
  </si>
  <si>
    <t>CP-64</t>
  </si>
  <si>
    <t>Vaso para plantas, dimensões mínimas de 100 x 100 cm</t>
  </si>
  <si>
    <t xml:space="preserve">FOSTER PLAST </t>
  </si>
  <si>
    <t>23.016.163./0001-68</t>
  </si>
  <si>
    <t>Telefone:  (11) 5831-0429
E-mail: contato@fosterplast.com.br</t>
  </si>
  <si>
    <t xml:space="preserve">BG PLÁSTICOS </t>
  </si>
  <si>
    <t>23.483.939/0001-50</t>
  </si>
  <si>
    <t>Telefone: (11) 973841456
E-mail: contato@bgplasticos.com.br</t>
  </si>
  <si>
    <t xml:space="preserve"> PESQUISA DE MERCADO - COMPOSIÇÃO  38</t>
  </si>
  <si>
    <t>CP-38</t>
  </si>
  <si>
    <t>PONTO DO AÇO (1x2 m2)</t>
  </si>
  <si>
    <t xml:space="preserve">14.608.716/0005-04 </t>
  </si>
  <si>
    <t>Telefone: (79) 3259-2183
E-mail: dpo@pontodoaco.net</t>
  </si>
  <si>
    <t>CASA DO SERRALHEIRO (2x1 m2)</t>
  </si>
  <si>
    <t>12.982.965/0009-63</t>
  </si>
  <si>
    <t>Telefone: (27) 3226-8045
E-mail: contato@casaserralheiro.com.br</t>
  </si>
  <si>
    <t>CONSTRUVOLTS (1x1 m2)</t>
  </si>
  <si>
    <t>02.214.123/0001-50</t>
  </si>
  <si>
    <t>Telefone:  31 3390-2069
E-mail: construvolts@construvolts.com.br</t>
  </si>
  <si>
    <t xml:space="preserve"> PESQUISA DE MERCADO - COMPOSIÇÃO  64</t>
  </si>
  <si>
    <t>JARDINANDO</t>
  </si>
  <si>
    <t xml:space="preserve"> 18.989.542/0001-02</t>
  </si>
  <si>
    <t>Telefone: (92) 3023-4300
E-mail: sac@jardinando.com</t>
  </si>
  <si>
    <t>MEU VASO DE BARRO</t>
  </si>
  <si>
    <t>11.815.477/0001-41</t>
  </si>
  <si>
    <t>Telefone: 19982219724
E-mail: meuvasodebarro@gmail.com</t>
  </si>
  <si>
    <t>SITIO DA MATA</t>
  </si>
  <si>
    <t xml:space="preserve"> 10.708.848/0001-23
</t>
  </si>
  <si>
    <t>Telefone: (15) 3285-1651
E-mail: faleconosco@sitiodamata.com.br</t>
  </si>
  <si>
    <t xml:space="preserve"> PESQUISA DE MERCADO - COMPOSIÇÃO  04</t>
  </si>
  <si>
    <t>CP-04</t>
  </si>
  <si>
    <t xml:space="preserve">Barra chata 2x1/8 </t>
  </si>
  <si>
    <t>Preço/M</t>
  </si>
  <si>
    <t>ALADIM METAIS (6M)</t>
  </si>
  <si>
    <t>51.225.522/0001-22</t>
  </si>
  <si>
    <t>Telefone: (11) 5613-5777
E-mail: vendas219@aladimmetais.com.br</t>
  </si>
  <si>
    <t>CASA DO SERRALHEIRO (6M)</t>
  </si>
  <si>
    <t>POSSE FERRO (6M)</t>
  </si>
  <si>
    <t>10.535.678/0001-22</t>
  </si>
  <si>
    <t>Telefone: (21) 3102-4004
E-mail: sac@posseferro.com.br</t>
  </si>
  <si>
    <t xml:space="preserve"> PESQUISA DE MERCADO - COMPOSIÇÃO  65</t>
  </si>
  <si>
    <t>CP-65</t>
  </si>
  <si>
    <t xml:space="preserve">TRIPÉ PARA VASO </t>
  </si>
  <si>
    <t>CASAS BAHIA</t>
  </si>
  <si>
    <t xml:space="preserve">Telefone: (11) 4003-4336
</t>
  </si>
  <si>
    <t>Vaso com altura mínima 60cm</t>
  </si>
  <si>
    <t>BG PLÁSTICOS</t>
  </si>
  <si>
    <t>FOSTER PLAST</t>
  </si>
  <si>
    <t>23.016.163/0001-68</t>
  </si>
  <si>
    <t>Telefone: + 55 (11) 5831-0429 
E-mail: contato@fosterplast.com.br</t>
  </si>
  <si>
    <t xml:space="preserve"> PESQUISA DE MERCADO - COMPOSIÇÃO  52</t>
  </si>
  <si>
    <t>CP-52</t>
  </si>
  <si>
    <t>Arandela Quadrada</t>
  </si>
  <si>
    <t>AMERICANAS</t>
  </si>
  <si>
    <t>Telefone: 041 11 4003-4848</t>
  </si>
  <si>
    <t xml:space="preserve"> PESQUISA DE MERCADO - COMPOSIÇÃO  53</t>
  </si>
  <si>
    <t>CP-53</t>
  </si>
  <si>
    <t>Painel plafon 25w led quadrado</t>
  </si>
  <si>
    <t>ARCO ÍRIS</t>
  </si>
  <si>
    <t>23.684.546/0001-04</t>
  </si>
  <si>
    <t>Telefone: (24) 2030-4000
Email: arcoirisledbr@gmail.com</t>
  </si>
  <si>
    <t xml:space="preserve"> PESQUISA DE MERCADO - COMPOSIÇÃO  54</t>
  </si>
  <si>
    <t>CP-54</t>
  </si>
  <si>
    <t>Painel plafon 36w led quadrado</t>
  </si>
  <si>
    <t xml:space="preserve">Telefone: (11) 3998-3000
</t>
  </si>
  <si>
    <t xml:space="preserve"> PESQUISA DE MERCADO - COMPOSIÇÃO  06</t>
  </si>
  <si>
    <t>CP-06</t>
  </si>
  <si>
    <t>Perfil veneziana lisa</t>
  </si>
  <si>
    <t>Preço/m</t>
  </si>
  <si>
    <t>CASA DO SERRALHEIRO (3 Metros)</t>
  </si>
  <si>
    <t>DISTRIFERRO (2 Metros)</t>
  </si>
  <si>
    <t>01.941.286/0003-34</t>
  </si>
  <si>
    <t>Telefone: (27) 2127-4000
E-mail: vendas@distriferro.com.br</t>
  </si>
  <si>
    <t>GRAVIA (3 Metros)</t>
  </si>
  <si>
    <t xml:space="preserve"> 26.487.744/0001-76</t>
  </si>
  <si>
    <t>Telefone: (61) 3458-9402</t>
  </si>
  <si>
    <t xml:space="preserve"> PESQUISA DE MERCADO - COMPOSIÇÃO  58</t>
  </si>
  <si>
    <t>CP-58</t>
  </si>
  <si>
    <t xml:space="preserve"> PESQUISA DE MERCADO - COMPOSIÇÃO  56</t>
  </si>
  <si>
    <t>CP-56</t>
  </si>
  <si>
    <t xml:space="preserve"> PESQUISA DE MERCADO - COMPOSIÇÃO  55</t>
  </si>
  <si>
    <t>CP-55</t>
  </si>
  <si>
    <t xml:space="preserve"> PESQUISA DE MERCADO - COMPOSIÇÃO  57</t>
  </si>
  <si>
    <t>CP-57</t>
  </si>
  <si>
    <t xml:space="preserve"> PESQUISA DE MERCADO - COMPOSIÇÃO  59</t>
  </si>
  <si>
    <t>CP-59</t>
  </si>
  <si>
    <t>Schneider Eletric</t>
  </si>
  <si>
    <t>23.644.045/0003-66</t>
  </si>
  <si>
    <t>Telefone: (11) 2388-3396
E-mail: atendimento.schneider@seliafullservice.com.br</t>
  </si>
  <si>
    <t>Eletroflash</t>
  </si>
  <si>
    <t>05.012.582/0001-40</t>
  </si>
  <si>
    <t>Telefone: (81) 3447-0032 
E-mail: ecommerce@eletroflash.com.br</t>
  </si>
  <si>
    <t>Eletro Transol</t>
  </si>
  <si>
    <t>10.489.368/0001-19</t>
  </si>
  <si>
    <t>E-mail: contato@eletrotransol.com.br</t>
  </si>
  <si>
    <t xml:space="preserve"> PESQUISA DE MERCADO - COMPOSIÇÃO  07</t>
  </si>
  <si>
    <t>CP-07</t>
  </si>
  <si>
    <t>Roldana para trilho napoleão</t>
  </si>
  <si>
    <t>Novo Visual</t>
  </si>
  <si>
    <t>10.527.862/0001-20</t>
  </si>
  <si>
    <t>Telefone: (11) 3814-2282
E-mail: contato@novovisualferragens.com.br</t>
  </si>
  <si>
    <t>Gaspar Ferragens</t>
  </si>
  <si>
    <t>29.459.047/0001-08</t>
  </si>
  <si>
    <t>Telefone:  (21) 2485-3334</t>
  </si>
  <si>
    <t>Lojas Americanas</t>
  </si>
  <si>
    <t>Telefone: (21) 4003-4848</t>
  </si>
  <si>
    <t>Mark Ferragens</t>
  </si>
  <si>
    <t>12.616.548/0001-40</t>
  </si>
  <si>
    <t>Telefone: (37) 3321-1523</t>
  </si>
  <si>
    <t>UIRAPURU</t>
  </si>
  <si>
    <t>13.932.073/0001-63</t>
  </si>
  <si>
    <t>Telefone:  (19) 3806-4741</t>
  </si>
  <si>
    <t xml:space="preserve">00.776.574/0006-60 </t>
  </si>
  <si>
    <t>Telefone:  (21) 4003-4848</t>
  </si>
  <si>
    <t>C&amp;C - Casa e Construção</t>
  </si>
  <si>
    <t>Telefone: (11) 4001-0100
E-mail: centralderelacionamento@cec.com.br</t>
  </si>
  <si>
    <t>Cantoneira 2.1/2'' x 1/4''</t>
  </si>
  <si>
    <t>Arcelor Mittal</t>
  </si>
  <si>
    <t>17.469.701/0001-77</t>
  </si>
  <si>
    <t>Telefone: 0800 015 1221</t>
  </si>
  <si>
    <t>Aladim Metais</t>
  </si>
  <si>
    <t xml:space="preserve">51.225.522/0001-22 </t>
  </si>
  <si>
    <t>Telefone:  (11) 5613-5777</t>
  </si>
  <si>
    <t>Galvaço</t>
  </si>
  <si>
    <t>68.474.485/0001-99</t>
  </si>
  <si>
    <t>Telefone: (11) 3513-5600
E-mail: comercial@galvaco.com.br</t>
  </si>
  <si>
    <t>Muda de bromélia</t>
  </si>
  <si>
    <t>Orquidário Mogi Mirim</t>
  </si>
  <si>
    <t>13.561.177/0001-09</t>
  </si>
  <si>
    <t>Telefone: (19) 99712-7492
E-mail: orquidariomogimirim@gmail.com</t>
  </si>
  <si>
    <t>Flora Londrina</t>
  </si>
  <si>
    <t>07.517.567/0001-89</t>
  </si>
  <si>
    <t>Telefone:  (43) 3336-2414</t>
  </si>
  <si>
    <t xml:space="preserve"> PESQUISA DE MERCADO - COMPOSIÇÃO  66</t>
  </si>
  <si>
    <t>CP-66</t>
  </si>
  <si>
    <t>Coifa de parede pirâmide</t>
  </si>
  <si>
    <t xml:space="preserve"> PESQUISA DE MERCADO - COMPOSIÇÃO  09</t>
  </si>
  <si>
    <t>CP-09</t>
  </si>
  <si>
    <t>Ferramentas Kennedy</t>
  </si>
  <si>
    <t xml:space="preserve">  00.915.086/0001-82 </t>
  </si>
  <si>
    <t>Telefone: (41) 33141853</t>
  </si>
  <si>
    <t>FerMáquinas</t>
  </si>
  <si>
    <t>68.452.762/0001-62</t>
  </si>
  <si>
    <t>Telefone:  (11) 2065-9002</t>
  </si>
  <si>
    <t>MÓDULO QUIOSQUES (Quantidades para 1 Quiosque)</t>
  </si>
  <si>
    <t>Barra de metalon quadrada 30x30 mm</t>
  </si>
  <si>
    <t>Aladim Metais(6m)</t>
  </si>
  <si>
    <t>CASA DO SERRALHEIRO (6m)</t>
  </si>
  <si>
    <t>OUROAÇO</t>
  </si>
  <si>
    <t>Telefone(16) 2016-3042
contato.ouroaco@gmail.com</t>
  </si>
  <si>
    <t>11.286.933/0001-03</t>
  </si>
  <si>
    <t>Chapa de alumínio lisa 3mm</t>
  </si>
  <si>
    <t>Lojas Americanas(2,0x1,0m)</t>
  </si>
  <si>
    <t>Casas Bahia (1 x 0,5m)</t>
  </si>
  <si>
    <t>EXTRA(1 x 0,5m)</t>
  </si>
  <si>
    <t>Envelopado Piso = 2.480,43m / Parede = 9,00m</t>
  </si>
  <si>
    <t>Neutro = 57,38m / Retorno = 57,38m</t>
  </si>
  <si>
    <t>Neutro = 470,42m / Retorno = 541,89m</t>
  </si>
  <si>
    <t>Neutro = 1.444,52m / Retorno = 1.513,03m</t>
  </si>
  <si>
    <t>Neutro = 836,77m / Retorno = 831,16m</t>
  </si>
  <si>
    <t>Luva para eletroduto, pvc, roscável, dn 110mm (4'') - fornecimento e instalação</t>
  </si>
  <si>
    <t>Luva em pvc rígido roscável, de 4'', para eletroduto</t>
  </si>
  <si>
    <t>Curva 90 graus para eletroduto, pvc, roscável, dn 110 mm (4'') - fornecimento e instalação</t>
  </si>
  <si>
    <t>Curva 90 graus, longa, de pvc rígido roscável, de 4'', para eletroduto.</t>
  </si>
  <si>
    <t>Disjuntor a Seco 1 Polo, 70A, Curva C - fornecimento e instalação</t>
  </si>
  <si>
    <t>Disjuntor a Seco 1 Polo, 63A, Curva C - fornecimento e instalação</t>
  </si>
  <si>
    <t>Disjuntor a Seco 1 Polo, 16A, Curva B - fornecimento e instalação</t>
  </si>
  <si>
    <t>Disjuntor a Seco 1 Polo, 20A, Curva B - fornecimento e instalação</t>
  </si>
  <si>
    <t>Disjuntor a Seco 1 Polo, 80A, Curva C - fornecimento e instalação</t>
  </si>
  <si>
    <t>Disjuntor a Seco 1 Polo, 25A, Curva B - fornecimento e instalação</t>
  </si>
  <si>
    <t>CRONOGRAMA FÍSICO FINANCEIRO - MÓDULO 01</t>
  </si>
  <si>
    <t>Àrea de pavimentação x 0,15m</t>
  </si>
  <si>
    <t>Para a execução da viga de bordo</t>
  </si>
  <si>
    <t>Conforme o projeto</t>
  </si>
  <si>
    <t>Recuperação de reestinga existente</t>
  </si>
  <si>
    <t>Jardineiro</t>
  </si>
  <si>
    <t>Terra Vegetal</t>
  </si>
  <si>
    <t>Areia Lavada Média</t>
  </si>
  <si>
    <t>Muda de Arbusto folhagem, sansão-do-campo ou equivalente da região, h = *50 a 70* cm</t>
  </si>
  <si>
    <t>àrea de recuperação da restinga 06 - 286,37m2</t>
  </si>
  <si>
    <t>àrea de recuperação da restinga 07 - 521,944m2</t>
  </si>
  <si>
    <t>àrea de recuperação da restinga 08 - 3697,51m2</t>
  </si>
  <si>
    <t>CURVA ABC</t>
  </si>
  <si>
    <t>CONCEITO</t>
  </si>
  <si>
    <t>A</t>
  </si>
  <si>
    <t>C</t>
  </si>
  <si>
    <t>B</t>
  </si>
  <si>
    <t>% ACUMULADO</t>
  </si>
  <si>
    <t>POSTE CONICO CONTINUO EM ACO GALVANIZADO, RETO, FLANGEADO, H = 3 M, DIAMETRO  INFERIOR = *95* MM, SEM LUMINÁRIA - FORNECIMENTO, INSTALAÇÃO E PINTURA</t>
  </si>
  <si>
    <t>LOCAL COM DMT DE 10,1 A 15,0 KM (Caminhão basculante) - 0,791XINCC-MXP + 0,838XINCC-MXR + 1,780XINCC-M - XP = 10,0km, XR=2,5km</t>
  </si>
  <si>
    <t>Poste cônico em aço galvanizado, reto, flangeado, h - 3m, diâmetro inferior = *95* mm</t>
  </si>
  <si>
    <t>Carga dos materiais que serão demolidos, como calçada, muro e pavimento asfáltico.</t>
  </si>
  <si>
    <t>Eletroduto de PVC flexível roscável, diâm. 4" (110mm), inclusive conexões</t>
  </si>
  <si>
    <t>Eletricista (Oficial - Sinduscon)</t>
  </si>
  <si>
    <t>Eletroduto de PVC flexível 4"</t>
  </si>
  <si>
    <t>Eletroduto Flexível 4"</t>
  </si>
  <si>
    <t>Eletrosul</t>
  </si>
  <si>
    <t xml:space="preserve"> 02.554.116/0001-06 </t>
  </si>
  <si>
    <t>Telefone: (45) 3038-1020</t>
  </si>
  <si>
    <t>RMC</t>
  </si>
  <si>
    <t>Telefone: (85) 4009-1212</t>
  </si>
  <si>
    <t>06.015.994/0001-04</t>
  </si>
  <si>
    <t>Eletrocenter</t>
  </si>
  <si>
    <t>Telefone: (65) 3621-1720</t>
  </si>
  <si>
    <t>33.347.651/0001-01</t>
  </si>
  <si>
    <t xml:space="preserve"> PESQUISA DE MERCADO - COMPOSIÇÃO  36</t>
  </si>
  <si>
    <t>CP-36</t>
  </si>
  <si>
    <t>Total do Item 15</t>
  </si>
  <si>
    <t>LIMPEZA DE OBRA</t>
  </si>
  <si>
    <t>Estaca 46 à 107</t>
  </si>
  <si>
    <t>Comprimento da orla * largura do trecho</t>
  </si>
  <si>
    <t>Qtd de faixas : central da via, central da ciclovia e externas da ciclovia (4 faixas)</t>
  </si>
  <si>
    <t>Qtd de faixas de pedestres no trecho 02: 26 faixas</t>
  </si>
  <si>
    <t>Pintura das faixas de pedestres 
(5*0,04)* 10 faixas unitárias *26 conjunto de faixas</t>
  </si>
  <si>
    <t>Estacas do trecho 02 * largura da faixa * quantidade de faixas
((107*20)-(46*20)) * 0,10  * 4 faixas = 488,00m2</t>
  </si>
  <si>
    <t>Piso cimentado: 11601,44m2 * espessura do piso (0,08m) = 928,11m3</t>
  </si>
  <si>
    <t>Demolição de concreto (muro) = 159,33m3</t>
  </si>
  <si>
    <t>Pavimento asfáltico: 15426,69m2 * espessura do asfalto (0,04m) = 617,07</t>
  </si>
  <si>
    <t>Meio-fio: 2513,70m * 0,30m de largura * 0,15m de altura</t>
  </si>
  <si>
    <t>Paralelepípidos: 15426,69m2 * 0,10m</t>
  </si>
  <si>
    <t>1 tonelada = 2,83 m3</t>
  </si>
  <si>
    <t>3360,31m3/2,83</t>
  </si>
  <si>
    <t>Remoção das placas de sinalização e balizadores de concreto
Considerando 5 caçambas de 5m3 por trecho</t>
  </si>
  <si>
    <t>Considerado 10% da extensão do trecho 02</t>
  </si>
  <si>
    <t>Peso específico = 1,70 t/m3</t>
  </si>
  <si>
    <t>Altura da base = 0,15m</t>
  </si>
  <si>
    <t>Para a marcação das vagas de estacionamento</t>
  </si>
  <si>
    <t>Conforme projeto de urbanização</t>
  </si>
  <si>
    <t>46 mudas de Quaresmeira (Tibouchina Granulosa)</t>
  </si>
  <si>
    <t>29 mudas de Pau Ferro (Libidibia Ferrea)</t>
  </si>
  <si>
    <t xml:space="preserve">52 mudas de Chuva de Ouro (Cassia Ferruginea)
17 mudas de Pata de Vaca (Bauhinia Forficata)
42 mudas de Angelim da Praia (Andira Legalis)
21 mudas de Manduirana (Peltrophorum Bubium)
18 mudas de Sucupira (Bowdichia Virgilioides)
46 mudas de Biriba Branca (Eschweilera Ovata)
14 mudas de Canafístula (Peltrophorum Budium)
20 mudas de Oiti da Praia (Licania Tomentosa)
113 mudas de Coco (Cocos Nucifera)
</t>
  </si>
  <si>
    <t>Total da área de grama no trecho 02</t>
  </si>
  <si>
    <t>Área de grama * camada de terra vegetal</t>
  </si>
  <si>
    <t xml:space="preserve">Área de grama * camada de brita graduada </t>
  </si>
  <si>
    <t>Conforme quadro de volumes do projeto de demolição do trecho 02 - Prancha 01/01</t>
  </si>
  <si>
    <t>Conforme quadro de volumes do projeto de demolição do trecho 02 - Prancha 01/01 (Referente ao muro)</t>
  </si>
  <si>
    <t>Área de pavimentação 
OBS: O valor total de cada quadra é a soma das áreas da rua, do estacionamento e da faixa multi-uso</t>
  </si>
  <si>
    <t>OBS: O valor total de cada quadra é a soma das áreas da calçada e da ciclovia.</t>
  </si>
  <si>
    <t>Altura x Largura x Comprimento = 0,50m x 2,50m x 750,00m + 1,00m x 1,50m x 750,00m + 2,50m x 1,00m + 750,00m</t>
  </si>
  <si>
    <t>Perimetro do muro x comprimento = 13,00m *750,00m</t>
  </si>
  <si>
    <t>Cobasi</t>
  </si>
  <si>
    <t xml:space="preserve">53.153.938/0011-80 </t>
  </si>
  <si>
    <t>Telefone: (11) 3837-9911</t>
  </si>
  <si>
    <t>Madeira Madeira</t>
  </si>
  <si>
    <t>10.490.181/0001-35</t>
  </si>
  <si>
    <t>Telefone: 0800 080 0099</t>
  </si>
  <si>
    <t>Verde Garden</t>
  </si>
  <si>
    <t xml:space="preserve"> 27.730.876/0001-40</t>
  </si>
  <si>
    <t>Telefone: (19) 99150-7657</t>
  </si>
  <si>
    <t>Jardineira Viena para Plantas 100x17cm Floreira Polietileno</t>
  </si>
  <si>
    <t>Jardineira Viena</t>
  </si>
  <si>
    <t>Retirada de poste de concreto</t>
  </si>
  <si>
    <t>Guindauto Hidráulico, capacidade máxima de carga 6.200 kg, momento máximo e carga 11,7 TM, alcance máximo horizontal 9,70 m, inclusive caminhão toco PBT 16.000 kg, potência de 189 CV - CHP DIURNO</t>
  </si>
  <si>
    <t>Guindauto Hidráulico, capacidade máxima de carga 6.200 kg, momento máximo e carga 11,7 TM, alcance máximo horizontal 9,70 m, inclusive caminhão toco PBT 16.000 kg, potência de 189 CV - CHI DIURNO</t>
  </si>
  <si>
    <t>Transporte com caminhão carroceria com guindauto (munck), momento máximo de carga 11,7 TM, em via urbana pavimentada, DMT até 30 km</t>
  </si>
  <si>
    <t>Quantidade de postes a serem removidos no trecho 02</t>
  </si>
  <si>
    <t>INVERSOR DE SOLDA MONOFÁSICO DE 160 A, POTÊNCIA DE 5400 W, TENSÃO DE 220 V, PARA SOLDA COM ELETRODOS DE 2,0 A 4,0 MM E PROCESSO TIG - CHP DIURNO.</t>
  </si>
  <si>
    <t>INVERSOR DE SOLDA MONOFÁSICO DE 160 A, POTÊNCIA DE 5400 W, TENSÃO DE 220 V, PARA SOLDA COM ELETRODOS DE 2,0 A 4,0 MM E PROCESSO TIG - CHI DIURNO.</t>
  </si>
  <si>
    <t>GUINDAUTO HIDRÁULICO, CAPACIDADE MÁXIMA DE CARGA 6500 KG, MOMENTO MÁXIMO DE CARGA 5,8 TM, ALCANCE MÁXIMO HORIZONTAL 7,60 M, INCLUSIVE CAMINHÃO TOCO PBT 9.700 KG, POTÊNCIA DE 160 CV - CHP DIURNO.</t>
  </si>
  <si>
    <t>GUINDAUTO HIDRÁULICO, CAPACIDADE MÁXIMA DE CARGA 6500 KG, MOMENTO MÁXIMO DE CARGA 5,8 TM, ALCANCE MÁXIMO HORIZONTAL 7,60 M, INCLUSIVE CAMINHÃO TOCO PBT 9.700 KG, POTÊNCIA DE 160 CV - CHI DIURNO.</t>
  </si>
  <si>
    <t>Barra Chata 2" x 1/8 (Requadro)</t>
  </si>
  <si>
    <t>Escavadeira hidráulica sobre esteiras, caçamba 0,80 m3, peso operacional 17 t, potência bruta 111 hp - CHI Diurno.</t>
  </si>
  <si>
    <t>Caminhão Pipa 6.000 L, peso bruto total 13.000 kg, distância entre os eixos 4,80 m, potência 189 cv inclusive tanque de aço para transporte de água, capaciade 6 m3 - CHP Diurno</t>
  </si>
  <si>
    <t>Caminhão Pipa 6.000 L, peso bruto total 13.000 kg, distância entre os eixos 4,80 m, potência 189 cv inclusive tanque de aço para transporte de água, capaciade 6 m3 - CHI Diurno</t>
  </si>
  <si>
    <t>Desempenadeira de concreto, peso de 75 kg, 4 pás, motor à gasolina, potência 5,5 HP - CHP Diurno.</t>
  </si>
  <si>
    <t>Desempenadeira de concreto, peso de 75 kg, 4 pás, motor à gasolina, potência 5,5 HP - CHI Diurno.</t>
  </si>
  <si>
    <t>DESEMPENADEIRA DE CONCRETO, PESO DE 75KG, 4 PÁS, MOTOR A GASOLINA, POTÊNCIA 5,5 HP - CHP DIURNO.</t>
  </si>
  <si>
    <t>DESEMPENADEIRA DE CONCRETO, PESO DE 75KG, 4 PÁS, MOTOR A GASOLINA, POTÊNCIA 5,5 HP - CHI DIURNO.</t>
  </si>
  <si>
    <t>INVERSOR DE SOLDA MONOFÁSICO DE 160 A, POTÊNCIA DE 5400 W, TENSÃO DE 220 VPARA SOLDA COM ELETRODOS DE 2,0 A 4,0 MM E PROCESSO TIG - CHP DIURNO.</t>
  </si>
  <si>
    <t>INVERSOR DE SOLDA MONOFÁSICO DE 160 A, POTÊNCIA DE 5400 W, TENSÃO DE 220 VPARA SOLDA COM ELETRODOS DE 2,0 A 4,0 MM E PROCESSO TIG - CHI DIURNO.</t>
  </si>
  <si>
    <t xml:space="preserve">Servente </t>
  </si>
  <si>
    <t>Brita 2 (incl. 0% IUM) sem frete</t>
  </si>
  <si>
    <t>Transp. Brita 2</t>
  </si>
  <si>
    <t>Conforme quadro de volumes de terraplenagem na prancha 08/08 do trecho 02</t>
  </si>
  <si>
    <t>Motoniveladora Caterpillar modelo 120K ( cab + ar + ríper) ou equivalente</t>
  </si>
  <si>
    <t>Rolo AP liso de aço TH-10 (6,3t) (TEMA TERRA) ou equivalente</t>
  </si>
  <si>
    <t>Encarregado de terraolenagem</t>
  </si>
  <si>
    <t>Ferramentas Manuais</t>
  </si>
  <si>
    <t>Escoramento Metálico tipo gaiola</t>
  </si>
  <si>
    <t>CESAN</t>
  </si>
  <si>
    <t>Altura do muro x comprimento x 2 lados
4m * 750m * 2</t>
  </si>
  <si>
    <t>Área de Pavimentação - Rua
Q12 = 255,39m²
Q13 = 1.259,43m²
Q14 = 761,92m²
Q15 = 978,30m²
Q16 = 1.521,82m²
Q17 = 1.337,45m²
Q18 = 559,76m²
Q19 = 18.727,23m²
Q20 = 699,54m²</t>
  </si>
  <si>
    <t>Área de Pavimentação - Estacionamento
Q13 = 392,94m²
Q14 = 89,07m²
Q15 = 208,52m²
Q19 = 284,11m²
Q20 = 164,26m²</t>
  </si>
  <si>
    <t>Área de contrapiso da calçada no trecho 02</t>
  </si>
  <si>
    <t xml:space="preserve">Área a ser calçada no trecho 02 
</t>
  </si>
  <si>
    <t>Área de Pavimentação - Faixa multi-uso
Q12 = 31,43 m²
Q13 = 36,73m²
Q14 = 31,78m²
Q15 = 33,62m²
Q16 = 32,98m²
Q17 = 35,27m²
Q18 = 26,30m²
Q19 = 30,22m²</t>
  </si>
  <si>
    <t>Área de acabamento da calçada do trecho 02</t>
  </si>
  <si>
    <t xml:space="preserve">Área de pavimentação  x espessura </t>
  </si>
  <si>
    <t>Conforme quadro de áreas do projeto de paisagismo do trecho 02 - Prancha 01/14</t>
  </si>
  <si>
    <t>Área de Ciclovia
Q12 =63,49m²
Q13 = 612,46m²
Q14 = 246,93m²
Q15 = 440,48m²
Q16 = 711,93m²
Q17 = 621,41m²
Q18 = 230,26m²
Q19 = 484,87m²
Q20 = 309,55m²</t>
  </si>
  <si>
    <t>Área de Calçada
Q12 = 106,20m²
Q13 = 1237,05m²
Q14 = 46,80m²
Q15 = 809,59m²
Q16 = 942,39m²
Q17 = 746,10m²
Q18 = 330,87m²
Q19 = 1031,86m²
Q20 = 555,93m²</t>
  </si>
  <si>
    <t xml:space="preserve">Área a ser pavimentada no trecho 02
</t>
  </si>
  <si>
    <t>Chuveiro para praia, de aço inoxidável 25x25cm</t>
  </si>
  <si>
    <t xml:space="preserve">PEDREIRO (OFICIAL - SINDUSCON) </t>
  </si>
  <si>
    <t xml:space="preserve">ENCANADOR (OFICIAL - SINDUSCON) </t>
  </si>
  <si>
    <t>Ducha Tubular em INOX, com chuveiro de 25x25 cm</t>
  </si>
  <si>
    <t xml:space="preserve"> PESQUISA DE MERCADO - COMPOSIÇÃO  68</t>
  </si>
  <si>
    <t>CP-68</t>
  </si>
  <si>
    <t>Ducha Tubular com chuveiro de 25x25 cm</t>
  </si>
  <si>
    <t>Cascatas &amp; Cia</t>
  </si>
  <si>
    <t>17.832.091/0001-24</t>
  </si>
  <si>
    <t>Telefone: (16) 3761-0352</t>
  </si>
  <si>
    <t>Tropical Cascatas</t>
  </si>
  <si>
    <t xml:space="preserve">39.799.938/0001-59 </t>
  </si>
  <si>
    <t>Telefone: (16) 37617402
E-mail: atendimento@tropicalcascatas.com.br</t>
  </si>
  <si>
    <t>CP-068</t>
  </si>
  <si>
    <t>Área do paviimento x espessura da calçada com muro 0,20m + Área do pavimento x espessura da calçada sem muro 0,10m</t>
  </si>
  <si>
    <t>Comprimento do colchão drenante * perímetro</t>
  </si>
  <si>
    <t>Concreto usinado bombeável, classe de resistência C30, com brita 0 e 1, slump = 100 +/- 20 mm, exclui serviço de bombeamento (NBR 8953)</t>
  </si>
  <si>
    <t>Área 
12,75*2,52m*4</t>
  </si>
  <si>
    <t>P01=P10 (1,50m X 1,50m X 2m)
V esc = (1,50m + 0,4m) x (1,50m + 0,4m) x (2,0m + 0,1m)*4</t>
  </si>
  <si>
    <t>P02=P09=P12=P21 (1,90m x 1,90m x 2m)
V esc = (1,90m + 0,4m) x (1,90m + 0,4m) x (2,0m + 0,1m)*4</t>
  </si>
  <si>
    <t>P04=P07=P14=P19 (2,10m x 2,10m x2m)
V esc = (2,1m + 0,4m) x (2,1m + 0,4m) x (2,0m + 0,1m)*4</t>
  </si>
  <si>
    <t>P11=P22 (1,60m x 1,60m x 2m)
V esc = (1,60m + 0,4m) x (1,60m + 0,4m) x (2,0m + 0,1m)*4</t>
  </si>
  <si>
    <t>P05=P06=P08=P15=P16=P17=P18=P20=P23=P26=P27=P28=P29=P30=P31=P32=P33=P34 (1,50m x 1,50m x 2,0m)
V esc = (1,50m + 0,4m) x (1,50m + 0,4m) x (2,0m + 0,1m)*4</t>
  </si>
  <si>
    <t>P01=P10 
Área = (1,50m X 1,50m)*4</t>
  </si>
  <si>
    <t>P02=P09=P12=P21
Área = (1,90m x 1,90m)*4</t>
  </si>
  <si>
    <t>P03=P13=P24=P25 
Área = (1,60m x 1,60m)*4</t>
  </si>
  <si>
    <t>P04=P07=P14=P19
Área = (2,10m x 2,10m)*4</t>
  </si>
  <si>
    <t>P11=P22
Área = (1,60m x 1,60m)*4</t>
  </si>
  <si>
    <t>P05=P06=P08=P15=P16=P17=P18=P20=P23=P26=P27=P28=P29=P30=P31=P32=P33=P34 
Área = (1,50m x 1,50m)*4</t>
  </si>
  <si>
    <t>Fundação Muxarabi = 0,63*4m3</t>
  </si>
  <si>
    <t>Fundação Quisque = 3,72*4m3</t>
  </si>
  <si>
    <t>Fundação quiosque = 38,70*4m3</t>
  </si>
  <si>
    <t>Fundação muxarabi = 5,04*4m3</t>
  </si>
  <si>
    <t>Laje cintamento = 32,16*4m3</t>
  </si>
  <si>
    <t>Vigas cintamento = 16,68*4m3</t>
  </si>
  <si>
    <t>Pilares cintamento = 3,40*4m3</t>
  </si>
  <si>
    <t>Fundação quiosque = 96,24*4m2</t>
  </si>
  <si>
    <t>Fundação muxarabi = 9,40*4m2</t>
  </si>
  <si>
    <t>Laje cintamento = 214,40*4m2</t>
  </si>
  <si>
    <t>Vigas cintamento = 38,74*4m2</t>
  </si>
  <si>
    <t>Pilares cintamento = 54,40*4m2</t>
  </si>
  <si>
    <t>1048,30*4 kg</t>
  </si>
  <si>
    <t xml:space="preserve">647,70*4 kg </t>
  </si>
  <si>
    <t>252,6*4 kg</t>
  </si>
  <si>
    <t>Laje quiosque = 14,45*4m3</t>
  </si>
  <si>
    <t>Viga quiosque = 8,06*4m3</t>
  </si>
  <si>
    <t>Pilares quiosque = 2,32*4m3</t>
  </si>
  <si>
    <t>4030,00*4 kg</t>
  </si>
  <si>
    <t>182,60*4 kg</t>
  </si>
  <si>
    <t>194,40*4 kg</t>
  </si>
  <si>
    <t>Laje quiosque = 96,31*4m2</t>
  </si>
  <si>
    <t>Viga quiosque = 14,66*4m2</t>
  </si>
  <si>
    <t>Pilares quiosque = 39,20*4m2</t>
  </si>
  <si>
    <t xml:space="preserve"> Abertura atendimento balcão (5,83m + 0,40m) x 2 x1 x4</t>
  </si>
  <si>
    <t>(0,90m + 0,40m) x 4 portas x4</t>
  </si>
  <si>
    <t>Cobogó 1 (4,23m + 0,40m) x 2 cobogós x4
Cobogó banheiros (0,21m + 0,40m) x 2 cobogós x 4</t>
  </si>
  <si>
    <t>Parede 1 (2,58m x 3,00m) x 4</t>
  </si>
  <si>
    <t>Parede 2 (1,69m x 3,00m) x 4</t>
  </si>
  <si>
    <t>Parede 3 (2,58m x 3,00m) x 4</t>
  </si>
  <si>
    <t>Parede 4 (2,30m x 3,00m) x 4</t>
  </si>
  <si>
    <t>Parede 5 (2,30m x 3,00m) x 4</t>
  </si>
  <si>
    <t>Parede 6 (1,90m x 3,00m) - vão excedente de 2m2 (1,90m x 1,60m) x 4</t>
  </si>
  <si>
    <t>Parede 7 (3,40m x 3,00m) x 4</t>
  </si>
  <si>
    <t>Parede 8 (7,53m x 3,00m) x 4</t>
  </si>
  <si>
    <t>Parede 9 (1,97m x 3,00m) - vão excedente de 2m2 (1,97m x 1,60m) x 4</t>
  </si>
  <si>
    <t>Parede 10 (11,62m x 3,00m) - vão excedente de 2m2 x 4
((0,90m x 2,70m) x 2 und )+((0,90mx2,10m)x1und) x 4</t>
  </si>
  <si>
    <t>Parede 11 (1,28m x 3,00m) - vão excedente de 2m2 (1,28*1,60) x 4</t>
  </si>
  <si>
    <t>Área de cobogó 1 9,23m2 x 2 unidades x 4</t>
  </si>
  <si>
    <t>(0,21m x 2,73m) x 2 unidades x 4</t>
  </si>
  <si>
    <t>1 unidade por módulo x 4</t>
  </si>
  <si>
    <t>1 porta com dimensões 0,90x2,10 m x 4</t>
  </si>
  <si>
    <t>2 portas x 4</t>
  </si>
  <si>
    <t>2 unidades x 4</t>
  </si>
  <si>
    <t>1  estrutura completa (duas partes) x 4</t>
  </si>
  <si>
    <t>1 brise completa x 4</t>
  </si>
  <si>
    <t>Área da laje 14,80m x 3,78m x 4</t>
  </si>
  <si>
    <t>Àrea de parede = 77,65m2 x 2 lados (interno e externo) x 4</t>
  </si>
  <si>
    <t>Área de piso do quiosque 26,81m2 x 4</t>
  </si>
  <si>
    <t>Área de piso externo 116,88m2 x 4</t>
  </si>
  <si>
    <t>1 unidade em cada quiosque x4</t>
  </si>
  <si>
    <t>25m conforme padrão x 4</t>
  </si>
  <si>
    <t>1 unidade em cada quiosque x 4 quiosque</t>
  </si>
  <si>
    <t>4 unidade em cada quiosque x 4 quiosque</t>
  </si>
  <si>
    <t>2 unidades em cada quiosquex 4 quiosque</t>
  </si>
  <si>
    <t>12 unidades em cada quiosquex 4 quiosque</t>
  </si>
  <si>
    <t>8 unidades em cada quiosque x 4 quiosque</t>
  </si>
  <si>
    <t>4 unidades em cada quiosque x 4 quiosque</t>
  </si>
  <si>
    <t>2 unidades em cada quiosque x 4 quiosque</t>
  </si>
  <si>
    <t>3 unidades em cada quiosque x 4 quiosque</t>
  </si>
  <si>
    <t>6 unidades em cada quiosque x 4 quiosque</t>
  </si>
  <si>
    <t>11 unidades em cada quiosque x 4 quiosque</t>
  </si>
  <si>
    <t>3 unidades x 4 quiosque</t>
  </si>
  <si>
    <t>5 unidades x 4 quiosque</t>
  </si>
  <si>
    <t>5 unidades em cada quiosque x 4 quiosque</t>
  </si>
  <si>
    <t>2 unidades x 4 quiosque</t>
  </si>
  <si>
    <t>Conforme projeto x 4 quiosque</t>
  </si>
  <si>
    <t>1 unidade x 4 quiosque</t>
  </si>
  <si>
    <t>16 unidades em cada quiosque x 4 quiosque</t>
  </si>
  <si>
    <t>2 unidades para os 2 banheiros x 4 quiosque</t>
  </si>
  <si>
    <t>2 unidades para os 2 banheiros  x 4 quiosque</t>
  </si>
  <si>
    <t>(0,50m x 0,50m) x 2 banheiros  x 4 quiosque</t>
  </si>
  <si>
    <t>Bancada 1 0,60m x 0,90m  x 4 quiosque</t>
  </si>
  <si>
    <t>bancada 2 0,60m x 2,10m x 4 quiosque</t>
  </si>
  <si>
    <t>Bacada 3 0,60m x 2,10m x 4 quiosque</t>
  </si>
  <si>
    <t>Rodabanca bancada 1 (0,20m x 0,90m) + (0,20m x 0,60m) x 4 quiosque</t>
  </si>
  <si>
    <t>Rodabanca bancada 2 (0,20m x 2,10m) + (0,20m x 0,60m) x 4 quiosque</t>
  </si>
  <si>
    <t>Rodabanca bancada 3 (0,20m x 2,10m) + (0,20m x 0,60m) x 4 quiosque</t>
  </si>
  <si>
    <t>6 unidades  x 4 quiosque</t>
  </si>
  <si>
    <t>7 unidades x 4 quiosque</t>
  </si>
  <si>
    <t>1,71 metros x 4 quiosque</t>
  </si>
  <si>
    <t>47,20 metros x 4 quiosque</t>
  </si>
  <si>
    <t>19,89 metros x 4 quiosque</t>
  </si>
  <si>
    <t>8 unidades x 4 quiosque</t>
  </si>
  <si>
    <t>11 unidades x 4 quiosque</t>
  </si>
  <si>
    <t>6 unidades x 4 quiosque</t>
  </si>
  <si>
    <t>9 unidades x 4 quiosque</t>
  </si>
  <si>
    <t>4 unidades x 4 quiosque</t>
  </si>
  <si>
    <t>1 unidade de 16A, 3 unidades de 20A e 1 unidade de 10A x 4 quiosque</t>
  </si>
  <si>
    <t>50,03 metros - fase x 4 quiosque</t>
  </si>
  <si>
    <t>50,03 metros - neutro x 4 quiosque</t>
  </si>
  <si>
    <t>45,04 metros - terra x 4 quiosque</t>
  </si>
  <si>
    <t>32,60 metros - fase x 4 quiosque</t>
  </si>
  <si>
    <t>59,72 metros - neutro x 4 quiosque</t>
  </si>
  <si>
    <t>75,79 metros - retorno x 4 quiosque</t>
  </si>
  <si>
    <t>1,70m2  x 4 quiosque</t>
  </si>
  <si>
    <t>Área de pintura = 77,65m2 x 2 lados x 4 quiosque</t>
  </si>
  <si>
    <t>Área de pintura do teto = 55,94m2 x 4 quiosque</t>
  </si>
  <si>
    <t>Dimensão = 3,00m  x 14,80m x 4 quiosque</t>
  </si>
  <si>
    <t>1 unidade  x 4 quiosque</t>
  </si>
  <si>
    <t>Área de limpeza x 4 quiosque</t>
  </si>
  <si>
    <t>2.1</t>
  </si>
  <si>
    <t>2.2</t>
  </si>
  <si>
    <t>3.1</t>
  </si>
  <si>
    <t>ud</t>
  </si>
  <si>
    <t>3.2</t>
  </si>
  <si>
    <t>3.3</t>
  </si>
  <si>
    <t>3.4</t>
  </si>
  <si>
    <t>3.5</t>
  </si>
  <si>
    <t>4.1</t>
  </si>
  <si>
    <t>4.2</t>
  </si>
  <si>
    <t>4.3</t>
  </si>
  <si>
    <t>4.4</t>
  </si>
  <si>
    <t>4.5</t>
  </si>
  <si>
    <t>4.6</t>
  </si>
  <si>
    <t>4.7</t>
  </si>
  <si>
    <t>4.8</t>
  </si>
  <si>
    <t>4.9</t>
  </si>
  <si>
    <t>4.10</t>
  </si>
  <si>
    <t>4.11</t>
  </si>
  <si>
    <t>4.12</t>
  </si>
  <si>
    <t>4.13</t>
  </si>
  <si>
    <t>4.14</t>
  </si>
  <si>
    <t>5.1</t>
  </si>
  <si>
    <t>5.2</t>
  </si>
  <si>
    <t>5.3</t>
  </si>
  <si>
    <t>5.4</t>
  </si>
  <si>
    <t>5.5</t>
  </si>
  <si>
    <t>5.6</t>
  </si>
  <si>
    <t>6.1</t>
  </si>
  <si>
    <t>7.1</t>
  </si>
  <si>
    <t>7.2</t>
  </si>
  <si>
    <t>7.3</t>
  </si>
  <si>
    <t>8.1</t>
  </si>
  <si>
    <t>8.2</t>
  </si>
  <si>
    <t>8.3</t>
  </si>
  <si>
    <t>8.4</t>
  </si>
  <si>
    <t>9.1</t>
  </si>
  <si>
    <t>9.2</t>
  </si>
  <si>
    <t>9.3</t>
  </si>
  <si>
    <t>9.4</t>
  </si>
  <si>
    <t>9.5</t>
  </si>
  <si>
    <t>9.6</t>
  </si>
  <si>
    <t>9.7</t>
  </si>
  <si>
    <t>9.8</t>
  </si>
  <si>
    <t>10.1</t>
  </si>
  <si>
    <t>10.2</t>
  </si>
  <si>
    <t>10.3</t>
  </si>
  <si>
    <t>10.4</t>
  </si>
  <si>
    <t>10.5</t>
  </si>
  <si>
    <t>10.6</t>
  </si>
  <si>
    <t>10.7</t>
  </si>
  <si>
    <t>10.8</t>
  </si>
  <si>
    <t>10.9</t>
  </si>
  <si>
    <t>10.10</t>
  </si>
  <si>
    <t>10.11</t>
  </si>
  <si>
    <t>10.12</t>
  </si>
  <si>
    <t>10.13</t>
  </si>
  <si>
    <t>10.14</t>
  </si>
  <si>
    <t>10.15</t>
  </si>
  <si>
    <t>10.16</t>
  </si>
  <si>
    <t>10.17</t>
  </si>
  <si>
    <t>10.18</t>
  </si>
  <si>
    <t>10.19</t>
  </si>
  <si>
    <t>10.20</t>
  </si>
  <si>
    <t>11.1</t>
  </si>
  <si>
    <t>11.2</t>
  </si>
  <si>
    <t>11.3</t>
  </si>
  <si>
    <t>12.1</t>
  </si>
  <si>
    <t>12.3</t>
  </si>
  <si>
    <t>12.4</t>
  </si>
  <si>
    <t>13.1</t>
  </si>
  <si>
    <t>13.2</t>
  </si>
  <si>
    <t>13.3</t>
  </si>
  <si>
    <t>13.4</t>
  </si>
  <si>
    <t>13.5</t>
  </si>
  <si>
    <t>13.6</t>
  </si>
  <si>
    <t>13.7</t>
  </si>
  <si>
    <t>13.8</t>
  </si>
  <si>
    <t>13.9</t>
  </si>
  <si>
    <t>14.1</t>
  </si>
  <si>
    <t>14.2</t>
  </si>
  <si>
    <t>15.1</t>
  </si>
  <si>
    <t>1.1.1</t>
  </si>
  <si>
    <t>1.2.1</t>
  </si>
  <si>
    <t>1.2.2</t>
  </si>
  <si>
    <t>1.2.3</t>
  </si>
  <si>
    <t>1.3.1</t>
  </si>
  <si>
    <t>1.3.2</t>
  </si>
  <si>
    <t>1.3.3</t>
  </si>
  <si>
    <t>1.3.4</t>
  </si>
  <si>
    <t>1.3.5</t>
  </si>
  <si>
    <t>1.3.6</t>
  </si>
  <si>
    <t>1.4.1</t>
  </si>
  <si>
    <t>1.4.2</t>
  </si>
  <si>
    <t>1.4.3</t>
  </si>
  <si>
    <t>1.4.4</t>
  </si>
  <si>
    <t>1.4.5</t>
  </si>
  <si>
    <t>1.5.1</t>
  </si>
  <si>
    <t>1.5.2</t>
  </si>
  <si>
    <t>1.5.3</t>
  </si>
  <si>
    <t>1.5.4</t>
  </si>
  <si>
    <t>1.5.5</t>
  </si>
  <si>
    <t>1.6.1</t>
  </si>
  <si>
    <t>1.6.2</t>
  </si>
  <si>
    <t>1.6.3</t>
  </si>
  <si>
    <t>1.6.4</t>
  </si>
  <si>
    <t>1.7.1</t>
  </si>
  <si>
    <t>1.7.2</t>
  </si>
  <si>
    <t>1.8.1</t>
  </si>
  <si>
    <t>1.9.1</t>
  </si>
  <si>
    <t>1.10.1</t>
  </si>
  <si>
    <t>1.10.2</t>
  </si>
  <si>
    <t>1.10.3</t>
  </si>
  <si>
    <t>1.11.1</t>
  </si>
  <si>
    <t>1.11.2</t>
  </si>
  <si>
    <t>1.11.3</t>
  </si>
  <si>
    <t>1.11.4</t>
  </si>
  <si>
    <t>1.11.5</t>
  </si>
  <si>
    <t>1.11.6</t>
  </si>
  <si>
    <t>1.11.7</t>
  </si>
  <si>
    <t>1.11.8</t>
  </si>
  <si>
    <t>1.11.9</t>
  </si>
  <si>
    <t>1.11.10</t>
  </si>
  <si>
    <t>1.11.11</t>
  </si>
  <si>
    <t>1.11.12</t>
  </si>
  <si>
    <t>1.11.13</t>
  </si>
  <si>
    <t>1.11.14</t>
  </si>
  <si>
    <t>1.11.15</t>
  </si>
  <si>
    <t>1.11.16</t>
  </si>
  <si>
    <t>1.11.17</t>
  </si>
  <si>
    <t>1.11.18</t>
  </si>
  <si>
    <t>1.11.19</t>
  </si>
  <si>
    <t>1.11.20</t>
  </si>
  <si>
    <t>1.11.21</t>
  </si>
  <si>
    <t>1.11.22</t>
  </si>
  <si>
    <t>1.11.23</t>
  </si>
  <si>
    <t>1.11.24</t>
  </si>
  <si>
    <t>1.11.25</t>
  </si>
  <si>
    <t>1.11.26</t>
  </si>
  <si>
    <t>1.11.27</t>
  </si>
  <si>
    <t>1.11.28</t>
  </si>
  <si>
    <t>1.11.29</t>
  </si>
  <si>
    <t>1.11.30</t>
  </si>
  <si>
    <t>1.11.31</t>
  </si>
  <si>
    <t>1.11.32</t>
  </si>
  <si>
    <t>1.11.33</t>
  </si>
  <si>
    <t>1.11.34</t>
  </si>
  <si>
    <t>1.11.35</t>
  </si>
  <si>
    <t>1.11.36</t>
  </si>
  <si>
    <t>1.11.37</t>
  </si>
  <si>
    <t>1.11.38</t>
  </si>
  <si>
    <t>1.11.39</t>
  </si>
  <si>
    <t>1.11.40</t>
  </si>
  <si>
    <t>1.11.41</t>
  </si>
  <si>
    <t>1.11.42</t>
  </si>
  <si>
    <t>1.11.43</t>
  </si>
  <si>
    <t>1.11.44</t>
  </si>
  <si>
    <t>1.11.45</t>
  </si>
  <si>
    <t>1.11.46</t>
  </si>
  <si>
    <t>1.11.47</t>
  </si>
  <si>
    <t>1.11.48</t>
  </si>
  <si>
    <t>1.11.49</t>
  </si>
  <si>
    <t>1.11.50</t>
  </si>
  <si>
    <t>1.11.51</t>
  </si>
  <si>
    <t>1.11.52</t>
  </si>
  <si>
    <t>1.11.53</t>
  </si>
  <si>
    <t>1.11.54</t>
  </si>
  <si>
    <t>1.11.55</t>
  </si>
  <si>
    <t>1.11.56</t>
  </si>
  <si>
    <t>1.11.57</t>
  </si>
  <si>
    <t>1.11.58</t>
  </si>
  <si>
    <t>1.11.59</t>
  </si>
  <si>
    <t>1.11.60</t>
  </si>
  <si>
    <t>1.11.61</t>
  </si>
  <si>
    <t>1.11.62</t>
  </si>
  <si>
    <t>1.11.63</t>
  </si>
  <si>
    <t>1.11.64</t>
  </si>
  <si>
    <t>1.11.65</t>
  </si>
  <si>
    <t>1.11.66</t>
  </si>
  <si>
    <t>1.11.67</t>
  </si>
  <si>
    <t>1.11.68</t>
  </si>
  <si>
    <t>1.12.1</t>
  </si>
  <si>
    <t>1.12.2</t>
  </si>
  <si>
    <t>1.12.3</t>
  </si>
  <si>
    <t>1.12.4</t>
  </si>
  <si>
    <t>1.12.5</t>
  </si>
  <si>
    <t>1.12.6</t>
  </si>
  <si>
    <t>1.12.7</t>
  </si>
  <si>
    <t>1.12.8</t>
  </si>
  <si>
    <t>1.12.9</t>
  </si>
  <si>
    <t>1.12.10</t>
  </si>
  <si>
    <t>1.12.11</t>
  </si>
  <si>
    <t>1.12.12</t>
  </si>
  <si>
    <t>1.12.13</t>
  </si>
  <si>
    <t>1.12.14</t>
  </si>
  <si>
    <t>1.12.15</t>
  </si>
  <si>
    <t>1.12.16</t>
  </si>
  <si>
    <t>1.12.17</t>
  </si>
  <si>
    <t>1.12.18</t>
  </si>
  <si>
    <t>1.12.19</t>
  </si>
  <si>
    <t>1.12.20</t>
  </si>
  <si>
    <t>1.12.21</t>
  </si>
  <si>
    <t>1.12.22</t>
  </si>
  <si>
    <t>1.12.23</t>
  </si>
  <si>
    <t>1.13.1</t>
  </si>
  <si>
    <t>1.14.1</t>
  </si>
  <si>
    <t>1.14.2</t>
  </si>
  <si>
    <t>1.14.3</t>
  </si>
  <si>
    <t>1.14.4</t>
  </si>
  <si>
    <t>1.14.5</t>
  </si>
  <si>
    <t>1.14.6</t>
  </si>
  <si>
    <t>1.15.1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</si>
</sst>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3" formatCode="_-* #,##0.00_-;\-* #,##0.00_-;_-* &quot;-&quot;??_-;_-@_-"/>
    <numFmt numFmtId="164" formatCode="_-&quot;R$&quot;\ * #,##0.00_-;\-&quot;R$&quot;\ * #,##0.00_-;_-&quot;R$&quot;\ * &quot;-&quot;??_-;_-@_-"/>
    <numFmt numFmtId="165" formatCode="_(* #,##0.00_);_(* \(#,##0.00\);_(* &quot;-&quot;??_);_(@_)"/>
    <numFmt numFmtId="166" formatCode="0.000000"/>
    <numFmt numFmtId="167" formatCode="mmm\-yy;@"/>
    <numFmt numFmtId="168" formatCode="_(* #,##0.00_);_(* \(#,##0.00\);_(* \-??_);_(@_)"/>
    <numFmt numFmtId="169" formatCode="mm/yy"/>
    <numFmt numFmtId="170" formatCode="_(* #,##0.0000_);_(* \(#,##0.0000\);_(* \-??_);_(@_)"/>
    <numFmt numFmtId="171" formatCode="_-[$R$-416]\ * #,##0.00_-;\-[$R$-416]\ * #,##0.00_-;_-[$R$-416]\ * &quot;-&quot;??_-;_-@_-"/>
    <numFmt numFmtId="172" formatCode="0.0%"/>
    <numFmt numFmtId="173" formatCode="0.000%"/>
    <numFmt numFmtId="174" formatCode="dd/mm/yy;@"/>
    <numFmt numFmtId="175" formatCode="00\ "/>
    <numFmt numFmtId="176" formatCode="#,##0.00000"/>
    <numFmt numFmtId="177" formatCode="&quot;BDI: &quot;0.00&quot;%&quot;"/>
    <numFmt numFmtId="178" formatCode="0.00000"/>
    <numFmt numFmtId="179" formatCode="&quot;R$&quot;\ #,##0.00"/>
    <numFmt numFmtId="180" formatCode="&quot;BDI: &quot;0.0000&quot;%&quot;"/>
    <numFmt numFmtId="181" formatCode="0.0000%"/>
    <numFmt numFmtId="182" formatCode="&quot;R$ &quot;#,##0.00"/>
    <numFmt numFmtId="183" formatCode="00"/>
    <numFmt numFmtId="184" formatCode="#,##0.000"/>
    <numFmt numFmtId="185" formatCode="#,##0.0000"/>
    <numFmt numFmtId="186" formatCode="0.0"/>
    <numFmt numFmtId="187" formatCode="0.000"/>
    <numFmt numFmtId="188" formatCode="#,##0.000000"/>
    <numFmt numFmtId="189" formatCode="0.00000%"/>
  </numFmts>
  <fonts count="42" x14ac:knownFonts="1">
    <font>
      <sz val="11"/>
      <color theme="1"/>
      <name val="Calibri"/>
      <family val="2"/>
      <scheme val="minor"/>
    </font>
    <font>
      <sz val="8"/>
      <color theme="1"/>
      <name val="Verdana"/>
      <family val="2"/>
    </font>
    <font>
      <sz val="8"/>
      <color theme="1"/>
      <name val="Courier New"/>
      <family val="3"/>
    </font>
    <font>
      <b/>
      <sz val="8"/>
      <color theme="1"/>
      <name val="Courier New"/>
      <family val="3"/>
    </font>
    <font>
      <sz val="11"/>
      <color theme="1"/>
      <name val="Calibri"/>
      <family val="2"/>
      <scheme val="minor"/>
    </font>
    <font>
      <b/>
      <sz val="10"/>
      <color theme="1"/>
      <name val="Arial"/>
      <family val="2"/>
    </font>
    <font>
      <sz val="10"/>
      <color theme="1"/>
      <name val="Arial"/>
      <family val="2"/>
    </font>
    <font>
      <sz val="10"/>
      <name val="Times New Roman"/>
      <family val="1"/>
    </font>
    <font>
      <b/>
      <u/>
      <sz val="10"/>
      <name val="Times New Roman"/>
      <family val="1"/>
    </font>
    <font>
      <b/>
      <sz val="10"/>
      <name val="Times New Roman"/>
      <family val="1"/>
    </font>
    <font>
      <sz val="10"/>
      <name val="Arial"/>
      <family val="2"/>
    </font>
    <font>
      <b/>
      <sz val="11"/>
      <color theme="1"/>
      <name val="Calibri"/>
      <family val="2"/>
      <scheme val="minor"/>
    </font>
    <font>
      <sz val="8"/>
      <name val="Calibri"/>
      <family val="2"/>
      <scheme val="minor"/>
    </font>
    <font>
      <sz val="11"/>
      <name val="Calibri"/>
      <family val="2"/>
      <scheme val="minor"/>
    </font>
    <font>
      <sz val="11"/>
      <color indexed="8"/>
      <name val="Calibri"/>
      <family val="2"/>
    </font>
    <font>
      <sz val="10"/>
      <name val="Times New Roman"/>
      <family val="1"/>
      <charset val="204"/>
    </font>
    <font>
      <b/>
      <sz val="7"/>
      <color rgb="FF000000"/>
      <name val="Arial"/>
      <family val="2"/>
    </font>
    <font>
      <sz val="7"/>
      <color rgb="FF000000"/>
      <name val="Arial"/>
      <family val="2"/>
    </font>
    <font>
      <sz val="9"/>
      <color theme="1"/>
      <name val="Calibri"/>
      <family val="2"/>
      <scheme val="minor"/>
    </font>
    <font>
      <b/>
      <sz val="9"/>
      <color rgb="FF000000"/>
      <name val="Calibri"/>
      <family val="2"/>
      <scheme val="minor"/>
    </font>
    <font>
      <sz val="9"/>
      <color rgb="FF000000"/>
      <name val="Calibri"/>
      <family val="2"/>
      <scheme val="minor"/>
    </font>
    <font>
      <b/>
      <sz val="10"/>
      <name val="Arial"/>
      <family val="2"/>
    </font>
    <font>
      <sz val="10"/>
      <name val="Courier New"/>
      <family val="3"/>
    </font>
    <font>
      <b/>
      <sz val="11"/>
      <color rgb="FF000000"/>
      <name val="Montserrat"/>
    </font>
    <font>
      <sz val="11"/>
      <color rgb="FF000000"/>
      <name val="Arial"/>
      <family val="2"/>
    </font>
    <font>
      <b/>
      <sz val="10"/>
      <color rgb="FF000000"/>
      <name val="Montserrat"/>
    </font>
    <font>
      <sz val="10"/>
      <color rgb="FF000000"/>
      <name val="Montserrat"/>
    </font>
    <font>
      <sz val="10"/>
      <color rgb="FF00B050"/>
      <name val="Montserrat"/>
    </font>
    <font>
      <sz val="10"/>
      <name val="Montserrat"/>
    </font>
    <font>
      <b/>
      <sz val="10"/>
      <name val="Montserrat"/>
    </font>
    <font>
      <b/>
      <sz val="10"/>
      <color theme="1"/>
      <name val="Montserrat"/>
    </font>
    <font>
      <sz val="11"/>
      <color theme="1"/>
      <name val="Montserrat"/>
    </font>
    <font>
      <sz val="10"/>
      <color theme="1"/>
      <name val="Montserrat"/>
    </font>
    <font>
      <sz val="11"/>
      <color rgb="FF00B050"/>
      <name val="Montserrat"/>
    </font>
    <font>
      <b/>
      <sz val="11"/>
      <color theme="1"/>
      <name val="Montserrat"/>
    </font>
    <font>
      <sz val="11"/>
      <name val="Montserrat"/>
    </font>
    <font>
      <i/>
      <sz val="8"/>
      <color theme="1"/>
      <name val="Montserrat"/>
    </font>
    <font>
      <b/>
      <sz val="12"/>
      <name val="Montserrat"/>
    </font>
    <font>
      <sz val="12"/>
      <name val="Montserrat"/>
    </font>
    <font>
      <sz val="11"/>
      <color rgb="FF000000"/>
      <name val="Montserrat"/>
    </font>
    <font>
      <b/>
      <sz val="11"/>
      <name val="Montserrat"/>
    </font>
    <font>
      <i/>
      <sz val="10"/>
      <name val="Montserrat"/>
    </font>
  </fonts>
  <fills count="21">
    <fill>
      <patternFill patternType="none"/>
    </fill>
    <fill>
      <patternFill patternType="gray125"/>
    </fill>
    <fill>
      <patternFill patternType="solid">
        <fgColor indexed="9"/>
        <bgColor indexed="26"/>
      </patternFill>
    </fill>
    <fill>
      <patternFill patternType="solid">
        <fgColor indexed="22"/>
        <bgColor indexed="31"/>
      </patternFill>
    </fill>
    <fill>
      <patternFill patternType="solid">
        <fgColor theme="0" tint="-0.34998626667073579"/>
        <bgColor indexed="64"/>
      </patternFill>
    </fill>
    <fill>
      <patternFill patternType="solid">
        <fgColor rgb="FFCFCFCF"/>
        <bgColor indexed="64"/>
      </patternFill>
    </fill>
    <fill>
      <patternFill patternType="solid">
        <fgColor rgb="FFE6E6E6"/>
        <bgColor indexed="64"/>
      </patternFill>
    </fill>
    <fill>
      <patternFill patternType="solid">
        <fgColor theme="0" tint="-0.14999847407452621"/>
        <bgColor indexed="64"/>
      </patternFill>
    </fill>
    <fill>
      <patternFill patternType="solid">
        <fgColor theme="0"/>
        <bgColor indexed="64"/>
      </patternFill>
    </fill>
    <fill>
      <patternFill patternType="solid">
        <fgColor indexed="55"/>
        <bgColor indexed="64"/>
      </patternFill>
    </fill>
    <fill>
      <patternFill patternType="solid">
        <fgColor theme="6" tint="0.39997558519241921"/>
        <bgColor indexed="64"/>
      </patternFill>
    </fill>
    <fill>
      <patternFill patternType="solid">
        <fgColor indexed="42"/>
        <bgColor indexed="64"/>
      </patternFill>
    </fill>
    <fill>
      <patternFill patternType="solid">
        <fgColor rgb="FFE6E7E8"/>
      </patternFill>
    </fill>
    <fill>
      <patternFill patternType="solid">
        <fgColor theme="0" tint="-0.249977111117893"/>
        <bgColor indexed="64"/>
      </patternFill>
    </fill>
    <fill>
      <patternFill patternType="solid">
        <fgColor indexed="22"/>
        <bgColor indexed="64"/>
      </patternFill>
    </fill>
    <fill>
      <patternFill patternType="solid">
        <fgColor indexed="9"/>
        <bgColor indexed="64"/>
      </patternFill>
    </fill>
    <fill>
      <patternFill patternType="solid">
        <fgColor rgb="FFFFFFCC"/>
        <bgColor indexed="64"/>
      </patternFill>
    </fill>
    <fill>
      <patternFill patternType="solid">
        <fgColor rgb="FFCCFFCC"/>
        <bgColor indexed="64"/>
      </patternFill>
    </fill>
    <fill>
      <patternFill patternType="solid">
        <fgColor rgb="FF92D050"/>
        <bgColor indexed="64"/>
      </patternFill>
    </fill>
    <fill>
      <patternFill patternType="solid">
        <fgColor rgb="FFFFFF00"/>
        <bgColor indexed="64"/>
      </patternFill>
    </fill>
    <fill>
      <patternFill patternType="solid">
        <fgColor theme="9" tint="0.39997558519241921"/>
        <bgColor indexed="64"/>
      </patternFill>
    </fill>
  </fills>
  <borders count="123">
    <border>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right/>
      <top style="medium">
        <color auto="1"/>
      </top>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8"/>
      </left>
      <right style="medium">
        <color indexed="8"/>
      </right>
      <top style="medium">
        <color indexed="8"/>
      </top>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style="medium">
        <color indexed="8"/>
      </left>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thin">
        <color indexed="8"/>
      </right>
      <top style="hair">
        <color indexed="8"/>
      </top>
      <bottom style="hair">
        <color indexed="8"/>
      </bottom>
      <diagonal/>
    </border>
    <border>
      <left style="medium">
        <color indexed="8"/>
      </left>
      <right style="medium">
        <color indexed="8"/>
      </right>
      <top/>
      <bottom style="medium">
        <color indexed="8"/>
      </bottom>
      <diagonal/>
    </border>
    <border>
      <left style="medium">
        <color indexed="8"/>
      </left>
      <right style="thin">
        <color indexed="8"/>
      </right>
      <top style="medium">
        <color indexed="8"/>
      </top>
      <bottom style="hair">
        <color indexed="8"/>
      </bottom>
      <diagonal/>
    </border>
    <border>
      <left style="thin">
        <color indexed="8"/>
      </left>
      <right style="thin">
        <color indexed="8"/>
      </right>
      <top style="medium">
        <color indexed="8"/>
      </top>
      <bottom style="hair">
        <color indexed="8"/>
      </bottom>
      <diagonal/>
    </border>
    <border>
      <left style="thin">
        <color indexed="8"/>
      </left>
      <right style="medium">
        <color indexed="8"/>
      </right>
      <top style="medium">
        <color indexed="8"/>
      </top>
      <bottom style="hair">
        <color indexed="8"/>
      </bottom>
      <diagonal/>
    </border>
    <border>
      <left style="thin">
        <color indexed="8"/>
      </left>
      <right style="thin">
        <color indexed="8"/>
      </right>
      <top style="hair">
        <color indexed="8"/>
      </top>
      <bottom style="hair">
        <color indexed="8"/>
      </bottom>
      <diagonal/>
    </border>
    <border>
      <left style="thin">
        <color indexed="8"/>
      </left>
      <right/>
      <top style="hair">
        <color indexed="8"/>
      </top>
      <bottom style="hair">
        <color indexed="8"/>
      </bottom>
      <diagonal/>
    </border>
    <border>
      <left style="thin">
        <color indexed="8"/>
      </left>
      <right style="medium">
        <color indexed="8"/>
      </right>
      <top style="hair">
        <color indexed="8"/>
      </top>
      <bottom style="hair">
        <color indexed="8"/>
      </bottom>
      <diagonal/>
    </border>
    <border>
      <left style="medium">
        <color indexed="8"/>
      </left>
      <right style="thin">
        <color indexed="8"/>
      </right>
      <top style="hair">
        <color indexed="8"/>
      </top>
      <bottom style="medium">
        <color indexed="8"/>
      </bottom>
      <diagonal/>
    </border>
    <border>
      <left style="thin">
        <color indexed="8"/>
      </left>
      <right style="thin">
        <color indexed="8"/>
      </right>
      <top style="hair">
        <color indexed="8"/>
      </top>
      <bottom style="medium">
        <color indexed="8"/>
      </bottom>
      <diagonal/>
    </border>
    <border>
      <left style="thin">
        <color indexed="8"/>
      </left>
      <right style="medium">
        <color indexed="8"/>
      </right>
      <top style="hair">
        <color indexed="8"/>
      </top>
      <bottom style="medium">
        <color indexed="8"/>
      </bottom>
      <diagonal/>
    </border>
    <border>
      <left style="medium">
        <color indexed="8"/>
      </left>
      <right style="medium">
        <color indexed="8"/>
      </right>
      <top/>
      <bottom/>
      <diagonal/>
    </border>
    <border>
      <left/>
      <right style="medium">
        <color indexed="8"/>
      </right>
      <top/>
      <bottom/>
      <diagonal/>
    </border>
    <border>
      <left/>
      <right/>
      <top style="medium">
        <color indexed="8"/>
      </top>
      <bottom style="medium">
        <color indexed="8"/>
      </bottom>
      <diagonal/>
    </border>
    <border>
      <left/>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8"/>
      </left>
      <right/>
      <top/>
      <bottom style="medium">
        <color indexed="8"/>
      </bottom>
      <diagonal/>
    </border>
    <border>
      <left/>
      <right style="medium">
        <color indexed="8"/>
      </right>
      <top/>
      <bottom style="medium">
        <color indexed="8"/>
      </bottom>
      <diagonal/>
    </border>
    <border>
      <left style="medium">
        <color indexed="8"/>
      </left>
      <right style="medium">
        <color indexed="8"/>
      </right>
      <top/>
      <bottom style="medium">
        <color indexed="8"/>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medium">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style="thin">
        <color indexed="64"/>
      </left>
      <right style="medium">
        <color indexed="64"/>
      </right>
      <top style="hair">
        <color indexed="64"/>
      </top>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diagonal/>
    </border>
    <border>
      <left style="thin">
        <color indexed="64"/>
      </left>
      <right/>
      <top/>
      <bottom style="hair">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diagonal/>
    </border>
    <border>
      <left style="medium">
        <color indexed="64"/>
      </left>
      <right/>
      <top style="thin">
        <color indexed="64"/>
      </top>
      <bottom style="thin">
        <color indexed="64"/>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right style="thin">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hair">
        <color indexed="64"/>
      </top>
      <bottom style="hair">
        <color indexed="64"/>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style="thin">
        <color indexed="64"/>
      </left>
      <right style="medium">
        <color indexed="64"/>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s>
  <cellStyleXfs count="17">
    <xf numFmtId="0" fontId="0" fillId="0" borderId="0"/>
    <xf numFmtId="43" fontId="4" fillId="0" borderId="0" applyFont="0" applyFill="0" applyBorder="0" applyAlignment="0" applyProtection="0"/>
    <xf numFmtId="165" fontId="10" fillId="0" borderId="0" applyFont="0" applyFill="0" applyBorder="0" applyAlignment="0" applyProtection="0"/>
    <xf numFmtId="0" fontId="15" fillId="0" borderId="0" applyNumberFormat="0" applyFill="0" applyBorder="0" applyProtection="0">
      <alignment vertical="top" wrapText="1"/>
    </xf>
    <xf numFmtId="43" fontId="14" fillId="0" borderId="0" applyFont="0" applyFill="0" applyBorder="0" applyAlignment="0" applyProtection="0"/>
    <xf numFmtId="164" fontId="4" fillId="0" borderId="0" applyFont="0" applyFill="0" applyBorder="0" applyAlignment="0" applyProtection="0"/>
    <xf numFmtId="9" fontId="4" fillId="0" borderId="0" applyFont="0" applyFill="0" applyBorder="0" applyAlignment="0" applyProtection="0"/>
    <xf numFmtId="0" fontId="10" fillId="0" borderId="0"/>
    <xf numFmtId="9" fontId="14" fillId="0" borderId="0" applyFont="0" applyFill="0" applyBorder="0" applyAlignment="0" applyProtection="0"/>
    <xf numFmtId="9" fontId="10" fillId="0" borderId="0" applyFont="0" applyFill="0" applyBorder="0" applyAlignment="0" applyProtection="0"/>
    <xf numFmtId="43" fontId="1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3" fontId="14" fillId="0" borderId="0" applyFont="0" applyFill="0" applyBorder="0" applyAlignment="0" applyProtection="0"/>
    <xf numFmtId="164" fontId="4" fillId="0" borderId="0" applyFont="0" applyFill="0" applyBorder="0" applyAlignment="0" applyProtection="0"/>
    <xf numFmtId="43" fontId="14" fillId="0" borderId="0" applyFont="0" applyFill="0" applyBorder="0" applyAlignment="0" applyProtection="0"/>
    <xf numFmtId="164" fontId="14" fillId="0" borderId="0" applyFont="0" applyFill="0" applyBorder="0" applyAlignment="0" applyProtection="0"/>
  </cellStyleXfs>
  <cellXfs count="1650">
    <xf numFmtId="0" fontId="0" fillId="0" borderId="0" xfId="0"/>
    <xf numFmtId="0" fontId="0" fillId="0" borderId="0" xfId="0" applyFill="1" applyBorder="1"/>
    <xf numFmtId="0" fontId="3" fillId="0" borderId="0" xfId="0" applyFont="1" applyFill="1" applyBorder="1" applyAlignment="1">
      <alignment horizontal="center" wrapText="1"/>
    </xf>
    <xf numFmtId="0" fontId="2" fillId="0" borderId="0" xfId="0" applyFont="1" applyFill="1" applyBorder="1" applyAlignment="1">
      <alignment horizontal="center" wrapText="1"/>
    </xf>
    <xf numFmtId="0" fontId="6" fillId="0" borderId="0" xfId="0" applyFont="1" applyAlignment="1">
      <alignment horizontal="center"/>
    </xf>
    <xf numFmtId="17" fontId="6" fillId="0" borderId="0" xfId="0" applyNumberFormat="1" applyFont="1" applyFill="1" applyBorder="1" applyAlignment="1">
      <alignment wrapText="1"/>
    </xf>
    <xf numFmtId="43" fontId="6" fillId="0" borderId="0" xfId="1" applyFont="1" applyFill="1" applyBorder="1" applyAlignment="1">
      <alignment wrapText="1"/>
    </xf>
    <xf numFmtId="0" fontId="6" fillId="0" borderId="0" xfId="0" applyFont="1" applyFill="1" applyBorder="1" applyAlignment="1">
      <alignment wrapText="1"/>
    </xf>
    <xf numFmtId="0" fontId="6" fillId="0" borderId="0" xfId="0" applyFont="1" applyFill="1" applyBorder="1" applyAlignment="1">
      <alignment horizontal="center"/>
    </xf>
    <xf numFmtId="43" fontId="6" fillId="0" borderId="0" xfId="1" applyFont="1" applyFill="1" applyBorder="1"/>
    <xf numFmtId="0" fontId="6" fillId="0" borderId="0" xfId="0" applyFont="1" applyBorder="1" applyAlignment="1">
      <alignment horizontal="center"/>
    </xf>
    <xf numFmtId="0" fontId="6" fillId="0" borderId="0" xfId="0" applyFont="1" applyBorder="1" applyAlignment="1">
      <alignment wrapText="1"/>
    </xf>
    <xf numFmtId="43" fontId="6" fillId="0" borderId="0" xfId="1" applyFont="1" applyBorder="1"/>
    <xf numFmtId="17" fontId="6" fillId="0" borderId="0" xfId="0" applyNumberFormat="1" applyFont="1" applyFill="1" applyBorder="1" applyAlignment="1">
      <alignment horizontal="center" wrapText="1"/>
    </xf>
    <xf numFmtId="17" fontId="6" fillId="0" borderId="0" xfId="1" applyNumberFormat="1" applyFont="1" applyFill="1" applyBorder="1" applyAlignment="1">
      <alignment wrapText="1"/>
    </xf>
    <xf numFmtId="43" fontId="6" fillId="0" borderId="1" xfId="1" applyFont="1" applyFill="1" applyBorder="1" applyAlignment="1">
      <alignment wrapText="1"/>
    </xf>
    <xf numFmtId="0" fontId="5" fillId="0" borderId="2" xfId="0" applyFont="1" applyFill="1" applyBorder="1" applyAlignment="1">
      <alignment horizontal="center" wrapText="1"/>
    </xf>
    <xf numFmtId="43" fontId="5" fillId="0" borderId="2" xfId="1" applyFont="1" applyFill="1" applyBorder="1" applyAlignment="1">
      <alignment horizontal="center" wrapText="1"/>
    </xf>
    <xf numFmtId="0" fontId="5" fillId="0" borderId="7" xfId="0" applyFont="1" applyFill="1" applyBorder="1" applyAlignment="1">
      <alignment horizontal="center" wrapText="1"/>
    </xf>
    <xf numFmtId="0" fontId="5" fillId="0" borderId="8" xfId="0" applyFont="1" applyFill="1" applyBorder="1" applyAlignment="1">
      <alignment horizontal="left" wrapText="1"/>
    </xf>
    <xf numFmtId="0" fontId="5" fillId="0" borderId="8" xfId="0" applyFont="1" applyFill="1" applyBorder="1" applyAlignment="1">
      <alignment horizontal="center" wrapText="1"/>
    </xf>
    <xf numFmtId="43" fontId="5" fillId="0" borderId="8" xfId="1" applyFont="1" applyFill="1" applyBorder="1" applyAlignment="1">
      <alignment horizontal="center" wrapText="1"/>
    </xf>
    <xf numFmtId="43" fontId="5" fillId="0" borderId="9" xfId="1" applyFont="1" applyFill="1" applyBorder="1" applyAlignment="1">
      <alignment horizontal="center" wrapText="1"/>
    </xf>
    <xf numFmtId="0" fontId="6" fillId="0" borderId="7" xfId="0" applyFont="1" applyBorder="1" applyAlignment="1">
      <alignment horizontal="center"/>
    </xf>
    <xf numFmtId="0" fontId="5" fillId="0" borderId="7" xfId="0" applyFont="1" applyFill="1" applyBorder="1" applyAlignment="1">
      <alignment horizontal="center" vertical="top" wrapText="1"/>
    </xf>
    <xf numFmtId="0" fontId="6" fillId="0" borderId="8" xfId="0" applyFont="1" applyBorder="1" applyAlignment="1">
      <alignment horizontal="center"/>
    </xf>
    <xf numFmtId="43" fontId="6" fillId="0" borderId="9" xfId="1" applyFont="1" applyBorder="1"/>
    <xf numFmtId="0" fontId="6" fillId="0" borderId="10" xfId="0" applyFont="1" applyBorder="1" applyAlignment="1">
      <alignment horizontal="center"/>
    </xf>
    <xf numFmtId="0" fontId="7" fillId="0" borderId="0" xfId="0" applyFont="1" applyAlignment="1"/>
    <xf numFmtId="0" fontId="7" fillId="0" borderId="0" xfId="0" applyFont="1" applyAlignment="1">
      <alignment horizontal="center" wrapText="1"/>
    </xf>
    <xf numFmtId="166" fontId="7" fillId="0" borderId="0" xfId="0" applyNumberFormat="1" applyFont="1" applyAlignment="1"/>
    <xf numFmtId="0" fontId="7" fillId="0" borderId="0" xfId="0" applyFont="1" applyAlignment="1">
      <alignment horizontal="center"/>
    </xf>
    <xf numFmtId="4" fontId="7" fillId="0" borderId="0" xfId="0" applyNumberFormat="1" applyFont="1"/>
    <xf numFmtId="0" fontId="7" fillId="0" borderId="0" xfId="0" applyFont="1"/>
    <xf numFmtId="0" fontId="7" fillId="0" borderId="17" xfId="0" applyFont="1" applyBorder="1" applyAlignment="1">
      <alignment horizontal="center" wrapText="1"/>
    </xf>
    <xf numFmtId="0" fontId="7" fillId="0" borderId="19" xfId="0" applyFont="1" applyBorder="1" applyAlignment="1">
      <alignment horizontal="center" wrapText="1"/>
    </xf>
    <xf numFmtId="0" fontId="7" fillId="0" borderId="20" xfId="0" applyFont="1" applyFill="1" applyBorder="1" applyAlignment="1">
      <alignment horizontal="justify" wrapText="1"/>
    </xf>
    <xf numFmtId="1" fontId="7" fillId="0" borderId="17" xfId="0" applyNumberFormat="1" applyFont="1" applyBorder="1" applyAlignment="1">
      <alignment horizontal="center" wrapText="1"/>
    </xf>
    <xf numFmtId="167" fontId="7" fillId="0" borderId="21" xfId="0" applyNumberFormat="1" applyFont="1" applyBorder="1" applyAlignment="1">
      <alignment horizontal="center" wrapText="1"/>
    </xf>
    <xf numFmtId="168" fontId="7" fillId="0" borderId="0" xfId="0" applyNumberFormat="1" applyFont="1" applyAlignment="1">
      <alignment horizontal="center"/>
    </xf>
    <xf numFmtId="169" fontId="7" fillId="0" borderId="0" xfId="0" applyNumberFormat="1" applyFont="1"/>
    <xf numFmtId="0" fontId="7" fillId="0" borderId="22" xfId="0" applyFont="1" applyBorder="1" applyAlignment="1">
      <alignment wrapText="1"/>
    </xf>
    <xf numFmtId="0" fontId="7" fillId="0" borderId="23" xfId="0" applyFont="1" applyBorder="1" applyAlignment="1">
      <alignment horizontal="center" wrapText="1"/>
    </xf>
    <xf numFmtId="0" fontId="7" fillId="0" borderId="24" xfId="0" applyFont="1" applyBorder="1" applyAlignment="1">
      <alignment horizontal="center" wrapText="1"/>
    </xf>
    <xf numFmtId="0" fontId="7" fillId="0" borderId="20" xfId="0" applyFont="1" applyFill="1" applyBorder="1" applyAlignment="1">
      <alignment wrapText="1"/>
    </xf>
    <xf numFmtId="4" fontId="7" fillId="0" borderId="25" xfId="1" applyNumberFormat="1" applyFont="1" applyFill="1" applyBorder="1" applyAlignment="1" applyProtection="1">
      <alignment horizontal="center" wrapText="1"/>
    </xf>
    <xf numFmtId="166" fontId="7" fillId="2" borderId="26" xfId="0" applyNumberFormat="1" applyFont="1" applyFill="1" applyBorder="1" applyAlignment="1">
      <alignment wrapText="1"/>
    </xf>
    <xf numFmtId="168" fontId="7" fillId="0" borderId="27" xfId="1" applyNumberFormat="1" applyFont="1" applyFill="1" applyBorder="1" applyAlignment="1" applyProtection="1">
      <alignment horizontal="center" wrapText="1"/>
    </xf>
    <xf numFmtId="0" fontId="7" fillId="0" borderId="20" xfId="0" applyFont="1" applyBorder="1" applyAlignment="1">
      <alignment wrapText="1"/>
    </xf>
    <xf numFmtId="166" fontId="7" fillId="0" borderId="25" xfId="1" applyNumberFormat="1" applyFont="1" applyFill="1" applyBorder="1" applyAlignment="1" applyProtection="1">
      <alignment wrapText="1"/>
    </xf>
    <xf numFmtId="0" fontId="9" fillId="0" borderId="20" xfId="0" applyFont="1" applyBorder="1" applyAlignment="1">
      <alignment horizontal="right" wrapText="1"/>
    </xf>
    <xf numFmtId="0" fontId="9" fillId="0" borderId="25" xfId="0" applyFont="1" applyFill="1" applyBorder="1" applyAlignment="1">
      <alignment horizontal="center" wrapText="1"/>
    </xf>
    <xf numFmtId="166" fontId="9" fillId="0" borderId="25" xfId="0" applyNumberFormat="1" applyFont="1" applyFill="1" applyBorder="1" applyAlignment="1">
      <alignment wrapText="1"/>
    </xf>
    <xf numFmtId="4" fontId="7" fillId="0" borderId="25" xfId="0" applyNumberFormat="1" applyFont="1" applyFill="1" applyBorder="1" applyAlignment="1">
      <alignment horizontal="center" wrapText="1"/>
    </xf>
    <xf numFmtId="168" fontId="7" fillId="0" borderId="27" xfId="0" applyNumberFormat="1" applyFont="1" applyBorder="1" applyAlignment="1">
      <alignment horizontal="center" wrapText="1"/>
    </xf>
    <xf numFmtId="0" fontId="7" fillId="0" borderId="25" xfId="0" applyFont="1" applyBorder="1" applyAlignment="1">
      <alignment horizontal="center" wrapText="1"/>
    </xf>
    <xf numFmtId="166" fontId="7" fillId="0" borderId="25" xfId="0" applyNumberFormat="1" applyFont="1" applyBorder="1" applyAlignment="1">
      <alignment wrapText="1"/>
    </xf>
    <xf numFmtId="4" fontId="7" fillId="0" borderId="25" xfId="0" applyNumberFormat="1" applyFont="1" applyBorder="1" applyAlignment="1">
      <alignment horizontal="center" wrapText="1"/>
    </xf>
    <xf numFmtId="0" fontId="7" fillId="0" borderId="27" xfId="0" applyFont="1" applyBorder="1" applyAlignment="1">
      <alignment horizontal="center" wrapText="1"/>
    </xf>
    <xf numFmtId="166" fontId="7" fillId="2" borderId="25" xfId="0" applyNumberFormat="1" applyFont="1" applyFill="1" applyBorder="1" applyAlignment="1">
      <alignment wrapText="1"/>
    </xf>
    <xf numFmtId="170" fontId="7" fillId="0" borderId="25" xfId="1" applyNumberFormat="1" applyFont="1" applyFill="1" applyBorder="1" applyAlignment="1" applyProtection="1">
      <alignment wrapText="1"/>
    </xf>
    <xf numFmtId="168" fontId="7" fillId="0" borderId="25" xfId="1" applyNumberFormat="1" applyFont="1" applyFill="1" applyBorder="1" applyAlignment="1" applyProtection="1">
      <alignment wrapText="1"/>
    </xf>
    <xf numFmtId="0" fontId="9" fillId="0" borderId="25" xfId="0" applyFont="1" applyFill="1" applyBorder="1" applyAlignment="1">
      <alignment wrapText="1"/>
    </xf>
    <xf numFmtId="0" fontId="7" fillId="0" borderId="25" xfId="0" applyFont="1" applyFill="1" applyBorder="1" applyAlignment="1">
      <alignment horizontal="center" wrapText="1"/>
    </xf>
    <xf numFmtId="0" fontId="7" fillId="0" borderId="25" xfId="0" applyFont="1" applyBorder="1" applyAlignment="1">
      <alignment wrapText="1"/>
    </xf>
    <xf numFmtId="0" fontId="9" fillId="0" borderId="28" xfId="0" applyFont="1" applyBorder="1" applyAlignment="1">
      <alignment horizontal="right" wrapText="1"/>
    </xf>
    <xf numFmtId="0" fontId="9" fillId="0" borderId="29" xfId="0" applyFont="1" applyFill="1" applyBorder="1" applyAlignment="1">
      <alignment horizontal="center" wrapText="1"/>
    </xf>
    <xf numFmtId="0" fontId="9" fillId="0" borderId="29" xfId="0" applyFont="1" applyFill="1" applyBorder="1" applyAlignment="1">
      <alignment wrapText="1"/>
    </xf>
    <xf numFmtId="168" fontId="7" fillId="0" borderId="30" xfId="0" applyNumberFormat="1" applyFont="1" applyBorder="1" applyAlignment="1">
      <alignment horizontal="center" wrapText="1"/>
    </xf>
    <xf numFmtId="0" fontId="7" fillId="0" borderId="14" xfId="0" applyFont="1" applyBorder="1" applyAlignment="1">
      <alignment wrapText="1"/>
    </xf>
    <xf numFmtId="0" fontId="7" fillId="0" borderId="21" xfId="0" applyFont="1" applyBorder="1" applyAlignment="1">
      <alignment horizontal="center" wrapText="1"/>
    </xf>
    <xf numFmtId="0" fontId="7" fillId="0" borderId="16" xfId="0" applyFont="1" applyBorder="1" applyAlignment="1">
      <alignment wrapText="1"/>
    </xf>
    <xf numFmtId="0" fontId="7" fillId="0" borderId="21" xfId="0" applyFont="1" applyBorder="1" applyAlignment="1">
      <alignment wrapText="1"/>
    </xf>
    <xf numFmtId="0" fontId="7" fillId="0" borderId="16" xfId="0" applyFont="1" applyBorder="1" applyAlignment="1">
      <alignment horizontal="center" wrapText="1"/>
    </xf>
    <xf numFmtId="168" fontId="7" fillId="0" borderId="16" xfId="0" applyNumberFormat="1" applyFont="1" applyBorder="1" applyAlignment="1">
      <alignment horizontal="center" wrapText="1"/>
    </xf>
    <xf numFmtId="0" fontId="7" fillId="3" borderId="16" xfId="0" applyFont="1" applyFill="1" applyBorder="1" applyAlignment="1">
      <alignment horizontal="center" wrapText="1"/>
    </xf>
    <xf numFmtId="0" fontId="7" fillId="0" borderId="31" xfId="0" applyFont="1" applyBorder="1" applyAlignment="1">
      <alignment wrapText="1"/>
    </xf>
    <xf numFmtId="0" fontId="7" fillId="3" borderId="32" xfId="0" applyFont="1" applyFill="1" applyBorder="1" applyAlignment="1">
      <alignment horizontal="center" wrapText="1"/>
    </xf>
    <xf numFmtId="0" fontId="7" fillId="0" borderId="18" xfId="0" applyFont="1" applyBorder="1" applyAlignment="1">
      <alignment wrapText="1"/>
    </xf>
    <xf numFmtId="168" fontId="7" fillId="0" borderId="19" xfId="0" applyNumberFormat="1" applyFont="1" applyBorder="1" applyAlignment="1">
      <alignment horizontal="center" wrapText="1"/>
    </xf>
    <xf numFmtId="0" fontId="9" fillId="0" borderId="21" xfId="0" applyFont="1" applyBorder="1" applyAlignment="1">
      <alignment horizontal="right" wrapText="1"/>
    </xf>
    <xf numFmtId="0" fontId="9" fillId="3" borderId="18" xfId="0" applyFont="1" applyFill="1" applyBorder="1" applyAlignment="1">
      <alignment horizontal="center" wrapText="1"/>
    </xf>
    <xf numFmtId="0" fontId="7" fillId="0" borderId="33" xfId="0" applyFont="1" applyBorder="1" applyAlignment="1">
      <alignment horizontal="center" wrapText="1"/>
    </xf>
    <xf numFmtId="166" fontId="7" fillId="0" borderId="25" xfId="0" applyNumberFormat="1" applyFont="1" applyFill="1" applyBorder="1" applyAlignment="1">
      <alignment wrapText="1"/>
    </xf>
    <xf numFmtId="0" fontId="5" fillId="0" borderId="7" xfId="0" applyFont="1" applyBorder="1" applyAlignment="1">
      <alignment horizontal="center"/>
    </xf>
    <xf numFmtId="0" fontId="5" fillId="0" borderId="11" xfId="0" applyFont="1" applyBorder="1" applyAlignment="1">
      <alignment horizontal="center"/>
    </xf>
    <xf numFmtId="43" fontId="5" fillId="0" borderId="11" xfId="1" applyFont="1" applyBorder="1"/>
    <xf numFmtId="43" fontId="5" fillId="0" borderId="12" xfId="1" applyFont="1" applyBorder="1"/>
    <xf numFmtId="0" fontId="0" fillId="0" borderId="0" xfId="0"/>
    <xf numFmtId="0" fontId="0" fillId="0" borderId="0" xfId="0"/>
    <xf numFmtId="0" fontId="7" fillId="0" borderId="17" xfId="0" applyFont="1" applyBorder="1" applyAlignment="1">
      <alignment horizontal="center" wrapText="1"/>
    </xf>
    <xf numFmtId="0" fontId="7" fillId="0" borderId="19" xfId="0" applyFont="1" applyBorder="1" applyAlignment="1">
      <alignment horizontal="center" wrapText="1"/>
    </xf>
    <xf numFmtId="1" fontId="7" fillId="0" borderId="17" xfId="0" applyNumberFormat="1" applyFont="1" applyBorder="1" applyAlignment="1">
      <alignment horizontal="center" wrapText="1"/>
    </xf>
    <xf numFmtId="0" fontId="7" fillId="0" borderId="22" xfId="0" applyFont="1" applyBorder="1" applyAlignment="1">
      <alignment wrapText="1"/>
    </xf>
    <xf numFmtId="0" fontId="7" fillId="0" borderId="23" xfId="0" applyFont="1" applyBorder="1" applyAlignment="1">
      <alignment horizontal="center" wrapText="1"/>
    </xf>
    <xf numFmtId="0" fontId="7" fillId="0" borderId="24" xfId="0" applyFont="1" applyBorder="1" applyAlignment="1">
      <alignment horizontal="center" wrapText="1"/>
    </xf>
    <xf numFmtId="4" fontId="7" fillId="0" borderId="25" xfId="1" applyNumberFormat="1" applyFont="1" applyFill="1" applyBorder="1" applyAlignment="1" applyProtection="1">
      <alignment horizontal="center" wrapText="1"/>
    </xf>
    <xf numFmtId="166" fontId="7" fillId="2" borderId="26" xfId="0" applyNumberFormat="1" applyFont="1" applyFill="1" applyBorder="1" applyAlignment="1">
      <alignment wrapText="1"/>
    </xf>
    <xf numFmtId="168" fontId="7" fillId="0" borderId="27" xfId="1" applyNumberFormat="1" applyFont="1" applyFill="1" applyBorder="1" applyAlignment="1" applyProtection="1">
      <alignment horizontal="center" wrapText="1"/>
    </xf>
    <xf numFmtId="0" fontId="7" fillId="0" borderId="20" xfId="0" applyFont="1" applyBorder="1" applyAlignment="1">
      <alignment wrapText="1"/>
    </xf>
    <xf numFmtId="166" fontId="7" fillId="0" borderId="25" xfId="1" applyNumberFormat="1" applyFont="1" applyFill="1" applyBorder="1" applyAlignment="1" applyProtection="1">
      <alignment wrapText="1"/>
    </xf>
    <xf numFmtId="0" fontId="9" fillId="0" borderId="20" xfId="0" applyFont="1" applyBorder="1" applyAlignment="1">
      <alignment horizontal="right" wrapText="1"/>
    </xf>
    <xf numFmtId="0" fontId="9" fillId="0" borderId="25" xfId="0" applyFont="1" applyFill="1" applyBorder="1" applyAlignment="1">
      <alignment horizontal="center" wrapText="1"/>
    </xf>
    <xf numFmtId="166" fontId="9" fillId="0" borderId="25" xfId="0" applyNumberFormat="1" applyFont="1" applyFill="1" applyBorder="1" applyAlignment="1">
      <alignment wrapText="1"/>
    </xf>
    <xf numFmtId="4" fontId="7" fillId="0" borderId="25" xfId="0" applyNumberFormat="1" applyFont="1" applyFill="1" applyBorder="1" applyAlignment="1">
      <alignment horizontal="center" wrapText="1"/>
    </xf>
    <xf numFmtId="168" fontId="7" fillId="0" borderId="27" xfId="0" applyNumberFormat="1" applyFont="1" applyBorder="1" applyAlignment="1">
      <alignment horizontal="center" wrapText="1"/>
    </xf>
    <xf numFmtId="0" fontId="7" fillId="0" borderId="25" xfId="0" applyFont="1" applyBorder="1" applyAlignment="1">
      <alignment horizontal="center" wrapText="1"/>
    </xf>
    <xf numFmtId="166" fontId="7" fillId="0" borderId="25" xfId="0" applyNumberFormat="1" applyFont="1" applyBorder="1" applyAlignment="1">
      <alignment wrapText="1"/>
    </xf>
    <xf numFmtId="4" fontId="7" fillId="0" borderId="25" xfId="0" applyNumberFormat="1" applyFont="1" applyBorder="1" applyAlignment="1">
      <alignment horizontal="center" wrapText="1"/>
    </xf>
    <xf numFmtId="0" fontId="7" fillId="0" borderId="27" xfId="0" applyFont="1" applyBorder="1" applyAlignment="1">
      <alignment horizontal="center" wrapText="1"/>
    </xf>
    <xf numFmtId="166" fontId="7" fillId="2" borderId="25" xfId="0" applyNumberFormat="1" applyFont="1" applyFill="1" applyBorder="1" applyAlignment="1">
      <alignment wrapText="1"/>
    </xf>
    <xf numFmtId="168" fontId="7" fillId="0" borderId="25" xfId="1" applyNumberFormat="1" applyFont="1" applyFill="1" applyBorder="1" applyAlignment="1" applyProtection="1">
      <alignment wrapText="1"/>
    </xf>
    <xf numFmtId="0" fontId="9" fillId="0" borderId="25" xfId="0" applyFont="1" applyFill="1" applyBorder="1" applyAlignment="1">
      <alignment wrapText="1"/>
    </xf>
    <xf numFmtId="0" fontId="7" fillId="0" borderId="25" xfId="0" applyFont="1" applyFill="1" applyBorder="1" applyAlignment="1">
      <alignment horizontal="center" wrapText="1"/>
    </xf>
    <xf numFmtId="0" fontId="7" fillId="0" borderId="25" xfId="0" applyFont="1" applyBorder="1" applyAlignment="1">
      <alignment wrapText="1"/>
    </xf>
    <xf numFmtId="0" fontId="9" fillId="0" borderId="28" xfId="0" applyFont="1" applyBorder="1" applyAlignment="1">
      <alignment horizontal="right" wrapText="1"/>
    </xf>
    <xf numFmtId="0" fontId="9" fillId="0" borderId="29" xfId="0" applyFont="1" applyFill="1" applyBorder="1" applyAlignment="1">
      <alignment horizontal="center" wrapText="1"/>
    </xf>
    <xf numFmtId="0" fontId="9" fillId="0" borderId="29" xfId="0" applyFont="1" applyFill="1" applyBorder="1" applyAlignment="1">
      <alignment wrapText="1"/>
    </xf>
    <xf numFmtId="168" fontId="7" fillId="0" borderId="30" xfId="0" applyNumberFormat="1" applyFont="1" applyBorder="1" applyAlignment="1">
      <alignment horizontal="center" wrapText="1"/>
    </xf>
    <xf numFmtId="0" fontId="7" fillId="0" borderId="38" xfId="0" applyFont="1" applyBorder="1" applyAlignment="1">
      <alignment wrapText="1"/>
    </xf>
    <xf numFmtId="0" fontId="7" fillId="0" borderId="39" xfId="0" applyFont="1" applyBorder="1" applyAlignment="1">
      <alignment wrapText="1"/>
    </xf>
    <xf numFmtId="0" fontId="7" fillId="0" borderId="40" xfId="0" applyFont="1" applyBorder="1" applyAlignment="1">
      <alignment wrapText="1"/>
    </xf>
    <xf numFmtId="0" fontId="7" fillId="0" borderId="31" xfId="0" applyFont="1" applyBorder="1" applyAlignment="1">
      <alignment wrapText="1"/>
    </xf>
    <xf numFmtId="0" fontId="7" fillId="3" borderId="32" xfId="0" applyFont="1" applyFill="1" applyBorder="1" applyAlignment="1">
      <alignment horizontal="center" wrapText="1"/>
    </xf>
    <xf numFmtId="0" fontId="7" fillId="0" borderId="18" xfId="0" applyFont="1" applyBorder="1" applyAlignment="1">
      <alignment wrapText="1"/>
    </xf>
    <xf numFmtId="168" fontId="7" fillId="0" borderId="19" xfId="0" applyNumberFormat="1" applyFont="1" applyBorder="1" applyAlignment="1">
      <alignment horizontal="center" wrapText="1"/>
    </xf>
    <xf numFmtId="0" fontId="9" fillId="0" borderId="40" xfId="0" applyFont="1" applyBorder="1" applyAlignment="1">
      <alignment horizontal="right" wrapText="1"/>
    </xf>
    <xf numFmtId="0" fontId="9" fillId="3" borderId="18" xfId="0" applyFont="1" applyFill="1" applyBorder="1" applyAlignment="1">
      <alignment horizontal="center" wrapText="1"/>
    </xf>
    <xf numFmtId="0" fontId="7" fillId="0" borderId="33" xfId="0" applyFont="1" applyBorder="1" applyAlignment="1">
      <alignment horizontal="center" wrapText="1"/>
    </xf>
    <xf numFmtId="0" fontId="0" fillId="0" borderId="0" xfId="0"/>
    <xf numFmtId="0" fontId="7" fillId="0" borderId="0" xfId="0" applyFont="1"/>
    <xf numFmtId="0" fontId="7" fillId="0" borderId="19" xfId="0" applyFont="1" applyBorder="1" applyAlignment="1">
      <alignment horizontal="center" wrapText="1"/>
    </xf>
    <xf numFmtId="0" fontId="7" fillId="0" borderId="20" xfId="0" applyFont="1" applyFill="1" applyBorder="1" applyAlignment="1">
      <alignment horizontal="justify" wrapText="1"/>
    </xf>
    <xf numFmtId="0" fontId="0" fillId="0" borderId="0" xfId="0" applyFill="1" applyBorder="1" applyAlignment="1">
      <alignment horizontal="center"/>
    </xf>
    <xf numFmtId="43" fontId="0" fillId="0" borderId="0" xfId="1" applyFont="1" applyFill="1" applyBorder="1"/>
    <xf numFmtId="0" fontId="0" fillId="0" borderId="0" xfId="0" applyFill="1" applyBorder="1" applyAlignment="1">
      <alignment wrapText="1"/>
    </xf>
    <xf numFmtId="0" fontId="0" fillId="0" borderId="0" xfId="0" applyBorder="1"/>
    <xf numFmtId="43" fontId="0" fillId="0" borderId="0" xfId="1" applyFont="1"/>
    <xf numFmtId="0" fontId="0" fillId="0" borderId="0" xfId="0"/>
    <xf numFmtId="0" fontId="0" fillId="0" borderId="0" xfId="0" applyFill="1" applyBorder="1"/>
    <xf numFmtId="0" fontId="2" fillId="0" borderId="0" xfId="0" applyFont="1" applyFill="1" applyBorder="1" applyAlignment="1">
      <alignment horizontal="center" wrapText="1"/>
    </xf>
    <xf numFmtId="0" fontId="2" fillId="0" borderId="0" xfId="0" applyFont="1" applyFill="1" applyBorder="1" applyAlignment="1">
      <alignment wrapText="1"/>
    </xf>
    <xf numFmtId="0" fontId="6" fillId="0" borderId="8" xfId="0" applyFont="1" applyFill="1" applyBorder="1" applyAlignment="1">
      <alignment horizontal="center" wrapText="1"/>
    </xf>
    <xf numFmtId="0" fontId="7" fillId="0" borderId="0" xfId="0" applyFont="1"/>
    <xf numFmtId="49" fontId="7" fillId="2" borderId="20" xfId="0" applyNumberFormat="1" applyFont="1" applyFill="1" applyBorder="1" applyAlignment="1">
      <alignment horizontal="center" wrapText="1"/>
    </xf>
    <xf numFmtId="0" fontId="7" fillId="0" borderId="20" xfId="0" applyFont="1" applyFill="1" applyBorder="1" applyAlignment="1">
      <alignment wrapText="1"/>
    </xf>
    <xf numFmtId="4" fontId="7" fillId="0" borderId="25" xfId="1" applyNumberFormat="1" applyFont="1" applyFill="1" applyBorder="1" applyAlignment="1" applyProtection="1">
      <alignment horizontal="center" wrapText="1"/>
    </xf>
    <xf numFmtId="166" fontId="7" fillId="2" borderId="26" xfId="0" applyNumberFormat="1" applyFont="1" applyFill="1" applyBorder="1" applyAlignment="1">
      <alignment wrapText="1"/>
    </xf>
    <xf numFmtId="168" fontId="7" fillId="0" borderId="27" xfId="1" applyNumberFormat="1" applyFont="1" applyFill="1" applyBorder="1" applyAlignment="1" applyProtection="1">
      <alignment horizontal="center" wrapText="1"/>
    </xf>
    <xf numFmtId="0" fontId="5" fillId="0" borderId="8" xfId="0" applyFont="1" applyBorder="1" applyAlignment="1">
      <alignment wrapText="1"/>
    </xf>
    <xf numFmtId="0" fontId="5" fillId="0" borderId="8" xfId="0" applyFont="1" applyFill="1" applyBorder="1" applyAlignment="1">
      <alignment horizontal="justify" wrapText="1"/>
    </xf>
    <xf numFmtId="0" fontId="5" fillId="0" borderId="11" xfId="0" applyFont="1" applyBorder="1" applyAlignment="1">
      <alignment wrapText="1"/>
    </xf>
    <xf numFmtId="1" fontId="0" fillId="0" borderId="0" xfId="0" applyNumberFormat="1" applyBorder="1"/>
    <xf numFmtId="0" fontId="11" fillId="5" borderId="0" xfId="0" applyFont="1" applyFill="1" applyBorder="1" applyAlignment="1">
      <alignment horizontal="left" wrapText="1"/>
    </xf>
    <xf numFmtId="0" fontId="11" fillId="5" borderId="0" xfId="0" applyFont="1" applyFill="1" applyBorder="1" applyAlignment="1">
      <alignment horizontal="center" wrapText="1"/>
    </xf>
    <xf numFmtId="43" fontId="11" fillId="5" borderId="0" xfId="1" applyFont="1" applyFill="1" applyBorder="1" applyAlignment="1">
      <alignment horizontal="center" wrapText="1"/>
    </xf>
    <xf numFmtId="43" fontId="2" fillId="0" borderId="0" xfId="1" applyFont="1" applyFill="1" applyBorder="1" applyAlignment="1">
      <alignment horizontal="right" wrapText="1"/>
    </xf>
    <xf numFmtId="43" fontId="0" fillId="0" borderId="0" xfId="1" applyFont="1" applyBorder="1"/>
    <xf numFmtId="43" fontId="0" fillId="0" borderId="0" xfId="0" applyNumberFormat="1"/>
    <xf numFmtId="0" fontId="0" fillId="0" borderId="0" xfId="0"/>
    <xf numFmtId="0" fontId="11" fillId="0" borderId="41" xfId="0" applyFont="1" applyBorder="1" applyAlignment="1">
      <alignment vertical="top" wrapText="1"/>
    </xf>
    <xf numFmtId="0" fontId="11" fillId="0" borderId="42" xfId="0" applyFont="1" applyBorder="1" applyAlignment="1">
      <alignment vertical="top" wrapText="1"/>
    </xf>
    <xf numFmtId="0" fontId="11" fillId="0" borderId="43" xfId="0" applyFont="1" applyBorder="1" applyAlignment="1">
      <alignment vertical="top" wrapText="1"/>
    </xf>
    <xf numFmtId="0" fontId="0" fillId="0" borderId="44" xfId="0" applyBorder="1" applyAlignment="1">
      <alignment vertical="top" wrapText="1"/>
    </xf>
    <xf numFmtId="0" fontId="0" fillId="0" borderId="44" xfId="0" applyBorder="1" applyAlignment="1">
      <alignment horizontal="center" vertical="top" wrapText="1"/>
    </xf>
    <xf numFmtId="0" fontId="0" fillId="0" borderId="44" xfId="0" applyBorder="1" applyAlignment="1">
      <alignment horizontal="right" vertical="top" wrapText="1"/>
    </xf>
    <xf numFmtId="0" fontId="0" fillId="0" borderId="42" xfId="0" applyBorder="1" applyAlignment="1">
      <alignment wrapText="1"/>
    </xf>
    <xf numFmtId="0" fontId="0" fillId="0" borderId="43" xfId="0" applyBorder="1" applyAlignment="1">
      <alignment wrapText="1"/>
    </xf>
    <xf numFmtId="0" fontId="11" fillId="5" borderId="44" xfId="0" applyFont="1" applyFill="1" applyBorder="1" applyAlignment="1">
      <alignment horizontal="left" wrapText="1"/>
    </xf>
    <xf numFmtId="0" fontId="11" fillId="5" borderId="44" xfId="0" applyFont="1" applyFill="1" applyBorder="1" applyAlignment="1">
      <alignment horizontal="center" wrapText="1"/>
    </xf>
    <xf numFmtId="166" fontId="7" fillId="0" borderId="26" xfId="0" applyNumberFormat="1" applyFont="1" applyBorder="1" applyAlignment="1">
      <alignment wrapText="1"/>
    </xf>
    <xf numFmtId="0" fontId="5" fillId="0" borderId="4" xfId="0" applyFont="1" applyFill="1" applyBorder="1" applyAlignment="1">
      <alignment horizontal="center" wrapText="1"/>
    </xf>
    <xf numFmtId="0" fontId="5" fillId="0" borderId="5" xfId="0" applyFont="1" applyFill="1" applyBorder="1" applyAlignment="1">
      <alignment horizontal="left" wrapText="1"/>
    </xf>
    <xf numFmtId="0" fontId="5" fillId="0" borderId="5" xfId="0" applyFont="1" applyFill="1" applyBorder="1" applyAlignment="1">
      <alignment horizontal="center" wrapText="1"/>
    </xf>
    <xf numFmtId="43" fontId="5" fillId="0" borderId="5" xfId="1" applyFont="1" applyFill="1" applyBorder="1" applyAlignment="1">
      <alignment horizontal="center" wrapText="1"/>
    </xf>
    <xf numFmtId="17" fontId="1" fillId="0" borderId="0" xfId="0" applyNumberFormat="1" applyFont="1" applyFill="1" applyBorder="1" applyAlignment="1">
      <alignment wrapText="1"/>
    </xf>
    <xf numFmtId="0" fontId="1" fillId="0" borderId="0" xfId="0" applyFont="1" applyFill="1" applyBorder="1" applyAlignment="1">
      <alignment wrapText="1"/>
    </xf>
    <xf numFmtId="0" fontId="0" fillId="0" borderId="0" xfId="0"/>
    <xf numFmtId="0" fontId="7" fillId="0" borderId="20" xfId="0" applyFont="1" applyFill="1" applyBorder="1" applyAlignment="1">
      <alignment wrapText="1"/>
    </xf>
    <xf numFmtId="4" fontId="7" fillId="0" borderId="25" xfId="1" applyNumberFormat="1" applyFont="1" applyFill="1" applyBorder="1" applyAlignment="1" applyProtection="1">
      <alignment horizontal="center" wrapText="1"/>
    </xf>
    <xf numFmtId="166" fontId="7" fillId="0" borderId="25" xfId="0" applyNumberFormat="1" applyFont="1" applyFill="1" applyBorder="1" applyAlignment="1">
      <alignment wrapText="1"/>
    </xf>
    <xf numFmtId="166" fontId="7" fillId="2" borderId="26" xfId="0" applyNumberFormat="1" applyFont="1" applyFill="1" applyBorder="1" applyAlignment="1">
      <alignment wrapText="1"/>
    </xf>
    <xf numFmtId="49" fontId="7" fillId="2" borderId="20" xfId="0" applyNumberFormat="1" applyFont="1" applyFill="1" applyBorder="1" applyAlignment="1">
      <alignment horizontal="center" wrapText="1"/>
    </xf>
    <xf numFmtId="0" fontId="0" fillId="0" borderId="0" xfId="0"/>
    <xf numFmtId="0" fontId="7" fillId="0" borderId="17" xfId="0" applyFont="1" applyBorder="1" applyAlignment="1">
      <alignment horizontal="center" wrapText="1"/>
    </xf>
    <xf numFmtId="0" fontId="7" fillId="0" borderId="19" xfId="0" applyFont="1" applyBorder="1" applyAlignment="1">
      <alignment horizontal="center" wrapText="1"/>
    </xf>
    <xf numFmtId="0" fontId="7" fillId="0" borderId="20" xfId="0" applyFont="1" applyFill="1" applyBorder="1" applyAlignment="1">
      <alignment horizontal="justify" wrapText="1"/>
    </xf>
    <xf numFmtId="1" fontId="7" fillId="0" borderId="17" xfId="0" applyNumberFormat="1" applyFont="1" applyBorder="1" applyAlignment="1">
      <alignment horizontal="center" wrapText="1"/>
    </xf>
    <xf numFmtId="0" fontId="7" fillId="0" borderId="22" xfId="0" applyFont="1" applyBorder="1" applyAlignment="1">
      <alignment wrapText="1"/>
    </xf>
    <xf numFmtId="0" fontId="7" fillId="0" borderId="23" xfId="0" applyFont="1" applyBorder="1" applyAlignment="1">
      <alignment horizontal="center" wrapText="1"/>
    </xf>
    <xf numFmtId="0" fontId="7" fillId="0" borderId="24" xfId="0" applyFont="1" applyBorder="1" applyAlignment="1">
      <alignment horizontal="center" wrapText="1"/>
    </xf>
    <xf numFmtId="4" fontId="7" fillId="0" borderId="25" xfId="1" applyNumberFormat="1" applyFont="1" applyFill="1" applyBorder="1" applyAlignment="1" applyProtection="1">
      <alignment horizontal="center" wrapText="1"/>
    </xf>
    <xf numFmtId="168" fontId="7" fillId="0" borderId="27" xfId="1" applyNumberFormat="1" applyFont="1" applyFill="1" applyBorder="1" applyAlignment="1" applyProtection="1">
      <alignment horizontal="center" wrapText="1"/>
    </xf>
    <xf numFmtId="0" fontId="7" fillId="0" borderId="20" xfId="0" applyFont="1" applyBorder="1" applyAlignment="1">
      <alignment wrapText="1"/>
    </xf>
    <xf numFmtId="0" fontId="9" fillId="0" borderId="20" xfId="0" applyFont="1" applyBorder="1" applyAlignment="1">
      <alignment horizontal="right" wrapText="1"/>
    </xf>
    <xf numFmtId="0" fontId="9" fillId="0" borderId="25" xfId="0" applyFont="1" applyFill="1" applyBorder="1" applyAlignment="1">
      <alignment horizontal="center" wrapText="1"/>
    </xf>
    <xf numFmtId="166" fontId="9" fillId="0" borderId="25" xfId="0" applyNumberFormat="1" applyFont="1" applyFill="1" applyBorder="1" applyAlignment="1">
      <alignment wrapText="1"/>
    </xf>
    <xf numFmtId="0" fontId="7" fillId="0" borderId="25" xfId="0" applyFont="1" applyBorder="1" applyAlignment="1">
      <alignment horizontal="center" wrapText="1"/>
    </xf>
    <xf numFmtId="166" fontId="7" fillId="0" borderId="25" xfId="0" applyNumberFormat="1" applyFont="1" applyBorder="1" applyAlignment="1">
      <alignment wrapText="1"/>
    </xf>
    <xf numFmtId="4" fontId="7" fillId="0" borderId="25" xfId="0" applyNumberFormat="1" applyFont="1" applyBorder="1" applyAlignment="1">
      <alignment horizontal="center" wrapText="1"/>
    </xf>
    <xf numFmtId="0" fontId="7" fillId="0" borderId="27" xfId="0" applyFont="1" applyBorder="1" applyAlignment="1">
      <alignment horizontal="center" wrapText="1"/>
    </xf>
    <xf numFmtId="166" fontId="7" fillId="2" borderId="25" xfId="0" applyNumberFormat="1" applyFont="1" applyFill="1" applyBorder="1" applyAlignment="1">
      <alignment wrapText="1"/>
    </xf>
    <xf numFmtId="168" fontId="7" fillId="0" borderId="25" xfId="1" applyNumberFormat="1" applyFont="1" applyFill="1" applyBorder="1" applyAlignment="1" applyProtection="1">
      <alignment wrapText="1"/>
    </xf>
    <xf numFmtId="0" fontId="9" fillId="0" borderId="25" xfId="0" applyFont="1" applyFill="1" applyBorder="1" applyAlignment="1">
      <alignment wrapText="1"/>
    </xf>
    <xf numFmtId="0" fontId="7" fillId="0" borderId="25" xfId="0" applyFont="1" applyFill="1" applyBorder="1" applyAlignment="1">
      <alignment horizontal="center" wrapText="1"/>
    </xf>
    <xf numFmtId="0" fontId="7" fillId="0" borderId="25" xfId="0" applyFont="1" applyBorder="1" applyAlignment="1">
      <alignment wrapText="1"/>
    </xf>
    <xf numFmtId="0" fontId="9" fillId="0" borderId="28" xfId="0" applyFont="1" applyBorder="1" applyAlignment="1">
      <alignment horizontal="right" wrapText="1"/>
    </xf>
    <xf numFmtId="0" fontId="9" fillId="0" borderId="29" xfId="0" applyFont="1" applyFill="1" applyBorder="1" applyAlignment="1">
      <alignment horizontal="center" wrapText="1"/>
    </xf>
    <xf numFmtId="0" fontId="9" fillId="0" borderId="29" xfId="0" applyFont="1" applyFill="1" applyBorder="1" applyAlignment="1">
      <alignment wrapText="1"/>
    </xf>
    <xf numFmtId="168" fontId="7" fillId="0" borderId="30" xfId="0" applyNumberFormat="1" applyFont="1" applyBorder="1" applyAlignment="1">
      <alignment horizontal="center" wrapText="1"/>
    </xf>
    <xf numFmtId="0" fontId="7" fillId="0" borderId="31" xfId="0" applyFont="1" applyBorder="1" applyAlignment="1">
      <alignment wrapText="1"/>
    </xf>
    <xf numFmtId="0" fontId="7" fillId="3" borderId="32" xfId="0" applyFont="1" applyFill="1" applyBorder="1" applyAlignment="1">
      <alignment horizontal="center" wrapText="1"/>
    </xf>
    <xf numFmtId="0" fontId="7" fillId="0" borderId="18" xfId="0" applyFont="1" applyBorder="1" applyAlignment="1">
      <alignment wrapText="1"/>
    </xf>
    <xf numFmtId="168" fontId="7" fillId="0" borderId="19" xfId="0" applyNumberFormat="1" applyFont="1" applyBorder="1" applyAlignment="1">
      <alignment horizontal="center" wrapText="1"/>
    </xf>
    <xf numFmtId="0" fontId="9" fillId="3" borderId="18" xfId="0" applyFont="1" applyFill="1" applyBorder="1" applyAlignment="1">
      <alignment horizontal="center" wrapText="1"/>
    </xf>
    <xf numFmtId="0" fontId="7" fillId="0" borderId="33" xfId="0" applyFont="1" applyBorder="1" applyAlignment="1">
      <alignment horizontal="center" wrapText="1"/>
    </xf>
    <xf numFmtId="0" fontId="0" fillId="0" borderId="0" xfId="0" applyAlignment="1">
      <alignment wrapText="1"/>
    </xf>
    <xf numFmtId="49" fontId="7" fillId="2" borderId="20" xfId="0" applyNumberFormat="1" applyFont="1" applyFill="1" applyBorder="1" applyAlignment="1">
      <alignment horizontal="center" wrapText="1"/>
    </xf>
    <xf numFmtId="166" fontId="7" fillId="0" borderId="25" xfId="0" applyNumberFormat="1" applyFont="1" applyFill="1" applyBorder="1" applyAlignment="1">
      <alignment wrapText="1"/>
    </xf>
    <xf numFmtId="43" fontId="6" fillId="0" borderId="8" xfId="1" applyFont="1" applyBorder="1"/>
    <xf numFmtId="0" fontId="0" fillId="0" borderId="0" xfId="0"/>
    <xf numFmtId="43" fontId="6" fillId="0" borderId="8" xfId="1" applyFont="1" applyFill="1" applyBorder="1" applyAlignment="1">
      <alignment horizontal="center" wrapText="1"/>
    </xf>
    <xf numFmtId="0" fontId="6" fillId="0" borderId="8" xfId="0" applyFont="1" applyBorder="1" applyAlignment="1">
      <alignment wrapText="1"/>
    </xf>
    <xf numFmtId="0" fontId="7" fillId="0" borderId="17" xfId="0" applyFont="1" applyBorder="1" applyAlignment="1">
      <alignment horizontal="center" wrapText="1"/>
    </xf>
    <xf numFmtId="0" fontId="7" fillId="0" borderId="19" xfId="0" applyFont="1" applyBorder="1" applyAlignment="1">
      <alignment horizontal="center" wrapText="1"/>
    </xf>
    <xf numFmtId="0" fontId="7" fillId="0" borderId="20" xfId="0" applyFont="1" applyFill="1" applyBorder="1" applyAlignment="1">
      <alignment horizontal="justify" wrapText="1"/>
    </xf>
    <xf numFmtId="1" fontId="7" fillId="0" borderId="17" xfId="0" applyNumberFormat="1" applyFont="1" applyBorder="1" applyAlignment="1">
      <alignment horizontal="center" wrapText="1"/>
    </xf>
    <xf numFmtId="0" fontId="7" fillId="0" borderId="22" xfId="0" applyFont="1" applyBorder="1" applyAlignment="1">
      <alignment wrapText="1"/>
    </xf>
    <xf numFmtId="0" fontId="7" fillId="0" borderId="23" xfId="0" applyFont="1" applyBorder="1" applyAlignment="1">
      <alignment horizontal="center" wrapText="1"/>
    </xf>
    <xf numFmtId="0" fontId="7" fillId="0" borderId="24" xfId="0" applyFont="1" applyBorder="1" applyAlignment="1">
      <alignment horizontal="center" wrapText="1"/>
    </xf>
    <xf numFmtId="0" fontId="7" fillId="0" borderId="20" xfId="0" applyFont="1" applyFill="1" applyBorder="1" applyAlignment="1">
      <alignment wrapText="1"/>
    </xf>
    <xf numFmtId="4" fontId="7" fillId="0" borderId="25" xfId="1" applyNumberFormat="1" applyFont="1" applyFill="1" applyBorder="1" applyAlignment="1" applyProtection="1">
      <alignment horizontal="center" wrapText="1"/>
    </xf>
    <xf numFmtId="166" fontId="7" fillId="2" borderId="26" xfId="0" applyNumberFormat="1" applyFont="1" applyFill="1" applyBorder="1" applyAlignment="1">
      <alignment wrapText="1"/>
    </xf>
    <xf numFmtId="168" fontId="7" fillId="0" borderId="27" xfId="1" applyNumberFormat="1" applyFont="1" applyFill="1" applyBorder="1" applyAlignment="1" applyProtection="1">
      <alignment horizontal="center" wrapText="1"/>
    </xf>
    <xf numFmtId="0" fontId="7" fillId="0" borderId="20" xfId="0" applyFont="1" applyBorder="1" applyAlignment="1">
      <alignment wrapText="1"/>
    </xf>
    <xf numFmtId="166" fontId="7" fillId="0" borderId="25" xfId="1" applyNumberFormat="1" applyFont="1" applyFill="1" applyBorder="1" applyAlignment="1" applyProtection="1">
      <alignment wrapText="1"/>
    </xf>
    <xf numFmtId="0" fontId="9" fillId="0" borderId="20" xfId="0" applyFont="1" applyBorder="1" applyAlignment="1">
      <alignment horizontal="right" wrapText="1"/>
    </xf>
    <xf numFmtId="0" fontId="9" fillId="0" borderId="25" xfId="0" applyFont="1" applyFill="1" applyBorder="1" applyAlignment="1">
      <alignment horizontal="center" wrapText="1"/>
    </xf>
    <xf numFmtId="166" fontId="9" fillId="0" borderId="25" xfId="0" applyNumberFormat="1" applyFont="1" applyFill="1" applyBorder="1" applyAlignment="1">
      <alignment wrapText="1"/>
    </xf>
    <xf numFmtId="4" fontId="7" fillId="0" borderId="25" xfId="0" applyNumberFormat="1" applyFont="1" applyFill="1" applyBorder="1" applyAlignment="1">
      <alignment horizontal="center" wrapText="1"/>
    </xf>
    <xf numFmtId="168" fontId="7" fillId="0" borderId="27" xfId="0" applyNumberFormat="1" applyFont="1" applyBorder="1" applyAlignment="1">
      <alignment horizontal="center" wrapText="1"/>
    </xf>
    <xf numFmtId="0" fontId="7" fillId="0" borderId="25" xfId="0" applyFont="1" applyBorder="1" applyAlignment="1">
      <alignment horizontal="center" wrapText="1"/>
    </xf>
    <xf numFmtId="166" fontId="7" fillId="0" borderId="25" xfId="0" applyNumberFormat="1" applyFont="1" applyBorder="1" applyAlignment="1">
      <alignment wrapText="1"/>
    </xf>
    <xf numFmtId="4" fontId="7" fillId="0" borderId="25" xfId="0" applyNumberFormat="1" applyFont="1" applyBorder="1" applyAlignment="1">
      <alignment horizontal="center" wrapText="1"/>
    </xf>
    <xf numFmtId="0" fontId="7" fillId="0" borderId="27" xfId="0" applyFont="1" applyBorder="1" applyAlignment="1">
      <alignment horizontal="center" wrapText="1"/>
    </xf>
    <xf numFmtId="168" fontId="7" fillId="0" borderId="25" xfId="1" applyNumberFormat="1" applyFont="1" applyFill="1" applyBorder="1" applyAlignment="1" applyProtection="1">
      <alignment wrapText="1"/>
    </xf>
    <xf numFmtId="0" fontId="9" fillId="0" borderId="25" xfId="0" applyFont="1" applyFill="1" applyBorder="1" applyAlignment="1">
      <alignment wrapText="1"/>
    </xf>
    <xf numFmtId="0" fontId="7" fillId="0" borderId="25" xfId="0" applyFont="1" applyFill="1" applyBorder="1" applyAlignment="1">
      <alignment horizontal="center" wrapText="1"/>
    </xf>
    <xf numFmtId="0" fontId="7" fillId="0" borderId="25" xfId="0" applyFont="1" applyBorder="1" applyAlignment="1">
      <alignment wrapText="1"/>
    </xf>
    <xf numFmtId="0" fontId="9" fillId="0" borderId="28" xfId="0" applyFont="1" applyBorder="1" applyAlignment="1">
      <alignment horizontal="right" wrapText="1"/>
    </xf>
    <xf numFmtId="0" fontId="9" fillId="0" borderId="29" xfId="0" applyFont="1" applyFill="1" applyBorder="1" applyAlignment="1">
      <alignment horizontal="center" wrapText="1"/>
    </xf>
    <xf numFmtId="0" fontId="9" fillId="0" borderId="29" xfId="0" applyFont="1" applyFill="1" applyBorder="1" applyAlignment="1">
      <alignment wrapText="1"/>
    </xf>
    <xf numFmtId="168" fontId="7" fillId="0" borderId="30" xfId="0" applyNumberFormat="1" applyFont="1" applyBorder="1" applyAlignment="1">
      <alignment horizontal="center" wrapText="1"/>
    </xf>
    <xf numFmtId="0" fontId="7" fillId="0" borderId="38" xfId="0" applyFont="1" applyBorder="1" applyAlignment="1">
      <alignment wrapText="1"/>
    </xf>
    <xf numFmtId="0" fontId="7" fillId="0" borderId="40" xfId="0" applyFont="1" applyBorder="1" applyAlignment="1">
      <alignment horizontal="center" wrapText="1"/>
    </xf>
    <xf numFmtId="0" fontId="7" fillId="0" borderId="39" xfId="0" applyFont="1" applyBorder="1" applyAlignment="1">
      <alignment wrapText="1"/>
    </xf>
    <xf numFmtId="0" fontId="7" fillId="0" borderId="40" xfId="0" applyFont="1" applyBorder="1" applyAlignment="1">
      <alignment wrapText="1"/>
    </xf>
    <xf numFmtId="0" fontId="7" fillId="0" borderId="39" xfId="0" applyFont="1" applyBorder="1" applyAlignment="1">
      <alignment horizontal="center" wrapText="1"/>
    </xf>
    <xf numFmtId="168" fontId="7" fillId="0" borderId="39" xfId="0" applyNumberFormat="1" applyFont="1" applyBorder="1" applyAlignment="1">
      <alignment horizontal="center" wrapText="1"/>
    </xf>
    <xf numFmtId="0" fontId="7" fillId="3" borderId="39" xfId="0" applyFont="1" applyFill="1" applyBorder="1" applyAlignment="1">
      <alignment horizontal="center" wrapText="1"/>
    </xf>
    <xf numFmtId="0" fontId="7" fillId="0" borderId="31" xfId="0" applyFont="1" applyBorder="1" applyAlignment="1">
      <alignment wrapText="1"/>
    </xf>
    <xf numFmtId="0" fontId="7" fillId="3" borderId="32" xfId="0" applyFont="1" applyFill="1" applyBorder="1" applyAlignment="1">
      <alignment horizontal="center" wrapText="1"/>
    </xf>
    <xf numFmtId="0" fontId="7" fillId="0" borderId="18" xfId="0" applyFont="1" applyBorder="1" applyAlignment="1">
      <alignment wrapText="1"/>
    </xf>
    <xf numFmtId="168" fontId="7" fillId="0" borderId="19" xfId="0" applyNumberFormat="1" applyFont="1" applyBorder="1" applyAlignment="1">
      <alignment horizontal="center" wrapText="1"/>
    </xf>
    <xf numFmtId="0" fontId="9" fillId="0" borderId="40" xfId="0" applyFont="1" applyBorder="1" applyAlignment="1">
      <alignment horizontal="right" wrapText="1"/>
    </xf>
    <xf numFmtId="0" fontId="9" fillId="3" borderId="18" xfId="0" applyFont="1" applyFill="1" applyBorder="1" applyAlignment="1">
      <alignment horizontal="center" wrapText="1"/>
    </xf>
    <xf numFmtId="0" fontId="7" fillId="0" borderId="33" xfId="0" applyFont="1" applyBorder="1" applyAlignment="1">
      <alignment horizontal="center" wrapText="1"/>
    </xf>
    <xf numFmtId="49" fontId="7" fillId="2" borderId="20" xfId="0" applyNumberFormat="1" applyFont="1" applyFill="1" applyBorder="1" applyAlignment="1">
      <alignment horizontal="center" wrapText="1"/>
    </xf>
    <xf numFmtId="0" fontId="0" fillId="0" borderId="0" xfId="0" applyFill="1" applyBorder="1" applyAlignment="1"/>
    <xf numFmtId="0" fontId="11" fillId="0" borderId="0" xfId="0" applyFont="1" applyAlignment="1">
      <alignment wrapText="1"/>
    </xf>
    <xf numFmtId="0" fontId="11" fillId="0" borderId="44" xfId="0" applyFont="1" applyBorder="1" applyAlignment="1">
      <alignment vertical="top" wrapText="1"/>
    </xf>
    <xf numFmtId="0" fontId="0" fillId="0" borderId="45" xfId="0" applyBorder="1"/>
    <xf numFmtId="0" fontId="0" fillId="0" borderId="41" xfId="0" applyBorder="1" applyAlignment="1">
      <alignment wrapText="1"/>
    </xf>
    <xf numFmtId="0" fontId="6" fillId="0" borderId="0" xfId="0" applyFont="1" applyFill="1" applyBorder="1" applyAlignment="1">
      <alignment horizontal="justify" wrapText="1"/>
    </xf>
    <xf numFmtId="0" fontId="6" fillId="0" borderId="0" xfId="0" applyFont="1" applyFill="1" applyBorder="1" applyAlignment="1">
      <alignment horizontal="center" wrapText="1"/>
    </xf>
    <xf numFmtId="43" fontId="6" fillId="0" borderId="0" xfId="1" applyFont="1" applyFill="1" applyBorder="1" applyAlignment="1">
      <alignment horizontal="center" wrapText="1"/>
    </xf>
    <xf numFmtId="0" fontId="5" fillId="0" borderId="0" xfId="0" applyFont="1" applyFill="1" applyBorder="1" applyAlignment="1">
      <alignment horizontal="left" vertical="top" wrapText="1"/>
    </xf>
    <xf numFmtId="0" fontId="6" fillId="0" borderId="36" xfId="0" applyFont="1" applyBorder="1" applyAlignment="1">
      <alignment horizontal="center"/>
    </xf>
    <xf numFmtId="0" fontId="6" fillId="0" borderId="37" xfId="0" applyFont="1" applyBorder="1" applyAlignment="1">
      <alignment horizontal="center"/>
    </xf>
    <xf numFmtId="0" fontId="5" fillId="0" borderId="34" xfId="0" applyFont="1" applyFill="1" applyBorder="1" applyAlignment="1">
      <alignment horizontal="left" vertical="top" wrapText="1"/>
    </xf>
    <xf numFmtId="10" fontId="5" fillId="0" borderId="34" xfId="1" applyNumberFormat="1" applyFont="1" applyFill="1" applyBorder="1" applyAlignment="1">
      <alignment horizontal="right" wrapText="1"/>
    </xf>
    <xf numFmtId="43" fontId="5" fillId="0" borderId="34" xfId="1" applyFont="1" applyFill="1" applyBorder="1" applyAlignment="1">
      <alignment wrapText="1"/>
    </xf>
    <xf numFmtId="10" fontId="5" fillId="0" borderId="47" xfId="1" applyNumberFormat="1" applyFont="1" applyFill="1" applyBorder="1"/>
    <xf numFmtId="43" fontId="5" fillId="0" borderId="6" xfId="1" applyFont="1" applyFill="1" applyBorder="1" applyAlignment="1">
      <alignment horizontal="center" wrapText="1"/>
    </xf>
    <xf numFmtId="0" fontId="11" fillId="5" borderId="44" xfId="0" applyFont="1" applyFill="1" applyBorder="1" applyAlignment="1">
      <alignment horizontal="right" wrapText="1"/>
    </xf>
    <xf numFmtId="0" fontId="11" fillId="0" borderId="44" xfId="0" applyFont="1" applyBorder="1" applyAlignment="1">
      <alignment horizontal="left" vertical="top" wrapText="1"/>
    </xf>
    <xf numFmtId="0" fontId="0" fillId="0" borderId="44" xfId="0" quotePrefix="1" applyBorder="1" applyAlignment="1">
      <alignment horizontal="left" vertical="top" wrapText="1"/>
    </xf>
    <xf numFmtId="0" fontId="0" fillId="0" borderId="44" xfId="0" applyBorder="1" applyAlignment="1">
      <alignment horizontal="left" vertical="top" wrapText="1"/>
    </xf>
    <xf numFmtId="0" fontId="11" fillId="0" borderId="44" xfId="0" quotePrefix="1" applyFont="1" applyBorder="1" applyAlignment="1">
      <alignment horizontal="left" vertical="top" wrapText="1"/>
    </xf>
    <xf numFmtId="4" fontId="0" fillId="0" borderId="44" xfId="0" applyNumberFormat="1" applyBorder="1" applyAlignment="1">
      <alignment horizontal="right" vertical="top" wrapText="1"/>
    </xf>
    <xf numFmtId="0" fontId="0" fillId="0" borderId="0" xfId="0" quotePrefix="1"/>
    <xf numFmtId="0" fontId="16" fillId="0" borderId="0" xfId="0" applyFont="1" applyFill="1" applyBorder="1" applyAlignment="1">
      <alignment vertical="center" wrapText="1"/>
    </xf>
    <xf numFmtId="10" fontId="0" fillId="0" borderId="0" xfId="0" applyNumberFormat="1" applyBorder="1"/>
    <xf numFmtId="0" fontId="16" fillId="6" borderId="2" xfId="0" applyFont="1" applyFill="1" applyBorder="1" applyAlignment="1">
      <alignment vertical="center" wrapText="1"/>
    </xf>
    <xf numFmtId="171" fontId="0" fillId="0" borderId="0" xfId="0" applyNumberFormat="1" applyBorder="1"/>
    <xf numFmtId="0" fontId="16" fillId="6" borderId="48" xfId="0" applyFont="1" applyFill="1" applyBorder="1" applyAlignment="1">
      <alignment vertical="center" wrapText="1"/>
    </xf>
    <xf numFmtId="171" fontId="16" fillId="6" borderId="48" xfId="0" applyNumberFormat="1" applyFont="1" applyFill="1" applyBorder="1" applyAlignment="1">
      <alignment horizontal="right" vertical="center" wrapText="1"/>
    </xf>
    <xf numFmtId="0" fontId="17" fillId="0" borderId="49" xfId="0" applyFont="1" applyBorder="1" applyAlignment="1">
      <alignment horizontal="right" vertical="center" wrapText="1"/>
    </xf>
    <xf numFmtId="0" fontId="17" fillId="0" borderId="49" xfId="0" applyFont="1" applyBorder="1" applyAlignment="1">
      <alignment vertical="center" wrapText="1"/>
    </xf>
    <xf numFmtId="0" fontId="17" fillId="0" borderId="49" xfId="0" applyFont="1" applyBorder="1" applyAlignment="1">
      <alignment horizontal="center" vertical="center" wrapText="1"/>
    </xf>
    <xf numFmtId="171" fontId="17" fillId="0" borderId="49" xfId="0" applyNumberFormat="1" applyFont="1" applyBorder="1" applyAlignment="1">
      <alignment horizontal="right" vertical="center" wrapText="1"/>
    </xf>
    <xf numFmtId="171" fontId="0" fillId="0" borderId="49" xfId="0" applyNumberFormat="1" applyBorder="1"/>
    <xf numFmtId="0" fontId="17" fillId="0" borderId="49" xfId="0" applyFont="1" applyBorder="1" applyAlignment="1">
      <alignment horizontal="justify" vertical="center" wrapText="1"/>
    </xf>
    <xf numFmtId="0" fontId="11" fillId="5" borderId="49" xfId="0" applyFont="1" applyFill="1" applyBorder="1" applyAlignment="1">
      <alignment horizontal="left" wrapText="1"/>
    </xf>
    <xf numFmtId="0" fontId="11" fillId="5" borderId="49" xfId="0" applyFont="1" applyFill="1" applyBorder="1" applyAlignment="1">
      <alignment horizontal="center" wrapText="1"/>
    </xf>
    <xf numFmtId="43" fontId="11" fillId="5" borderId="49" xfId="1" applyFont="1" applyFill="1" applyBorder="1" applyAlignment="1">
      <alignment horizontal="center" wrapText="1"/>
    </xf>
    <xf numFmtId="0" fontId="0" fillId="0" borderId="49" xfId="0" applyFill="1" applyBorder="1"/>
    <xf numFmtId="0" fontId="0" fillId="0" borderId="49" xfId="0" applyFill="1" applyBorder="1" applyAlignment="1">
      <alignment wrapText="1"/>
    </xf>
    <xf numFmtId="0" fontId="0" fillId="0" borderId="49" xfId="0" applyFill="1" applyBorder="1" applyAlignment="1">
      <alignment horizontal="center"/>
    </xf>
    <xf numFmtId="43" fontId="0" fillId="0" borderId="49" xfId="1" applyFont="1" applyFill="1" applyBorder="1"/>
    <xf numFmtId="1" fontId="0" fillId="0" borderId="49" xfId="0" applyNumberFormat="1" applyFont="1" applyBorder="1"/>
    <xf numFmtId="0" fontId="0" fillId="0" borderId="49" xfId="0" applyFont="1" applyFill="1" applyBorder="1" applyAlignment="1">
      <alignment horizontal="left" wrapText="1"/>
    </xf>
    <xf numFmtId="0" fontId="0" fillId="0" borderId="49" xfId="0" applyFont="1" applyFill="1" applyBorder="1" applyAlignment="1">
      <alignment horizontal="center" wrapText="1"/>
    </xf>
    <xf numFmtId="43" fontId="4" fillId="0" borderId="49" xfId="1" applyFont="1" applyFill="1" applyBorder="1" applyAlignment="1">
      <alignment horizontal="center" wrapText="1"/>
    </xf>
    <xf numFmtId="0" fontId="0" fillId="0" borderId="49" xfId="0" quotePrefix="1" applyFill="1" applyBorder="1"/>
    <xf numFmtId="0" fontId="0" fillId="8" borderId="49" xfId="0" applyFill="1" applyBorder="1"/>
    <xf numFmtId="0" fontId="0" fillId="8" borderId="49" xfId="0" applyFill="1" applyBorder="1" applyAlignment="1">
      <alignment wrapText="1"/>
    </xf>
    <xf numFmtId="0" fontId="0" fillId="8" borderId="49" xfId="0" applyFill="1" applyBorder="1" applyAlignment="1">
      <alignment horizontal="center"/>
    </xf>
    <xf numFmtId="43" fontId="0" fillId="8" borderId="49" xfId="1" applyFont="1" applyFill="1" applyBorder="1"/>
    <xf numFmtId="0" fontId="0" fillId="8" borderId="0" xfId="0" applyFill="1" applyBorder="1"/>
    <xf numFmtId="0" fontId="0" fillId="8" borderId="0" xfId="0" applyFill="1"/>
    <xf numFmtId="164" fontId="7" fillId="0" borderId="25" xfId="1" applyNumberFormat="1" applyFont="1" applyFill="1" applyBorder="1" applyAlignment="1" applyProtection="1">
      <alignment horizontal="center" wrapText="1"/>
    </xf>
    <xf numFmtId="164" fontId="7" fillId="0" borderId="27" xfId="0" applyNumberFormat="1" applyFont="1" applyBorder="1" applyAlignment="1">
      <alignment horizontal="center" wrapText="1"/>
    </xf>
    <xf numFmtId="164" fontId="7" fillId="0" borderId="16" xfId="1" applyNumberFormat="1" applyFont="1" applyFill="1" applyBorder="1" applyAlignment="1" applyProtection="1">
      <alignment wrapText="1"/>
    </xf>
    <xf numFmtId="164" fontId="7" fillId="3" borderId="16" xfId="1" applyNumberFormat="1" applyFont="1" applyFill="1" applyBorder="1" applyAlignment="1" applyProtection="1">
      <alignment wrapText="1"/>
    </xf>
    <xf numFmtId="164" fontId="7" fillId="3" borderId="32" xfId="1" applyNumberFormat="1" applyFont="1" applyFill="1" applyBorder="1" applyAlignment="1" applyProtection="1">
      <alignment wrapText="1"/>
    </xf>
    <xf numFmtId="164" fontId="7" fillId="0" borderId="19" xfId="1" applyNumberFormat="1" applyFont="1" applyFill="1" applyBorder="1" applyAlignment="1" applyProtection="1">
      <alignment wrapText="1"/>
    </xf>
    <xf numFmtId="164" fontId="9" fillId="3" borderId="19" xfId="1" applyNumberFormat="1" applyFont="1" applyFill="1" applyBorder="1" applyAlignment="1" applyProtection="1">
      <alignment wrapText="1"/>
    </xf>
    <xf numFmtId="164" fontId="9" fillId="0" borderId="33" xfId="0" applyNumberFormat="1" applyFont="1" applyBorder="1" applyAlignment="1">
      <alignment horizontal="center" wrapText="1"/>
    </xf>
    <xf numFmtId="164" fontId="7" fillId="0" borderId="25" xfId="5" applyFont="1" applyFill="1" applyBorder="1" applyAlignment="1" applyProtection="1">
      <alignment horizontal="center" wrapText="1"/>
    </xf>
    <xf numFmtId="164" fontId="7" fillId="0" borderId="25" xfId="5" applyNumberFormat="1" applyFont="1" applyFill="1" applyBorder="1" applyAlignment="1" applyProtection="1">
      <alignment horizontal="center" wrapText="1"/>
    </xf>
    <xf numFmtId="164" fontId="7" fillId="0" borderId="30" xfId="0" applyNumberFormat="1" applyFont="1" applyBorder="1" applyAlignment="1">
      <alignment horizontal="center" wrapText="1"/>
    </xf>
    <xf numFmtId="164" fontId="7" fillId="0" borderId="16" xfId="5" applyFont="1" applyFill="1" applyBorder="1" applyAlignment="1" applyProtection="1">
      <alignment wrapText="1"/>
    </xf>
    <xf numFmtId="164" fontId="7" fillId="3" borderId="16" xfId="5" applyFont="1" applyFill="1" applyBorder="1" applyAlignment="1" applyProtection="1">
      <alignment wrapText="1"/>
    </xf>
    <xf numFmtId="164" fontId="7" fillId="3" borderId="32" xfId="5" applyFont="1" applyFill="1" applyBorder="1" applyAlignment="1" applyProtection="1">
      <alignment wrapText="1"/>
    </xf>
    <xf numFmtId="164" fontId="7" fillId="0" borderId="19" xfId="5" applyFont="1" applyFill="1" applyBorder="1" applyAlignment="1" applyProtection="1">
      <alignment wrapText="1"/>
    </xf>
    <xf numFmtId="164" fontId="9" fillId="3" borderId="19" xfId="5" applyFont="1" applyFill="1" applyBorder="1" applyAlignment="1" applyProtection="1">
      <alignment wrapText="1"/>
    </xf>
    <xf numFmtId="164" fontId="9" fillId="0" borderId="33" xfId="5" applyFont="1" applyBorder="1" applyAlignment="1">
      <alignment horizontal="center" wrapText="1"/>
    </xf>
    <xf numFmtId="164" fontId="7" fillId="0" borderId="27" xfId="5" applyFont="1" applyBorder="1" applyAlignment="1">
      <alignment horizontal="center" wrapText="1"/>
    </xf>
    <xf numFmtId="0" fontId="0" fillId="0" borderId="62" xfId="0" applyBorder="1" applyAlignment="1">
      <alignment vertical="top" wrapText="1"/>
    </xf>
    <xf numFmtId="0" fontId="0" fillId="0" borderId="62" xfId="0" applyBorder="1" applyAlignment="1">
      <alignment horizontal="center" vertical="top" wrapText="1"/>
    </xf>
    <xf numFmtId="0" fontId="0" fillId="0" borderId="63" xfId="0" applyBorder="1" applyAlignment="1">
      <alignment wrapText="1"/>
    </xf>
    <xf numFmtId="0" fontId="0" fillId="0" borderId="64" xfId="0" applyBorder="1" applyAlignment="1">
      <alignment wrapText="1"/>
    </xf>
    <xf numFmtId="0" fontId="0" fillId="0" borderId="49" xfId="0" applyBorder="1" applyAlignment="1">
      <alignment vertical="top" wrapText="1"/>
    </xf>
    <xf numFmtId="0" fontId="0" fillId="0" borderId="49" xfId="0" applyBorder="1" applyAlignment="1">
      <alignment horizontal="center" vertical="top" wrapText="1"/>
    </xf>
    <xf numFmtId="2" fontId="0" fillId="0" borderId="44" xfId="0" applyNumberFormat="1" applyBorder="1" applyAlignment="1">
      <alignment horizontal="right" vertical="top" wrapText="1"/>
    </xf>
    <xf numFmtId="2" fontId="0" fillId="0" borderId="62" xfId="0" applyNumberFormat="1" applyBorder="1" applyAlignment="1">
      <alignment horizontal="right" vertical="top" wrapText="1"/>
    </xf>
    <xf numFmtId="2" fontId="0" fillId="0" borderId="49" xfId="0" applyNumberFormat="1" applyBorder="1" applyAlignment="1">
      <alignment horizontal="right" vertical="top" wrapText="1"/>
    </xf>
    <xf numFmtId="171" fontId="18" fillId="0" borderId="0" xfId="0" applyNumberFormat="1" applyFont="1" applyBorder="1"/>
    <xf numFmtId="171" fontId="19" fillId="6" borderId="48" xfId="0" applyNumberFormat="1" applyFont="1" applyFill="1" applyBorder="1" applyAlignment="1">
      <alignment horizontal="center" vertical="center" wrapText="1"/>
    </xf>
    <xf numFmtId="171" fontId="18" fillId="0" borderId="49" xfId="0" applyNumberFormat="1" applyFont="1" applyBorder="1"/>
    <xf numFmtId="0" fontId="20" fillId="0" borderId="49" xfId="0" applyFont="1" applyBorder="1" applyAlignment="1">
      <alignment vertical="center" wrapText="1"/>
    </xf>
    <xf numFmtId="0" fontId="13" fillId="0" borderId="0" xfId="0" applyFont="1" applyAlignment="1">
      <alignment horizontal="right" vertical="center" wrapText="1"/>
    </xf>
    <xf numFmtId="164" fontId="7" fillId="0" borderId="25" xfId="5" applyFont="1" applyFill="1" applyBorder="1" applyAlignment="1">
      <alignment horizontal="center" wrapText="1"/>
    </xf>
    <xf numFmtId="164" fontId="7" fillId="0" borderId="25" xfId="5" applyFont="1" applyBorder="1" applyAlignment="1">
      <alignment horizontal="center" wrapText="1"/>
    </xf>
    <xf numFmtId="164" fontId="7" fillId="0" borderId="27" xfId="5" applyFont="1" applyFill="1" applyBorder="1" applyAlignment="1" applyProtection="1">
      <alignment horizontal="center" wrapText="1"/>
    </xf>
    <xf numFmtId="0" fontId="0" fillId="0" borderId="0" xfId="0" applyFont="1" applyFill="1" applyBorder="1" applyAlignment="1">
      <alignment horizontal="right" vertical="center"/>
    </xf>
    <xf numFmtId="164" fontId="7" fillId="0" borderId="25" xfId="5" applyFont="1" applyFill="1" applyBorder="1" applyAlignment="1" applyProtection="1">
      <alignment wrapText="1"/>
    </xf>
    <xf numFmtId="164" fontId="9" fillId="0" borderId="25" xfId="5" applyFont="1" applyFill="1" applyBorder="1" applyAlignment="1">
      <alignment wrapText="1"/>
    </xf>
    <xf numFmtId="2" fontId="7" fillId="2" borderId="26" xfId="5" applyNumberFormat="1" applyFont="1" applyFill="1" applyBorder="1" applyAlignment="1">
      <alignment wrapText="1"/>
    </xf>
    <xf numFmtId="2" fontId="7" fillId="0" borderId="25" xfId="5" applyNumberFormat="1" applyFont="1" applyFill="1" applyBorder="1" applyAlignment="1" applyProtection="1">
      <alignment wrapText="1"/>
    </xf>
    <xf numFmtId="164" fontId="9" fillId="0" borderId="29" xfId="5" applyFont="1" applyFill="1" applyBorder="1" applyAlignment="1">
      <alignment horizontal="center" wrapText="1"/>
    </xf>
    <xf numFmtId="164" fontId="7" fillId="0" borderId="30" xfId="5" applyFont="1" applyBorder="1" applyAlignment="1">
      <alignment horizontal="center" wrapText="1"/>
    </xf>
    <xf numFmtId="0" fontId="9" fillId="0" borderId="0" xfId="0" applyFont="1" applyFill="1" applyBorder="1" applyAlignment="1">
      <alignment horizontal="right" wrapText="1"/>
    </xf>
    <xf numFmtId="0" fontId="9" fillId="0" borderId="0" xfId="0" applyFont="1" applyFill="1" applyBorder="1" applyAlignment="1">
      <alignment horizontal="center" wrapText="1"/>
    </xf>
    <xf numFmtId="164" fontId="9" fillId="0" borderId="0" xfId="5" applyFont="1" applyFill="1" applyBorder="1" applyAlignment="1" applyProtection="1">
      <alignment wrapText="1"/>
    </xf>
    <xf numFmtId="0" fontId="7" fillId="0" borderId="0" xfId="0" applyFont="1" applyFill="1" applyBorder="1" applyAlignment="1">
      <alignment horizontal="center" wrapText="1"/>
    </xf>
    <xf numFmtId="164" fontId="9" fillId="0" borderId="0" xfId="5" applyFont="1" applyFill="1" applyBorder="1" applyAlignment="1">
      <alignment horizontal="center" wrapText="1"/>
    </xf>
    <xf numFmtId="0" fontId="7" fillId="0" borderId="0" xfId="0" applyFont="1" applyFill="1" applyAlignment="1"/>
    <xf numFmtId="164" fontId="7" fillId="0" borderId="39" xfId="5" applyFont="1" applyFill="1" applyBorder="1" applyAlignment="1" applyProtection="1">
      <alignment wrapText="1"/>
    </xf>
    <xf numFmtId="164" fontId="7" fillId="3" borderId="39" xfId="5" applyFont="1" applyFill="1" applyBorder="1" applyAlignment="1" applyProtection="1">
      <alignment wrapText="1"/>
    </xf>
    <xf numFmtId="173" fontId="0" fillId="0" borderId="0" xfId="6" applyNumberFormat="1" applyFont="1"/>
    <xf numFmtId="0" fontId="10" fillId="0" borderId="0" xfId="7"/>
    <xf numFmtId="0" fontId="10" fillId="0" borderId="0" xfId="7" applyAlignment="1">
      <alignment horizontal="center"/>
    </xf>
    <xf numFmtId="0" fontId="17" fillId="0" borderId="49" xfId="0" applyFont="1" applyBorder="1" applyAlignment="1">
      <alignment horizontal="right" vertical="center" wrapText="1"/>
    </xf>
    <xf numFmtId="0" fontId="17" fillId="0" borderId="49" xfId="0" applyFont="1" applyBorder="1" applyAlignment="1">
      <alignment horizontal="center" vertical="center" wrapText="1"/>
    </xf>
    <xf numFmtId="0" fontId="13" fillId="0" borderId="0" xfId="0" applyFont="1" applyAlignment="1">
      <alignment horizontal="right" wrapText="1"/>
    </xf>
    <xf numFmtId="0" fontId="0" fillId="0" borderId="0" xfId="0" applyFont="1" applyFill="1" applyBorder="1" applyAlignment="1">
      <alignment horizontal="right" wrapText="1"/>
    </xf>
    <xf numFmtId="1" fontId="0" fillId="0" borderId="0" xfId="0" applyNumberFormat="1" applyFont="1" applyBorder="1" applyAlignment="1">
      <alignment horizontal="right"/>
    </xf>
    <xf numFmtId="0" fontId="0" fillId="0" borderId="0" xfId="0" applyFont="1" applyFill="1" applyBorder="1" applyAlignment="1">
      <alignment horizontal="right"/>
    </xf>
    <xf numFmtId="0" fontId="0" fillId="0" borderId="0" xfId="0" applyFont="1" applyFill="1" applyBorder="1" applyAlignment="1">
      <alignment horizontal="right" vertical="center" wrapText="1"/>
    </xf>
    <xf numFmtId="0" fontId="0" fillId="0" borderId="0" xfId="0" quotePrefix="1" applyFont="1" applyFill="1" applyBorder="1" applyAlignment="1">
      <alignment horizontal="right"/>
    </xf>
    <xf numFmtId="0" fontId="0" fillId="0" borderId="0" xfId="0" applyFont="1" applyAlignment="1">
      <alignment horizontal="right" wrapText="1"/>
    </xf>
    <xf numFmtId="0" fontId="0" fillId="0" borderId="0" xfId="0" applyFont="1" applyAlignment="1">
      <alignment horizontal="right"/>
    </xf>
    <xf numFmtId="0" fontId="22" fillId="0" borderId="0" xfId="0" applyFont="1" applyAlignment="1">
      <alignment horizontal="left"/>
    </xf>
    <xf numFmtId="0" fontId="22" fillId="0" borderId="0" xfId="0" applyFont="1" applyAlignment="1">
      <alignment horizontal="right"/>
    </xf>
    <xf numFmtId="0" fontId="7" fillId="0" borderId="18" xfId="0" applyFont="1" applyBorder="1" applyAlignment="1">
      <alignment horizontal="center" wrapText="1"/>
    </xf>
    <xf numFmtId="164" fontId="7" fillId="0" borderId="25" xfId="0" applyNumberFormat="1" applyFont="1" applyBorder="1" applyAlignment="1">
      <alignment horizontal="center" wrapText="1"/>
    </xf>
    <xf numFmtId="0" fontId="7" fillId="0" borderId="17" xfId="0" applyFont="1" applyBorder="1" applyAlignment="1">
      <alignment horizontal="center" wrapText="1"/>
    </xf>
    <xf numFmtId="0" fontId="7" fillId="0" borderId="19" xfId="0" applyFont="1" applyBorder="1" applyAlignment="1">
      <alignment horizontal="center" wrapText="1"/>
    </xf>
    <xf numFmtId="0" fontId="24" fillId="0" borderId="0" xfId="0" applyFont="1" applyAlignment="1">
      <alignment horizontal="center" vertical="center"/>
    </xf>
    <xf numFmtId="0" fontId="25" fillId="0" borderId="36" xfId="0" applyFont="1" applyBorder="1" applyAlignment="1">
      <alignment horizontal="right" vertical="center"/>
    </xf>
    <xf numFmtId="0" fontId="25" fillId="12" borderId="70" xfId="0" applyFont="1" applyFill="1" applyBorder="1" applyAlignment="1">
      <alignment horizontal="center" vertical="center" wrapText="1"/>
    </xf>
    <xf numFmtId="0" fontId="25" fillId="12" borderId="71" xfId="0" applyFont="1" applyFill="1" applyBorder="1" applyAlignment="1">
      <alignment horizontal="center" vertical="center" wrapText="1"/>
    </xf>
    <xf numFmtId="0" fontId="25" fillId="12" borderId="93" xfId="0" applyFont="1" applyFill="1" applyBorder="1" applyAlignment="1">
      <alignment horizontal="center" vertical="center" wrapText="1"/>
    </xf>
    <xf numFmtId="4" fontId="25" fillId="12" borderId="95" xfId="0" applyNumberFormat="1" applyFont="1" applyFill="1" applyBorder="1" applyAlignment="1">
      <alignment horizontal="center" vertical="center" wrapText="1"/>
    </xf>
    <xf numFmtId="0" fontId="26" fillId="8" borderId="88" xfId="0" applyFont="1" applyFill="1" applyBorder="1" applyAlignment="1">
      <alignment vertical="center" wrapText="1"/>
    </xf>
    <xf numFmtId="0" fontId="26" fillId="8" borderId="60" xfId="0" applyFont="1" applyFill="1" applyBorder="1" applyAlignment="1">
      <alignment vertical="center" wrapText="1"/>
    </xf>
    <xf numFmtId="4" fontId="26" fillId="8" borderId="49" xfId="0" applyNumberFormat="1" applyFont="1" applyFill="1" applyBorder="1" applyAlignment="1">
      <alignment horizontal="center" vertical="center" wrapText="1"/>
    </xf>
    <xf numFmtId="4" fontId="26" fillId="8" borderId="86" xfId="0" applyNumberFormat="1" applyFont="1" applyFill="1" applyBorder="1" applyAlignment="1">
      <alignment horizontal="center" vertical="center" wrapText="1"/>
    </xf>
    <xf numFmtId="0" fontId="26" fillId="0" borderId="37" xfId="0" applyFont="1" applyBorder="1" applyAlignment="1">
      <alignment horizontal="center" vertical="center"/>
    </xf>
    <xf numFmtId="0" fontId="26" fillId="0" borderId="34" xfId="0" applyFont="1" applyBorder="1" applyAlignment="1">
      <alignment horizontal="center" vertical="center"/>
    </xf>
    <xf numFmtId="0" fontId="25" fillId="0" borderId="34" xfId="0" applyFont="1" applyBorder="1" applyAlignment="1">
      <alignment vertical="center" wrapText="1"/>
    </xf>
    <xf numFmtId="4" fontId="25" fillId="12" borderId="96" xfId="0" applyNumberFormat="1" applyFont="1" applyFill="1" applyBorder="1" applyAlignment="1">
      <alignment horizontal="center" vertical="center" wrapText="1"/>
    </xf>
    <xf numFmtId="4" fontId="26" fillId="0" borderId="1" xfId="0" applyNumberFormat="1" applyFont="1" applyBorder="1" applyAlignment="1">
      <alignment horizontal="center" vertical="center"/>
    </xf>
    <xf numFmtId="0" fontId="26" fillId="8" borderId="88" xfId="0" applyFont="1" applyFill="1" applyBorder="1" applyAlignment="1">
      <alignment horizontal="center" vertical="center" wrapText="1"/>
    </xf>
    <xf numFmtId="10" fontId="26" fillId="8" borderId="49" xfId="8" applyNumberFormat="1" applyFont="1" applyFill="1" applyBorder="1" applyAlignment="1">
      <alignment horizontal="center" vertical="center" wrapText="1"/>
    </xf>
    <xf numFmtId="176" fontId="26" fillId="8" borderId="49" xfId="0" applyNumberFormat="1" applyFont="1" applyFill="1" applyBorder="1" applyAlignment="1">
      <alignment horizontal="center" vertical="center" wrapText="1"/>
    </xf>
    <xf numFmtId="0" fontId="25" fillId="0" borderId="0" xfId="0" applyFont="1" applyAlignment="1">
      <alignment vertical="center" wrapText="1"/>
    </xf>
    <xf numFmtId="0" fontId="25" fillId="0" borderId="0" xfId="0" applyFont="1" applyAlignment="1">
      <alignment horizontal="right" vertical="center"/>
    </xf>
    <xf numFmtId="4" fontId="25" fillId="12" borderId="84" xfId="0" applyNumberFormat="1" applyFont="1" applyFill="1" applyBorder="1" applyAlignment="1">
      <alignment horizontal="center" vertical="center" wrapText="1"/>
    </xf>
    <xf numFmtId="0" fontId="26" fillId="0" borderId="0" xfId="0" applyFont="1" applyAlignment="1">
      <alignment vertical="center" wrapText="1"/>
    </xf>
    <xf numFmtId="4" fontId="25" fillId="12" borderId="86" xfId="0" applyNumberFormat="1" applyFont="1" applyFill="1" applyBorder="1" applyAlignment="1">
      <alignment horizontal="center" vertical="center" wrapText="1"/>
    </xf>
    <xf numFmtId="0" fontId="25" fillId="8" borderId="0" xfId="0" applyFont="1" applyFill="1" applyAlignment="1">
      <alignment vertical="center" wrapText="1"/>
    </xf>
    <xf numFmtId="0" fontId="25" fillId="8" borderId="0" xfId="0" applyFont="1" applyFill="1" applyAlignment="1">
      <alignment horizontal="right" vertical="center"/>
    </xf>
    <xf numFmtId="4" fontId="25" fillId="12" borderId="97" xfId="0" applyNumberFormat="1" applyFont="1" applyFill="1" applyBorder="1" applyAlignment="1">
      <alignment horizontal="center" vertical="center" wrapText="1"/>
    </xf>
    <xf numFmtId="0" fontId="26" fillId="8" borderId="85" xfId="0" applyFont="1" applyFill="1" applyBorder="1" applyAlignment="1">
      <alignment horizontal="center" vertical="center" wrapText="1"/>
    </xf>
    <xf numFmtId="0" fontId="26" fillId="8" borderId="49" xfId="0" applyFont="1" applyFill="1" applyBorder="1" applyAlignment="1">
      <alignment horizontal="center" vertical="center" wrapText="1"/>
    </xf>
    <xf numFmtId="0" fontId="26" fillId="0" borderId="49" xfId="0" applyFont="1" applyBorder="1" applyAlignment="1">
      <alignment horizontal="center" vertical="center" wrapText="1"/>
    </xf>
    <xf numFmtId="2" fontId="26" fillId="0" borderId="49" xfId="0" applyNumberFormat="1" applyFont="1" applyBorder="1" applyAlignment="1">
      <alignment horizontal="center" vertical="center" wrapText="1"/>
    </xf>
    <xf numFmtId="4" fontId="26" fillId="0" borderId="86" xfId="0" applyNumberFormat="1" applyFont="1" applyBorder="1" applyAlignment="1">
      <alignment horizontal="center" vertical="center" wrapText="1"/>
    </xf>
    <xf numFmtId="0" fontId="26" fillId="0" borderId="98" xfId="0" applyFont="1" applyBorder="1" applyAlignment="1">
      <alignment horizontal="center" vertical="center"/>
    </xf>
    <xf numFmtId="0" fontId="26" fillId="0" borderId="69" xfId="0" applyFont="1" applyBorder="1" applyAlignment="1">
      <alignment horizontal="center" vertical="center"/>
    </xf>
    <xf numFmtId="0" fontId="25" fillId="0" borderId="69" xfId="0" applyFont="1" applyBorder="1" applyAlignment="1">
      <alignment vertical="center" wrapText="1"/>
    </xf>
    <xf numFmtId="0" fontId="25" fillId="0" borderId="69" xfId="0" applyFont="1" applyBorder="1" applyAlignment="1">
      <alignment horizontal="right" vertical="center"/>
    </xf>
    <xf numFmtId="177" fontId="25" fillId="8" borderId="0" xfId="0" applyNumberFormat="1" applyFont="1" applyFill="1" applyAlignment="1">
      <alignment horizontal="right" vertical="center"/>
    </xf>
    <xf numFmtId="4" fontId="24" fillId="0" borderId="0" xfId="0" applyNumberFormat="1" applyFont="1" applyAlignment="1">
      <alignment horizontal="center" vertical="center"/>
    </xf>
    <xf numFmtId="164" fontId="26" fillId="8" borderId="49" xfId="0" applyNumberFormat="1" applyFont="1" applyFill="1" applyBorder="1" applyAlignment="1">
      <alignment horizontal="center" vertical="center" wrapText="1"/>
    </xf>
    <xf numFmtId="164" fontId="26" fillId="0" borderId="49" xfId="0" applyNumberFormat="1" applyFont="1" applyBorder="1" applyAlignment="1">
      <alignment horizontal="center" vertical="center" wrapText="1"/>
    </xf>
    <xf numFmtId="178" fontId="26" fillId="0" borderId="49" xfId="0" applyNumberFormat="1" applyFont="1" applyBorder="1" applyAlignment="1">
      <alignment horizontal="center" vertical="center" wrapText="1"/>
    </xf>
    <xf numFmtId="0" fontId="26" fillId="8" borderId="69" xfId="0" applyFont="1" applyFill="1" applyBorder="1" applyAlignment="1">
      <alignment vertical="center" wrapText="1"/>
    </xf>
    <xf numFmtId="0" fontId="26" fillId="8" borderId="94" xfId="0" applyFont="1" applyFill="1" applyBorder="1" applyAlignment="1">
      <alignment vertical="center" wrapText="1"/>
    </xf>
    <xf numFmtId="0" fontId="26" fillId="8" borderId="0" xfId="0" applyFont="1" applyFill="1" applyAlignment="1">
      <alignment vertical="center" wrapText="1"/>
    </xf>
    <xf numFmtId="0" fontId="26" fillId="8" borderId="1" xfId="0" applyFont="1" applyFill="1" applyBorder="1" applyAlignment="1">
      <alignment vertical="center" wrapText="1"/>
    </xf>
    <xf numFmtId="10" fontId="24" fillId="0" borderId="0" xfId="0" applyNumberFormat="1" applyFont="1" applyAlignment="1">
      <alignment horizontal="center" vertical="center"/>
    </xf>
    <xf numFmtId="0" fontId="26" fillId="8" borderId="60" xfId="0" applyFont="1" applyFill="1" applyBorder="1" applyAlignment="1">
      <alignment horizontal="center" vertical="center" wrapText="1"/>
    </xf>
    <xf numFmtId="0" fontId="25" fillId="0" borderId="34" xfId="0" applyFont="1" applyBorder="1" applyAlignment="1">
      <alignment horizontal="right" vertical="center"/>
    </xf>
    <xf numFmtId="0" fontId="26" fillId="0" borderId="36" xfId="0" applyFont="1" applyBorder="1" applyAlignment="1">
      <alignment horizontal="center" vertical="center"/>
    </xf>
    <xf numFmtId="0" fontId="26" fillId="0" borderId="0" xfId="0" applyFont="1" applyAlignment="1">
      <alignment horizontal="center" vertical="center"/>
    </xf>
    <xf numFmtId="0" fontId="26" fillId="8" borderId="69" xfId="0" applyFont="1" applyFill="1" applyBorder="1" applyAlignment="1">
      <alignment vertical="center"/>
    </xf>
    <xf numFmtId="164" fontId="24" fillId="0" borderId="0" xfId="0" applyNumberFormat="1" applyFont="1" applyAlignment="1">
      <alignment horizontal="center" vertical="center"/>
    </xf>
    <xf numFmtId="0" fontId="25" fillId="12" borderId="93" xfId="0" applyFont="1" applyFill="1" applyBorder="1" applyAlignment="1">
      <alignment horizontal="center" vertical="center" wrapText="1"/>
    </xf>
    <xf numFmtId="4" fontId="26" fillId="8" borderId="49" xfId="0" applyNumberFormat="1" applyFont="1" applyFill="1" applyBorder="1" applyAlignment="1">
      <alignment horizontal="center" vertical="center" wrapText="1"/>
    </xf>
    <xf numFmtId="4" fontId="26" fillId="8" borderId="86" xfId="0" applyNumberFormat="1" applyFont="1" applyFill="1" applyBorder="1" applyAlignment="1">
      <alignment horizontal="center" vertical="center" wrapText="1"/>
    </xf>
    <xf numFmtId="0" fontId="25" fillId="0" borderId="34" xfId="0" applyFont="1" applyBorder="1" applyAlignment="1">
      <alignment vertical="center" wrapText="1"/>
    </xf>
    <xf numFmtId="0" fontId="26" fillId="0" borderId="0" xfId="0" applyFont="1" applyAlignment="1">
      <alignment horizontal="center" vertical="center"/>
    </xf>
    <xf numFmtId="0" fontId="26" fillId="8" borderId="88" xfId="0" applyFont="1" applyFill="1" applyBorder="1" applyAlignment="1">
      <alignment horizontal="center" vertical="center" wrapText="1"/>
    </xf>
    <xf numFmtId="176" fontId="26" fillId="8" borderId="49" xfId="0" applyNumberFormat="1" applyFont="1" applyFill="1" applyBorder="1" applyAlignment="1">
      <alignment horizontal="center" vertical="center" wrapText="1"/>
    </xf>
    <xf numFmtId="0" fontId="25" fillId="0" borderId="0" xfId="0" applyFont="1" applyAlignment="1">
      <alignment vertical="center" wrapText="1"/>
    </xf>
    <xf numFmtId="0" fontId="26" fillId="0" borderId="0" xfId="0" applyFont="1" applyAlignment="1">
      <alignment vertical="center" wrapText="1"/>
    </xf>
    <xf numFmtId="0" fontId="25" fillId="8" borderId="0" xfId="0" applyFont="1" applyFill="1" applyAlignment="1">
      <alignment vertical="center" wrapText="1"/>
    </xf>
    <xf numFmtId="0" fontId="26" fillId="0" borderId="49" xfId="0" applyFont="1" applyBorder="1" applyAlignment="1">
      <alignment horizontal="center" vertical="center" wrapText="1"/>
    </xf>
    <xf numFmtId="0" fontId="25" fillId="0" borderId="69" xfId="0" applyFont="1" applyBorder="1" applyAlignment="1">
      <alignment vertical="center" wrapText="1"/>
    </xf>
    <xf numFmtId="0" fontId="23" fillId="0" borderId="71" xfId="0" applyFont="1" applyBorder="1" applyAlignment="1">
      <alignment horizontal="center" vertical="center"/>
    </xf>
    <xf numFmtId="0" fontId="17" fillId="0" borderId="49" xfId="0" applyFont="1" applyBorder="1" applyAlignment="1">
      <alignment horizontal="center" vertical="center" wrapText="1"/>
    </xf>
    <xf numFmtId="0" fontId="25" fillId="0" borderId="34" xfId="0" applyFont="1" applyBorder="1" applyAlignment="1">
      <alignment horizontal="right" vertical="center"/>
    </xf>
    <xf numFmtId="0" fontId="26" fillId="0" borderId="36" xfId="0" applyFont="1" applyBorder="1" applyAlignment="1">
      <alignment horizontal="center" vertical="center"/>
    </xf>
    <xf numFmtId="0" fontId="26" fillId="0" borderId="0" xfId="0" applyFont="1" applyAlignment="1">
      <alignment horizontal="center" vertical="center"/>
    </xf>
    <xf numFmtId="0" fontId="26" fillId="8" borderId="60" xfId="0" applyFont="1" applyFill="1" applyBorder="1" applyAlignment="1">
      <alignment horizontal="center" vertical="center" wrapText="1"/>
    </xf>
    <xf numFmtId="0" fontId="26" fillId="8" borderId="69" xfId="0" applyFont="1" applyFill="1" applyBorder="1" applyAlignment="1">
      <alignment vertical="center"/>
    </xf>
    <xf numFmtId="0" fontId="26" fillId="8" borderId="94" xfId="0" applyFont="1" applyFill="1" applyBorder="1" applyAlignment="1">
      <alignment vertical="center"/>
    </xf>
    <xf numFmtId="0" fontId="28" fillId="0" borderId="0" xfId="0" applyFont="1" applyAlignment="1">
      <alignment horizontal="center" vertical="center"/>
    </xf>
    <xf numFmtId="0" fontId="28" fillId="0" borderId="49" xfId="0" applyFont="1" applyBorder="1" applyAlignment="1">
      <alignment horizontal="center" vertical="center" wrapText="1"/>
    </xf>
    <xf numFmtId="10" fontId="30" fillId="0" borderId="0" xfId="6" applyNumberFormat="1" applyFont="1" applyBorder="1" applyAlignment="1">
      <alignment horizontal="center" vertical="center"/>
    </xf>
    <xf numFmtId="0" fontId="31" fillId="0" borderId="0" xfId="0" applyFont="1" applyBorder="1" applyAlignment="1">
      <alignment vertical="center"/>
    </xf>
    <xf numFmtId="43" fontId="31" fillId="0" borderId="0" xfId="1" applyFont="1" applyAlignment="1">
      <alignment vertical="center"/>
    </xf>
    <xf numFmtId="0" fontId="31" fillId="0" borderId="0" xfId="0" applyFont="1" applyAlignment="1">
      <alignment vertical="center"/>
    </xf>
    <xf numFmtId="17" fontId="32" fillId="0" borderId="0" xfId="5" applyNumberFormat="1" applyFont="1" applyFill="1" applyBorder="1" applyAlignment="1">
      <alignment horizontal="left" vertical="center" wrapText="1"/>
    </xf>
    <xf numFmtId="10" fontId="32" fillId="0" borderId="0" xfId="6" applyNumberFormat="1" applyFont="1" applyFill="1" applyBorder="1" applyAlignment="1">
      <alignment vertical="center" wrapText="1"/>
    </xf>
    <xf numFmtId="10" fontId="30" fillId="0" borderId="0" xfId="6" applyNumberFormat="1" applyFont="1" applyFill="1" applyBorder="1" applyAlignment="1">
      <alignment vertical="center"/>
    </xf>
    <xf numFmtId="0" fontId="32" fillId="0" borderId="0" xfId="0" applyFont="1" applyAlignment="1">
      <alignment horizontal="center" vertical="center"/>
    </xf>
    <xf numFmtId="0" fontId="32" fillId="0" borderId="0" xfId="0" applyFont="1" applyFill="1" applyBorder="1" applyAlignment="1">
      <alignment horizontal="center" vertical="center"/>
    </xf>
    <xf numFmtId="0" fontId="32" fillId="0" borderId="0" xfId="0" applyFont="1" applyFill="1" applyBorder="1" applyAlignment="1">
      <alignment vertical="center" wrapText="1"/>
    </xf>
    <xf numFmtId="43" fontId="32" fillId="0" borderId="0" xfId="1" applyFont="1" applyFill="1" applyBorder="1" applyAlignment="1">
      <alignment vertical="center"/>
    </xf>
    <xf numFmtId="164" fontId="32" fillId="0" borderId="0" xfId="5" applyFont="1" applyFill="1" applyBorder="1" applyAlignment="1">
      <alignment vertical="center"/>
    </xf>
    <xf numFmtId="10" fontId="32" fillId="0" borderId="0" xfId="6" applyNumberFormat="1" applyFont="1" applyFill="1" applyBorder="1" applyAlignment="1">
      <alignment vertical="center"/>
    </xf>
    <xf numFmtId="0" fontId="30" fillId="0" borderId="2" xfId="0" applyFont="1" applyFill="1" applyBorder="1" applyAlignment="1">
      <alignment horizontal="center" vertical="center" wrapText="1"/>
    </xf>
    <xf numFmtId="43" fontId="30" fillId="0" borderId="2" xfId="1" applyFont="1" applyFill="1" applyBorder="1" applyAlignment="1">
      <alignment horizontal="center" vertical="center" wrapText="1"/>
    </xf>
    <xf numFmtId="164" fontId="30" fillId="0" borderId="2" xfId="5" applyFont="1" applyFill="1" applyBorder="1" applyAlignment="1">
      <alignment horizontal="center" vertical="center" wrapText="1"/>
    </xf>
    <xf numFmtId="10" fontId="30" fillId="0" borderId="0" xfId="6" applyNumberFormat="1" applyFont="1" applyFill="1" applyBorder="1" applyAlignment="1">
      <alignment horizontal="center" vertical="center" wrapText="1"/>
    </xf>
    <xf numFmtId="0" fontId="30" fillId="7" borderId="7" xfId="0" applyFont="1" applyFill="1" applyBorder="1" applyAlignment="1">
      <alignment horizontal="center" vertical="center" wrapText="1"/>
    </xf>
    <xf numFmtId="0" fontId="30" fillId="7" borderId="8" xfId="0" applyFont="1" applyFill="1" applyBorder="1" applyAlignment="1">
      <alignment horizontal="center" vertical="center" wrapText="1"/>
    </xf>
    <xf numFmtId="0" fontId="30" fillId="7" borderId="8" xfId="0" applyFont="1" applyFill="1" applyBorder="1" applyAlignment="1">
      <alignment horizontal="left" vertical="center" wrapText="1"/>
    </xf>
    <xf numFmtId="0" fontId="32" fillId="7" borderId="8" xfId="0" applyFont="1" applyFill="1" applyBorder="1" applyAlignment="1">
      <alignment horizontal="center" vertical="center" wrapText="1"/>
    </xf>
    <xf numFmtId="43" fontId="32" fillId="7" borderId="8" xfId="1" applyFont="1" applyFill="1" applyBorder="1" applyAlignment="1">
      <alignment horizontal="center" vertical="center" wrapText="1"/>
    </xf>
    <xf numFmtId="164" fontId="32" fillId="7" borderId="8" xfId="5" applyFont="1" applyFill="1" applyBorder="1" applyAlignment="1">
      <alignment horizontal="center" vertical="center" wrapText="1"/>
    </xf>
    <xf numFmtId="164" fontId="32" fillId="7" borderId="50" xfId="5" applyFont="1" applyFill="1" applyBorder="1" applyAlignment="1">
      <alignment horizontal="center" vertical="center" wrapText="1"/>
    </xf>
    <xf numFmtId="164" fontId="30" fillId="7" borderId="9" xfId="5" applyFont="1" applyFill="1" applyBorder="1" applyAlignment="1">
      <alignment horizontal="center" vertical="center" wrapText="1"/>
    </xf>
    <xf numFmtId="10" fontId="30" fillId="7" borderId="61" xfId="6" applyNumberFormat="1" applyFont="1" applyFill="1" applyBorder="1" applyAlignment="1">
      <alignment horizontal="center" vertical="center" wrapText="1"/>
    </xf>
    <xf numFmtId="0" fontId="28" fillId="0" borderId="7" xfId="0" applyFont="1" applyFill="1" applyBorder="1" applyAlignment="1">
      <alignment horizontal="center" vertical="center" wrapText="1"/>
    </xf>
    <xf numFmtId="0" fontId="28" fillId="0" borderId="8" xfId="0" quotePrefix="1" applyFont="1" applyFill="1" applyBorder="1" applyAlignment="1">
      <alignment horizontal="center" vertical="center" wrapText="1"/>
    </xf>
    <xf numFmtId="0" fontId="28" fillId="0" borderId="8" xfId="0" applyFont="1" applyFill="1" applyBorder="1" applyAlignment="1">
      <alignment horizontal="center" vertical="center" wrapText="1"/>
    </xf>
    <xf numFmtId="0" fontId="28" fillId="0" borderId="8" xfId="0" applyFont="1" applyFill="1" applyBorder="1" applyAlignment="1">
      <alignment horizontal="justify" vertical="center" wrapText="1"/>
    </xf>
    <xf numFmtId="43" fontId="28" fillId="0" borderId="8" xfId="1" applyFont="1" applyFill="1" applyBorder="1" applyAlignment="1">
      <alignment horizontal="center" vertical="center" wrapText="1"/>
    </xf>
    <xf numFmtId="164" fontId="28" fillId="0" borderId="8" xfId="5" applyFont="1" applyFill="1" applyBorder="1" applyAlignment="1">
      <alignment horizontal="right" vertical="center" wrapText="1"/>
    </xf>
    <xf numFmtId="164" fontId="28" fillId="0" borderId="50" xfId="5" applyFont="1" applyFill="1" applyBorder="1" applyAlignment="1">
      <alignment horizontal="right" vertical="center" wrapText="1"/>
    </xf>
    <xf numFmtId="164" fontId="28" fillId="0" borderId="9" xfId="5" applyFont="1" applyFill="1" applyBorder="1" applyAlignment="1">
      <alignment horizontal="center" vertical="center" wrapText="1"/>
    </xf>
    <xf numFmtId="10" fontId="28" fillId="0" borderId="61" xfId="6" applyNumberFormat="1" applyFont="1" applyFill="1" applyBorder="1" applyAlignment="1">
      <alignment horizontal="center" vertical="center" wrapText="1"/>
    </xf>
    <xf numFmtId="0" fontId="33" fillId="0" borderId="0" xfId="0" applyFont="1" applyBorder="1" applyAlignment="1">
      <alignment vertical="center"/>
    </xf>
    <xf numFmtId="43" fontId="33" fillId="0" borderId="0" xfId="1" applyFont="1" applyAlignment="1">
      <alignment vertical="center"/>
    </xf>
    <xf numFmtId="0" fontId="33" fillId="0" borderId="0" xfId="0" applyFont="1" applyAlignment="1">
      <alignment vertical="center"/>
    </xf>
    <xf numFmtId="0" fontId="32" fillId="0" borderId="7" xfId="0" applyFont="1" applyFill="1" applyBorder="1" applyAlignment="1">
      <alignment horizontal="center" vertical="center" wrapText="1"/>
    </xf>
    <xf numFmtId="0" fontId="32" fillId="0" borderId="8" xfId="0" applyFont="1" applyFill="1" applyBorder="1" applyAlignment="1">
      <alignment horizontal="center" vertical="center" wrapText="1"/>
    </xf>
    <xf numFmtId="0" fontId="32" fillId="0" borderId="8" xfId="0" applyFont="1" applyFill="1" applyBorder="1" applyAlignment="1">
      <alignment vertical="center" wrapText="1"/>
    </xf>
    <xf numFmtId="0" fontId="32" fillId="0" borderId="8" xfId="0" applyFont="1" applyFill="1" applyBorder="1" applyAlignment="1">
      <alignment horizontal="right" vertical="center" wrapText="1"/>
    </xf>
    <xf numFmtId="164" fontId="32" fillId="0" borderId="8" xfId="5" applyFont="1" applyFill="1" applyBorder="1" applyAlignment="1">
      <alignment horizontal="right" vertical="center" wrapText="1"/>
    </xf>
    <xf numFmtId="164" fontId="32" fillId="0" borderId="50" xfId="5" applyFont="1" applyFill="1" applyBorder="1" applyAlignment="1">
      <alignment horizontal="right" vertical="center" wrapText="1"/>
    </xf>
    <xf numFmtId="164" fontId="32" fillId="0" borderId="9" xfId="5" applyFont="1" applyFill="1" applyBorder="1" applyAlignment="1">
      <alignment horizontal="center" vertical="center" wrapText="1"/>
    </xf>
    <xf numFmtId="10" fontId="32" fillId="0" borderId="61" xfId="6" applyNumberFormat="1" applyFont="1" applyFill="1" applyBorder="1" applyAlignment="1">
      <alignment horizontal="center" vertical="center" wrapText="1"/>
    </xf>
    <xf numFmtId="0" fontId="30" fillId="0" borderId="8" xfId="0" applyFont="1" applyFill="1" applyBorder="1" applyAlignment="1">
      <alignment horizontal="left" vertical="center" wrapText="1"/>
    </xf>
    <xf numFmtId="0" fontId="30" fillId="0" borderId="8" xfId="0" applyFont="1" applyFill="1" applyBorder="1" applyAlignment="1">
      <alignment horizontal="center" vertical="center" wrapText="1"/>
    </xf>
    <xf numFmtId="43" fontId="30" fillId="0" borderId="8" xfId="1" applyFont="1" applyFill="1" applyBorder="1" applyAlignment="1">
      <alignment horizontal="center" vertical="center" wrapText="1"/>
    </xf>
    <xf numFmtId="164" fontId="30" fillId="0" borderId="8" xfId="5" applyFont="1" applyFill="1" applyBorder="1" applyAlignment="1">
      <alignment horizontal="center" vertical="center" wrapText="1"/>
    </xf>
    <xf numFmtId="164" fontId="30" fillId="0" borderId="50" xfId="5" applyFont="1" applyFill="1" applyBorder="1" applyAlignment="1">
      <alignment horizontal="center" vertical="center" wrapText="1"/>
    </xf>
    <xf numFmtId="164" fontId="30" fillId="0" borderId="9" xfId="5" applyFont="1" applyFill="1" applyBorder="1" applyAlignment="1">
      <alignment horizontal="center" vertical="center" wrapText="1"/>
    </xf>
    <xf numFmtId="10" fontId="30" fillId="0" borderId="61" xfId="6" applyNumberFormat="1" applyFont="1" applyFill="1" applyBorder="1" applyAlignment="1">
      <alignment horizontal="center" vertical="center" wrapText="1"/>
    </xf>
    <xf numFmtId="43" fontId="31" fillId="0" borderId="0" xfId="0" applyNumberFormat="1" applyFont="1" applyAlignment="1">
      <alignment vertical="center"/>
    </xf>
    <xf numFmtId="43" fontId="30" fillId="7" borderId="8" xfId="1" applyFont="1" applyFill="1" applyBorder="1" applyAlignment="1">
      <alignment horizontal="center" vertical="center" wrapText="1"/>
    </xf>
    <xf numFmtId="164" fontId="30" fillId="7" borderId="8" xfId="5" applyFont="1" applyFill="1" applyBorder="1" applyAlignment="1">
      <alignment horizontal="center" vertical="center" wrapText="1"/>
    </xf>
    <xf numFmtId="164" fontId="30" fillId="7" borderId="50" xfId="5" applyFont="1" applyFill="1" applyBorder="1" applyAlignment="1">
      <alignment horizontal="center" vertical="center" wrapText="1"/>
    </xf>
    <xf numFmtId="0" fontId="34" fillId="0" borderId="0" xfId="0" applyFont="1" applyBorder="1" applyAlignment="1">
      <alignment vertical="center"/>
    </xf>
    <xf numFmtId="43" fontId="34" fillId="0" borderId="0" xfId="1" applyFont="1" applyAlignment="1">
      <alignment vertical="center"/>
    </xf>
    <xf numFmtId="0" fontId="34" fillId="0" borderId="0" xfId="0" applyFont="1" applyAlignment="1">
      <alignment vertical="center"/>
    </xf>
    <xf numFmtId="43" fontId="34" fillId="0" borderId="0" xfId="0" applyNumberFormat="1" applyFont="1" applyAlignment="1">
      <alignment vertical="center"/>
    </xf>
    <xf numFmtId="0" fontId="27" fillId="0" borderId="7" xfId="0" applyFont="1" applyFill="1" applyBorder="1" applyAlignment="1">
      <alignment horizontal="center" vertical="center" wrapText="1"/>
    </xf>
    <xf numFmtId="0" fontId="27" fillId="0" borderId="8" xfId="0" quotePrefix="1" applyFont="1" applyFill="1" applyBorder="1" applyAlignment="1">
      <alignment horizontal="center" vertical="center" wrapText="1"/>
    </xf>
    <xf numFmtId="0" fontId="27" fillId="0" borderId="8" xfId="0" applyFont="1" applyFill="1" applyBorder="1" applyAlignment="1">
      <alignment horizontal="center" vertical="center" wrapText="1"/>
    </xf>
    <xf numFmtId="0" fontId="27" fillId="0" borderId="8" xfId="0" applyFont="1" applyFill="1" applyBorder="1" applyAlignment="1">
      <alignment horizontal="justify" vertical="center" wrapText="1"/>
    </xf>
    <xf numFmtId="43" fontId="27" fillId="0" borderId="8" xfId="1" applyFont="1" applyFill="1" applyBorder="1" applyAlignment="1">
      <alignment horizontal="center" vertical="center" wrapText="1"/>
    </xf>
    <xf numFmtId="164" fontId="27" fillId="0" borderId="8" xfId="5" applyFont="1" applyFill="1" applyBorder="1" applyAlignment="1">
      <alignment horizontal="right" vertical="center" wrapText="1"/>
    </xf>
    <xf numFmtId="164" fontId="27" fillId="0" borderId="50" xfId="5" applyFont="1" applyFill="1" applyBorder="1" applyAlignment="1">
      <alignment horizontal="right" vertical="center" wrapText="1"/>
    </xf>
    <xf numFmtId="164" fontId="27" fillId="0" borderId="9" xfId="5" applyFont="1" applyFill="1" applyBorder="1" applyAlignment="1">
      <alignment horizontal="center" vertical="center" wrapText="1"/>
    </xf>
    <xf numFmtId="10" fontId="27" fillId="0" borderId="61" xfId="6" applyNumberFormat="1" applyFont="1" applyFill="1" applyBorder="1" applyAlignment="1">
      <alignment horizontal="center" vertical="center" wrapText="1"/>
    </xf>
    <xf numFmtId="43" fontId="32" fillId="0" borderId="8" xfId="1" applyFont="1" applyFill="1" applyBorder="1" applyAlignment="1">
      <alignment horizontal="center" vertical="center" wrapText="1"/>
    </xf>
    <xf numFmtId="164" fontId="32" fillId="0" borderId="8" xfId="5" applyFont="1" applyFill="1" applyBorder="1" applyAlignment="1">
      <alignment horizontal="center" vertical="center" wrapText="1"/>
    </xf>
    <xf numFmtId="164" fontId="32" fillId="0" borderId="50" xfId="5" applyFont="1" applyFill="1" applyBorder="1" applyAlignment="1">
      <alignment horizontal="center" vertical="center" wrapText="1"/>
    </xf>
    <xf numFmtId="0" fontId="32" fillId="0" borderId="8" xfId="0" quotePrefix="1" applyFont="1" applyFill="1" applyBorder="1" applyAlignment="1">
      <alignment horizontal="center" vertical="center" wrapText="1"/>
    </xf>
    <xf numFmtId="0" fontId="32" fillId="0" borderId="8" xfId="0" applyFont="1" applyFill="1" applyBorder="1" applyAlignment="1">
      <alignment horizontal="justify" vertical="center" wrapText="1"/>
    </xf>
    <xf numFmtId="43" fontId="32" fillId="0" borderId="8" xfId="1" applyFont="1" applyFill="1" applyBorder="1" applyAlignment="1">
      <alignment horizontal="right" vertical="center" wrapText="1"/>
    </xf>
    <xf numFmtId="0" fontId="35" fillId="0" borderId="0" xfId="0" applyFont="1" applyBorder="1" applyAlignment="1">
      <alignment vertical="center"/>
    </xf>
    <xf numFmtId="43" fontId="35" fillId="0" borderId="0" xfId="1" applyFont="1" applyAlignment="1">
      <alignment vertical="center"/>
    </xf>
    <xf numFmtId="0" fontId="35" fillId="0" borderId="0" xfId="0" applyFont="1" applyAlignment="1">
      <alignment vertical="center"/>
    </xf>
    <xf numFmtId="0" fontId="30" fillId="0" borderId="7" xfId="0" applyFont="1" applyFill="1" applyBorder="1" applyAlignment="1">
      <alignment horizontal="center" vertical="center" wrapText="1"/>
    </xf>
    <xf numFmtId="0" fontId="30" fillId="0" borderId="8" xfId="0" applyFont="1" applyFill="1" applyBorder="1" applyAlignment="1">
      <alignment horizontal="justify" vertical="center" wrapText="1"/>
    </xf>
    <xf numFmtId="0" fontId="30" fillId="7" borderId="8" xfId="0" applyFont="1" applyFill="1" applyBorder="1" applyAlignment="1">
      <alignment horizontal="justify" vertical="center" wrapText="1"/>
    </xf>
    <xf numFmtId="165" fontId="31" fillId="0" borderId="0" xfId="0" applyNumberFormat="1" applyFont="1" applyAlignment="1">
      <alignment vertical="center"/>
    </xf>
    <xf numFmtId="0" fontId="28" fillId="0" borderId="8" xfId="0" quotePrefix="1" applyFont="1" applyBorder="1" applyAlignment="1">
      <alignment horizontal="center" vertical="center"/>
    </xf>
    <xf numFmtId="0" fontId="30" fillId="0" borderId="57" xfId="0" applyFont="1" applyFill="1" applyBorder="1" applyAlignment="1">
      <alignment horizontal="center" vertical="center" wrapText="1"/>
    </xf>
    <xf numFmtId="0" fontId="30" fillId="0" borderId="53" xfId="0" applyFont="1" applyFill="1" applyBorder="1" applyAlignment="1">
      <alignment horizontal="justify" vertical="center" wrapText="1"/>
    </xf>
    <xf numFmtId="43" fontId="30" fillId="0" borderId="53" xfId="1" applyFont="1" applyFill="1" applyBorder="1" applyAlignment="1">
      <alignment horizontal="center" vertical="center" wrapText="1"/>
    </xf>
    <xf numFmtId="164" fontId="30" fillId="0" borderId="53" xfId="5" applyFont="1" applyFill="1" applyBorder="1" applyAlignment="1">
      <alignment horizontal="center" vertical="center" wrapText="1"/>
    </xf>
    <xf numFmtId="164" fontId="30" fillId="0" borderId="55" xfId="5" applyFont="1" applyFill="1" applyBorder="1" applyAlignment="1">
      <alignment horizontal="center" vertical="center" wrapText="1"/>
    </xf>
    <xf numFmtId="173" fontId="28" fillId="0" borderId="61" xfId="6" applyNumberFormat="1" applyFont="1" applyFill="1" applyBorder="1" applyAlignment="1">
      <alignment horizontal="center" vertical="center" wrapText="1"/>
    </xf>
    <xf numFmtId="181" fontId="28" fillId="0" borderId="61" xfId="6" applyNumberFormat="1" applyFont="1" applyFill="1" applyBorder="1" applyAlignment="1">
      <alignment horizontal="center" vertical="center" wrapText="1"/>
    </xf>
    <xf numFmtId="0" fontId="32" fillId="0" borderId="53" xfId="0" applyFont="1" applyFill="1" applyBorder="1" applyAlignment="1">
      <alignment horizontal="center" vertical="center" wrapText="1"/>
    </xf>
    <xf numFmtId="43" fontId="32" fillId="0" borderId="53" xfId="1" applyFont="1" applyFill="1" applyBorder="1" applyAlignment="1">
      <alignment horizontal="center" vertical="center" wrapText="1"/>
    </xf>
    <xf numFmtId="164" fontId="32" fillId="0" borderId="54" xfId="5" applyFont="1" applyFill="1" applyBorder="1" applyAlignment="1">
      <alignment horizontal="center" vertical="center" wrapText="1"/>
    </xf>
    <xf numFmtId="164" fontId="32" fillId="0" borderId="55" xfId="5" applyFont="1" applyFill="1" applyBorder="1" applyAlignment="1">
      <alignment horizontal="center" vertical="center" wrapText="1"/>
    </xf>
    <xf numFmtId="0" fontId="32" fillId="0" borderId="8" xfId="0" applyFont="1" applyBorder="1" applyAlignment="1">
      <alignment horizontal="center" vertical="center"/>
    </xf>
    <xf numFmtId="0" fontId="32" fillId="0" borderId="7" xfId="0" applyFont="1" applyBorder="1" applyAlignment="1">
      <alignment horizontal="center" vertical="center"/>
    </xf>
    <xf numFmtId="0" fontId="32" fillId="0" borderId="56" xfId="0" applyFont="1" applyBorder="1" applyAlignment="1">
      <alignment horizontal="center" vertical="center"/>
    </xf>
    <xf numFmtId="0" fontId="32" fillId="0" borderId="52" xfId="0" applyFont="1" applyFill="1" applyBorder="1" applyAlignment="1">
      <alignment horizontal="center" vertical="center" wrapText="1"/>
    </xf>
    <xf numFmtId="0" fontId="32" fillId="0" borderId="56" xfId="0" applyFont="1" applyFill="1" applyBorder="1" applyAlignment="1">
      <alignment horizontal="center" vertical="center" wrapText="1"/>
    </xf>
    <xf numFmtId="0" fontId="32" fillId="0" borderId="52" xfId="0" applyFont="1" applyBorder="1" applyAlignment="1">
      <alignment horizontal="justify" vertical="center" wrapText="1"/>
    </xf>
    <xf numFmtId="0" fontId="32" fillId="0" borderId="52" xfId="0" applyFont="1" applyBorder="1" applyAlignment="1">
      <alignment horizontal="center" vertical="center"/>
    </xf>
    <xf numFmtId="43" fontId="32" fillId="0" borderId="8" xfId="1" applyFont="1" applyBorder="1" applyAlignment="1">
      <alignment vertical="center"/>
    </xf>
    <xf numFmtId="164" fontId="32" fillId="0" borderId="52" xfId="5" applyFont="1" applyFill="1" applyBorder="1" applyAlignment="1">
      <alignment horizontal="center" vertical="center" wrapText="1"/>
    </xf>
    <xf numFmtId="0" fontId="32" fillId="0" borderId="8" xfId="0" applyFont="1" applyFill="1" applyBorder="1" applyAlignment="1">
      <alignment horizontal="center" vertical="center"/>
    </xf>
    <xf numFmtId="43" fontId="32" fillId="0" borderId="8" xfId="1" applyFont="1" applyFill="1" applyBorder="1" applyAlignment="1">
      <alignment vertical="center"/>
    </xf>
    <xf numFmtId="43" fontId="32" fillId="0" borderId="106" xfId="1" applyFont="1" applyFill="1" applyBorder="1" applyAlignment="1">
      <alignment vertical="center"/>
    </xf>
    <xf numFmtId="43" fontId="31" fillId="0" borderId="0" xfId="1" applyFont="1" applyFill="1" applyAlignment="1">
      <alignment vertical="center"/>
    </xf>
    <xf numFmtId="0" fontId="31" fillId="0" borderId="0" xfId="0" applyFont="1" applyFill="1" applyAlignment="1">
      <alignment vertical="center"/>
    </xf>
    <xf numFmtId="0" fontId="32" fillId="0" borderId="8" xfId="0" applyFont="1" applyBorder="1" applyAlignment="1">
      <alignment vertical="center" wrapText="1"/>
    </xf>
    <xf numFmtId="164" fontId="32" fillId="0" borderId="8" xfId="5" applyFont="1" applyBorder="1" applyAlignment="1">
      <alignment vertical="center"/>
    </xf>
    <xf numFmtId="164" fontId="32" fillId="0" borderId="50" xfId="5" applyFont="1" applyBorder="1" applyAlignment="1">
      <alignment vertical="center"/>
    </xf>
    <xf numFmtId="164" fontId="32" fillId="0" borderId="9" xfId="5" applyFont="1" applyBorder="1" applyAlignment="1">
      <alignment vertical="center"/>
    </xf>
    <xf numFmtId="10" fontId="32" fillId="0" borderId="61" xfId="6" applyNumberFormat="1" applyFont="1" applyBorder="1" applyAlignment="1">
      <alignment vertical="center"/>
    </xf>
    <xf numFmtId="0" fontId="32" fillId="0" borderId="7" xfId="0" applyFont="1" applyFill="1" applyBorder="1" applyAlignment="1">
      <alignment horizontal="center" vertical="center"/>
    </xf>
    <xf numFmtId="0" fontId="31" fillId="0" borderId="0" xfId="0" applyFont="1" applyFill="1" applyBorder="1" applyAlignment="1">
      <alignment vertical="center"/>
    </xf>
    <xf numFmtId="0" fontId="32" fillId="0" borderId="10" xfId="0" applyFont="1" applyBorder="1" applyAlignment="1">
      <alignment horizontal="center" vertical="center"/>
    </xf>
    <xf numFmtId="0" fontId="32" fillId="0" borderId="11" xfId="0" applyFont="1" applyBorder="1" applyAlignment="1">
      <alignment horizontal="center" vertical="center"/>
    </xf>
    <xf numFmtId="0" fontId="30" fillId="0" borderId="11" xfId="0" applyFont="1" applyBorder="1" applyAlignment="1">
      <alignment vertical="center" wrapText="1"/>
    </xf>
    <xf numFmtId="0" fontId="30" fillId="0" borderId="11" xfId="0" applyFont="1" applyBorder="1" applyAlignment="1">
      <alignment horizontal="center" vertical="center"/>
    </xf>
    <xf numFmtId="43" fontId="30" fillId="0" borderId="11" xfId="1" applyFont="1" applyBorder="1" applyAlignment="1">
      <alignment vertical="center"/>
    </xf>
    <xf numFmtId="164" fontId="30" fillId="0" borderId="11" xfId="5" applyFont="1" applyBorder="1" applyAlignment="1">
      <alignment vertical="center"/>
    </xf>
    <xf numFmtId="164" fontId="30" fillId="0" borderId="51" xfId="5" applyFont="1" applyBorder="1" applyAlignment="1">
      <alignment vertical="center"/>
    </xf>
    <xf numFmtId="164" fontId="30" fillId="0" borderId="12" xfId="5" applyFont="1" applyBorder="1" applyAlignment="1">
      <alignment vertical="center"/>
    </xf>
    <xf numFmtId="10" fontId="30" fillId="0" borderId="61" xfId="6" applyNumberFormat="1" applyFont="1" applyBorder="1" applyAlignment="1">
      <alignment vertical="center"/>
    </xf>
    <xf numFmtId="10" fontId="32" fillId="0" borderId="0" xfId="6" applyNumberFormat="1" applyFont="1" applyBorder="1" applyAlignment="1">
      <alignment horizontal="left" vertical="center" wrapText="1"/>
    </xf>
    <xf numFmtId="0" fontId="32" fillId="0" borderId="0" xfId="0" applyFont="1" applyBorder="1" applyAlignment="1">
      <alignment horizontal="center" vertical="center"/>
    </xf>
    <xf numFmtId="17" fontId="32" fillId="0" borderId="0" xfId="0" applyNumberFormat="1" applyFont="1" applyBorder="1" applyAlignment="1">
      <alignment horizontal="center" vertical="center"/>
    </xf>
    <xf numFmtId="0" fontId="32" fillId="0" borderId="0" xfId="0" applyFont="1" applyBorder="1" applyAlignment="1">
      <alignment vertical="center" wrapText="1"/>
    </xf>
    <xf numFmtId="43" fontId="32" fillId="0" borderId="0" xfId="1" applyFont="1" applyBorder="1" applyAlignment="1">
      <alignment vertical="center"/>
    </xf>
    <xf numFmtId="164" fontId="32" fillId="0" borderId="0" xfId="5" applyFont="1" applyBorder="1" applyAlignment="1">
      <alignment vertical="center"/>
    </xf>
    <xf numFmtId="10" fontId="32" fillId="0" borderId="0" xfId="6" applyNumberFormat="1" applyFont="1" applyBorder="1" applyAlignment="1">
      <alignment vertical="center"/>
    </xf>
    <xf numFmtId="0" fontId="32" fillId="0" borderId="0" xfId="0" applyFont="1" applyBorder="1" applyAlignment="1">
      <alignment horizontal="center" vertical="center" wrapText="1"/>
    </xf>
    <xf numFmtId="0" fontId="30" fillId="0" borderId="0" xfId="0" applyFont="1" applyBorder="1" applyAlignment="1">
      <alignment horizontal="center" vertical="center" wrapText="1"/>
    </xf>
    <xf numFmtId="43" fontId="32" fillId="0" borderId="0" xfId="1" applyFont="1" applyBorder="1" applyAlignment="1">
      <alignment horizontal="center" vertical="center"/>
    </xf>
    <xf numFmtId="0" fontId="32" fillId="0" borderId="36" xfId="0" applyFont="1" applyBorder="1" applyAlignment="1">
      <alignment horizontal="center" vertical="center"/>
    </xf>
    <xf numFmtId="164" fontId="32" fillId="0" borderId="1" xfId="5" applyFont="1" applyBorder="1" applyAlignment="1">
      <alignment vertical="center"/>
    </xf>
    <xf numFmtId="0" fontId="32" fillId="0" borderId="37" xfId="0" applyFont="1" applyBorder="1" applyAlignment="1">
      <alignment horizontal="center" vertical="center"/>
    </xf>
    <xf numFmtId="0" fontId="32" fillId="0" borderId="34" xfId="0" applyFont="1" applyBorder="1" applyAlignment="1">
      <alignment horizontal="center" vertical="center"/>
    </xf>
    <xf numFmtId="0" fontId="32" fillId="0" borderId="34" xfId="0" applyFont="1" applyBorder="1" applyAlignment="1">
      <alignment horizontal="center" vertical="center" wrapText="1"/>
    </xf>
    <xf numFmtId="164" fontId="32" fillId="0" borderId="47" xfId="5" applyFont="1" applyBorder="1" applyAlignment="1">
      <alignment vertical="center"/>
    </xf>
    <xf numFmtId="0" fontId="38" fillId="10" borderId="75" xfId="0" applyNumberFormat="1" applyFont="1" applyFill="1" applyBorder="1" applyAlignment="1" applyProtection="1">
      <alignment horizontal="right" vertical="center" wrapText="1"/>
    </xf>
    <xf numFmtId="10" fontId="37" fillId="10" borderId="46" xfId="0" applyNumberFormat="1" applyFont="1" applyFill="1" applyBorder="1" applyAlignment="1" applyProtection="1">
      <alignment horizontal="center" vertical="center"/>
      <protection locked="0"/>
    </xf>
    <xf numFmtId="49" fontId="37" fillId="0" borderId="0" xfId="0" applyNumberFormat="1" applyFont="1" applyAlignment="1" applyProtection="1">
      <alignment vertical="center"/>
    </xf>
    <xf numFmtId="0" fontId="37" fillId="0" borderId="0" xfId="0" applyNumberFormat="1" applyFont="1" applyAlignment="1" applyProtection="1">
      <alignment vertical="center"/>
    </xf>
    <xf numFmtId="0" fontId="38" fillId="10" borderId="76" xfId="0" applyNumberFormat="1" applyFont="1" applyFill="1" applyBorder="1" applyAlignment="1" applyProtection="1">
      <alignment horizontal="right" vertical="center" wrapText="1"/>
    </xf>
    <xf numFmtId="10" fontId="37" fillId="10" borderId="77" xfId="8" applyNumberFormat="1" applyFont="1" applyFill="1" applyBorder="1" applyAlignment="1" applyProtection="1">
      <alignment horizontal="center" vertical="center"/>
    </xf>
    <xf numFmtId="49" fontId="37" fillId="10" borderId="77" xfId="0" applyNumberFormat="1" applyFont="1" applyFill="1" applyBorder="1" applyAlignment="1" applyProtection="1">
      <alignment horizontal="left" vertical="center"/>
      <protection locked="0"/>
    </xf>
    <xf numFmtId="0" fontId="37" fillId="10" borderId="73" xfId="0" applyNumberFormat="1" applyFont="1" applyFill="1" applyBorder="1" applyAlignment="1" applyProtection="1">
      <alignment horizontal="center" vertical="center" wrapText="1"/>
    </xf>
    <xf numFmtId="0" fontId="38" fillId="10" borderId="2" xfId="4" applyNumberFormat="1" applyFont="1" applyFill="1" applyBorder="1" applyAlignment="1" applyProtection="1">
      <alignment horizontal="right" vertical="center" wrapText="1"/>
    </xf>
    <xf numFmtId="174" fontId="37" fillId="10" borderId="1" xfId="4" applyNumberFormat="1" applyFont="1" applyFill="1" applyBorder="1" applyAlignment="1" applyProtection="1">
      <alignment horizontal="center" vertical="center"/>
    </xf>
    <xf numFmtId="0" fontId="37" fillId="11" borderId="49" xfId="0" applyNumberFormat="1" applyFont="1" applyFill="1" applyBorder="1" applyAlignment="1" applyProtection="1">
      <alignment horizontal="center" vertical="center" wrapText="1"/>
    </xf>
    <xf numFmtId="49" fontId="37" fillId="11" borderId="49" xfId="0" applyNumberFormat="1" applyFont="1" applyFill="1" applyBorder="1" applyAlignment="1" applyProtection="1">
      <alignment horizontal="center" vertical="center" wrapText="1"/>
    </xf>
    <xf numFmtId="0" fontId="38" fillId="0" borderId="0" xfId="0" applyNumberFormat="1" applyFont="1" applyProtection="1"/>
    <xf numFmtId="0" fontId="37" fillId="0" borderId="0" xfId="0" applyNumberFormat="1" applyFont="1" applyProtection="1"/>
    <xf numFmtId="0" fontId="37" fillId="0" borderId="0" xfId="0" applyFont="1" applyAlignment="1" applyProtection="1">
      <alignment horizontal="center" vertical="center" wrapText="1"/>
    </xf>
    <xf numFmtId="175" fontId="37" fillId="9" borderId="85" xfId="4" applyNumberFormat="1" applyFont="1" applyFill="1" applyBorder="1" applyAlignment="1" applyProtection="1">
      <alignment horizontal="center" vertical="center"/>
      <protection locked="0"/>
    </xf>
    <xf numFmtId="0" fontId="37" fillId="9" borderId="49" xfId="0" applyNumberFormat="1" applyFont="1" applyFill="1" applyBorder="1" applyAlignment="1" applyProtection="1">
      <alignment horizontal="center" vertical="center" wrapText="1"/>
      <protection locked="0"/>
    </xf>
    <xf numFmtId="49" fontId="37" fillId="9" borderId="49" xfId="0" applyNumberFormat="1" applyFont="1" applyFill="1" applyBorder="1" applyAlignment="1" applyProtection="1">
      <alignment horizontal="center" vertical="center" wrapText="1"/>
      <protection locked="0"/>
    </xf>
    <xf numFmtId="43" fontId="37" fillId="9" borderId="49" xfId="4" applyFont="1" applyFill="1" applyBorder="1" applyAlignment="1" applyProtection="1">
      <alignment horizontal="center" vertical="center" wrapText="1"/>
      <protection locked="0"/>
    </xf>
    <xf numFmtId="0" fontId="37" fillId="9" borderId="49" xfId="0" applyNumberFormat="1" applyFont="1" applyFill="1" applyBorder="1" applyAlignment="1" applyProtection="1">
      <alignment horizontal="center" wrapText="1"/>
      <protection locked="0"/>
    </xf>
    <xf numFmtId="2" fontId="37" fillId="9" borderId="49" xfId="4" applyNumberFormat="1" applyFont="1" applyFill="1" applyBorder="1" applyAlignment="1" applyProtection="1">
      <alignment horizontal="left" vertical="center"/>
      <protection locked="0"/>
    </xf>
    <xf numFmtId="43" fontId="37" fillId="9" borderId="49" xfId="4" applyFont="1" applyFill="1" applyBorder="1" applyAlignment="1" applyProtection="1">
      <alignment horizontal="center" wrapText="1"/>
      <protection locked="0"/>
    </xf>
    <xf numFmtId="43" fontId="37" fillId="9" borderId="86" xfId="4" applyFont="1" applyFill="1" applyBorder="1" applyProtection="1"/>
    <xf numFmtId="175" fontId="38" fillId="8" borderId="85" xfId="4" applyNumberFormat="1" applyFont="1" applyFill="1" applyBorder="1" applyAlignment="1" applyProtection="1">
      <alignment horizontal="center" vertical="center"/>
      <protection locked="0"/>
    </xf>
    <xf numFmtId="2" fontId="38" fillId="8" borderId="49" xfId="0" applyNumberFormat="1" applyFont="1" applyFill="1" applyBorder="1" applyAlignment="1" applyProtection="1">
      <alignment horizontal="center" vertical="center" wrapText="1"/>
      <protection locked="0"/>
    </xf>
    <xf numFmtId="43" fontId="38" fillId="8" borderId="49" xfId="4" applyFont="1" applyFill="1" applyBorder="1" applyAlignment="1" applyProtection="1">
      <alignment horizontal="left" vertical="center" wrapText="1"/>
      <protection locked="0"/>
    </xf>
    <xf numFmtId="43" fontId="38" fillId="8" borderId="49" xfId="4" applyFont="1" applyFill="1" applyBorder="1" applyAlignment="1" applyProtection="1">
      <alignment horizontal="center" vertical="center" wrapText="1"/>
      <protection locked="0"/>
    </xf>
    <xf numFmtId="2" fontId="38" fillId="8" borderId="49" xfId="4" applyNumberFormat="1" applyFont="1" applyFill="1" applyBorder="1" applyAlignment="1" applyProtection="1">
      <alignment horizontal="center" vertical="center" wrapText="1"/>
      <protection locked="0"/>
    </xf>
    <xf numFmtId="0" fontId="38" fillId="8" borderId="49" xfId="4" applyNumberFormat="1" applyFont="1" applyFill="1" applyBorder="1" applyAlignment="1" applyProtection="1">
      <alignment horizontal="center" vertical="center" wrapText="1"/>
      <protection locked="0"/>
    </xf>
    <xf numFmtId="43" fontId="38" fillId="8" borderId="86" xfId="4" applyFont="1" applyFill="1" applyBorder="1" applyAlignment="1" applyProtection="1">
      <alignment horizontal="center" vertical="center" wrapText="1"/>
      <protection locked="0"/>
    </xf>
    <xf numFmtId="0" fontId="38" fillId="8" borderId="0" xfId="0" applyNumberFormat="1" applyFont="1" applyFill="1" applyAlignment="1" applyProtection="1">
      <alignment horizontal="center" vertical="center"/>
    </xf>
    <xf numFmtId="175" fontId="38" fillId="8" borderId="88" xfId="4" applyNumberFormat="1" applyFont="1" applyFill="1" applyBorder="1" applyAlignment="1" applyProtection="1">
      <alignment horizontal="center" vertical="center"/>
      <protection locked="0"/>
    </xf>
    <xf numFmtId="175" fontId="38" fillId="8" borderId="49" xfId="4" applyNumberFormat="1" applyFont="1" applyFill="1" applyBorder="1" applyAlignment="1" applyProtection="1">
      <alignment horizontal="center" vertical="center"/>
      <protection locked="0"/>
    </xf>
    <xf numFmtId="175" fontId="38" fillId="8" borderId="61" xfId="4" applyNumberFormat="1" applyFont="1" applyFill="1" applyBorder="1" applyAlignment="1" applyProtection="1">
      <alignment horizontal="center" vertical="center" wrapText="1"/>
      <protection locked="0"/>
    </xf>
    <xf numFmtId="0" fontId="38" fillId="8" borderId="0" xfId="0" applyNumberFormat="1" applyFont="1" applyFill="1" applyProtection="1"/>
    <xf numFmtId="175" fontId="38" fillId="0" borderId="85" xfId="4" applyNumberFormat="1" applyFont="1" applyFill="1" applyBorder="1" applyAlignment="1" applyProtection="1">
      <alignment horizontal="center" vertical="center"/>
      <protection locked="0"/>
    </xf>
    <xf numFmtId="2" fontId="38" fillId="0" borderId="49" xfId="0" applyNumberFormat="1" applyFont="1" applyFill="1" applyBorder="1" applyAlignment="1" applyProtection="1">
      <alignment horizontal="center" vertical="center" wrapText="1"/>
      <protection locked="0"/>
    </xf>
    <xf numFmtId="43" fontId="38" fillId="0" borderId="49" xfId="4" applyFont="1" applyFill="1" applyBorder="1" applyAlignment="1" applyProtection="1">
      <alignment horizontal="left" vertical="center" wrapText="1"/>
      <protection locked="0"/>
    </xf>
    <xf numFmtId="43" fontId="38" fillId="0" borderId="49" xfId="4" applyFont="1" applyFill="1" applyBorder="1" applyAlignment="1" applyProtection="1">
      <alignment horizontal="center" vertical="center" wrapText="1"/>
      <protection locked="0"/>
    </xf>
    <xf numFmtId="2" fontId="38" fillId="0" borderId="49" xfId="4" applyNumberFormat="1" applyFont="1" applyFill="1" applyBorder="1" applyAlignment="1" applyProtection="1">
      <alignment horizontal="center" vertical="center" wrapText="1"/>
      <protection locked="0"/>
    </xf>
    <xf numFmtId="0" fontId="38" fillId="0" borderId="49" xfId="4" applyNumberFormat="1" applyFont="1" applyFill="1" applyBorder="1" applyAlignment="1" applyProtection="1">
      <alignment horizontal="center" vertical="center" wrapText="1"/>
      <protection locked="0"/>
    </xf>
    <xf numFmtId="43" fontId="38" fillId="0" borderId="86" xfId="4" applyFont="1" applyFill="1" applyBorder="1" applyAlignment="1" applyProtection="1">
      <alignment horizontal="center" vertical="center" wrapText="1"/>
      <protection locked="0"/>
    </xf>
    <xf numFmtId="0" fontId="38" fillId="0" borderId="0" xfId="0" applyNumberFormat="1" applyFont="1" applyFill="1" applyProtection="1"/>
    <xf numFmtId="175" fontId="37" fillId="4" borderId="85" xfId="4" applyNumberFormat="1" applyFont="1" applyFill="1" applyBorder="1" applyAlignment="1" applyProtection="1">
      <alignment horizontal="center" vertical="center"/>
      <protection locked="0"/>
    </xf>
    <xf numFmtId="2" fontId="37" fillId="4" borderId="49" xfId="0" applyNumberFormat="1" applyFont="1" applyFill="1" applyBorder="1" applyAlignment="1" applyProtection="1">
      <alignment horizontal="center" vertical="center" wrapText="1"/>
      <protection locked="0"/>
    </xf>
    <xf numFmtId="43" fontId="37" fillId="4" borderId="49" xfId="4" applyFont="1" applyFill="1" applyBorder="1" applyAlignment="1" applyProtection="1">
      <alignment horizontal="center" vertical="center" wrapText="1"/>
      <protection locked="0"/>
    </xf>
    <xf numFmtId="2" fontId="37" fillId="4" borderId="49" xfId="4" applyNumberFormat="1" applyFont="1" applyFill="1" applyBorder="1" applyAlignment="1" applyProtection="1">
      <alignment horizontal="center" vertical="center" wrapText="1"/>
      <protection locked="0"/>
    </xf>
    <xf numFmtId="0" fontId="37" fillId="4" borderId="49" xfId="4" applyNumberFormat="1" applyFont="1" applyFill="1" applyBorder="1" applyAlignment="1" applyProtection="1">
      <alignment horizontal="center" vertical="center" wrapText="1"/>
      <protection locked="0"/>
    </xf>
    <xf numFmtId="43" fontId="37" fillId="4" borderId="86" xfId="4" applyFont="1" applyFill="1" applyBorder="1" applyAlignment="1" applyProtection="1">
      <alignment horizontal="center" vertical="center" wrapText="1"/>
      <protection locked="0"/>
    </xf>
    <xf numFmtId="0" fontId="37" fillId="0" borderId="0" xfId="0" applyNumberFormat="1" applyFont="1" applyFill="1" applyProtection="1"/>
    <xf numFmtId="1" fontId="38" fillId="0" borderId="49" xfId="0" applyNumberFormat="1" applyFont="1" applyFill="1" applyBorder="1" applyAlignment="1" applyProtection="1">
      <alignment horizontal="center" vertical="center" wrapText="1"/>
      <protection locked="0"/>
    </xf>
    <xf numFmtId="0" fontId="38" fillId="0" borderId="49" xfId="0" applyNumberFormat="1" applyFont="1" applyFill="1" applyBorder="1" applyAlignment="1" applyProtection="1">
      <alignment horizontal="center" vertical="center" wrapText="1"/>
      <protection locked="0"/>
    </xf>
    <xf numFmtId="0" fontId="38" fillId="0" borderId="0" xfId="0" applyNumberFormat="1" applyFont="1" applyAlignment="1" applyProtection="1">
      <alignment horizontal="center" vertical="center"/>
    </xf>
    <xf numFmtId="0" fontId="37" fillId="4" borderId="49" xfId="0" applyNumberFormat="1" applyFont="1" applyFill="1" applyBorder="1" applyAlignment="1" applyProtection="1">
      <alignment horizontal="center" vertical="center" wrapText="1"/>
      <protection locked="0"/>
    </xf>
    <xf numFmtId="49" fontId="37" fillId="4" borderId="49" xfId="0" applyNumberFormat="1" applyFont="1" applyFill="1" applyBorder="1" applyAlignment="1" applyProtection="1">
      <alignment horizontal="center" vertical="center" wrapText="1"/>
      <protection locked="0"/>
    </xf>
    <xf numFmtId="0" fontId="37" fillId="4" borderId="49" xfId="0" applyNumberFormat="1" applyFont="1" applyFill="1" applyBorder="1" applyAlignment="1" applyProtection="1">
      <alignment horizontal="center" wrapText="1"/>
      <protection locked="0"/>
    </xf>
    <xf numFmtId="2" fontId="37" fillId="4" borderId="49" xfId="4" applyNumberFormat="1" applyFont="1" applyFill="1" applyBorder="1" applyAlignment="1" applyProtection="1">
      <alignment horizontal="left" vertical="center"/>
      <protection locked="0"/>
    </xf>
    <xf numFmtId="43" fontId="37" fillId="4" borderId="49" xfId="4" applyFont="1" applyFill="1" applyBorder="1" applyAlignment="1" applyProtection="1">
      <alignment horizontal="center" wrapText="1"/>
      <protection locked="0"/>
    </xf>
    <xf numFmtId="43" fontId="37" fillId="4" borderId="86" xfId="4" applyFont="1" applyFill="1" applyBorder="1" applyProtection="1"/>
    <xf numFmtId="0" fontId="37" fillId="4" borderId="0" xfId="0" applyNumberFormat="1" applyFont="1" applyFill="1" applyProtection="1"/>
    <xf numFmtId="2" fontId="38" fillId="0" borderId="49" xfId="4" applyNumberFormat="1" applyFont="1" applyFill="1" applyBorder="1" applyAlignment="1" applyProtection="1">
      <alignment horizontal="left" vertical="center" wrapText="1"/>
      <protection locked="0"/>
    </xf>
    <xf numFmtId="2" fontId="38" fillId="0" borderId="0" xfId="0" applyNumberFormat="1" applyFont="1" applyFill="1" applyProtection="1"/>
    <xf numFmtId="0" fontId="38" fillId="0" borderId="0" xfId="0" applyNumberFormat="1" applyFont="1" applyAlignment="1" applyProtection="1">
      <alignment horizontal="center"/>
    </xf>
    <xf numFmtId="49" fontId="38" fillId="0" borderId="0" xfId="4" applyNumberFormat="1" applyFont="1" applyAlignment="1" applyProtection="1">
      <alignment horizontal="center"/>
    </xf>
    <xf numFmtId="43" fontId="38" fillId="0" borderId="0" xfId="4" applyFont="1" applyAlignment="1" applyProtection="1">
      <alignment horizontal="center"/>
    </xf>
    <xf numFmtId="2" fontId="38" fillId="0" borderId="0" xfId="0" applyNumberFormat="1" applyFont="1" applyAlignment="1" applyProtection="1">
      <alignment horizontal="left" vertical="center"/>
    </xf>
    <xf numFmtId="0" fontId="38" fillId="0" borderId="0" xfId="0" applyNumberFormat="1" applyFont="1" applyAlignment="1" applyProtection="1">
      <alignment horizontal="center" wrapText="1"/>
    </xf>
    <xf numFmtId="43" fontId="30" fillId="0" borderId="0" xfId="1" applyFont="1" applyBorder="1" applyAlignment="1">
      <alignment horizontal="center" vertical="center"/>
    </xf>
    <xf numFmtId="43" fontId="30" fillId="0" borderId="0" xfId="1" applyFont="1" applyBorder="1" applyAlignment="1">
      <alignment vertical="center"/>
    </xf>
    <xf numFmtId="0" fontId="38" fillId="0" borderId="36" xfId="0" applyNumberFormat="1" applyFont="1" applyBorder="1" applyProtection="1"/>
    <xf numFmtId="0" fontId="38" fillId="0" borderId="0" xfId="0" applyNumberFormat="1" applyFont="1" applyBorder="1" applyAlignment="1" applyProtection="1">
      <alignment horizontal="center"/>
    </xf>
    <xf numFmtId="49" fontId="38" fillId="0" borderId="0" xfId="4" applyNumberFormat="1" applyFont="1" applyBorder="1" applyAlignment="1" applyProtection="1">
      <alignment horizontal="center"/>
    </xf>
    <xf numFmtId="0" fontId="38" fillId="0" borderId="0" xfId="0" applyNumberFormat="1" applyFont="1" applyBorder="1" applyProtection="1"/>
    <xf numFmtId="43" fontId="38" fillId="0" borderId="0" xfId="4" applyFont="1" applyBorder="1" applyAlignment="1" applyProtection="1">
      <alignment horizontal="center"/>
    </xf>
    <xf numFmtId="2" fontId="38" fillId="0" borderId="0" xfId="0" applyNumberFormat="1" applyFont="1" applyBorder="1" applyAlignment="1" applyProtection="1">
      <alignment horizontal="left" vertical="center"/>
    </xf>
    <xf numFmtId="0" fontId="38" fillId="0" borderId="0" xfId="0" applyNumberFormat="1" applyFont="1" applyBorder="1" applyAlignment="1" applyProtection="1">
      <alignment horizontal="center" wrapText="1"/>
    </xf>
    <xf numFmtId="0" fontId="38" fillId="0" borderId="1" xfId="0" applyNumberFormat="1" applyFont="1" applyBorder="1" applyProtection="1"/>
    <xf numFmtId="43" fontId="30" fillId="0" borderId="1" xfId="1" applyFont="1" applyBorder="1" applyAlignment="1">
      <alignment vertical="center"/>
    </xf>
    <xf numFmtId="43" fontId="32" fillId="0" borderId="1" xfId="1" applyFont="1" applyBorder="1" applyAlignment="1">
      <alignment vertical="center"/>
    </xf>
    <xf numFmtId="0" fontId="38" fillId="0" borderId="37" xfId="0" applyNumberFormat="1" applyFont="1" applyBorder="1" applyProtection="1"/>
    <xf numFmtId="0" fontId="38" fillId="0" borderId="34" xfId="0" applyNumberFormat="1" applyFont="1" applyBorder="1" applyAlignment="1" applyProtection="1">
      <alignment horizontal="center"/>
    </xf>
    <xf numFmtId="49" fontId="38" fillId="0" borderId="34" xfId="4" applyNumberFormat="1" applyFont="1" applyBorder="1" applyAlignment="1" applyProtection="1">
      <alignment horizontal="center"/>
    </xf>
    <xf numFmtId="43" fontId="38" fillId="0" borderId="34" xfId="4" applyFont="1" applyBorder="1" applyAlignment="1" applyProtection="1">
      <alignment horizontal="center"/>
    </xf>
    <xf numFmtId="2" fontId="38" fillId="0" borderId="34" xfId="0" applyNumberFormat="1" applyFont="1" applyBorder="1" applyAlignment="1" applyProtection="1">
      <alignment horizontal="left" vertical="center"/>
    </xf>
    <xf numFmtId="43" fontId="32" fillId="0" borderId="34" xfId="1" applyFont="1" applyBorder="1" applyAlignment="1">
      <alignment horizontal="center" vertical="center"/>
    </xf>
    <xf numFmtId="43" fontId="32" fillId="0" borderId="47" xfId="1" applyFont="1" applyBorder="1" applyAlignment="1">
      <alignment vertical="center"/>
    </xf>
    <xf numFmtId="0" fontId="24" fillId="0" borderId="0" xfId="0" applyFont="1" applyBorder="1" applyAlignment="1">
      <alignment horizontal="center" vertical="center"/>
    </xf>
    <xf numFmtId="0" fontId="28" fillId="0" borderId="0" xfId="0" applyFont="1"/>
    <xf numFmtId="0" fontId="28" fillId="0" borderId="0" xfId="0" applyFont="1" applyBorder="1" applyAlignment="1">
      <alignment horizontal="center" vertical="center"/>
    </xf>
    <xf numFmtId="179" fontId="28" fillId="0" borderId="0" xfId="0" applyNumberFormat="1" applyFont="1" applyBorder="1" applyAlignment="1">
      <alignment horizontal="center" vertical="center"/>
    </xf>
    <xf numFmtId="0" fontId="29" fillId="0" borderId="0" xfId="0" applyFont="1" applyAlignment="1">
      <alignment horizontal="center" vertical="center"/>
    </xf>
    <xf numFmtId="0" fontId="28" fillId="0" borderId="0" xfId="0" applyFont="1" applyAlignment="1">
      <alignment horizontal="center" vertical="center" wrapText="1"/>
    </xf>
    <xf numFmtId="179" fontId="28" fillId="0" borderId="0" xfId="0" applyNumberFormat="1" applyFont="1" applyAlignment="1">
      <alignment horizontal="center" vertical="center"/>
    </xf>
    <xf numFmtId="0" fontId="28" fillId="14" borderId="88" xfId="0" applyFont="1" applyFill="1" applyBorder="1" applyAlignment="1">
      <alignment horizontal="center" vertical="top"/>
    </xf>
    <xf numFmtId="0" fontId="28" fillId="14" borderId="60" xfId="0" applyFont="1" applyFill="1" applyBorder="1" applyAlignment="1">
      <alignment horizontal="center" vertical="top"/>
    </xf>
    <xf numFmtId="0" fontId="28" fillId="14" borderId="61" xfId="0" applyFont="1" applyFill="1" applyBorder="1" applyAlignment="1">
      <alignment horizontal="center" vertical="top"/>
    </xf>
    <xf numFmtId="0" fontId="28" fillId="14" borderId="49" xfId="0" applyFont="1" applyFill="1" applyBorder="1" applyAlignment="1">
      <alignment horizontal="center" vertical="center" wrapText="1"/>
    </xf>
    <xf numFmtId="14" fontId="28" fillId="14" borderId="86" xfId="0" applyNumberFormat="1" applyFont="1" applyFill="1" applyBorder="1" applyAlignment="1">
      <alignment horizontal="center" vertical="center" wrapText="1"/>
    </xf>
    <xf numFmtId="0" fontId="28" fillId="14" borderId="86" xfId="0" applyFont="1" applyFill="1" applyBorder="1" applyAlignment="1">
      <alignment horizontal="center" vertical="center" wrapText="1"/>
    </xf>
    <xf numFmtId="0" fontId="28" fillId="0" borderId="85" xfId="0" quotePrefix="1" applyFont="1" applyBorder="1" applyAlignment="1">
      <alignment horizontal="center" vertical="center" wrapText="1"/>
    </xf>
    <xf numFmtId="0" fontId="28" fillId="0" borderId="59" xfId="0" quotePrefix="1" applyFont="1" applyBorder="1" applyAlignment="1">
      <alignment horizontal="center" vertical="center" wrapText="1"/>
    </xf>
    <xf numFmtId="17" fontId="28" fillId="0" borderId="49" xfId="0" applyNumberFormat="1" applyFont="1" applyBorder="1" applyAlignment="1">
      <alignment horizontal="center" vertical="center"/>
    </xf>
    <xf numFmtId="2" fontId="28" fillId="0" borderId="86" xfId="0" applyNumberFormat="1" applyFont="1" applyBorder="1" applyAlignment="1">
      <alignment horizontal="center" vertical="center" wrapText="1"/>
    </xf>
    <xf numFmtId="0" fontId="28" fillId="0" borderId="36" xfId="0" quotePrefix="1" applyFont="1" applyBorder="1" applyAlignment="1">
      <alignment horizontal="center" vertical="center" wrapText="1"/>
    </xf>
    <xf numFmtId="17" fontId="28" fillId="0" borderId="0" xfId="0" applyNumberFormat="1" applyFont="1" applyAlignment="1">
      <alignment horizontal="center" vertical="center"/>
    </xf>
    <xf numFmtId="164" fontId="28" fillId="0" borderId="86" xfId="5" applyFont="1" applyFill="1" applyBorder="1" applyAlignment="1">
      <alignment horizontal="center" vertical="center" wrapText="1"/>
    </xf>
    <xf numFmtId="0" fontId="28" fillId="0" borderId="1" xfId="0" applyFont="1" applyBorder="1" applyAlignment="1">
      <alignment horizontal="center" vertical="center" wrapText="1"/>
    </xf>
    <xf numFmtId="0" fontId="28" fillId="14" borderId="85" xfId="0" applyFont="1" applyFill="1" applyBorder="1" applyAlignment="1">
      <alignment horizontal="center" vertical="top"/>
    </xf>
    <xf numFmtId="0" fontId="28" fillId="14" borderId="49" xfId="0" applyFont="1" applyFill="1" applyBorder="1" applyAlignment="1">
      <alignment horizontal="center" vertical="top"/>
    </xf>
    <xf numFmtId="0" fontId="28" fillId="14" borderId="49" xfId="0" applyFont="1" applyFill="1" applyBorder="1" applyAlignment="1">
      <alignment horizontal="center"/>
    </xf>
    <xf numFmtId="0" fontId="28" fillId="14" borderId="86" xfId="0" applyFont="1" applyFill="1" applyBorder="1" applyAlignment="1">
      <alignment horizontal="center" vertical="top"/>
    </xf>
    <xf numFmtId="0" fontId="29" fillId="0" borderId="85" xfId="0" applyFont="1" applyBorder="1" applyAlignment="1">
      <alignment horizontal="center" vertical="center" wrapText="1"/>
    </xf>
    <xf numFmtId="0" fontId="28" fillId="0" borderId="49" xfId="0" applyFont="1" applyBorder="1" applyAlignment="1">
      <alignment horizontal="center" vertical="center"/>
    </xf>
    <xf numFmtId="179" fontId="28" fillId="0" borderId="49" xfId="0" applyNumberFormat="1" applyFont="1" applyBorder="1" applyAlignment="1">
      <alignment horizontal="center" vertical="center"/>
    </xf>
    <xf numFmtId="0" fontId="28" fillId="0" borderId="86" xfId="0" applyFont="1" applyBorder="1" applyAlignment="1">
      <alignment horizontal="center" vertical="center"/>
    </xf>
    <xf numFmtId="179" fontId="28" fillId="0" borderId="61" xfId="0" applyNumberFormat="1" applyFont="1" applyBorder="1" applyAlignment="1">
      <alignment horizontal="center" vertical="center"/>
    </xf>
    <xf numFmtId="0" fontId="29" fillId="0" borderId="102" xfId="0" applyFont="1" applyBorder="1" applyAlignment="1">
      <alignment horizontal="center" vertical="center" wrapText="1"/>
    </xf>
    <xf numFmtId="0" fontId="28" fillId="0" borderId="103" xfId="0" applyFont="1" applyBorder="1" applyAlignment="1">
      <alignment horizontal="center" vertical="center"/>
    </xf>
    <xf numFmtId="0" fontId="28" fillId="0" borderId="101" xfId="0" applyFont="1" applyBorder="1" applyAlignment="1">
      <alignment horizontal="center" vertical="center" wrapText="1"/>
    </xf>
    <xf numFmtId="179" fontId="28" fillId="0" borderId="101" xfId="0" applyNumberFormat="1" applyFont="1" applyBorder="1" applyAlignment="1">
      <alignment horizontal="center" vertical="center"/>
    </xf>
    <xf numFmtId="0" fontId="28" fillId="0" borderId="101" xfId="0" applyFont="1" applyBorder="1" applyAlignment="1">
      <alignment horizontal="center" vertical="center"/>
    </xf>
    <xf numFmtId="0" fontId="28" fillId="0" borderId="97" xfId="0" applyFont="1" applyBorder="1" applyAlignment="1">
      <alignment horizontal="center" vertical="center"/>
    </xf>
    <xf numFmtId="0" fontId="29" fillId="7" borderId="7" xfId="0" applyFont="1" applyFill="1" applyBorder="1" applyAlignment="1">
      <alignment horizontal="center" vertical="center" wrapText="1"/>
    </xf>
    <xf numFmtId="0" fontId="29" fillId="7" borderId="8" xfId="0" applyFont="1" applyFill="1" applyBorder="1" applyAlignment="1">
      <alignment horizontal="justify" vertical="center" wrapText="1"/>
    </xf>
    <xf numFmtId="0" fontId="28" fillId="7" borderId="8" xfId="0" applyFont="1" applyFill="1" applyBorder="1" applyAlignment="1">
      <alignment horizontal="center" vertical="center" wrapText="1"/>
    </xf>
    <xf numFmtId="43" fontId="28" fillId="7" borderId="8" xfId="1" applyFont="1" applyFill="1" applyBorder="1" applyAlignment="1">
      <alignment horizontal="center" vertical="center" wrapText="1"/>
    </xf>
    <xf numFmtId="164" fontId="28" fillId="7" borderId="8" xfId="5" applyFont="1" applyFill="1" applyBorder="1" applyAlignment="1">
      <alignment horizontal="right" vertical="center" wrapText="1"/>
    </xf>
    <xf numFmtId="164" fontId="28" fillId="7" borderId="50" xfId="5" applyFont="1" applyFill="1" applyBorder="1" applyAlignment="1">
      <alignment horizontal="right" vertical="center" wrapText="1"/>
    </xf>
    <xf numFmtId="0" fontId="32" fillId="0" borderId="0" xfId="0" applyFont="1"/>
    <xf numFmtId="0" fontId="30" fillId="0" borderId="0" xfId="0" applyFont="1"/>
    <xf numFmtId="0" fontId="29" fillId="0" borderId="85" xfId="0" applyFont="1" applyBorder="1" applyAlignment="1">
      <alignment horizontal="center" vertical="center"/>
    </xf>
    <xf numFmtId="0" fontId="28" fillId="0" borderId="61" xfId="0" applyFont="1" applyBorder="1" applyAlignment="1">
      <alignment horizontal="center" vertical="center"/>
    </xf>
    <xf numFmtId="179" fontId="29" fillId="0" borderId="100" xfId="0" applyNumberFormat="1" applyFont="1" applyBorder="1" applyAlignment="1">
      <alignment horizontal="center" vertical="center"/>
    </xf>
    <xf numFmtId="0" fontId="28" fillId="0" borderId="103" xfId="0" applyFont="1" applyBorder="1" applyAlignment="1">
      <alignment horizontal="center" vertical="center" wrapText="1"/>
    </xf>
    <xf numFmtId="0" fontId="29" fillId="0" borderId="78" xfId="0" applyFont="1" applyBorder="1" applyAlignment="1">
      <alignment horizontal="center" vertical="center"/>
    </xf>
    <xf numFmtId="0" fontId="28" fillId="0" borderId="79" xfId="0" applyFont="1" applyBorder="1" applyAlignment="1">
      <alignment horizontal="center" vertical="center"/>
    </xf>
    <xf numFmtId="0" fontId="28" fillId="0" borderId="66" xfId="0" applyFont="1" applyBorder="1" applyAlignment="1">
      <alignment horizontal="center" vertical="center"/>
    </xf>
    <xf numFmtId="0" fontId="28" fillId="0" borderId="66" xfId="0" applyFont="1" applyBorder="1" applyAlignment="1">
      <alignment horizontal="center" vertical="center" wrapText="1"/>
    </xf>
    <xf numFmtId="0" fontId="29" fillId="0" borderId="78" xfId="0" applyFont="1" applyBorder="1" applyAlignment="1">
      <alignment horizontal="center" vertical="center" wrapText="1"/>
    </xf>
    <xf numFmtId="0" fontId="29" fillId="0" borderId="100" xfId="0" applyFont="1" applyBorder="1" applyAlignment="1">
      <alignment horizontal="center" vertical="center" wrapText="1"/>
    </xf>
    <xf numFmtId="0" fontId="10" fillId="0" borderId="36" xfId="7" applyBorder="1"/>
    <xf numFmtId="0" fontId="10" fillId="0" borderId="0" xfId="7" applyBorder="1"/>
    <xf numFmtId="0" fontId="10" fillId="0" borderId="1" xfId="7" applyBorder="1"/>
    <xf numFmtId="0" fontId="10" fillId="0" borderId="0" xfId="7" applyBorder="1" applyAlignment="1">
      <alignment horizontal="center"/>
    </xf>
    <xf numFmtId="0" fontId="10" fillId="0" borderId="37" xfId="7" applyBorder="1"/>
    <xf numFmtId="0" fontId="10" fillId="0" borderId="34" xfId="7" applyBorder="1" applyAlignment="1">
      <alignment horizontal="center"/>
    </xf>
    <xf numFmtId="0" fontId="10" fillId="0" borderId="34" xfId="7" applyBorder="1"/>
    <xf numFmtId="0" fontId="10" fillId="0" borderId="47" xfId="7" applyBorder="1"/>
    <xf numFmtId="180" fontId="25" fillId="8" borderId="0" xfId="0" applyNumberFormat="1" applyFont="1" applyFill="1" applyAlignment="1">
      <alignment horizontal="right" vertical="center"/>
    </xf>
    <xf numFmtId="0" fontId="28" fillId="0" borderId="104" xfId="0" applyFont="1" applyBorder="1" applyAlignment="1">
      <alignment horizontal="center" vertical="center"/>
    </xf>
    <xf numFmtId="0" fontId="29" fillId="16" borderId="85" xfId="0" applyFont="1" applyFill="1" applyBorder="1" applyAlignment="1">
      <alignment horizontal="center" vertical="center"/>
    </xf>
    <xf numFmtId="0" fontId="29" fillId="16" borderId="49" xfId="0" applyFont="1" applyFill="1" applyBorder="1" applyAlignment="1">
      <alignment horizontal="center" vertical="center"/>
    </xf>
    <xf numFmtId="182" fontId="29" fillId="16" borderId="49" xfId="0" applyNumberFormat="1" applyFont="1" applyFill="1" applyBorder="1" applyAlignment="1">
      <alignment horizontal="center" vertical="center"/>
    </xf>
    <xf numFmtId="4" fontId="29" fillId="16" borderId="49" xfId="0" applyNumberFormat="1" applyFont="1" applyFill="1" applyBorder="1" applyAlignment="1">
      <alignment horizontal="center" vertical="center" wrapText="1"/>
    </xf>
    <xf numFmtId="182" fontId="29" fillId="16" borderId="49" xfId="0" applyNumberFormat="1" applyFont="1" applyFill="1" applyBorder="1" applyAlignment="1">
      <alignment vertical="center"/>
    </xf>
    <xf numFmtId="172" fontId="29" fillId="16" borderId="49" xfId="8" applyNumberFormat="1" applyFont="1" applyFill="1" applyBorder="1" applyAlignment="1" applyProtection="1">
      <alignment horizontal="center" vertical="top" wrapText="1"/>
      <protection locked="0"/>
    </xf>
    <xf numFmtId="10" fontId="29" fillId="16" borderId="49" xfId="0" applyNumberFormat="1" applyFont="1" applyFill="1" applyBorder="1" applyAlignment="1">
      <alignment horizontal="center" vertical="center"/>
    </xf>
    <xf numFmtId="10" fontId="29" fillId="7" borderId="49" xfId="8" applyNumberFormat="1" applyFont="1" applyFill="1" applyBorder="1" applyAlignment="1" applyProtection="1">
      <alignment horizontal="center" vertical="top" wrapText="1"/>
      <protection locked="0"/>
    </xf>
    <xf numFmtId="10" fontId="29" fillId="13" borderId="49" xfId="8" applyNumberFormat="1" applyFont="1" applyFill="1" applyBorder="1" applyAlignment="1" applyProtection="1">
      <alignment horizontal="center" vertical="top" wrapText="1"/>
      <protection locked="0"/>
    </xf>
    <xf numFmtId="0" fontId="29" fillId="16" borderId="100" xfId="0" applyFont="1" applyFill="1" applyBorder="1" applyAlignment="1">
      <alignment horizontal="center" vertical="center"/>
    </xf>
    <xf numFmtId="0" fontId="29" fillId="16" borderId="101" xfId="0" applyFont="1" applyFill="1" applyBorder="1" applyAlignment="1">
      <alignment horizontal="right" vertical="center"/>
    </xf>
    <xf numFmtId="182" fontId="29" fillId="16" borderId="101" xfId="0" applyNumberFormat="1" applyFont="1" applyFill="1" applyBorder="1" applyAlignment="1">
      <alignment vertical="center"/>
    </xf>
    <xf numFmtId="172" fontId="29" fillId="16" borderId="101" xfId="8" applyNumberFormat="1" applyFont="1" applyFill="1" applyBorder="1" applyAlignment="1" applyProtection="1">
      <alignment horizontal="center" vertical="top" wrapText="1"/>
      <protection locked="0"/>
    </xf>
    <xf numFmtId="10" fontId="29" fillId="16" borderId="101" xfId="0" applyNumberFormat="1" applyFont="1" applyFill="1" applyBorder="1" applyAlignment="1">
      <alignment horizontal="center" vertical="center"/>
    </xf>
    <xf numFmtId="4" fontId="32" fillId="0" borderId="0" xfId="0" applyNumberFormat="1" applyFont="1"/>
    <xf numFmtId="2" fontId="29" fillId="16" borderId="49" xfId="0" applyNumberFormat="1" applyFont="1" applyFill="1" applyBorder="1" applyAlignment="1">
      <alignment horizontal="center" wrapText="1"/>
    </xf>
    <xf numFmtId="0" fontId="32" fillId="16" borderId="0" xfId="0" applyFont="1" applyFill="1"/>
    <xf numFmtId="183" fontId="29" fillId="7" borderId="88" xfId="0" applyNumberFormat="1" applyFont="1" applyFill="1" applyBorder="1" applyAlignment="1">
      <alignment horizontal="center" vertical="top"/>
    </xf>
    <xf numFmtId="43" fontId="29" fillId="7" borderId="49" xfId="0" applyNumberFormat="1" applyFont="1" applyFill="1" applyBorder="1" applyAlignment="1" applyProtection="1">
      <alignment vertical="top" wrapText="1"/>
      <protection locked="0"/>
    </xf>
    <xf numFmtId="164" fontId="29" fillId="7" borderId="49" xfId="16" applyFont="1" applyFill="1" applyBorder="1"/>
    <xf numFmtId="164" fontId="28" fillId="7" borderId="49" xfId="16" applyFont="1" applyFill="1" applyBorder="1" applyAlignment="1">
      <alignment horizontal="center" vertical="center"/>
    </xf>
    <xf numFmtId="0" fontId="32" fillId="13" borderId="0" xfId="0" applyFont="1" applyFill="1"/>
    <xf numFmtId="183" fontId="29" fillId="13" borderId="49" xfId="0" applyNumberFormat="1" applyFont="1" applyFill="1" applyBorder="1" applyAlignment="1">
      <alignment horizontal="left" vertical="top"/>
    </xf>
    <xf numFmtId="164" fontId="29" fillId="13" borderId="49" xfId="16" applyFont="1" applyFill="1" applyBorder="1"/>
    <xf numFmtId="164" fontId="28" fillId="13" borderId="49" xfId="16" applyFont="1" applyFill="1" applyBorder="1" applyAlignment="1">
      <alignment horizontal="center" vertical="center"/>
    </xf>
    <xf numFmtId="43" fontId="29" fillId="13" borderId="49" xfId="0" applyNumberFormat="1" applyFont="1" applyFill="1" applyBorder="1" applyAlignment="1" applyProtection="1">
      <alignment vertical="top" wrapText="1"/>
      <protection locked="0"/>
    </xf>
    <xf numFmtId="0" fontId="30" fillId="0" borderId="36" xfId="0" applyFont="1" applyBorder="1" applyAlignment="1"/>
    <xf numFmtId="0" fontId="32" fillId="0" borderId="36" xfId="0" applyFont="1" applyBorder="1" applyAlignment="1"/>
    <xf numFmtId="2" fontId="29" fillId="16" borderId="86" xfId="0" applyNumberFormat="1" applyFont="1" applyFill="1" applyBorder="1" applyAlignment="1">
      <alignment horizontal="center" wrapText="1"/>
    </xf>
    <xf numFmtId="0" fontId="30" fillId="0" borderId="0" xfId="0" applyFont="1" applyBorder="1" applyAlignment="1"/>
    <xf numFmtId="0" fontId="30" fillId="0" borderId="1" xfId="0" applyFont="1" applyBorder="1" applyAlignment="1"/>
    <xf numFmtId="0" fontId="32" fillId="0" borderId="0" xfId="0" applyFont="1" applyBorder="1" applyAlignment="1"/>
    <xf numFmtId="0" fontId="32" fillId="0" borderId="1" xfId="0" applyFont="1" applyBorder="1" applyAlignment="1"/>
    <xf numFmtId="0" fontId="32" fillId="0" borderId="37" xfId="0" applyFont="1" applyBorder="1" applyAlignment="1"/>
    <xf numFmtId="0" fontId="32" fillId="0" borderId="34" xfId="0" applyFont="1" applyBorder="1" applyAlignment="1"/>
    <xf numFmtId="0" fontId="32" fillId="0" borderId="47" xfId="0" applyFont="1" applyBorder="1" applyAlignment="1"/>
    <xf numFmtId="0" fontId="26" fillId="8" borderId="60" xfId="0" applyFont="1" applyFill="1" applyBorder="1" applyAlignment="1">
      <alignment horizontal="center" vertical="center" wrapText="1"/>
    </xf>
    <xf numFmtId="0" fontId="25" fillId="0" borderId="34" xfId="0" applyFont="1" applyBorder="1" applyAlignment="1">
      <alignment horizontal="right" vertical="center"/>
    </xf>
    <xf numFmtId="0" fontId="25" fillId="0" borderId="34" xfId="0" applyFont="1" applyBorder="1" applyAlignment="1">
      <alignment horizontal="right" vertical="center"/>
    </xf>
    <xf numFmtId="0" fontId="26" fillId="8" borderId="60" xfId="0" applyFont="1" applyFill="1" applyBorder="1" applyAlignment="1">
      <alignment horizontal="center" vertical="center" wrapText="1"/>
    </xf>
    <xf numFmtId="0" fontId="26" fillId="8" borderId="59" xfId="0" applyFont="1" applyFill="1" applyBorder="1" applyAlignment="1">
      <alignment horizontal="center" vertical="center" wrapText="1"/>
    </xf>
    <xf numFmtId="0" fontId="39" fillId="0" borderId="0" xfId="0" applyFont="1" applyBorder="1" applyAlignment="1">
      <alignment horizontal="center" vertical="center"/>
    </xf>
    <xf numFmtId="0" fontId="30" fillId="7" borderId="52" xfId="0" applyFont="1" applyFill="1" applyBorder="1" applyAlignment="1">
      <alignment horizontal="center" vertical="center" wrapText="1"/>
    </xf>
    <xf numFmtId="164" fontId="30" fillId="7" borderId="58" xfId="5" applyFont="1" applyFill="1" applyBorder="1" applyAlignment="1">
      <alignment horizontal="center" vertical="center" wrapText="1"/>
    </xf>
    <xf numFmtId="0" fontId="30" fillId="7" borderId="56" xfId="0" applyFont="1" applyFill="1" applyBorder="1" applyAlignment="1">
      <alignment horizontal="center" vertical="center" wrapText="1"/>
    </xf>
    <xf numFmtId="0" fontId="30" fillId="7" borderId="52" xfId="0" applyFont="1" applyFill="1" applyBorder="1" applyAlignment="1">
      <alignment horizontal="left" vertical="center" wrapText="1"/>
    </xf>
    <xf numFmtId="164" fontId="30" fillId="7" borderId="52" xfId="5" applyFont="1" applyFill="1" applyBorder="1" applyAlignment="1">
      <alignment horizontal="center" vertical="center" wrapText="1"/>
    </xf>
    <xf numFmtId="4" fontId="24" fillId="0" borderId="0" xfId="0" applyNumberFormat="1" applyFont="1" applyBorder="1" applyAlignment="1">
      <alignment horizontal="center" vertical="center"/>
    </xf>
    <xf numFmtId="0" fontId="26" fillId="0" borderId="35" xfId="0" applyFont="1" applyBorder="1" applyAlignment="1">
      <alignment horizontal="center" vertical="center"/>
    </xf>
    <xf numFmtId="0" fontId="26" fillId="0" borderId="3" xfId="0" applyFont="1" applyBorder="1" applyAlignment="1">
      <alignment horizontal="center" vertical="center"/>
    </xf>
    <xf numFmtId="0" fontId="25" fillId="0" borderId="3" xfId="0" applyFont="1" applyBorder="1" applyAlignment="1">
      <alignment vertical="center" wrapText="1"/>
    </xf>
    <xf numFmtId="0" fontId="25" fillId="0" borderId="3" xfId="0" applyFont="1" applyBorder="1" applyAlignment="1">
      <alignment horizontal="right" vertical="center"/>
    </xf>
    <xf numFmtId="0" fontId="26" fillId="0" borderId="0" xfId="0" applyFont="1" applyBorder="1" applyAlignment="1">
      <alignment horizontal="center" vertical="center"/>
    </xf>
    <xf numFmtId="0" fontId="25" fillId="0" borderId="0" xfId="0" applyFont="1" applyBorder="1" applyAlignment="1">
      <alignment vertical="center" wrapText="1"/>
    </xf>
    <xf numFmtId="180" fontId="25" fillId="8" borderId="0" xfId="0" applyNumberFormat="1" applyFont="1" applyFill="1" applyBorder="1" applyAlignment="1">
      <alignment horizontal="right" vertical="center"/>
    </xf>
    <xf numFmtId="0" fontId="25" fillId="0" borderId="0" xfId="0" applyFont="1" applyBorder="1" applyAlignment="1">
      <alignment horizontal="right" vertical="center"/>
    </xf>
    <xf numFmtId="4" fontId="25" fillId="0" borderId="0" xfId="0" applyNumberFormat="1" applyFont="1" applyFill="1" applyBorder="1" applyAlignment="1">
      <alignment horizontal="center" vertical="center" wrapText="1"/>
    </xf>
    <xf numFmtId="4" fontId="25" fillId="0" borderId="1" xfId="0" applyNumberFormat="1" applyFont="1" applyFill="1" applyBorder="1" applyAlignment="1">
      <alignment horizontal="center" vertical="center" wrapText="1"/>
    </xf>
    <xf numFmtId="0" fontId="24" fillId="0" borderId="36" xfId="0" applyFont="1" applyBorder="1" applyAlignment="1">
      <alignment horizontal="center" vertical="center"/>
    </xf>
    <xf numFmtId="4" fontId="24" fillId="0" borderId="1" xfId="0" applyNumberFormat="1" applyFont="1" applyBorder="1" applyAlignment="1">
      <alignment horizontal="center" vertical="center"/>
    </xf>
    <xf numFmtId="0" fontId="24" fillId="0" borderId="37" xfId="0" applyFont="1" applyBorder="1" applyAlignment="1">
      <alignment horizontal="center" vertical="center"/>
    </xf>
    <xf numFmtId="0" fontId="39" fillId="0" borderId="34" xfId="0" applyFont="1" applyBorder="1" applyAlignment="1">
      <alignment horizontal="center" vertical="center"/>
    </xf>
    <xf numFmtId="0" fontId="24" fillId="0" borderId="34" xfId="0" applyFont="1" applyBorder="1" applyAlignment="1">
      <alignment horizontal="center" vertical="center"/>
    </xf>
    <xf numFmtId="4" fontId="24" fillId="0" borderId="47" xfId="0" applyNumberFormat="1" applyFont="1" applyBorder="1" applyAlignment="1">
      <alignment horizontal="center" vertical="center"/>
    </xf>
    <xf numFmtId="0" fontId="26" fillId="8" borderId="69" xfId="0" applyFont="1" applyFill="1" applyBorder="1" applyAlignment="1">
      <alignment horizontal="center" vertical="center" wrapText="1"/>
    </xf>
    <xf numFmtId="4" fontId="25" fillId="12" borderId="81" xfId="0" applyNumberFormat="1" applyFont="1" applyFill="1" applyBorder="1" applyAlignment="1">
      <alignment horizontal="center" vertical="center" wrapText="1"/>
    </xf>
    <xf numFmtId="4" fontId="25" fillId="12" borderId="2" xfId="0" applyNumberFormat="1" applyFont="1" applyFill="1" applyBorder="1" applyAlignment="1">
      <alignment horizontal="center" vertical="center" wrapText="1"/>
    </xf>
    <xf numFmtId="0" fontId="23" fillId="0" borderId="73" xfId="0" applyFont="1" applyBorder="1" applyAlignment="1">
      <alignment horizontal="center" vertical="center"/>
    </xf>
    <xf numFmtId="0" fontId="29" fillId="16" borderId="49" xfId="0" applyFont="1" applyFill="1" applyBorder="1" applyAlignment="1">
      <alignment horizontal="right" vertical="center"/>
    </xf>
    <xf numFmtId="0" fontId="32" fillId="0" borderId="36" xfId="0" applyFont="1" applyBorder="1" applyAlignment="1">
      <alignment horizontal="center"/>
    </xf>
    <xf numFmtId="0" fontId="32" fillId="0" borderId="0" xfId="0" applyFont="1" applyBorder="1" applyAlignment="1">
      <alignment horizontal="center"/>
    </xf>
    <xf numFmtId="0" fontId="32" fillId="0" borderId="1" xfId="0" applyFont="1" applyBorder="1" applyAlignment="1">
      <alignment horizontal="center"/>
    </xf>
    <xf numFmtId="10" fontId="29" fillId="16" borderId="86" xfId="0" applyNumberFormat="1" applyFont="1" applyFill="1" applyBorder="1" applyAlignment="1">
      <alignment horizontal="center" vertical="center"/>
    </xf>
    <xf numFmtId="10" fontId="29" fillId="16" borderId="97" xfId="0" applyNumberFormat="1" applyFont="1" applyFill="1" applyBorder="1" applyAlignment="1">
      <alignment horizontal="center" vertical="center"/>
    </xf>
    <xf numFmtId="9" fontId="32" fillId="13" borderId="0" xfId="0" applyNumberFormat="1" applyFont="1" applyFill="1"/>
    <xf numFmtId="9" fontId="28" fillId="7" borderId="49" xfId="8" applyFont="1" applyFill="1" applyBorder="1" applyAlignment="1">
      <alignment vertical="center"/>
    </xf>
    <xf numFmtId="9" fontId="28" fillId="7" borderId="86" xfId="8" applyFont="1" applyFill="1" applyBorder="1" applyAlignment="1">
      <alignment vertical="center"/>
    </xf>
    <xf numFmtId="9" fontId="28" fillId="13" borderId="49" xfId="8" applyFont="1" applyFill="1" applyBorder="1" applyAlignment="1">
      <alignment vertical="center"/>
    </xf>
    <xf numFmtId="9" fontId="28" fillId="13" borderId="86" xfId="8" applyFont="1" applyFill="1" applyBorder="1" applyAlignment="1">
      <alignment vertical="center"/>
    </xf>
    <xf numFmtId="183" fontId="29" fillId="13" borderId="85" xfId="0" applyNumberFormat="1" applyFont="1" applyFill="1" applyBorder="1" applyAlignment="1">
      <alignment horizontal="center" vertical="center"/>
    </xf>
    <xf numFmtId="0" fontId="26" fillId="8" borderId="60" xfId="0" applyFont="1" applyFill="1" applyBorder="1" applyAlignment="1">
      <alignment horizontal="center" vertical="center" wrapText="1"/>
    </xf>
    <xf numFmtId="0" fontId="25" fillId="0" borderId="34" xfId="0" applyFont="1" applyBorder="1" applyAlignment="1">
      <alignment horizontal="right" vertical="center"/>
    </xf>
    <xf numFmtId="0" fontId="26" fillId="8" borderId="60" xfId="0" applyFont="1" applyFill="1" applyBorder="1" applyAlignment="1">
      <alignment horizontal="center" vertical="center" wrapText="1"/>
    </xf>
    <xf numFmtId="0" fontId="25" fillId="0" borderId="34" xfId="0" applyFont="1" applyBorder="1" applyAlignment="1">
      <alignment horizontal="right" vertical="center"/>
    </xf>
    <xf numFmtId="0" fontId="28" fillId="0" borderId="59" xfId="0" applyFont="1" applyBorder="1" applyAlignment="1">
      <alignment horizontal="center" vertical="center" wrapText="1"/>
    </xf>
    <xf numFmtId="0" fontId="32" fillId="0" borderId="36" xfId="0" applyFont="1" applyBorder="1" applyAlignment="1">
      <alignment horizontal="center"/>
    </xf>
    <xf numFmtId="0" fontId="32" fillId="0" borderId="1" xfId="0" applyFont="1" applyBorder="1" applyAlignment="1">
      <alignment horizontal="center"/>
    </xf>
    <xf numFmtId="0" fontId="29" fillId="16" borderId="49" xfId="0" applyFont="1" applyFill="1" applyBorder="1" applyAlignment="1">
      <alignment horizontal="right" vertical="center"/>
    </xf>
    <xf numFmtId="0" fontId="26" fillId="8" borderId="60" xfId="0" applyFont="1" applyFill="1" applyBorder="1" applyAlignment="1">
      <alignment horizontal="center" vertical="center" wrapText="1"/>
    </xf>
    <xf numFmtId="0" fontId="25" fillId="0" borderId="34" xfId="0" applyFont="1" applyBorder="1" applyAlignment="1">
      <alignment horizontal="right" vertical="center"/>
    </xf>
    <xf numFmtId="2" fontId="38" fillId="0" borderId="49" xfId="4" applyNumberFormat="1" applyFont="1" applyFill="1" applyBorder="1" applyAlignment="1" applyProtection="1">
      <alignment horizontal="center" vertical="center"/>
      <protection locked="0"/>
    </xf>
    <xf numFmtId="0" fontId="25" fillId="0" borderId="0" xfId="0" applyFont="1" applyFill="1" applyBorder="1" applyAlignment="1">
      <alignment horizontal="center" vertical="center" wrapText="1"/>
    </xf>
    <xf numFmtId="4" fontId="25" fillId="0" borderId="114" xfId="0" applyNumberFormat="1" applyFont="1" applyFill="1" applyBorder="1" applyAlignment="1">
      <alignment horizontal="center" vertical="center" wrapText="1"/>
    </xf>
    <xf numFmtId="0" fontId="26" fillId="8" borderId="115" xfId="0" applyFont="1" applyFill="1" applyBorder="1" applyAlignment="1">
      <alignment horizontal="center" vertical="center" wrapText="1"/>
    </xf>
    <xf numFmtId="0" fontId="26" fillId="8" borderId="116" xfId="0" applyFont="1" applyFill="1" applyBorder="1" applyAlignment="1">
      <alignment horizontal="center" vertical="center" wrapText="1"/>
    </xf>
    <xf numFmtId="10" fontId="29" fillId="0" borderId="0" xfId="6" applyNumberFormat="1" applyFont="1" applyBorder="1" applyAlignment="1">
      <alignment horizontal="center" vertical="center"/>
    </xf>
    <xf numFmtId="0" fontId="28" fillId="0" borderId="36" xfId="0" applyFont="1" applyBorder="1" applyAlignment="1">
      <alignment horizontal="center" vertical="center"/>
    </xf>
    <xf numFmtId="17" fontId="28" fillId="0" borderId="0" xfId="5" applyNumberFormat="1" applyFont="1" applyFill="1" applyBorder="1" applyAlignment="1">
      <alignment horizontal="left" vertical="center" wrapText="1"/>
    </xf>
    <xf numFmtId="164" fontId="28" fillId="0" borderId="0" xfId="5" applyFont="1" applyFill="1" applyBorder="1" applyAlignment="1">
      <alignment vertical="center" wrapText="1"/>
    </xf>
    <xf numFmtId="164" fontId="28" fillId="0" borderId="1" xfId="5" applyFont="1" applyFill="1" applyBorder="1" applyAlignment="1">
      <alignment vertical="center" wrapText="1"/>
    </xf>
    <xf numFmtId="10" fontId="28" fillId="0" borderId="0" xfId="6" applyNumberFormat="1" applyFont="1" applyFill="1" applyBorder="1" applyAlignment="1">
      <alignment vertical="center" wrapText="1"/>
    </xf>
    <xf numFmtId="0" fontId="28" fillId="0" borderId="37" xfId="0" applyFont="1" applyBorder="1" applyAlignment="1">
      <alignment horizontal="center" vertical="center"/>
    </xf>
    <xf numFmtId="0" fontId="29" fillId="0" borderId="34" xfId="0" applyFont="1" applyBorder="1" applyAlignment="1">
      <alignment horizontal="right" vertical="center" wrapText="1"/>
    </xf>
    <xf numFmtId="10" fontId="29" fillId="0" borderId="34" xfId="1" applyNumberFormat="1" applyFont="1" applyFill="1" applyBorder="1" applyAlignment="1">
      <alignment horizontal="right" vertical="center" wrapText="1"/>
    </xf>
    <xf numFmtId="164" fontId="29" fillId="0" borderId="34" xfId="5" applyFont="1" applyFill="1" applyBorder="1" applyAlignment="1">
      <alignment vertical="center" wrapText="1"/>
    </xf>
    <xf numFmtId="10" fontId="29" fillId="0" borderId="0" xfId="6" applyNumberFormat="1" applyFont="1" applyFill="1" applyBorder="1" applyAlignment="1">
      <alignment vertical="center"/>
    </xf>
    <xf numFmtId="0" fontId="29" fillId="0" borderId="0" xfId="0" applyFont="1" applyAlignment="1">
      <alignment horizontal="left" vertical="center" wrapText="1"/>
    </xf>
    <xf numFmtId="10" fontId="29" fillId="0" borderId="0" xfId="1" applyNumberFormat="1" applyFont="1" applyFill="1" applyBorder="1" applyAlignment="1">
      <alignment horizontal="right" vertical="center" wrapText="1"/>
    </xf>
    <xf numFmtId="164" fontId="29" fillId="0" borderId="0" xfId="5" applyFont="1" applyFill="1" applyBorder="1" applyAlignment="1">
      <alignment vertical="center" wrapText="1"/>
    </xf>
    <xf numFmtId="0" fontId="28" fillId="0" borderId="0" xfId="0" applyFont="1" applyAlignment="1">
      <alignment vertical="center" wrapText="1"/>
    </xf>
    <xf numFmtId="43" fontId="28" fillId="0" borderId="0" xfId="1" applyFont="1" applyFill="1" applyBorder="1" applyAlignment="1">
      <alignment vertical="center"/>
    </xf>
    <xf numFmtId="164" fontId="28" fillId="0" borderId="0" xfId="5" applyFont="1" applyFill="1" applyBorder="1" applyAlignment="1">
      <alignment vertical="center"/>
    </xf>
    <xf numFmtId="164" fontId="28" fillId="0" borderId="1" xfId="5" applyFont="1" applyFill="1" applyBorder="1" applyAlignment="1">
      <alignment vertical="center"/>
    </xf>
    <xf numFmtId="10" fontId="28" fillId="0" borderId="0" xfId="6" applyNumberFormat="1" applyFont="1" applyFill="1" applyBorder="1" applyAlignment="1">
      <alignment vertical="center"/>
    </xf>
    <xf numFmtId="0" fontId="29" fillId="0" borderId="2" xfId="0" applyFont="1" applyBorder="1" applyAlignment="1">
      <alignment horizontal="center" vertical="center" wrapText="1"/>
    </xf>
    <xf numFmtId="43" fontId="29" fillId="0" borderId="2" xfId="1" applyFont="1" applyFill="1" applyBorder="1" applyAlignment="1">
      <alignment horizontal="center" vertical="center" wrapText="1"/>
    </xf>
    <xf numFmtId="164" fontId="29" fillId="0" borderId="2" xfId="5" applyFont="1" applyFill="1" applyBorder="1" applyAlignment="1">
      <alignment horizontal="center" vertical="center" wrapText="1"/>
    </xf>
    <xf numFmtId="10" fontId="29" fillId="0" borderId="0" xfId="6" applyNumberFormat="1" applyFont="1" applyFill="1" applyBorder="1" applyAlignment="1">
      <alignment horizontal="center" vertical="center" wrapText="1"/>
    </xf>
    <xf numFmtId="0" fontId="28" fillId="0" borderId="7" xfId="0" applyFont="1" applyBorder="1" applyAlignment="1">
      <alignment horizontal="center" vertical="center" wrapText="1"/>
    </xf>
    <xf numFmtId="0" fontId="28" fillId="0" borderId="53"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8" xfId="0" applyFont="1" applyBorder="1" applyAlignment="1">
      <alignment horizontal="justify" vertical="center" wrapText="1"/>
    </xf>
    <xf numFmtId="43" fontId="28" fillId="0" borderId="53" xfId="1" applyFont="1" applyFill="1" applyBorder="1" applyAlignment="1">
      <alignment horizontal="center" vertical="center" wrapText="1"/>
    </xf>
    <xf numFmtId="164" fontId="28" fillId="0" borderId="8" xfId="5" applyFont="1" applyFill="1" applyBorder="1" applyAlignment="1">
      <alignment horizontal="center" vertical="center" wrapText="1"/>
    </xf>
    <xf numFmtId="164" fontId="28" fillId="0" borderId="54" xfId="5" applyFont="1" applyFill="1" applyBorder="1" applyAlignment="1">
      <alignment horizontal="center" vertical="center" wrapText="1"/>
    </xf>
    <xf numFmtId="164" fontId="28" fillId="0" borderId="55" xfId="5" applyFont="1" applyFill="1" applyBorder="1" applyAlignment="1">
      <alignment horizontal="center" vertical="center" wrapText="1"/>
    </xf>
    <xf numFmtId="10" fontId="28" fillId="0" borderId="0" xfId="6" applyNumberFormat="1" applyFont="1" applyFill="1" applyBorder="1" applyAlignment="1">
      <alignment horizontal="center" vertical="center" wrapText="1"/>
    </xf>
    <xf numFmtId="0" fontId="29" fillId="4" borderId="56" xfId="0" applyFont="1" applyFill="1" applyBorder="1" applyAlignment="1">
      <alignment horizontal="center" vertical="center" wrapText="1"/>
    </xf>
    <xf numFmtId="0" fontId="29" fillId="4" borderId="8" xfId="0" applyFont="1" applyFill="1" applyBorder="1" applyAlignment="1">
      <alignment horizontal="center" vertical="center" wrapText="1"/>
    </xf>
    <xf numFmtId="0" fontId="29" fillId="4" borderId="52" xfId="0" applyFont="1" applyFill="1" applyBorder="1" applyAlignment="1">
      <alignment horizontal="center" vertical="center" wrapText="1"/>
    </xf>
    <xf numFmtId="0" fontId="29" fillId="4" borderId="52" xfId="0" applyFont="1" applyFill="1" applyBorder="1" applyAlignment="1">
      <alignment horizontal="left" vertical="center" wrapText="1"/>
    </xf>
    <xf numFmtId="43" fontId="29" fillId="4" borderId="8" xfId="1" applyFont="1" applyFill="1" applyBorder="1" applyAlignment="1">
      <alignment horizontal="center" vertical="center" wrapText="1"/>
    </xf>
    <xf numFmtId="164" fontId="29" fillId="4" borderId="52" xfId="5" applyFont="1" applyFill="1" applyBorder="1" applyAlignment="1">
      <alignment horizontal="center" vertical="center" wrapText="1"/>
    </xf>
    <xf numFmtId="164" fontId="29" fillId="4" borderId="8" xfId="5" applyFont="1" applyFill="1" applyBorder="1" applyAlignment="1">
      <alignment horizontal="center" vertical="center" wrapText="1"/>
    </xf>
    <xf numFmtId="164" fontId="29" fillId="4" borderId="9" xfId="5" applyFont="1" applyFill="1" applyBorder="1" applyAlignment="1">
      <alignment horizontal="center" vertical="center" wrapText="1"/>
    </xf>
    <xf numFmtId="10" fontId="29" fillId="4" borderId="61" xfId="6" applyNumberFormat="1" applyFont="1" applyFill="1" applyBorder="1" applyAlignment="1">
      <alignment horizontal="center" vertical="center" wrapText="1"/>
    </xf>
    <xf numFmtId="43" fontId="35" fillId="0" borderId="0" xfId="1" applyFont="1" applyBorder="1" applyAlignment="1">
      <alignment vertical="center"/>
    </xf>
    <xf numFmtId="0" fontId="29" fillId="7" borderId="8" xfId="0" applyFont="1" applyFill="1" applyBorder="1" applyAlignment="1">
      <alignment horizontal="center" vertical="center" wrapText="1"/>
    </xf>
    <xf numFmtId="164" fontId="29" fillId="7" borderId="9" xfId="5" applyFont="1" applyFill="1" applyBorder="1" applyAlignment="1">
      <alignment horizontal="center" vertical="center" wrapText="1"/>
    </xf>
    <xf numFmtId="10" fontId="29" fillId="7" borderId="61" xfId="6" applyNumberFormat="1" applyFont="1" applyFill="1" applyBorder="1" applyAlignment="1">
      <alignment horizontal="center" vertical="center" wrapText="1"/>
    </xf>
    <xf numFmtId="0" fontId="28" fillId="0" borderId="8" xfId="0" quotePrefix="1" applyFont="1" applyBorder="1" applyAlignment="1">
      <alignment horizontal="center" vertical="center" wrapText="1"/>
    </xf>
    <xf numFmtId="164" fontId="28" fillId="0" borderId="9" xfId="5" applyFont="1" applyFill="1" applyBorder="1" applyAlignment="1">
      <alignment vertical="center"/>
    </xf>
    <xf numFmtId="10" fontId="28" fillId="0" borderId="61" xfId="6" applyNumberFormat="1" applyFont="1" applyFill="1" applyBorder="1" applyAlignment="1">
      <alignment vertical="center"/>
    </xf>
    <xf numFmtId="0" fontId="29" fillId="7" borderId="7" xfId="0" applyFont="1" applyFill="1" applyBorder="1" applyAlignment="1">
      <alignment horizontal="center" vertical="center"/>
    </xf>
    <xf numFmtId="0" fontId="28" fillId="0" borderId="7" xfId="0" applyFont="1" applyBorder="1" applyAlignment="1">
      <alignment horizontal="center" vertical="center"/>
    </xf>
    <xf numFmtId="43" fontId="35" fillId="0" borderId="0" xfId="0" applyNumberFormat="1" applyFont="1" applyAlignment="1">
      <alignment vertical="center"/>
    </xf>
    <xf numFmtId="179" fontId="28" fillId="0" borderId="8" xfId="0" applyNumberFormat="1" applyFont="1" applyBorder="1" applyAlignment="1">
      <alignment horizontal="center" vertical="center" wrapText="1"/>
    </xf>
    <xf numFmtId="0" fontId="28" fillId="0" borderId="56" xfId="0" applyFont="1" applyBorder="1" applyAlignment="1">
      <alignment horizontal="center" vertical="center" wrapText="1"/>
    </xf>
    <xf numFmtId="0" fontId="28" fillId="0" borderId="52" xfId="0" applyFont="1" applyBorder="1" applyAlignment="1">
      <alignment horizontal="center" vertical="center" wrapText="1"/>
    </xf>
    <xf numFmtId="0" fontId="28" fillId="0" borderId="52" xfId="0" applyFont="1" applyBorder="1" applyAlignment="1">
      <alignment horizontal="justify" vertical="center" wrapText="1"/>
    </xf>
    <xf numFmtId="164" fontId="28" fillId="0" borderId="52" xfId="5" applyFont="1" applyFill="1" applyBorder="1" applyAlignment="1">
      <alignment horizontal="center" vertical="center" wrapText="1"/>
    </xf>
    <xf numFmtId="0" fontId="29" fillId="7" borderId="56" xfId="0" applyFont="1" applyFill="1" applyBorder="1" applyAlignment="1">
      <alignment horizontal="center" vertical="center" wrapText="1"/>
    </xf>
    <xf numFmtId="0" fontId="29" fillId="7" borderId="52" xfId="0" applyFont="1" applyFill="1" applyBorder="1" applyAlignment="1">
      <alignment horizontal="center" vertical="center" wrapText="1"/>
    </xf>
    <xf numFmtId="0" fontId="29" fillId="7" borderId="52" xfId="0" applyFont="1" applyFill="1" applyBorder="1" applyAlignment="1">
      <alignment horizontal="left" vertical="center" wrapText="1"/>
    </xf>
    <xf numFmtId="43" fontId="29" fillId="7" borderId="8" xfId="1" applyFont="1" applyFill="1" applyBorder="1" applyAlignment="1">
      <alignment horizontal="center" vertical="center" wrapText="1"/>
    </xf>
    <xf numFmtId="164" fontId="29" fillId="7" borderId="52" xfId="5" applyFont="1" applyFill="1" applyBorder="1" applyAlignment="1">
      <alignment horizontal="center" vertical="center" wrapText="1"/>
    </xf>
    <xf numFmtId="164" fontId="29" fillId="7" borderId="8" xfId="5" applyFont="1" applyFill="1" applyBorder="1" applyAlignment="1">
      <alignment horizontal="center" vertical="center" wrapText="1"/>
    </xf>
    <xf numFmtId="0" fontId="29" fillId="0" borderId="8" xfId="0" applyFont="1" applyBorder="1" applyAlignment="1">
      <alignment horizontal="center" vertical="center" wrapText="1"/>
    </xf>
    <xf numFmtId="0" fontId="29" fillId="0" borderId="8" xfId="0" applyFont="1" applyBorder="1" applyAlignment="1">
      <alignment horizontal="justify" vertical="center" wrapText="1"/>
    </xf>
    <xf numFmtId="164" fontId="29" fillId="0" borderId="9" xfId="5" applyFont="1" applyFill="1" applyBorder="1" applyAlignment="1">
      <alignment horizontal="center" vertical="center" wrapText="1"/>
    </xf>
    <xf numFmtId="10" fontId="29" fillId="0" borderId="61" xfId="6" applyNumberFormat="1" applyFont="1" applyFill="1" applyBorder="1" applyAlignment="1">
      <alignment horizontal="center" vertical="center" wrapText="1"/>
    </xf>
    <xf numFmtId="179" fontId="28" fillId="0" borderId="8" xfId="5" applyNumberFormat="1" applyFont="1" applyFill="1" applyBorder="1" applyAlignment="1">
      <alignment horizontal="right" vertical="center" wrapText="1"/>
    </xf>
    <xf numFmtId="179" fontId="28" fillId="0" borderId="8" xfId="5" applyNumberFormat="1" applyFont="1" applyFill="1" applyBorder="1" applyAlignment="1">
      <alignment horizontal="center" vertical="center" wrapText="1"/>
    </xf>
    <xf numFmtId="43" fontId="28" fillId="0" borderId="8" xfId="1" applyFont="1" applyFill="1" applyBorder="1" applyAlignment="1">
      <alignment vertical="center" wrapText="1"/>
    </xf>
    <xf numFmtId="4" fontId="28" fillId="0" borderId="8" xfId="0" applyNumberFormat="1"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quotePrefix="1" applyFont="1" applyBorder="1" applyAlignment="1">
      <alignment horizontal="center" vertical="center" wrapText="1"/>
    </xf>
    <xf numFmtId="43" fontId="29" fillId="0" borderId="8" xfId="1" applyFont="1" applyFill="1" applyBorder="1" applyAlignment="1">
      <alignment horizontal="center" vertical="center" wrapText="1"/>
    </xf>
    <xf numFmtId="164" fontId="29" fillId="0" borderId="8" xfId="5" applyFont="1" applyFill="1" applyBorder="1" applyAlignment="1">
      <alignment horizontal="right" vertical="center" wrapText="1"/>
    </xf>
    <xf numFmtId="164" fontId="29" fillId="0" borderId="50" xfId="5" applyFont="1" applyFill="1" applyBorder="1" applyAlignment="1">
      <alignment horizontal="right" vertical="center" wrapText="1"/>
    </xf>
    <xf numFmtId="0" fontId="40" fillId="0" borderId="0" xfId="0" applyFont="1" applyAlignment="1">
      <alignment vertical="center"/>
    </xf>
    <xf numFmtId="43" fontId="40" fillId="0" borderId="0" xfId="1" applyFont="1" applyAlignment="1">
      <alignment vertical="center"/>
    </xf>
    <xf numFmtId="0" fontId="29" fillId="0" borderId="52" xfId="0" applyFont="1" applyBorder="1" applyAlignment="1">
      <alignment horizontal="justify" vertical="center" wrapText="1"/>
    </xf>
    <xf numFmtId="164" fontId="28" fillId="0" borderId="52" xfId="5" applyFont="1" applyFill="1" applyBorder="1" applyAlignment="1">
      <alignment horizontal="right" vertical="center" wrapText="1"/>
    </xf>
    <xf numFmtId="0" fontId="28" fillId="0" borderId="8" xfId="0" applyFont="1" applyBorder="1" applyAlignment="1">
      <alignment horizontal="center" vertical="center"/>
    </xf>
    <xf numFmtId="43" fontId="28" fillId="0" borderId="8" xfId="1" applyFont="1" applyBorder="1" applyAlignment="1">
      <alignment vertical="center"/>
    </xf>
    <xf numFmtId="164" fontId="28" fillId="0" borderId="8" xfId="5" applyFont="1" applyBorder="1" applyAlignment="1">
      <alignment vertical="center"/>
    </xf>
    <xf numFmtId="164" fontId="28" fillId="0" borderId="50" xfId="5" applyFont="1" applyBorder="1" applyAlignment="1">
      <alignment vertical="center"/>
    </xf>
    <xf numFmtId="164" fontId="28" fillId="0" borderId="9" xfId="5" applyFont="1" applyBorder="1" applyAlignment="1">
      <alignment vertical="center"/>
    </xf>
    <xf numFmtId="10" fontId="28" fillId="0" borderId="61" xfId="6" applyNumberFormat="1" applyFont="1" applyBorder="1" applyAlignment="1">
      <alignment vertical="center"/>
    </xf>
    <xf numFmtId="0" fontId="28" fillId="0" borderId="10" xfId="0" applyFont="1" applyBorder="1" applyAlignment="1">
      <alignment horizontal="center" vertical="center"/>
    </xf>
    <xf numFmtId="0" fontId="28" fillId="0" borderId="11" xfId="0" applyFont="1" applyBorder="1" applyAlignment="1">
      <alignment horizontal="center" vertical="center"/>
    </xf>
    <xf numFmtId="0" fontId="29" fillId="0" borderId="11" xfId="0" applyFont="1" applyBorder="1" applyAlignment="1">
      <alignment vertical="center" wrapText="1"/>
    </xf>
    <xf numFmtId="0" fontId="29" fillId="0" borderId="11" xfId="0" applyFont="1" applyBorder="1" applyAlignment="1">
      <alignment horizontal="center" vertical="center"/>
    </xf>
    <xf numFmtId="43" fontId="29" fillId="0" borderId="11" xfId="1" applyFont="1" applyBorder="1" applyAlignment="1">
      <alignment vertical="center"/>
    </xf>
    <xf numFmtId="164" fontId="29" fillId="0" borderId="11" xfId="5" applyFont="1" applyBorder="1" applyAlignment="1">
      <alignment vertical="center"/>
    </xf>
    <xf numFmtId="164" fontId="29" fillId="0" borderId="51" xfId="5" applyFont="1" applyBorder="1" applyAlignment="1">
      <alignment vertical="center"/>
    </xf>
    <xf numFmtId="164" fontId="29" fillId="0" borderId="12" xfId="5" applyFont="1" applyBorder="1" applyAlignment="1">
      <alignment vertical="center"/>
    </xf>
    <xf numFmtId="0" fontId="28" fillId="0" borderId="35" xfId="0" applyFont="1" applyBorder="1" applyAlignment="1">
      <alignment horizontal="center" vertical="center"/>
    </xf>
    <xf numFmtId="0" fontId="28" fillId="0" borderId="3" xfId="0" applyFont="1" applyBorder="1" applyAlignment="1">
      <alignment horizontal="center" vertical="center"/>
    </xf>
    <xf numFmtId="0" fontId="28" fillId="0" borderId="3" xfId="0" applyFont="1" applyBorder="1" applyAlignment="1">
      <alignment vertical="center" wrapText="1"/>
    </xf>
    <xf numFmtId="43" fontId="28" fillId="0" borderId="3" xfId="1" applyFont="1" applyBorder="1" applyAlignment="1">
      <alignment vertical="center"/>
    </xf>
    <xf numFmtId="164" fontId="28" fillId="0" borderId="3" xfId="5" applyFont="1" applyBorder="1" applyAlignment="1">
      <alignment vertical="center"/>
    </xf>
    <xf numFmtId="164" fontId="28" fillId="0" borderId="46" xfId="5" applyFont="1" applyBorder="1" applyAlignment="1">
      <alignment vertical="center"/>
    </xf>
    <xf numFmtId="10" fontId="28" fillId="0" borderId="0" xfId="6" applyNumberFormat="1" applyFont="1" applyBorder="1" applyAlignment="1">
      <alignment vertical="center"/>
    </xf>
    <xf numFmtId="10" fontId="28" fillId="0" borderId="0" xfId="6" applyNumberFormat="1" applyFont="1" applyAlignment="1">
      <alignment horizontal="left" vertical="center" wrapText="1"/>
    </xf>
    <xf numFmtId="43" fontId="28" fillId="0" borderId="0" xfId="1" applyFont="1" applyBorder="1" applyAlignment="1">
      <alignment vertical="center"/>
    </xf>
    <xf numFmtId="164" fontId="28" fillId="0" borderId="0" xfId="5" applyFont="1" applyBorder="1" applyAlignment="1">
      <alignment vertical="center"/>
    </xf>
    <xf numFmtId="164" fontId="28" fillId="0" borderId="1" xfId="5" applyFont="1" applyBorder="1" applyAlignment="1">
      <alignment vertical="center"/>
    </xf>
    <xf numFmtId="0" fontId="29" fillId="0" borderId="0" xfId="0" applyFont="1" applyAlignment="1">
      <alignment horizontal="center" vertical="center" wrapText="1"/>
    </xf>
    <xf numFmtId="0" fontId="28" fillId="0" borderId="34" xfId="0" applyFont="1" applyBorder="1" applyAlignment="1">
      <alignment horizontal="center" vertical="center"/>
    </xf>
    <xf numFmtId="0" fontId="28" fillId="0" borderId="34" xfId="0" applyFont="1" applyBorder="1" applyAlignment="1">
      <alignment horizontal="center" vertical="center" wrapText="1"/>
    </xf>
    <xf numFmtId="0" fontId="28" fillId="10" borderId="75" xfId="0" applyFont="1" applyFill="1" applyBorder="1" applyAlignment="1">
      <alignment horizontal="right" vertical="center" wrapText="1"/>
    </xf>
    <xf numFmtId="10" fontId="29" fillId="10" borderId="46" xfId="0" applyNumberFormat="1" applyFont="1" applyFill="1" applyBorder="1" applyAlignment="1" applyProtection="1">
      <alignment horizontal="center" vertical="center"/>
      <protection locked="0"/>
    </xf>
    <xf numFmtId="0" fontId="29" fillId="0" borderId="0" xfId="0" applyFont="1"/>
    <xf numFmtId="49" fontId="29" fillId="0" borderId="0" xfId="0" applyNumberFormat="1" applyFont="1" applyAlignment="1">
      <alignment vertical="center"/>
    </xf>
    <xf numFmtId="0" fontId="29" fillId="0" borderId="0" xfId="0" applyFont="1" applyAlignment="1">
      <alignment vertical="center"/>
    </xf>
    <xf numFmtId="0" fontId="28" fillId="10" borderId="76" xfId="0" applyFont="1" applyFill="1" applyBorder="1" applyAlignment="1">
      <alignment horizontal="right" vertical="center" wrapText="1"/>
    </xf>
    <xf numFmtId="10" fontId="29" fillId="10" borderId="77" xfId="8" applyNumberFormat="1" applyFont="1" applyFill="1" applyBorder="1" applyAlignment="1" applyProtection="1">
      <alignment horizontal="center" vertical="center"/>
    </xf>
    <xf numFmtId="49" fontId="29" fillId="10" borderId="77" xfId="0" applyNumberFormat="1" applyFont="1" applyFill="1" applyBorder="1" applyAlignment="1" applyProtection="1">
      <alignment horizontal="left" vertical="center"/>
      <protection locked="0"/>
    </xf>
    <xf numFmtId="0" fontId="29" fillId="10" borderId="73" xfId="0" applyFont="1" applyFill="1" applyBorder="1" applyAlignment="1">
      <alignment horizontal="center" vertical="center" wrapText="1"/>
    </xf>
    <xf numFmtId="0" fontId="28" fillId="10" borderId="2" xfId="4" applyNumberFormat="1" applyFont="1" applyFill="1" applyBorder="1" applyAlignment="1" applyProtection="1">
      <alignment horizontal="right" vertical="center" wrapText="1"/>
    </xf>
    <xf numFmtId="174" fontId="29" fillId="10" borderId="1" xfId="4" applyNumberFormat="1" applyFont="1" applyFill="1" applyBorder="1" applyAlignment="1" applyProtection="1">
      <alignment horizontal="center" vertical="center"/>
    </xf>
    <xf numFmtId="0" fontId="29" fillId="11" borderId="49" xfId="0" applyFont="1" applyFill="1" applyBorder="1" applyAlignment="1">
      <alignment horizontal="center" vertical="center" wrapText="1"/>
    </xf>
    <xf numFmtId="49" fontId="29" fillId="11" borderId="49" xfId="0" applyNumberFormat="1" applyFont="1" applyFill="1" applyBorder="1" applyAlignment="1">
      <alignment horizontal="center" vertical="center" wrapText="1"/>
    </xf>
    <xf numFmtId="175" fontId="29" fillId="9" borderId="85" xfId="4" applyNumberFormat="1" applyFont="1" applyFill="1" applyBorder="1" applyAlignment="1" applyProtection="1">
      <alignment horizontal="center" vertical="center"/>
      <protection locked="0"/>
    </xf>
    <xf numFmtId="43" fontId="29" fillId="9" borderId="49" xfId="4" applyFont="1" applyFill="1" applyBorder="1" applyAlignment="1" applyProtection="1">
      <alignment horizontal="center" vertical="center" wrapText="1"/>
      <protection locked="0"/>
    </xf>
    <xf numFmtId="187" fontId="29" fillId="9" borderId="49" xfId="4" applyNumberFormat="1" applyFont="1" applyFill="1" applyBorder="1" applyAlignment="1" applyProtection="1">
      <alignment horizontal="left" vertical="center"/>
      <protection locked="0"/>
    </xf>
    <xf numFmtId="43" fontId="29" fillId="9" borderId="49" xfId="4" applyFont="1" applyFill="1" applyBorder="1" applyAlignment="1" applyProtection="1">
      <alignment horizontal="center" wrapText="1"/>
      <protection locked="0"/>
    </xf>
    <xf numFmtId="43" fontId="29" fillId="9" borderId="86" xfId="4" applyFont="1" applyFill="1" applyBorder="1" applyProtection="1"/>
    <xf numFmtId="175" fontId="29" fillId="4" borderId="85" xfId="4" applyNumberFormat="1" applyFont="1" applyFill="1" applyBorder="1" applyAlignment="1" applyProtection="1">
      <alignment horizontal="center" vertical="center"/>
      <protection locked="0"/>
    </xf>
    <xf numFmtId="0" fontId="29" fillId="4" borderId="49" xfId="0" applyFont="1" applyFill="1" applyBorder="1" applyAlignment="1" applyProtection="1">
      <alignment horizontal="center" vertical="center" wrapText="1"/>
      <protection locked="0"/>
    </xf>
    <xf numFmtId="49" fontId="29" fillId="4" borderId="49" xfId="0" applyNumberFormat="1" applyFont="1" applyFill="1" applyBorder="1" applyAlignment="1" applyProtection="1">
      <alignment horizontal="center" vertical="center" wrapText="1"/>
      <protection locked="0"/>
    </xf>
    <xf numFmtId="0" fontId="29" fillId="4" borderId="49" xfId="0" applyFont="1" applyFill="1" applyBorder="1" applyAlignment="1" applyProtection="1">
      <alignment horizontal="center" wrapText="1"/>
      <protection locked="0"/>
    </xf>
    <xf numFmtId="187" fontId="29" fillId="4" borderId="49" xfId="4" applyNumberFormat="1" applyFont="1" applyFill="1" applyBorder="1" applyAlignment="1" applyProtection="1">
      <alignment horizontal="left" vertical="center"/>
      <protection locked="0"/>
    </xf>
    <xf numFmtId="43" fontId="29" fillId="4" borderId="49" xfId="4" applyFont="1" applyFill="1" applyBorder="1" applyAlignment="1" applyProtection="1">
      <alignment horizontal="center" wrapText="1"/>
      <protection locked="0"/>
    </xf>
    <xf numFmtId="43" fontId="29" fillId="4" borderId="86" xfId="4" applyFont="1" applyFill="1" applyBorder="1" applyProtection="1"/>
    <xf numFmtId="0" fontId="29" fillId="4" borderId="0" xfId="0" applyFont="1" applyFill="1"/>
    <xf numFmtId="175" fontId="28" fillId="0" borderId="85" xfId="4" applyNumberFormat="1" applyFont="1" applyFill="1" applyBorder="1" applyAlignment="1" applyProtection="1">
      <alignment horizontal="center" vertical="center"/>
      <protection locked="0"/>
    </xf>
    <xf numFmtId="43" fontId="28" fillId="0" borderId="49" xfId="4" applyFont="1" applyFill="1" applyBorder="1" applyAlignment="1" applyProtection="1">
      <alignment horizontal="center" vertical="center" wrapText="1"/>
      <protection locked="0"/>
    </xf>
    <xf numFmtId="2" fontId="28" fillId="0" borderId="49" xfId="4" applyNumberFormat="1" applyFont="1" applyFill="1" applyBorder="1" applyAlignment="1" applyProtection="1">
      <alignment horizontal="center" vertical="center" wrapText="1"/>
      <protection locked="0"/>
    </xf>
    <xf numFmtId="0" fontId="28" fillId="0" borderId="49" xfId="4" applyNumberFormat="1" applyFont="1" applyFill="1" applyBorder="1" applyAlignment="1" applyProtection="1">
      <alignment horizontal="center" vertical="center" wrapText="1"/>
      <protection locked="0"/>
    </xf>
    <xf numFmtId="0" fontId="28" fillId="0" borderId="86" xfId="4" applyNumberFormat="1" applyFont="1" applyFill="1" applyBorder="1" applyAlignment="1" applyProtection="1">
      <alignment horizontal="center" vertical="center" wrapText="1"/>
      <protection locked="0"/>
    </xf>
    <xf numFmtId="175" fontId="28" fillId="8" borderId="36" xfId="4" applyNumberFormat="1" applyFont="1" applyFill="1" applyBorder="1" applyAlignment="1" applyProtection="1">
      <alignment horizontal="center" vertical="center"/>
      <protection locked="0"/>
    </xf>
    <xf numFmtId="2" fontId="28" fillId="8" borderId="0" xfId="0" applyNumberFormat="1" applyFont="1" applyFill="1" applyAlignment="1" applyProtection="1">
      <alignment horizontal="center" vertical="center" wrapText="1"/>
      <protection locked="0"/>
    </xf>
    <xf numFmtId="0" fontId="28" fillId="8" borderId="0" xfId="0" applyFont="1" applyFill="1" applyAlignment="1" applyProtection="1">
      <alignment horizontal="center" vertical="center" wrapText="1"/>
      <protection locked="0"/>
    </xf>
    <xf numFmtId="2" fontId="28" fillId="8" borderId="0" xfId="4" applyNumberFormat="1" applyFont="1" applyFill="1" applyBorder="1" applyAlignment="1" applyProtection="1">
      <alignment horizontal="left" vertical="center" wrapText="1"/>
      <protection locked="0"/>
    </xf>
    <xf numFmtId="43" fontId="28" fillId="8" borderId="0" xfId="4" applyFont="1" applyFill="1" applyBorder="1" applyAlignment="1" applyProtection="1">
      <alignment horizontal="center" vertical="center" wrapText="1"/>
      <protection locked="0"/>
    </xf>
    <xf numFmtId="187" fontId="28" fillId="0" borderId="49" xfId="4" applyNumberFormat="1" applyFont="1" applyFill="1" applyBorder="1" applyAlignment="1" applyProtection="1">
      <alignment horizontal="center" vertical="center" wrapText="1"/>
      <protection locked="0"/>
    </xf>
    <xf numFmtId="43" fontId="28" fillId="0" borderId="86" xfId="4" applyFont="1" applyFill="1" applyBorder="1" applyAlignment="1" applyProtection="1">
      <alignment horizontal="center" vertical="center" wrapText="1"/>
      <protection locked="0"/>
    </xf>
    <xf numFmtId="175" fontId="29" fillId="4" borderId="82" xfId="4" applyNumberFormat="1" applyFont="1" applyFill="1" applyBorder="1" applyAlignment="1" applyProtection="1">
      <alignment horizontal="center" vertical="center"/>
      <protection locked="0"/>
    </xf>
    <xf numFmtId="0" fontId="29" fillId="4" borderId="83" xfId="0" applyFont="1" applyFill="1" applyBorder="1" applyAlignment="1" applyProtection="1">
      <alignment horizontal="center" vertical="center" wrapText="1"/>
      <protection locked="0"/>
    </xf>
    <xf numFmtId="49" fontId="29" fillId="4" borderId="83" xfId="0" applyNumberFormat="1" applyFont="1" applyFill="1" applyBorder="1" applyAlignment="1" applyProtection="1">
      <alignment horizontal="center" vertical="center" wrapText="1"/>
      <protection locked="0"/>
    </xf>
    <xf numFmtId="43" fontId="29" fillId="4" borderId="83" xfId="4" applyFont="1" applyFill="1" applyBorder="1" applyAlignment="1" applyProtection="1">
      <alignment horizontal="center" vertical="center" wrapText="1"/>
      <protection locked="0"/>
    </xf>
    <xf numFmtId="0" fontId="29" fillId="4" borderId="83" xfId="0" applyFont="1" applyFill="1" applyBorder="1" applyAlignment="1" applyProtection="1">
      <alignment horizontal="center" wrapText="1"/>
      <protection locked="0"/>
    </xf>
    <xf numFmtId="175" fontId="28" fillId="8" borderId="98" xfId="4" applyNumberFormat="1" applyFont="1" applyFill="1" applyBorder="1" applyAlignment="1" applyProtection="1">
      <alignment horizontal="center" vertical="center"/>
      <protection locked="0"/>
    </xf>
    <xf numFmtId="2" fontId="28" fillId="8" borderId="69" xfId="0" applyNumberFormat="1" applyFont="1" applyFill="1" applyBorder="1" applyAlignment="1" applyProtection="1">
      <alignment horizontal="center" vertical="center" wrapText="1"/>
      <protection locked="0"/>
    </xf>
    <xf numFmtId="0" fontId="28" fillId="8" borderId="69" xfId="0" applyFont="1" applyFill="1" applyBorder="1" applyAlignment="1" applyProtection="1">
      <alignment horizontal="center" vertical="center" wrapText="1"/>
      <protection locked="0"/>
    </xf>
    <xf numFmtId="2" fontId="28" fillId="8" borderId="69" xfId="4" applyNumberFormat="1" applyFont="1" applyFill="1" applyBorder="1" applyAlignment="1" applyProtection="1">
      <alignment horizontal="left" vertical="center" wrapText="1"/>
      <protection locked="0"/>
    </xf>
    <xf numFmtId="43" fontId="28" fillId="8" borderId="66" xfId="4" applyFont="1" applyFill="1" applyBorder="1" applyAlignment="1" applyProtection="1">
      <alignment horizontal="center" vertical="center" wrapText="1"/>
      <protection locked="0"/>
    </xf>
    <xf numFmtId="2" fontId="28" fillId="0" borderId="61" xfId="4" applyNumberFormat="1" applyFont="1" applyFill="1" applyBorder="1" applyAlignment="1" applyProtection="1">
      <alignment horizontal="center" vertical="center" wrapText="1"/>
      <protection locked="0"/>
    </xf>
    <xf numFmtId="43" fontId="28" fillId="8" borderId="110" xfId="4" applyFont="1" applyFill="1" applyBorder="1" applyAlignment="1" applyProtection="1">
      <alignment horizontal="center" vertical="center" wrapText="1"/>
      <protection locked="0"/>
    </xf>
    <xf numFmtId="175" fontId="28" fillId="8" borderId="112" xfId="4" applyNumberFormat="1" applyFont="1" applyFill="1" applyBorder="1" applyAlignment="1" applyProtection="1">
      <alignment horizontal="center" vertical="center"/>
      <protection locked="0"/>
    </xf>
    <xf numFmtId="2" fontId="28" fillId="8" borderId="113" xfId="0" applyNumberFormat="1" applyFont="1" applyFill="1" applyBorder="1" applyAlignment="1" applyProtection="1">
      <alignment horizontal="center" vertical="center" wrapText="1"/>
      <protection locked="0"/>
    </xf>
    <xf numFmtId="0" fontId="28" fillId="8" borderId="113" xfId="0" applyFont="1" applyFill="1" applyBorder="1" applyAlignment="1" applyProtection="1">
      <alignment horizontal="center" vertical="center" wrapText="1"/>
      <protection locked="0"/>
    </xf>
    <xf numFmtId="2" fontId="28" fillId="8" borderId="113" xfId="4" applyNumberFormat="1" applyFont="1" applyFill="1" applyBorder="1" applyAlignment="1" applyProtection="1">
      <alignment horizontal="left" vertical="center" wrapText="1"/>
      <protection locked="0"/>
    </xf>
    <xf numFmtId="43" fontId="28" fillId="8" borderId="68" xfId="4" applyFont="1" applyFill="1" applyBorder="1" applyAlignment="1" applyProtection="1">
      <alignment horizontal="center" vertical="center" wrapText="1"/>
      <protection locked="0"/>
    </xf>
    <xf numFmtId="187" fontId="28" fillId="0" borderId="61" xfId="4" applyNumberFormat="1" applyFont="1" applyFill="1" applyBorder="1" applyAlignment="1" applyProtection="1">
      <alignment horizontal="center" vertical="center" wrapText="1"/>
      <protection locked="0"/>
    </xf>
    <xf numFmtId="175" fontId="28" fillId="0" borderId="49" xfId="4" applyNumberFormat="1" applyFont="1" applyFill="1" applyBorder="1" applyAlignment="1" applyProtection="1">
      <alignment horizontal="center" vertical="center"/>
      <protection locked="0"/>
    </xf>
    <xf numFmtId="175" fontId="28" fillId="0" borderId="78" xfId="4" applyNumberFormat="1" applyFont="1" applyFill="1" applyBorder="1" applyAlignment="1" applyProtection="1">
      <alignment horizontal="center" vertical="center"/>
      <protection locked="0"/>
    </xf>
    <xf numFmtId="175" fontId="28" fillId="0" borderId="82" xfId="4" applyNumberFormat="1" applyFont="1" applyFill="1" applyBorder="1" applyAlignment="1" applyProtection="1">
      <alignment horizontal="center" vertical="center"/>
      <protection locked="0"/>
    </xf>
    <xf numFmtId="43" fontId="29" fillId="4" borderId="49" xfId="4" applyFont="1" applyFill="1" applyBorder="1" applyAlignment="1" applyProtection="1">
      <alignment horizontal="center" vertical="center" wrapText="1"/>
      <protection locked="0"/>
    </xf>
    <xf numFmtId="175" fontId="28" fillId="0" borderId="49" xfId="4" applyNumberFormat="1" applyFont="1" applyFill="1" applyBorder="1" applyAlignment="1" applyProtection="1">
      <alignment horizontal="center" vertical="center" wrapText="1"/>
      <protection locked="0"/>
    </xf>
    <xf numFmtId="175" fontId="28" fillId="0" borderId="117" xfId="4" applyNumberFormat="1" applyFont="1" applyFill="1" applyBorder="1" applyAlignment="1" applyProtection="1">
      <alignment horizontal="center" vertical="center"/>
      <protection locked="0"/>
    </xf>
    <xf numFmtId="43" fontId="28" fillId="0" borderId="81" xfId="4" applyFont="1" applyFill="1" applyBorder="1" applyAlignment="1" applyProtection="1">
      <alignment horizontal="center" vertical="center" wrapText="1"/>
      <protection locked="0"/>
    </xf>
    <xf numFmtId="0" fontId="28" fillId="0" borderId="84" xfId="4" applyNumberFormat="1" applyFont="1" applyFill="1" applyBorder="1" applyAlignment="1" applyProtection="1">
      <alignment horizontal="center" vertical="center" wrapText="1"/>
      <protection locked="0"/>
    </xf>
    <xf numFmtId="175" fontId="28" fillId="0" borderId="61" xfId="4" applyNumberFormat="1" applyFont="1" applyFill="1" applyBorder="1" applyAlignment="1" applyProtection="1">
      <alignment horizontal="center" vertical="center"/>
      <protection locked="0"/>
    </xf>
    <xf numFmtId="2" fontId="28" fillId="0" borderId="0" xfId="0" applyNumberFormat="1" applyFont="1" applyAlignment="1">
      <alignment horizontal="center"/>
    </xf>
    <xf numFmtId="175" fontId="29" fillId="0" borderId="85" xfId="4" applyNumberFormat="1" applyFont="1" applyFill="1" applyBorder="1" applyAlignment="1" applyProtection="1">
      <alignment horizontal="center" vertical="center"/>
      <protection locked="0"/>
    </xf>
    <xf numFmtId="175" fontId="29" fillId="0" borderId="49" xfId="4" applyNumberFormat="1" applyFont="1" applyFill="1" applyBorder="1" applyAlignment="1" applyProtection="1">
      <alignment horizontal="center" vertical="center"/>
      <protection locked="0"/>
    </xf>
    <xf numFmtId="175" fontId="29" fillId="0" borderId="61" xfId="4" applyNumberFormat="1" applyFont="1" applyFill="1" applyBorder="1" applyAlignment="1" applyProtection="1">
      <alignment horizontal="center" vertical="center"/>
      <protection locked="0"/>
    </xf>
    <xf numFmtId="187" fontId="29" fillId="0" borderId="49" xfId="4" applyNumberFormat="1" applyFont="1" applyFill="1" applyBorder="1" applyAlignment="1" applyProtection="1">
      <alignment horizontal="left" vertical="center"/>
      <protection locked="0"/>
    </xf>
    <xf numFmtId="43" fontId="29" fillId="0" borderId="49" xfId="4" applyFont="1" applyFill="1" applyBorder="1" applyAlignment="1" applyProtection="1">
      <alignment horizontal="center" wrapText="1"/>
      <protection locked="0"/>
    </xf>
    <xf numFmtId="43" fontId="29" fillId="0" borderId="86" xfId="4" applyFont="1" applyFill="1" applyBorder="1" applyProtection="1"/>
    <xf numFmtId="186" fontId="28" fillId="0" borderId="49" xfId="4" applyNumberFormat="1" applyFont="1" applyFill="1" applyBorder="1" applyAlignment="1" applyProtection="1">
      <alignment horizontal="center" vertical="center"/>
      <protection locked="0"/>
    </xf>
    <xf numFmtId="43" fontId="28" fillId="0" borderId="86" xfId="4" applyFont="1" applyFill="1" applyBorder="1" applyProtection="1"/>
    <xf numFmtId="175" fontId="29" fillId="0" borderId="49" xfId="4" applyNumberFormat="1" applyFont="1" applyFill="1" applyBorder="1" applyAlignment="1" applyProtection="1">
      <alignment horizontal="center" vertical="center" wrapText="1"/>
      <protection locked="0"/>
    </xf>
    <xf numFmtId="187" fontId="28" fillId="0" borderId="49" xfId="4" applyNumberFormat="1" applyFont="1" applyFill="1" applyBorder="1" applyAlignment="1" applyProtection="1">
      <alignment horizontal="left" vertical="center"/>
      <protection locked="0"/>
    </xf>
    <xf numFmtId="43" fontId="28" fillId="0" borderId="49" xfId="4" applyFont="1" applyFill="1" applyBorder="1" applyAlignment="1" applyProtection="1">
      <alignment horizontal="center" wrapText="1"/>
      <protection locked="0"/>
    </xf>
    <xf numFmtId="2" fontId="28" fillId="0" borderId="49" xfId="4" applyNumberFormat="1" applyFont="1" applyFill="1" applyBorder="1" applyAlignment="1" applyProtection="1">
      <alignment horizontal="center" vertical="center"/>
      <protection locked="0"/>
    </xf>
    <xf numFmtId="175" fontId="28" fillId="8" borderId="69" xfId="4" applyNumberFormat="1" applyFont="1" applyFill="1" applyBorder="1" applyAlignment="1" applyProtection="1">
      <alignment horizontal="center" vertical="center"/>
      <protection locked="0"/>
    </xf>
    <xf numFmtId="175" fontId="28" fillId="8" borderId="69" xfId="4" applyNumberFormat="1" applyFont="1" applyFill="1" applyBorder="1" applyAlignment="1" applyProtection="1">
      <alignment horizontal="left" vertical="center" wrapText="1"/>
      <protection locked="0"/>
    </xf>
    <xf numFmtId="175" fontId="28" fillId="8" borderId="66" xfId="4" applyNumberFormat="1" applyFont="1" applyFill="1" applyBorder="1" applyAlignment="1" applyProtection="1">
      <alignment horizontal="center" vertical="center"/>
      <protection locked="0"/>
    </xf>
    <xf numFmtId="2" fontId="28" fillId="0" borderId="61" xfId="4" applyNumberFormat="1" applyFont="1" applyFill="1" applyBorder="1" applyAlignment="1" applyProtection="1">
      <alignment horizontal="center" vertical="center"/>
      <protection locked="0"/>
    </xf>
    <xf numFmtId="175" fontId="28" fillId="8" borderId="0" xfId="4" applyNumberFormat="1" applyFont="1" applyFill="1" applyBorder="1" applyAlignment="1" applyProtection="1">
      <alignment horizontal="center" vertical="center"/>
      <protection locked="0"/>
    </xf>
    <xf numFmtId="175" fontId="28" fillId="8" borderId="0" xfId="4" applyNumberFormat="1" applyFont="1" applyFill="1" applyBorder="1" applyAlignment="1" applyProtection="1">
      <alignment horizontal="left" vertical="center" wrapText="1"/>
      <protection locked="0"/>
    </xf>
    <xf numFmtId="175" fontId="28" fillId="8" borderId="110" xfId="4" applyNumberFormat="1" applyFont="1" applyFill="1" applyBorder="1" applyAlignment="1" applyProtection="1">
      <alignment horizontal="center" vertical="center"/>
      <protection locked="0"/>
    </xf>
    <xf numFmtId="175" fontId="28" fillId="8" borderId="113" xfId="4" applyNumberFormat="1" applyFont="1" applyFill="1" applyBorder="1" applyAlignment="1" applyProtection="1">
      <alignment horizontal="center" vertical="center"/>
      <protection locked="0"/>
    </xf>
    <xf numFmtId="175" fontId="28" fillId="8" borderId="113" xfId="4" applyNumberFormat="1" applyFont="1" applyFill="1" applyBorder="1" applyAlignment="1" applyProtection="1">
      <alignment horizontal="left" vertical="center" wrapText="1"/>
      <protection locked="0"/>
    </xf>
    <xf numFmtId="175" fontId="28" fillId="8" borderId="68" xfId="4" applyNumberFormat="1" applyFont="1" applyFill="1" applyBorder="1" applyAlignment="1" applyProtection="1">
      <alignment horizontal="center" vertical="center"/>
      <protection locked="0"/>
    </xf>
    <xf numFmtId="43" fontId="28" fillId="0" borderId="86" xfId="4" applyFont="1" applyFill="1" applyBorder="1" applyAlignment="1" applyProtection="1">
      <alignment horizontal="center"/>
    </xf>
    <xf numFmtId="2" fontId="29" fillId="0" borderId="49" xfId="0" applyNumberFormat="1" applyFont="1" applyBorder="1" applyAlignment="1" applyProtection="1">
      <alignment horizontal="center" vertical="center" wrapText="1"/>
      <protection locked="0"/>
    </xf>
    <xf numFmtId="0" fontId="29" fillId="0" borderId="49" xfId="0" applyFont="1" applyBorder="1" applyAlignment="1" applyProtection="1">
      <alignment horizontal="center" vertical="center" wrapText="1"/>
      <protection locked="0"/>
    </xf>
    <xf numFmtId="2" fontId="29" fillId="0" borderId="49" xfId="4" applyNumberFormat="1" applyFont="1" applyFill="1" applyBorder="1" applyAlignment="1" applyProtection="1">
      <alignment horizontal="center" vertical="center" wrapText="1"/>
      <protection locked="0"/>
    </xf>
    <xf numFmtId="43" fontId="29" fillId="0" borderId="49" xfId="4" applyFont="1" applyFill="1" applyBorder="1" applyAlignment="1" applyProtection="1">
      <alignment horizontal="center" vertical="center" wrapText="1"/>
      <protection locked="0"/>
    </xf>
    <xf numFmtId="187" fontId="29" fillId="0" borderId="49" xfId="4" applyNumberFormat="1" applyFont="1" applyFill="1" applyBorder="1" applyAlignment="1" applyProtection="1">
      <alignment horizontal="center" vertical="center" wrapText="1"/>
      <protection locked="0"/>
    </xf>
    <xf numFmtId="0" fontId="29" fillId="0" borderId="49" xfId="4" applyNumberFormat="1" applyFont="1" applyFill="1" applyBorder="1" applyAlignment="1" applyProtection="1">
      <alignment horizontal="center" vertical="center" wrapText="1"/>
      <protection locked="0"/>
    </xf>
    <xf numFmtId="43" fontId="29" fillId="0" borderId="86" xfId="4" applyFont="1" applyFill="1" applyBorder="1" applyAlignment="1" applyProtection="1">
      <alignment horizontal="center" vertical="center" wrapText="1"/>
      <protection locked="0"/>
    </xf>
    <xf numFmtId="2" fontId="29" fillId="4" borderId="83" xfId="0" applyNumberFormat="1" applyFont="1" applyFill="1" applyBorder="1" applyAlignment="1" applyProtection="1">
      <alignment horizontal="center" vertical="center" wrapText="1"/>
      <protection locked="0"/>
    </xf>
    <xf numFmtId="2" fontId="29" fillId="4" borderId="83" xfId="4" applyNumberFormat="1" applyFont="1" applyFill="1" applyBorder="1" applyAlignment="1" applyProtection="1">
      <alignment horizontal="center" vertical="center" wrapText="1"/>
      <protection locked="0"/>
    </xf>
    <xf numFmtId="187" fontId="29" fillId="4" borderId="49" xfId="4" applyNumberFormat="1" applyFont="1" applyFill="1" applyBorder="1" applyAlignment="1" applyProtection="1">
      <alignment horizontal="center" vertical="center" wrapText="1"/>
      <protection locked="0"/>
    </xf>
    <xf numFmtId="0" fontId="29" fillId="4" borderId="49" xfId="4" applyNumberFormat="1" applyFont="1" applyFill="1" applyBorder="1" applyAlignment="1" applyProtection="1">
      <alignment horizontal="center" vertical="center" wrapText="1"/>
      <protection locked="0"/>
    </xf>
    <xf numFmtId="43" fontId="29" fillId="4" borderId="86" xfId="4" applyFont="1" applyFill="1" applyBorder="1" applyAlignment="1" applyProtection="1">
      <alignment horizontal="center" vertical="center" wrapText="1"/>
      <protection locked="0"/>
    </xf>
    <xf numFmtId="2" fontId="28" fillId="0" borderId="49" xfId="0" applyNumberFormat="1" applyFont="1" applyBorder="1" applyAlignment="1">
      <alignment horizontal="center" vertical="center"/>
    </xf>
    <xf numFmtId="0" fontId="28" fillId="0" borderId="49" xfId="0" applyFont="1" applyBorder="1" applyAlignment="1">
      <alignment horizontal="center" wrapText="1"/>
    </xf>
    <xf numFmtId="0" fontId="28" fillId="0" borderId="86" xfId="0" applyFont="1" applyBorder="1"/>
    <xf numFmtId="0" fontId="28" fillId="0" borderId="86" xfId="0" applyFont="1" applyBorder="1" applyAlignment="1">
      <alignment horizontal="center"/>
    </xf>
    <xf numFmtId="175" fontId="28" fillId="0" borderId="85" xfId="4" applyNumberFormat="1" applyFont="1" applyFill="1" applyBorder="1" applyAlignment="1" applyProtection="1">
      <alignment horizontal="center" vertical="center" wrapText="1"/>
      <protection locked="0"/>
    </xf>
    <xf numFmtId="0" fontId="28" fillId="0" borderId="0" xfId="4" applyNumberFormat="1" applyFont="1" applyFill="1" applyBorder="1" applyAlignment="1" applyProtection="1">
      <alignment horizontal="center" vertical="center" wrapText="1"/>
      <protection locked="0"/>
    </xf>
    <xf numFmtId="2" fontId="29" fillId="4" borderId="49" xfId="0" applyNumberFormat="1" applyFont="1" applyFill="1" applyBorder="1" applyAlignment="1" applyProtection="1">
      <alignment horizontal="center" vertical="center" wrapText="1"/>
      <protection locked="0"/>
    </xf>
    <xf numFmtId="2" fontId="29" fillId="4" borderId="49" xfId="4" applyNumberFormat="1" applyFont="1" applyFill="1" applyBorder="1" applyAlignment="1" applyProtection="1">
      <alignment horizontal="center" vertical="center" wrapText="1"/>
      <protection locked="0"/>
    </xf>
    <xf numFmtId="187" fontId="29" fillId="4" borderId="49" xfId="0" applyNumberFormat="1" applyFont="1" applyFill="1" applyBorder="1" applyAlignment="1">
      <alignment horizontal="left" vertical="center"/>
    </xf>
    <xf numFmtId="0" fontId="29" fillId="4" borderId="49" xfId="0" applyFont="1" applyFill="1" applyBorder="1" applyAlignment="1">
      <alignment horizontal="center" wrapText="1"/>
    </xf>
    <xf numFmtId="0" fontId="29" fillId="4" borderId="86" xfId="0" applyFont="1" applyFill="1" applyBorder="1"/>
    <xf numFmtId="0" fontId="28" fillId="0" borderId="36" xfId="0" applyFont="1" applyBorder="1"/>
    <xf numFmtId="0" fontId="28" fillId="0" borderId="0" xfId="0" applyFont="1" applyAlignment="1">
      <alignment horizontal="center"/>
    </xf>
    <xf numFmtId="49" fontId="28" fillId="0" borderId="0" xfId="4" applyNumberFormat="1" applyFont="1" applyBorder="1" applyAlignment="1" applyProtection="1">
      <alignment horizontal="center"/>
    </xf>
    <xf numFmtId="43" fontId="28" fillId="0" borderId="0" xfId="4" applyFont="1" applyBorder="1" applyAlignment="1" applyProtection="1">
      <alignment horizontal="center"/>
    </xf>
    <xf numFmtId="187" fontId="28" fillId="0" borderId="0" xfId="0" applyNumberFormat="1" applyFont="1" applyAlignment="1">
      <alignment horizontal="left" vertical="center"/>
    </xf>
    <xf numFmtId="0" fontId="28" fillId="0" borderId="0" xfId="0" applyFont="1" applyAlignment="1">
      <alignment horizontal="center" wrapText="1"/>
    </xf>
    <xf numFmtId="0" fontId="28" fillId="0" borderId="1" xfId="0" applyFont="1" applyBorder="1"/>
    <xf numFmtId="0" fontId="29" fillId="0" borderId="0" xfId="0" applyFont="1" applyAlignment="1">
      <alignment horizontal="center"/>
    </xf>
    <xf numFmtId="0" fontId="29" fillId="0" borderId="0" xfId="0" applyFont="1" applyAlignment="1">
      <alignment horizontal="center" wrapText="1"/>
    </xf>
    <xf numFmtId="0" fontId="28" fillId="0" borderId="37" xfId="0" applyFont="1" applyBorder="1"/>
    <xf numFmtId="0" fontId="28" fillId="0" borderId="34" xfId="0" applyFont="1" applyBorder="1" applyAlignment="1">
      <alignment horizontal="center"/>
    </xf>
    <xf numFmtId="49" fontId="28" fillId="0" borderId="34" xfId="4" applyNumberFormat="1" applyFont="1" applyBorder="1" applyAlignment="1" applyProtection="1">
      <alignment horizontal="center"/>
    </xf>
    <xf numFmtId="43" fontId="28" fillId="0" borderId="34" xfId="4" applyFont="1" applyBorder="1" applyAlignment="1" applyProtection="1">
      <alignment horizontal="center"/>
    </xf>
    <xf numFmtId="187" fontId="28" fillId="0" borderId="34" xfId="0" applyNumberFormat="1" applyFont="1" applyBorder="1" applyAlignment="1">
      <alignment horizontal="left" vertical="center"/>
    </xf>
    <xf numFmtId="0" fontId="28" fillId="0" borderId="47" xfId="0" applyFont="1" applyBorder="1"/>
    <xf numFmtId="49" fontId="28" fillId="0" borderId="0" xfId="4" applyNumberFormat="1" applyFont="1" applyAlignment="1" applyProtection="1">
      <alignment horizontal="center"/>
    </xf>
    <xf numFmtId="43" fontId="28" fillId="0" borderId="0" xfId="4" applyFont="1" applyAlignment="1" applyProtection="1">
      <alignment horizontal="center"/>
    </xf>
    <xf numFmtId="172" fontId="29" fillId="16" borderId="86" xfId="0" applyNumberFormat="1" applyFont="1" applyFill="1" applyBorder="1" applyAlignment="1">
      <alignment horizontal="center" vertical="center"/>
    </xf>
    <xf numFmtId="9" fontId="28" fillId="7" borderId="49" xfId="8" applyFont="1" applyFill="1" applyBorder="1"/>
    <xf numFmtId="9" fontId="28" fillId="7" borderId="86" xfId="8" applyFont="1" applyFill="1" applyBorder="1"/>
    <xf numFmtId="183" fontId="29" fillId="13" borderId="88" xfId="0" applyNumberFormat="1" applyFont="1" applyFill="1" applyBorder="1" applyAlignment="1">
      <alignment horizontal="center" vertical="top"/>
    </xf>
    <xf numFmtId="9" fontId="28" fillId="13" borderId="49" xfId="8" applyFont="1" applyFill="1" applyBorder="1"/>
    <xf numFmtId="9" fontId="28" fillId="13" borderId="86" xfId="8" applyFont="1" applyFill="1" applyBorder="1"/>
    <xf numFmtId="10" fontId="28" fillId="7" borderId="49" xfId="8" applyNumberFormat="1" applyFont="1" applyFill="1" applyBorder="1"/>
    <xf numFmtId="10" fontId="28" fillId="13" borderId="49" xfId="8" applyNumberFormat="1" applyFont="1" applyFill="1" applyBorder="1"/>
    <xf numFmtId="10" fontId="28" fillId="13" borderId="86" xfId="8" applyNumberFormat="1" applyFont="1" applyFill="1" applyBorder="1"/>
    <xf numFmtId="172" fontId="29" fillId="16" borderId="97" xfId="0" applyNumberFormat="1" applyFont="1" applyFill="1" applyBorder="1" applyAlignment="1">
      <alignment horizontal="center" vertical="center"/>
    </xf>
    <xf numFmtId="0" fontId="32" fillId="0" borderId="0" xfId="0" applyFont="1" applyAlignment="1">
      <alignment horizontal="center"/>
    </xf>
    <xf numFmtId="0" fontId="30" fillId="0" borderId="36" xfId="0" applyFont="1" applyBorder="1"/>
    <xf numFmtId="0" fontId="30" fillId="0" borderId="1" xfId="0" applyFont="1" applyBorder="1"/>
    <xf numFmtId="0" fontId="32" fillId="0" borderId="36" xfId="0" applyFont="1" applyBorder="1"/>
    <xf numFmtId="0" fontId="32" fillId="0" borderId="1" xfId="0" applyFont="1" applyBorder="1"/>
    <xf numFmtId="0" fontId="32" fillId="0" borderId="37" xfId="0" applyFont="1" applyBorder="1"/>
    <xf numFmtId="0" fontId="32" fillId="0" borderId="34" xfId="0" applyFont="1" applyBorder="1"/>
    <xf numFmtId="0" fontId="32" fillId="0" borderId="47" xfId="0" applyFont="1" applyBorder="1"/>
    <xf numFmtId="0" fontId="29" fillId="0" borderId="36" xfId="0" applyFont="1" applyBorder="1" applyAlignment="1">
      <alignment horizontal="right" vertical="center"/>
    </xf>
    <xf numFmtId="0" fontId="29" fillId="12" borderId="70" xfId="0" applyFont="1" applyFill="1" applyBorder="1" applyAlignment="1">
      <alignment horizontal="center" vertical="center" wrapText="1"/>
    </xf>
    <xf numFmtId="0" fontId="29" fillId="12" borderId="71" xfId="0" applyFont="1" applyFill="1" applyBorder="1" applyAlignment="1">
      <alignment horizontal="center" vertical="center" wrapText="1"/>
    </xf>
    <xf numFmtId="0" fontId="29" fillId="12" borderId="93" xfId="0" applyFont="1" applyFill="1" applyBorder="1" applyAlignment="1">
      <alignment horizontal="center" vertical="center" wrapText="1"/>
    </xf>
    <xf numFmtId="0" fontId="28" fillId="8" borderId="88" xfId="0" applyFont="1" applyFill="1" applyBorder="1" applyAlignment="1">
      <alignment vertical="center" wrapText="1"/>
    </xf>
    <xf numFmtId="0" fontId="28" fillId="8" borderId="60" xfId="0" applyFont="1" applyFill="1" applyBorder="1" applyAlignment="1">
      <alignment vertical="center" wrapText="1"/>
    </xf>
    <xf numFmtId="4" fontId="28" fillId="8" borderId="49" xfId="0" applyNumberFormat="1" applyFont="1" applyFill="1" applyBorder="1" applyAlignment="1">
      <alignment horizontal="center" vertical="center" wrapText="1"/>
    </xf>
    <xf numFmtId="0" fontId="29" fillId="0" borderId="34" xfId="0" applyFont="1" applyBorder="1" applyAlignment="1">
      <alignment vertical="center" wrapText="1"/>
    </xf>
    <xf numFmtId="0" fontId="29" fillId="0" borderId="34" xfId="0" applyFont="1" applyBorder="1" applyAlignment="1">
      <alignment horizontal="right" vertical="center"/>
    </xf>
    <xf numFmtId="4" fontId="29" fillId="12" borderId="96" xfId="0" applyNumberFormat="1" applyFont="1" applyFill="1" applyBorder="1" applyAlignment="1">
      <alignment horizontal="center" vertical="center" wrapText="1"/>
    </xf>
    <xf numFmtId="4" fontId="28" fillId="0" borderId="1" xfId="0" applyNumberFormat="1" applyFont="1" applyBorder="1" applyAlignment="1">
      <alignment horizontal="center" vertical="center"/>
    </xf>
    <xf numFmtId="4" fontId="29" fillId="12" borderId="95" xfId="0" applyNumberFormat="1" applyFont="1" applyFill="1" applyBorder="1" applyAlignment="1">
      <alignment horizontal="center" vertical="center" wrapText="1"/>
    </xf>
    <xf numFmtId="0" fontId="28" fillId="8" borderId="88" xfId="0" applyFont="1" applyFill="1" applyBorder="1" applyAlignment="1">
      <alignment horizontal="center" vertical="center" wrapText="1"/>
    </xf>
    <xf numFmtId="0" fontId="28" fillId="8" borderId="60" xfId="0" applyFont="1" applyFill="1" applyBorder="1" applyAlignment="1">
      <alignment horizontal="center" vertical="center" wrapText="1"/>
    </xf>
    <xf numFmtId="10" fontId="28" fillId="8" borderId="49" xfId="8" applyNumberFormat="1" applyFont="1" applyFill="1" applyBorder="1" applyAlignment="1">
      <alignment horizontal="center" vertical="center" wrapText="1"/>
    </xf>
    <xf numFmtId="176" fontId="28" fillId="8" borderId="49" xfId="0" applyNumberFormat="1" applyFont="1" applyFill="1" applyBorder="1" applyAlignment="1">
      <alignment horizontal="center" vertical="center" wrapText="1"/>
    </xf>
    <xf numFmtId="4" fontId="28" fillId="8" borderId="86" xfId="0" applyNumberFormat="1" applyFont="1" applyFill="1" applyBorder="1" applyAlignment="1">
      <alignment horizontal="center" vertical="center" wrapText="1"/>
    </xf>
    <xf numFmtId="0" fontId="29" fillId="0" borderId="0" xfId="0" applyFont="1" applyAlignment="1">
      <alignment vertical="center" wrapText="1"/>
    </xf>
    <xf numFmtId="0" fontId="29" fillId="0" borderId="0" xfId="0" applyFont="1" applyAlignment="1">
      <alignment horizontal="right" vertical="center"/>
    </xf>
    <xf numFmtId="4" fontId="29" fillId="12" borderId="84" xfId="0" applyNumberFormat="1" applyFont="1" applyFill="1" applyBorder="1" applyAlignment="1">
      <alignment horizontal="center" vertical="center" wrapText="1"/>
    </xf>
    <xf numFmtId="4" fontId="29" fillId="12" borderId="86" xfId="0" applyNumberFormat="1" applyFont="1" applyFill="1" applyBorder="1" applyAlignment="1">
      <alignment horizontal="center" vertical="center" wrapText="1"/>
    </xf>
    <xf numFmtId="0" fontId="29" fillId="8" borderId="0" xfId="0" applyFont="1" applyFill="1" applyAlignment="1">
      <alignment vertical="center" wrapText="1"/>
    </xf>
    <xf numFmtId="0" fontId="29" fillId="8" borderId="0" xfId="0" applyFont="1" applyFill="1" applyAlignment="1">
      <alignment horizontal="right" vertical="center"/>
    </xf>
    <xf numFmtId="4" fontId="29" fillId="12" borderId="97" xfId="0" applyNumberFormat="1" applyFont="1" applyFill="1" applyBorder="1" applyAlignment="1">
      <alignment horizontal="center" vertical="center" wrapText="1"/>
    </xf>
    <xf numFmtId="0" fontId="28" fillId="8" borderId="85" xfId="0" applyFont="1" applyFill="1" applyBorder="1" applyAlignment="1">
      <alignment horizontal="center" vertical="center" wrapText="1"/>
    </xf>
    <xf numFmtId="0" fontId="28" fillId="8" borderId="49" xfId="0" applyFont="1" applyFill="1" applyBorder="1" applyAlignment="1">
      <alignment horizontal="center" vertical="center" wrapText="1"/>
    </xf>
    <xf numFmtId="0" fontId="28" fillId="0" borderId="59" xfId="0" applyFont="1" applyBorder="1" applyAlignment="1">
      <alignment horizontal="center" vertical="center" wrapText="1"/>
    </xf>
    <xf numFmtId="4" fontId="28" fillId="0" borderId="86" xfId="0" applyNumberFormat="1" applyFont="1" applyBorder="1" applyAlignment="1">
      <alignment horizontal="center" vertical="center" wrapText="1"/>
    </xf>
    <xf numFmtId="0" fontId="28" fillId="0" borderId="98" xfId="0" applyFont="1" applyBorder="1" applyAlignment="1">
      <alignment horizontal="center" vertical="center"/>
    </xf>
    <xf numFmtId="0" fontId="28" fillId="0" borderId="69" xfId="0" applyFont="1" applyBorder="1" applyAlignment="1">
      <alignment horizontal="center" vertical="center"/>
    </xf>
    <xf numFmtId="0" fontId="29" fillId="0" borderId="69" xfId="0" applyFont="1" applyBorder="1" applyAlignment="1">
      <alignment vertical="center" wrapText="1"/>
    </xf>
    <xf numFmtId="0" fontId="29" fillId="0" borderId="69" xfId="0" applyFont="1" applyBorder="1" applyAlignment="1">
      <alignment horizontal="right" vertical="center"/>
    </xf>
    <xf numFmtId="0" fontId="29" fillId="0" borderId="0" xfId="0" applyFont="1" applyAlignment="1">
      <alignment horizontal="right" vertical="center" wrapText="1"/>
    </xf>
    <xf numFmtId="180" fontId="29" fillId="8" borderId="0" xfId="0" applyNumberFormat="1" applyFont="1" applyFill="1" applyAlignment="1">
      <alignment horizontal="right" vertical="center"/>
    </xf>
    <xf numFmtId="0" fontId="29" fillId="12" borderId="105" xfId="0" applyFont="1" applyFill="1" applyBorder="1" applyAlignment="1">
      <alignment horizontal="center" vertical="center" wrapText="1"/>
    </xf>
    <xf numFmtId="4" fontId="28" fillId="8" borderId="59" xfId="0" applyNumberFormat="1" applyFont="1" applyFill="1" applyBorder="1" applyAlignment="1">
      <alignment horizontal="center" vertical="center" wrapText="1"/>
    </xf>
    <xf numFmtId="176" fontId="28" fillId="8" borderId="59" xfId="0" applyNumberFormat="1" applyFont="1" applyFill="1" applyBorder="1" applyAlignment="1">
      <alignment horizontal="center" vertical="center" wrapText="1"/>
    </xf>
    <xf numFmtId="0" fontId="28" fillId="0" borderId="0" xfId="0" applyFont="1" applyAlignment="1">
      <alignment horizontal="left"/>
    </xf>
    <xf numFmtId="0" fontId="28" fillId="0" borderId="88" xfId="0" applyFont="1" applyBorder="1" applyAlignment="1">
      <alignment horizontal="center" vertical="center"/>
    </xf>
    <xf numFmtId="0" fontId="28" fillId="0" borderId="60" xfId="0" applyFont="1" applyBorder="1" applyAlignment="1">
      <alignment horizontal="center" vertical="center"/>
    </xf>
    <xf numFmtId="164" fontId="28" fillId="8" borderId="49" xfId="0" applyNumberFormat="1" applyFont="1" applyFill="1" applyBorder="1" applyAlignment="1">
      <alignment horizontal="center" vertical="center" wrapText="1"/>
    </xf>
    <xf numFmtId="0" fontId="28" fillId="8" borderId="60" xfId="0" applyFont="1" applyFill="1" applyBorder="1" applyAlignment="1">
      <alignment horizontal="left" vertical="center" wrapText="1"/>
    </xf>
    <xf numFmtId="0" fontId="28" fillId="8" borderId="61" xfId="0" applyFont="1" applyFill="1" applyBorder="1" applyAlignment="1">
      <alignment horizontal="left" vertical="center" wrapText="1"/>
    </xf>
    <xf numFmtId="0" fontId="29" fillId="0" borderId="71" xfId="0" applyFont="1" applyBorder="1" applyAlignment="1">
      <alignment horizontal="center" vertical="center"/>
    </xf>
    <xf numFmtId="2" fontId="28" fillId="0" borderId="49" xfId="0" applyNumberFormat="1" applyFont="1" applyBorder="1" applyAlignment="1">
      <alignment horizontal="center" vertical="center" wrapText="1"/>
    </xf>
    <xf numFmtId="185" fontId="28" fillId="8" borderId="49" xfId="0" applyNumberFormat="1" applyFont="1" applyFill="1" applyBorder="1" applyAlignment="1">
      <alignment horizontal="center" vertical="center" wrapText="1"/>
    </xf>
    <xf numFmtId="0" fontId="28" fillId="0" borderId="112" xfId="0" applyFont="1" applyBorder="1" applyAlignment="1">
      <alignment horizontal="center" vertical="center" wrapText="1"/>
    </xf>
    <xf numFmtId="0" fontId="28" fillId="0" borderId="60" xfId="0" applyFont="1" applyBorder="1" applyAlignment="1">
      <alignment vertical="center" wrapText="1"/>
    </xf>
    <xf numFmtId="0" fontId="28" fillId="0" borderId="83" xfId="0" applyFont="1" applyBorder="1" applyAlignment="1">
      <alignment horizontal="center" vertical="center" wrapText="1"/>
    </xf>
    <xf numFmtId="2" fontId="28" fillId="0" borderId="83" xfId="0" applyNumberFormat="1" applyFont="1" applyBorder="1" applyAlignment="1">
      <alignment horizontal="center" vertical="center" wrapText="1"/>
    </xf>
    <xf numFmtId="178" fontId="28" fillId="0" borderId="83" xfId="0" applyNumberFormat="1" applyFont="1" applyBorder="1" applyAlignment="1">
      <alignment horizontal="center" vertical="center" wrapText="1"/>
    </xf>
    <xf numFmtId="4" fontId="28" fillId="0" borderId="84" xfId="0" applyNumberFormat="1" applyFont="1" applyBorder="1" applyAlignment="1">
      <alignment horizontal="center" vertical="center" wrapText="1"/>
    </xf>
    <xf numFmtId="0" fontId="28" fillId="0" borderId="113" xfId="0" applyFont="1" applyBorder="1" applyAlignment="1">
      <alignment horizontal="center" vertical="center" wrapText="1"/>
    </xf>
    <xf numFmtId="10" fontId="28" fillId="8" borderId="0" xfId="8" applyNumberFormat="1" applyFont="1" applyFill="1" applyBorder="1" applyAlignment="1">
      <alignment horizontal="center" vertical="center" wrapText="1"/>
    </xf>
    <xf numFmtId="2" fontId="28" fillId="0" borderId="0" xfId="0" applyNumberFormat="1" applyFont="1" applyAlignment="1">
      <alignment horizontal="center" vertical="center" wrapText="1"/>
    </xf>
    <xf numFmtId="178" fontId="28" fillId="0" borderId="0" xfId="0" applyNumberFormat="1" applyFont="1" applyAlignment="1">
      <alignment horizontal="center" vertical="center" wrapText="1"/>
    </xf>
    <xf numFmtId="0" fontId="28" fillId="8" borderId="0" xfId="0" applyFont="1" applyFill="1" applyAlignment="1">
      <alignment horizontal="center" vertical="center" wrapText="1"/>
    </xf>
    <xf numFmtId="4" fontId="28" fillId="8" borderId="0" xfId="0" applyNumberFormat="1" applyFont="1" applyFill="1" applyAlignment="1">
      <alignment horizontal="center" vertical="center" wrapText="1"/>
    </xf>
    <xf numFmtId="176" fontId="28" fillId="8" borderId="0" xfId="0" applyNumberFormat="1" applyFont="1" applyFill="1" applyAlignment="1">
      <alignment horizontal="center" vertical="center" wrapText="1"/>
    </xf>
    <xf numFmtId="0" fontId="28" fillId="0" borderId="60" xfId="0" applyFont="1" applyBorder="1" applyAlignment="1">
      <alignment horizontal="center" vertical="center" wrapText="1"/>
    </xf>
    <xf numFmtId="184" fontId="28" fillId="8" borderId="49" xfId="0" applyNumberFormat="1" applyFont="1" applyFill="1" applyBorder="1" applyAlignment="1">
      <alignment horizontal="center" vertical="center" wrapText="1"/>
    </xf>
    <xf numFmtId="188" fontId="28" fillId="8" borderId="49" xfId="0" applyNumberFormat="1" applyFont="1" applyFill="1" applyBorder="1" applyAlignment="1">
      <alignment horizontal="center" vertical="center" wrapText="1"/>
    </xf>
    <xf numFmtId="0" fontId="28" fillId="8" borderId="59" xfId="0" applyFont="1" applyFill="1" applyBorder="1" applyAlignment="1">
      <alignment horizontal="center" vertical="center" wrapText="1"/>
    </xf>
    <xf numFmtId="1" fontId="28" fillId="8" borderId="88" xfId="0" applyNumberFormat="1" applyFont="1" applyFill="1" applyBorder="1" applyAlignment="1">
      <alignment horizontal="center" vertical="center" wrapText="1"/>
    </xf>
    <xf numFmtId="0" fontId="28" fillId="8" borderId="34" xfId="0" applyFont="1" applyFill="1" applyBorder="1" applyAlignment="1">
      <alignment horizontal="center" vertical="center" wrapText="1"/>
    </xf>
    <xf numFmtId="0" fontId="29" fillId="0" borderId="36" xfId="0" applyFont="1" applyBorder="1"/>
    <xf numFmtId="0" fontId="29" fillId="0" borderId="1" xfId="0" applyFont="1" applyBorder="1"/>
    <xf numFmtId="0" fontId="28" fillId="0" borderId="34" xfId="0" applyFont="1" applyBorder="1"/>
    <xf numFmtId="0" fontId="29" fillId="0" borderId="102" xfId="0" applyFont="1" applyBorder="1" applyAlignment="1">
      <alignment horizontal="center" vertical="center"/>
    </xf>
    <xf numFmtId="0" fontId="29" fillId="0" borderId="100" xfId="0" applyFont="1" applyBorder="1" applyAlignment="1">
      <alignment horizontal="center" vertical="center"/>
    </xf>
    <xf numFmtId="179" fontId="28" fillId="0" borderId="101" xfId="0" applyNumberFormat="1" applyFont="1" applyBorder="1" applyAlignment="1">
      <alignment horizontal="center" vertical="center" wrapText="1"/>
    </xf>
    <xf numFmtId="179" fontId="28" fillId="0" borderId="104" xfId="0" applyNumberFormat="1" applyFont="1" applyBorder="1" applyAlignment="1">
      <alignment horizontal="center" vertical="center"/>
    </xf>
    <xf numFmtId="179" fontId="28" fillId="0" borderId="66" xfId="0" applyNumberFormat="1" applyFont="1" applyBorder="1" applyAlignment="1">
      <alignment horizontal="center" vertical="center"/>
    </xf>
    <xf numFmtId="179" fontId="28" fillId="0" borderId="79" xfId="0" applyNumberFormat="1" applyFont="1" applyBorder="1" applyAlignment="1">
      <alignment horizontal="center" vertical="center" wrapText="1"/>
    </xf>
    <xf numFmtId="175" fontId="28" fillId="0" borderId="78" xfId="4" applyNumberFormat="1" applyFont="1" applyFill="1" applyBorder="1" applyAlignment="1" applyProtection="1">
      <alignment horizontal="center" vertical="center" wrapText="1"/>
      <protection locked="0"/>
    </xf>
    <xf numFmtId="175" fontId="28" fillId="0" borderId="82" xfId="4" applyNumberFormat="1" applyFont="1" applyFill="1" applyBorder="1" applyAlignment="1" applyProtection="1">
      <alignment horizontal="center" vertical="center" wrapText="1"/>
      <protection locked="0"/>
    </xf>
    <xf numFmtId="175" fontId="28" fillId="0" borderId="117" xfId="4" applyNumberFormat="1" applyFont="1" applyFill="1" applyBorder="1" applyAlignment="1" applyProtection="1">
      <alignment horizontal="center" vertical="center" wrapText="1"/>
      <protection locked="0"/>
    </xf>
    <xf numFmtId="0" fontId="29" fillId="0" borderId="0" xfId="0" applyFont="1" applyBorder="1" applyAlignment="1">
      <alignment horizontal="center" vertical="center" wrapText="1"/>
    </xf>
    <xf numFmtId="0" fontId="28" fillId="0" borderId="0" xfId="0" applyFont="1" applyBorder="1" applyAlignment="1">
      <alignment horizontal="center" vertical="center" wrapText="1"/>
    </xf>
    <xf numFmtId="17" fontId="28" fillId="0" borderId="0" xfId="0" applyNumberFormat="1" applyFont="1" applyBorder="1" applyAlignment="1">
      <alignment horizontal="center" vertical="center"/>
    </xf>
    <xf numFmtId="0" fontId="26" fillId="8" borderId="60" xfId="0" applyFont="1" applyFill="1" applyBorder="1" applyAlignment="1">
      <alignment horizontal="center" vertical="center" wrapText="1"/>
    </xf>
    <xf numFmtId="0" fontId="25" fillId="0" borderId="34" xfId="0" applyFont="1" applyBorder="1" applyAlignment="1">
      <alignment horizontal="right" vertical="center"/>
    </xf>
    <xf numFmtId="0" fontId="23" fillId="0" borderId="71" xfId="0" applyFont="1" applyBorder="1" applyAlignment="1">
      <alignment horizontal="center" vertical="center"/>
    </xf>
    <xf numFmtId="0" fontId="26" fillId="8" borderId="60" xfId="0" applyFont="1" applyFill="1" applyBorder="1" applyAlignment="1">
      <alignment horizontal="center" vertical="center" wrapText="1"/>
    </xf>
    <xf numFmtId="0" fontId="25" fillId="0" borderId="34" xfId="0" applyFont="1" applyBorder="1" applyAlignment="1">
      <alignment horizontal="right" vertical="center"/>
    </xf>
    <xf numFmtId="0" fontId="23" fillId="0" borderId="71" xfId="0" applyFont="1" applyBorder="1" applyAlignment="1">
      <alignment horizontal="center" vertical="center"/>
    </xf>
    <xf numFmtId="164" fontId="29" fillId="0" borderId="34" xfId="5" applyFont="1" applyFill="1" applyBorder="1" applyAlignment="1">
      <alignment horizontal="right" vertical="center" wrapText="1"/>
    </xf>
    <xf numFmtId="10" fontId="29" fillId="0" borderId="47" xfId="6" applyNumberFormat="1" applyFont="1" applyFill="1" applyBorder="1" applyAlignment="1">
      <alignment horizontal="left" vertical="center"/>
    </xf>
    <xf numFmtId="10" fontId="29" fillId="0" borderId="1" xfId="6" applyNumberFormat="1" applyFont="1" applyFill="1" applyBorder="1" applyAlignment="1">
      <alignment horizontal="left" vertical="center"/>
    </xf>
    <xf numFmtId="164" fontId="29" fillId="0" borderId="0" xfId="5" applyFont="1" applyFill="1" applyBorder="1" applyAlignment="1">
      <alignment horizontal="right" vertical="center" wrapText="1"/>
    </xf>
    <xf numFmtId="164" fontId="30" fillId="7" borderId="119" xfId="5" applyFont="1" applyFill="1" applyBorder="1" applyAlignment="1">
      <alignment horizontal="center" vertical="center" wrapText="1"/>
    </xf>
    <xf numFmtId="0" fontId="29" fillId="0" borderId="0" xfId="0" applyFont="1" applyBorder="1" applyAlignment="1">
      <alignment vertical="center" wrapText="1"/>
    </xf>
    <xf numFmtId="0" fontId="30" fillId="0" borderId="0" xfId="0" applyFont="1" applyFill="1" applyBorder="1" applyAlignment="1">
      <alignment horizontal="right" vertical="center" wrapText="1"/>
    </xf>
    <xf numFmtId="0" fontId="26" fillId="8" borderId="60" xfId="0" applyFont="1" applyFill="1" applyBorder="1" applyAlignment="1">
      <alignment horizontal="center" vertical="center" wrapText="1"/>
    </xf>
    <xf numFmtId="0" fontId="25" fillId="0" borderId="34" xfId="0" applyFont="1" applyBorder="1" applyAlignment="1">
      <alignment horizontal="right" vertical="center"/>
    </xf>
    <xf numFmtId="0" fontId="23" fillId="0" borderId="71" xfId="0" applyFont="1" applyBorder="1" applyAlignment="1">
      <alignment horizontal="center" vertical="center"/>
    </xf>
    <xf numFmtId="10" fontId="30" fillId="0" borderId="1" xfId="1" applyNumberFormat="1" applyFont="1" applyFill="1" applyBorder="1" applyAlignment="1">
      <alignment horizontal="left" vertical="center" wrapText="1"/>
    </xf>
    <xf numFmtId="0" fontId="30" fillId="0" borderId="34" xfId="0" applyFont="1" applyFill="1" applyBorder="1" applyAlignment="1">
      <alignment horizontal="left" vertical="center" wrapText="1"/>
    </xf>
    <xf numFmtId="10" fontId="30" fillId="0" borderId="34" xfId="1" applyNumberFormat="1" applyFont="1" applyFill="1" applyBorder="1" applyAlignment="1">
      <alignment horizontal="right" vertical="center" wrapText="1"/>
    </xf>
    <xf numFmtId="164" fontId="30" fillId="0" borderId="34" xfId="5" applyFont="1" applyFill="1" applyBorder="1" applyAlignment="1">
      <alignment vertical="center" wrapText="1"/>
    </xf>
    <xf numFmtId="164" fontId="30" fillId="0" borderId="34" xfId="5" applyFont="1" applyFill="1" applyBorder="1" applyAlignment="1">
      <alignment horizontal="right" vertical="center" wrapText="1"/>
    </xf>
    <xf numFmtId="10" fontId="30" fillId="0" borderId="47" xfId="6" applyNumberFormat="1" applyFont="1" applyFill="1" applyBorder="1" applyAlignment="1">
      <alignment horizontal="left" vertical="center"/>
    </xf>
    <xf numFmtId="10" fontId="30" fillId="0" borderId="0" xfId="1" applyNumberFormat="1" applyFont="1" applyFill="1" applyBorder="1" applyAlignment="1">
      <alignment horizontal="left" vertical="center" wrapText="1"/>
    </xf>
    <xf numFmtId="10" fontId="30" fillId="0" borderId="34" xfId="6" applyNumberFormat="1" applyFont="1" applyFill="1" applyBorder="1" applyAlignment="1">
      <alignment horizontal="left" vertical="center"/>
    </xf>
    <xf numFmtId="9" fontId="34" fillId="0" borderId="49" xfId="6" applyFont="1" applyBorder="1" applyAlignment="1">
      <alignment horizontal="center" vertical="center"/>
    </xf>
    <xf numFmtId="10" fontId="30" fillId="0" borderId="0" xfId="1" applyNumberFormat="1" applyFont="1" applyFill="1" applyBorder="1" applyAlignment="1">
      <alignment horizontal="right" vertical="center" wrapText="1"/>
    </xf>
    <xf numFmtId="164" fontId="30" fillId="0" borderId="0" xfId="5" applyFont="1" applyFill="1" applyBorder="1" applyAlignment="1">
      <alignment horizontal="right" vertical="center" wrapText="1"/>
    </xf>
    <xf numFmtId="10" fontId="30" fillId="0" borderId="0" xfId="6" applyNumberFormat="1" applyFont="1" applyFill="1" applyBorder="1" applyAlignment="1">
      <alignment horizontal="left" vertical="center"/>
    </xf>
    <xf numFmtId="43" fontId="34" fillId="0" borderId="95" xfId="1" applyFont="1" applyBorder="1" applyAlignment="1">
      <alignment vertical="center"/>
    </xf>
    <xf numFmtId="0" fontId="34" fillId="0" borderId="93" xfId="0" applyFont="1" applyBorder="1" applyAlignment="1">
      <alignment horizontal="center" vertical="center"/>
    </xf>
    <xf numFmtId="9" fontId="34" fillId="18" borderId="86" xfId="6" applyFont="1" applyFill="1" applyBorder="1" applyAlignment="1">
      <alignment horizontal="center" vertical="center"/>
    </xf>
    <xf numFmtId="9" fontId="34" fillId="19" borderId="86" xfId="6" applyFont="1" applyFill="1" applyBorder="1" applyAlignment="1">
      <alignment horizontal="center" vertical="center"/>
    </xf>
    <xf numFmtId="9" fontId="34" fillId="0" borderId="101" xfId="6" applyFont="1" applyBorder="1" applyAlignment="1">
      <alignment horizontal="center" vertical="center"/>
    </xf>
    <xf numFmtId="9" fontId="34" fillId="20" borderId="97" xfId="6" applyFont="1" applyFill="1" applyBorder="1" applyAlignment="1">
      <alignment horizontal="center" vertical="center"/>
    </xf>
    <xf numFmtId="0" fontId="17" fillId="0" borderId="49" xfId="0" applyFont="1" applyBorder="1" applyAlignment="1">
      <alignment horizontal="center" vertical="center" wrapText="1"/>
    </xf>
    <xf numFmtId="0" fontId="17" fillId="0" borderId="80" xfId="0" applyFont="1" applyFill="1" applyBorder="1" applyAlignment="1">
      <alignment vertical="center" wrapText="1"/>
    </xf>
    <xf numFmtId="0" fontId="26" fillId="8" borderId="60" xfId="0" applyFont="1" applyFill="1" applyBorder="1" applyAlignment="1">
      <alignment horizontal="center" vertical="center" wrapText="1"/>
    </xf>
    <xf numFmtId="0" fontId="25" fillId="0" borderId="34" xfId="0" applyFont="1" applyBorder="1" applyAlignment="1">
      <alignment horizontal="right" vertical="center"/>
    </xf>
    <xf numFmtId="0" fontId="23" fillId="0" borderId="71" xfId="0" applyFont="1" applyBorder="1" applyAlignment="1">
      <alignment horizontal="center" vertical="center"/>
    </xf>
    <xf numFmtId="0" fontId="28" fillId="0" borderId="59" xfId="0" applyFont="1" applyBorder="1" applyAlignment="1">
      <alignment horizontal="center" vertical="center" wrapText="1"/>
    </xf>
    <xf numFmtId="0" fontId="23" fillId="0" borderId="0" xfId="0" applyFont="1" applyBorder="1" applyAlignment="1">
      <alignment vertical="center"/>
    </xf>
    <xf numFmtId="0" fontId="39" fillId="0" borderId="0" xfId="0" applyFont="1" applyBorder="1" applyAlignment="1">
      <alignment vertical="center"/>
    </xf>
    <xf numFmtId="0" fontId="39" fillId="0" borderId="34" xfId="0" applyFont="1" applyBorder="1" applyAlignment="1">
      <alignment vertical="center"/>
    </xf>
    <xf numFmtId="0" fontId="28" fillId="0" borderId="35" xfId="0" applyFont="1" applyBorder="1"/>
    <xf numFmtId="0" fontId="28" fillId="0" borderId="3" xfId="0" applyFont="1" applyBorder="1"/>
    <xf numFmtId="0" fontId="28" fillId="0" borderId="46" xfId="0" applyFont="1" applyBorder="1"/>
    <xf numFmtId="0" fontId="28" fillId="0" borderId="0" xfId="0" applyFont="1" applyBorder="1"/>
    <xf numFmtId="179" fontId="29" fillId="0" borderId="36" xfId="0" applyNumberFormat="1" applyFont="1" applyBorder="1" applyAlignment="1">
      <alignment horizontal="center" vertical="center"/>
    </xf>
    <xf numFmtId="0" fontId="28" fillId="0" borderId="1" xfId="0" applyFont="1" applyBorder="1" applyAlignment="1">
      <alignment horizontal="center" vertical="center"/>
    </xf>
    <xf numFmtId="0" fontId="29" fillId="0" borderId="36" xfId="0" applyFont="1" applyBorder="1" applyAlignment="1">
      <alignment horizontal="center" vertical="center"/>
    </xf>
    <xf numFmtId="4" fontId="25" fillId="0" borderId="96" xfId="0" applyNumberFormat="1" applyFont="1" applyFill="1" applyBorder="1" applyAlignment="1">
      <alignment horizontal="center" vertical="center" wrapText="1"/>
    </xf>
    <xf numFmtId="4" fontId="26" fillId="0" borderId="114" xfId="0" applyNumberFormat="1" applyFont="1" applyFill="1" applyBorder="1" applyAlignment="1">
      <alignment horizontal="center" vertical="center" wrapText="1"/>
    </xf>
    <xf numFmtId="0" fontId="26" fillId="0" borderId="36" xfId="0" applyFont="1" applyFill="1" applyBorder="1" applyAlignment="1">
      <alignment horizontal="center" vertical="center" wrapText="1"/>
    </xf>
    <xf numFmtId="0" fontId="26" fillId="0" borderId="0" xfId="0" applyFont="1" applyFill="1" applyBorder="1" applyAlignment="1">
      <alignment horizontal="center" vertical="center" wrapText="1"/>
    </xf>
    <xf numFmtId="164" fontId="26" fillId="0" borderId="0" xfId="0" applyNumberFormat="1" applyFont="1" applyFill="1" applyBorder="1" applyAlignment="1">
      <alignment horizontal="center" vertical="center" wrapText="1"/>
    </xf>
    <xf numFmtId="0" fontId="32" fillId="0" borderId="8" xfId="0" quotePrefix="1" applyFont="1" applyBorder="1" applyAlignment="1">
      <alignment horizontal="center" vertical="center"/>
    </xf>
    <xf numFmtId="175" fontId="38" fillId="0" borderId="36" xfId="4" applyNumberFormat="1" applyFont="1" applyFill="1" applyBorder="1" applyAlignment="1" applyProtection="1">
      <alignment horizontal="center" vertical="center"/>
      <protection locked="0"/>
    </xf>
    <xf numFmtId="2" fontId="38" fillId="0" borderId="0" xfId="0" applyNumberFormat="1" applyFont="1" applyFill="1" applyBorder="1" applyAlignment="1" applyProtection="1">
      <alignment horizontal="center" vertical="center" wrapText="1"/>
      <protection locked="0"/>
    </xf>
    <xf numFmtId="0" fontId="38" fillId="0" borderId="0" xfId="0" applyNumberFormat="1" applyFont="1" applyFill="1" applyBorder="1" applyAlignment="1" applyProtection="1">
      <alignment horizontal="center" vertical="center" wrapText="1"/>
      <protection locked="0"/>
    </xf>
    <xf numFmtId="2" fontId="38" fillId="0" borderId="0" xfId="4" applyNumberFormat="1" applyFont="1" applyFill="1" applyBorder="1" applyAlignment="1" applyProtection="1">
      <alignment horizontal="left" vertical="center" wrapText="1"/>
      <protection locked="0"/>
    </xf>
    <xf numFmtId="43" fontId="38" fillId="0" borderId="0" xfId="4" applyFont="1" applyFill="1" applyBorder="1" applyAlignment="1" applyProtection="1">
      <alignment horizontal="center" vertical="center" wrapText="1"/>
      <protection locked="0"/>
    </xf>
    <xf numFmtId="2" fontId="38" fillId="0" borderId="0" xfId="4" applyNumberFormat="1" applyFont="1" applyFill="1" applyBorder="1" applyAlignment="1" applyProtection="1">
      <alignment horizontal="center" vertical="center" wrapText="1"/>
      <protection locked="0"/>
    </xf>
    <xf numFmtId="0" fontId="38" fillId="0" borderId="0" xfId="4" applyNumberFormat="1" applyFont="1" applyFill="1" applyBorder="1" applyAlignment="1" applyProtection="1">
      <alignment horizontal="center" vertical="center" wrapText="1"/>
      <protection locked="0"/>
    </xf>
    <xf numFmtId="43" fontId="38" fillId="0" borderId="1" xfId="4" applyFont="1" applyFill="1" applyBorder="1" applyAlignment="1" applyProtection="1">
      <alignment horizontal="center" vertical="center" wrapText="1"/>
      <protection locked="0"/>
    </xf>
    <xf numFmtId="175" fontId="38" fillId="0" borderId="98" xfId="4" applyNumberFormat="1" applyFont="1" applyFill="1" applyBorder="1" applyAlignment="1" applyProtection="1">
      <alignment vertical="center"/>
      <protection locked="0"/>
    </xf>
    <xf numFmtId="175" fontId="38" fillId="0" borderId="69" xfId="4" applyNumberFormat="1" applyFont="1" applyFill="1" applyBorder="1" applyAlignment="1" applyProtection="1">
      <alignment vertical="center"/>
      <protection locked="0"/>
    </xf>
    <xf numFmtId="175" fontId="38" fillId="0" borderId="94" xfId="4" applyNumberFormat="1" applyFont="1" applyFill="1" applyBorder="1" applyAlignment="1" applyProtection="1">
      <alignment vertical="center"/>
      <protection locked="0"/>
    </xf>
    <xf numFmtId="175" fontId="38" fillId="0" borderId="36" xfId="4" applyNumberFormat="1" applyFont="1" applyFill="1" applyBorder="1" applyAlignment="1" applyProtection="1">
      <alignment vertical="center"/>
      <protection locked="0"/>
    </xf>
    <xf numFmtId="175" fontId="38" fillId="0" borderId="0" xfId="4" applyNumberFormat="1" applyFont="1" applyFill="1" applyBorder="1" applyAlignment="1" applyProtection="1">
      <alignment vertical="center"/>
      <protection locked="0"/>
    </xf>
    <xf numFmtId="175" fontId="38" fillId="0" borderId="1" xfId="4" applyNumberFormat="1" applyFont="1" applyFill="1" applyBorder="1" applyAlignment="1" applyProtection="1">
      <alignment vertical="center"/>
      <protection locked="0"/>
    </xf>
    <xf numFmtId="175" fontId="38" fillId="0" borderId="112" xfId="4" applyNumberFormat="1" applyFont="1" applyFill="1" applyBorder="1" applyAlignment="1" applyProtection="1">
      <alignment vertical="center"/>
      <protection locked="0"/>
    </xf>
    <xf numFmtId="175" fontId="38" fillId="0" borderId="113" xfId="4" applyNumberFormat="1" applyFont="1" applyFill="1" applyBorder="1" applyAlignment="1" applyProtection="1">
      <alignment vertical="center"/>
      <protection locked="0"/>
    </xf>
    <xf numFmtId="175" fontId="38" fillId="0" borderId="120" xfId="4" applyNumberFormat="1" applyFont="1" applyFill="1" applyBorder="1" applyAlignment="1" applyProtection="1">
      <alignment vertical="center"/>
      <protection locked="0"/>
    </xf>
    <xf numFmtId="175" fontId="38" fillId="0" borderId="49" xfId="4" applyNumberFormat="1" applyFont="1" applyFill="1" applyBorder="1" applyAlignment="1" applyProtection="1">
      <alignment horizontal="center" vertical="center"/>
      <protection locked="0"/>
    </xf>
    <xf numFmtId="43" fontId="38" fillId="0" borderId="86" xfId="4" applyFont="1" applyFill="1" applyBorder="1" applyAlignment="1" applyProtection="1">
      <alignment horizontal="center" vertical="center"/>
    </xf>
    <xf numFmtId="0" fontId="28" fillId="0" borderId="49" xfId="0" applyFont="1" applyBorder="1"/>
    <xf numFmtId="0" fontId="26" fillId="8" borderId="60" xfId="0" applyFont="1" applyFill="1" applyBorder="1" applyAlignment="1">
      <alignment horizontal="center" vertical="center" wrapText="1"/>
    </xf>
    <xf numFmtId="0" fontId="25" fillId="0" borderId="34" xfId="0" applyFont="1" applyBorder="1" applyAlignment="1">
      <alignment horizontal="right" vertical="center"/>
    </xf>
    <xf numFmtId="0" fontId="23" fillId="0" borderId="71" xfId="0" applyFont="1" applyBorder="1" applyAlignment="1">
      <alignment horizontal="center" vertical="center"/>
    </xf>
    <xf numFmtId="0" fontId="28" fillId="8" borderId="60" xfId="0" applyFont="1" applyFill="1" applyBorder="1" applyAlignment="1">
      <alignment horizontal="center" vertical="center" wrapText="1"/>
    </xf>
    <xf numFmtId="0" fontId="28" fillId="0" borderId="59" xfId="0" applyFont="1" applyBorder="1" applyAlignment="1">
      <alignment horizontal="center" vertical="center" wrapText="1"/>
    </xf>
    <xf numFmtId="0" fontId="28" fillId="8" borderId="60" xfId="0" applyFont="1" applyFill="1" applyBorder="1" applyAlignment="1">
      <alignment horizontal="center" vertical="center" wrapText="1"/>
    </xf>
    <xf numFmtId="0" fontId="29" fillId="0" borderId="34" xfId="0" applyFont="1" applyBorder="1" applyAlignment="1">
      <alignment horizontal="right" vertical="center"/>
    </xf>
    <xf numFmtId="43" fontId="38" fillId="0" borderId="86" xfId="4" applyFont="1" applyFill="1" applyBorder="1" applyAlignment="1" applyProtection="1">
      <alignment horizontal="center" vertical="center" wrapText="1"/>
    </xf>
    <xf numFmtId="179" fontId="29" fillId="0" borderId="0" xfId="0" applyNumberFormat="1" applyFont="1" applyBorder="1" applyAlignment="1">
      <alignment horizontal="center" vertical="center"/>
    </xf>
    <xf numFmtId="179" fontId="28" fillId="0" borderId="0" xfId="0" applyNumberFormat="1" applyFont="1" applyBorder="1" applyAlignment="1">
      <alignment horizontal="center" vertical="center" wrapText="1"/>
    </xf>
    <xf numFmtId="0" fontId="26" fillId="8" borderId="60" xfId="0" applyFont="1" applyFill="1" applyBorder="1" applyAlignment="1">
      <alignment horizontal="center" vertical="center" wrapText="1"/>
    </xf>
    <xf numFmtId="0" fontId="28" fillId="8" borderId="60" xfId="0" applyFont="1" applyFill="1" applyBorder="1" applyAlignment="1">
      <alignment horizontal="center" vertical="center" wrapText="1"/>
    </xf>
    <xf numFmtId="2" fontId="28" fillId="0" borderId="0" xfId="0" applyNumberFormat="1" applyFont="1" applyAlignment="1">
      <alignment horizontal="center" vertical="center"/>
    </xf>
    <xf numFmtId="0" fontId="26" fillId="8" borderId="60" xfId="0" applyFont="1" applyFill="1" applyBorder="1" applyAlignment="1">
      <alignment horizontal="center" vertical="center" wrapText="1"/>
    </xf>
    <xf numFmtId="0" fontId="25" fillId="0" borderId="34" xfId="0" applyFont="1" applyBorder="1" applyAlignment="1">
      <alignment horizontal="right" vertical="center"/>
    </xf>
    <xf numFmtId="0" fontId="23" fillId="0" borderId="71" xfId="0" applyFont="1" applyBorder="1" applyAlignment="1">
      <alignment horizontal="center" vertical="center"/>
    </xf>
    <xf numFmtId="0" fontId="26" fillId="8" borderId="61" xfId="0" applyFont="1" applyFill="1" applyBorder="1" applyAlignment="1">
      <alignment horizontal="center" vertical="center" wrapText="1"/>
    </xf>
    <xf numFmtId="43" fontId="35" fillId="0" borderId="0" xfId="1" applyFont="1" applyAlignment="1">
      <alignment horizontal="center" vertical="center" wrapText="1"/>
    </xf>
    <xf numFmtId="43" fontId="28" fillId="0" borderId="8" xfId="1" applyFont="1" applyFill="1" applyBorder="1" applyAlignment="1">
      <alignment horizontal="right" vertical="center" wrapText="1"/>
    </xf>
    <xf numFmtId="179" fontId="28" fillId="8" borderId="49" xfId="0" applyNumberFormat="1" applyFont="1" applyFill="1" applyBorder="1" applyAlignment="1">
      <alignment horizontal="center" vertical="center" wrapText="1"/>
    </xf>
    <xf numFmtId="185" fontId="28" fillId="8" borderId="86" xfId="0" applyNumberFormat="1" applyFont="1" applyFill="1" applyBorder="1" applyAlignment="1">
      <alignment horizontal="center" vertical="center" wrapText="1"/>
    </xf>
    <xf numFmtId="164" fontId="26" fillId="8" borderId="49" xfId="5" applyFont="1" applyFill="1" applyBorder="1" applyAlignment="1">
      <alignment horizontal="center" vertical="center" wrapText="1"/>
    </xf>
    <xf numFmtId="0" fontId="38" fillId="0" borderId="49" xfId="4" applyNumberFormat="1" applyFont="1" applyFill="1" applyBorder="1" applyAlignment="1" applyProtection="1">
      <alignment horizontal="center" wrapText="1"/>
      <protection locked="0"/>
    </xf>
    <xf numFmtId="2" fontId="38" fillId="0" borderId="85" xfId="4" applyNumberFormat="1" applyFont="1" applyFill="1" applyBorder="1" applyAlignment="1" applyProtection="1">
      <alignment horizontal="center" vertical="center" wrapText="1"/>
      <protection locked="0"/>
    </xf>
    <xf numFmtId="0" fontId="28" fillId="8" borderId="60" xfId="0" applyFont="1" applyFill="1" applyBorder="1" applyAlignment="1">
      <alignment horizontal="center" vertical="center" wrapText="1"/>
    </xf>
    <xf numFmtId="0" fontId="28" fillId="0" borderId="59" xfId="0" applyFont="1" applyBorder="1" applyAlignment="1">
      <alignment horizontal="center" vertical="center" wrapText="1"/>
    </xf>
    <xf numFmtId="0" fontId="29" fillId="0" borderId="34" xfId="0" applyFont="1" applyBorder="1" applyAlignment="1">
      <alignment horizontal="right" vertical="center"/>
    </xf>
    <xf numFmtId="0" fontId="29" fillId="0" borderId="0" xfId="0" applyFont="1" applyBorder="1" applyAlignment="1">
      <alignment horizontal="right" vertical="center"/>
    </xf>
    <xf numFmtId="0" fontId="28" fillId="0" borderId="0" xfId="0" applyFont="1" applyBorder="1" applyAlignment="1">
      <alignment vertical="center" wrapText="1"/>
    </xf>
    <xf numFmtId="0" fontId="29" fillId="8" borderId="0" xfId="0" applyFont="1" applyFill="1" applyBorder="1" applyAlignment="1">
      <alignment vertical="center" wrapText="1"/>
    </xf>
    <xf numFmtId="0" fontId="29" fillId="8" borderId="0" xfId="0" applyFont="1" applyFill="1" applyBorder="1" applyAlignment="1">
      <alignment horizontal="right" vertical="center"/>
    </xf>
    <xf numFmtId="0" fontId="29" fillId="0" borderId="0" xfId="0" applyFont="1" applyBorder="1" applyAlignment="1">
      <alignment horizontal="right" vertical="center" wrapText="1"/>
    </xf>
    <xf numFmtId="180" fontId="29" fillId="8" borderId="0" xfId="0" applyNumberFormat="1" applyFont="1" applyFill="1" applyBorder="1" applyAlignment="1">
      <alignment horizontal="right" vertical="center"/>
    </xf>
    <xf numFmtId="164" fontId="28" fillId="7" borderId="109" xfId="16" applyFont="1" applyFill="1" applyBorder="1" applyAlignment="1">
      <alignment horizontal="center" vertical="center"/>
    </xf>
    <xf numFmtId="164" fontId="28" fillId="7" borderId="110" xfId="16" applyFont="1" applyFill="1" applyBorder="1" applyAlignment="1">
      <alignment horizontal="center" vertical="center"/>
    </xf>
    <xf numFmtId="0" fontId="30" fillId="0" borderId="0" xfId="0" applyFont="1" applyFill="1" applyBorder="1" applyAlignment="1">
      <alignment horizontal="left" vertical="center" wrapText="1"/>
    </xf>
    <xf numFmtId="0" fontId="30" fillId="0" borderId="0" xfId="0" applyFont="1" applyFill="1" applyBorder="1" applyAlignment="1">
      <alignment horizontal="right" vertical="center" wrapText="1"/>
    </xf>
    <xf numFmtId="0" fontId="30" fillId="0" borderId="34" xfId="0" applyFont="1" applyFill="1" applyBorder="1" applyAlignment="1">
      <alignment horizontal="left" vertical="center" wrapText="1"/>
    </xf>
    <xf numFmtId="0" fontId="28" fillId="0" borderId="59" xfId="0" applyFont="1" applyBorder="1" applyAlignment="1">
      <alignment horizontal="center" vertical="center" wrapText="1"/>
    </xf>
    <xf numFmtId="183" fontId="29" fillId="13" borderId="78" xfId="0" applyNumberFormat="1" applyFont="1" applyFill="1" applyBorder="1" applyAlignment="1">
      <alignment horizontal="center" vertical="center"/>
    </xf>
    <xf numFmtId="43" fontId="29" fillId="13" borderId="79" xfId="0" applyNumberFormat="1" applyFont="1" applyFill="1" applyBorder="1" applyAlignment="1" applyProtection="1">
      <alignment vertical="top" wrapText="1"/>
      <protection locked="0"/>
    </xf>
    <xf numFmtId="164" fontId="29" fillId="13" borderId="79" xfId="16" applyFont="1" applyFill="1" applyBorder="1"/>
    <xf numFmtId="164" fontId="35" fillId="0" borderId="0" xfId="0" applyNumberFormat="1" applyFont="1" applyAlignment="1">
      <alignment vertical="center"/>
    </xf>
    <xf numFmtId="0" fontId="30" fillId="0" borderId="0" xfId="0" applyFont="1" applyFill="1" applyBorder="1" applyAlignment="1">
      <alignment vertical="center" wrapText="1"/>
    </xf>
    <xf numFmtId="173" fontId="30" fillId="0" borderId="108" xfId="6" applyNumberFormat="1" applyFont="1" applyBorder="1" applyAlignment="1">
      <alignment horizontal="center" vertical="center"/>
    </xf>
    <xf numFmtId="173" fontId="30" fillId="0" borderId="85" xfId="6" applyNumberFormat="1" applyFont="1" applyFill="1" applyBorder="1" applyAlignment="1">
      <alignment horizontal="center" vertical="center" wrapText="1"/>
    </xf>
    <xf numFmtId="173" fontId="30" fillId="0" borderId="85" xfId="6" applyNumberFormat="1" applyFont="1" applyFill="1" applyBorder="1" applyAlignment="1">
      <alignment horizontal="center" vertical="center"/>
    </xf>
    <xf numFmtId="173" fontId="30" fillId="0" borderId="100" xfId="6" applyNumberFormat="1" applyFont="1" applyFill="1" applyBorder="1" applyAlignment="1">
      <alignment horizontal="center" vertical="center"/>
    </xf>
    <xf numFmtId="43" fontId="35" fillId="18" borderId="6" xfId="1" applyFont="1" applyFill="1" applyBorder="1" applyAlignment="1">
      <alignment horizontal="center" vertical="center"/>
    </xf>
    <xf numFmtId="43" fontId="35" fillId="18" borderId="9" xfId="1" applyFont="1" applyFill="1" applyBorder="1" applyAlignment="1">
      <alignment horizontal="center" vertical="center"/>
    </xf>
    <xf numFmtId="43" fontId="35" fillId="19" borderId="9" xfId="1" applyFont="1" applyFill="1" applyBorder="1" applyAlignment="1">
      <alignment horizontal="center" vertical="center"/>
    </xf>
    <xf numFmtId="43" fontId="35" fillId="20" borderId="9" xfId="1" applyFont="1" applyFill="1" applyBorder="1" applyAlignment="1">
      <alignment horizontal="center" vertical="center"/>
    </xf>
    <xf numFmtId="17" fontId="32" fillId="0" borderId="8" xfId="0" applyNumberFormat="1" applyFont="1" applyBorder="1" applyAlignment="1">
      <alignment horizontal="center" vertical="center"/>
    </xf>
    <xf numFmtId="0" fontId="32" fillId="0" borderId="8" xfId="0" applyFont="1" applyBorder="1" applyAlignment="1">
      <alignment horizontal="center" vertical="center" wrapText="1"/>
    </xf>
    <xf numFmtId="0" fontId="30" fillId="0" borderId="48" xfId="0" applyFont="1" applyFill="1" applyBorder="1" applyAlignment="1">
      <alignment horizontal="center" vertical="center" wrapText="1"/>
    </xf>
    <xf numFmtId="43" fontId="30" fillId="0" borderId="48" xfId="1" applyFont="1" applyFill="1" applyBorder="1" applyAlignment="1">
      <alignment horizontal="center" vertical="center" wrapText="1"/>
    </xf>
    <xf numFmtId="164" fontId="30" fillId="0" borderId="48" xfId="5" applyFont="1" applyFill="1" applyBorder="1" applyAlignment="1">
      <alignment horizontal="center" vertical="center" wrapText="1"/>
    </xf>
    <xf numFmtId="164" fontId="30" fillId="0" borderId="35" xfId="5" applyFont="1" applyFill="1" applyBorder="1" applyAlignment="1">
      <alignment horizontal="center" vertical="center" wrapText="1"/>
    </xf>
    <xf numFmtId="173" fontId="30" fillId="0" borderId="121" xfId="6" applyNumberFormat="1" applyFont="1" applyFill="1" applyBorder="1" applyAlignment="1">
      <alignment horizontal="center" vertical="center" wrapText="1"/>
    </xf>
    <xf numFmtId="0" fontId="34" fillId="0" borderId="75" xfId="0" applyFont="1" applyBorder="1" applyAlignment="1">
      <alignment horizontal="center" vertical="center"/>
    </xf>
    <xf numFmtId="43" fontId="34" fillId="0" borderId="122" xfId="1" applyFont="1" applyBorder="1" applyAlignment="1">
      <alignment horizontal="center" vertical="center"/>
    </xf>
    <xf numFmtId="0" fontId="32" fillId="0" borderId="4" xfId="0" applyFont="1" applyBorder="1" applyAlignment="1">
      <alignment horizontal="center" vertical="center"/>
    </xf>
    <xf numFmtId="0" fontId="32" fillId="0" borderId="5" xfId="0" applyFont="1" applyBorder="1" applyAlignment="1">
      <alignment horizontal="center" vertical="center"/>
    </xf>
    <xf numFmtId="0" fontId="32" fillId="0" borderId="5" xfId="0" applyFont="1" applyBorder="1" applyAlignment="1">
      <alignment vertical="center" wrapText="1"/>
    </xf>
    <xf numFmtId="43" fontId="32" fillId="0" borderId="5" xfId="1" applyFont="1" applyBorder="1" applyAlignment="1">
      <alignment vertical="center"/>
    </xf>
    <xf numFmtId="164" fontId="32" fillId="0" borderId="5" xfId="5" applyFont="1" applyBorder="1" applyAlignment="1">
      <alignment vertical="center"/>
    </xf>
    <xf numFmtId="0" fontId="32" fillId="0" borderId="11" xfId="0" applyFont="1" applyBorder="1" applyAlignment="1">
      <alignment horizontal="center" vertical="center" wrapText="1"/>
    </xf>
    <xf numFmtId="0" fontId="32" fillId="0" borderId="11" xfId="0" applyFont="1" applyBorder="1" applyAlignment="1">
      <alignment vertical="center" wrapText="1"/>
    </xf>
    <xf numFmtId="43" fontId="32" fillId="0" borderId="11" xfId="1" applyFont="1" applyBorder="1" applyAlignment="1">
      <alignment vertical="center"/>
    </xf>
    <xf numFmtId="164" fontId="32" fillId="0" borderId="11" xfId="5" applyFont="1" applyBorder="1" applyAlignment="1">
      <alignment vertical="center"/>
    </xf>
    <xf numFmtId="43" fontId="35" fillId="20" borderId="12" xfId="1" applyFont="1" applyFill="1" applyBorder="1" applyAlignment="1">
      <alignment horizontal="center" vertical="center"/>
    </xf>
    <xf numFmtId="0" fontId="0" fillId="0" borderId="35" xfId="0" applyBorder="1" applyAlignment="1">
      <alignment horizontal="center" vertical="center"/>
    </xf>
    <xf numFmtId="0" fontId="0" fillId="0" borderId="46" xfId="0" applyBorder="1"/>
    <xf numFmtId="0" fontId="0" fillId="0" borderId="1" xfId="0" applyBorder="1"/>
    <xf numFmtId="0" fontId="0" fillId="0" borderId="34" xfId="0" applyBorder="1" applyAlignment="1">
      <alignment horizontal="center" vertical="center"/>
    </xf>
    <xf numFmtId="0" fontId="0" fillId="0" borderId="47" xfId="0" applyBorder="1"/>
    <xf numFmtId="0" fontId="28" fillId="0" borderId="36" xfId="0" applyFont="1" applyBorder="1" applyAlignment="1">
      <alignment vertical="center"/>
    </xf>
    <xf numFmtId="0" fontId="0" fillId="0" borderId="1" xfId="0" applyBorder="1" applyAlignment="1"/>
    <xf numFmtId="10" fontId="32" fillId="0" borderId="5" xfId="5" applyNumberFormat="1" applyFont="1" applyBorder="1" applyAlignment="1">
      <alignment horizontal="center" vertical="center"/>
    </xf>
    <xf numFmtId="10" fontId="32" fillId="0" borderId="8" xfId="5" applyNumberFormat="1" applyFont="1" applyBorder="1" applyAlignment="1">
      <alignment horizontal="center" vertical="center"/>
    </xf>
    <xf numFmtId="10" fontId="32" fillId="0" borderId="11" xfId="5" applyNumberFormat="1" applyFont="1" applyBorder="1" applyAlignment="1">
      <alignment horizontal="center" vertical="center"/>
    </xf>
    <xf numFmtId="173" fontId="32" fillId="0" borderId="0" xfId="6" applyNumberFormat="1" applyFont="1" applyBorder="1" applyAlignment="1">
      <alignment horizontal="center" vertical="center"/>
    </xf>
    <xf numFmtId="0" fontId="31" fillId="0" borderId="0" xfId="0" applyFont="1" applyBorder="1" applyAlignment="1">
      <alignment horizontal="center" vertical="center"/>
    </xf>
    <xf numFmtId="164" fontId="28" fillId="0" borderId="0" xfId="5" applyFont="1" applyBorder="1" applyAlignment="1">
      <alignment horizontal="center" vertical="center"/>
    </xf>
    <xf numFmtId="0" fontId="28" fillId="0" borderId="34" xfId="0" applyFont="1" applyBorder="1" applyAlignment="1"/>
    <xf numFmtId="0" fontId="29" fillId="0" borderId="0" xfId="0" applyFont="1" applyBorder="1"/>
    <xf numFmtId="0" fontId="29" fillId="0" borderId="0" xfId="0" applyFont="1" applyBorder="1" applyAlignment="1"/>
    <xf numFmtId="0" fontId="28" fillId="0" borderId="0" xfId="0" applyFont="1" applyBorder="1" applyAlignment="1"/>
    <xf numFmtId="43" fontId="31" fillId="0" borderId="1" xfId="1" applyFont="1" applyBorder="1" applyAlignment="1">
      <alignment vertical="center"/>
    </xf>
    <xf numFmtId="0" fontId="0" fillId="0" borderId="3" xfId="0" applyBorder="1" applyAlignment="1">
      <alignment horizontal="center" vertical="center"/>
    </xf>
    <xf numFmtId="0" fontId="0" fillId="0" borderId="3" xfId="0" applyBorder="1" applyAlignment="1">
      <alignment horizontal="left" vertical="center"/>
    </xf>
    <xf numFmtId="4" fontId="0" fillId="0" borderId="3" xfId="0" applyNumberFormat="1" applyBorder="1" applyAlignment="1">
      <alignment horizontal="center" vertical="center"/>
    </xf>
    <xf numFmtId="189" fontId="0" fillId="0" borderId="3" xfId="0" applyNumberFormat="1" applyBorder="1" applyAlignment="1">
      <alignment horizontal="center" vertical="center"/>
    </xf>
    <xf numFmtId="0" fontId="28" fillId="0" borderId="0" xfId="0" applyFont="1" applyBorder="1" applyAlignment="1">
      <alignment vertical="center"/>
    </xf>
    <xf numFmtId="17" fontId="28" fillId="0" borderId="0" xfId="0" applyNumberFormat="1" applyFont="1" applyBorder="1" applyAlignment="1">
      <alignment vertical="center"/>
    </xf>
    <xf numFmtId="0" fontId="0" fillId="0" borderId="0" xfId="0" applyBorder="1" applyAlignment="1">
      <alignment horizontal="center" vertical="center"/>
    </xf>
    <xf numFmtId="0" fontId="17" fillId="0" borderId="49" xfId="0" applyFont="1" applyBorder="1" applyAlignment="1">
      <alignment horizontal="right" vertical="center" wrapText="1"/>
    </xf>
    <xf numFmtId="0" fontId="17" fillId="0" borderId="49" xfId="0" applyFont="1" applyBorder="1" applyAlignment="1">
      <alignment horizontal="center" vertical="center" wrapText="1"/>
    </xf>
    <xf numFmtId="0" fontId="0" fillId="0" borderId="0" xfId="0" applyBorder="1" applyAlignment="1">
      <alignment horizontal="center" vertical="center" wrapText="1"/>
    </xf>
    <xf numFmtId="0" fontId="11" fillId="0" borderId="0" xfId="0" applyFont="1" applyAlignment="1">
      <alignment wrapText="1"/>
    </xf>
    <xf numFmtId="0" fontId="0" fillId="0" borderId="0" xfId="0" applyAlignment="1">
      <alignment wrapText="1"/>
    </xf>
    <xf numFmtId="0" fontId="5" fillId="0" borderId="35" xfId="0" applyFont="1" applyBorder="1" applyAlignment="1">
      <alignment horizontal="center"/>
    </xf>
    <xf numFmtId="0" fontId="5" fillId="0" borderId="3" xfId="0" applyFont="1" applyBorder="1" applyAlignment="1">
      <alignment horizontal="center"/>
    </xf>
    <xf numFmtId="0" fontId="5" fillId="0" borderId="46" xfId="0" applyFont="1" applyBorder="1" applyAlignment="1">
      <alignment horizontal="center"/>
    </xf>
    <xf numFmtId="0" fontId="5" fillId="0" borderId="0" xfId="0" applyFont="1" applyFill="1" applyBorder="1" applyAlignment="1">
      <alignment horizontal="left" vertical="top" wrapText="1"/>
    </xf>
    <xf numFmtId="0" fontId="11" fillId="0" borderId="0" xfId="0" applyFont="1" applyAlignment="1">
      <alignment horizontal="center" wrapText="1"/>
    </xf>
    <xf numFmtId="0" fontId="11" fillId="5" borderId="49" xfId="0" applyFont="1" applyFill="1" applyBorder="1" applyAlignment="1">
      <alignment horizontal="center" wrapText="1"/>
    </xf>
    <xf numFmtId="0" fontId="11" fillId="5" borderId="59" xfId="0" applyFont="1" applyFill="1" applyBorder="1" applyAlignment="1">
      <alignment horizontal="center" wrapText="1"/>
    </xf>
    <xf numFmtId="0" fontId="11" fillId="5" borderId="60" xfId="0" applyFont="1" applyFill="1" applyBorder="1" applyAlignment="1">
      <alignment horizontal="center" wrapText="1"/>
    </xf>
    <xf numFmtId="0" fontId="11" fillId="5" borderId="61" xfId="0" applyFont="1" applyFill="1" applyBorder="1" applyAlignment="1">
      <alignment horizontal="center" wrapText="1"/>
    </xf>
    <xf numFmtId="43" fontId="30" fillId="0" borderId="0" xfId="1" applyFont="1" applyBorder="1" applyAlignment="1">
      <alignment horizontal="center" vertical="center"/>
    </xf>
    <xf numFmtId="43" fontId="32" fillId="0" borderId="0" xfId="1" applyFont="1" applyBorder="1" applyAlignment="1">
      <alignment horizontal="center" vertical="center"/>
    </xf>
    <xf numFmtId="43" fontId="32" fillId="0" borderId="34" xfId="1" applyFont="1" applyBorder="1" applyAlignment="1">
      <alignment horizontal="center" vertical="center"/>
    </xf>
    <xf numFmtId="43" fontId="31" fillId="0" borderId="0" xfId="1" applyFont="1" applyAlignment="1">
      <alignment horizontal="center" vertical="center" wrapText="1"/>
    </xf>
    <xf numFmtId="0" fontId="36" fillId="0" borderId="0" xfId="0" applyFont="1" applyBorder="1" applyAlignment="1">
      <alignment horizontal="left" vertical="center" wrapText="1"/>
    </xf>
    <xf numFmtId="0" fontId="36" fillId="0" borderId="1" xfId="0" applyFont="1" applyBorder="1" applyAlignment="1">
      <alignment horizontal="left" vertical="center" wrapText="1"/>
    </xf>
    <xf numFmtId="0" fontId="30" fillId="0" borderId="35" xfId="0" applyFont="1" applyBorder="1" applyAlignment="1">
      <alignment horizontal="center" vertical="center"/>
    </xf>
    <xf numFmtId="0" fontId="30" fillId="0" borderId="107" xfId="0" applyFont="1" applyBorder="1" applyAlignment="1">
      <alignment horizontal="center" vertical="center"/>
    </xf>
    <xf numFmtId="0" fontId="30" fillId="0" borderId="46" xfId="0" applyFont="1" applyBorder="1" applyAlignment="1">
      <alignment horizontal="center" vertical="center"/>
    </xf>
    <xf numFmtId="0" fontId="30" fillId="0" borderId="0" xfId="0" applyFont="1" applyFill="1" applyBorder="1" applyAlignment="1">
      <alignment horizontal="left" vertical="center" wrapText="1"/>
    </xf>
    <xf numFmtId="0" fontId="30" fillId="0" borderId="0" xfId="0" applyFont="1" applyFill="1" applyBorder="1" applyAlignment="1">
      <alignment horizontal="right" vertical="center" wrapText="1"/>
    </xf>
    <xf numFmtId="0" fontId="30" fillId="0" borderId="34" xfId="0" applyFont="1" applyFill="1" applyBorder="1" applyAlignment="1">
      <alignment horizontal="left" vertical="center" wrapText="1"/>
    </xf>
    <xf numFmtId="0" fontId="7" fillId="0" borderId="18" xfId="0" applyFont="1" applyBorder="1" applyAlignment="1">
      <alignment horizontal="center" wrapText="1"/>
    </xf>
    <xf numFmtId="0" fontId="9" fillId="0" borderId="18" xfId="0" applyFont="1" applyBorder="1" applyAlignment="1">
      <alignment horizontal="center" wrapText="1"/>
    </xf>
    <xf numFmtId="0" fontId="8" fillId="0" borderId="13" xfId="0" applyFont="1" applyBorder="1" applyAlignment="1">
      <alignment horizontal="center" wrapText="1"/>
    </xf>
    <xf numFmtId="0" fontId="9" fillId="0" borderId="14" xfId="0" applyFont="1" applyBorder="1" applyAlignment="1">
      <alignment horizontal="center"/>
    </xf>
    <xf numFmtId="0" fontId="9" fillId="0" borderId="15" xfId="0" applyFont="1" applyBorder="1" applyAlignment="1">
      <alignment horizontal="center"/>
    </xf>
    <xf numFmtId="0" fontId="9" fillId="0" borderId="16" xfId="0" applyFont="1" applyBorder="1" applyAlignment="1">
      <alignment horizontal="center"/>
    </xf>
    <xf numFmtId="0" fontId="9" fillId="0" borderId="38" xfId="0" applyFont="1" applyBorder="1" applyAlignment="1">
      <alignment horizontal="center"/>
    </xf>
    <xf numFmtId="0" fontId="9" fillId="0" borderId="39" xfId="0" applyFont="1" applyBorder="1" applyAlignment="1">
      <alignment horizontal="center"/>
    </xf>
    <xf numFmtId="0" fontId="7" fillId="0" borderId="17" xfId="0" applyFont="1" applyBorder="1" applyAlignment="1">
      <alignment horizontal="center" wrapText="1"/>
    </xf>
    <xf numFmtId="0" fontId="7" fillId="0" borderId="19" xfId="0" applyFont="1" applyBorder="1" applyAlignment="1">
      <alignment horizontal="center" wrapText="1"/>
    </xf>
    <xf numFmtId="0" fontId="9" fillId="0" borderId="17" xfId="0" applyFont="1" applyBorder="1" applyAlignment="1">
      <alignment horizontal="center" wrapText="1"/>
    </xf>
    <xf numFmtId="0" fontId="9" fillId="0" borderId="33" xfId="0" applyFont="1" applyBorder="1" applyAlignment="1">
      <alignment horizontal="center" wrapText="1"/>
    </xf>
    <xf numFmtId="0" fontId="9" fillId="0" borderId="19" xfId="0" applyFont="1" applyBorder="1" applyAlignment="1">
      <alignment horizontal="center" wrapText="1"/>
    </xf>
    <xf numFmtId="0" fontId="8" fillId="0" borderId="89" xfId="0" applyFont="1" applyBorder="1" applyAlignment="1">
      <alignment horizontal="center" wrapText="1"/>
    </xf>
    <xf numFmtId="0" fontId="8" fillId="0" borderId="90" xfId="0" applyFont="1" applyBorder="1" applyAlignment="1">
      <alignment horizontal="center" wrapText="1"/>
    </xf>
    <xf numFmtId="0" fontId="8" fillId="0" borderId="91" xfId="0" applyFont="1" applyBorder="1" applyAlignment="1">
      <alignment horizontal="center" wrapText="1"/>
    </xf>
    <xf numFmtId="0" fontId="37" fillId="11" borderId="87" xfId="0" applyNumberFormat="1" applyFont="1" applyFill="1" applyBorder="1" applyAlignment="1" applyProtection="1">
      <alignment horizontal="center" vertical="center" wrapText="1"/>
    </xf>
    <xf numFmtId="0" fontId="37" fillId="11" borderId="67" xfId="0" applyNumberFormat="1" applyFont="1" applyFill="1" applyBorder="1" applyAlignment="1" applyProtection="1">
      <alignment horizontal="center" vertical="center" wrapText="1"/>
    </xf>
    <xf numFmtId="43" fontId="37" fillId="11" borderId="80" xfId="4" applyFont="1" applyFill="1" applyBorder="1" applyAlignment="1" applyProtection="1">
      <alignment horizontal="center" vertical="center" wrapText="1"/>
    </xf>
    <xf numFmtId="43" fontId="37" fillId="11" borderId="83" xfId="4" applyFont="1" applyFill="1" applyBorder="1" applyAlignment="1" applyProtection="1">
      <alignment horizontal="center" vertical="center" wrapText="1"/>
    </xf>
    <xf numFmtId="43" fontId="37" fillId="11" borderId="81" xfId="4" applyFont="1" applyFill="1" applyBorder="1" applyAlignment="1" applyProtection="1">
      <alignment horizontal="center" vertical="center" wrapText="1"/>
    </xf>
    <xf numFmtId="43" fontId="37" fillId="11" borderId="84" xfId="4" applyFont="1" applyFill="1" applyBorder="1" applyAlignment="1" applyProtection="1">
      <alignment horizontal="center" vertical="center" wrapText="1"/>
    </xf>
    <xf numFmtId="10" fontId="37" fillId="10" borderId="73" xfId="0" applyNumberFormat="1" applyFont="1" applyFill="1" applyBorder="1" applyAlignment="1" applyProtection="1">
      <alignment horizontal="right" vertical="center"/>
      <protection locked="0"/>
    </xf>
    <xf numFmtId="10" fontId="37" fillId="10" borderId="74" xfId="0" applyNumberFormat="1" applyFont="1" applyFill="1" applyBorder="1" applyAlignment="1" applyProtection="1">
      <alignment horizontal="right" vertical="center"/>
      <protection locked="0"/>
    </xf>
    <xf numFmtId="0" fontId="37" fillId="10" borderId="73" xfId="0" applyNumberFormat="1" applyFont="1" applyFill="1" applyBorder="1" applyAlignment="1" applyProtection="1">
      <alignment horizontal="center" vertical="center" wrapText="1"/>
    </xf>
    <xf numFmtId="0" fontId="37" fillId="10" borderId="74" xfId="0" applyNumberFormat="1" applyFont="1" applyFill="1" applyBorder="1" applyAlignment="1" applyProtection="1">
      <alignment horizontal="center" vertical="center" wrapText="1"/>
    </xf>
    <xf numFmtId="43" fontId="37" fillId="11" borderId="78" xfId="4" applyFont="1" applyFill="1" applyBorder="1" applyAlignment="1" applyProtection="1">
      <alignment horizontal="center" vertical="center" wrapText="1"/>
    </xf>
    <xf numFmtId="43" fontId="37" fillId="11" borderId="82" xfId="4" applyFont="1" applyFill="1" applyBorder="1" applyAlignment="1" applyProtection="1">
      <alignment horizontal="center" vertical="center" wrapText="1"/>
    </xf>
    <xf numFmtId="0" fontId="37" fillId="11" borderId="59" xfId="0" applyNumberFormat="1" applyFont="1" applyFill="1" applyBorder="1" applyAlignment="1" applyProtection="1">
      <alignment horizontal="center" vertical="center"/>
    </xf>
    <xf numFmtId="0" fontId="37" fillId="11" borderId="61" xfId="0" applyNumberFormat="1" applyFont="1" applyFill="1" applyBorder="1" applyAlignment="1" applyProtection="1">
      <alignment horizontal="center" vertical="center"/>
    </xf>
    <xf numFmtId="43" fontId="37" fillId="11" borderId="79" xfId="4" applyFont="1" applyFill="1" applyBorder="1" applyAlignment="1" applyProtection="1">
      <alignment horizontal="center" vertical="center" wrapText="1"/>
    </xf>
    <xf numFmtId="2" fontId="37" fillId="11" borderId="79" xfId="4" applyNumberFormat="1" applyFont="1" applyFill="1" applyBorder="1" applyAlignment="1" applyProtection="1">
      <alignment horizontal="center" vertical="center" wrapText="1"/>
    </xf>
    <xf numFmtId="2" fontId="37" fillId="11" borderId="83" xfId="4" applyNumberFormat="1" applyFont="1" applyFill="1" applyBorder="1" applyAlignment="1" applyProtection="1">
      <alignment horizontal="center" vertical="center" wrapText="1"/>
    </xf>
    <xf numFmtId="0" fontId="37" fillId="0" borderId="70" xfId="0" applyNumberFormat="1" applyFont="1" applyBorder="1" applyAlignment="1" applyProtection="1">
      <alignment horizontal="center" vertical="center"/>
    </xf>
    <xf numFmtId="0" fontId="37" fillId="0" borderId="71" xfId="0" applyNumberFormat="1" applyFont="1" applyBorder="1" applyAlignment="1" applyProtection="1">
      <alignment horizontal="center" vertical="center"/>
    </xf>
    <xf numFmtId="0" fontId="37" fillId="0" borderId="72" xfId="0" applyNumberFormat="1" applyFont="1" applyBorder="1" applyAlignment="1" applyProtection="1">
      <alignment horizontal="center" vertical="center"/>
    </xf>
    <xf numFmtId="10" fontId="37" fillId="10" borderId="74" xfId="0" applyNumberFormat="1" applyFont="1" applyFill="1" applyBorder="1" applyAlignment="1" applyProtection="1">
      <alignment horizontal="left" vertical="center"/>
      <protection locked="0"/>
    </xf>
    <xf numFmtId="10" fontId="37" fillId="10" borderId="74" xfId="0" applyNumberFormat="1" applyFont="1" applyFill="1" applyBorder="1" applyAlignment="1" applyProtection="1">
      <alignment horizontal="left" vertical="center" wrapText="1"/>
      <protection locked="0"/>
    </xf>
    <xf numFmtId="10" fontId="29" fillId="16" borderId="59" xfId="0" applyNumberFormat="1" applyFont="1" applyFill="1" applyBorder="1" applyAlignment="1">
      <alignment horizontal="center" vertical="center"/>
    </xf>
    <xf numFmtId="10" fontId="29" fillId="16" borderId="61" xfId="0" applyNumberFormat="1" applyFont="1" applyFill="1" applyBorder="1" applyAlignment="1">
      <alignment horizontal="center" vertical="center"/>
    </xf>
    <xf numFmtId="10" fontId="29" fillId="16" borderId="111" xfId="0" applyNumberFormat="1" applyFont="1" applyFill="1" applyBorder="1" applyAlignment="1">
      <alignment horizontal="center" vertical="center"/>
    </xf>
    <xf numFmtId="10" fontId="29" fillId="16" borderId="104" xfId="0" applyNumberFormat="1" applyFont="1" applyFill="1" applyBorder="1" applyAlignment="1">
      <alignment horizontal="center" vertical="center"/>
    </xf>
    <xf numFmtId="0" fontId="32" fillId="0" borderId="0" xfId="0" applyFont="1" applyBorder="1" applyAlignment="1">
      <alignment horizontal="center"/>
    </xf>
    <xf numFmtId="0" fontId="32" fillId="0" borderId="34" xfId="0" applyFont="1" applyBorder="1" applyAlignment="1">
      <alignment horizontal="center"/>
    </xf>
    <xf numFmtId="0" fontId="32" fillId="0" borderId="36" xfId="0" applyFont="1" applyBorder="1" applyAlignment="1">
      <alignment horizontal="center"/>
    </xf>
    <xf numFmtId="0" fontId="32" fillId="0" borderId="1" xfId="0" applyFont="1" applyBorder="1" applyAlignment="1">
      <alignment horizontal="center"/>
    </xf>
    <xf numFmtId="0" fontId="30" fillId="0" borderId="0" xfId="0" applyFont="1" applyBorder="1" applyAlignment="1">
      <alignment horizontal="center"/>
    </xf>
    <xf numFmtId="164" fontId="28" fillId="7" borderId="65" xfId="16" applyFont="1" applyFill="1" applyBorder="1" applyAlignment="1">
      <alignment horizontal="center" vertical="center"/>
    </xf>
    <xf numFmtId="164" fontId="28" fillId="7" borderId="66" xfId="16" applyFont="1" applyFill="1" applyBorder="1" applyAlignment="1">
      <alignment horizontal="center" vertical="center"/>
    </xf>
    <xf numFmtId="164" fontId="28" fillId="7" borderId="109" xfId="16" applyFont="1" applyFill="1" applyBorder="1" applyAlignment="1">
      <alignment horizontal="center" vertical="center"/>
    </xf>
    <xf numFmtId="164" fontId="28" fillId="7" borderId="110" xfId="16" applyFont="1" applyFill="1" applyBorder="1" applyAlignment="1">
      <alignment horizontal="center" vertical="center"/>
    </xf>
    <xf numFmtId="164" fontId="28" fillId="7" borderId="67" xfId="16" applyFont="1" applyFill="1" applyBorder="1" applyAlignment="1">
      <alignment horizontal="center" vertical="center"/>
    </xf>
    <xf numFmtId="164" fontId="28" fillId="7" borderId="68" xfId="16" applyFont="1" applyFill="1" applyBorder="1" applyAlignment="1">
      <alignment horizontal="center" vertical="center"/>
    </xf>
    <xf numFmtId="0" fontId="29" fillId="16" borderId="85" xfId="0" applyFont="1" applyFill="1" applyBorder="1" applyAlignment="1">
      <alignment horizontal="right" vertical="center"/>
    </xf>
    <xf numFmtId="0" fontId="29" fillId="16" borderId="49" xfId="0" applyFont="1" applyFill="1" applyBorder="1" applyAlignment="1">
      <alignment horizontal="right" vertical="center"/>
    </xf>
    <xf numFmtId="182" fontId="29" fillId="17" borderId="49" xfId="0" applyNumberFormat="1" applyFont="1" applyFill="1" applyBorder="1" applyAlignment="1">
      <alignment horizontal="center" vertical="center"/>
    </xf>
    <xf numFmtId="182" fontId="29" fillId="17" borderId="86" xfId="0" applyNumberFormat="1" applyFont="1" applyFill="1" applyBorder="1" applyAlignment="1">
      <alignment horizontal="center" vertical="center"/>
    </xf>
    <xf numFmtId="2" fontId="29" fillId="16" borderId="59" xfId="0" applyNumberFormat="1" applyFont="1" applyFill="1" applyBorder="1" applyAlignment="1">
      <alignment horizontal="center" wrapText="1"/>
    </xf>
    <xf numFmtId="2" fontId="29" fillId="16" borderId="61" xfId="0" applyNumberFormat="1" applyFont="1" applyFill="1" applyBorder="1" applyAlignment="1">
      <alignment horizontal="center" wrapText="1"/>
    </xf>
    <xf numFmtId="10" fontId="29" fillId="15" borderId="35" xfId="0" applyNumberFormat="1" applyFont="1" applyFill="1" applyBorder="1" applyAlignment="1">
      <alignment horizontal="center" vertical="center" wrapText="1"/>
    </xf>
    <xf numFmtId="10" fontId="29" fillId="15" borderId="107" xfId="0" applyNumberFormat="1" applyFont="1" applyFill="1" applyBorder="1" applyAlignment="1">
      <alignment horizontal="center" vertical="center" wrapText="1"/>
    </xf>
    <xf numFmtId="10" fontId="29" fillId="15" borderId="46" xfId="0" applyNumberFormat="1" applyFont="1" applyFill="1" applyBorder="1" applyAlignment="1">
      <alignment horizontal="center" vertical="center" wrapText="1"/>
    </xf>
    <xf numFmtId="10" fontId="29" fillId="15" borderId="37" xfId="0" applyNumberFormat="1" applyFont="1" applyFill="1" applyBorder="1" applyAlignment="1">
      <alignment horizontal="center" vertical="center" wrapText="1"/>
    </xf>
    <xf numFmtId="10" fontId="29" fillId="15" borderId="34" xfId="0" applyNumberFormat="1" applyFont="1" applyFill="1" applyBorder="1" applyAlignment="1">
      <alignment horizontal="center" vertical="center" wrapText="1"/>
    </xf>
    <xf numFmtId="10" fontId="29" fillId="15" borderId="47" xfId="0" applyNumberFormat="1" applyFont="1" applyFill="1" applyBorder="1" applyAlignment="1">
      <alignment horizontal="center" vertical="center" wrapText="1"/>
    </xf>
    <xf numFmtId="0" fontId="29" fillId="15" borderId="35" xfId="0" applyFont="1" applyFill="1" applyBorder="1" applyAlignment="1">
      <alignment horizontal="center" vertical="center" wrapText="1"/>
    </xf>
    <xf numFmtId="0" fontId="29" fillId="15" borderId="107" xfId="0" applyFont="1" applyFill="1" applyBorder="1" applyAlignment="1">
      <alignment horizontal="center" vertical="center" wrapText="1"/>
    </xf>
    <xf numFmtId="0" fontId="29" fillId="15" borderId="46" xfId="0" applyFont="1" applyFill="1" applyBorder="1" applyAlignment="1">
      <alignment horizontal="center" vertical="center" wrapText="1"/>
    </xf>
    <xf numFmtId="0" fontId="29" fillId="15" borderId="36" xfId="0" applyFont="1" applyFill="1" applyBorder="1" applyAlignment="1">
      <alignment horizontal="center" vertical="center" wrapText="1"/>
    </xf>
    <xf numFmtId="0" fontId="29" fillId="15" borderId="0" xfId="0" applyFont="1" applyFill="1" applyBorder="1" applyAlignment="1">
      <alignment horizontal="center" vertical="center" wrapText="1"/>
    </xf>
    <xf numFmtId="0" fontId="29" fillId="15" borderId="1" xfId="0" applyFont="1" applyFill="1" applyBorder="1" applyAlignment="1">
      <alignment horizontal="center" vertical="center" wrapText="1"/>
    </xf>
    <xf numFmtId="10" fontId="29" fillId="15" borderId="36" xfId="0" applyNumberFormat="1" applyFont="1" applyFill="1" applyBorder="1" applyAlignment="1">
      <alignment horizontal="center" vertical="center" wrapText="1"/>
    </xf>
    <xf numFmtId="10" fontId="29" fillId="15" borderId="0" xfId="0" applyNumberFormat="1" applyFont="1" applyFill="1" applyBorder="1" applyAlignment="1">
      <alignment horizontal="center" vertical="center" wrapText="1"/>
    </xf>
    <xf numFmtId="10" fontId="29" fillId="15" borderId="1" xfId="0" applyNumberFormat="1" applyFont="1" applyFill="1" applyBorder="1" applyAlignment="1">
      <alignment horizontal="center" vertical="center" wrapText="1"/>
    </xf>
    <xf numFmtId="182" fontId="29" fillId="15" borderId="108" xfId="0" applyNumberFormat="1" applyFont="1" applyFill="1" applyBorder="1" applyAlignment="1">
      <alignment horizontal="center" vertical="center"/>
    </xf>
    <xf numFmtId="182" fontId="29" fillId="15" borderId="93" xfId="0" applyNumberFormat="1" applyFont="1" applyFill="1" applyBorder="1" applyAlignment="1">
      <alignment horizontal="center" vertical="center"/>
    </xf>
    <xf numFmtId="2" fontId="29" fillId="16" borderId="105" xfId="0" applyNumberFormat="1" applyFont="1" applyFill="1" applyBorder="1" applyAlignment="1">
      <alignment horizontal="center"/>
    </xf>
    <xf numFmtId="2" fontId="29" fillId="16" borderId="92" xfId="0" applyNumberFormat="1" applyFont="1" applyFill="1" applyBorder="1" applyAlignment="1">
      <alignment horizontal="center"/>
    </xf>
    <xf numFmtId="2" fontId="29" fillId="16" borderId="93" xfId="0" applyNumberFormat="1" applyFont="1" applyFill="1" applyBorder="1" applyAlignment="1">
      <alignment horizontal="center"/>
    </xf>
    <xf numFmtId="2" fontId="29" fillId="16" borderId="95" xfId="0" applyNumberFormat="1" applyFont="1" applyFill="1" applyBorder="1" applyAlignment="1">
      <alignment horizontal="center"/>
    </xf>
    <xf numFmtId="4" fontId="26" fillId="8" borderId="59" xfId="0" applyNumberFormat="1" applyFont="1" applyFill="1" applyBorder="1" applyAlignment="1">
      <alignment horizontal="center" vertical="center" wrapText="1"/>
    </xf>
    <xf numFmtId="4" fontId="26" fillId="8" borderId="61" xfId="0" applyNumberFormat="1" applyFont="1" applyFill="1" applyBorder="1" applyAlignment="1">
      <alignment horizontal="center" vertical="center" wrapText="1"/>
    </xf>
    <xf numFmtId="0" fontId="26" fillId="8" borderId="60" xfId="0" applyFont="1" applyFill="1" applyBorder="1" applyAlignment="1">
      <alignment horizontal="left" vertical="center" wrapText="1"/>
    </xf>
    <xf numFmtId="0" fontId="26" fillId="8" borderId="61" xfId="0" applyFont="1" applyFill="1" applyBorder="1" applyAlignment="1">
      <alignment horizontal="left" vertical="center" wrapText="1"/>
    </xf>
    <xf numFmtId="0" fontId="25" fillId="12" borderId="71" xfId="0" applyFont="1" applyFill="1" applyBorder="1" applyAlignment="1">
      <alignment horizontal="left" vertical="center" wrapText="1"/>
    </xf>
    <xf numFmtId="0" fontId="25" fillId="12" borderId="92" xfId="0" applyFont="1" applyFill="1" applyBorder="1" applyAlignment="1">
      <alignment horizontal="left" vertical="center" wrapText="1"/>
    </xf>
    <xf numFmtId="0" fontId="25" fillId="12" borderId="105" xfId="0" applyFont="1" applyFill="1" applyBorder="1" applyAlignment="1">
      <alignment horizontal="center" vertical="center" wrapText="1"/>
    </xf>
    <xf numFmtId="0" fontId="25" fillId="12" borderId="92" xfId="0" applyFont="1" applyFill="1" applyBorder="1" applyAlignment="1">
      <alignment horizontal="center" vertical="center" wrapText="1"/>
    </xf>
    <xf numFmtId="0" fontId="26" fillId="8" borderId="59" xfId="0" applyFont="1" applyFill="1" applyBorder="1" applyAlignment="1">
      <alignment horizontal="left" vertical="center" wrapText="1"/>
    </xf>
    <xf numFmtId="164" fontId="26" fillId="8" borderId="59" xfId="5" applyFont="1" applyFill="1" applyBorder="1" applyAlignment="1">
      <alignment horizontal="center" vertical="center" wrapText="1"/>
    </xf>
    <xf numFmtId="164" fontId="26" fillId="8" borderId="61" xfId="5" applyFont="1" applyFill="1" applyBorder="1" applyAlignment="1">
      <alignment horizontal="center" vertical="center" wrapText="1"/>
    </xf>
    <xf numFmtId="0" fontId="25" fillId="0" borderId="37" xfId="0" applyFont="1" applyBorder="1" applyAlignment="1">
      <alignment horizontal="right" vertical="center"/>
    </xf>
    <xf numFmtId="0" fontId="25" fillId="0" borderId="34" xfId="0" applyFont="1" applyBorder="1" applyAlignment="1">
      <alignment horizontal="right" vertical="center"/>
    </xf>
    <xf numFmtId="0" fontId="25" fillId="0" borderId="99" xfId="0" applyFont="1" applyBorder="1" applyAlignment="1">
      <alignment horizontal="right" vertical="center"/>
    </xf>
    <xf numFmtId="176" fontId="26" fillId="8" borderId="59" xfId="0" applyNumberFormat="1" applyFont="1" applyFill="1" applyBorder="1" applyAlignment="1">
      <alignment horizontal="center" vertical="center" wrapText="1"/>
    </xf>
    <xf numFmtId="176" fontId="26" fillId="8" borderId="61" xfId="0" applyNumberFormat="1" applyFont="1" applyFill="1" applyBorder="1" applyAlignment="1">
      <alignment horizontal="center" vertical="center" wrapText="1"/>
    </xf>
    <xf numFmtId="0" fontId="26" fillId="0" borderId="59" xfId="0" applyFont="1" applyBorder="1" applyAlignment="1">
      <alignment horizontal="center" vertical="center" wrapText="1"/>
    </xf>
    <xf numFmtId="0" fontId="26" fillId="0" borderId="61" xfId="0" applyFont="1" applyBorder="1" applyAlignment="1">
      <alignment horizontal="center" vertical="center" wrapText="1"/>
    </xf>
    <xf numFmtId="0" fontId="23" fillId="8" borderId="70" xfId="0" applyFont="1" applyFill="1" applyBorder="1" applyAlignment="1">
      <alignment horizontal="center" vertical="center" wrapText="1"/>
    </xf>
    <xf numFmtId="0" fontId="23" fillId="8" borderId="71" xfId="0" applyFont="1" applyFill="1" applyBorder="1" applyAlignment="1">
      <alignment horizontal="center" vertical="center" wrapText="1"/>
    </xf>
    <xf numFmtId="0" fontId="23" fillId="8" borderId="92" xfId="0" applyFont="1" applyFill="1" applyBorder="1" applyAlignment="1">
      <alignment horizontal="center" vertical="center" wrapText="1"/>
    </xf>
    <xf numFmtId="0" fontId="23" fillId="0" borderId="93" xfId="0" applyFont="1" applyBorder="1" applyAlignment="1">
      <alignment horizontal="center" vertical="center"/>
    </xf>
    <xf numFmtId="0" fontId="23" fillId="0" borderId="71" xfId="0" applyFont="1" applyBorder="1" applyAlignment="1">
      <alignment horizontal="center" vertical="center" wrapText="1"/>
    </xf>
    <xf numFmtId="0" fontId="23" fillId="0" borderId="72" xfId="0" applyFont="1" applyBorder="1" applyAlignment="1">
      <alignment horizontal="center" vertical="center"/>
    </xf>
    <xf numFmtId="0" fontId="26" fillId="8" borderId="69" xfId="0" applyFont="1" applyFill="1" applyBorder="1" applyAlignment="1">
      <alignment horizontal="left" vertical="center" wrapText="1"/>
    </xf>
    <xf numFmtId="0" fontId="26" fillId="8" borderId="94" xfId="0" applyFont="1" applyFill="1" applyBorder="1" applyAlignment="1">
      <alignment horizontal="left" vertical="center" wrapText="1"/>
    </xf>
    <xf numFmtId="0" fontId="26" fillId="8" borderId="0" xfId="0" applyFont="1" applyFill="1" applyAlignment="1">
      <alignment horizontal="left" vertical="center" wrapText="1"/>
    </xf>
    <xf numFmtId="0" fontId="26" fillId="8" borderId="1" xfId="0" applyFont="1" applyFill="1" applyBorder="1" applyAlignment="1">
      <alignment horizontal="left" vertical="center" wrapText="1"/>
    </xf>
    <xf numFmtId="17" fontId="26" fillId="8" borderId="34" xfId="0" applyNumberFormat="1" applyFont="1" applyFill="1" applyBorder="1" applyAlignment="1">
      <alignment horizontal="left" vertical="center" wrapText="1"/>
    </xf>
    <xf numFmtId="0" fontId="26" fillId="8" borderId="34" xfId="0" applyFont="1" applyFill="1" applyBorder="1" applyAlignment="1">
      <alignment horizontal="left" vertical="center" wrapText="1"/>
    </xf>
    <xf numFmtId="0" fontId="26" fillId="8" borderId="47" xfId="0" applyFont="1" applyFill="1" applyBorder="1" applyAlignment="1">
      <alignment horizontal="left" vertical="center" wrapText="1"/>
    </xf>
    <xf numFmtId="164" fontId="26" fillId="8" borderId="59" xfId="0" applyNumberFormat="1" applyFont="1" applyFill="1" applyBorder="1" applyAlignment="1">
      <alignment horizontal="center" vertical="center" wrapText="1"/>
    </xf>
    <xf numFmtId="164" fontId="26" fillId="8" borderId="61" xfId="0" applyNumberFormat="1" applyFont="1" applyFill="1" applyBorder="1" applyAlignment="1">
      <alignment horizontal="center" vertical="center" wrapText="1"/>
    </xf>
    <xf numFmtId="0" fontId="26" fillId="8" borderId="60" xfId="0" applyFont="1" applyFill="1" applyBorder="1" applyAlignment="1">
      <alignment horizontal="center" vertical="center" wrapText="1"/>
    </xf>
    <xf numFmtId="0" fontId="26" fillId="8" borderId="61" xfId="0" applyFont="1" applyFill="1" applyBorder="1" applyAlignment="1">
      <alignment horizontal="center" vertical="center" wrapText="1"/>
    </xf>
    <xf numFmtId="164" fontId="26" fillId="0" borderId="59" xfId="0" applyNumberFormat="1" applyFont="1" applyBorder="1" applyAlignment="1">
      <alignment horizontal="center" vertical="center" wrapText="1"/>
    </xf>
    <xf numFmtId="164" fontId="26" fillId="0" borderId="61" xfId="0" applyNumberFormat="1" applyFont="1" applyBorder="1" applyAlignment="1">
      <alignment horizontal="center" vertical="center" wrapText="1"/>
    </xf>
    <xf numFmtId="0" fontId="23" fillId="0" borderId="105" xfId="0" applyFont="1" applyBorder="1" applyAlignment="1">
      <alignment horizontal="center" vertical="center"/>
    </xf>
    <xf numFmtId="0" fontId="23" fillId="0" borderId="71" xfId="0" applyFont="1" applyBorder="1" applyAlignment="1">
      <alignment horizontal="center" vertical="center"/>
    </xf>
    <xf numFmtId="0" fontId="25" fillId="0" borderId="73" xfId="0" applyFont="1" applyBorder="1" applyAlignment="1">
      <alignment horizontal="right" vertical="center"/>
    </xf>
    <xf numFmtId="0" fontId="25" fillId="0" borderId="74" xfId="0" applyFont="1" applyBorder="1" applyAlignment="1">
      <alignment horizontal="right" vertical="center"/>
    </xf>
    <xf numFmtId="0" fontId="25" fillId="0" borderId="77" xfId="0" applyFont="1" applyBorder="1" applyAlignment="1">
      <alignment horizontal="right" vertical="center"/>
    </xf>
    <xf numFmtId="0" fontId="26" fillId="8" borderId="116" xfId="0" applyFont="1" applyFill="1" applyBorder="1" applyAlignment="1">
      <alignment horizontal="left" vertical="center" wrapText="1"/>
    </xf>
    <xf numFmtId="178" fontId="25" fillId="0" borderId="69" xfId="0" applyNumberFormat="1" applyFont="1" applyFill="1" applyBorder="1" applyAlignment="1">
      <alignment horizontal="center" vertical="center" wrapText="1"/>
    </xf>
    <xf numFmtId="178" fontId="25" fillId="0" borderId="66" xfId="0" applyNumberFormat="1" applyFont="1" applyFill="1" applyBorder="1" applyAlignment="1">
      <alignment horizontal="center" vertical="center" wrapText="1"/>
    </xf>
    <xf numFmtId="0" fontId="23" fillId="8" borderId="73" xfId="0" applyFont="1" applyFill="1" applyBorder="1" applyAlignment="1">
      <alignment horizontal="center" vertical="center" wrapText="1"/>
    </xf>
    <xf numFmtId="0" fontId="23" fillId="8" borderId="74" xfId="0" applyFont="1" applyFill="1" applyBorder="1" applyAlignment="1">
      <alignment horizontal="center" vertical="center" wrapText="1"/>
    </xf>
    <xf numFmtId="0" fontId="23" fillId="8" borderId="77" xfId="0" applyFont="1" applyFill="1" applyBorder="1" applyAlignment="1">
      <alignment horizontal="center" vertical="center" wrapText="1"/>
    </xf>
    <xf numFmtId="0" fontId="23" fillId="0" borderId="92" xfId="0" applyFont="1" applyBorder="1" applyAlignment="1">
      <alignment horizontal="center" vertical="center"/>
    </xf>
    <xf numFmtId="0" fontId="23" fillId="0" borderId="74" xfId="0" applyFont="1" applyBorder="1" applyAlignment="1">
      <alignment horizontal="center" vertical="center" wrapText="1"/>
    </xf>
    <xf numFmtId="0" fontId="23" fillId="0" borderId="77" xfId="0" applyFont="1" applyBorder="1" applyAlignment="1">
      <alignment horizontal="center" vertical="center"/>
    </xf>
    <xf numFmtId="0" fontId="26" fillId="8" borderId="0" xfId="0" applyFont="1" applyFill="1" applyBorder="1" applyAlignment="1">
      <alignment horizontal="left" vertical="center" wrapText="1"/>
    </xf>
    <xf numFmtId="178" fontId="26" fillId="8" borderId="59" xfId="0" applyNumberFormat="1" applyFont="1" applyFill="1" applyBorder="1" applyAlignment="1">
      <alignment horizontal="center" vertical="center" wrapText="1"/>
    </xf>
    <xf numFmtId="178" fontId="26" fillId="8" borderId="61" xfId="0" applyNumberFormat="1" applyFont="1" applyFill="1" applyBorder="1" applyAlignment="1">
      <alignment horizontal="center" vertical="center" wrapText="1"/>
    </xf>
    <xf numFmtId="0" fontId="23" fillId="0" borderId="0" xfId="0" applyFont="1" applyBorder="1" applyAlignment="1">
      <alignment horizontal="center" vertical="center"/>
    </xf>
    <xf numFmtId="0" fontId="39" fillId="0" borderId="34" xfId="0" applyFont="1" applyBorder="1" applyAlignment="1">
      <alignment horizontal="center" vertical="center"/>
    </xf>
    <xf numFmtId="0" fontId="39" fillId="0" borderId="0" xfId="0" applyFont="1" applyBorder="1" applyAlignment="1">
      <alignment horizontal="center" vertical="center"/>
    </xf>
    <xf numFmtId="0" fontId="26" fillId="8" borderId="69" xfId="0" applyFont="1" applyFill="1" applyBorder="1" applyAlignment="1">
      <alignment vertical="center"/>
    </xf>
    <xf numFmtId="0" fontId="26" fillId="8" borderId="94" xfId="0" applyFont="1" applyFill="1" applyBorder="1" applyAlignment="1">
      <alignment vertical="center"/>
    </xf>
    <xf numFmtId="0" fontId="26" fillId="8" borderId="59" xfId="0" applyFont="1" applyFill="1" applyBorder="1" applyAlignment="1">
      <alignment horizontal="center" vertical="center" wrapText="1"/>
    </xf>
    <xf numFmtId="17" fontId="26" fillId="8" borderId="47" xfId="0" applyNumberFormat="1" applyFont="1" applyFill="1" applyBorder="1" applyAlignment="1">
      <alignment horizontal="left" vertical="center" wrapText="1"/>
    </xf>
    <xf numFmtId="0" fontId="23" fillId="0" borderId="72" xfId="0" applyFont="1" applyBorder="1" applyAlignment="1">
      <alignment horizontal="center" vertical="center" wrapText="1"/>
    </xf>
    <xf numFmtId="0" fontId="25" fillId="12" borderId="105" xfId="0" applyFont="1" applyFill="1" applyBorder="1" applyAlignment="1">
      <alignment horizontal="left" vertical="center" wrapText="1"/>
    </xf>
    <xf numFmtId="0" fontId="26" fillId="8" borderId="49" xfId="0" applyFont="1" applyFill="1" applyBorder="1" applyAlignment="1">
      <alignment horizontal="left" vertical="center" wrapText="1"/>
    </xf>
    <xf numFmtId="0" fontId="26" fillId="0" borderId="69" xfId="0" applyFont="1" applyFill="1" applyBorder="1" applyAlignment="1">
      <alignment horizontal="left" vertical="center" wrapText="1"/>
    </xf>
    <xf numFmtId="178" fontId="26" fillId="0" borderId="69" xfId="0" applyNumberFormat="1" applyFont="1" applyFill="1" applyBorder="1" applyAlignment="1">
      <alignment horizontal="center" vertical="center" wrapText="1"/>
    </xf>
    <xf numFmtId="178" fontId="26" fillId="0" borderId="66" xfId="0" applyNumberFormat="1" applyFont="1" applyFill="1" applyBorder="1" applyAlignment="1">
      <alignment horizontal="center" vertical="center" wrapText="1"/>
    </xf>
    <xf numFmtId="0" fontId="23" fillId="0" borderId="1" xfId="0" applyFont="1" applyBorder="1" applyAlignment="1">
      <alignment horizontal="center" vertical="center"/>
    </xf>
    <xf numFmtId="0" fontId="39" fillId="0" borderId="1" xfId="0" applyFont="1" applyBorder="1" applyAlignment="1">
      <alignment horizontal="center" vertical="center"/>
    </xf>
    <xf numFmtId="0" fontId="39" fillId="0" borderId="47" xfId="0" applyFont="1" applyBorder="1" applyAlignment="1">
      <alignment horizontal="center" vertical="center"/>
    </xf>
    <xf numFmtId="0" fontId="23" fillId="0" borderId="36" xfId="0" applyFont="1" applyBorder="1" applyAlignment="1">
      <alignment horizontal="center" vertical="center"/>
    </xf>
    <xf numFmtId="0" fontId="39" fillId="0" borderId="36" xfId="0" applyFont="1" applyBorder="1" applyAlignment="1">
      <alignment horizontal="center" vertical="center"/>
    </xf>
    <xf numFmtId="0" fontId="39" fillId="0" borderId="37" xfId="0" applyFont="1" applyBorder="1" applyAlignment="1">
      <alignment horizontal="center" vertical="center"/>
    </xf>
    <xf numFmtId="0" fontId="29" fillId="13" borderId="70" xfId="0" applyFont="1" applyFill="1" applyBorder="1" applyAlignment="1">
      <alignment horizontal="center"/>
    </xf>
    <xf numFmtId="0" fontId="29" fillId="13" borderId="71" xfId="0" applyFont="1" applyFill="1" applyBorder="1" applyAlignment="1">
      <alignment horizontal="center"/>
    </xf>
    <xf numFmtId="0" fontId="29" fillId="13" borderId="72" xfId="0" applyFont="1" applyFill="1" applyBorder="1" applyAlignment="1">
      <alignment horizontal="center"/>
    </xf>
    <xf numFmtId="0" fontId="30" fillId="0" borderId="3" xfId="0" applyFont="1" applyBorder="1" applyAlignment="1">
      <alignment horizontal="center" vertical="center"/>
    </xf>
    <xf numFmtId="43" fontId="28" fillId="0" borderId="0" xfId="1" applyFont="1" applyBorder="1" applyAlignment="1">
      <alignment horizontal="center" vertical="center"/>
    </xf>
    <xf numFmtId="43" fontId="28" fillId="0" borderId="34" xfId="1" applyFont="1" applyBorder="1" applyAlignment="1">
      <alignment horizontal="center" vertical="center"/>
    </xf>
    <xf numFmtId="0" fontId="41" fillId="0" borderId="36" xfId="0" applyFont="1" applyBorder="1" applyAlignment="1">
      <alignment vertical="center" wrapText="1"/>
    </xf>
    <xf numFmtId="0" fontId="41" fillId="0" borderId="0" xfId="0" applyFont="1" applyBorder="1" applyAlignment="1">
      <alignment vertical="center" wrapText="1"/>
    </xf>
    <xf numFmtId="0" fontId="41" fillId="0" borderId="1" xfId="0" applyFont="1" applyBorder="1" applyAlignment="1">
      <alignment vertical="center" wrapText="1"/>
    </xf>
    <xf numFmtId="43" fontId="29" fillId="0" borderId="0" xfId="1" applyFont="1" applyBorder="1" applyAlignment="1">
      <alignment horizontal="center" vertical="center"/>
    </xf>
    <xf numFmtId="43" fontId="29" fillId="0" borderId="1" xfId="1" applyFont="1" applyBorder="1" applyAlignment="1">
      <alignment horizontal="center" vertical="center"/>
    </xf>
    <xf numFmtId="43" fontId="28" fillId="0" borderId="1" xfId="1" applyFont="1" applyBorder="1" applyAlignment="1">
      <alignment horizontal="center" vertical="center"/>
    </xf>
    <xf numFmtId="43" fontId="28" fillId="0" borderId="47" xfId="1" applyFont="1" applyBorder="1" applyAlignment="1">
      <alignment horizontal="center" vertical="center"/>
    </xf>
    <xf numFmtId="0" fontId="29" fillId="0" borderId="35" xfId="0" applyFont="1" applyBorder="1" applyAlignment="1">
      <alignment horizontal="center" vertical="center"/>
    </xf>
    <xf numFmtId="0" fontId="29" fillId="0" borderId="3" xfId="0" applyFont="1" applyBorder="1" applyAlignment="1">
      <alignment horizontal="center" vertical="center"/>
    </xf>
    <xf numFmtId="0" fontId="29" fillId="0" borderId="46" xfId="0" applyFont="1" applyBorder="1" applyAlignment="1">
      <alignment horizontal="center" vertical="center"/>
    </xf>
    <xf numFmtId="0" fontId="29" fillId="0" borderId="0" xfId="0" applyFont="1" applyAlignment="1">
      <alignment horizontal="left" vertical="center" wrapText="1"/>
    </xf>
    <xf numFmtId="0" fontId="29" fillId="0" borderId="0" xfId="0" applyFont="1" applyAlignment="1">
      <alignment horizontal="right" vertical="center" wrapText="1"/>
    </xf>
    <xf numFmtId="0" fontId="29" fillId="0" borderId="34" xfId="0" applyFont="1" applyBorder="1" applyAlignment="1">
      <alignment horizontal="left" vertical="center" wrapText="1"/>
    </xf>
    <xf numFmtId="0" fontId="41" fillId="0" borderId="0" xfId="0" applyFont="1" applyAlignment="1">
      <alignment horizontal="left" vertical="center" wrapText="1"/>
    </xf>
    <xf numFmtId="0" fontId="41" fillId="0" borderId="1" xfId="0" applyFont="1" applyBorder="1" applyAlignment="1">
      <alignment horizontal="left" vertical="center" wrapText="1"/>
    </xf>
    <xf numFmtId="43" fontId="29" fillId="11" borderId="80" xfId="4" applyFont="1" applyFill="1" applyBorder="1" applyAlignment="1" applyProtection="1">
      <alignment horizontal="center" vertical="center" wrapText="1"/>
    </xf>
    <xf numFmtId="43" fontId="29" fillId="11" borderId="83" xfId="4" applyFont="1" applyFill="1" applyBorder="1" applyAlignment="1" applyProtection="1">
      <alignment horizontal="center" vertical="center" wrapText="1"/>
    </xf>
    <xf numFmtId="43" fontId="29" fillId="11" borderId="81" xfId="4" applyFont="1" applyFill="1" applyBorder="1" applyAlignment="1" applyProtection="1">
      <alignment horizontal="center" vertical="center" wrapText="1"/>
    </xf>
    <xf numFmtId="43" fontId="29" fillId="11" borderId="84" xfId="4" applyFont="1" applyFill="1" applyBorder="1" applyAlignment="1" applyProtection="1">
      <alignment horizontal="center" vertical="center" wrapText="1"/>
    </xf>
    <xf numFmtId="0" fontId="28" fillId="0" borderId="81" xfId="4" applyNumberFormat="1" applyFont="1" applyFill="1" applyBorder="1" applyAlignment="1" applyProtection="1">
      <alignment horizontal="center" vertical="center" wrapText="1"/>
      <protection locked="0"/>
    </xf>
    <xf numFmtId="0" fontId="28" fillId="0" borderId="114" xfId="4" applyNumberFormat="1" applyFont="1" applyFill="1" applyBorder="1" applyAlignment="1" applyProtection="1">
      <alignment horizontal="center" vertical="center" wrapText="1"/>
      <protection locked="0"/>
    </xf>
    <xf numFmtId="0" fontId="28" fillId="0" borderId="84" xfId="4" applyNumberFormat="1" applyFont="1" applyFill="1" applyBorder="1" applyAlignment="1" applyProtection="1">
      <alignment horizontal="center" vertical="center" wrapText="1"/>
      <protection locked="0"/>
    </xf>
    <xf numFmtId="10" fontId="29" fillId="10" borderId="73" xfId="0" applyNumberFormat="1" applyFont="1" applyFill="1" applyBorder="1" applyAlignment="1" applyProtection="1">
      <alignment horizontal="right" vertical="center"/>
      <protection locked="0"/>
    </xf>
    <xf numFmtId="10" fontId="29" fillId="10" borderId="74" xfId="0" applyNumberFormat="1" applyFont="1" applyFill="1" applyBorder="1" applyAlignment="1" applyProtection="1">
      <alignment horizontal="right" vertical="center"/>
      <protection locked="0"/>
    </xf>
    <xf numFmtId="0" fontId="29" fillId="10" borderId="73" xfId="0" applyFont="1" applyFill="1" applyBorder="1" applyAlignment="1">
      <alignment horizontal="center" vertical="center" wrapText="1"/>
    </xf>
    <xf numFmtId="0" fontId="29" fillId="10" borderId="74" xfId="0" applyFont="1" applyFill="1" applyBorder="1" applyAlignment="1">
      <alignment horizontal="center" vertical="center" wrapText="1"/>
    </xf>
    <xf numFmtId="43" fontId="29" fillId="11" borderId="78" xfId="4" applyFont="1" applyFill="1" applyBorder="1" applyAlignment="1" applyProtection="1">
      <alignment horizontal="center" vertical="center" wrapText="1"/>
    </xf>
    <xf numFmtId="43" fontId="29" fillId="11" borderId="82" xfId="4" applyFont="1" applyFill="1" applyBorder="1" applyAlignment="1" applyProtection="1">
      <alignment horizontal="center" vertical="center" wrapText="1"/>
    </xf>
    <xf numFmtId="0" fontId="29" fillId="11" borderId="59" xfId="0" applyFont="1" applyFill="1" applyBorder="1" applyAlignment="1">
      <alignment horizontal="center" vertical="center"/>
    </xf>
    <xf numFmtId="0" fontId="29" fillId="11" borderId="61" xfId="0" applyFont="1" applyFill="1" applyBorder="1" applyAlignment="1">
      <alignment horizontal="center" vertical="center"/>
    </xf>
    <xf numFmtId="0" fontId="29" fillId="11" borderId="87" xfId="0" applyFont="1" applyFill="1" applyBorder="1" applyAlignment="1">
      <alignment horizontal="center" vertical="center" wrapText="1"/>
    </xf>
    <xf numFmtId="0" fontId="29" fillId="11" borderId="67" xfId="0" applyFont="1" applyFill="1" applyBorder="1" applyAlignment="1">
      <alignment horizontal="center" vertical="center" wrapText="1"/>
    </xf>
    <xf numFmtId="43" fontId="29" fillId="11" borderId="79" xfId="4" applyFont="1" applyFill="1" applyBorder="1" applyAlignment="1" applyProtection="1">
      <alignment horizontal="center" vertical="center" wrapText="1"/>
    </xf>
    <xf numFmtId="187" fontId="29" fillId="11" borderId="79" xfId="4" applyNumberFormat="1" applyFont="1" applyFill="1" applyBorder="1" applyAlignment="1" applyProtection="1">
      <alignment horizontal="center" vertical="center" wrapText="1"/>
    </xf>
    <xf numFmtId="187" fontId="29" fillId="11" borderId="83" xfId="4" applyNumberFormat="1" applyFont="1" applyFill="1" applyBorder="1" applyAlignment="1" applyProtection="1">
      <alignment horizontal="center" vertical="center" wrapText="1"/>
    </xf>
    <xf numFmtId="0" fontId="29" fillId="0" borderId="70" xfId="0" applyFont="1" applyBorder="1" applyAlignment="1">
      <alignment horizontal="center" vertical="center"/>
    </xf>
    <xf numFmtId="0" fontId="29" fillId="0" borderId="71" xfId="0" applyFont="1" applyBorder="1" applyAlignment="1">
      <alignment horizontal="center" vertical="center"/>
    </xf>
    <xf numFmtId="0" fontId="29" fillId="0" borderId="72" xfId="0" applyFont="1" applyBorder="1" applyAlignment="1">
      <alignment horizontal="center" vertical="center"/>
    </xf>
    <xf numFmtId="10" fontId="29" fillId="10" borderId="74" xfId="0" applyNumberFormat="1" applyFont="1" applyFill="1" applyBorder="1" applyAlignment="1" applyProtection="1">
      <alignment horizontal="left" vertical="center"/>
      <protection locked="0"/>
    </xf>
    <xf numFmtId="10" fontId="29" fillId="10" borderId="74" xfId="0" applyNumberFormat="1" applyFont="1" applyFill="1" applyBorder="1" applyAlignment="1" applyProtection="1">
      <alignment horizontal="left" vertical="center" wrapText="1"/>
      <protection locked="0"/>
    </xf>
    <xf numFmtId="0" fontId="32" fillId="0" borderId="0" xfId="0" applyFont="1" applyAlignment="1">
      <alignment horizontal="center"/>
    </xf>
    <xf numFmtId="0" fontId="30" fillId="0" borderId="0" xfId="0" applyFont="1" applyAlignment="1">
      <alignment horizontal="center"/>
    </xf>
    <xf numFmtId="10" fontId="29" fillId="15" borderId="3" xfId="0" applyNumberFormat="1" applyFont="1" applyFill="1" applyBorder="1" applyAlignment="1">
      <alignment horizontal="center" vertical="center" wrapText="1"/>
    </xf>
    <xf numFmtId="10" fontId="29" fillId="15" borderId="0" xfId="0" applyNumberFormat="1" applyFont="1" applyFill="1" applyAlignment="1">
      <alignment horizontal="center" vertical="center" wrapText="1"/>
    </xf>
    <xf numFmtId="0" fontId="29" fillId="15" borderId="3" xfId="0" applyFont="1" applyFill="1" applyBorder="1" applyAlignment="1">
      <alignment horizontal="center" vertical="center" wrapText="1"/>
    </xf>
    <xf numFmtId="0" fontId="29" fillId="15" borderId="0" xfId="0" applyFont="1" applyFill="1" applyAlignment="1">
      <alignment horizontal="center" vertical="center" wrapText="1"/>
    </xf>
    <xf numFmtId="0" fontId="28" fillId="8" borderId="69" xfId="0" applyFont="1" applyFill="1" applyBorder="1" applyAlignment="1">
      <alignment horizontal="left" vertical="center" wrapText="1"/>
    </xf>
    <xf numFmtId="0" fontId="28" fillId="8" borderId="94" xfId="0" applyFont="1" applyFill="1" applyBorder="1" applyAlignment="1">
      <alignment horizontal="left" vertical="center" wrapText="1"/>
    </xf>
    <xf numFmtId="0" fontId="28" fillId="8" borderId="0" xfId="0" applyFont="1" applyFill="1" applyAlignment="1">
      <alignment horizontal="left" vertical="center" wrapText="1"/>
    </xf>
    <xf numFmtId="0" fontId="28" fillId="8" borderId="1" xfId="0" applyFont="1" applyFill="1" applyBorder="1" applyAlignment="1">
      <alignment horizontal="left" vertical="center" wrapText="1"/>
    </xf>
    <xf numFmtId="17" fontId="28" fillId="8" borderId="34" xfId="0" applyNumberFormat="1" applyFont="1" applyFill="1" applyBorder="1" applyAlignment="1">
      <alignment horizontal="left" vertical="center" wrapText="1"/>
    </xf>
    <xf numFmtId="0" fontId="28" fillId="8" borderId="34" xfId="0" applyFont="1" applyFill="1" applyBorder="1" applyAlignment="1">
      <alignment horizontal="left" vertical="center" wrapText="1"/>
    </xf>
    <xf numFmtId="0" fontId="28" fillId="8" borderId="47" xfId="0" applyFont="1" applyFill="1" applyBorder="1" applyAlignment="1">
      <alignment horizontal="left" vertical="center" wrapText="1"/>
    </xf>
    <xf numFmtId="0" fontId="29" fillId="12" borderId="71" xfId="0" applyFont="1" applyFill="1" applyBorder="1" applyAlignment="1">
      <alignment horizontal="left" vertical="center" wrapText="1"/>
    </xf>
    <xf numFmtId="0" fontId="29" fillId="12" borderId="92" xfId="0" applyFont="1" applyFill="1" applyBorder="1" applyAlignment="1">
      <alignment horizontal="left" vertical="center" wrapText="1"/>
    </xf>
    <xf numFmtId="0" fontId="28" fillId="8" borderId="60" xfId="0" applyFont="1" applyFill="1" applyBorder="1" applyAlignment="1">
      <alignment horizontal="center" vertical="center" wrapText="1"/>
    </xf>
    <xf numFmtId="0" fontId="28" fillId="8" borderId="61" xfId="0" applyFont="1" applyFill="1" applyBorder="1" applyAlignment="1">
      <alignment horizontal="center" vertical="center" wrapText="1"/>
    </xf>
    <xf numFmtId="4" fontId="28" fillId="8" borderId="59" xfId="0" applyNumberFormat="1" applyFont="1" applyFill="1" applyBorder="1" applyAlignment="1">
      <alignment horizontal="center" vertical="center" wrapText="1"/>
    </xf>
    <xf numFmtId="4" fontId="28" fillId="8" borderId="61" xfId="0" applyNumberFormat="1" applyFont="1" applyFill="1" applyBorder="1" applyAlignment="1">
      <alignment horizontal="center" vertical="center" wrapText="1"/>
    </xf>
    <xf numFmtId="0" fontId="29" fillId="0" borderId="37" xfId="0" applyFont="1" applyBorder="1" applyAlignment="1">
      <alignment horizontal="right" vertical="center"/>
    </xf>
    <xf numFmtId="0" fontId="29" fillId="0" borderId="34" xfId="0" applyFont="1" applyBorder="1" applyAlignment="1">
      <alignment horizontal="right" vertical="center"/>
    </xf>
    <xf numFmtId="0" fontId="29" fillId="0" borderId="99" xfId="0" applyFont="1" applyBorder="1" applyAlignment="1">
      <alignment horizontal="right" vertical="center"/>
    </xf>
    <xf numFmtId="0" fontId="28" fillId="0" borderId="0" xfId="0" applyFont="1" applyAlignment="1">
      <alignment horizontal="center"/>
    </xf>
    <xf numFmtId="0" fontId="28" fillId="0" borderId="34" xfId="0" applyFont="1" applyBorder="1" applyAlignment="1">
      <alignment horizontal="center"/>
    </xf>
    <xf numFmtId="0" fontId="28" fillId="8" borderId="60" xfId="0" applyFont="1" applyFill="1" applyBorder="1" applyAlignment="1">
      <alignment horizontal="left" vertical="center" wrapText="1"/>
    </xf>
    <xf numFmtId="0" fontId="28" fillId="8" borderId="61" xfId="0" applyFont="1" applyFill="1" applyBorder="1" applyAlignment="1">
      <alignment horizontal="left" vertical="center" wrapText="1"/>
    </xf>
    <xf numFmtId="0" fontId="29" fillId="0" borderId="0" xfId="0" applyFont="1" applyAlignment="1">
      <alignment horizontal="center"/>
    </xf>
    <xf numFmtId="0" fontId="29" fillId="8" borderId="70" xfId="0" applyFont="1" applyFill="1" applyBorder="1" applyAlignment="1">
      <alignment horizontal="center" vertical="center" wrapText="1"/>
    </xf>
    <xf numFmtId="0" fontId="29" fillId="8" borderId="71" xfId="0" applyFont="1" applyFill="1" applyBorder="1" applyAlignment="1">
      <alignment horizontal="center" vertical="center" wrapText="1"/>
    </xf>
    <xf numFmtId="0" fontId="29" fillId="8" borderId="92" xfId="0" applyFont="1" applyFill="1" applyBorder="1" applyAlignment="1">
      <alignment horizontal="center" vertical="center" wrapText="1"/>
    </xf>
    <xf numFmtId="0" fontId="29" fillId="0" borderId="93" xfId="0" applyFont="1" applyBorder="1" applyAlignment="1">
      <alignment horizontal="center" vertical="center"/>
    </xf>
    <xf numFmtId="0" fontId="29" fillId="0" borderId="71" xfId="0" applyFont="1" applyBorder="1" applyAlignment="1">
      <alignment horizontal="center" vertical="center" wrapText="1"/>
    </xf>
    <xf numFmtId="0" fontId="28" fillId="0" borderId="59" xfId="0" applyFont="1" applyBorder="1" applyAlignment="1">
      <alignment horizontal="center" vertical="center" wrapText="1"/>
    </xf>
    <xf numFmtId="0" fontId="28" fillId="0" borderId="61" xfId="0" applyFont="1" applyBorder="1" applyAlignment="1">
      <alignment horizontal="center" vertical="center" wrapText="1"/>
    </xf>
    <xf numFmtId="0" fontId="29" fillId="12" borderId="105" xfId="0" applyFont="1" applyFill="1" applyBorder="1" applyAlignment="1">
      <alignment horizontal="center" vertical="center" wrapText="1"/>
    </xf>
    <xf numFmtId="0" fontId="29" fillId="12" borderId="92" xfId="0" applyFont="1" applyFill="1" applyBorder="1" applyAlignment="1">
      <alignment horizontal="center" vertical="center" wrapText="1"/>
    </xf>
    <xf numFmtId="0" fontId="28" fillId="0" borderId="60" xfId="0" applyFont="1" applyBorder="1" applyAlignment="1">
      <alignment horizontal="left" vertical="center" wrapText="1"/>
    </xf>
    <xf numFmtId="0" fontId="28" fillId="0" borderId="61" xfId="0" applyFont="1" applyBorder="1" applyAlignment="1">
      <alignment horizontal="left" vertical="center" wrapText="1"/>
    </xf>
    <xf numFmtId="178" fontId="28" fillId="0" borderId="59" xfId="0" applyNumberFormat="1" applyFont="1" applyBorder="1" applyAlignment="1">
      <alignment horizontal="center" vertical="center" wrapText="1"/>
    </xf>
    <xf numFmtId="178" fontId="28" fillId="0" borderId="61" xfId="0" applyNumberFormat="1" applyFont="1" applyBorder="1" applyAlignment="1">
      <alignment horizontal="center" vertical="center" wrapText="1"/>
    </xf>
    <xf numFmtId="4" fontId="28" fillId="8" borderId="118" xfId="0" applyNumberFormat="1" applyFont="1" applyFill="1" applyBorder="1" applyAlignment="1">
      <alignment horizontal="center" vertical="center" wrapText="1"/>
    </xf>
    <xf numFmtId="4" fontId="29" fillId="12" borderId="105" xfId="0" applyNumberFormat="1" applyFont="1" applyFill="1" applyBorder="1" applyAlignment="1">
      <alignment horizontal="center" vertical="center" wrapText="1"/>
    </xf>
    <xf numFmtId="4" fontId="29" fillId="12" borderId="72" xfId="0" applyNumberFormat="1" applyFont="1" applyFill="1" applyBorder="1" applyAlignment="1">
      <alignment horizontal="center" vertical="center" wrapText="1"/>
    </xf>
    <xf numFmtId="0" fontId="29" fillId="0" borderId="105" xfId="0" applyFont="1" applyBorder="1" applyAlignment="1">
      <alignment horizontal="center" vertical="center"/>
    </xf>
    <xf numFmtId="178" fontId="28" fillId="8" borderId="59" xfId="0" applyNumberFormat="1" applyFont="1" applyFill="1" applyBorder="1" applyAlignment="1">
      <alignment horizontal="center" vertical="center" wrapText="1"/>
    </xf>
    <xf numFmtId="178" fontId="28" fillId="8" borderId="61" xfId="0" applyNumberFormat="1" applyFont="1" applyFill="1" applyBorder="1" applyAlignment="1">
      <alignment horizontal="center" vertical="center" wrapText="1"/>
    </xf>
    <xf numFmtId="2" fontId="28" fillId="0" borderId="59" xfId="0" applyNumberFormat="1" applyFont="1" applyBorder="1" applyAlignment="1">
      <alignment horizontal="center" vertical="center" wrapText="1"/>
    </xf>
    <xf numFmtId="2" fontId="28" fillId="0" borderId="61" xfId="0" applyNumberFormat="1" applyFont="1" applyBorder="1" applyAlignment="1">
      <alignment horizontal="center" vertical="center" wrapText="1"/>
    </xf>
    <xf numFmtId="0" fontId="28" fillId="8" borderId="60" xfId="0" quotePrefix="1" applyFont="1" applyFill="1" applyBorder="1" applyAlignment="1">
      <alignment horizontal="left" vertical="center" wrapText="1"/>
    </xf>
    <xf numFmtId="0" fontId="28" fillId="8" borderId="61" xfId="0" quotePrefix="1" applyFont="1" applyFill="1" applyBorder="1" applyAlignment="1">
      <alignment horizontal="left" vertical="center" wrapText="1"/>
    </xf>
    <xf numFmtId="185" fontId="28" fillId="0" borderId="59" xfId="0" applyNumberFormat="1" applyFont="1" applyBorder="1" applyAlignment="1">
      <alignment horizontal="center" vertical="center" wrapText="1"/>
    </xf>
    <xf numFmtId="185" fontId="28" fillId="0" borderId="61" xfId="0" applyNumberFormat="1" applyFont="1" applyBorder="1" applyAlignment="1">
      <alignment horizontal="center" vertical="center" wrapText="1"/>
    </xf>
    <xf numFmtId="0" fontId="28" fillId="8" borderId="69" xfId="0" quotePrefix="1" applyFont="1" applyFill="1" applyBorder="1" applyAlignment="1">
      <alignment horizontal="left" vertical="center" wrapText="1"/>
    </xf>
    <xf numFmtId="176" fontId="28" fillId="0" borderId="59" xfId="0" applyNumberFormat="1" applyFont="1" applyBorder="1" applyAlignment="1">
      <alignment horizontal="center" vertical="center" wrapText="1"/>
    </xf>
    <xf numFmtId="176" fontId="28" fillId="0" borderId="61" xfId="0" applyNumberFormat="1" applyFont="1" applyBorder="1" applyAlignment="1">
      <alignment horizontal="center" vertical="center" wrapText="1"/>
    </xf>
    <xf numFmtId="176" fontId="28" fillId="8" borderId="59" xfId="0" applyNumberFormat="1" applyFont="1" applyFill="1" applyBorder="1" applyAlignment="1">
      <alignment horizontal="center" vertical="center" wrapText="1"/>
    </xf>
    <xf numFmtId="176" fontId="28" fillId="8" borderId="61" xfId="0" applyNumberFormat="1" applyFont="1" applyFill="1" applyBorder="1" applyAlignment="1">
      <alignment horizontal="center" vertical="center" wrapText="1"/>
    </xf>
    <xf numFmtId="0" fontId="28" fillId="0" borderId="60" xfId="0" applyFont="1" applyBorder="1" applyAlignment="1">
      <alignment horizontal="left" vertical="center"/>
    </xf>
    <xf numFmtId="0" fontId="28" fillId="0" borderId="61" xfId="0" applyFont="1" applyBorder="1" applyAlignment="1">
      <alignment horizontal="left" vertical="center"/>
    </xf>
    <xf numFmtId="0" fontId="28" fillId="0" borderId="34" xfId="0" applyFont="1" applyBorder="1" applyAlignment="1">
      <alignment horizontal="left" vertical="center"/>
    </xf>
    <xf numFmtId="164" fontId="28" fillId="8" borderId="59" xfId="0" applyNumberFormat="1" applyFont="1" applyFill="1" applyBorder="1" applyAlignment="1">
      <alignment horizontal="center" vertical="center" wrapText="1"/>
    </xf>
    <xf numFmtId="164" fontId="28" fillId="8" borderId="61" xfId="0" applyNumberFormat="1" applyFont="1" applyFill="1" applyBorder="1" applyAlignment="1">
      <alignment horizontal="center" vertical="center" wrapText="1"/>
    </xf>
    <xf numFmtId="164" fontId="28" fillId="8" borderId="59" xfId="5" applyFont="1" applyFill="1" applyBorder="1" applyAlignment="1">
      <alignment horizontal="center" vertical="center" wrapText="1"/>
    </xf>
    <xf numFmtId="164" fontId="28" fillId="8" borderId="61" xfId="5" applyFont="1" applyFill="1" applyBorder="1" applyAlignment="1">
      <alignment horizontal="center" vertical="center" wrapText="1"/>
    </xf>
    <xf numFmtId="0" fontId="28" fillId="0" borderId="0" xfId="0" applyFont="1" applyAlignment="1">
      <alignment horizontal="left" vertical="center" wrapText="1"/>
    </xf>
    <xf numFmtId="0" fontId="28" fillId="8" borderId="0" xfId="0" applyFont="1" applyFill="1" applyBorder="1" applyAlignment="1">
      <alignment horizontal="left" vertical="center" wrapText="1"/>
    </xf>
    <xf numFmtId="0" fontId="28" fillId="0" borderId="60" xfId="0" quotePrefix="1" applyFont="1" applyBorder="1" applyAlignment="1">
      <alignment horizontal="left" vertical="center" wrapText="1"/>
    </xf>
    <xf numFmtId="0" fontId="21" fillId="0" borderId="73" xfId="7" applyFont="1" applyBorder="1" applyAlignment="1">
      <alignment horizontal="center" vertical="center"/>
    </xf>
    <xf numFmtId="0" fontId="21" fillId="0" borderId="74" xfId="7" applyFont="1" applyBorder="1" applyAlignment="1">
      <alignment horizontal="center" vertical="center"/>
    </xf>
    <xf numFmtId="0" fontId="21" fillId="0" borderId="77" xfId="7" applyFont="1" applyBorder="1" applyAlignment="1">
      <alignment horizontal="center" vertical="center"/>
    </xf>
  </cellXfs>
  <cellStyles count="17">
    <cellStyle name="Moeda" xfId="5" builtinId="4"/>
    <cellStyle name="Moeda 2" xfId="14" xr:uid="{F7AB8E4B-ED88-4761-BB94-D9B355328651}"/>
    <cellStyle name="Moeda 3" xfId="16" xr:uid="{52DF783D-2BB5-4DBB-AC25-382AD4C9ACC9}"/>
    <cellStyle name="Normal" xfId="0" builtinId="0"/>
    <cellStyle name="Normal 2" xfId="3" xr:uid="{0A74F806-FB5B-4BF4-8D3F-C1ADC83EE0D1}"/>
    <cellStyle name="Normal 2 2" xfId="7" xr:uid="{7560F7E2-69E4-4DDB-BE02-1C05E15D2700}"/>
    <cellStyle name="Porcentagem" xfId="6" builtinId="5"/>
    <cellStyle name="Porcentagem 2" xfId="8" xr:uid="{860F10E6-4F7D-4CAA-8B14-4A6D8BE1630B}"/>
    <cellStyle name="Porcentagem 2 2" xfId="9" xr:uid="{7D2CC8D7-0308-4F50-9CF8-9EE868586D1E}"/>
    <cellStyle name="Separador de milhares 2" xfId="2" xr:uid="{00000000-0005-0000-0000-000005000000}"/>
    <cellStyle name="Separador de milhares 2 2" xfId="12" xr:uid="{0245A0C9-7B15-4D6B-A639-C6F265D330EC}"/>
    <cellStyle name="Vírgula" xfId="1" builtinId="3"/>
    <cellStyle name="Vírgula 2" xfId="4" xr:uid="{5E7661B8-3E99-4A1A-8C29-5EC1BC729BC0}"/>
    <cellStyle name="Vírgula 2 2" xfId="10" xr:uid="{F982F151-7B6F-4D4C-A454-4D6429DF06DF}"/>
    <cellStyle name="Vírgula 2 2 2" xfId="15" xr:uid="{FAD173BD-46B1-4D69-A568-A0DA43BBBF16}"/>
    <cellStyle name="Vírgula 2 3" xfId="13" xr:uid="{65A74EC5-7688-4179-884F-727DACCEB9B2}"/>
    <cellStyle name="Vírgula 3" xfId="11" xr:uid="{69B4F264-1075-430E-8601-517AC107A64F}"/>
  </cellStyles>
  <dxfs count="122">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dxf>
    <dxf>
      <font>
        <condense val="0"/>
        <extend val="0"/>
        <color indexed="9"/>
      </font>
    </dxf>
    <dxf>
      <font>
        <condense val="0"/>
        <extend val="0"/>
        <color indexed="9"/>
      </font>
    </dxf>
    <dxf>
      <font>
        <b/>
        <i val="0"/>
        <condense val="0"/>
        <extend val="0"/>
      </font>
    </dxf>
    <dxf>
      <font>
        <b/>
        <i val="0"/>
        <condense val="0"/>
        <extend val="0"/>
      </font>
    </dxf>
    <dxf>
      <font>
        <condense val="0"/>
        <extend val="0"/>
        <color indexed="9"/>
      </font>
    </dxf>
    <dxf>
      <font>
        <condense val="0"/>
        <extend val="0"/>
        <color indexed="9"/>
      </font>
    </dxf>
    <dxf>
      <font>
        <b/>
        <i val="0"/>
        <condense val="0"/>
        <extend val="0"/>
      </font>
    </dxf>
    <dxf>
      <font>
        <condense val="0"/>
        <extend val="0"/>
        <color indexed="9"/>
      </font>
    </dxf>
    <dxf>
      <font>
        <b/>
        <i val="0"/>
        <condense val="0"/>
        <extend val="0"/>
      </font>
    </dxf>
    <dxf>
      <font>
        <condense val="0"/>
        <extend val="0"/>
        <color indexed="9"/>
      </font>
    </dxf>
    <dxf>
      <font>
        <b/>
        <i val="0"/>
        <condense val="0"/>
        <extend val="0"/>
      </font>
    </dxf>
    <dxf>
      <font>
        <condense val="0"/>
        <extend val="0"/>
        <color indexed="9"/>
      </font>
    </dxf>
    <dxf>
      <font>
        <b/>
        <i val="0"/>
        <condense val="0"/>
        <extend val="0"/>
      </font>
    </dxf>
    <dxf>
      <font>
        <condense val="0"/>
        <extend val="0"/>
        <color indexed="9"/>
      </font>
    </dxf>
    <dxf>
      <font>
        <b/>
        <i val="0"/>
        <condense val="0"/>
        <extend val="0"/>
      </font>
    </dxf>
    <dxf>
      <font>
        <condense val="0"/>
        <extend val="0"/>
        <color indexed="9"/>
      </font>
    </dxf>
    <dxf>
      <font>
        <b/>
        <i val="0"/>
        <condense val="0"/>
        <extend val="0"/>
      </font>
    </dxf>
    <dxf>
      <font>
        <b/>
        <i val="0"/>
        <condense val="0"/>
        <extend val="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dxf>
    <dxf>
      <font>
        <b/>
        <i val="0"/>
        <condense val="0"/>
        <extend val="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dxf>
    <dxf>
      <font>
        <b/>
        <i val="0"/>
        <condense val="0"/>
        <extend val="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6.png"/><Relationship Id="rId1" Type="http://schemas.openxmlformats.org/officeDocument/2006/relationships/image" Target="../media/image2.jpg"/></Relationships>
</file>

<file path=xl/drawings/_rels/drawing11.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2.jpg"/><Relationship Id="rId5" Type="http://schemas.openxmlformats.org/officeDocument/2006/relationships/image" Target="../media/image4.png"/><Relationship Id="rId4" Type="http://schemas.openxmlformats.org/officeDocument/2006/relationships/image" Target="../media/image9.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0.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3.png"/><Relationship Id="rId1" Type="http://schemas.openxmlformats.org/officeDocument/2006/relationships/image" Target="../media/image2.jp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jp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jp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jp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png"/><Relationship Id="rId4"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10</xdr:col>
      <xdr:colOff>600075</xdr:colOff>
      <xdr:row>2</xdr:row>
      <xdr:rowOff>9525</xdr:rowOff>
    </xdr:from>
    <xdr:to>
      <xdr:col>14</xdr:col>
      <xdr:colOff>514044</xdr:colOff>
      <xdr:row>8</xdr:row>
      <xdr:rowOff>37954</xdr:rowOff>
    </xdr:to>
    <xdr:pic>
      <xdr:nvPicPr>
        <xdr:cNvPr id="3" name="Imagem 2">
          <a:extLst>
            <a:ext uri="{FF2B5EF4-FFF2-40B4-BE49-F238E27FC236}">
              <a16:creationId xmlns:a16="http://schemas.microsoft.com/office/drawing/2014/main" id="{CB71A7B2-727D-4537-880E-9BADE1AD2A1A}"/>
            </a:ext>
          </a:extLst>
        </xdr:cNvPr>
        <xdr:cNvPicPr>
          <a:picLocks noChangeAspect="1"/>
        </xdr:cNvPicPr>
      </xdr:nvPicPr>
      <xdr:blipFill>
        <a:blip xmlns:r="http://schemas.openxmlformats.org/officeDocument/2006/relationships" r:embed="rId1"/>
        <a:stretch>
          <a:fillRect/>
        </a:stretch>
      </xdr:blipFill>
      <xdr:spPr>
        <a:xfrm>
          <a:off x="13173075" y="438150"/>
          <a:ext cx="2447619" cy="117142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12</xdr:col>
      <xdr:colOff>971550</xdr:colOff>
      <xdr:row>2</xdr:row>
      <xdr:rowOff>95249</xdr:rowOff>
    </xdr:from>
    <xdr:to>
      <xdr:col>15</xdr:col>
      <xdr:colOff>273345</xdr:colOff>
      <xdr:row>4</xdr:row>
      <xdr:rowOff>190499</xdr:rowOff>
    </xdr:to>
    <xdr:pic>
      <xdr:nvPicPr>
        <xdr:cNvPr id="3" name="Imagem 2">
          <a:extLst>
            <a:ext uri="{FF2B5EF4-FFF2-40B4-BE49-F238E27FC236}">
              <a16:creationId xmlns:a16="http://schemas.microsoft.com/office/drawing/2014/main" id="{3E2CC2D8-DE51-4BDC-B213-C757784C1E5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896850" y="476249"/>
          <a:ext cx="2778420" cy="542925"/>
        </a:xfrm>
        <a:prstGeom prst="rect">
          <a:avLst/>
        </a:prstGeom>
      </xdr:spPr>
    </xdr:pic>
    <xdr:clientData/>
  </xdr:twoCellAnchor>
  <xdr:twoCellAnchor editAs="oneCell">
    <xdr:from>
      <xdr:col>0</xdr:col>
      <xdr:colOff>152399</xdr:colOff>
      <xdr:row>2</xdr:row>
      <xdr:rowOff>57150</xdr:rowOff>
    </xdr:from>
    <xdr:to>
      <xdr:col>1</xdr:col>
      <xdr:colOff>1123949</xdr:colOff>
      <xdr:row>4</xdr:row>
      <xdr:rowOff>210793</xdr:rowOff>
    </xdr:to>
    <xdr:pic>
      <xdr:nvPicPr>
        <xdr:cNvPr id="4" name="Imagem 3">
          <a:extLst>
            <a:ext uri="{FF2B5EF4-FFF2-40B4-BE49-F238E27FC236}">
              <a16:creationId xmlns:a16="http://schemas.microsoft.com/office/drawing/2014/main" id="{6AE5BC17-4A60-41F6-B4A3-CECBF86995B9}"/>
            </a:ext>
          </a:extLst>
        </xdr:cNvPr>
        <xdr:cNvPicPr>
          <a:picLocks noChangeAspect="1"/>
        </xdr:cNvPicPr>
      </xdr:nvPicPr>
      <xdr:blipFill>
        <a:blip xmlns:r="http://schemas.openxmlformats.org/officeDocument/2006/relationships" r:embed="rId2"/>
        <a:stretch>
          <a:fillRect/>
        </a:stretch>
      </xdr:blipFill>
      <xdr:spPr>
        <a:xfrm>
          <a:off x="152399" y="438150"/>
          <a:ext cx="1419225" cy="601318"/>
        </a:xfrm>
        <a:prstGeom prst="rect">
          <a:avLst/>
        </a:prstGeom>
      </xdr:spPr>
    </xdr:pic>
    <xdr:clientData/>
  </xdr:twoCellAnchor>
  <xdr:twoCellAnchor editAs="oneCell">
    <xdr:from>
      <xdr:col>1</xdr:col>
      <xdr:colOff>716280</xdr:colOff>
      <xdr:row>28</xdr:row>
      <xdr:rowOff>53340</xdr:rowOff>
    </xdr:from>
    <xdr:to>
      <xdr:col>2</xdr:col>
      <xdr:colOff>586740</xdr:colOff>
      <xdr:row>30</xdr:row>
      <xdr:rowOff>137160</xdr:rowOff>
    </xdr:to>
    <xdr:pic>
      <xdr:nvPicPr>
        <xdr:cNvPr id="5" name="Imagem 4">
          <a:extLst>
            <a:ext uri="{FF2B5EF4-FFF2-40B4-BE49-F238E27FC236}">
              <a16:creationId xmlns:a16="http://schemas.microsoft.com/office/drawing/2014/main" id="{6D3C8931-A599-475E-8E49-D992D890D5BC}"/>
            </a:ext>
          </a:extLst>
        </xdr:cNvPr>
        <xdr:cNvPicPr>
          <a:picLocks noChangeAspect="1"/>
        </xdr:cNvPicPr>
      </xdr:nvPicPr>
      <xdr:blipFill>
        <a:blip xmlns:r="http://schemas.openxmlformats.org/officeDocument/2006/relationships" r:embed="rId3"/>
        <a:stretch>
          <a:fillRect/>
        </a:stretch>
      </xdr:blipFill>
      <xdr:spPr>
        <a:xfrm>
          <a:off x="1173480" y="6233160"/>
          <a:ext cx="2583180" cy="4953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585532</xdr:colOff>
      <xdr:row>1</xdr:row>
      <xdr:rowOff>66674</xdr:rowOff>
    </xdr:from>
    <xdr:to>
      <xdr:col>13</xdr:col>
      <xdr:colOff>292643</xdr:colOff>
      <xdr:row>1</xdr:row>
      <xdr:rowOff>466725</xdr:rowOff>
    </xdr:to>
    <xdr:pic>
      <xdr:nvPicPr>
        <xdr:cNvPr id="2" name="Imagem 1">
          <a:extLst>
            <a:ext uri="{FF2B5EF4-FFF2-40B4-BE49-F238E27FC236}">
              <a16:creationId xmlns:a16="http://schemas.microsoft.com/office/drawing/2014/main" id="{516011B0-6EA3-480E-A9B0-3343DBA76B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348532" y="266699"/>
          <a:ext cx="1840711" cy="400051"/>
        </a:xfrm>
        <a:prstGeom prst="rect">
          <a:avLst/>
        </a:prstGeom>
      </xdr:spPr>
    </xdr:pic>
    <xdr:clientData/>
  </xdr:twoCellAnchor>
  <xdr:twoCellAnchor editAs="oneCell">
    <xdr:from>
      <xdr:col>11</xdr:col>
      <xdr:colOff>566482</xdr:colOff>
      <xdr:row>45</xdr:row>
      <xdr:rowOff>85724</xdr:rowOff>
    </xdr:from>
    <xdr:to>
      <xdr:col>13</xdr:col>
      <xdr:colOff>273593</xdr:colOff>
      <xdr:row>45</xdr:row>
      <xdr:rowOff>485775</xdr:rowOff>
    </xdr:to>
    <xdr:pic>
      <xdr:nvPicPr>
        <xdr:cNvPr id="3" name="Imagem 2">
          <a:extLst>
            <a:ext uri="{FF2B5EF4-FFF2-40B4-BE49-F238E27FC236}">
              <a16:creationId xmlns:a16="http://schemas.microsoft.com/office/drawing/2014/main" id="{C5B0AF65-E31B-401B-84FD-837F4C8BE2F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329482" y="10696574"/>
          <a:ext cx="1840711" cy="400051"/>
        </a:xfrm>
        <a:prstGeom prst="rect">
          <a:avLst/>
        </a:prstGeom>
      </xdr:spPr>
    </xdr:pic>
    <xdr:clientData/>
  </xdr:twoCellAnchor>
  <xdr:twoCellAnchor editAs="oneCell">
    <xdr:from>
      <xdr:col>11</xdr:col>
      <xdr:colOff>585532</xdr:colOff>
      <xdr:row>91</xdr:row>
      <xdr:rowOff>66674</xdr:rowOff>
    </xdr:from>
    <xdr:to>
      <xdr:col>13</xdr:col>
      <xdr:colOff>292643</xdr:colOff>
      <xdr:row>91</xdr:row>
      <xdr:rowOff>466725</xdr:rowOff>
    </xdr:to>
    <xdr:pic>
      <xdr:nvPicPr>
        <xdr:cNvPr id="4" name="Imagem 3">
          <a:extLst>
            <a:ext uri="{FF2B5EF4-FFF2-40B4-BE49-F238E27FC236}">
              <a16:creationId xmlns:a16="http://schemas.microsoft.com/office/drawing/2014/main" id="{D7B586CB-768C-41C7-A734-E4E530BC62B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348532" y="21469349"/>
          <a:ext cx="1840711" cy="400051"/>
        </a:xfrm>
        <a:prstGeom prst="rect">
          <a:avLst/>
        </a:prstGeom>
      </xdr:spPr>
    </xdr:pic>
    <xdr:clientData/>
  </xdr:twoCellAnchor>
  <xdr:twoCellAnchor editAs="oneCell">
    <xdr:from>
      <xdr:col>11</xdr:col>
      <xdr:colOff>499807</xdr:colOff>
      <xdr:row>137</xdr:row>
      <xdr:rowOff>123824</xdr:rowOff>
    </xdr:from>
    <xdr:to>
      <xdr:col>13</xdr:col>
      <xdr:colOff>206918</xdr:colOff>
      <xdr:row>137</xdr:row>
      <xdr:rowOff>523875</xdr:rowOff>
    </xdr:to>
    <xdr:pic>
      <xdr:nvPicPr>
        <xdr:cNvPr id="5" name="Imagem 4">
          <a:extLst>
            <a:ext uri="{FF2B5EF4-FFF2-40B4-BE49-F238E27FC236}">
              <a16:creationId xmlns:a16="http://schemas.microsoft.com/office/drawing/2014/main" id="{D3C87AB3-B19C-450D-AAC6-24DBE78DFD3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262807" y="32280224"/>
          <a:ext cx="1840711" cy="400051"/>
        </a:xfrm>
        <a:prstGeom prst="rect">
          <a:avLst/>
        </a:prstGeom>
      </xdr:spPr>
    </xdr:pic>
    <xdr:clientData/>
  </xdr:twoCellAnchor>
  <xdr:twoCellAnchor editAs="oneCell">
    <xdr:from>
      <xdr:col>11</xdr:col>
      <xdr:colOff>566482</xdr:colOff>
      <xdr:row>180</xdr:row>
      <xdr:rowOff>66674</xdr:rowOff>
    </xdr:from>
    <xdr:to>
      <xdr:col>13</xdr:col>
      <xdr:colOff>273593</xdr:colOff>
      <xdr:row>180</xdr:row>
      <xdr:rowOff>466725</xdr:rowOff>
    </xdr:to>
    <xdr:pic>
      <xdr:nvPicPr>
        <xdr:cNvPr id="6" name="Imagem 5">
          <a:extLst>
            <a:ext uri="{FF2B5EF4-FFF2-40B4-BE49-F238E27FC236}">
              <a16:creationId xmlns:a16="http://schemas.microsoft.com/office/drawing/2014/main" id="{8A007299-75E4-4C82-B173-0D6BBF0B5D3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329482" y="42471974"/>
          <a:ext cx="1840711" cy="400051"/>
        </a:xfrm>
        <a:prstGeom prst="rect">
          <a:avLst/>
        </a:prstGeom>
      </xdr:spPr>
    </xdr:pic>
    <xdr:clientData/>
  </xdr:twoCellAnchor>
  <xdr:twoCellAnchor editAs="oneCell">
    <xdr:from>
      <xdr:col>11</xdr:col>
      <xdr:colOff>547432</xdr:colOff>
      <xdr:row>279</xdr:row>
      <xdr:rowOff>47624</xdr:rowOff>
    </xdr:from>
    <xdr:to>
      <xdr:col>13</xdr:col>
      <xdr:colOff>254543</xdr:colOff>
      <xdr:row>279</xdr:row>
      <xdr:rowOff>447675</xdr:rowOff>
    </xdr:to>
    <xdr:pic>
      <xdr:nvPicPr>
        <xdr:cNvPr id="7" name="Imagem 6">
          <a:extLst>
            <a:ext uri="{FF2B5EF4-FFF2-40B4-BE49-F238E27FC236}">
              <a16:creationId xmlns:a16="http://schemas.microsoft.com/office/drawing/2014/main" id="{1D92EB0C-648D-4DCA-A5B8-E9979A553C1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310432" y="66789299"/>
          <a:ext cx="1840711" cy="400051"/>
        </a:xfrm>
        <a:prstGeom prst="rect">
          <a:avLst/>
        </a:prstGeom>
      </xdr:spPr>
    </xdr:pic>
    <xdr:clientData/>
  </xdr:twoCellAnchor>
  <xdr:twoCellAnchor editAs="oneCell">
    <xdr:from>
      <xdr:col>11</xdr:col>
      <xdr:colOff>480757</xdr:colOff>
      <xdr:row>332</xdr:row>
      <xdr:rowOff>76199</xdr:rowOff>
    </xdr:from>
    <xdr:to>
      <xdr:col>13</xdr:col>
      <xdr:colOff>187868</xdr:colOff>
      <xdr:row>332</xdr:row>
      <xdr:rowOff>476250</xdr:rowOff>
    </xdr:to>
    <xdr:pic>
      <xdr:nvPicPr>
        <xdr:cNvPr id="8" name="Imagem 7">
          <a:extLst>
            <a:ext uri="{FF2B5EF4-FFF2-40B4-BE49-F238E27FC236}">
              <a16:creationId xmlns:a16="http://schemas.microsoft.com/office/drawing/2014/main" id="{16418958-0002-43B4-8B12-2159C1AD547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243757" y="80905349"/>
          <a:ext cx="1840711" cy="400051"/>
        </a:xfrm>
        <a:prstGeom prst="rect">
          <a:avLst/>
        </a:prstGeom>
      </xdr:spPr>
    </xdr:pic>
    <xdr:clientData/>
  </xdr:twoCellAnchor>
  <xdr:twoCellAnchor editAs="oneCell">
    <xdr:from>
      <xdr:col>11</xdr:col>
      <xdr:colOff>528382</xdr:colOff>
      <xdr:row>384</xdr:row>
      <xdr:rowOff>85724</xdr:rowOff>
    </xdr:from>
    <xdr:to>
      <xdr:col>13</xdr:col>
      <xdr:colOff>235493</xdr:colOff>
      <xdr:row>384</xdr:row>
      <xdr:rowOff>485775</xdr:rowOff>
    </xdr:to>
    <xdr:pic>
      <xdr:nvPicPr>
        <xdr:cNvPr id="9" name="Imagem 8">
          <a:extLst>
            <a:ext uri="{FF2B5EF4-FFF2-40B4-BE49-F238E27FC236}">
              <a16:creationId xmlns:a16="http://schemas.microsoft.com/office/drawing/2014/main" id="{885FBD4A-4CE9-4F85-9CBC-F6F84302ECB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291382" y="92849699"/>
          <a:ext cx="1840711" cy="400051"/>
        </a:xfrm>
        <a:prstGeom prst="rect">
          <a:avLst/>
        </a:prstGeom>
      </xdr:spPr>
    </xdr:pic>
    <xdr:clientData/>
  </xdr:twoCellAnchor>
  <xdr:twoCellAnchor editAs="oneCell">
    <xdr:from>
      <xdr:col>12</xdr:col>
      <xdr:colOff>109282</xdr:colOff>
      <xdr:row>428</xdr:row>
      <xdr:rowOff>76199</xdr:rowOff>
    </xdr:from>
    <xdr:to>
      <xdr:col>13</xdr:col>
      <xdr:colOff>606967</xdr:colOff>
      <xdr:row>428</xdr:row>
      <xdr:rowOff>476250</xdr:rowOff>
    </xdr:to>
    <xdr:pic>
      <xdr:nvPicPr>
        <xdr:cNvPr id="10" name="Imagem 9">
          <a:extLst>
            <a:ext uri="{FF2B5EF4-FFF2-40B4-BE49-F238E27FC236}">
              <a16:creationId xmlns:a16="http://schemas.microsoft.com/office/drawing/2014/main" id="{98F5B464-BA78-41D9-B1B8-6858A979655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662857" y="103241474"/>
          <a:ext cx="1840710" cy="400051"/>
        </a:xfrm>
        <a:prstGeom prst="rect">
          <a:avLst/>
        </a:prstGeom>
      </xdr:spPr>
    </xdr:pic>
    <xdr:clientData/>
  </xdr:twoCellAnchor>
  <xdr:twoCellAnchor editAs="oneCell">
    <xdr:from>
      <xdr:col>11</xdr:col>
      <xdr:colOff>509332</xdr:colOff>
      <xdr:row>476</xdr:row>
      <xdr:rowOff>66674</xdr:rowOff>
    </xdr:from>
    <xdr:to>
      <xdr:col>13</xdr:col>
      <xdr:colOff>216443</xdr:colOff>
      <xdr:row>476</xdr:row>
      <xdr:rowOff>466725</xdr:rowOff>
    </xdr:to>
    <xdr:pic>
      <xdr:nvPicPr>
        <xdr:cNvPr id="11" name="Imagem 10">
          <a:extLst>
            <a:ext uri="{FF2B5EF4-FFF2-40B4-BE49-F238E27FC236}">
              <a16:creationId xmlns:a16="http://schemas.microsoft.com/office/drawing/2014/main" id="{D76E7CF6-99DD-4604-A82E-016038479D0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450926" y="119438737"/>
          <a:ext cx="1838330" cy="400051"/>
        </a:xfrm>
        <a:prstGeom prst="rect">
          <a:avLst/>
        </a:prstGeom>
      </xdr:spPr>
    </xdr:pic>
    <xdr:clientData/>
  </xdr:twoCellAnchor>
  <xdr:twoCellAnchor editAs="oneCell">
    <xdr:from>
      <xdr:col>11</xdr:col>
      <xdr:colOff>585532</xdr:colOff>
      <xdr:row>524</xdr:row>
      <xdr:rowOff>76199</xdr:rowOff>
    </xdr:from>
    <xdr:to>
      <xdr:col>13</xdr:col>
      <xdr:colOff>292643</xdr:colOff>
      <xdr:row>524</xdr:row>
      <xdr:rowOff>476250</xdr:rowOff>
    </xdr:to>
    <xdr:pic>
      <xdr:nvPicPr>
        <xdr:cNvPr id="12" name="Imagem 11">
          <a:extLst>
            <a:ext uri="{FF2B5EF4-FFF2-40B4-BE49-F238E27FC236}">
              <a16:creationId xmlns:a16="http://schemas.microsoft.com/office/drawing/2014/main" id="{FAE7C1CD-7FC8-4152-B17C-51825C1F6F2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7126" y="130604418"/>
          <a:ext cx="1838330" cy="400051"/>
        </a:xfrm>
        <a:prstGeom prst="rect">
          <a:avLst/>
        </a:prstGeom>
      </xdr:spPr>
    </xdr:pic>
    <xdr:clientData/>
  </xdr:twoCellAnchor>
  <xdr:twoCellAnchor editAs="oneCell">
    <xdr:from>
      <xdr:col>11</xdr:col>
      <xdr:colOff>480757</xdr:colOff>
      <xdr:row>612</xdr:row>
      <xdr:rowOff>66674</xdr:rowOff>
    </xdr:from>
    <xdr:to>
      <xdr:col>13</xdr:col>
      <xdr:colOff>187868</xdr:colOff>
      <xdr:row>612</xdr:row>
      <xdr:rowOff>466725</xdr:rowOff>
    </xdr:to>
    <xdr:pic>
      <xdr:nvPicPr>
        <xdr:cNvPr id="14" name="Imagem 13">
          <a:extLst>
            <a:ext uri="{FF2B5EF4-FFF2-40B4-BE49-F238E27FC236}">
              <a16:creationId xmlns:a16="http://schemas.microsoft.com/office/drawing/2014/main" id="{EAFA738A-1E0C-4092-A247-2C41FC0FE6D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422351" y="152692893"/>
          <a:ext cx="1838330" cy="400051"/>
        </a:xfrm>
        <a:prstGeom prst="rect">
          <a:avLst/>
        </a:prstGeom>
      </xdr:spPr>
    </xdr:pic>
    <xdr:clientData/>
  </xdr:twoCellAnchor>
  <xdr:twoCellAnchor editAs="oneCell">
    <xdr:from>
      <xdr:col>11</xdr:col>
      <xdr:colOff>742950</xdr:colOff>
      <xdr:row>567</xdr:row>
      <xdr:rowOff>76199</xdr:rowOff>
    </xdr:from>
    <xdr:to>
      <xdr:col>12</xdr:col>
      <xdr:colOff>1333250</xdr:colOff>
      <xdr:row>567</xdr:row>
      <xdr:rowOff>414282</xdr:rowOff>
    </xdr:to>
    <xdr:pic>
      <xdr:nvPicPr>
        <xdr:cNvPr id="15" name="Imagem 14">
          <a:extLst>
            <a:ext uri="{FF2B5EF4-FFF2-40B4-BE49-F238E27FC236}">
              <a16:creationId xmlns:a16="http://schemas.microsoft.com/office/drawing/2014/main" id="{043C3A91-B994-4975-8A82-1C8C019ADC8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684544" y="141724855"/>
          <a:ext cx="1376112" cy="338083"/>
        </a:xfrm>
        <a:prstGeom prst="rect">
          <a:avLst/>
        </a:prstGeom>
      </xdr:spPr>
    </xdr:pic>
    <xdr:clientData/>
  </xdr:twoCellAnchor>
  <xdr:twoCellAnchor editAs="oneCell">
    <xdr:from>
      <xdr:col>11</xdr:col>
      <xdr:colOff>528382</xdr:colOff>
      <xdr:row>665</xdr:row>
      <xdr:rowOff>57149</xdr:rowOff>
    </xdr:from>
    <xdr:to>
      <xdr:col>13</xdr:col>
      <xdr:colOff>235493</xdr:colOff>
      <xdr:row>665</xdr:row>
      <xdr:rowOff>457200</xdr:rowOff>
    </xdr:to>
    <xdr:pic>
      <xdr:nvPicPr>
        <xdr:cNvPr id="16" name="Imagem 15">
          <a:extLst>
            <a:ext uri="{FF2B5EF4-FFF2-40B4-BE49-F238E27FC236}">
              <a16:creationId xmlns:a16="http://schemas.microsoft.com/office/drawing/2014/main" id="{B0FF03C3-237F-4415-9A34-E87B8E44C47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469976" y="167304243"/>
          <a:ext cx="1838330" cy="400051"/>
        </a:xfrm>
        <a:prstGeom prst="rect">
          <a:avLst/>
        </a:prstGeom>
      </xdr:spPr>
    </xdr:pic>
    <xdr:clientData/>
  </xdr:twoCellAnchor>
  <xdr:twoCellAnchor editAs="oneCell">
    <xdr:from>
      <xdr:col>11</xdr:col>
      <xdr:colOff>660400</xdr:colOff>
      <xdr:row>726</xdr:row>
      <xdr:rowOff>57150</xdr:rowOff>
    </xdr:from>
    <xdr:to>
      <xdr:col>13</xdr:col>
      <xdr:colOff>134951</xdr:colOff>
      <xdr:row>726</xdr:row>
      <xdr:rowOff>450297</xdr:rowOff>
    </xdr:to>
    <xdr:pic>
      <xdr:nvPicPr>
        <xdr:cNvPr id="17" name="Imagem 16">
          <a:extLst>
            <a:ext uri="{FF2B5EF4-FFF2-40B4-BE49-F238E27FC236}">
              <a16:creationId xmlns:a16="http://schemas.microsoft.com/office/drawing/2014/main" id="{ED1BDC85-AC85-460E-965D-200BCA71FE7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601994" y="181008338"/>
          <a:ext cx="1605770" cy="393147"/>
        </a:xfrm>
        <a:prstGeom prst="rect">
          <a:avLst/>
        </a:prstGeom>
      </xdr:spPr>
    </xdr:pic>
    <xdr:clientData/>
  </xdr:twoCellAnchor>
  <xdr:twoCellAnchor editAs="oneCell">
    <xdr:from>
      <xdr:col>12</xdr:col>
      <xdr:colOff>98425</xdr:colOff>
      <xdr:row>768</xdr:row>
      <xdr:rowOff>57150</xdr:rowOff>
    </xdr:from>
    <xdr:to>
      <xdr:col>12</xdr:col>
      <xdr:colOff>1195387</xdr:colOff>
      <xdr:row>768</xdr:row>
      <xdr:rowOff>363399</xdr:rowOff>
    </xdr:to>
    <xdr:pic>
      <xdr:nvPicPr>
        <xdr:cNvPr id="18" name="Imagem 17">
          <a:extLst>
            <a:ext uri="{FF2B5EF4-FFF2-40B4-BE49-F238E27FC236}">
              <a16:creationId xmlns:a16="http://schemas.microsoft.com/office/drawing/2014/main" id="{D60FA85F-E9B3-4B4D-9C43-79413276E32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825831" y="191188181"/>
          <a:ext cx="1096962" cy="306249"/>
        </a:xfrm>
        <a:prstGeom prst="rect">
          <a:avLst/>
        </a:prstGeom>
      </xdr:spPr>
    </xdr:pic>
    <xdr:clientData/>
  </xdr:twoCellAnchor>
  <xdr:twoCellAnchor editAs="oneCell">
    <xdr:from>
      <xdr:col>11</xdr:col>
      <xdr:colOff>778714</xdr:colOff>
      <xdr:row>810</xdr:row>
      <xdr:rowOff>57150</xdr:rowOff>
    </xdr:from>
    <xdr:to>
      <xdr:col>13</xdr:col>
      <xdr:colOff>145255</xdr:colOff>
      <xdr:row>810</xdr:row>
      <xdr:rowOff>504825</xdr:rowOff>
    </xdr:to>
    <xdr:pic>
      <xdr:nvPicPr>
        <xdr:cNvPr id="19" name="Imagem 18">
          <a:extLst>
            <a:ext uri="{FF2B5EF4-FFF2-40B4-BE49-F238E27FC236}">
              <a16:creationId xmlns:a16="http://schemas.microsoft.com/office/drawing/2014/main" id="{9DFA24F4-A03E-402D-A84D-C37D730B434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720308" y="201272775"/>
          <a:ext cx="1497760" cy="447675"/>
        </a:xfrm>
        <a:prstGeom prst="rect">
          <a:avLst/>
        </a:prstGeom>
      </xdr:spPr>
    </xdr:pic>
    <xdr:clientData/>
  </xdr:twoCellAnchor>
  <xdr:oneCellAnchor>
    <xdr:from>
      <xdr:col>11</xdr:col>
      <xdr:colOff>719183</xdr:colOff>
      <xdr:row>852</xdr:row>
      <xdr:rowOff>57150</xdr:rowOff>
    </xdr:from>
    <xdr:ext cx="1497760" cy="447675"/>
    <xdr:pic>
      <xdr:nvPicPr>
        <xdr:cNvPr id="20" name="Imagem 19">
          <a:extLst>
            <a:ext uri="{FF2B5EF4-FFF2-40B4-BE49-F238E27FC236}">
              <a16:creationId xmlns:a16="http://schemas.microsoft.com/office/drawing/2014/main" id="{07B2A3CB-C747-4D01-AB96-DDDE91BE584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660777" y="211333556"/>
          <a:ext cx="1497760" cy="447675"/>
        </a:xfrm>
        <a:prstGeom prst="rect">
          <a:avLst/>
        </a:prstGeom>
      </xdr:spPr>
    </xdr:pic>
    <xdr:clientData/>
  </xdr:oneCellAnchor>
  <xdr:oneCellAnchor>
    <xdr:from>
      <xdr:col>11</xdr:col>
      <xdr:colOff>719183</xdr:colOff>
      <xdr:row>894</xdr:row>
      <xdr:rowOff>57150</xdr:rowOff>
    </xdr:from>
    <xdr:ext cx="1497760" cy="447675"/>
    <xdr:pic>
      <xdr:nvPicPr>
        <xdr:cNvPr id="21" name="Imagem 20">
          <a:extLst>
            <a:ext uri="{FF2B5EF4-FFF2-40B4-BE49-F238E27FC236}">
              <a16:creationId xmlns:a16="http://schemas.microsoft.com/office/drawing/2014/main" id="{8F86AF8A-2581-46A2-B0DF-D0661817DC4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660777" y="222168244"/>
          <a:ext cx="1497760" cy="447675"/>
        </a:xfrm>
        <a:prstGeom prst="rect">
          <a:avLst/>
        </a:prstGeom>
      </xdr:spPr>
    </xdr:pic>
    <xdr:clientData/>
  </xdr:oneCellAnchor>
  <xdr:twoCellAnchor editAs="oneCell">
    <xdr:from>
      <xdr:col>12</xdr:col>
      <xdr:colOff>137857</xdr:colOff>
      <xdr:row>228</xdr:row>
      <xdr:rowOff>114498</xdr:rowOff>
    </xdr:from>
    <xdr:to>
      <xdr:col>13</xdr:col>
      <xdr:colOff>583405</xdr:colOff>
      <xdr:row>228</xdr:row>
      <xdr:rowOff>476250</xdr:rowOff>
    </xdr:to>
    <xdr:pic>
      <xdr:nvPicPr>
        <xdr:cNvPr id="22" name="Imagem 21">
          <a:extLst>
            <a:ext uri="{FF2B5EF4-FFF2-40B4-BE49-F238E27FC236}">
              <a16:creationId xmlns:a16="http://schemas.microsoft.com/office/drawing/2014/main" id="{CE655A15-D2B5-413C-B752-2A20DC0511A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691432" y="53683098"/>
          <a:ext cx="1788573" cy="361752"/>
        </a:xfrm>
        <a:prstGeom prst="rect">
          <a:avLst/>
        </a:prstGeom>
      </xdr:spPr>
    </xdr:pic>
    <xdr:clientData/>
  </xdr:twoCellAnchor>
  <xdr:oneCellAnchor>
    <xdr:from>
      <xdr:col>11</xdr:col>
      <xdr:colOff>778714</xdr:colOff>
      <xdr:row>938</xdr:row>
      <xdr:rowOff>57150</xdr:rowOff>
    </xdr:from>
    <xdr:ext cx="1497760" cy="447675"/>
    <xdr:pic>
      <xdr:nvPicPr>
        <xdr:cNvPr id="23" name="Imagem 22">
          <a:extLst>
            <a:ext uri="{FF2B5EF4-FFF2-40B4-BE49-F238E27FC236}">
              <a16:creationId xmlns:a16="http://schemas.microsoft.com/office/drawing/2014/main" id="{21238C32-7C13-4731-BBBB-32EF04E66BD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720308" y="232312369"/>
          <a:ext cx="1497760" cy="447675"/>
        </a:xfrm>
        <a:prstGeom prst="rect">
          <a:avLst/>
        </a:prstGeom>
      </xdr:spPr>
    </xdr:pic>
    <xdr:clientData/>
  </xdr:oneCellAnchor>
  <xdr:oneCellAnchor>
    <xdr:from>
      <xdr:col>11</xdr:col>
      <xdr:colOff>778714</xdr:colOff>
      <xdr:row>982</xdr:row>
      <xdr:rowOff>57150</xdr:rowOff>
    </xdr:from>
    <xdr:ext cx="1497760" cy="447675"/>
    <xdr:pic>
      <xdr:nvPicPr>
        <xdr:cNvPr id="24" name="Imagem 23">
          <a:extLst>
            <a:ext uri="{FF2B5EF4-FFF2-40B4-BE49-F238E27FC236}">
              <a16:creationId xmlns:a16="http://schemas.microsoft.com/office/drawing/2014/main" id="{19BC2885-2C53-4781-BFE6-59827DA7495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720308" y="242766056"/>
          <a:ext cx="1497760" cy="447675"/>
        </a:xfrm>
        <a:prstGeom prst="rect">
          <a:avLst/>
        </a:prstGeom>
      </xdr:spPr>
    </xdr:pic>
    <xdr:clientData/>
  </xdr:oneCellAnchor>
  <xdr:twoCellAnchor editAs="oneCell">
    <xdr:from>
      <xdr:col>12</xdr:col>
      <xdr:colOff>137857</xdr:colOff>
      <xdr:row>1026</xdr:row>
      <xdr:rowOff>114498</xdr:rowOff>
    </xdr:from>
    <xdr:to>
      <xdr:col>13</xdr:col>
      <xdr:colOff>583405</xdr:colOff>
      <xdr:row>1026</xdr:row>
      <xdr:rowOff>476250</xdr:rowOff>
    </xdr:to>
    <xdr:pic>
      <xdr:nvPicPr>
        <xdr:cNvPr id="25" name="Imagem 24">
          <a:extLst>
            <a:ext uri="{FF2B5EF4-FFF2-40B4-BE49-F238E27FC236}">
              <a16:creationId xmlns:a16="http://schemas.microsoft.com/office/drawing/2014/main" id="{7E3B26B0-BB0B-48B7-A1EE-AE4B52EFAE8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865263" y="253122311"/>
          <a:ext cx="1790955" cy="361752"/>
        </a:xfrm>
        <a:prstGeom prst="rect">
          <a:avLst/>
        </a:prstGeom>
      </xdr:spPr>
    </xdr:pic>
    <xdr:clientData/>
  </xdr:twoCellAnchor>
  <xdr:twoCellAnchor editAs="oneCell">
    <xdr:from>
      <xdr:col>12</xdr:col>
      <xdr:colOff>137857</xdr:colOff>
      <xdr:row>1065</xdr:row>
      <xdr:rowOff>114498</xdr:rowOff>
    </xdr:from>
    <xdr:to>
      <xdr:col>13</xdr:col>
      <xdr:colOff>583405</xdr:colOff>
      <xdr:row>1065</xdr:row>
      <xdr:rowOff>476250</xdr:rowOff>
    </xdr:to>
    <xdr:pic>
      <xdr:nvPicPr>
        <xdr:cNvPr id="26" name="Imagem 25">
          <a:extLst>
            <a:ext uri="{FF2B5EF4-FFF2-40B4-BE49-F238E27FC236}">
              <a16:creationId xmlns:a16="http://schemas.microsoft.com/office/drawing/2014/main" id="{25227849-AF14-4D8E-A945-CD07ACAE649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865263" y="262575873"/>
          <a:ext cx="1790955" cy="361752"/>
        </a:xfrm>
        <a:prstGeom prst="rect">
          <a:avLst/>
        </a:prstGeom>
      </xdr:spPr>
    </xdr:pic>
    <xdr:clientData/>
  </xdr:twoCellAnchor>
  <xdr:twoCellAnchor editAs="oneCell">
    <xdr:from>
      <xdr:col>12</xdr:col>
      <xdr:colOff>137857</xdr:colOff>
      <xdr:row>1104</xdr:row>
      <xdr:rowOff>114498</xdr:rowOff>
    </xdr:from>
    <xdr:to>
      <xdr:col>13</xdr:col>
      <xdr:colOff>583405</xdr:colOff>
      <xdr:row>1104</xdr:row>
      <xdr:rowOff>476250</xdr:rowOff>
    </xdr:to>
    <xdr:pic>
      <xdr:nvPicPr>
        <xdr:cNvPr id="27" name="Imagem 26">
          <a:extLst>
            <a:ext uri="{FF2B5EF4-FFF2-40B4-BE49-F238E27FC236}">
              <a16:creationId xmlns:a16="http://schemas.microsoft.com/office/drawing/2014/main" id="{CF28AA12-D22E-47E2-AAB9-33C37008845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865263" y="272077061"/>
          <a:ext cx="1790955" cy="361752"/>
        </a:xfrm>
        <a:prstGeom prst="rect">
          <a:avLst/>
        </a:prstGeom>
      </xdr:spPr>
    </xdr:pic>
    <xdr:clientData/>
  </xdr:twoCellAnchor>
  <xdr:twoCellAnchor editAs="oneCell">
    <xdr:from>
      <xdr:col>12</xdr:col>
      <xdr:colOff>137857</xdr:colOff>
      <xdr:row>1143</xdr:row>
      <xdr:rowOff>114498</xdr:rowOff>
    </xdr:from>
    <xdr:to>
      <xdr:col>13</xdr:col>
      <xdr:colOff>583405</xdr:colOff>
      <xdr:row>1143</xdr:row>
      <xdr:rowOff>476250</xdr:rowOff>
    </xdr:to>
    <xdr:pic>
      <xdr:nvPicPr>
        <xdr:cNvPr id="28" name="Imagem 27">
          <a:extLst>
            <a:ext uri="{FF2B5EF4-FFF2-40B4-BE49-F238E27FC236}">
              <a16:creationId xmlns:a16="http://schemas.microsoft.com/office/drawing/2014/main" id="{AAAFAD0E-14A0-460F-9B13-96CC8C5B6B5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865263" y="281661592"/>
          <a:ext cx="1790955" cy="361752"/>
        </a:xfrm>
        <a:prstGeom prst="rect">
          <a:avLst/>
        </a:prstGeom>
      </xdr:spPr>
    </xdr:pic>
    <xdr:clientData/>
  </xdr:twoCellAnchor>
  <xdr:oneCellAnchor>
    <xdr:from>
      <xdr:col>12</xdr:col>
      <xdr:colOff>137857</xdr:colOff>
      <xdr:row>1182</xdr:row>
      <xdr:rowOff>114498</xdr:rowOff>
    </xdr:from>
    <xdr:ext cx="1795718" cy="361752"/>
    <xdr:pic>
      <xdr:nvPicPr>
        <xdr:cNvPr id="29" name="Imagem 28">
          <a:extLst>
            <a:ext uri="{FF2B5EF4-FFF2-40B4-BE49-F238E27FC236}">
              <a16:creationId xmlns:a16="http://schemas.microsoft.com/office/drawing/2014/main" id="{EDF7BA0A-D01A-4274-B9C9-E17858EA2BA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865263" y="291127061"/>
          <a:ext cx="1795718" cy="361752"/>
        </a:xfrm>
        <a:prstGeom prst="rect">
          <a:avLst/>
        </a:prstGeom>
      </xdr:spPr>
    </xdr:pic>
    <xdr:clientData/>
  </xdr:oneCellAnchor>
  <xdr:oneCellAnchor>
    <xdr:from>
      <xdr:col>12</xdr:col>
      <xdr:colOff>137857</xdr:colOff>
      <xdr:row>1222</xdr:row>
      <xdr:rowOff>114498</xdr:rowOff>
    </xdr:from>
    <xdr:ext cx="1795718" cy="361752"/>
    <xdr:pic>
      <xdr:nvPicPr>
        <xdr:cNvPr id="30" name="Imagem 29">
          <a:extLst>
            <a:ext uri="{FF2B5EF4-FFF2-40B4-BE49-F238E27FC236}">
              <a16:creationId xmlns:a16="http://schemas.microsoft.com/office/drawing/2014/main" id="{4F8C3247-C6DD-4C89-8E97-6228814CC5E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865263" y="300842561"/>
          <a:ext cx="1795718" cy="361752"/>
        </a:xfrm>
        <a:prstGeom prst="rect">
          <a:avLst/>
        </a:prstGeom>
      </xdr:spPr>
    </xdr:pic>
    <xdr:clientData/>
  </xdr:oneCellAnchor>
  <xdr:oneCellAnchor>
    <xdr:from>
      <xdr:col>12</xdr:col>
      <xdr:colOff>137857</xdr:colOff>
      <xdr:row>1261</xdr:row>
      <xdr:rowOff>114498</xdr:rowOff>
    </xdr:from>
    <xdr:ext cx="1795718" cy="361752"/>
    <xdr:pic>
      <xdr:nvPicPr>
        <xdr:cNvPr id="31" name="Imagem 30">
          <a:extLst>
            <a:ext uri="{FF2B5EF4-FFF2-40B4-BE49-F238E27FC236}">
              <a16:creationId xmlns:a16="http://schemas.microsoft.com/office/drawing/2014/main" id="{D722439C-9892-465B-82A3-77C2F86BE50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865263" y="310367561"/>
          <a:ext cx="1795718" cy="361752"/>
        </a:xfrm>
        <a:prstGeom prst="rect">
          <a:avLst/>
        </a:prstGeom>
      </xdr:spPr>
    </xdr:pic>
    <xdr:clientData/>
  </xdr:oneCellAnchor>
  <xdr:oneCellAnchor>
    <xdr:from>
      <xdr:col>12</xdr:col>
      <xdr:colOff>137857</xdr:colOff>
      <xdr:row>1303</xdr:row>
      <xdr:rowOff>114498</xdr:rowOff>
    </xdr:from>
    <xdr:ext cx="1795718" cy="361752"/>
    <xdr:pic>
      <xdr:nvPicPr>
        <xdr:cNvPr id="32" name="Imagem 31">
          <a:extLst>
            <a:ext uri="{FF2B5EF4-FFF2-40B4-BE49-F238E27FC236}">
              <a16:creationId xmlns:a16="http://schemas.microsoft.com/office/drawing/2014/main" id="{6E52BE28-BA81-4767-A63A-EF7C553BB26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865263" y="321797561"/>
          <a:ext cx="1795718" cy="361752"/>
        </a:xfrm>
        <a:prstGeom prst="rect">
          <a:avLst/>
        </a:prstGeom>
      </xdr:spPr>
    </xdr:pic>
    <xdr:clientData/>
  </xdr:oneCellAnchor>
  <xdr:oneCellAnchor>
    <xdr:from>
      <xdr:col>12</xdr:col>
      <xdr:colOff>137857</xdr:colOff>
      <xdr:row>1346</xdr:row>
      <xdr:rowOff>114498</xdr:rowOff>
    </xdr:from>
    <xdr:ext cx="1795718" cy="361752"/>
    <xdr:pic>
      <xdr:nvPicPr>
        <xdr:cNvPr id="33" name="Imagem 32">
          <a:extLst>
            <a:ext uri="{FF2B5EF4-FFF2-40B4-BE49-F238E27FC236}">
              <a16:creationId xmlns:a16="http://schemas.microsoft.com/office/drawing/2014/main" id="{6E53E5A7-93C6-46BE-9853-B03BADDCBF2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865263" y="332060748"/>
          <a:ext cx="1795718" cy="361752"/>
        </a:xfrm>
        <a:prstGeom prst="rect">
          <a:avLst/>
        </a:prstGeom>
      </xdr:spPr>
    </xdr:pic>
    <xdr:clientData/>
  </xdr:oneCellAnchor>
  <xdr:oneCellAnchor>
    <xdr:from>
      <xdr:col>12</xdr:col>
      <xdr:colOff>137857</xdr:colOff>
      <xdr:row>1388</xdr:row>
      <xdr:rowOff>114498</xdr:rowOff>
    </xdr:from>
    <xdr:ext cx="1795718" cy="361752"/>
    <xdr:pic>
      <xdr:nvPicPr>
        <xdr:cNvPr id="34" name="Imagem 33">
          <a:extLst>
            <a:ext uri="{FF2B5EF4-FFF2-40B4-BE49-F238E27FC236}">
              <a16:creationId xmlns:a16="http://schemas.microsoft.com/office/drawing/2014/main" id="{F56A0BD0-2F5C-40B8-9959-09BD13D7574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865263" y="343050217"/>
          <a:ext cx="1795718" cy="361752"/>
        </a:xfrm>
        <a:prstGeom prst="rect">
          <a:avLst/>
        </a:prstGeom>
      </xdr:spPr>
    </xdr:pic>
    <xdr:clientData/>
  </xdr:oneCellAnchor>
  <xdr:oneCellAnchor>
    <xdr:from>
      <xdr:col>12</xdr:col>
      <xdr:colOff>137857</xdr:colOff>
      <xdr:row>1430</xdr:row>
      <xdr:rowOff>114498</xdr:rowOff>
    </xdr:from>
    <xdr:ext cx="1795718" cy="361752"/>
    <xdr:pic>
      <xdr:nvPicPr>
        <xdr:cNvPr id="35" name="Imagem 34">
          <a:extLst>
            <a:ext uri="{FF2B5EF4-FFF2-40B4-BE49-F238E27FC236}">
              <a16:creationId xmlns:a16="http://schemas.microsoft.com/office/drawing/2014/main" id="{4F215914-0230-4F73-95F1-760890AB7C0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865263" y="353622967"/>
          <a:ext cx="1795718" cy="361752"/>
        </a:xfrm>
        <a:prstGeom prst="rect">
          <a:avLst/>
        </a:prstGeom>
      </xdr:spPr>
    </xdr:pic>
    <xdr:clientData/>
  </xdr:oneCellAnchor>
  <xdr:oneCellAnchor>
    <xdr:from>
      <xdr:col>12</xdr:col>
      <xdr:colOff>137857</xdr:colOff>
      <xdr:row>1471</xdr:row>
      <xdr:rowOff>114498</xdr:rowOff>
    </xdr:from>
    <xdr:ext cx="1795718" cy="361752"/>
    <xdr:pic>
      <xdr:nvPicPr>
        <xdr:cNvPr id="36" name="Imagem 35">
          <a:extLst>
            <a:ext uri="{FF2B5EF4-FFF2-40B4-BE49-F238E27FC236}">
              <a16:creationId xmlns:a16="http://schemas.microsoft.com/office/drawing/2014/main" id="{8F7B29A8-9A69-4BA2-A3D7-5F89B46CE1B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865263" y="363933779"/>
          <a:ext cx="1795718" cy="361752"/>
        </a:xfrm>
        <a:prstGeom prst="rect">
          <a:avLst/>
        </a:prstGeom>
      </xdr:spPr>
    </xdr:pic>
    <xdr:clientData/>
  </xdr:oneCellAnchor>
  <xdr:oneCellAnchor>
    <xdr:from>
      <xdr:col>12</xdr:col>
      <xdr:colOff>137857</xdr:colOff>
      <xdr:row>1513</xdr:row>
      <xdr:rowOff>114498</xdr:rowOff>
    </xdr:from>
    <xdr:ext cx="1795718" cy="361752"/>
    <xdr:pic>
      <xdr:nvPicPr>
        <xdr:cNvPr id="37" name="Imagem 36">
          <a:extLst>
            <a:ext uri="{FF2B5EF4-FFF2-40B4-BE49-F238E27FC236}">
              <a16:creationId xmlns:a16="http://schemas.microsoft.com/office/drawing/2014/main" id="{BF6775AF-9EFC-44E8-8F8E-23B263D4243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865263" y="374435092"/>
          <a:ext cx="1795718" cy="361752"/>
        </a:xfrm>
        <a:prstGeom prst="rect">
          <a:avLst/>
        </a:prstGeom>
      </xdr:spPr>
    </xdr:pic>
    <xdr:clientData/>
  </xdr:oneCellAnchor>
  <xdr:oneCellAnchor>
    <xdr:from>
      <xdr:col>12</xdr:col>
      <xdr:colOff>137857</xdr:colOff>
      <xdr:row>1555</xdr:row>
      <xdr:rowOff>114498</xdr:rowOff>
    </xdr:from>
    <xdr:ext cx="1795718" cy="361752"/>
    <xdr:pic>
      <xdr:nvPicPr>
        <xdr:cNvPr id="38" name="Imagem 37">
          <a:extLst>
            <a:ext uri="{FF2B5EF4-FFF2-40B4-BE49-F238E27FC236}">
              <a16:creationId xmlns:a16="http://schemas.microsoft.com/office/drawing/2014/main" id="{153AA8EA-D5D8-472A-9651-ABCC95D7186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865263" y="384900686"/>
          <a:ext cx="1795718" cy="361752"/>
        </a:xfrm>
        <a:prstGeom prst="rect">
          <a:avLst/>
        </a:prstGeom>
      </xdr:spPr>
    </xdr:pic>
    <xdr:clientData/>
  </xdr:oneCellAnchor>
  <xdr:oneCellAnchor>
    <xdr:from>
      <xdr:col>12</xdr:col>
      <xdr:colOff>137857</xdr:colOff>
      <xdr:row>1597</xdr:row>
      <xdr:rowOff>114498</xdr:rowOff>
    </xdr:from>
    <xdr:ext cx="1795718" cy="361752"/>
    <xdr:pic>
      <xdr:nvPicPr>
        <xdr:cNvPr id="39" name="Imagem 38">
          <a:extLst>
            <a:ext uri="{FF2B5EF4-FFF2-40B4-BE49-F238E27FC236}">
              <a16:creationId xmlns:a16="http://schemas.microsoft.com/office/drawing/2014/main" id="{1730B6CD-F515-43D7-9383-B7BA959991C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865263" y="395497248"/>
          <a:ext cx="1795718" cy="361752"/>
        </a:xfrm>
        <a:prstGeom prst="rect">
          <a:avLst/>
        </a:prstGeom>
      </xdr:spPr>
    </xdr:pic>
    <xdr:clientData/>
  </xdr:oneCellAnchor>
  <xdr:oneCellAnchor>
    <xdr:from>
      <xdr:col>12</xdr:col>
      <xdr:colOff>137857</xdr:colOff>
      <xdr:row>1639</xdr:row>
      <xdr:rowOff>114498</xdr:rowOff>
    </xdr:from>
    <xdr:ext cx="1795718" cy="361752"/>
    <xdr:pic>
      <xdr:nvPicPr>
        <xdr:cNvPr id="40" name="Imagem 39">
          <a:extLst>
            <a:ext uri="{FF2B5EF4-FFF2-40B4-BE49-F238E27FC236}">
              <a16:creationId xmlns:a16="http://schemas.microsoft.com/office/drawing/2014/main" id="{7BEAAF6A-5951-44DD-B9BB-872FABB3F23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865263" y="405641373"/>
          <a:ext cx="1795718" cy="361752"/>
        </a:xfrm>
        <a:prstGeom prst="rect">
          <a:avLst/>
        </a:prstGeom>
      </xdr:spPr>
    </xdr:pic>
    <xdr:clientData/>
  </xdr:oneCellAnchor>
  <xdr:oneCellAnchor>
    <xdr:from>
      <xdr:col>12</xdr:col>
      <xdr:colOff>137857</xdr:colOff>
      <xdr:row>1681</xdr:row>
      <xdr:rowOff>114498</xdr:rowOff>
    </xdr:from>
    <xdr:ext cx="1795718" cy="361752"/>
    <xdr:pic>
      <xdr:nvPicPr>
        <xdr:cNvPr id="41" name="Imagem 40">
          <a:extLst>
            <a:ext uri="{FF2B5EF4-FFF2-40B4-BE49-F238E27FC236}">
              <a16:creationId xmlns:a16="http://schemas.microsoft.com/office/drawing/2014/main" id="{3310B6E8-C4DC-4E06-B620-102141EB03F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865263" y="415845029"/>
          <a:ext cx="1795718" cy="361752"/>
        </a:xfrm>
        <a:prstGeom prst="rect">
          <a:avLst/>
        </a:prstGeom>
      </xdr:spPr>
    </xdr:pic>
    <xdr:clientData/>
  </xdr:oneCellAnchor>
  <xdr:oneCellAnchor>
    <xdr:from>
      <xdr:col>12</xdr:col>
      <xdr:colOff>137857</xdr:colOff>
      <xdr:row>1723</xdr:row>
      <xdr:rowOff>114498</xdr:rowOff>
    </xdr:from>
    <xdr:ext cx="1795718" cy="361752"/>
    <xdr:pic>
      <xdr:nvPicPr>
        <xdr:cNvPr id="42" name="Imagem 41">
          <a:extLst>
            <a:ext uri="{FF2B5EF4-FFF2-40B4-BE49-F238E27FC236}">
              <a16:creationId xmlns:a16="http://schemas.microsoft.com/office/drawing/2014/main" id="{21234875-3E7C-4869-A61F-FB72192E9BA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865263" y="426001061"/>
          <a:ext cx="1795718" cy="361752"/>
        </a:xfrm>
        <a:prstGeom prst="rect">
          <a:avLst/>
        </a:prstGeom>
      </xdr:spPr>
    </xdr:pic>
    <xdr:clientData/>
  </xdr:oneCellAnchor>
  <xdr:oneCellAnchor>
    <xdr:from>
      <xdr:col>12</xdr:col>
      <xdr:colOff>137857</xdr:colOff>
      <xdr:row>1765</xdr:row>
      <xdr:rowOff>114498</xdr:rowOff>
    </xdr:from>
    <xdr:ext cx="1795718" cy="361752"/>
    <xdr:pic>
      <xdr:nvPicPr>
        <xdr:cNvPr id="43" name="Imagem 42">
          <a:extLst>
            <a:ext uri="{FF2B5EF4-FFF2-40B4-BE49-F238E27FC236}">
              <a16:creationId xmlns:a16="http://schemas.microsoft.com/office/drawing/2014/main" id="{825CF270-32F7-4F1F-A440-7B2CDF632CC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865263" y="436121373"/>
          <a:ext cx="1795718" cy="361752"/>
        </a:xfrm>
        <a:prstGeom prst="rect">
          <a:avLst/>
        </a:prstGeom>
      </xdr:spPr>
    </xdr:pic>
    <xdr:clientData/>
  </xdr:oneCellAnchor>
  <xdr:oneCellAnchor>
    <xdr:from>
      <xdr:col>12</xdr:col>
      <xdr:colOff>137857</xdr:colOff>
      <xdr:row>1807</xdr:row>
      <xdr:rowOff>114498</xdr:rowOff>
    </xdr:from>
    <xdr:ext cx="1795718" cy="361752"/>
    <xdr:pic>
      <xdr:nvPicPr>
        <xdr:cNvPr id="44" name="Imagem 43">
          <a:extLst>
            <a:ext uri="{FF2B5EF4-FFF2-40B4-BE49-F238E27FC236}">
              <a16:creationId xmlns:a16="http://schemas.microsoft.com/office/drawing/2014/main" id="{AD63FA49-EA49-4518-B73B-FC0F0D3E6B7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865263" y="446301217"/>
          <a:ext cx="1795718" cy="361752"/>
        </a:xfrm>
        <a:prstGeom prst="rect">
          <a:avLst/>
        </a:prstGeom>
      </xdr:spPr>
    </xdr:pic>
    <xdr:clientData/>
  </xdr:oneCellAnchor>
  <xdr:oneCellAnchor>
    <xdr:from>
      <xdr:col>12</xdr:col>
      <xdr:colOff>137857</xdr:colOff>
      <xdr:row>1849</xdr:row>
      <xdr:rowOff>114498</xdr:rowOff>
    </xdr:from>
    <xdr:ext cx="1795718" cy="361752"/>
    <xdr:pic>
      <xdr:nvPicPr>
        <xdr:cNvPr id="45" name="Imagem 44">
          <a:extLst>
            <a:ext uri="{FF2B5EF4-FFF2-40B4-BE49-F238E27FC236}">
              <a16:creationId xmlns:a16="http://schemas.microsoft.com/office/drawing/2014/main" id="{43118B43-97F1-4BFE-A358-0F5D75AD159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865263" y="456683467"/>
          <a:ext cx="1795718" cy="361752"/>
        </a:xfrm>
        <a:prstGeom prst="rect">
          <a:avLst/>
        </a:prstGeom>
      </xdr:spPr>
    </xdr:pic>
    <xdr:clientData/>
  </xdr:oneCellAnchor>
  <xdr:oneCellAnchor>
    <xdr:from>
      <xdr:col>12</xdr:col>
      <xdr:colOff>137857</xdr:colOff>
      <xdr:row>1891</xdr:row>
      <xdr:rowOff>114498</xdr:rowOff>
    </xdr:from>
    <xdr:ext cx="1795718" cy="361752"/>
    <xdr:pic>
      <xdr:nvPicPr>
        <xdr:cNvPr id="46" name="Imagem 45">
          <a:extLst>
            <a:ext uri="{FF2B5EF4-FFF2-40B4-BE49-F238E27FC236}">
              <a16:creationId xmlns:a16="http://schemas.microsoft.com/office/drawing/2014/main" id="{04F6A9BA-A6BE-4F9D-957B-450E2DCE57D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865263" y="467053811"/>
          <a:ext cx="1795718" cy="361752"/>
        </a:xfrm>
        <a:prstGeom prst="rect">
          <a:avLst/>
        </a:prstGeom>
      </xdr:spPr>
    </xdr:pic>
    <xdr:clientData/>
  </xdr:oneCellAnchor>
  <xdr:oneCellAnchor>
    <xdr:from>
      <xdr:col>12</xdr:col>
      <xdr:colOff>137857</xdr:colOff>
      <xdr:row>1933</xdr:row>
      <xdr:rowOff>114498</xdr:rowOff>
    </xdr:from>
    <xdr:ext cx="1795718" cy="361752"/>
    <xdr:pic>
      <xdr:nvPicPr>
        <xdr:cNvPr id="47" name="Imagem 46">
          <a:extLst>
            <a:ext uri="{FF2B5EF4-FFF2-40B4-BE49-F238E27FC236}">
              <a16:creationId xmlns:a16="http://schemas.microsoft.com/office/drawing/2014/main" id="{C008A8F0-C5F8-4C29-B060-E18BD09383E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865263" y="477412248"/>
          <a:ext cx="1795718" cy="361752"/>
        </a:xfrm>
        <a:prstGeom prst="rect">
          <a:avLst/>
        </a:prstGeom>
      </xdr:spPr>
    </xdr:pic>
    <xdr:clientData/>
  </xdr:oneCellAnchor>
  <xdr:oneCellAnchor>
    <xdr:from>
      <xdr:col>12</xdr:col>
      <xdr:colOff>137857</xdr:colOff>
      <xdr:row>1974</xdr:row>
      <xdr:rowOff>114498</xdr:rowOff>
    </xdr:from>
    <xdr:ext cx="1795718" cy="361752"/>
    <xdr:pic>
      <xdr:nvPicPr>
        <xdr:cNvPr id="48" name="Imagem 47">
          <a:extLst>
            <a:ext uri="{FF2B5EF4-FFF2-40B4-BE49-F238E27FC236}">
              <a16:creationId xmlns:a16="http://schemas.microsoft.com/office/drawing/2014/main" id="{40F9CEB7-A560-4952-95F1-0E316C165CB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865263" y="488175498"/>
          <a:ext cx="1795718" cy="361752"/>
        </a:xfrm>
        <a:prstGeom prst="rect">
          <a:avLst/>
        </a:prstGeom>
      </xdr:spPr>
    </xdr:pic>
    <xdr:clientData/>
  </xdr:oneCellAnchor>
  <xdr:oneCellAnchor>
    <xdr:from>
      <xdr:col>12</xdr:col>
      <xdr:colOff>137857</xdr:colOff>
      <xdr:row>2015</xdr:row>
      <xdr:rowOff>114498</xdr:rowOff>
    </xdr:from>
    <xdr:ext cx="1795718" cy="361752"/>
    <xdr:pic>
      <xdr:nvPicPr>
        <xdr:cNvPr id="49" name="Imagem 48">
          <a:extLst>
            <a:ext uri="{FF2B5EF4-FFF2-40B4-BE49-F238E27FC236}">
              <a16:creationId xmlns:a16="http://schemas.microsoft.com/office/drawing/2014/main" id="{E5200C8D-5F33-4DEF-A4DA-13051757615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865263" y="498545842"/>
          <a:ext cx="1795718" cy="361752"/>
        </a:xfrm>
        <a:prstGeom prst="rect">
          <a:avLst/>
        </a:prstGeom>
      </xdr:spPr>
    </xdr:pic>
    <xdr:clientData/>
  </xdr:oneCellAnchor>
  <xdr:twoCellAnchor editAs="oneCell">
    <xdr:from>
      <xdr:col>11</xdr:col>
      <xdr:colOff>585532</xdr:colOff>
      <xdr:row>2055</xdr:row>
      <xdr:rowOff>66674</xdr:rowOff>
    </xdr:from>
    <xdr:to>
      <xdr:col>13</xdr:col>
      <xdr:colOff>299787</xdr:colOff>
      <xdr:row>2055</xdr:row>
      <xdr:rowOff>502444</xdr:rowOff>
    </xdr:to>
    <xdr:pic>
      <xdr:nvPicPr>
        <xdr:cNvPr id="50" name="Imagem 49">
          <a:extLst>
            <a:ext uri="{FF2B5EF4-FFF2-40B4-BE49-F238E27FC236}">
              <a16:creationId xmlns:a16="http://schemas.microsoft.com/office/drawing/2014/main" id="{0D869F26-589B-44D0-9333-E6F03E4BD08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7126" y="508392112"/>
          <a:ext cx="1845474" cy="435770"/>
        </a:xfrm>
        <a:prstGeom prst="rect">
          <a:avLst/>
        </a:prstGeom>
      </xdr:spPr>
    </xdr:pic>
    <xdr:clientData/>
  </xdr:twoCellAnchor>
  <xdr:oneCellAnchor>
    <xdr:from>
      <xdr:col>11</xdr:col>
      <xdr:colOff>585532</xdr:colOff>
      <xdr:row>2100</xdr:row>
      <xdr:rowOff>66674</xdr:rowOff>
    </xdr:from>
    <xdr:ext cx="1847855" cy="400051"/>
    <xdr:pic>
      <xdr:nvPicPr>
        <xdr:cNvPr id="51" name="Imagem 50">
          <a:extLst>
            <a:ext uri="{FF2B5EF4-FFF2-40B4-BE49-F238E27FC236}">
              <a16:creationId xmlns:a16="http://schemas.microsoft.com/office/drawing/2014/main" id="{2F21B1BE-7AE7-4DD0-BC34-7BA8F28674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7126" y="519155362"/>
          <a:ext cx="1847855" cy="400051"/>
        </a:xfrm>
        <a:prstGeom prst="rect">
          <a:avLst/>
        </a:prstGeom>
      </xdr:spPr>
    </xdr:pic>
    <xdr:clientData/>
  </xdr:oneCellAnchor>
  <xdr:oneCellAnchor>
    <xdr:from>
      <xdr:col>11</xdr:col>
      <xdr:colOff>585532</xdr:colOff>
      <xdr:row>2144</xdr:row>
      <xdr:rowOff>66674</xdr:rowOff>
    </xdr:from>
    <xdr:ext cx="1847855" cy="400051"/>
    <xdr:pic>
      <xdr:nvPicPr>
        <xdr:cNvPr id="52" name="Imagem 51">
          <a:extLst>
            <a:ext uri="{FF2B5EF4-FFF2-40B4-BE49-F238E27FC236}">
              <a16:creationId xmlns:a16="http://schemas.microsoft.com/office/drawing/2014/main" id="{9B5D3436-62E9-420E-ABE0-F7942C42A6B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7126" y="529620955"/>
          <a:ext cx="1847855" cy="400051"/>
        </a:xfrm>
        <a:prstGeom prst="rect">
          <a:avLst/>
        </a:prstGeom>
      </xdr:spPr>
    </xdr:pic>
    <xdr:clientData/>
  </xdr:oneCellAnchor>
  <xdr:oneCellAnchor>
    <xdr:from>
      <xdr:col>11</xdr:col>
      <xdr:colOff>585532</xdr:colOff>
      <xdr:row>2188</xdr:row>
      <xdr:rowOff>66674</xdr:rowOff>
    </xdr:from>
    <xdr:ext cx="1847855" cy="400051"/>
    <xdr:pic>
      <xdr:nvPicPr>
        <xdr:cNvPr id="53" name="Imagem 52">
          <a:extLst>
            <a:ext uri="{FF2B5EF4-FFF2-40B4-BE49-F238E27FC236}">
              <a16:creationId xmlns:a16="http://schemas.microsoft.com/office/drawing/2014/main" id="{B3B6C655-9E96-4097-AAEB-DA995F3A43D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7126" y="540086549"/>
          <a:ext cx="1847855" cy="400051"/>
        </a:xfrm>
        <a:prstGeom prst="rect">
          <a:avLst/>
        </a:prstGeom>
      </xdr:spPr>
    </xdr:pic>
    <xdr:clientData/>
  </xdr:oneCellAnchor>
  <xdr:oneCellAnchor>
    <xdr:from>
      <xdr:col>11</xdr:col>
      <xdr:colOff>585532</xdr:colOff>
      <xdr:row>2233</xdr:row>
      <xdr:rowOff>66674</xdr:rowOff>
    </xdr:from>
    <xdr:ext cx="1847855" cy="400051"/>
    <xdr:pic>
      <xdr:nvPicPr>
        <xdr:cNvPr id="54" name="Imagem 53">
          <a:extLst>
            <a:ext uri="{FF2B5EF4-FFF2-40B4-BE49-F238E27FC236}">
              <a16:creationId xmlns:a16="http://schemas.microsoft.com/office/drawing/2014/main" id="{96746A8E-5F2A-46AA-BB50-1BDCD8C3DEB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7126" y="550766455"/>
          <a:ext cx="1847855" cy="400051"/>
        </a:xfrm>
        <a:prstGeom prst="rect">
          <a:avLst/>
        </a:prstGeom>
      </xdr:spPr>
    </xdr:pic>
    <xdr:clientData/>
  </xdr:oneCellAnchor>
  <xdr:oneCellAnchor>
    <xdr:from>
      <xdr:col>11</xdr:col>
      <xdr:colOff>585532</xdr:colOff>
      <xdr:row>2277</xdr:row>
      <xdr:rowOff>66674</xdr:rowOff>
    </xdr:from>
    <xdr:ext cx="1847855" cy="400051"/>
    <xdr:pic>
      <xdr:nvPicPr>
        <xdr:cNvPr id="55" name="Imagem 54">
          <a:extLst>
            <a:ext uri="{FF2B5EF4-FFF2-40B4-BE49-F238E27FC236}">
              <a16:creationId xmlns:a16="http://schemas.microsoft.com/office/drawing/2014/main" id="{7768D62A-B492-4876-9DD0-1C7596D57C3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7126" y="561291580"/>
          <a:ext cx="1847855" cy="400051"/>
        </a:xfrm>
        <a:prstGeom prst="rect">
          <a:avLst/>
        </a:prstGeom>
      </xdr:spPr>
    </xdr:pic>
    <xdr:clientData/>
  </xdr:oneCellAnchor>
  <xdr:oneCellAnchor>
    <xdr:from>
      <xdr:col>11</xdr:col>
      <xdr:colOff>585532</xdr:colOff>
      <xdr:row>2321</xdr:row>
      <xdr:rowOff>66674</xdr:rowOff>
    </xdr:from>
    <xdr:ext cx="1847855" cy="400051"/>
    <xdr:pic>
      <xdr:nvPicPr>
        <xdr:cNvPr id="56" name="Imagem 55">
          <a:extLst>
            <a:ext uri="{FF2B5EF4-FFF2-40B4-BE49-F238E27FC236}">
              <a16:creationId xmlns:a16="http://schemas.microsoft.com/office/drawing/2014/main" id="{4AB9C39A-9089-47C7-9AB1-2D84578834B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7126" y="571792893"/>
          <a:ext cx="1847855" cy="400051"/>
        </a:xfrm>
        <a:prstGeom prst="rect">
          <a:avLst/>
        </a:prstGeom>
      </xdr:spPr>
    </xdr:pic>
    <xdr:clientData/>
  </xdr:oneCellAnchor>
  <xdr:oneCellAnchor>
    <xdr:from>
      <xdr:col>11</xdr:col>
      <xdr:colOff>585532</xdr:colOff>
      <xdr:row>2366</xdr:row>
      <xdr:rowOff>66674</xdr:rowOff>
    </xdr:from>
    <xdr:ext cx="1847855" cy="400051"/>
    <xdr:pic>
      <xdr:nvPicPr>
        <xdr:cNvPr id="57" name="Imagem 56">
          <a:extLst>
            <a:ext uri="{FF2B5EF4-FFF2-40B4-BE49-F238E27FC236}">
              <a16:creationId xmlns:a16="http://schemas.microsoft.com/office/drawing/2014/main" id="{A987417A-B2E8-4E4C-808E-8E8AE27AA1D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7126" y="582496612"/>
          <a:ext cx="1847855" cy="400051"/>
        </a:xfrm>
        <a:prstGeom prst="rect">
          <a:avLst/>
        </a:prstGeom>
      </xdr:spPr>
    </xdr:pic>
    <xdr:clientData/>
  </xdr:oneCellAnchor>
  <xdr:oneCellAnchor>
    <xdr:from>
      <xdr:col>11</xdr:col>
      <xdr:colOff>585532</xdr:colOff>
      <xdr:row>2410</xdr:row>
      <xdr:rowOff>66674</xdr:rowOff>
    </xdr:from>
    <xdr:ext cx="1847855" cy="400051"/>
    <xdr:pic>
      <xdr:nvPicPr>
        <xdr:cNvPr id="58" name="Imagem 57">
          <a:extLst>
            <a:ext uri="{FF2B5EF4-FFF2-40B4-BE49-F238E27FC236}">
              <a16:creationId xmlns:a16="http://schemas.microsoft.com/office/drawing/2014/main" id="{D836123F-1A25-482E-BFB1-66EDF6EC379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7126" y="592950299"/>
          <a:ext cx="1847855" cy="400051"/>
        </a:xfrm>
        <a:prstGeom prst="rect">
          <a:avLst/>
        </a:prstGeom>
      </xdr:spPr>
    </xdr:pic>
    <xdr:clientData/>
  </xdr:oneCellAnchor>
  <xdr:oneCellAnchor>
    <xdr:from>
      <xdr:col>11</xdr:col>
      <xdr:colOff>585532</xdr:colOff>
      <xdr:row>2455</xdr:row>
      <xdr:rowOff>66674</xdr:rowOff>
    </xdr:from>
    <xdr:ext cx="1847855" cy="400051"/>
    <xdr:pic>
      <xdr:nvPicPr>
        <xdr:cNvPr id="59" name="Imagem 58">
          <a:extLst>
            <a:ext uri="{FF2B5EF4-FFF2-40B4-BE49-F238E27FC236}">
              <a16:creationId xmlns:a16="http://schemas.microsoft.com/office/drawing/2014/main" id="{AF82CF3D-4DCA-476D-89D3-1215F8D8DAA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7126" y="603320643"/>
          <a:ext cx="1847855" cy="400051"/>
        </a:xfrm>
        <a:prstGeom prst="rect">
          <a:avLst/>
        </a:prstGeom>
      </xdr:spPr>
    </xdr:pic>
    <xdr:clientData/>
  </xdr:oneCellAnchor>
  <xdr:oneCellAnchor>
    <xdr:from>
      <xdr:col>11</xdr:col>
      <xdr:colOff>585532</xdr:colOff>
      <xdr:row>2499</xdr:row>
      <xdr:rowOff>66674</xdr:rowOff>
    </xdr:from>
    <xdr:ext cx="1847855" cy="400051"/>
    <xdr:pic>
      <xdr:nvPicPr>
        <xdr:cNvPr id="60" name="Imagem 59">
          <a:extLst>
            <a:ext uri="{FF2B5EF4-FFF2-40B4-BE49-F238E27FC236}">
              <a16:creationId xmlns:a16="http://schemas.microsoft.com/office/drawing/2014/main" id="{12584348-5EAA-41E7-89E8-61931D82729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7126" y="613548112"/>
          <a:ext cx="1847855" cy="400051"/>
        </a:xfrm>
        <a:prstGeom prst="rect">
          <a:avLst/>
        </a:prstGeom>
      </xdr:spPr>
    </xdr:pic>
    <xdr:clientData/>
  </xdr:oneCellAnchor>
  <xdr:oneCellAnchor>
    <xdr:from>
      <xdr:col>11</xdr:col>
      <xdr:colOff>585532</xdr:colOff>
      <xdr:row>2542</xdr:row>
      <xdr:rowOff>66674</xdr:rowOff>
    </xdr:from>
    <xdr:ext cx="1847855" cy="400051"/>
    <xdr:pic>
      <xdr:nvPicPr>
        <xdr:cNvPr id="61" name="Imagem 60">
          <a:extLst>
            <a:ext uri="{FF2B5EF4-FFF2-40B4-BE49-F238E27FC236}">
              <a16:creationId xmlns:a16="http://schemas.microsoft.com/office/drawing/2014/main" id="{8DDC18BD-5BB0-40C9-8600-4F06CD22164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7126" y="623561268"/>
          <a:ext cx="1847855" cy="400051"/>
        </a:xfrm>
        <a:prstGeom prst="rect">
          <a:avLst/>
        </a:prstGeom>
      </xdr:spPr>
    </xdr:pic>
    <xdr:clientData/>
  </xdr:oneCellAnchor>
  <xdr:oneCellAnchor>
    <xdr:from>
      <xdr:col>11</xdr:col>
      <xdr:colOff>585532</xdr:colOff>
      <xdr:row>2585</xdr:row>
      <xdr:rowOff>66674</xdr:rowOff>
    </xdr:from>
    <xdr:ext cx="1847855" cy="400051"/>
    <xdr:pic>
      <xdr:nvPicPr>
        <xdr:cNvPr id="62" name="Imagem 61">
          <a:extLst>
            <a:ext uri="{FF2B5EF4-FFF2-40B4-BE49-F238E27FC236}">
              <a16:creationId xmlns:a16="http://schemas.microsoft.com/office/drawing/2014/main" id="{82653730-7159-45A5-9A67-BEFDCC452FB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7126" y="633574424"/>
          <a:ext cx="1847855" cy="400051"/>
        </a:xfrm>
        <a:prstGeom prst="rect">
          <a:avLst/>
        </a:prstGeom>
      </xdr:spPr>
    </xdr:pic>
    <xdr:clientData/>
  </xdr:oneCellAnchor>
  <xdr:oneCellAnchor>
    <xdr:from>
      <xdr:col>11</xdr:col>
      <xdr:colOff>585532</xdr:colOff>
      <xdr:row>2628</xdr:row>
      <xdr:rowOff>66674</xdr:rowOff>
    </xdr:from>
    <xdr:ext cx="1847855" cy="400051"/>
    <xdr:pic>
      <xdr:nvPicPr>
        <xdr:cNvPr id="63" name="Imagem 62">
          <a:extLst>
            <a:ext uri="{FF2B5EF4-FFF2-40B4-BE49-F238E27FC236}">
              <a16:creationId xmlns:a16="http://schemas.microsoft.com/office/drawing/2014/main" id="{A95AE1B0-0C7C-4C9E-8928-1FD5D8E8B0C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7126" y="643670924"/>
          <a:ext cx="1847855" cy="400051"/>
        </a:xfrm>
        <a:prstGeom prst="rect">
          <a:avLst/>
        </a:prstGeom>
      </xdr:spPr>
    </xdr:pic>
    <xdr:clientData/>
  </xdr:oneCellAnchor>
  <xdr:oneCellAnchor>
    <xdr:from>
      <xdr:col>11</xdr:col>
      <xdr:colOff>585532</xdr:colOff>
      <xdr:row>2671</xdr:row>
      <xdr:rowOff>66674</xdr:rowOff>
    </xdr:from>
    <xdr:ext cx="1847855" cy="400051"/>
    <xdr:pic>
      <xdr:nvPicPr>
        <xdr:cNvPr id="64" name="Imagem 63">
          <a:extLst>
            <a:ext uri="{FF2B5EF4-FFF2-40B4-BE49-F238E27FC236}">
              <a16:creationId xmlns:a16="http://schemas.microsoft.com/office/drawing/2014/main" id="{F819BCE3-B9F6-4C6B-8E3A-2A79ABD0618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7126" y="653755518"/>
          <a:ext cx="1847855" cy="400051"/>
        </a:xfrm>
        <a:prstGeom prst="rect">
          <a:avLst/>
        </a:prstGeom>
      </xdr:spPr>
    </xdr:pic>
    <xdr:clientData/>
  </xdr:oneCellAnchor>
  <xdr:oneCellAnchor>
    <xdr:from>
      <xdr:col>11</xdr:col>
      <xdr:colOff>585532</xdr:colOff>
      <xdr:row>2715</xdr:row>
      <xdr:rowOff>66674</xdr:rowOff>
    </xdr:from>
    <xdr:ext cx="1847855" cy="400051"/>
    <xdr:pic>
      <xdr:nvPicPr>
        <xdr:cNvPr id="65" name="Imagem 64">
          <a:extLst>
            <a:ext uri="{FF2B5EF4-FFF2-40B4-BE49-F238E27FC236}">
              <a16:creationId xmlns:a16="http://schemas.microsoft.com/office/drawing/2014/main" id="{1D8DD161-DDA6-402F-B290-A07995149C5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7126" y="663994893"/>
          <a:ext cx="1847855" cy="400051"/>
        </a:xfrm>
        <a:prstGeom prst="rect">
          <a:avLst/>
        </a:prstGeom>
      </xdr:spPr>
    </xdr:pic>
    <xdr:clientData/>
  </xdr:oneCellAnchor>
  <xdr:oneCellAnchor>
    <xdr:from>
      <xdr:col>11</xdr:col>
      <xdr:colOff>585532</xdr:colOff>
      <xdr:row>2757</xdr:row>
      <xdr:rowOff>66674</xdr:rowOff>
    </xdr:from>
    <xdr:ext cx="1847855" cy="400051"/>
    <xdr:pic>
      <xdr:nvPicPr>
        <xdr:cNvPr id="66" name="Imagem 65">
          <a:extLst>
            <a:ext uri="{FF2B5EF4-FFF2-40B4-BE49-F238E27FC236}">
              <a16:creationId xmlns:a16="http://schemas.microsoft.com/office/drawing/2014/main" id="{CB5DE8BB-F865-4326-B06C-7D26C7078E4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7126" y="673877080"/>
          <a:ext cx="1847855" cy="400051"/>
        </a:xfrm>
        <a:prstGeom prst="rect">
          <a:avLst/>
        </a:prstGeom>
      </xdr:spPr>
    </xdr:pic>
    <xdr:clientData/>
  </xdr:oneCellAnchor>
  <xdr:oneCellAnchor>
    <xdr:from>
      <xdr:col>11</xdr:col>
      <xdr:colOff>585532</xdr:colOff>
      <xdr:row>2799</xdr:row>
      <xdr:rowOff>66674</xdr:rowOff>
    </xdr:from>
    <xdr:ext cx="1847855" cy="400051"/>
    <xdr:pic>
      <xdr:nvPicPr>
        <xdr:cNvPr id="67" name="Imagem 66">
          <a:extLst>
            <a:ext uri="{FF2B5EF4-FFF2-40B4-BE49-F238E27FC236}">
              <a16:creationId xmlns:a16="http://schemas.microsoft.com/office/drawing/2014/main" id="{21812426-B757-4C64-AE7F-B98231ACC30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7126" y="683723549"/>
          <a:ext cx="1847855" cy="400051"/>
        </a:xfrm>
        <a:prstGeom prst="rect">
          <a:avLst/>
        </a:prstGeom>
      </xdr:spPr>
    </xdr:pic>
    <xdr:clientData/>
  </xdr:oneCellAnchor>
  <xdr:oneCellAnchor>
    <xdr:from>
      <xdr:col>11</xdr:col>
      <xdr:colOff>585532</xdr:colOff>
      <xdr:row>2841</xdr:row>
      <xdr:rowOff>66674</xdr:rowOff>
    </xdr:from>
    <xdr:ext cx="1847855" cy="400051"/>
    <xdr:pic>
      <xdr:nvPicPr>
        <xdr:cNvPr id="68" name="Imagem 67">
          <a:extLst>
            <a:ext uri="{FF2B5EF4-FFF2-40B4-BE49-F238E27FC236}">
              <a16:creationId xmlns:a16="http://schemas.microsoft.com/office/drawing/2014/main" id="{B09D5366-2F98-4580-9601-17D62FE13D3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7126" y="693570018"/>
          <a:ext cx="1847855" cy="400051"/>
        </a:xfrm>
        <a:prstGeom prst="rect">
          <a:avLst/>
        </a:prstGeom>
      </xdr:spPr>
    </xdr:pic>
    <xdr:clientData/>
  </xdr:oneCellAnchor>
  <xdr:oneCellAnchor>
    <xdr:from>
      <xdr:col>11</xdr:col>
      <xdr:colOff>585532</xdr:colOff>
      <xdr:row>2885</xdr:row>
      <xdr:rowOff>66674</xdr:rowOff>
    </xdr:from>
    <xdr:ext cx="1847855" cy="400051"/>
    <xdr:pic>
      <xdr:nvPicPr>
        <xdr:cNvPr id="69" name="Imagem 68">
          <a:extLst>
            <a:ext uri="{FF2B5EF4-FFF2-40B4-BE49-F238E27FC236}">
              <a16:creationId xmlns:a16="http://schemas.microsoft.com/office/drawing/2014/main" id="{DBF8003D-E8A5-45DA-9C8B-124C00F1A35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7126" y="703773674"/>
          <a:ext cx="1847855" cy="400051"/>
        </a:xfrm>
        <a:prstGeom prst="rect">
          <a:avLst/>
        </a:prstGeom>
      </xdr:spPr>
    </xdr:pic>
    <xdr:clientData/>
  </xdr:oneCellAnchor>
  <xdr:oneCellAnchor>
    <xdr:from>
      <xdr:col>12</xdr:col>
      <xdr:colOff>109282</xdr:colOff>
      <xdr:row>2929</xdr:row>
      <xdr:rowOff>76398</xdr:rowOff>
    </xdr:from>
    <xdr:ext cx="1795718" cy="361752"/>
    <xdr:pic>
      <xdr:nvPicPr>
        <xdr:cNvPr id="70" name="Imagem 69">
          <a:extLst>
            <a:ext uri="{FF2B5EF4-FFF2-40B4-BE49-F238E27FC236}">
              <a16:creationId xmlns:a16="http://schemas.microsoft.com/office/drawing/2014/main" id="{2A5179CC-9209-49BC-8CAF-A0E0FA4AC34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836688" y="713975148"/>
          <a:ext cx="1795718" cy="361752"/>
        </a:xfrm>
        <a:prstGeom prst="rect">
          <a:avLst/>
        </a:prstGeom>
      </xdr:spPr>
    </xdr:pic>
    <xdr:clientData/>
  </xdr:oneCellAnchor>
  <xdr:twoCellAnchor editAs="oneCell">
    <xdr:from>
      <xdr:col>11</xdr:col>
      <xdr:colOff>547432</xdr:colOff>
      <xdr:row>279</xdr:row>
      <xdr:rowOff>47624</xdr:rowOff>
    </xdr:from>
    <xdr:to>
      <xdr:col>13</xdr:col>
      <xdr:colOff>254543</xdr:colOff>
      <xdr:row>279</xdr:row>
      <xdr:rowOff>447675</xdr:rowOff>
    </xdr:to>
    <xdr:pic>
      <xdr:nvPicPr>
        <xdr:cNvPr id="72" name="Imagem 71">
          <a:extLst>
            <a:ext uri="{FF2B5EF4-FFF2-40B4-BE49-F238E27FC236}">
              <a16:creationId xmlns:a16="http://schemas.microsoft.com/office/drawing/2014/main" id="{2D85ECBB-1490-4375-9502-C0A3CA1863E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310432" y="66789299"/>
          <a:ext cx="1840711" cy="400051"/>
        </a:xfrm>
        <a:prstGeom prst="rect">
          <a:avLst/>
        </a:prstGeom>
      </xdr:spPr>
    </xdr:pic>
    <xdr:clientData/>
  </xdr:twoCellAnchor>
  <xdr:oneCellAnchor>
    <xdr:from>
      <xdr:col>11</xdr:col>
      <xdr:colOff>585532</xdr:colOff>
      <xdr:row>2967</xdr:row>
      <xdr:rowOff>66674</xdr:rowOff>
    </xdr:from>
    <xdr:ext cx="1847855" cy="400051"/>
    <xdr:pic>
      <xdr:nvPicPr>
        <xdr:cNvPr id="73" name="Imagem 72">
          <a:extLst>
            <a:ext uri="{FF2B5EF4-FFF2-40B4-BE49-F238E27FC236}">
              <a16:creationId xmlns:a16="http://schemas.microsoft.com/office/drawing/2014/main" id="{9532BD30-C196-4A25-8D8B-65699154D9C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10457" y="711717524"/>
          <a:ext cx="1847855" cy="400051"/>
        </a:xfrm>
        <a:prstGeom prst="rect">
          <a:avLst/>
        </a:prstGeom>
      </xdr:spPr>
    </xdr:pic>
    <xdr:clientData/>
  </xdr:oneCellAnchor>
  <xdr:twoCellAnchor editAs="oneCell">
    <xdr:from>
      <xdr:col>3</xdr:col>
      <xdr:colOff>581025</xdr:colOff>
      <xdr:row>3009</xdr:row>
      <xdr:rowOff>85725</xdr:rowOff>
    </xdr:from>
    <xdr:to>
      <xdr:col>6</xdr:col>
      <xdr:colOff>1072515</xdr:colOff>
      <xdr:row>3011</xdr:row>
      <xdr:rowOff>131445</xdr:rowOff>
    </xdr:to>
    <xdr:pic>
      <xdr:nvPicPr>
        <xdr:cNvPr id="74" name="Imagem 73">
          <a:extLst>
            <a:ext uri="{FF2B5EF4-FFF2-40B4-BE49-F238E27FC236}">
              <a16:creationId xmlns:a16="http://schemas.microsoft.com/office/drawing/2014/main" id="{73B86DA2-54D1-4728-BE15-96FF72DD92E1}"/>
            </a:ext>
          </a:extLst>
        </xdr:cNvPr>
        <xdr:cNvPicPr>
          <a:picLocks noChangeAspect="1"/>
        </xdr:cNvPicPr>
      </xdr:nvPicPr>
      <xdr:blipFill>
        <a:blip xmlns:r="http://schemas.openxmlformats.org/officeDocument/2006/relationships" r:embed="rId5"/>
        <a:stretch>
          <a:fillRect/>
        </a:stretch>
      </xdr:blipFill>
      <xdr:spPr>
        <a:xfrm>
          <a:off x="3105150" y="781897725"/>
          <a:ext cx="2377440" cy="46482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28575</xdr:colOff>
      <xdr:row>379</xdr:row>
      <xdr:rowOff>38099</xdr:rowOff>
    </xdr:from>
    <xdr:to>
      <xdr:col>3</xdr:col>
      <xdr:colOff>2305050</xdr:colOff>
      <xdr:row>381</xdr:row>
      <xdr:rowOff>161924</xdr:rowOff>
    </xdr:to>
    <xdr:pic>
      <xdr:nvPicPr>
        <xdr:cNvPr id="2" name="Imagem 1">
          <a:extLst>
            <a:ext uri="{FF2B5EF4-FFF2-40B4-BE49-F238E27FC236}">
              <a16:creationId xmlns:a16="http://schemas.microsoft.com/office/drawing/2014/main" id="{4AFCDD0F-C475-4F4E-8218-9C8CE92605D5}"/>
            </a:ext>
          </a:extLst>
        </xdr:cNvPr>
        <xdr:cNvPicPr>
          <a:picLocks noChangeAspect="1"/>
        </xdr:cNvPicPr>
      </xdr:nvPicPr>
      <xdr:blipFill>
        <a:blip xmlns:r="http://schemas.openxmlformats.org/officeDocument/2006/relationships" r:embed="rId1"/>
        <a:stretch>
          <a:fillRect/>
        </a:stretch>
      </xdr:blipFill>
      <xdr:spPr>
        <a:xfrm>
          <a:off x="6172200" y="95907224"/>
          <a:ext cx="2276475" cy="54292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95250</xdr:colOff>
      <xdr:row>3</xdr:row>
      <xdr:rowOff>76200</xdr:rowOff>
    </xdr:from>
    <xdr:to>
      <xdr:col>5</xdr:col>
      <xdr:colOff>2229763</xdr:colOff>
      <xdr:row>35</xdr:row>
      <xdr:rowOff>38818</xdr:rowOff>
    </xdr:to>
    <xdr:pic>
      <xdr:nvPicPr>
        <xdr:cNvPr id="3" name="Imagem 2">
          <a:extLst>
            <a:ext uri="{FF2B5EF4-FFF2-40B4-BE49-F238E27FC236}">
              <a16:creationId xmlns:a16="http://schemas.microsoft.com/office/drawing/2014/main" id="{750A57D0-1A3D-46E1-BAF4-0AC87C32AA6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8675" y="600075"/>
          <a:ext cx="6544588" cy="51442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66675</xdr:colOff>
      <xdr:row>160</xdr:row>
      <xdr:rowOff>47625</xdr:rowOff>
    </xdr:from>
    <xdr:to>
      <xdr:col>3</xdr:col>
      <xdr:colOff>280555</xdr:colOff>
      <xdr:row>164</xdr:row>
      <xdr:rowOff>55639</xdr:rowOff>
    </xdr:to>
    <xdr:pic>
      <xdr:nvPicPr>
        <xdr:cNvPr id="2" name="Imagem 1">
          <a:extLst>
            <a:ext uri="{FF2B5EF4-FFF2-40B4-BE49-F238E27FC236}">
              <a16:creationId xmlns:a16="http://schemas.microsoft.com/office/drawing/2014/main" id="{913CC474-6B1F-4F20-A1D1-E6395D10E11B}"/>
            </a:ext>
          </a:extLst>
        </xdr:cNvPr>
        <xdr:cNvPicPr>
          <a:picLocks noChangeAspect="1"/>
        </xdr:cNvPicPr>
      </xdr:nvPicPr>
      <xdr:blipFill>
        <a:blip xmlns:r="http://schemas.openxmlformats.org/officeDocument/2006/relationships" r:embed="rId1"/>
        <a:stretch>
          <a:fillRect/>
        </a:stretch>
      </xdr:blipFill>
      <xdr:spPr>
        <a:xfrm>
          <a:off x="657225" y="58350150"/>
          <a:ext cx="2128405" cy="1103389"/>
        </a:xfrm>
        <a:prstGeom prst="rect">
          <a:avLst/>
        </a:prstGeom>
      </xdr:spPr>
    </xdr:pic>
    <xdr:clientData/>
  </xdr:twoCellAnchor>
  <xdr:twoCellAnchor editAs="oneCell">
    <xdr:from>
      <xdr:col>6</xdr:col>
      <xdr:colOff>523875</xdr:colOff>
      <xdr:row>0</xdr:row>
      <xdr:rowOff>131228</xdr:rowOff>
    </xdr:from>
    <xdr:to>
      <xdr:col>8</xdr:col>
      <xdr:colOff>924887</xdr:colOff>
      <xdr:row>0</xdr:row>
      <xdr:rowOff>626492</xdr:rowOff>
    </xdr:to>
    <xdr:pic>
      <xdr:nvPicPr>
        <xdr:cNvPr id="3" name="Imagem 2">
          <a:extLst>
            <a:ext uri="{FF2B5EF4-FFF2-40B4-BE49-F238E27FC236}">
              <a16:creationId xmlns:a16="http://schemas.microsoft.com/office/drawing/2014/main" id="{E8BAADE3-E5B7-44E7-AA66-29EF2829E49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886700" y="131228"/>
          <a:ext cx="2286866" cy="495264"/>
        </a:xfrm>
        <a:prstGeom prst="rect">
          <a:avLst/>
        </a:prstGeom>
      </xdr:spPr>
    </xdr:pic>
    <xdr:clientData/>
  </xdr:twoCellAnchor>
  <xdr:twoCellAnchor editAs="oneCell">
    <xdr:from>
      <xdr:col>0</xdr:col>
      <xdr:colOff>34015</xdr:colOff>
      <xdr:row>0</xdr:row>
      <xdr:rowOff>47625</xdr:rowOff>
    </xdr:from>
    <xdr:to>
      <xdr:col>1</xdr:col>
      <xdr:colOff>624667</xdr:colOff>
      <xdr:row>0</xdr:row>
      <xdr:rowOff>685800</xdr:rowOff>
    </xdr:to>
    <xdr:pic>
      <xdr:nvPicPr>
        <xdr:cNvPr id="7" name="Imagem 6">
          <a:extLst>
            <a:ext uri="{FF2B5EF4-FFF2-40B4-BE49-F238E27FC236}">
              <a16:creationId xmlns:a16="http://schemas.microsoft.com/office/drawing/2014/main" id="{3E5A0573-0C4D-4535-BDD7-C5FA313A15E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015" y="47625"/>
          <a:ext cx="1179470" cy="638175"/>
        </a:xfrm>
        <a:prstGeom prst="rect">
          <a:avLst/>
        </a:prstGeom>
        <a:noFill/>
        <a:ln>
          <a:noFill/>
        </a:ln>
      </xdr:spPr>
    </xdr:pic>
    <xdr:clientData/>
  </xdr:twoCellAnchor>
  <xdr:twoCellAnchor editAs="oneCell">
    <xdr:from>
      <xdr:col>3</xdr:col>
      <xdr:colOff>579120</xdr:colOff>
      <xdr:row>162</xdr:row>
      <xdr:rowOff>53340</xdr:rowOff>
    </xdr:from>
    <xdr:to>
      <xdr:col>3</xdr:col>
      <xdr:colOff>3398520</xdr:colOff>
      <xdr:row>164</xdr:row>
      <xdr:rowOff>190500</xdr:rowOff>
    </xdr:to>
    <xdr:pic>
      <xdr:nvPicPr>
        <xdr:cNvPr id="5" name="Imagem 4">
          <a:extLst>
            <a:ext uri="{FF2B5EF4-FFF2-40B4-BE49-F238E27FC236}">
              <a16:creationId xmlns:a16="http://schemas.microsoft.com/office/drawing/2014/main" id="{4E3DF8EF-18D3-446D-8494-2A67140630CE}"/>
            </a:ext>
          </a:extLst>
        </xdr:cNvPr>
        <xdr:cNvPicPr>
          <a:picLocks noChangeAspect="1"/>
        </xdr:cNvPicPr>
      </xdr:nvPicPr>
      <xdr:blipFill>
        <a:blip xmlns:r="http://schemas.openxmlformats.org/officeDocument/2006/relationships" r:embed="rId4"/>
        <a:stretch>
          <a:fillRect/>
        </a:stretch>
      </xdr:blipFill>
      <xdr:spPr>
        <a:xfrm>
          <a:off x="3154680" y="60929520"/>
          <a:ext cx="2819400" cy="5638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3007177</xdr:colOff>
      <xdr:row>0</xdr:row>
      <xdr:rowOff>261480</xdr:rowOff>
    </xdr:from>
    <xdr:to>
      <xdr:col>7</xdr:col>
      <xdr:colOff>2149929</xdr:colOff>
      <xdr:row>0</xdr:row>
      <xdr:rowOff>1047748</xdr:rowOff>
    </xdr:to>
    <xdr:pic>
      <xdr:nvPicPr>
        <xdr:cNvPr id="4" name="Imagem 3">
          <a:extLst>
            <a:ext uri="{FF2B5EF4-FFF2-40B4-BE49-F238E27FC236}">
              <a16:creationId xmlns:a16="http://schemas.microsoft.com/office/drawing/2014/main" id="{EE8FB6B7-6DC9-4015-94BE-7EEBE728B3C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913427" y="261480"/>
          <a:ext cx="4014109" cy="786268"/>
        </a:xfrm>
        <a:prstGeom prst="rect">
          <a:avLst/>
        </a:prstGeom>
      </xdr:spPr>
    </xdr:pic>
    <xdr:clientData/>
  </xdr:twoCellAnchor>
  <xdr:twoCellAnchor editAs="oneCell">
    <xdr:from>
      <xdr:col>0</xdr:col>
      <xdr:colOff>114300</xdr:colOff>
      <xdr:row>0</xdr:row>
      <xdr:rowOff>85725</xdr:rowOff>
    </xdr:from>
    <xdr:to>
      <xdr:col>1</xdr:col>
      <xdr:colOff>765810</xdr:colOff>
      <xdr:row>0</xdr:row>
      <xdr:rowOff>876300</xdr:rowOff>
    </xdr:to>
    <xdr:pic>
      <xdr:nvPicPr>
        <xdr:cNvPr id="6" name="Imagem 5">
          <a:extLst>
            <a:ext uri="{FF2B5EF4-FFF2-40B4-BE49-F238E27FC236}">
              <a16:creationId xmlns:a16="http://schemas.microsoft.com/office/drawing/2014/main" id="{0634416E-E31D-4D82-B4A4-72969BE5D18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85725"/>
          <a:ext cx="1461135" cy="790575"/>
        </a:xfrm>
        <a:prstGeom prst="rect">
          <a:avLst/>
        </a:prstGeom>
        <a:noFill/>
        <a:ln>
          <a:noFill/>
        </a:ln>
      </xdr:spPr>
    </xdr:pic>
    <xdr:clientData/>
  </xdr:twoCellAnchor>
  <xdr:twoCellAnchor editAs="oneCell">
    <xdr:from>
      <xdr:col>6</xdr:col>
      <xdr:colOff>1131094</xdr:colOff>
      <xdr:row>127</xdr:row>
      <xdr:rowOff>47625</xdr:rowOff>
    </xdr:from>
    <xdr:to>
      <xdr:col>6</xdr:col>
      <xdr:colOff>3757273</xdr:colOff>
      <xdr:row>139</xdr:row>
      <xdr:rowOff>211036</xdr:rowOff>
    </xdr:to>
    <xdr:pic>
      <xdr:nvPicPr>
        <xdr:cNvPr id="7" name="Imagem 6">
          <a:extLst>
            <a:ext uri="{FF2B5EF4-FFF2-40B4-BE49-F238E27FC236}">
              <a16:creationId xmlns:a16="http://schemas.microsoft.com/office/drawing/2014/main" id="{70149EFE-7319-4328-9F91-DF6586870492}"/>
            </a:ext>
          </a:extLst>
        </xdr:cNvPr>
        <xdr:cNvPicPr>
          <a:picLocks noChangeAspect="1"/>
        </xdr:cNvPicPr>
      </xdr:nvPicPr>
      <xdr:blipFill>
        <a:blip xmlns:r="http://schemas.openxmlformats.org/officeDocument/2006/relationships" r:embed="rId3"/>
        <a:stretch>
          <a:fillRect/>
        </a:stretch>
      </xdr:blipFill>
      <xdr:spPr>
        <a:xfrm>
          <a:off x="13021469" y="71151750"/>
          <a:ext cx="2626179" cy="3020912"/>
        </a:xfrm>
        <a:prstGeom prst="rect">
          <a:avLst/>
        </a:prstGeom>
      </xdr:spPr>
    </xdr:pic>
    <xdr:clientData/>
  </xdr:twoCellAnchor>
  <xdr:twoCellAnchor editAs="oneCell">
    <xdr:from>
      <xdr:col>3</xdr:col>
      <xdr:colOff>1238250</xdr:colOff>
      <xdr:row>144</xdr:row>
      <xdr:rowOff>85725</xdr:rowOff>
    </xdr:from>
    <xdr:to>
      <xdr:col>3</xdr:col>
      <xdr:colOff>3952876</xdr:colOff>
      <xdr:row>146</xdr:row>
      <xdr:rowOff>180975</xdr:rowOff>
    </xdr:to>
    <xdr:pic>
      <xdr:nvPicPr>
        <xdr:cNvPr id="3" name="Imagem 2">
          <a:extLst>
            <a:ext uri="{FF2B5EF4-FFF2-40B4-BE49-F238E27FC236}">
              <a16:creationId xmlns:a16="http://schemas.microsoft.com/office/drawing/2014/main" id="{6B6FF377-DE05-4E23-8686-605E4E0F86AF}"/>
            </a:ext>
          </a:extLst>
        </xdr:cNvPr>
        <xdr:cNvPicPr>
          <a:picLocks noChangeAspect="1"/>
        </xdr:cNvPicPr>
      </xdr:nvPicPr>
      <xdr:blipFill>
        <a:blip xmlns:r="http://schemas.openxmlformats.org/officeDocument/2006/relationships" r:embed="rId4"/>
        <a:stretch>
          <a:fillRect/>
        </a:stretch>
      </xdr:blipFill>
      <xdr:spPr>
        <a:xfrm>
          <a:off x="5381625" y="81714975"/>
          <a:ext cx="2714626" cy="5524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16</xdr:col>
      <xdr:colOff>790575</xdr:colOff>
      <xdr:row>2</xdr:row>
      <xdr:rowOff>85724</xdr:rowOff>
    </xdr:from>
    <xdr:to>
      <xdr:col>19</xdr:col>
      <xdr:colOff>320970</xdr:colOff>
      <xdr:row>4</xdr:row>
      <xdr:rowOff>180974</xdr:rowOff>
    </xdr:to>
    <xdr:pic>
      <xdr:nvPicPr>
        <xdr:cNvPr id="5" name="Imagem 4">
          <a:extLst>
            <a:ext uri="{FF2B5EF4-FFF2-40B4-BE49-F238E27FC236}">
              <a16:creationId xmlns:a16="http://schemas.microsoft.com/office/drawing/2014/main" id="{9479B879-0A2B-4306-9CDB-8BCBD0EBB32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773525" y="466724"/>
          <a:ext cx="2787945" cy="552450"/>
        </a:xfrm>
        <a:prstGeom prst="rect">
          <a:avLst/>
        </a:prstGeom>
      </xdr:spPr>
    </xdr:pic>
    <xdr:clientData/>
  </xdr:twoCellAnchor>
  <xdr:twoCellAnchor editAs="oneCell">
    <xdr:from>
      <xdr:col>0</xdr:col>
      <xdr:colOff>66675</xdr:colOff>
      <xdr:row>0</xdr:row>
      <xdr:rowOff>85725</xdr:rowOff>
    </xdr:from>
    <xdr:to>
      <xdr:col>1</xdr:col>
      <xdr:colOff>1080135</xdr:colOff>
      <xdr:row>4</xdr:row>
      <xdr:rowOff>47625</xdr:rowOff>
    </xdr:to>
    <xdr:pic>
      <xdr:nvPicPr>
        <xdr:cNvPr id="7" name="Imagem 6">
          <a:extLst>
            <a:ext uri="{FF2B5EF4-FFF2-40B4-BE49-F238E27FC236}">
              <a16:creationId xmlns:a16="http://schemas.microsoft.com/office/drawing/2014/main" id="{0BD9794C-CBE5-45BC-BB59-65BB7E3ACB1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675" y="85725"/>
          <a:ext cx="1461135" cy="790575"/>
        </a:xfrm>
        <a:prstGeom prst="rect">
          <a:avLst/>
        </a:prstGeom>
        <a:noFill/>
        <a:ln>
          <a:noFill/>
        </a:ln>
      </xdr:spPr>
    </xdr:pic>
    <xdr:clientData/>
  </xdr:twoCellAnchor>
  <xdr:twoCellAnchor editAs="oneCell">
    <xdr:from>
      <xdr:col>1</xdr:col>
      <xdr:colOff>822960</xdr:colOff>
      <xdr:row>28</xdr:row>
      <xdr:rowOff>129540</xdr:rowOff>
    </xdr:from>
    <xdr:to>
      <xdr:col>2</xdr:col>
      <xdr:colOff>487680</xdr:colOff>
      <xdr:row>30</xdr:row>
      <xdr:rowOff>182880</xdr:rowOff>
    </xdr:to>
    <xdr:pic>
      <xdr:nvPicPr>
        <xdr:cNvPr id="2" name="Imagem 1">
          <a:extLst>
            <a:ext uri="{FF2B5EF4-FFF2-40B4-BE49-F238E27FC236}">
              <a16:creationId xmlns:a16="http://schemas.microsoft.com/office/drawing/2014/main" id="{DE7101C9-9496-4836-82E2-AEF22FF2634E}"/>
            </a:ext>
          </a:extLst>
        </xdr:cNvPr>
        <xdr:cNvPicPr>
          <a:picLocks noChangeAspect="1"/>
        </xdr:cNvPicPr>
      </xdr:nvPicPr>
      <xdr:blipFill>
        <a:blip xmlns:r="http://schemas.openxmlformats.org/officeDocument/2006/relationships" r:embed="rId3"/>
        <a:stretch>
          <a:fillRect/>
        </a:stretch>
      </xdr:blipFill>
      <xdr:spPr>
        <a:xfrm>
          <a:off x="1280160" y="6294120"/>
          <a:ext cx="2377440" cy="46482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12</xdr:col>
      <xdr:colOff>109282</xdr:colOff>
      <xdr:row>0</xdr:row>
      <xdr:rowOff>76199</xdr:rowOff>
    </xdr:from>
    <xdr:to>
      <xdr:col>13</xdr:col>
      <xdr:colOff>442661</xdr:colOff>
      <xdr:row>0</xdr:row>
      <xdr:rowOff>438150</xdr:rowOff>
    </xdr:to>
    <xdr:pic>
      <xdr:nvPicPr>
        <xdr:cNvPr id="2" name="Imagem 1">
          <a:extLst>
            <a:ext uri="{FF2B5EF4-FFF2-40B4-BE49-F238E27FC236}">
              <a16:creationId xmlns:a16="http://schemas.microsoft.com/office/drawing/2014/main" id="{E230CD21-E056-42F8-9425-F0FA049D004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10457" y="76199"/>
          <a:ext cx="1847855" cy="361951"/>
        </a:xfrm>
        <a:prstGeom prst="rect">
          <a:avLst/>
        </a:prstGeom>
      </xdr:spPr>
    </xdr:pic>
    <xdr:clientData/>
  </xdr:twoCellAnchor>
  <xdr:twoCellAnchor editAs="oneCell">
    <xdr:from>
      <xdr:col>12</xdr:col>
      <xdr:colOff>109282</xdr:colOff>
      <xdr:row>40</xdr:row>
      <xdr:rowOff>76199</xdr:rowOff>
    </xdr:from>
    <xdr:to>
      <xdr:col>13</xdr:col>
      <xdr:colOff>442661</xdr:colOff>
      <xdr:row>40</xdr:row>
      <xdr:rowOff>495300</xdr:rowOff>
    </xdr:to>
    <xdr:pic>
      <xdr:nvPicPr>
        <xdr:cNvPr id="4" name="Imagem 3">
          <a:extLst>
            <a:ext uri="{FF2B5EF4-FFF2-40B4-BE49-F238E27FC236}">
              <a16:creationId xmlns:a16="http://schemas.microsoft.com/office/drawing/2014/main" id="{C1E8349F-5600-4CD6-AEED-1606A66E365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301032" y="76199"/>
          <a:ext cx="1847855" cy="361951"/>
        </a:xfrm>
        <a:prstGeom prst="rect">
          <a:avLst/>
        </a:prstGeom>
      </xdr:spPr>
    </xdr:pic>
    <xdr:clientData/>
  </xdr:twoCellAnchor>
  <xdr:twoCellAnchor editAs="oneCell">
    <xdr:from>
      <xdr:col>12</xdr:col>
      <xdr:colOff>109282</xdr:colOff>
      <xdr:row>80</xdr:row>
      <xdr:rowOff>0</xdr:rowOff>
    </xdr:from>
    <xdr:to>
      <xdr:col>13</xdr:col>
      <xdr:colOff>442661</xdr:colOff>
      <xdr:row>80</xdr:row>
      <xdr:rowOff>419101</xdr:rowOff>
    </xdr:to>
    <xdr:pic>
      <xdr:nvPicPr>
        <xdr:cNvPr id="5" name="Imagem 4">
          <a:extLst>
            <a:ext uri="{FF2B5EF4-FFF2-40B4-BE49-F238E27FC236}">
              <a16:creationId xmlns:a16="http://schemas.microsoft.com/office/drawing/2014/main" id="{F3D1B70B-23F3-4E5F-941C-2A36EEB2325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301032" y="76199"/>
          <a:ext cx="1847855" cy="361951"/>
        </a:xfrm>
        <a:prstGeom prst="rect">
          <a:avLst/>
        </a:prstGeom>
      </xdr:spPr>
    </xdr:pic>
    <xdr:clientData/>
  </xdr:twoCellAnchor>
  <xdr:twoCellAnchor editAs="oneCell">
    <xdr:from>
      <xdr:col>11</xdr:col>
      <xdr:colOff>671257</xdr:colOff>
      <xdr:row>80</xdr:row>
      <xdr:rowOff>0</xdr:rowOff>
    </xdr:from>
    <xdr:to>
      <xdr:col>13</xdr:col>
      <xdr:colOff>480108</xdr:colOff>
      <xdr:row>80</xdr:row>
      <xdr:rowOff>381000</xdr:rowOff>
    </xdr:to>
    <xdr:pic>
      <xdr:nvPicPr>
        <xdr:cNvPr id="6" name="Imagem 5">
          <a:extLst>
            <a:ext uri="{FF2B5EF4-FFF2-40B4-BE49-F238E27FC236}">
              <a16:creationId xmlns:a16="http://schemas.microsoft.com/office/drawing/2014/main" id="{B07B91F3-33A3-4525-A849-333B1EC4876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072432" y="32289750"/>
          <a:ext cx="2113902" cy="381000"/>
        </a:xfrm>
        <a:prstGeom prst="rect">
          <a:avLst/>
        </a:prstGeom>
      </xdr:spPr>
    </xdr:pic>
    <xdr:clientData/>
  </xdr:twoCellAnchor>
  <xdr:twoCellAnchor editAs="oneCell">
    <xdr:from>
      <xdr:col>12</xdr:col>
      <xdr:colOff>137857</xdr:colOff>
      <xdr:row>80</xdr:row>
      <xdr:rowOff>114498</xdr:rowOff>
    </xdr:from>
    <xdr:to>
      <xdr:col>13</xdr:col>
      <xdr:colOff>419099</xdr:colOff>
      <xdr:row>80</xdr:row>
      <xdr:rowOff>438150</xdr:rowOff>
    </xdr:to>
    <xdr:pic>
      <xdr:nvPicPr>
        <xdr:cNvPr id="7" name="Imagem 6">
          <a:extLst>
            <a:ext uri="{FF2B5EF4-FFF2-40B4-BE49-F238E27FC236}">
              <a16:creationId xmlns:a16="http://schemas.microsoft.com/office/drawing/2014/main" id="{1C174B10-6DE7-48EF-B0EF-1F9F6775983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329607" y="114498"/>
          <a:ext cx="1795718" cy="266502"/>
        </a:xfrm>
        <a:prstGeom prst="rect">
          <a:avLst/>
        </a:prstGeom>
      </xdr:spPr>
    </xdr:pic>
    <xdr:clientData/>
  </xdr:twoCellAnchor>
  <xdr:twoCellAnchor editAs="oneCell">
    <xdr:from>
      <xdr:col>12</xdr:col>
      <xdr:colOff>137857</xdr:colOff>
      <xdr:row>119</xdr:row>
      <xdr:rowOff>114498</xdr:rowOff>
    </xdr:from>
    <xdr:to>
      <xdr:col>13</xdr:col>
      <xdr:colOff>419099</xdr:colOff>
      <xdr:row>119</xdr:row>
      <xdr:rowOff>438150</xdr:rowOff>
    </xdr:to>
    <xdr:pic>
      <xdr:nvPicPr>
        <xdr:cNvPr id="8" name="Imagem 7">
          <a:extLst>
            <a:ext uri="{FF2B5EF4-FFF2-40B4-BE49-F238E27FC236}">
              <a16:creationId xmlns:a16="http://schemas.microsoft.com/office/drawing/2014/main" id="{F21E780C-8262-4FB7-8F01-74FA966DAB2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329607" y="114498"/>
          <a:ext cx="1795718" cy="266502"/>
        </a:xfrm>
        <a:prstGeom prst="rect">
          <a:avLst/>
        </a:prstGeom>
      </xdr:spPr>
    </xdr:pic>
    <xdr:clientData/>
  </xdr:twoCellAnchor>
  <xdr:twoCellAnchor editAs="oneCell">
    <xdr:from>
      <xdr:col>12</xdr:col>
      <xdr:colOff>137857</xdr:colOff>
      <xdr:row>159</xdr:row>
      <xdr:rowOff>114498</xdr:rowOff>
    </xdr:from>
    <xdr:to>
      <xdr:col>13</xdr:col>
      <xdr:colOff>419099</xdr:colOff>
      <xdr:row>159</xdr:row>
      <xdr:rowOff>438150</xdr:rowOff>
    </xdr:to>
    <xdr:pic>
      <xdr:nvPicPr>
        <xdr:cNvPr id="9" name="Imagem 8">
          <a:extLst>
            <a:ext uri="{FF2B5EF4-FFF2-40B4-BE49-F238E27FC236}">
              <a16:creationId xmlns:a16="http://schemas.microsoft.com/office/drawing/2014/main" id="{2D1C7A07-5A55-4BD9-A1AB-3802A0A8C93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329607" y="114498"/>
          <a:ext cx="1795718" cy="266502"/>
        </a:xfrm>
        <a:prstGeom prst="rect">
          <a:avLst/>
        </a:prstGeom>
      </xdr:spPr>
    </xdr:pic>
    <xdr:clientData/>
  </xdr:twoCellAnchor>
  <xdr:twoCellAnchor editAs="oneCell">
    <xdr:from>
      <xdr:col>12</xdr:col>
      <xdr:colOff>137857</xdr:colOff>
      <xdr:row>198</xdr:row>
      <xdr:rowOff>114498</xdr:rowOff>
    </xdr:from>
    <xdr:to>
      <xdr:col>13</xdr:col>
      <xdr:colOff>419099</xdr:colOff>
      <xdr:row>198</xdr:row>
      <xdr:rowOff>438150</xdr:rowOff>
    </xdr:to>
    <xdr:pic>
      <xdr:nvPicPr>
        <xdr:cNvPr id="10" name="Imagem 9">
          <a:extLst>
            <a:ext uri="{FF2B5EF4-FFF2-40B4-BE49-F238E27FC236}">
              <a16:creationId xmlns:a16="http://schemas.microsoft.com/office/drawing/2014/main" id="{E8E54F25-E6DF-4130-AC07-618BB460FD6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329607" y="114498"/>
          <a:ext cx="1795718" cy="266502"/>
        </a:xfrm>
        <a:prstGeom prst="rect">
          <a:avLst/>
        </a:prstGeom>
      </xdr:spPr>
    </xdr:pic>
    <xdr:clientData/>
  </xdr:twoCellAnchor>
  <xdr:twoCellAnchor editAs="oneCell">
    <xdr:from>
      <xdr:col>12</xdr:col>
      <xdr:colOff>109282</xdr:colOff>
      <xdr:row>241</xdr:row>
      <xdr:rowOff>76199</xdr:rowOff>
    </xdr:from>
    <xdr:to>
      <xdr:col>13</xdr:col>
      <xdr:colOff>442661</xdr:colOff>
      <xdr:row>241</xdr:row>
      <xdr:rowOff>495300</xdr:rowOff>
    </xdr:to>
    <xdr:pic>
      <xdr:nvPicPr>
        <xdr:cNvPr id="11" name="Imagem 10">
          <a:extLst>
            <a:ext uri="{FF2B5EF4-FFF2-40B4-BE49-F238E27FC236}">
              <a16:creationId xmlns:a16="http://schemas.microsoft.com/office/drawing/2014/main" id="{F13E07E3-59B4-4A76-AA99-A9E39C31641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301032" y="76199"/>
          <a:ext cx="1847855" cy="361951"/>
        </a:xfrm>
        <a:prstGeom prst="rect">
          <a:avLst/>
        </a:prstGeom>
      </xdr:spPr>
    </xdr:pic>
    <xdr:clientData/>
  </xdr:twoCellAnchor>
  <xdr:twoCellAnchor editAs="oneCell">
    <xdr:from>
      <xdr:col>12</xdr:col>
      <xdr:colOff>137857</xdr:colOff>
      <xdr:row>283</xdr:row>
      <xdr:rowOff>114498</xdr:rowOff>
    </xdr:from>
    <xdr:to>
      <xdr:col>13</xdr:col>
      <xdr:colOff>419099</xdr:colOff>
      <xdr:row>283</xdr:row>
      <xdr:rowOff>438150</xdr:rowOff>
    </xdr:to>
    <xdr:pic>
      <xdr:nvPicPr>
        <xdr:cNvPr id="12" name="Imagem 11">
          <a:extLst>
            <a:ext uri="{FF2B5EF4-FFF2-40B4-BE49-F238E27FC236}">
              <a16:creationId xmlns:a16="http://schemas.microsoft.com/office/drawing/2014/main" id="{305D0722-75DD-46D0-A528-8CC35BB6B39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329607" y="114498"/>
          <a:ext cx="1795718" cy="266502"/>
        </a:xfrm>
        <a:prstGeom prst="rect">
          <a:avLst/>
        </a:prstGeom>
      </xdr:spPr>
    </xdr:pic>
    <xdr:clientData/>
  </xdr:twoCellAnchor>
  <xdr:twoCellAnchor editAs="oneCell">
    <xdr:from>
      <xdr:col>12</xdr:col>
      <xdr:colOff>137857</xdr:colOff>
      <xdr:row>332</xdr:row>
      <xdr:rowOff>114498</xdr:rowOff>
    </xdr:from>
    <xdr:to>
      <xdr:col>13</xdr:col>
      <xdr:colOff>419099</xdr:colOff>
      <xdr:row>332</xdr:row>
      <xdr:rowOff>438150</xdr:rowOff>
    </xdr:to>
    <xdr:pic>
      <xdr:nvPicPr>
        <xdr:cNvPr id="13" name="Imagem 12">
          <a:extLst>
            <a:ext uri="{FF2B5EF4-FFF2-40B4-BE49-F238E27FC236}">
              <a16:creationId xmlns:a16="http://schemas.microsoft.com/office/drawing/2014/main" id="{00C138FC-40A1-46E1-8297-6219952DC9E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329607" y="114498"/>
          <a:ext cx="1795718" cy="266502"/>
        </a:xfrm>
        <a:prstGeom prst="rect">
          <a:avLst/>
        </a:prstGeom>
      </xdr:spPr>
    </xdr:pic>
    <xdr:clientData/>
  </xdr:twoCellAnchor>
  <xdr:twoCellAnchor editAs="oneCell">
    <xdr:from>
      <xdr:col>12</xdr:col>
      <xdr:colOff>137857</xdr:colOff>
      <xdr:row>387</xdr:row>
      <xdr:rowOff>114498</xdr:rowOff>
    </xdr:from>
    <xdr:to>
      <xdr:col>13</xdr:col>
      <xdr:colOff>419099</xdr:colOff>
      <xdr:row>387</xdr:row>
      <xdr:rowOff>438150</xdr:rowOff>
    </xdr:to>
    <xdr:pic>
      <xdr:nvPicPr>
        <xdr:cNvPr id="14" name="Imagem 13">
          <a:extLst>
            <a:ext uri="{FF2B5EF4-FFF2-40B4-BE49-F238E27FC236}">
              <a16:creationId xmlns:a16="http://schemas.microsoft.com/office/drawing/2014/main" id="{C0398455-DA32-4C78-81AD-135AEE13463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329607" y="114498"/>
          <a:ext cx="1795718" cy="266502"/>
        </a:xfrm>
        <a:prstGeom prst="rect">
          <a:avLst/>
        </a:prstGeom>
      </xdr:spPr>
    </xdr:pic>
    <xdr:clientData/>
  </xdr:twoCellAnchor>
  <xdr:twoCellAnchor editAs="oneCell">
    <xdr:from>
      <xdr:col>12</xdr:col>
      <xdr:colOff>137857</xdr:colOff>
      <xdr:row>427</xdr:row>
      <xdr:rowOff>114498</xdr:rowOff>
    </xdr:from>
    <xdr:to>
      <xdr:col>13</xdr:col>
      <xdr:colOff>419099</xdr:colOff>
      <xdr:row>427</xdr:row>
      <xdr:rowOff>438150</xdr:rowOff>
    </xdr:to>
    <xdr:pic>
      <xdr:nvPicPr>
        <xdr:cNvPr id="15" name="Imagem 14">
          <a:extLst>
            <a:ext uri="{FF2B5EF4-FFF2-40B4-BE49-F238E27FC236}">
              <a16:creationId xmlns:a16="http://schemas.microsoft.com/office/drawing/2014/main" id="{94045F1F-F90B-4AA3-B1A8-BFC62B1E54D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329607" y="114498"/>
          <a:ext cx="1795718" cy="266502"/>
        </a:xfrm>
        <a:prstGeom prst="rect">
          <a:avLst/>
        </a:prstGeom>
      </xdr:spPr>
    </xdr:pic>
    <xdr:clientData/>
  </xdr:twoCellAnchor>
  <xdr:twoCellAnchor editAs="oneCell">
    <xdr:from>
      <xdr:col>12</xdr:col>
      <xdr:colOff>137857</xdr:colOff>
      <xdr:row>467</xdr:row>
      <xdr:rowOff>114498</xdr:rowOff>
    </xdr:from>
    <xdr:to>
      <xdr:col>13</xdr:col>
      <xdr:colOff>419099</xdr:colOff>
      <xdr:row>467</xdr:row>
      <xdr:rowOff>438150</xdr:rowOff>
    </xdr:to>
    <xdr:pic>
      <xdr:nvPicPr>
        <xdr:cNvPr id="16" name="Imagem 15">
          <a:extLst>
            <a:ext uri="{FF2B5EF4-FFF2-40B4-BE49-F238E27FC236}">
              <a16:creationId xmlns:a16="http://schemas.microsoft.com/office/drawing/2014/main" id="{E770172B-9952-43C0-B08D-0798F251A86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329607" y="114498"/>
          <a:ext cx="1795718" cy="266502"/>
        </a:xfrm>
        <a:prstGeom prst="rect">
          <a:avLst/>
        </a:prstGeom>
      </xdr:spPr>
    </xdr:pic>
    <xdr:clientData/>
  </xdr:twoCellAnchor>
  <xdr:twoCellAnchor editAs="oneCell">
    <xdr:from>
      <xdr:col>12</xdr:col>
      <xdr:colOff>137857</xdr:colOff>
      <xdr:row>508</xdr:row>
      <xdr:rowOff>114498</xdr:rowOff>
    </xdr:from>
    <xdr:to>
      <xdr:col>13</xdr:col>
      <xdr:colOff>419099</xdr:colOff>
      <xdr:row>508</xdr:row>
      <xdr:rowOff>438150</xdr:rowOff>
    </xdr:to>
    <xdr:pic>
      <xdr:nvPicPr>
        <xdr:cNvPr id="17" name="Imagem 16">
          <a:extLst>
            <a:ext uri="{FF2B5EF4-FFF2-40B4-BE49-F238E27FC236}">
              <a16:creationId xmlns:a16="http://schemas.microsoft.com/office/drawing/2014/main" id="{7171EECC-F9CF-49CE-AEE2-8EAD717C3D6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329607" y="114498"/>
          <a:ext cx="1795718" cy="266502"/>
        </a:xfrm>
        <a:prstGeom prst="rect">
          <a:avLst/>
        </a:prstGeom>
      </xdr:spPr>
    </xdr:pic>
    <xdr:clientData/>
  </xdr:twoCellAnchor>
  <xdr:twoCellAnchor editAs="oneCell">
    <xdr:from>
      <xdr:col>12</xdr:col>
      <xdr:colOff>137857</xdr:colOff>
      <xdr:row>547</xdr:row>
      <xdr:rowOff>114498</xdr:rowOff>
    </xdr:from>
    <xdr:to>
      <xdr:col>13</xdr:col>
      <xdr:colOff>419099</xdr:colOff>
      <xdr:row>547</xdr:row>
      <xdr:rowOff>438150</xdr:rowOff>
    </xdr:to>
    <xdr:pic>
      <xdr:nvPicPr>
        <xdr:cNvPr id="18" name="Imagem 17">
          <a:extLst>
            <a:ext uri="{FF2B5EF4-FFF2-40B4-BE49-F238E27FC236}">
              <a16:creationId xmlns:a16="http://schemas.microsoft.com/office/drawing/2014/main" id="{EC8F8F91-6D65-4339-A970-88214D9735E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329607" y="114498"/>
          <a:ext cx="1795718" cy="266502"/>
        </a:xfrm>
        <a:prstGeom prst="rect">
          <a:avLst/>
        </a:prstGeom>
      </xdr:spPr>
    </xdr:pic>
    <xdr:clientData/>
  </xdr:twoCellAnchor>
  <xdr:twoCellAnchor editAs="oneCell">
    <xdr:from>
      <xdr:col>12</xdr:col>
      <xdr:colOff>137857</xdr:colOff>
      <xdr:row>587</xdr:row>
      <xdr:rowOff>114498</xdr:rowOff>
    </xdr:from>
    <xdr:to>
      <xdr:col>13</xdr:col>
      <xdr:colOff>419099</xdr:colOff>
      <xdr:row>587</xdr:row>
      <xdr:rowOff>438150</xdr:rowOff>
    </xdr:to>
    <xdr:pic>
      <xdr:nvPicPr>
        <xdr:cNvPr id="19" name="Imagem 18">
          <a:extLst>
            <a:ext uri="{FF2B5EF4-FFF2-40B4-BE49-F238E27FC236}">
              <a16:creationId xmlns:a16="http://schemas.microsoft.com/office/drawing/2014/main" id="{F08F2022-4741-41CB-99D3-E640D5B518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329607" y="114498"/>
          <a:ext cx="1795718" cy="266502"/>
        </a:xfrm>
        <a:prstGeom prst="rect">
          <a:avLst/>
        </a:prstGeom>
      </xdr:spPr>
    </xdr:pic>
    <xdr:clientData/>
  </xdr:twoCellAnchor>
  <xdr:twoCellAnchor editAs="oneCell">
    <xdr:from>
      <xdr:col>12</xdr:col>
      <xdr:colOff>137857</xdr:colOff>
      <xdr:row>626</xdr:row>
      <xdr:rowOff>114498</xdr:rowOff>
    </xdr:from>
    <xdr:to>
      <xdr:col>13</xdr:col>
      <xdr:colOff>419099</xdr:colOff>
      <xdr:row>626</xdr:row>
      <xdr:rowOff>438150</xdr:rowOff>
    </xdr:to>
    <xdr:pic>
      <xdr:nvPicPr>
        <xdr:cNvPr id="20" name="Imagem 19">
          <a:extLst>
            <a:ext uri="{FF2B5EF4-FFF2-40B4-BE49-F238E27FC236}">
              <a16:creationId xmlns:a16="http://schemas.microsoft.com/office/drawing/2014/main" id="{62AEC1C8-73FF-4C93-BE70-3301D5D6E71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329607" y="114498"/>
          <a:ext cx="1795718" cy="266502"/>
        </a:xfrm>
        <a:prstGeom prst="rect">
          <a:avLst/>
        </a:prstGeom>
      </xdr:spPr>
    </xdr:pic>
    <xdr:clientData/>
  </xdr:twoCellAnchor>
  <xdr:twoCellAnchor editAs="oneCell">
    <xdr:from>
      <xdr:col>12</xdr:col>
      <xdr:colOff>137857</xdr:colOff>
      <xdr:row>665</xdr:row>
      <xdr:rowOff>114498</xdr:rowOff>
    </xdr:from>
    <xdr:to>
      <xdr:col>13</xdr:col>
      <xdr:colOff>419099</xdr:colOff>
      <xdr:row>665</xdr:row>
      <xdr:rowOff>438150</xdr:rowOff>
    </xdr:to>
    <xdr:pic>
      <xdr:nvPicPr>
        <xdr:cNvPr id="21" name="Imagem 20">
          <a:extLst>
            <a:ext uri="{FF2B5EF4-FFF2-40B4-BE49-F238E27FC236}">
              <a16:creationId xmlns:a16="http://schemas.microsoft.com/office/drawing/2014/main" id="{6BED71E3-8E29-4A61-AA45-DB3161DC91A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329607" y="114498"/>
          <a:ext cx="1795718" cy="266502"/>
        </a:xfrm>
        <a:prstGeom prst="rect">
          <a:avLst/>
        </a:prstGeom>
      </xdr:spPr>
    </xdr:pic>
    <xdr:clientData/>
  </xdr:twoCellAnchor>
  <xdr:twoCellAnchor editAs="oneCell">
    <xdr:from>
      <xdr:col>12</xdr:col>
      <xdr:colOff>137857</xdr:colOff>
      <xdr:row>704</xdr:row>
      <xdr:rowOff>114498</xdr:rowOff>
    </xdr:from>
    <xdr:to>
      <xdr:col>13</xdr:col>
      <xdr:colOff>419099</xdr:colOff>
      <xdr:row>704</xdr:row>
      <xdr:rowOff>438150</xdr:rowOff>
    </xdr:to>
    <xdr:pic>
      <xdr:nvPicPr>
        <xdr:cNvPr id="22" name="Imagem 21">
          <a:extLst>
            <a:ext uri="{FF2B5EF4-FFF2-40B4-BE49-F238E27FC236}">
              <a16:creationId xmlns:a16="http://schemas.microsoft.com/office/drawing/2014/main" id="{0D2516C6-88DD-412D-A598-0CE8079AE1E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329607" y="114498"/>
          <a:ext cx="1795718" cy="266502"/>
        </a:xfrm>
        <a:prstGeom prst="rect">
          <a:avLst/>
        </a:prstGeom>
      </xdr:spPr>
    </xdr:pic>
    <xdr:clientData/>
  </xdr:twoCellAnchor>
  <xdr:twoCellAnchor editAs="oneCell">
    <xdr:from>
      <xdr:col>12</xdr:col>
      <xdr:colOff>137857</xdr:colOff>
      <xdr:row>743</xdr:row>
      <xdr:rowOff>114498</xdr:rowOff>
    </xdr:from>
    <xdr:to>
      <xdr:col>13</xdr:col>
      <xdr:colOff>419099</xdr:colOff>
      <xdr:row>743</xdr:row>
      <xdr:rowOff>438150</xdr:rowOff>
    </xdr:to>
    <xdr:pic>
      <xdr:nvPicPr>
        <xdr:cNvPr id="23" name="Imagem 22">
          <a:extLst>
            <a:ext uri="{FF2B5EF4-FFF2-40B4-BE49-F238E27FC236}">
              <a16:creationId xmlns:a16="http://schemas.microsoft.com/office/drawing/2014/main" id="{014ABB59-03B0-4538-B704-DCCE2CCDD6A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329607" y="114498"/>
          <a:ext cx="1795718" cy="266502"/>
        </a:xfrm>
        <a:prstGeom prst="rect">
          <a:avLst/>
        </a:prstGeom>
      </xdr:spPr>
    </xdr:pic>
    <xdr:clientData/>
  </xdr:twoCellAnchor>
  <xdr:twoCellAnchor editAs="oneCell">
    <xdr:from>
      <xdr:col>12</xdr:col>
      <xdr:colOff>137857</xdr:colOff>
      <xdr:row>782</xdr:row>
      <xdr:rowOff>114498</xdr:rowOff>
    </xdr:from>
    <xdr:to>
      <xdr:col>13</xdr:col>
      <xdr:colOff>419099</xdr:colOff>
      <xdr:row>782</xdr:row>
      <xdr:rowOff>438150</xdr:rowOff>
    </xdr:to>
    <xdr:pic>
      <xdr:nvPicPr>
        <xdr:cNvPr id="24" name="Imagem 23">
          <a:extLst>
            <a:ext uri="{FF2B5EF4-FFF2-40B4-BE49-F238E27FC236}">
              <a16:creationId xmlns:a16="http://schemas.microsoft.com/office/drawing/2014/main" id="{99339272-DB71-46EF-93D5-DB1977BB7D5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329607" y="114498"/>
          <a:ext cx="1795718" cy="266502"/>
        </a:xfrm>
        <a:prstGeom prst="rect">
          <a:avLst/>
        </a:prstGeom>
      </xdr:spPr>
    </xdr:pic>
    <xdr:clientData/>
  </xdr:twoCellAnchor>
  <xdr:twoCellAnchor editAs="oneCell">
    <xdr:from>
      <xdr:col>12</xdr:col>
      <xdr:colOff>137857</xdr:colOff>
      <xdr:row>821</xdr:row>
      <xdr:rowOff>114498</xdr:rowOff>
    </xdr:from>
    <xdr:to>
      <xdr:col>13</xdr:col>
      <xdr:colOff>419099</xdr:colOff>
      <xdr:row>821</xdr:row>
      <xdr:rowOff>438150</xdr:rowOff>
    </xdr:to>
    <xdr:pic>
      <xdr:nvPicPr>
        <xdr:cNvPr id="25" name="Imagem 24">
          <a:extLst>
            <a:ext uri="{FF2B5EF4-FFF2-40B4-BE49-F238E27FC236}">
              <a16:creationId xmlns:a16="http://schemas.microsoft.com/office/drawing/2014/main" id="{A427BB6F-2C72-472C-A0E8-95A6CF78320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329607" y="114498"/>
          <a:ext cx="1795718" cy="266502"/>
        </a:xfrm>
        <a:prstGeom prst="rect">
          <a:avLst/>
        </a:prstGeom>
      </xdr:spPr>
    </xdr:pic>
    <xdr:clientData/>
  </xdr:twoCellAnchor>
  <xdr:twoCellAnchor editAs="oneCell">
    <xdr:from>
      <xdr:col>12</xdr:col>
      <xdr:colOff>137857</xdr:colOff>
      <xdr:row>860</xdr:row>
      <xdr:rowOff>0</xdr:rowOff>
    </xdr:from>
    <xdr:to>
      <xdr:col>13</xdr:col>
      <xdr:colOff>419099</xdr:colOff>
      <xdr:row>861</xdr:row>
      <xdr:rowOff>145057</xdr:rowOff>
    </xdr:to>
    <xdr:pic>
      <xdr:nvPicPr>
        <xdr:cNvPr id="26" name="Imagem 25">
          <a:extLst>
            <a:ext uri="{FF2B5EF4-FFF2-40B4-BE49-F238E27FC236}">
              <a16:creationId xmlns:a16="http://schemas.microsoft.com/office/drawing/2014/main" id="{425F01BC-3F46-4873-8A89-5DF7B07F87F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386757" y="114498"/>
          <a:ext cx="1795718" cy="266502"/>
        </a:xfrm>
        <a:prstGeom prst="rect">
          <a:avLst/>
        </a:prstGeom>
      </xdr:spPr>
    </xdr:pic>
    <xdr:clientData/>
  </xdr:twoCellAnchor>
  <xdr:twoCellAnchor editAs="oneCell">
    <xdr:from>
      <xdr:col>12</xdr:col>
      <xdr:colOff>137857</xdr:colOff>
      <xdr:row>862</xdr:row>
      <xdr:rowOff>114498</xdr:rowOff>
    </xdr:from>
    <xdr:to>
      <xdr:col>13</xdr:col>
      <xdr:colOff>419099</xdr:colOff>
      <xdr:row>862</xdr:row>
      <xdr:rowOff>438150</xdr:rowOff>
    </xdr:to>
    <xdr:pic>
      <xdr:nvPicPr>
        <xdr:cNvPr id="27" name="Imagem 26">
          <a:extLst>
            <a:ext uri="{FF2B5EF4-FFF2-40B4-BE49-F238E27FC236}">
              <a16:creationId xmlns:a16="http://schemas.microsoft.com/office/drawing/2014/main" id="{B0853170-EFCF-4505-9BAD-0A94B75DD0C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15332" y="114498"/>
          <a:ext cx="1795718" cy="266502"/>
        </a:xfrm>
        <a:prstGeom prst="rect">
          <a:avLst/>
        </a:prstGeom>
      </xdr:spPr>
    </xdr:pic>
    <xdr:clientData/>
  </xdr:twoCellAnchor>
  <xdr:twoCellAnchor editAs="oneCell">
    <xdr:from>
      <xdr:col>12</xdr:col>
      <xdr:colOff>137857</xdr:colOff>
      <xdr:row>901</xdr:row>
      <xdr:rowOff>114498</xdr:rowOff>
    </xdr:from>
    <xdr:to>
      <xdr:col>13</xdr:col>
      <xdr:colOff>419099</xdr:colOff>
      <xdr:row>901</xdr:row>
      <xdr:rowOff>438150</xdr:rowOff>
    </xdr:to>
    <xdr:pic>
      <xdr:nvPicPr>
        <xdr:cNvPr id="28" name="Imagem 27">
          <a:extLst>
            <a:ext uri="{FF2B5EF4-FFF2-40B4-BE49-F238E27FC236}">
              <a16:creationId xmlns:a16="http://schemas.microsoft.com/office/drawing/2014/main" id="{0A1E7697-0057-447B-B4EA-FDCCB9F81ED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15332" y="114498"/>
          <a:ext cx="1795718" cy="266502"/>
        </a:xfrm>
        <a:prstGeom prst="rect">
          <a:avLst/>
        </a:prstGeom>
      </xdr:spPr>
    </xdr:pic>
    <xdr:clientData/>
  </xdr:twoCellAnchor>
  <xdr:twoCellAnchor editAs="oneCell">
    <xdr:from>
      <xdr:col>12</xdr:col>
      <xdr:colOff>137857</xdr:colOff>
      <xdr:row>942</xdr:row>
      <xdr:rowOff>114498</xdr:rowOff>
    </xdr:from>
    <xdr:to>
      <xdr:col>13</xdr:col>
      <xdr:colOff>419099</xdr:colOff>
      <xdr:row>942</xdr:row>
      <xdr:rowOff>438150</xdr:rowOff>
    </xdr:to>
    <xdr:pic>
      <xdr:nvPicPr>
        <xdr:cNvPr id="29" name="Imagem 28">
          <a:extLst>
            <a:ext uri="{FF2B5EF4-FFF2-40B4-BE49-F238E27FC236}">
              <a16:creationId xmlns:a16="http://schemas.microsoft.com/office/drawing/2014/main" id="{C33DCBE9-DD6E-4FFF-8241-A375A3FD1F9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15332" y="114498"/>
          <a:ext cx="1795718" cy="266502"/>
        </a:xfrm>
        <a:prstGeom prst="rect">
          <a:avLst/>
        </a:prstGeom>
      </xdr:spPr>
    </xdr:pic>
    <xdr:clientData/>
  </xdr:twoCellAnchor>
  <xdr:twoCellAnchor editAs="oneCell">
    <xdr:from>
      <xdr:col>12</xdr:col>
      <xdr:colOff>137857</xdr:colOff>
      <xdr:row>983</xdr:row>
      <xdr:rowOff>114498</xdr:rowOff>
    </xdr:from>
    <xdr:to>
      <xdr:col>13</xdr:col>
      <xdr:colOff>419099</xdr:colOff>
      <xdr:row>983</xdr:row>
      <xdr:rowOff>438150</xdr:rowOff>
    </xdr:to>
    <xdr:pic>
      <xdr:nvPicPr>
        <xdr:cNvPr id="30" name="Imagem 29">
          <a:extLst>
            <a:ext uri="{FF2B5EF4-FFF2-40B4-BE49-F238E27FC236}">
              <a16:creationId xmlns:a16="http://schemas.microsoft.com/office/drawing/2014/main" id="{51F6DEBA-E0BE-489E-AB80-039C7DDD444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15332" y="114498"/>
          <a:ext cx="1795718" cy="266502"/>
        </a:xfrm>
        <a:prstGeom prst="rect">
          <a:avLst/>
        </a:prstGeom>
      </xdr:spPr>
    </xdr:pic>
    <xdr:clientData/>
  </xdr:twoCellAnchor>
  <xdr:oneCellAnchor>
    <xdr:from>
      <xdr:col>12</xdr:col>
      <xdr:colOff>137857</xdr:colOff>
      <xdr:row>1024</xdr:row>
      <xdr:rowOff>114498</xdr:rowOff>
    </xdr:from>
    <xdr:ext cx="1793336" cy="323652"/>
    <xdr:pic>
      <xdr:nvPicPr>
        <xdr:cNvPr id="31" name="Imagem 30">
          <a:extLst>
            <a:ext uri="{FF2B5EF4-FFF2-40B4-BE49-F238E27FC236}">
              <a16:creationId xmlns:a16="http://schemas.microsoft.com/office/drawing/2014/main" id="{434E583E-C79F-4AF9-8139-FE5BDED81FF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365326" y="260647061"/>
          <a:ext cx="1793336" cy="323652"/>
        </a:xfrm>
        <a:prstGeom prst="rect">
          <a:avLst/>
        </a:prstGeom>
      </xdr:spPr>
    </xdr:pic>
    <xdr:clientData/>
  </xdr:oneCellAnchor>
  <xdr:oneCellAnchor>
    <xdr:from>
      <xdr:col>12</xdr:col>
      <xdr:colOff>137857</xdr:colOff>
      <xdr:row>1072</xdr:row>
      <xdr:rowOff>114498</xdr:rowOff>
    </xdr:from>
    <xdr:ext cx="1793336" cy="323652"/>
    <xdr:pic>
      <xdr:nvPicPr>
        <xdr:cNvPr id="32" name="Imagem 31">
          <a:extLst>
            <a:ext uri="{FF2B5EF4-FFF2-40B4-BE49-F238E27FC236}">
              <a16:creationId xmlns:a16="http://schemas.microsoft.com/office/drawing/2014/main" id="{96C023CE-6DE7-4E8E-99A3-D9CC470B8A1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365326" y="270410186"/>
          <a:ext cx="1793336" cy="323652"/>
        </a:xfrm>
        <a:prstGeom prst="rect">
          <a:avLst/>
        </a:prstGeom>
      </xdr:spPr>
    </xdr:pic>
    <xdr:clientData/>
  </xdr:oneCellAnchor>
  <xdr:oneCellAnchor>
    <xdr:from>
      <xdr:col>12</xdr:col>
      <xdr:colOff>137857</xdr:colOff>
      <xdr:row>1113</xdr:row>
      <xdr:rowOff>114498</xdr:rowOff>
    </xdr:from>
    <xdr:ext cx="1793336" cy="323652"/>
    <xdr:pic>
      <xdr:nvPicPr>
        <xdr:cNvPr id="34" name="Imagem 33">
          <a:extLst>
            <a:ext uri="{FF2B5EF4-FFF2-40B4-BE49-F238E27FC236}">
              <a16:creationId xmlns:a16="http://schemas.microsoft.com/office/drawing/2014/main" id="{2A99BDF9-3C56-446E-B7F8-81B463633B5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365326" y="281435373"/>
          <a:ext cx="1793336" cy="323652"/>
        </a:xfrm>
        <a:prstGeom prst="rect">
          <a:avLst/>
        </a:prstGeom>
      </xdr:spPr>
    </xdr:pic>
    <xdr:clientData/>
  </xdr:oneCellAnchor>
  <xdr:oneCellAnchor>
    <xdr:from>
      <xdr:col>12</xdr:col>
      <xdr:colOff>137857</xdr:colOff>
      <xdr:row>1153</xdr:row>
      <xdr:rowOff>114498</xdr:rowOff>
    </xdr:from>
    <xdr:ext cx="1793336" cy="323652"/>
    <xdr:pic>
      <xdr:nvPicPr>
        <xdr:cNvPr id="36" name="Imagem 35">
          <a:extLst>
            <a:ext uri="{FF2B5EF4-FFF2-40B4-BE49-F238E27FC236}">
              <a16:creationId xmlns:a16="http://schemas.microsoft.com/office/drawing/2014/main" id="{8D150F4E-46C9-4473-AB5E-AA90477E448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365326" y="281435373"/>
          <a:ext cx="1793336" cy="323652"/>
        </a:xfrm>
        <a:prstGeom prst="rect">
          <a:avLst/>
        </a:prstGeom>
      </xdr:spPr>
    </xdr:pic>
    <xdr:clientData/>
  </xdr:oneCellAnchor>
  <xdr:oneCellAnchor>
    <xdr:from>
      <xdr:col>12</xdr:col>
      <xdr:colOff>137857</xdr:colOff>
      <xdr:row>1194</xdr:row>
      <xdr:rowOff>114498</xdr:rowOff>
    </xdr:from>
    <xdr:ext cx="1793336" cy="323652"/>
    <xdr:pic>
      <xdr:nvPicPr>
        <xdr:cNvPr id="35" name="Imagem 34">
          <a:extLst>
            <a:ext uri="{FF2B5EF4-FFF2-40B4-BE49-F238E27FC236}">
              <a16:creationId xmlns:a16="http://schemas.microsoft.com/office/drawing/2014/main" id="{964CA194-B4E5-4AE9-87FD-C956DD5B3ED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365326" y="293436873"/>
          <a:ext cx="1793336" cy="323652"/>
        </a:xfrm>
        <a:prstGeom prst="rect">
          <a:avLst/>
        </a:prstGeom>
      </xdr:spPr>
    </xdr:pic>
    <xdr:clientData/>
  </xdr:oneCellAnchor>
  <xdr:oneCellAnchor>
    <xdr:from>
      <xdr:col>12</xdr:col>
      <xdr:colOff>137857</xdr:colOff>
      <xdr:row>1239</xdr:row>
      <xdr:rowOff>114498</xdr:rowOff>
    </xdr:from>
    <xdr:ext cx="1793336" cy="323652"/>
    <xdr:pic>
      <xdr:nvPicPr>
        <xdr:cNvPr id="38" name="Imagem 37">
          <a:extLst>
            <a:ext uri="{FF2B5EF4-FFF2-40B4-BE49-F238E27FC236}">
              <a16:creationId xmlns:a16="http://schemas.microsoft.com/office/drawing/2014/main" id="{803F2C1D-8B60-4C39-A844-BF3B499148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365326" y="304200123"/>
          <a:ext cx="1793336" cy="323652"/>
        </a:xfrm>
        <a:prstGeom prst="rect">
          <a:avLst/>
        </a:prstGeom>
      </xdr:spPr>
    </xdr:pic>
    <xdr:clientData/>
  </xdr:oneCellAnchor>
  <xdr:oneCellAnchor>
    <xdr:from>
      <xdr:col>12</xdr:col>
      <xdr:colOff>137857</xdr:colOff>
      <xdr:row>1277</xdr:row>
      <xdr:rowOff>114498</xdr:rowOff>
    </xdr:from>
    <xdr:ext cx="1793336" cy="323652"/>
    <xdr:pic>
      <xdr:nvPicPr>
        <xdr:cNvPr id="37" name="Imagem 36">
          <a:extLst>
            <a:ext uri="{FF2B5EF4-FFF2-40B4-BE49-F238E27FC236}">
              <a16:creationId xmlns:a16="http://schemas.microsoft.com/office/drawing/2014/main" id="{04AFEA15-2C10-4230-BB2F-475CA306C96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365326" y="314987186"/>
          <a:ext cx="1793336" cy="323652"/>
        </a:xfrm>
        <a:prstGeom prst="rect">
          <a:avLst/>
        </a:prstGeom>
      </xdr:spPr>
    </xdr:pic>
    <xdr:clientData/>
  </xdr:oneCellAnchor>
  <xdr:oneCellAnchor>
    <xdr:from>
      <xdr:col>12</xdr:col>
      <xdr:colOff>137857</xdr:colOff>
      <xdr:row>1318</xdr:row>
      <xdr:rowOff>114498</xdr:rowOff>
    </xdr:from>
    <xdr:ext cx="1793336" cy="323652"/>
    <xdr:pic>
      <xdr:nvPicPr>
        <xdr:cNvPr id="39" name="Imagem 38">
          <a:extLst>
            <a:ext uri="{FF2B5EF4-FFF2-40B4-BE49-F238E27FC236}">
              <a16:creationId xmlns:a16="http://schemas.microsoft.com/office/drawing/2014/main" id="{62A9158E-0BF8-4599-9E98-1535E08FF49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377232" y="313105998"/>
          <a:ext cx="1793336" cy="323652"/>
        </a:xfrm>
        <a:prstGeom prst="rect">
          <a:avLst/>
        </a:prstGeom>
      </xdr:spPr>
    </xdr:pic>
    <xdr:clientData/>
  </xdr:oneCellAnchor>
  <xdr:oneCellAnchor>
    <xdr:from>
      <xdr:col>12</xdr:col>
      <xdr:colOff>137857</xdr:colOff>
      <xdr:row>1358</xdr:row>
      <xdr:rowOff>114498</xdr:rowOff>
    </xdr:from>
    <xdr:ext cx="1793336" cy="323652"/>
    <xdr:pic>
      <xdr:nvPicPr>
        <xdr:cNvPr id="40" name="Imagem 39">
          <a:extLst>
            <a:ext uri="{FF2B5EF4-FFF2-40B4-BE49-F238E27FC236}">
              <a16:creationId xmlns:a16="http://schemas.microsoft.com/office/drawing/2014/main" id="{7F7C9A13-17E5-4FC1-936F-41886EDA1A2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365326" y="335608811"/>
          <a:ext cx="1793336" cy="323652"/>
        </a:xfrm>
        <a:prstGeom prst="rect">
          <a:avLst/>
        </a:prstGeom>
      </xdr:spPr>
    </xdr:pic>
    <xdr:clientData/>
  </xdr:oneCellAnchor>
  <xdr:oneCellAnchor>
    <xdr:from>
      <xdr:col>12</xdr:col>
      <xdr:colOff>137857</xdr:colOff>
      <xdr:row>1397</xdr:row>
      <xdr:rowOff>114498</xdr:rowOff>
    </xdr:from>
    <xdr:ext cx="1793336" cy="323652"/>
    <xdr:pic>
      <xdr:nvPicPr>
        <xdr:cNvPr id="41" name="Imagem 40">
          <a:extLst>
            <a:ext uri="{FF2B5EF4-FFF2-40B4-BE49-F238E27FC236}">
              <a16:creationId xmlns:a16="http://schemas.microsoft.com/office/drawing/2014/main" id="{7C69E49F-E1A7-499A-A44C-9245E9C005E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377232" y="351167898"/>
          <a:ext cx="1793336" cy="323652"/>
        </a:xfrm>
        <a:prstGeom prst="rect">
          <a:avLst/>
        </a:prstGeom>
      </xdr:spPr>
    </xdr:pic>
    <xdr:clientData/>
  </xdr:oneCellAnchor>
  <xdr:oneCellAnchor>
    <xdr:from>
      <xdr:col>12</xdr:col>
      <xdr:colOff>137857</xdr:colOff>
      <xdr:row>1438</xdr:row>
      <xdr:rowOff>114498</xdr:rowOff>
    </xdr:from>
    <xdr:ext cx="1793336" cy="323652"/>
    <xdr:pic>
      <xdr:nvPicPr>
        <xdr:cNvPr id="42" name="Imagem 41">
          <a:extLst>
            <a:ext uri="{FF2B5EF4-FFF2-40B4-BE49-F238E27FC236}">
              <a16:creationId xmlns:a16="http://schemas.microsoft.com/office/drawing/2014/main" id="{29A089EA-C185-47C9-91C5-98E016A2C02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365326" y="335739779"/>
          <a:ext cx="1793336" cy="323652"/>
        </a:xfrm>
        <a:prstGeom prst="rect">
          <a:avLst/>
        </a:prstGeom>
      </xdr:spPr>
    </xdr:pic>
    <xdr:clientData/>
  </xdr:oneCellAnchor>
  <xdr:oneCellAnchor>
    <xdr:from>
      <xdr:col>12</xdr:col>
      <xdr:colOff>137857</xdr:colOff>
      <xdr:row>1477</xdr:row>
      <xdr:rowOff>114498</xdr:rowOff>
    </xdr:from>
    <xdr:ext cx="1793336" cy="323652"/>
    <xdr:pic>
      <xdr:nvPicPr>
        <xdr:cNvPr id="43" name="Imagem 42">
          <a:extLst>
            <a:ext uri="{FF2B5EF4-FFF2-40B4-BE49-F238E27FC236}">
              <a16:creationId xmlns:a16="http://schemas.microsoft.com/office/drawing/2014/main" id="{9B894D65-0AA3-4F90-9409-4AB4A86797D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377232" y="351977523"/>
          <a:ext cx="1793336" cy="323652"/>
        </a:xfrm>
        <a:prstGeom prst="rect">
          <a:avLst/>
        </a:prstGeom>
      </xdr:spPr>
    </xdr:pic>
    <xdr:clientData/>
  </xdr:oneCellAnchor>
  <xdr:oneCellAnchor>
    <xdr:from>
      <xdr:col>12</xdr:col>
      <xdr:colOff>137857</xdr:colOff>
      <xdr:row>1477</xdr:row>
      <xdr:rowOff>114498</xdr:rowOff>
    </xdr:from>
    <xdr:ext cx="1793336" cy="323652"/>
    <xdr:pic>
      <xdr:nvPicPr>
        <xdr:cNvPr id="44" name="Imagem 43">
          <a:extLst>
            <a:ext uri="{FF2B5EF4-FFF2-40B4-BE49-F238E27FC236}">
              <a16:creationId xmlns:a16="http://schemas.microsoft.com/office/drawing/2014/main" id="{E1CC20FA-9069-4AE5-9578-B7C02D4A1E6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377232" y="351977523"/>
          <a:ext cx="1793336" cy="323652"/>
        </a:xfrm>
        <a:prstGeom prst="rect">
          <a:avLst/>
        </a:prstGeom>
      </xdr:spPr>
    </xdr:pic>
    <xdr:clientData/>
  </xdr:oneCellAnchor>
  <xdr:oneCellAnchor>
    <xdr:from>
      <xdr:col>12</xdr:col>
      <xdr:colOff>137857</xdr:colOff>
      <xdr:row>1518</xdr:row>
      <xdr:rowOff>114498</xdr:rowOff>
    </xdr:from>
    <xdr:ext cx="1793336" cy="323652"/>
    <xdr:pic>
      <xdr:nvPicPr>
        <xdr:cNvPr id="45" name="Imagem 44">
          <a:extLst>
            <a:ext uri="{FF2B5EF4-FFF2-40B4-BE49-F238E27FC236}">
              <a16:creationId xmlns:a16="http://schemas.microsoft.com/office/drawing/2014/main" id="{A449CA22-6866-4174-BA8D-57CAC819C4A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377232" y="379304748"/>
          <a:ext cx="1793336" cy="323652"/>
        </a:xfrm>
        <a:prstGeom prst="rect">
          <a:avLst/>
        </a:prstGeom>
      </xdr:spPr>
    </xdr:pic>
    <xdr:clientData/>
  </xdr:oneCellAnchor>
  <xdr:oneCellAnchor>
    <xdr:from>
      <xdr:col>12</xdr:col>
      <xdr:colOff>137857</xdr:colOff>
      <xdr:row>1518</xdr:row>
      <xdr:rowOff>114498</xdr:rowOff>
    </xdr:from>
    <xdr:ext cx="1793336" cy="323652"/>
    <xdr:pic>
      <xdr:nvPicPr>
        <xdr:cNvPr id="46" name="Imagem 45">
          <a:extLst>
            <a:ext uri="{FF2B5EF4-FFF2-40B4-BE49-F238E27FC236}">
              <a16:creationId xmlns:a16="http://schemas.microsoft.com/office/drawing/2014/main" id="{8D0A835E-2AD2-4B25-9385-F15534D0378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377232" y="379304748"/>
          <a:ext cx="1793336" cy="323652"/>
        </a:xfrm>
        <a:prstGeom prst="rect">
          <a:avLst/>
        </a:prstGeom>
      </xdr:spPr>
    </xdr:pic>
    <xdr:clientData/>
  </xdr:oneCellAnchor>
  <xdr:twoCellAnchor editAs="oneCell">
    <xdr:from>
      <xdr:col>2</xdr:col>
      <xdr:colOff>335280</xdr:colOff>
      <xdr:row>1561</xdr:row>
      <xdr:rowOff>198120</xdr:rowOff>
    </xdr:from>
    <xdr:to>
      <xdr:col>4</xdr:col>
      <xdr:colOff>1356360</xdr:colOff>
      <xdr:row>1564</xdr:row>
      <xdr:rowOff>190500</xdr:rowOff>
    </xdr:to>
    <xdr:pic>
      <xdr:nvPicPr>
        <xdr:cNvPr id="47" name="Imagem 46">
          <a:extLst>
            <a:ext uri="{FF2B5EF4-FFF2-40B4-BE49-F238E27FC236}">
              <a16:creationId xmlns:a16="http://schemas.microsoft.com/office/drawing/2014/main" id="{67E5E36D-4150-4C20-9E33-227A3E563BF5}"/>
            </a:ext>
          </a:extLst>
        </xdr:cNvPr>
        <xdr:cNvPicPr>
          <a:picLocks noChangeAspect="1"/>
        </xdr:cNvPicPr>
      </xdr:nvPicPr>
      <xdr:blipFill>
        <a:blip xmlns:r="http://schemas.openxmlformats.org/officeDocument/2006/relationships" r:embed="rId2"/>
        <a:stretch>
          <a:fillRect/>
        </a:stretch>
      </xdr:blipFill>
      <xdr:spPr>
        <a:xfrm>
          <a:off x="1767840" y="409582620"/>
          <a:ext cx="2727960" cy="6096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1089660</xdr:colOff>
      <xdr:row>148</xdr:row>
      <xdr:rowOff>144780</xdr:rowOff>
    </xdr:from>
    <xdr:to>
      <xdr:col>2</xdr:col>
      <xdr:colOff>899160</xdr:colOff>
      <xdr:row>151</xdr:row>
      <xdr:rowOff>121920</xdr:rowOff>
    </xdr:to>
    <xdr:pic>
      <xdr:nvPicPr>
        <xdr:cNvPr id="2" name="Imagem 1">
          <a:extLst>
            <a:ext uri="{FF2B5EF4-FFF2-40B4-BE49-F238E27FC236}">
              <a16:creationId xmlns:a16="http://schemas.microsoft.com/office/drawing/2014/main" id="{41E6AC7E-2C12-473D-8E5A-8DD0A8D83DD3}"/>
            </a:ext>
          </a:extLst>
        </xdr:cNvPr>
        <xdr:cNvPicPr>
          <a:picLocks noChangeAspect="1"/>
        </xdr:cNvPicPr>
      </xdr:nvPicPr>
      <xdr:blipFill>
        <a:blip xmlns:r="http://schemas.openxmlformats.org/officeDocument/2006/relationships" r:embed="rId1"/>
        <a:stretch>
          <a:fillRect/>
        </a:stretch>
      </xdr:blipFill>
      <xdr:spPr>
        <a:xfrm>
          <a:off x="1714500" y="33246060"/>
          <a:ext cx="2438400" cy="59436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563880</xdr:colOff>
      <xdr:row>0</xdr:row>
      <xdr:rowOff>77888</xdr:rowOff>
    </xdr:from>
    <xdr:to>
      <xdr:col>7</xdr:col>
      <xdr:colOff>1053465</xdr:colOff>
      <xdr:row>0</xdr:row>
      <xdr:rowOff>579120</xdr:rowOff>
    </xdr:to>
    <xdr:pic>
      <xdr:nvPicPr>
        <xdr:cNvPr id="5" name="Imagem 4">
          <a:extLst>
            <a:ext uri="{FF2B5EF4-FFF2-40B4-BE49-F238E27FC236}">
              <a16:creationId xmlns:a16="http://schemas.microsoft.com/office/drawing/2014/main" id="{8505470F-85E3-48F6-92E1-9042F826739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452360" y="77888"/>
          <a:ext cx="2272665" cy="501232"/>
        </a:xfrm>
        <a:prstGeom prst="rect">
          <a:avLst/>
        </a:prstGeom>
      </xdr:spPr>
    </xdr:pic>
    <xdr:clientData/>
  </xdr:twoCellAnchor>
  <xdr:twoCellAnchor editAs="oneCell">
    <xdr:from>
      <xdr:col>0</xdr:col>
      <xdr:colOff>34015</xdr:colOff>
      <xdr:row>0</xdr:row>
      <xdr:rowOff>47625</xdr:rowOff>
    </xdr:from>
    <xdr:to>
      <xdr:col>1</xdr:col>
      <xdr:colOff>868680</xdr:colOff>
      <xdr:row>0</xdr:row>
      <xdr:rowOff>624840</xdr:rowOff>
    </xdr:to>
    <xdr:pic>
      <xdr:nvPicPr>
        <xdr:cNvPr id="6" name="Imagem 5">
          <a:extLst>
            <a:ext uri="{FF2B5EF4-FFF2-40B4-BE49-F238E27FC236}">
              <a16:creationId xmlns:a16="http://schemas.microsoft.com/office/drawing/2014/main" id="{F3321E40-6185-4ABD-8A82-92AE2C94505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015" y="47625"/>
          <a:ext cx="1444265" cy="577215"/>
        </a:xfrm>
        <a:prstGeom prst="rect">
          <a:avLst/>
        </a:prstGeom>
        <a:noFill/>
        <a:ln>
          <a:noFill/>
        </a:ln>
      </xdr:spPr>
    </xdr:pic>
    <xdr:clientData/>
  </xdr:twoCellAnchor>
  <xdr:twoCellAnchor editAs="oneCell">
    <xdr:from>
      <xdr:col>3</xdr:col>
      <xdr:colOff>807720</xdr:colOff>
      <xdr:row>239</xdr:row>
      <xdr:rowOff>152400</xdr:rowOff>
    </xdr:from>
    <xdr:to>
      <xdr:col>3</xdr:col>
      <xdr:colOff>3185160</xdr:colOff>
      <xdr:row>242</xdr:row>
      <xdr:rowOff>0</xdr:rowOff>
    </xdr:to>
    <xdr:pic>
      <xdr:nvPicPr>
        <xdr:cNvPr id="12" name="Imagem 11">
          <a:extLst>
            <a:ext uri="{FF2B5EF4-FFF2-40B4-BE49-F238E27FC236}">
              <a16:creationId xmlns:a16="http://schemas.microsoft.com/office/drawing/2014/main" id="{05E5D3C8-88DD-45B2-8454-6431DA782E7A}"/>
            </a:ext>
          </a:extLst>
        </xdr:cNvPr>
        <xdr:cNvPicPr>
          <a:picLocks noChangeAspect="1"/>
        </xdr:cNvPicPr>
      </xdr:nvPicPr>
      <xdr:blipFill>
        <a:blip xmlns:r="http://schemas.openxmlformats.org/officeDocument/2006/relationships" r:embed="rId3"/>
        <a:stretch>
          <a:fillRect/>
        </a:stretch>
      </xdr:blipFill>
      <xdr:spPr>
        <a:xfrm>
          <a:off x="3383280" y="118521480"/>
          <a:ext cx="2377440" cy="46482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578427</xdr:colOff>
      <xdr:row>180</xdr:row>
      <xdr:rowOff>95251</xdr:rowOff>
    </xdr:from>
    <xdr:to>
      <xdr:col>3</xdr:col>
      <xdr:colOff>142875</xdr:colOff>
      <xdr:row>184</xdr:row>
      <xdr:rowOff>155819</xdr:rowOff>
    </xdr:to>
    <xdr:pic>
      <xdr:nvPicPr>
        <xdr:cNvPr id="2" name="Imagem 1">
          <a:extLst>
            <a:ext uri="{FF2B5EF4-FFF2-40B4-BE49-F238E27FC236}">
              <a16:creationId xmlns:a16="http://schemas.microsoft.com/office/drawing/2014/main" id="{6FD7464E-1B3E-4F15-9854-C0BF2C5A55D2}"/>
            </a:ext>
          </a:extLst>
        </xdr:cNvPr>
        <xdr:cNvPicPr>
          <a:picLocks noChangeAspect="1"/>
        </xdr:cNvPicPr>
      </xdr:nvPicPr>
      <xdr:blipFill>
        <a:blip xmlns:r="http://schemas.openxmlformats.org/officeDocument/2006/relationships" r:embed="rId1"/>
        <a:stretch>
          <a:fillRect/>
        </a:stretch>
      </xdr:blipFill>
      <xdr:spPr>
        <a:xfrm>
          <a:off x="578427" y="77523976"/>
          <a:ext cx="2031423" cy="974968"/>
        </a:xfrm>
        <a:prstGeom prst="rect">
          <a:avLst/>
        </a:prstGeom>
      </xdr:spPr>
    </xdr:pic>
    <xdr:clientData/>
  </xdr:twoCellAnchor>
  <xdr:twoCellAnchor editAs="oneCell">
    <xdr:from>
      <xdr:col>6</xdr:col>
      <xdr:colOff>314325</xdr:colOff>
      <xdr:row>0</xdr:row>
      <xdr:rowOff>95250</xdr:rowOff>
    </xdr:from>
    <xdr:to>
      <xdr:col>8</xdr:col>
      <xdr:colOff>954327</xdr:colOff>
      <xdr:row>0</xdr:row>
      <xdr:rowOff>590514</xdr:rowOff>
    </xdr:to>
    <xdr:pic>
      <xdr:nvPicPr>
        <xdr:cNvPr id="3" name="Imagem 2">
          <a:extLst>
            <a:ext uri="{FF2B5EF4-FFF2-40B4-BE49-F238E27FC236}">
              <a16:creationId xmlns:a16="http://schemas.microsoft.com/office/drawing/2014/main" id="{9B74400D-B525-4663-9DCF-7C63EBC24CE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705725" y="95250"/>
          <a:ext cx="2539807" cy="495264"/>
        </a:xfrm>
        <a:prstGeom prst="rect">
          <a:avLst/>
        </a:prstGeom>
      </xdr:spPr>
    </xdr:pic>
    <xdr:clientData/>
  </xdr:twoCellAnchor>
  <xdr:twoCellAnchor editAs="oneCell">
    <xdr:from>
      <xdr:col>0</xdr:col>
      <xdr:colOff>76200</xdr:colOff>
      <xdr:row>0</xdr:row>
      <xdr:rowOff>47625</xdr:rowOff>
    </xdr:from>
    <xdr:to>
      <xdr:col>1</xdr:col>
      <xdr:colOff>663388</xdr:colOff>
      <xdr:row>0</xdr:row>
      <xdr:rowOff>685800</xdr:rowOff>
    </xdr:to>
    <xdr:pic>
      <xdr:nvPicPr>
        <xdr:cNvPr id="5" name="Imagem 4">
          <a:extLst>
            <a:ext uri="{FF2B5EF4-FFF2-40B4-BE49-F238E27FC236}">
              <a16:creationId xmlns:a16="http://schemas.microsoft.com/office/drawing/2014/main" id="{A6F4F423-F5BB-4DBA-BF26-B9B359912CF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6200" y="47625"/>
          <a:ext cx="1177738" cy="638175"/>
        </a:xfrm>
        <a:prstGeom prst="rect">
          <a:avLst/>
        </a:prstGeom>
        <a:noFill/>
        <a:ln>
          <a:noFill/>
        </a:ln>
      </xdr:spPr>
    </xdr:pic>
    <xdr:clientData/>
  </xdr:twoCellAnchor>
  <xdr:twoCellAnchor editAs="oneCell">
    <xdr:from>
      <xdr:col>3</xdr:col>
      <xdr:colOff>693420</xdr:colOff>
      <xdr:row>183</xdr:row>
      <xdr:rowOff>129540</xdr:rowOff>
    </xdr:from>
    <xdr:to>
      <xdr:col>3</xdr:col>
      <xdr:colOff>3070860</xdr:colOff>
      <xdr:row>185</xdr:row>
      <xdr:rowOff>167640</xdr:rowOff>
    </xdr:to>
    <xdr:pic>
      <xdr:nvPicPr>
        <xdr:cNvPr id="7" name="Imagem 6">
          <a:extLst>
            <a:ext uri="{FF2B5EF4-FFF2-40B4-BE49-F238E27FC236}">
              <a16:creationId xmlns:a16="http://schemas.microsoft.com/office/drawing/2014/main" id="{F9863FFF-CF5C-4B53-8100-14D4F601D117}"/>
            </a:ext>
          </a:extLst>
        </xdr:cNvPr>
        <xdr:cNvPicPr>
          <a:picLocks noChangeAspect="1"/>
        </xdr:cNvPicPr>
      </xdr:nvPicPr>
      <xdr:blipFill>
        <a:blip xmlns:r="http://schemas.openxmlformats.org/officeDocument/2006/relationships" r:embed="rId4"/>
        <a:stretch>
          <a:fillRect/>
        </a:stretch>
      </xdr:blipFill>
      <xdr:spPr>
        <a:xfrm>
          <a:off x="3230880" y="81534000"/>
          <a:ext cx="2377440" cy="46482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6</xdr:col>
      <xdr:colOff>2721429</xdr:colOff>
      <xdr:row>0</xdr:row>
      <xdr:rowOff>176893</xdr:rowOff>
    </xdr:from>
    <xdr:to>
      <xdr:col>7</xdr:col>
      <xdr:colOff>2102473</xdr:colOff>
      <xdr:row>0</xdr:row>
      <xdr:rowOff>1034142</xdr:rowOff>
    </xdr:to>
    <xdr:pic>
      <xdr:nvPicPr>
        <xdr:cNvPr id="3" name="Imagem 2">
          <a:extLst>
            <a:ext uri="{FF2B5EF4-FFF2-40B4-BE49-F238E27FC236}">
              <a16:creationId xmlns:a16="http://schemas.microsoft.com/office/drawing/2014/main" id="{75308444-0CCB-4774-8215-894C6008866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323004" y="176893"/>
          <a:ext cx="4381669" cy="857249"/>
        </a:xfrm>
        <a:prstGeom prst="rect">
          <a:avLst/>
        </a:prstGeom>
      </xdr:spPr>
    </xdr:pic>
    <xdr:clientData/>
  </xdr:twoCellAnchor>
  <xdr:twoCellAnchor editAs="oneCell">
    <xdr:from>
      <xdr:col>0</xdr:col>
      <xdr:colOff>85724</xdr:colOff>
      <xdr:row>0</xdr:row>
      <xdr:rowOff>66674</xdr:rowOff>
    </xdr:from>
    <xdr:to>
      <xdr:col>1</xdr:col>
      <xdr:colOff>1086652</xdr:colOff>
      <xdr:row>0</xdr:row>
      <xdr:rowOff>1047749</xdr:rowOff>
    </xdr:to>
    <xdr:pic>
      <xdr:nvPicPr>
        <xdr:cNvPr id="4" name="Imagem 3">
          <a:extLst>
            <a:ext uri="{FF2B5EF4-FFF2-40B4-BE49-F238E27FC236}">
              <a16:creationId xmlns:a16="http://schemas.microsoft.com/office/drawing/2014/main" id="{7157E220-3299-4E34-824F-3AA34ACBFB5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5724" y="66674"/>
          <a:ext cx="1810553" cy="981075"/>
        </a:xfrm>
        <a:prstGeom prst="rect">
          <a:avLst/>
        </a:prstGeom>
        <a:noFill/>
        <a:ln>
          <a:noFill/>
        </a:ln>
      </xdr:spPr>
    </xdr:pic>
    <xdr:clientData/>
  </xdr:twoCellAnchor>
  <xdr:twoCellAnchor editAs="oneCell">
    <xdr:from>
      <xdr:col>3</xdr:col>
      <xdr:colOff>1352550</xdr:colOff>
      <xdr:row>233</xdr:row>
      <xdr:rowOff>114300</xdr:rowOff>
    </xdr:from>
    <xdr:to>
      <xdr:col>3</xdr:col>
      <xdr:colOff>3729990</xdr:colOff>
      <xdr:row>235</xdr:row>
      <xdr:rowOff>160020</xdr:rowOff>
    </xdr:to>
    <xdr:pic>
      <xdr:nvPicPr>
        <xdr:cNvPr id="5" name="Imagem 4">
          <a:extLst>
            <a:ext uri="{FF2B5EF4-FFF2-40B4-BE49-F238E27FC236}">
              <a16:creationId xmlns:a16="http://schemas.microsoft.com/office/drawing/2014/main" id="{C455436F-6671-4823-86E1-3EA3AD3DE121}"/>
            </a:ext>
          </a:extLst>
        </xdr:cNvPr>
        <xdr:cNvPicPr>
          <a:picLocks noChangeAspect="1"/>
        </xdr:cNvPicPr>
      </xdr:nvPicPr>
      <xdr:blipFill>
        <a:blip xmlns:r="http://schemas.openxmlformats.org/officeDocument/2006/relationships" r:embed="rId3"/>
        <a:stretch>
          <a:fillRect/>
        </a:stretch>
      </xdr:blipFill>
      <xdr:spPr>
        <a:xfrm>
          <a:off x="6210300" y="80086200"/>
          <a:ext cx="2377440" cy="46482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l-server\America%20Latina%20Engenharia\ALEGRE\2014\ARIE\Planilha%20Terminal%20Rodovi&#225;rio%20de%20Alegre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LIENTES/SEDURB-PI&#218;MA/02%20-%20PROJETO/4%20-%20Or&#231;amento/ORC_QUIOSQUE_PI&#218;MA%202022030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LIENTES/IRUPI/CONTRATO%20087-2021/02%20-%20PROJETO/02%20-%20Arena%20Irupi/02%20-%20PROJETO/3%20-%20Or&#231;amento/ORC-ARENA_IRUPI-AL-0.1-2022020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CLIENTES/SEDURB-PI&#218;MA/02%20-%20PROJETO/08%20-%20Or&#231;amento/2&#170;%20REVIS&#195;O/OR&#199;AMENTO%20GERAL%20-%20TRECHO%2001%20-%202022041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CLIENTES/SEDURB-PI&#218;MA/02%20-%20PROJETO/4%20-%20Or&#231;amento/OR&#199;AMENTO%20GERAL%20-%20QUIOSQUE%20-%202022031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CLIENTES/SEDURB-PI&#218;MA/02%20-%20PROJETO/08%20-%20Or&#231;amento/3&#170;%20REVIS&#195;O/TRECHO%2001/OR&#199;AMENTO%20GERAL%20-%20TRECHO%2001%20-%20202204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ÇOS"/>
      <sheetName val="MEMÓRIA"/>
      <sheetName val="CRONOGRAMA"/>
    </sheetNames>
    <sheetDataSet>
      <sheetData sheetId="0" refreshError="1">
        <row r="6">
          <cell r="E6" t="str">
            <v>DESCRIÇÃO</v>
          </cell>
        </row>
      </sheetData>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I"/>
      <sheetName val="DER-RD"/>
      <sheetName val="DER-ED"/>
      <sheetName val="Resumo"/>
      <sheetName val="SINAPI"/>
      <sheetName val="Insumos"/>
      <sheetName val="Planilha"/>
      <sheetName val="Memória"/>
      <sheetName val="QTD AÇO"/>
      <sheetName val="COMPOSIÇÕES"/>
      <sheetName val="Composições antigas"/>
    </sheetNames>
    <sheetDataSet>
      <sheetData sheetId="0">
        <row r="3">
          <cell r="B3" t="str">
            <v>SECRETARIA DE ESTADO DE SANEAMENTO, HABITAÇÃO E DESENVOLVIMENTO URBANO</v>
          </cell>
        </row>
      </sheetData>
      <sheetData sheetId="1">
        <row r="1">
          <cell r="A1" t="str">
            <v>Cód. Padrão</v>
          </cell>
          <cell r="B1" t="str">
            <v>Descrição do serviço</v>
          </cell>
          <cell r="C1" t="str">
            <v>Unidade</v>
          </cell>
          <cell r="D1" t="str">
            <v>Preço unitário</v>
          </cell>
          <cell r="E1" t="str">
            <v>Preço unitário S/ BDI</v>
          </cell>
          <cell r="F1" t="str">
            <v>Transporte</v>
          </cell>
        </row>
        <row r="2">
          <cell r="A2">
            <v>43339</v>
          </cell>
          <cell r="B2" t="str">
            <v>Capina manual, inclusive limpeza</v>
          </cell>
          <cell r="C2" t="str">
            <v>M2</v>
          </cell>
          <cell r="D2">
            <v>0.77</v>
          </cell>
          <cell r="E2">
            <v>0.63</v>
          </cell>
          <cell r="F2" t="str">
            <v xml:space="preserve"> </v>
          </cell>
        </row>
        <row r="3">
          <cell r="A3">
            <v>41099</v>
          </cell>
          <cell r="B3" t="str">
            <v>Carga de escoria de aciaria de vagão ferroviário supervisionado</v>
          </cell>
          <cell r="C3" t="str">
            <v>M3</v>
          </cell>
          <cell r="D3">
            <v>7.09</v>
          </cell>
          <cell r="E3">
            <v>5.75</v>
          </cell>
          <cell r="F3" t="str">
            <v xml:space="preserve"> </v>
          </cell>
        </row>
        <row r="4">
          <cell r="A4">
            <v>40224</v>
          </cell>
          <cell r="B4" t="str">
            <v>Carga de material de 1ª categoria</v>
          </cell>
          <cell r="C4" t="str">
            <v>M3</v>
          </cell>
          <cell r="D4">
            <v>3.67</v>
          </cell>
          <cell r="E4">
            <v>2.98</v>
          </cell>
          <cell r="F4" t="str">
            <v xml:space="preserve"> </v>
          </cell>
        </row>
        <row r="5">
          <cell r="A5">
            <v>40225</v>
          </cell>
          <cell r="B5" t="str">
            <v>Carga de material de 2ª categoria (solo, areia, brita, excl. rocha escavada)</v>
          </cell>
          <cell r="C5" t="str">
            <v>M3</v>
          </cell>
          <cell r="D5">
            <v>4.74</v>
          </cell>
          <cell r="E5">
            <v>3.85</v>
          </cell>
          <cell r="F5" t="str">
            <v xml:space="preserve"> </v>
          </cell>
        </row>
        <row r="6">
          <cell r="A6">
            <v>40226</v>
          </cell>
          <cell r="B6" t="str">
            <v>Carga de material de 3ª categoria (rocha)</v>
          </cell>
          <cell r="C6" t="str">
            <v>M3</v>
          </cell>
          <cell r="D6">
            <v>7.09</v>
          </cell>
          <cell r="E6">
            <v>5.75</v>
          </cell>
          <cell r="F6" t="str">
            <v xml:space="preserve"> </v>
          </cell>
        </row>
        <row r="7">
          <cell r="A7">
            <v>40229</v>
          </cell>
          <cell r="B7" t="str">
            <v>Compactação de aterros em rocha</v>
          </cell>
          <cell r="C7" t="str">
            <v>M3</v>
          </cell>
          <cell r="D7">
            <v>7.36</v>
          </cell>
          <cell r="E7">
            <v>5.97</v>
          </cell>
          <cell r="F7" t="str">
            <v xml:space="preserve"> </v>
          </cell>
        </row>
        <row r="8">
          <cell r="A8">
            <v>43340</v>
          </cell>
          <cell r="B8" t="str">
            <v>Compactação de aterros 100% P.I.</v>
          </cell>
          <cell r="C8" t="str">
            <v>M3</v>
          </cell>
          <cell r="D8">
            <v>7.63</v>
          </cell>
          <cell r="E8">
            <v>6.19</v>
          </cell>
          <cell r="F8" t="str">
            <v xml:space="preserve"> </v>
          </cell>
        </row>
        <row r="9">
          <cell r="A9">
            <v>40228</v>
          </cell>
          <cell r="B9" t="str">
            <v>Compactação de aterros 100% PN</v>
          </cell>
          <cell r="C9" t="str">
            <v>M3</v>
          </cell>
          <cell r="D9">
            <v>5.91</v>
          </cell>
          <cell r="E9">
            <v>4.8</v>
          </cell>
          <cell r="F9" t="str">
            <v xml:space="preserve"> </v>
          </cell>
        </row>
        <row r="10">
          <cell r="A10">
            <v>42227</v>
          </cell>
          <cell r="B10" t="str">
            <v>Decapagem de pedreira, 1ª categoria, com escavadeira</v>
          </cell>
          <cell r="C10" t="str">
            <v>M3</v>
          </cell>
          <cell r="D10">
            <v>5.59</v>
          </cell>
          <cell r="E10">
            <v>4.54</v>
          </cell>
          <cell r="F10" t="str">
            <v xml:space="preserve"> </v>
          </cell>
        </row>
        <row r="11">
          <cell r="A11">
            <v>40994</v>
          </cell>
          <cell r="B11" t="str">
            <v>Decapagem de pedreira, 1ª categoria, com trator de esteiras</v>
          </cell>
          <cell r="C11" t="str">
            <v>M3</v>
          </cell>
          <cell r="D11">
            <v>6.37</v>
          </cell>
          <cell r="E11">
            <v>5.17</v>
          </cell>
          <cell r="F11" t="str">
            <v xml:space="preserve"> </v>
          </cell>
        </row>
        <row r="12">
          <cell r="A12">
            <v>42940</v>
          </cell>
          <cell r="B12" t="str">
            <v>Demolição de material de 3ª categoria com fio diamantado</v>
          </cell>
          <cell r="C12" t="str">
            <v>m³</v>
          </cell>
          <cell r="D12">
            <v>280.47000000000003</v>
          </cell>
          <cell r="E12">
            <v>227.44</v>
          </cell>
          <cell r="F12" t="str">
            <v xml:space="preserve"> </v>
          </cell>
        </row>
        <row r="13">
          <cell r="A13">
            <v>41047</v>
          </cell>
          <cell r="B13" t="str">
            <v>Demolição de rocha a frio, até altura de 3,0m, com argamassa expansiva, inclusive remoção com escavadeira</v>
          </cell>
          <cell r="C13" t="str">
            <v>M3</v>
          </cell>
          <cell r="D13">
            <v>597.04</v>
          </cell>
          <cell r="E13">
            <v>484.14</v>
          </cell>
          <cell r="F13" t="str">
            <v xml:space="preserve"> </v>
          </cell>
        </row>
        <row r="14">
          <cell r="A14">
            <v>41048</v>
          </cell>
          <cell r="B14" t="str">
            <v>Demolição de rocha a frio até 3 metros com utilização de argamassa expansiva, inclusive remoção com trator de esteiras</v>
          </cell>
          <cell r="C14" t="str">
            <v>M3</v>
          </cell>
          <cell r="D14">
            <v>528.42999999999995</v>
          </cell>
          <cell r="E14">
            <v>428.51</v>
          </cell>
          <cell r="F14" t="str">
            <v xml:space="preserve"> </v>
          </cell>
        </row>
        <row r="15">
          <cell r="A15">
            <v>40217</v>
          </cell>
          <cell r="B15" t="str">
            <v>Desmonte de rocha</v>
          </cell>
          <cell r="C15" t="str">
            <v>M3</v>
          </cell>
          <cell r="D15">
            <v>49.11</v>
          </cell>
          <cell r="E15">
            <v>39.83</v>
          </cell>
          <cell r="F15" t="str">
            <v xml:space="preserve"> </v>
          </cell>
        </row>
        <row r="16">
          <cell r="A16">
            <v>40172</v>
          </cell>
          <cell r="B16" t="str">
            <v>Destocamento de árvores com diâmetro  &gt; 30 cm, com trator de esteira</v>
          </cell>
          <cell r="C16" t="str">
            <v>Ud</v>
          </cell>
          <cell r="D16">
            <v>29.48</v>
          </cell>
          <cell r="E16">
            <v>23.91</v>
          </cell>
          <cell r="F16" t="str">
            <v xml:space="preserve"> </v>
          </cell>
        </row>
        <row r="17">
          <cell r="A17">
            <v>40171</v>
          </cell>
          <cell r="B17" t="str">
            <v>Destocamento de árvores com diâmetro de 15 a 30 cm, com trator de esteira</v>
          </cell>
          <cell r="C17" t="str">
            <v>Ud</v>
          </cell>
          <cell r="D17">
            <v>14.73</v>
          </cell>
          <cell r="E17">
            <v>11.95</v>
          </cell>
          <cell r="F17" t="str">
            <v xml:space="preserve"> </v>
          </cell>
        </row>
        <row r="18">
          <cell r="A18">
            <v>42225</v>
          </cell>
          <cell r="B18" t="str">
            <v>Escalonamento de taludes com escavadeira</v>
          </cell>
          <cell r="C18" t="str">
            <v>M3</v>
          </cell>
          <cell r="D18">
            <v>9.39</v>
          </cell>
          <cell r="E18">
            <v>7.62</v>
          </cell>
          <cell r="F18" t="str">
            <v xml:space="preserve"> </v>
          </cell>
        </row>
        <row r="19">
          <cell r="A19">
            <v>40178</v>
          </cell>
          <cell r="B19" t="str">
            <v>Escalonamento de taludes, com trator de esteiras</v>
          </cell>
          <cell r="C19" t="str">
            <v>M3</v>
          </cell>
          <cell r="D19">
            <v>7.7</v>
          </cell>
          <cell r="E19">
            <v>6.25</v>
          </cell>
          <cell r="F19" t="str">
            <v xml:space="preserve"> </v>
          </cell>
        </row>
        <row r="20">
          <cell r="A20">
            <v>40179</v>
          </cell>
          <cell r="B20" t="str">
            <v>Escavação, carga e transporte de material de 1ª cat. até 200 m com moto-escavotransportador</v>
          </cell>
          <cell r="C20" t="str">
            <v>M3</v>
          </cell>
          <cell r="D20">
            <v>16.79</v>
          </cell>
          <cell r="E20">
            <v>13.62</v>
          </cell>
          <cell r="F20" t="str">
            <v xml:space="preserve"> </v>
          </cell>
        </row>
        <row r="21">
          <cell r="A21">
            <v>40184</v>
          </cell>
          <cell r="B21" t="str">
            <v>Escavação, carga e transporte de material de 1ª cat. 1000 a 1200 m com moto-escavotransportador</v>
          </cell>
          <cell r="C21" t="str">
            <v>M3</v>
          </cell>
          <cell r="D21">
            <v>30.06</v>
          </cell>
          <cell r="E21">
            <v>24.38</v>
          </cell>
          <cell r="F21" t="str">
            <v xml:space="preserve"> </v>
          </cell>
        </row>
        <row r="22">
          <cell r="A22">
            <v>40180</v>
          </cell>
          <cell r="B22" t="str">
            <v>Escavação, carga e transporte de material de 1ª cat. 200 a 400 m com moto-escavotransportador</v>
          </cell>
          <cell r="C22" t="str">
            <v>M3</v>
          </cell>
          <cell r="D22">
            <v>19.66</v>
          </cell>
          <cell r="E22">
            <v>15.95</v>
          </cell>
          <cell r="F22" t="str">
            <v xml:space="preserve"> </v>
          </cell>
        </row>
        <row r="23">
          <cell r="A23">
            <v>40181</v>
          </cell>
          <cell r="B23" t="str">
            <v>Escavação, carga e transporte de material de 1ª cat. 400 a 600 m com moto-escavotransportador</v>
          </cell>
          <cell r="C23" t="str">
            <v>M3</v>
          </cell>
          <cell r="D23">
            <v>22.12</v>
          </cell>
          <cell r="E23">
            <v>17.940000000000001</v>
          </cell>
          <cell r="F23" t="str">
            <v xml:space="preserve"> </v>
          </cell>
        </row>
        <row r="24">
          <cell r="A24">
            <v>40182</v>
          </cell>
          <cell r="B24" t="str">
            <v>Escavação, carga e transporte de material de 1ª cat. 600 a 800 m com moto-escavotransportador</v>
          </cell>
          <cell r="C24" t="str">
            <v>M3</v>
          </cell>
          <cell r="D24">
            <v>25.69</v>
          </cell>
          <cell r="E24">
            <v>20.84</v>
          </cell>
          <cell r="F24" t="str">
            <v xml:space="preserve"> </v>
          </cell>
        </row>
        <row r="25">
          <cell r="A25">
            <v>40183</v>
          </cell>
          <cell r="B25" t="str">
            <v>Escavação, carga e transporte de material de 1ª cat. 800 a 1000 m com moto-escavotransportador</v>
          </cell>
          <cell r="C25" t="str">
            <v>M3</v>
          </cell>
          <cell r="D25">
            <v>27.01</v>
          </cell>
          <cell r="E25">
            <v>21.91</v>
          </cell>
          <cell r="F25" t="str">
            <v xml:space="preserve"> </v>
          </cell>
        </row>
        <row r="26">
          <cell r="A26">
            <v>40191</v>
          </cell>
          <cell r="B26" t="str">
            <v>Escavação, carga e transporte de material de 2ª cat. até 200 m com moto-escavotransportador</v>
          </cell>
          <cell r="C26" t="str">
            <v>M3</v>
          </cell>
          <cell r="D26">
            <v>25.24</v>
          </cell>
          <cell r="E26">
            <v>20.47</v>
          </cell>
          <cell r="F26" t="str">
            <v xml:space="preserve"> </v>
          </cell>
        </row>
        <row r="27">
          <cell r="A27">
            <v>40196</v>
          </cell>
          <cell r="B27" t="str">
            <v>Escavação, carga e transporte de material de 2ª cat. 1000 a 1200 m com moto-escavotransportador</v>
          </cell>
          <cell r="C27" t="str">
            <v>M3</v>
          </cell>
          <cell r="D27">
            <v>41.28</v>
          </cell>
          <cell r="E27">
            <v>33.479999999999997</v>
          </cell>
          <cell r="F27" t="str">
            <v xml:space="preserve"> </v>
          </cell>
        </row>
        <row r="28">
          <cell r="A28">
            <v>40192</v>
          </cell>
          <cell r="B28" t="str">
            <v>Escavação, carga e transporte de material de 2ª cat. 200 a 400 m com moto-escavotransportador</v>
          </cell>
          <cell r="C28" t="str">
            <v>M3</v>
          </cell>
          <cell r="D28">
            <v>27.85</v>
          </cell>
          <cell r="E28">
            <v>22.59</v>
          </cell>
          <cell r="F28" t="str">
            <v xml:space="preserve"> </v>
          </cell>
        </row>
        <row r="29">
          <cell r="A29">
            <v>40193</v>
          </cell>
          <cell r="B29" t="str">
            <v>Escavação, carga e transporte de material de 2ª cat. 400 a 600 m com moto-escavotransportador</v>
          </cell>
          <cell r="C29" t="str">
            <v>M3</v>
          </cell>
          <cell r="D29">
            <v>30.54</v>
          </cell>
          <cell r="E29">
            <v>24.77</v>
          </cell>
          <cell r="F29" t="str">
            <v xml:space="preserve"> </v>
          </cell>
        </row>
        <row r="30">
          <cell r="A30">
            <v>40194</v>
          </cell>
          <cell r="B30" t="str">
            <v>Escavação, carga e transporte de material de 2ª cat. 600 a 800 m com moto-escavotransportador</v>
          </cell>
          <cell r="C30" t="str">
            <v>M3</v>
          </cell>
          <cell r="D30">
            <v>35.35</v>
          </cell>
          <cell r="E30">
            <v>28.67</v>
          </cell>
          <cell r="F30" t="str">
            <v xml:space="preserve"> </v>
          </cell>
        </row>
        <row r="31">
          <cell r="A31">
            <v>40195</v>
          </cell>
          <cell r="B31" t="str">
            <v>Escavação, carga e transporte de material de 2ª cat. 800 a 1000 m com moto-escavotransportador</v>
          </cell>
          <cell r="C31" t="str">
            <v>M3</v>
          </cell>
          <cell r="D31">
            <v>37.840000000000003</v>
          </cell>
          <cell r="E31">
            <v>30.69</v>
          </cell>
          <cell r="F31" t="str">
            <v xml:space="preserve"> </v>
          </cell>
        </row>
        <row r="32">
          <cell r="A32">
            <v>40220</v>
          </cell>
          <cell r="B32" t="str">
            <v>Escavação e carga de material de barreira (remoção)</v>
          </cell>
          <cell r="C32" t="str">
            <v>M3</v>
          </cell>
          <cell r="D32">
            <v>10.16</v>
          </cell>
          <cell r="E32">
            <v>8.24</v>
          </cell>
          <cell r="F32" t="str">
            <v xml:space="preserve"> </v>
          </cell>
        </row>
        <row r="33">
          <cell r="A33">
            <v>40230</v>
          </cell>
          <cell r="B33" t="str">
            <v>Escavação e carga de material de 1ª categoria com escavadeira</v>
          </cell>
          <cell r="C33" t="str">
            <v>M3</v>
          </cell>
          <cell r="D33">
            <v>3.82</v>
          </cell>
          <cell r="E33">
            <v>3.1</v>
          </cell>
          <cell r="F33" t="str">
            <v xml:space="preserve"> </v>
          </cell>
        </row>
        <row r="34">
          <cell r="A34">
            <v>40221</v>
          </cell>
          <cell r="B34" t="str">
            <v>Escavação e carga de material de 1ª categoria, com trator de esteira e pá carregadeira</v>
          </cell>
          <cell r="C34" t="str">
            <v>M3</v>
          </cell>
          <cell r="D34">
            <v>9.31</v>
          </cell>
          <cell r="E34">
            <v>7.55</v>
          </cell>
          <cell r="F34" t="str">
            <v xml:space="preserve"> </v>
          </cell>
        </row>
        <row r="35">
          <cell r="A35">
            <v>40231</v>
          </cell>
          <cell r="B35" t="str">
            <v>Escavação e carga de material de 2ª categoria com escavadeira</v>
          </cell>
          <cell r="C35" t="str">
            <v>M3</v>
          </cell>
          <cell r="D35">
            <v>5.63</v>
          </cell>
          <cell r="E35">
            <v>4.57</v>
          </cell>
          <cell r="F35" t="str">
            <v xml:space="preserve"> </v>
          </cell>
        </row>
        <row r="36">
          <cell r="A36">
            <v>40222</v>
          </cell>
          <cell r="B36" t="str">
            <v>Escavação e carga de material de 2ª categoria, com trator de esteira e pá carregadeira</v>
          </cell>
          <cell r="C36" t="str">
            <v>M3</v>
          </cell>
          <cell r="D36">
            <v>13.34</v>
          </cell>
          <cell r="E36">
            <v>10.82</v>
          </cell>
          <cell r="F36" t="str">
            <v xml:space="preserve"> </v>
          </cell>
        </row>
        <row r="37">
          <cell r="A37">
            <v>40216</v>
          </cell>
          <cell r="B37" t="str">
            <v>Escavação e carga de material de 3ª categoria (fogo controlado)</v>
          </cell>
          <cell r="C37" t="str">
            <v>M3</v>
          </cell>
          <cell r="D37">
            <v>105.94</v>
          </cell>
          <cell r="E37">
            <v>85.91</v>
          </cell>
          <cell r="F37" t="str">
            <v xml:space="preserve"> </v>
          </cell>
        </row>
        <row r="38">
          <cell r="A38">
            <v>40223</v>
          </cell>
          <cell r="B38" t="str">
            <v>Escavação e carga de material de 3ª categoria (H bancada &gt;1,0 m)</v>
          </cell>
          <cell r="C38" t="str">
            <v>M3</v>
          </cell>
          <cell r="D38">
            <v>47.16</v>
          </cell>
          <cell r="E38">
            <v>38.25</v>
          </cell>
          <cell r="F38" t="str">
            <v xml:space="preserve"> </v>
          </cell>
        </row>
        <row r="39">
          <cell r="A39">
            <v>43335</v>
          </cell>
          <cell r="B39" t="str">
            <v>Espalhamento / regularização / compactação de material em bota-fora</v>
          </cell>
          <cell r="C39" t="str">
            <v>M3</v>
          </cell>
          <cell r="D39">
            <v>3</v>
          </cell>
          <cell r="E39">
            <v>2.44</v>
          </cell>
          <cell r="F39" t="str">
            <v xml:space="preserve"> </v>
          </cell>
        </row>
        <row r="40">
          <cell r="A40">
            <v>42547</v>
          </cell>
          <cell r="B40" t="str">
            <v>Espalhamento de material de 1ª categoria com motoniveladora</v>
          </cell>
          <cell r="C40" t="str">
            <v>M3</v>
          </cell>
          <cell r="D40">
            <v>1.93</v>
          </cell>
          <cell r="E40">
            <v>1.57</v>
          </cell>
          <cell r="F40" t="str">
            <v xml:space="preserve"> </v>
          </cell>
        </row>
        <row r="41">
          <cell r="A41">
            <v>40177</v>
          </cell>
          <cell r="B41" t="str">
            <v>Espalhamento de material de 1ª categoria com trator de esteiras</v>
          </cell>
          <cell r="C41" t="str">
            <v>M3</v>
          </cell>
          <cell r="D41">
            <v>4.96</v>
          </cell>
          <cell r="E41">
            <v>4.03</v>
          </cell>
          <cell r="F41" t="str">
            <v xml:space="preserve"> </v>
          </cell>
        </row>
        <row r="42">
          <cell r="A42">
            <v>41056</v>
          </cell>
          <cell r="B42" t="str">
            <v>Forro de regularização sobre plataforma de enrocamento para tráfego de caminhões, inclusive  fornecimento do pó de pedra e da pedra demão</v>
          </cell>
          <cell r="C42" t="str">
            <v>M3</v>
          </cell>
          <cell r="D42">
            <v>110.13</v>
          </cell>
          <cell r="E42">
            <v>89.31</v>
          </cell>
          <cell r="F42" t="str">
            <v xml:space="preserve"> </v>
          </cell>
        </row>
        <row r="43">
          <cell r="A43">
            <v>40218</v>
          </cell>
          <cell r="B43" t="str">
            <v>Fragmentação de rocha (fogacheamento)</v>
          </cell>
          <cell r="C43" t="str">
            <v>M3</v>
          </cell>
          <cell r="D43">
            <v>56.09</v>
          </cell>
          <cell r="E43">
            <v>45.49</v>
          </cell>
          <cell r="F43" t="str">
            <v xml:space="preserve"> </v>
          </cell>
        </row>
        <row r="44">
          <cell r="A44">
            <v>40170</v>
          </cell>
          <cell r="B44" t="str">
            <v>Limpeza de acostamento</v>
          </cell>
          <cell r="C44" t="str">
            <v>M2</v>
          </cell>
          <cell r="D44">
            <v>0.81</v>
          </cell>
          <cell r="E44">
            <v>0.66</v>
          </cell>
          <cell r="F44" t="str">
            <v xml:space="preserve"> </v>
          </cell>
        </row>
        <row r="45">
          <cell r="A45">
            <v>40167</v>
          </cell>
          <cell r="B45" t="str">
            <v>Limpeza, desmatamento e destocamento de árvores com diâmetro até 15 cm, com trator de esteira</v>
          </cell>
          <cell r="C45" t="str">
            <v>M2</v>
          </cell>
          <cell r="D45">
            <v>0.56000000000000005</v>
          </cell>
          <cell r="E45">
            <v>0.46</v>
          </cell>
          <cell r="F45" t="str">
            <v xml:space="preserve"> </v>
          </cell>
        </row>
        <row r="46">
          <cell r="A46">
            <v>40168</v>
          </cell>
          <cell r="B46" t="str">
            <v>Limpeza, desmatamento e destocamento de jazida com remoçao 15 cm solo orgânico</v>
          </cell>
          <cell r="C46" t="str">
            <v>M2</v>
          </cell>
          <cell r="D46">
            <v>3.08</v>
          </cell>
          <cell r="E46">
            <v>2.5</v>
          </cell>
          <cell r="F46" t="str">
            <v xml:space="preserve"> </v>
          </cell>
        </row>
        <row r="47">
          <cell r="A47">
            <v>40169</v>
          </cell>
          <cell r="B47" t="str">
            <v>Limpeza e desmatamento em área alagada (pântano) com ferramentas manuais, inclusive moto serra</v>
          </cell>
          <cell r="C47" t="str">
            <v>M2</v>
          </cell>
          <cell r="D47">
            <v>9.7899999999999991</v>
          </cell>
          <cell r="E47">
            <v>7.94</v>
          </cell>
          <cell r="F47" t="str">
            <v xml:space="preserve"> </v>
          </cell>
        </row>
        <row r="48">
          <cell r="A48">
            <v>102069</v>
          </cell>
          <cell r="B48" t="str">
            <v>Limpeza em superfície de concreto com jateamento d'água sob pressão</v>
          </cell>
          <cell r="C48" t="str">
            <v>m2</v>
          </cell>
          <cell r="D48">
            <v>4.3499999999999996</v>
          </cell>
          <cell r="E48">
            <v>3.53</v>
          </cell>
          <cell r="F48" t="str">
            <v xml:space="preserve"> </v>
          </cell>
        </row>
        <row r="49">
          <cell r="A49">
            <v>40219</v>
          </cell>
          <cell r="B49" t="str">
            <v>Pré-fissuramento de taludes de rocha</v>
          </cell>
          <cell r="C49" t="str">
            <v>M2</v>
          </cell>
          <cell r="D49">
            <v>36.9</v>
          </cell>
          <cell r="E49">
            <v>29.93</v>
          </cell>
          <cell r="F49" t="str">
            <v xml:space="preserve"> </v>
          </cell>
        </row>
        <row r="50">
          <cell r="A50">
            <v>41095</v>
          </cell>
          <cell r="B50" t="str">
            <v>Remoção de solos moles, incluindo carregamento mecânico com escavadeira hidráulica</v>
          </cell>
          <cell r="C50" t="str">
            <v>M3</v>
          </cell>
          <cell r="D50">
            <v>31.39</v>
          </cell>
          <cell r="E50">
            <v>25.46</v>
          </cell>
          <cell r="F50" t="str">
            <v xml:space="preserve"> </v>
          </cell>
        </row>
        <row r="51">
          <cell r="A51">
            <v>43352</v>
          </cell>
          <cell r="B51" t="str">
            <v>Roçada manual com roçadeira costal, ferramentas manuais, inclusive limpeza e remoção com retroescavadeira</v>
          </cell>
          <cell r="C51" t="str">
            <v>M2</v>
          </cell>
          <cell r="D51">
            <v>0.67</v>
          </cell>
          <cell r="E51">
            <v>0.55000000000000004</v>
          </cell>
          <cell r="F51" t="str">
            <v xml:space="preserve"> </v>
          </cell>
        </row>
        <row r="52">
          <cell r="A52">
            <v>43338</v>
          </cell>
          <cell r="B52" t="str">
            <v>Roçada manual com roçadeira costal, ferramentas manuais, inclusive limpeza manual</v>
          </cell>
          <cell r="C52" t="str">
            <v>M2</v>
          </cell>
          <cell r="D52">
            <v>0.55000000000000004</v>
          </cell>
          <cell r="E52">
            <v>0.45</v>
          </cell>
          <cell r="F52" t="str">
            <v xml:space="preserve"> </v>
          </cell>
        </row>
        <row r="53">
          <cell r="A53">
            <v>40166</v>
          </cell>
          <cell r="B53" t="str">
            <v>Roçada mecânica</v>
          </cell>
          <cell r="C53" t="str">
            <v>M2</v>
          </cell>
          <cell r="D53">
            <v>0.19</v>
          </cell>
          <cell r="E53">
            <v>0.16</v>
          </cell>
          <cell r="F53" t="str">
            <v xml:space="preserve"> </v>
          </cell>
        </row>
        <row r="54">
          <cell r="A54">
            <v>41326</v>
          </cell>
          <cell r="B54" t="str">
            <v>Transporte horizontal com trator de lâmina de material de 1ª cat. DMTaté 50m</v>
          </cell>
          <cell r="C54" t="str">
            <v>M3</v>
          </cell>
          <cell r="D54">
            <v>6.46</v>
          </cell>
          <cell r="E54">
            <v>5.24</v>
          </cell>
          <cell r="F54" t="str">
            <v xml:space="preserve"> </v>
          </cell>
        </row>
        <row r="55">
          <cell r="A55">
            <v>40801</v>
          </cell>
          <cell r="B55" t="str">
            <v>Base com mistura de argila, areia e escória de aciaria, 30%,30%,40%, inclusive fornecim. transp.areia e escória, exclusive fornecim. transp. da argila</v>
          </cell>
          <cell r="C55" t="str">
            <v>M3</v>
          </cell>
          <cell r="D55">
            <v>90.97</v>
          </cell>
          <cell r="E55">
            <v>73.77</v>
          </cell>
          <cell r="F55" t="str">
            <v>A incluir</v>
          </cell>
        </row>
        <row r="56">
          <cell r="A56">
            <v>40799</v>
          </cell>
          <cell r="B56" t="str">
            <v>Base com mistura de argila, areia e escória de aciaria, 50%,20%,30%, inclusive fornecim.e transp. areia e escória, exclusive fornecim. e transp.argila</v>
          </cell>
          <cell r="C56" t="str">
            <v>M3</v>
          </cell>
          <cell r="D56">
            <v>69.7</v>
          </cell>
          <cell r="E56">
            <v>56.52</v>
          </cell>
          <cell r="F56" t="str">
            <v>A incluir</v>
          </cell>
        </row>
        <row r="57">
          <cell r="A57">
            <v>40793</v>
          </cell>
          <cell r="B57" t="str">
            <v>Base com mistura de argila 30%, pó de pedra 30% e brita 40%, inclusive fornecimento e transporte do pó de pedra e da brita</v>
          </cell>
          <cell r="C57" t="str">
            <v>M3</v>
          </cell>
          <cell r="D57">
            <v>114.31</v>
          </cell>
          <cell r="E57">
            <v>92.7</v>
          </cell>
          <cell r="F57" t="str">
            <v>A incluir</v>
          </cell>
        </row>
        <row r="58">
          <cell r="A58">
            <v>40797</v>
          </cell>
          <cell r="B58" t="str">
            <v>Base com mistura de argila 70% e escória de aciaria 30%, inclusive fornecim. e transporte da escória, exclusive fornecimento e transporte da argila</v>
          </cell>
          <cell r="C58" t="str">
            <v>M3</v>
          </cell>
          <cell r="D58">
            <v>43.13</v>
          </cell>
          <cell r="E58">
            <v>34.979999999999997</v>
          </cell>
          <cell r="F58" t="str">
            <v>A incluir</v>
          </cell>
        </row>
        <row r="59">
          <cell r="A59">
            <v>41157</v>
          </cell>
          <cell r="B59" t="str">
            <v>Base com mistura de Saibro, Argila e Brita, 45%, 15% e 40%, exclusive transporte</v>
          </cell>
          <cell r="C59" t="str">
            <v>M3</v>
          </cell>
          <cell r="D59">
            <v>57.25</v>
          </cell>
          <cell r="E59">
            <v>46.43</v>
          </cell>
          <cell r="F59" t="str">
            <v xml:space="preserve"> </v>
          </cell>
        </row>
        <row r="60">
          <cell r="A60">
            <v>40795</v>
          </cell>
          <cell r="B60" t="str">
            <v>Base com mistura de solo 80% e areia 20%, inclusive transporte da areia</v>
          </cell>
          <cell r="C60" t="str">
            <v>M3</v>
          </cell>
          <cell r="D60">
            <v>48.85</v>
          </cell>
          <cell r="E60">
            <v>39.619999999999997</v>
          </cell>
          <cell r="F60" t="str">
            <v>A incluir</v>
          </cell>
        </row>
        <row r="61">
          <cell r="A61">
            <v>40787</v>
          </cell>
          <cell r="B61" t="str">
            <v>Base de brita graduada, inclusive fornecimento e transporte da brita</v>
          </cell>
          <cell r="C61" t="str">
            <v>M3</v>
          </cell>
          <cell r="D61">
            <v>112.86</v>
          </cell>
          <cell r="E61">
            <v>91.52</v>
          </cell>
          <cell r="F61" t="str">
            <v>A incluir</v>
          </cell>
        </row>
        <row r="62">
          <cell r="A62">
            <v>40812</v>
          </cell>
          <cell r="B62" t="str">
            <v>Base de brita graduada, inclusive fornecimento, exclusive transporte da brita</v>
          </cell>
          <cell r="C62" t="str">
            <v>M3</v>
          </cell>
          <cell r="D62">
            <v>112.86</v>
          </cell>
          <cell r="E62">
            <v>91.52</v>
          </cell>
          <cell r="F62" t="str">
            <v xml:space="preserve"> </v>
          </cell>
        </row>
        <row r="63">
          <cell r="A63">
            <v>42673</v>
          </cell>
          <cell r="B63" t="str">
            <v>Base de brita 1, inclusive fornecimento, exclusive transporte da brita</v>
          </cell>
          <cell r="C63" t="str">
            <v>M3</v>
          </cell>
          <cell r="D63">
            <v>153.19999999999999</v>
          </cell>
          <cell r="E63">
            <v>124.23</v>
          </cell>
          <cell r="F63" t="str">
            <v xml:space="preserve"> </v>
          </cell>
        </row>
        <row r="64">
          <cell r="A64">
            <v>40803</v>
          </cell>
          <cell r="B64" t="str">
            <v>Base de escória de aciaria, inclusive fornecimento e transporte da escória</v>
          </cell>
          <cell r="C64" t="str">
            <v>M3</v>
          </cell>
          <cell r="D64">
            <v>70.83</v>
          </cell>
          <cell r="E64">
            <v>57.44</v>
          </cell>
          <cell r="F64" t="str">
            <v>A incluir</v>
          </cell>
        </row>
        <row r="65">
          <cell r="A65">
            <v>41406</v>
          </cell>
          <cell r="B65" t="str">
            <v>Base de escória/argila na proporção 80:20, inclusive aquisição e transporte da escória, exclusive argila</v>
          </cell>
          <cell r="C65" t="str">
            <v>M3</v>
          </cell>
          <cell r="D65">
            <v>63.54</v>
          </cell>
          <cell r="E65">
            <v>51.53</v>
          </cell>
          <cell r="F65" t="str">
            <v>A incluir</v>
          </cell>
        </row>
        <row r="66">
          <cell r="A66">
            <v>41100</v>
          </cell>
          <cell r="B66" t="str">
            <v>Base de escória/solo na proporção 75:25, inclusive fornecimento da escória, exceto fornecimento do solo e transporte do solo e escória</v>
          </cell>
          <cell r="C66" t="str">
            <v>M3</v>
          </cell>
          <cell r="D66">
            <v>61.51</v>
          </cell>
          <cell r="E66">
            <v>49.88</v>
          </cell>
          <cell r="F66" t="str">
            <v xml:space="preserve"> </v>
          </cell>
        </row>
        <row r="67">
          <cell r="A67">
            <v>40979</v>
          </cell>
          <cell r="B67" t="str">
            <v>Base de solo brita, 20% em peso, inclusive fornecim. da brita, exclusive transporte da brita e do solo (100% P.IM)</v>
          </cell>
          <cell r="C67" t="str">
            <v>M3</v>
          </cell>
          <cell r="D67">
            <v>54.71</v>
          </cell>
          <cell r="E67">
            <v>44.37</v>
          </cell>
          <cell r="F67" t="str">
            <v xml:space="preserve"> </v>
          </cell>
        </row>
        <row r="68">
          <cell r="A68">
            <v>40815</v>
          </cell>
          <cell r="B68" t="str">
            <v>Base de solo brita, 40% em peso, inclusive fornecimento, exclusive transporte da brita</v>
          </cell>
          <cell r="C68" t="str">
            <v>M3</v>
          </cell>
          <cell r="D68">
            <v>66.14</v>
          </cell>
          <cell r="E68">
            <v>53.64</v>
          </cell>
          <cell r="F68" t="str">
            <v xml:space="preserve"> </v>
          </cell>
        </row>
        <row r="69">
          <cell r="A69">
            <v>40809</v>
          </cell>
          <cell r="B69" t="str">
            <v>Base de solo brita, 50% em peso, inclusive fornecimento, exclusive transporte da brita</v>
          </cell>
          <cell r="C69" t="str">
            <v>M3</v>
          </cell>
          <cell r="D69">
            <v>75.760000000000005</v>
          </cell>
          <cell r="E69">
            <v>61.44</v>
          </cell>
          <cell r="F69" t="str">
            <v xml:space="preserve"> </v>
          </cell>
        </row>
        <row r="70">
          <cell r="A70">
            <v>40810</v>
          </cell>
          <cell r="B70" t="str">
            <v>Base de solo brita, 70% em peso, inclusive fornecimento, exclusive transporte da brita</v>
          </cell>
          <cell r="C70" t="str">
            <v>M3</v>
          </cell>
          <cell r="D70">
            <v>95.1</v>
          </cell>
          <cell r="E70">
            <v>77.12</v>
          </cell>
          <cell r="F70" t="str">
            <v xml:space="preserve"> </v>
          </cell>
        </row>
        <row r="71">
          <cell r="A71">
            <v>41097</v>
          </cell>
          <cell r="B71" t="str">
            <v>Base de solo brita, 80% em peso, inclusive fornecimento e transporte da brita</v>
          </cell>
          <cell r="C71" t="str">
            <v>M3</v>
          </cell>
          <cell r="D71">
            <v>106.78</v>
          </cell>
          <cell r="E71">
            <v>86.59</v>
          </cell>
          <cell r="F71" t="str">
            <v>A incluir</v>
          </cell>
        </row>
        <row r="72">
          <cell r="A72">
            <v>41364</v>
          </cell>
          <cell r="B72" t="str">
            <v>Base estabilizada granulométricamente. com mistura de escória de aciaria 80% e argila exceto  fornecimento da argila e transporte da argila e escória</v>
          </cell>
          <cell r="C72" t="str">
            <v>M3</v>
          </cell>
          <cell r="D72">
            <v>63.54</v>
          </cell>
          <cell r="E72">
            <v>51.53</v>
          </cell>
          <cell r="F72" t="str">
            <v xml:space="preserve"> </v>
          </cell>
        </row>
        <row r="73">
          <cell r="A73">
            <v>40777</v>
          </cell>
          <cell r="B73" t="str">
            <v>Base solo brita, 20% em peso, inclusive fornecimento e transporte da brita</v>
          </cell>
          <cell r="C73" t="str">
            <v>M3</v>
          </cell>
          <cell r="D73">
            <v>47.61</v>
          </cell>
          <cell r="E73">
            <v>38.61</v>
          </cell>
          <cell r="F73" t="str">
            <v>A incluir</v>
          </cell>
        </row>
        <row r="74">
          <cell r="A74">
            <v>40779</v>
          </cell>
          <cell r="B74" t="str">
            <v>Base solo brita, 30% em peso, inclusive fornecimento e  transporte da brita</v>
          </cell>
          <cell r="C74" t="str">
            <v>M3</v>
          </cell>
          <cell r="D74">
            <v>53.86</v>
          </cell>
          <cell r="E74">
            <v>43.68</v>
          </cell>
          <cell r="F74" t="str">
            <v>A incluir</v>
          </cell>
        </row>
        <row r="75">
          <cell r="A75">
            <v>40781</v>
          </cell>
          <cell r="B75" t="str">
            <v>Base solo brita, 50% em peso, inclusive fornecimento e transporte da brita</v>
          </cell>
          <cell r="C75" t="str">
            <v>M3</v>
          </cell>
          <cell r="D75">
            <v>75.760000000000005</v>
          </cell>
          <cell r="E75">
            <v>61.44</v>
          </cell>
          <cell r="F75" t="str">
            <v>A incluir</v>
          </cell>
        </row>
        <row r="76">
          <cell r="A76">
            <v>40783</v>
          </cell>
          <cell r="B76" t="str">
            <v>Base solo brita, 70% em peso, inclusive fornecimento e transporte da brita</v>
          </cell>
          <cell r="C76" t="str">
            <v>M3</v>
          </cell>
          <cell r="D76">
            <v>95.1</v>
          </cell>
          <cell r="E76">
            <v>77.12</v>
          </cell>
          <cell r="F76" t="str">
            <v>A incluir</v>
          </cell>
        </row>
        <row r="77">
          <cell r="A77">
            <v>41366</v>
          </cell>
          <cell r="B77" t="str">
            <v>Base solo brita, 80% em peso, inclusive fornecimento, exclusive transporte da brita</v>
          </cell>
          <cell r="C77" t="str">
            <v>M3</v>
          </cell>
          <cell r="D77">
            <v>106.78</v>
          </cell>
          <cell r="E77">
            <v>86.59</v>
          </cell>
          <cell r="F77" t="str">
            <v xml:space="preserve"> </v>
          </cell>
        </row>
        <row r="78">
          <cell r="A78">
            <v>40834</v>
          </cell>
          <cell r="B78" t="str">
            <v>Capa selante (emulsão e areia) exclusive fornecimento e transporte comercial da emulsão, inclusive transporte da areia</v>
          </cell>
          <cell r="C78" t="str">
            <v>M2</v>
          </cell>
          <cell r="D78">
            <v>2.23</v>
          </cell>
          <cell r="E78">
            <v>1.81</v>
          </cell>
          <cell r="F78" t="str">
            <v>A incluir</v>
          </cell>
        </row>
        <row r="79">
          <cell r="A79">
            <v>40835</v>
          </cell>
          <cell r="B79" t="str">
            <v>Capa selante (emulsão e areia) inclusive fornecimento e transporte comercial da emulsão</v>
          </cell>
          <cell r="C79" t="str">
            <v>M2</v>
          </cell>
          <cell r="D79">
            <v>4.3499999999999996</v>
          </cell>
          <cell r="E79">
            <v>3.53</v>
          </cell>
          <cell r="F79" t="str">
            <v>A incluir</v>
          </cell>
        </row>
        <row r="80">
          <cell r="A80">
            <v>40841</v>
          </cell>
          <cell r="B80" t="str">
            <v>CBUQ (camada pronta - binder) exclusive fornecimento e transportes do CAP e massa, inclusive fornecimento e transporte da brita e pó de pedra</v>
          </cell>
          <cell r="C80" t="str">
            <v>t</v>
          </cell>
          <cell r="D80">
            <v>132.63</v>
          </cell>
          <cell r="E80">
            <v>107.55</v>
          </cell>
          <cell r="F80" t="str">
            <v>A incluir</v>
          </cell>
        </row>
        <row r="81">
          <cell r="A81">
            <v>40842</v>
          </cell>
          <cell r="B81" t="str">
            <v>CBUQ (camada pronta - binder) inclusive fornecimento e transporte comercial do CAP, exclusive transporte da massa</v>
          </cell>
          <cell r="C81" t="str">
            <v>t</v>
          </cell>
          <cell r="D81">
            <v>457.87</v>
          </cell>
          <cell r="E81">
            <v>371.29</v>
          </cell>
          <cell r="F81" t="str">
            <v>A incluir</v>
          </cell>
        </row>
        <row r="82">
          <cell r="A82">
            <v>40843</v>
          </cell>
          <cell r="B82" t="str">
            <v>CBUQ (camada pronta - capa) exclusive fornecimento e transportes do CAP e massa</v>
          </cell>
          <cell r="C82" t="str">
            <v>t</v>
          </cell>
          <cell r="D82">
            <v>135.33000000000001</v>
          </cell>
          <cell r="E82">
            <v>109.74</v>
          </cell>
          <cell r="F82" t="str">
            <v>A incluir</v>
          </cell>
        </row>
        <row r="83">
          <cell r="A83">
            <v>40844</v>
          </cell>
          <cell r="B83" t="str">
            <v>CBUQ (camada pronta - capa) inclusive fornecimento e transporte comercial do CAP, exclusive transporte da massa</v>
          </cell>
          <cell r="C83" t="str">
            <v>t</v>
          </cell>
          <cell r="D83">
            <v>462.52</v>
          </cell>
          <cell r="E83">
            <v>375.06</v>
          </cell>
          <cell r="F83" t="str">
            <v>A incluir</v>
          </cell>
        </row>
        <row r="84">
          <cell r="A84">
            <v>41112</v>
          </cell>
          <cell r="B84" t="str">
            <v>CBUQ (camada pronta Faixa "B" para revestimento) exclusive fornecimento do CAP e transp. de todos os materiais</v>
          </cell>
          <cell r="C84" t="str">
            <v>t</v>
          </cell>
          <cell r="D84">
            <v>129.6</v>
          </cell>
          <cell r="E84">
            <v>105.1</v>
          </cell>
          <cell r="F84" t="str">
            <v>A incluir</v>
          </cell>
        </row>
        <row r="85">
          <cell r="A85">
            <v>43342</v>
          </cell>
          <cell r="B85" t="str">
            <v>CBUQ (camada pronta-faixa "C") , exclusive fornecimento do CAP e transporte de todos os materiais (traço padrão areia e brita)</v>
          </cell>
          <cell r="C85" t="str">
            <v>t</v>
          </cell>
          <cell r="D85">
            <v>136.99</v>
          </cell>
          <cell r="E85">
            <v>111.09</v>
          </cell>
          <cell r="F85" t="str">
            <v>A incluir</v>
          </cell>
        </row>
        <row r="86">
          <cell r="A86">
            <v>40878</v>
          </cell>
          <cell r="B86" t="str">
            <v>CBUQ (camada pronta-faixa"C") exclusive fornecimento do CAP e transporte de todos os materiais</v>
          </cell>
          <cell r="C86" t="str">
            <v>t</v>
          </cell>
          <cell r="D86">
            <v>135.33000000000001</v>
          </cell>
          <cell r="E86">
            <v>109.74</v>
          </cell>
          <cell r="F86" t="str">
            <v>A incluir</v>
          </cell>
        </row>
        <row r="87">
          <cell r="A87">
            <v>40845</v>
          </cell>
          <cell r="B87" t="str">
            <v>CBUQ (massa asfáltica) exclusive fornecimento e transporte comercial do CAP, (Usinagem)</v>
          </cell>
          <cell r="C87" t="str">
            <v>t</v>
          </cell>
          <cell r="D87">
            <v>108.78</v>
          </cell>
          <cell r="E87">
            <v>88.21</v>
          </cell>
          <cell r="F87" t="str">
            <v>A incluir</v>
          </cell>
        </row>
        <row r="88">
          <cell r="A88">
            <v>40846</v>
          </cell>
          <cell r="B88" t="str">
            <v>CBUQ (massa asfáltica) inclusive fornecimento e transporte comercial do CAP (Usinagem)</v>
          </cell>
          <cell r="C88" t="str">
            <v>t</v>
          </cell>
          <cell r="D88">
            <v>435.97</v>
          </cell>
          <cell r="E88">
            <v>353.53</v>
          </cell>
          <cell r="F88" t="str">
            <v>A incluir</v>
          </cell>
        </row>
        <row r="89">
          <cell r="A89">
            <v>40879</v>
          </cell>
          <cell r="B89" t="str">
            <v>CBUQ (massa asfáltica-faixa"C") exclusive fornecimento CAP e transporte de todos os materiais</v>
          </cell>
          <cell r="C89" t="str">
            <v>t</v>
          </cell>
          <cell r="D89">
            <v>108.78</v>
          </cell>
          <cell r="E89">
            <v>88.21</v>
          </cell>
          <cell r="F89" t="str">
            <v xml:space="preserve"> </v>
          </cell>
        </row>
        <row r="90">
          <cell r="A90">
            <v>40877</v>
          </cell>
          <cell r="B90" t="str">
            <v>CBUQ (massa fina - faixa"D") exclusive fornecimento do CAP e transp.de todos os materiais</v>
          </cell>
          <cell r="C90" t="str">
            <v>t</v>
          </cell>
          <cell r="D90">
            <v>146.77000000000001</v>
          </cell>
          <cell r="E90">
            <v>119.02</v>
          </cell>
          <cell r="F90" t="str">
            <v>A incluir</v>
          </cell>
        </row>
        <row r="91">
          <cell r="A91">
            <v>43341</v>
          </cell>
          <cell r="B91" t="str">
            <v>CBUQ (massa fina-faixa"D"), exclusive fornecimento do CAP e transporte de todos os materiais (traço padrão areia e brita)</v>
          </cell>
          <cell r="C91" t="str">
            <v>t</v>
          </cell>
          <cell r="D91">
            <v>147.31</v>
          </cell>
          <cell r="E91">
            <v>119.46</v>
          </cell>
          <cell r="F91" t="str">
            <v>A incluir</v>
          </cell>
        </row>
        <row r="92">
          <cell r="A92">
            <v>40867</v>
          </cell>
          <cell r="B92" t="str">
            <v>Demolição e remoção de pavimento asfáltico</v>
          </cell>
          <cell r="C92" t="str">
            <v>M2</v>
          </cell>
          <cell r="D92">
            <v>3.36</v>
          </cell>
          <cell r="E92">
            <v>2.73</v>
          </cell>
          <cell r="F92" t="str">
            <v xml:space="preserve"> </v>
          </cell>
        </row>
        <row r="93">
          <cell r="A93">
            <v>40763</v>
          </cell>
          <cell r="B93" t="str">
            <v>Escarificação de base H = 0,10m e capa asfáltica</v>
          </cell>
          <cell r="C93" t="str">
            <v>M2</v>
          </cell>
          <cell r="D93">
            <v>0.98</v>
          </cell>
          <cell r="E93">
            <v>0.8</v>
          </cell>
          <cell r="F93" t="str">
            <v xml:space="preserve"> </v>
          </cell>
        </row>
        <row r="94">
          <cell r="A94">
            <v>40765</v>
          </cell>
          <cell r="B94" t="str">
            <v>Escarificação e compactação de base (100% P.I.) H=0,20m</v>
          </cell>
          <cell r="C94" t="str">
            <v>M2</v>
          </cell>
          <cell r="D94">
            <v>7.22</v>
          </cell>
          <cell r="E94">
            <v>5.86</v>
          </cell>
          <cell r="F94" t="str">
            <v xml:space="preserve"> </v>
          </cell>
        </row>
        <row r="95">
          <cell r="A95">
            <v>40757</v>
          </cell>
          <cell r="B95" t="str">
            <v>Estabilização granulométrica de solo s/ mistura 100% P.I.</v>
          </cell>
          <cell r="C95" t="str">
            <v>M3</v>
          </cell>
          <cell r="D95">
            <v>22.91</v>
          </cell>
          <cell r="E95">
            <v>18.579999999999998</v>
          </cell>
          <cell r="F95" t="str">
            <v xml:space="preserve"> </v>
          </cell>
        </row>
        <row r="96">
          <cell r="A96">
            <v>40758</v>
          </cell>
          <cell r="B96" t="str">
            <v>Estabilização granulométrica de solo s/ mistura 100% P.M.</v>
          </cell>
          <cell r="C96" t="str">
            <v>M3</v>
          </cell>
          <cell r="D96">
            <v>24.67</v>
          </cell>
          <cell r="E96">
            <v>20.010000000000002</v>
          </cell>
          <cell r="F96" t="str">
            <v xml:space="preserve"> </v>
          </cell>
        </row>
        <row r="97">
          <cell r="A97">
            <v>40761</v>
          </cell>
          <cell r="B97" t="str">
            <v>Estabilização granulométrica de solos c/ mistura de areia na pista 100%  P.M. (80%, 20%) exclusive transporte</v>
          </cell>
          <cell r="C97" t="str">
            <v>M3</v>
          </cell>
          <cell r="D97">
            <v>49.46</v>
          </cell>
          <cell r="E97">
            <v>40.11</v>
          </cell>
          <cell r="F97" t="str">
            <v xml:space="preserve"> </v>
          </cell>
        </row>
        <row r="98">
          <cell r="A98">
            <v>40759</v>
          </cell>
          <cell r="B98" t="str">
            <v>Estabilização granulométrica de solos c/ mistura na pista 100 % P.I.</v>
          </cell>
          <cell r="C98" t="str">
            <v>M3</v>
          </cell>
          <cell r="D98">
            <v>25.18</v>
          </cell>
          <cell r="E98">
            <v>20.420000000000002</v>
          </cell>
          <cell r="F98" t="str">
            <v xml:space="preserve"> </v>
          </cell>
        </row>
        <row r="99">
          <cell r="A99">
            <v>40760</v>
          </cell>
          <cell r="B99" t="str">
            <v>Estabilização granulométrica de solos c/ mistura na pista 100%  P.M.</v>
          </cell>
          <cell r="C99" t="str">
            <v>M3</v>
          </cell>
          <cell r="D99">
            <v>25.92</v>
          </cell>
          <cell r="E99">
            <v>21.02</v>
          </cell>
          <cell r="F99" t="str">
            <v xml:space="preserve"> </v>
          </cell>
        </row>
        <row r="100">
          <cell r="A100">
            <v>41069</v>
          </cell>
          <cell r="B100" t="str">
            <v>Fresagem de pavimento asfáltico a frio, esp. até 15cm, exclusive transporte de materiais</v>
          </cell>
          <cell r="C100" t="str">
            <v>M2</v>
          </cell>
          <cell r="D100">
            <v>15.73</v>
          </cell>
          <cell r="E100">
            <v>12.76</v>
          </cell>
          <cell r="F100" t="str">
            <v xml:space="preserve"> </v>
          </cell>
        </row>
        <row r="101">
          <cell r="A101">
            <v>40985</v>
          </cell>
          <cell r="B101" t="str">
            <v>Fresagem de pavimento asfáltico a frio, esp=5cm, exclusive transporte de materiais</v>
          </cell>
          <cell r="C101" t="str">
            <v>M2</v>
          </cell>
          <cell r="D101">
            <v>13.63</v>
          </cell>
          <cell r="E101">
            <v>11.06</v>
          </cell>
          <cell r="F101" t="str">
            <v xml:space="preserve"> </v>
          </cell>
        </row>
        <row r="102">
          <cell r="A102">
            <v>40868</v>
          </cell>
          <cell r="B102" t="str">
            <v>Fresagem de pavimento asfáltico a frio, esp.=5cm inclusive transporte do material</v>
          </cell>
          <cell r="C102" t="str">
            <v>M2</v>
          </cell>
          <cell r="D102">
            <v>19.62</v>
          </cell>
          <cell r="E102">
            <v>15.91</v>
          </cell>
          <cell r="F102" t="str">
            <v xml:space="preserve"> </v>
          </cell>
        </row>
        <row r="103">
          <cell r="A103">
            <v>40816</v>
          </cell>
          <cell r="B103" t="str">
            <v>Imprimação exclusive fornecimento e transporte comercial do material betuminoso</v>
          </cell>
          <cell r="C103" t="str">
            <v>M2</v>
          </cell>
          <cell r="D103">
            <v>1.01</v>
          </cell>
          <cell r="E103">
            <v>0.82</v>
          </cell>
          <cell r="F103" t="str">
            <v xml:space="preserve"> </v>
          </cell>
        </row>
        <row r="104">
          <cell r="A104">
            <v>40817</v>
          </cell>
          <cell r="B104" t="str">
            <v>Imprimação inclusive fornecimento e transporte comercial do material betuminoso</v>
          </cell>
          <cell r="C104" t="str">
            <v>M2</v>
          </cell>
          <cell r="D104">
            <v>9.91</v>
          </cell>
          <cell r="E104">
            <v>8.0399999999999991</v>
          </cell>
          <cell r="F104" t="str">
            <v>A incluir</v>
          </cell>
        </row>
        <row r="105">
          <cell r="A105">
            <v>40850</v>
          </cell>
          <cell r="B105" t="str">
            <v>Lama asfáltica (faixa I - ISSA) exclusive fornecimento e transporte comercial da emulsão</v>
          </cell>
          <cell r="C105" t="str">
            <v>M2</v>
          </cell>
          <cell r="D105">
            <v>2.02</v>
          </cell>
          <cell r="E105">
            <v>1.64</v>
          </cell>
          <cell r="F105" t="str">
            <v>A incluir</v>
          </cell>
        </row>
        <row r="106">
          <cell r="A106">
            <v>40851</v>
          </cell>
          <cell r="B106" t="str">
            <v>Lama asfáltica (faixa I - ISSA) inclusive fornecimento e transporte comercial da emulsão</v>
          </cell>
          <cell r="C106" t="str">
            <v>M2</v>
          </cell>
          <cell r="D106">
            <v>4.99</v>
          </cell>
          <cell r="E106">
            <v>4.05</v>
          </cell>
          <cell r="F106" t="str">
            <v>A incluir</v>
          </cell>
        </row>
        <row r="107">
          <cell r="A107">
            <v>40852</v>
          </cell>
          <cell r="B107" t="str">
            <v>Lama asfáltica (faixa II - ISSA) exclusive fornecimento e transporte comercial da emulsão</v>
          </cell>
          <cell r="C107" t="str">
            <v>M2</v>
          </cell>
          <cell r="D107">
            <v>2.17</v>
          </cell>
          <cell r="E107">
            <v>1.76</v>
          </cell>
          <cell r="F107" t="str">
            <v>A incluir</v>
          </cell>
        </row>
        <row r="108">
          <cell r="A108">
            <v>40853</v>
          </cell>
          <cell r="B108" t="str">
            <v>Lama asfáltica (faixa II - ISSA) inclusive fornecimento e transporte comercial da emulsão</v>
          </cell>
          <cell r="C108" t="str">
            <v>M2</v>
          </cell>
          <cell r="D108">
            <v>6.83</v>
          </cell>
          <cell r="E108">
            <v>5.54</v>
          </cell>
          <cell r="F108" t="str">
            <v>A incluir</v>
          </cell>
        </row>
        <row r="109">
          <cell r="A109">
            <v>40854</v>
          </cell>
          <cell r="B109" t="str">
            <v>Lama asfáltica (faixa III - ISSA) exclusive fornecimento e transporte comercial da emulsão</v>
          </cell>
          <cell r="C109" t="str">
            <v>M2</v>
          </cell>
          <cell r="D109">
            <v>2.2799999999999998</v>
          </cell>
          <cell r="E109">
            <v>1.85</v>
          </cell>
          <cell r="F109" t="str">
            <v>A incluir</v>
          </cell>
        </row>
        <row r="110">
          <cell r="A110">
            <v>40855</v>
          </cell>
          <cell r="B110" t="str">
            <v>Lama asfáltica (faixa III - ISSA) inclusive fornecimento e transporte comercial da emulsão</v>
          </cell>
          <cell r="C110" t="str">
            <v>M2</v>
          </cell>
          <cell r="D110">
            <v>9.06</v>
          </cell>
          <cell r="E110">
            <v>7.35</v>
          </cell>
          <cell r="F110" t="str">
            <v>A incluir</v>
          </cell>
        </row>
        <row r="111">
          <cell r="A111">
            <v>40856</v>
          </cell>
          <cell r="B111" t="str">
            <v>Lama asfáltica (faixa IV - ISSA) exclusive fornecimento e transporte comercial da emulsão</v>
          </cell>
          <cell r="C111" t="str">
            <v>M2</v>
          </cell>
          <cell r="D111">
            <v>2.66</v>
          </cell>
          <cell r="E111">
            <v>2.16</v>
          </cell>
          <cell r="F111" t="str">
            <v>A incluir</v>
          </cell>
        </row>
        <row r="112">
          <cell r="A112">
            <v>40857</v>
          </cell>
          <cell r="B112" t="str">
            <v>Lama asfáltica (faixa IV - ISSA) inclusive fornecimento e transporte comercial da emulsão</v>
          </cell>
          <cell r="C112" t="str">
            <v>M2</v>
          </cell>
          <cell r="D112">
            <v>11.99</v>
          </cell>
          <cell r="E112">
            <v>9.73</v>
          </cell>
          <cell r="F112" t="str">
            <v>A incluir</v>
          </cell>
        </row>
        <row r="113">
          <cell r="A113">
            <v>42229</v>
          </cell>
          <cell r="B113" t="str">
            <v>Lavagem de brita para tratamento</v>
          </cell>
          <cell r="C113" t="str">
            <v>M3</v>
          </cell>
          <cell r="D113">
            <v>24.05</v>
          </cell>
          <cell r="E113">
            <v>19.510000000000002</v>
          </cell>
          <cell r="F113" t="str">
            <v xml:space="preserve"> </v>
          </cell>
        </row>
        <row r="114">
          <cell r="A114">
            <v>40894</v>
          </cell>
          <cell r="B114" t="str">
            <v>Meio fio (assentamento), inclusive caiação</v>
          </cell>
          <cell r="C114" t="str">
            <v>M</v>
          </cell>
          <cell r="D114">
            <v>34.340000000000003</v>
          </cell>
          <cell r="E114">
            <v>27.85</v>
          </cell>
          <cell r="F114" t="str">
            <v xml:space="preserve"> </v>
          </cell>
        </row>
        <row r="115">
          <cell r="A115">
            <v>40895</v>
          </cell>
          <cell r="B115" t="str">
            <v>Meio fio (remoção e reassentamento),  inclusive caiação</v>
          </cell>
          <cell r="C115" t="str">
            <v>M</v>
          </cell>
          <cell r="D115">
            <v>61.32</v>
          </cell>
          <cell r="E115">
            <v>49.73</v>
          </cell>
          <cell r="F115" t="str">
            <v xml:space="preserve"> </v>
          </cell>
        </row>
        <row r="116">
          <cell r="A116">
            <v>40869</v>
          </cell>
          <cell r="B116" t="str">
            <v>Micro revestimento asfáltico à frio exclusive fornecimento e transporte comercial do material betuminoso</v>
          </cell>
          <cell r="C116" t="str">
            <v>M2</v>
          </cell>
          <cell r="D116">
            <v>7.18</v>
          </cell>
          <cell r="E116">
            <v>5.83</v>
          </cell>
          <cell r="F116" t="str">
            <v>A incluir</v>
          </cell>
        </row>
        <row r="117">
          <cell r="A117">
            <v>40881</v>
          </cell>
          <cell r="B117" t="str">
            <v>Micro revestimento asfáltico à frio exclusive fornecimento emulsão e transp. de todos os materiais</v>
          </cell>
          <cell r="C117" t="str">
            <v>M2</v>
          </cell>
          <cell r="D117">
            <v>7.18</v>
          </cell>
          <cell r="E117">
            <v>5.83</v>
          </cell>
          <cell r="F117" t="str">
            <v xml:space="preserve"> </v>
          </cell>
        </row>
        <row r="118">
          <cell r="A118">
            <v>40870</v>
          </cell>
          <cell r="B118" t="str">
            <v>Micro revestimento asfáltico à frio inclusive fornecimento e transporte comercial do material betuminoso</v>
          </cell>
          <cell r="C118" t="str">
            <v>M2</v>
          </cell>
          <cell r="D118">
            <v>19.12</v>
          </cell>
          <cell r="E118">
            <v>15.51</v>
          </cell>
          <cell r="F118" t="str">
            <v>A incluir</v>
          </cell>
        </row>
        <row r="119">
          <cell r="A119">
            <v>40860</v>
          </cell>
          <cell r="B119" t="str">
            <v>Obturação de buracos c/ CBUQ exclusive fornecimento e transporte comercial dos materiais betuminosos</v>
          </cell>
          <cell r="C119" t="str">
            <v>M2</v>
          </cell>
          <cell r="D119">
            <v>52.12</v>
          </cell>
          <cell r="E119">
            <v>42.27</v>
          </cell>
          <cell r="F119" t="str">
            <v>A incluir</v>
          </cell>
        </row>
        <row r="120">
          <cell r="A120">
            <v>40864</v>
          </cell>
          <cell r="B120" t="str">
            <v>Obturação de buracos c/ CBUQ exclusive fornecimento e transporte dos materiais betuminosos</v>
          </cell>
          <cell r="C120" t="str">
            <v>t</v>
          </cell>
          <cell r="D120">
            <v>536.47</v>
          </cell>
          <cell r="E120">
            <v>435.03</v>
          </cell>
          <cell r="F120" t="str">
            <v>A incluir</v>
          </cell>
        </row>
        <row r="121">
          <cell r="A121">
            <v>40861</v>
          </cell>
          <cell r="B121" t="str">
            <v>Obturação de buracos c/ CBUQ inclusive fornecimento e transporte comercial dos materiais betuminosos</v>
          </cell>
          <cell r="C121" t="str">
            <v>M2</v>
          </cell>
          <cell r="D121">
            <v>86.33</v>
          </cell>
          <cell r="E121">
            <v>70.010000000000005</v>
          </cell>
          <cell r="F121" t="str">
            <v>A incluir</v>
          </cell>
        </row>
        <row r="122">
          <cell r="A122">
            <v>40865</v>
          </cell>
          <cell r="B122" t="str">
            <v>Obturação de buracos c/ CBUQ inclusive fornecimento e transporte dos materiais betuminosos</v>
          </cell>
          <cell r="C122" t="str">
            <v>t</v>
          </cell>
          <cell r="D122">
            <v>911.74</v>
          </cell>
          <cell r="E122">
            <v>739.33</v>
          </cell>
          <cell r="F122" t="str">
            <v>A incluir</v>
          </cell>
        </row>
        <row r="123">
          <cell r="A123">
            <v>40880</v>
          </cell>
          <cell r="B123" t="str">
            <v>Obturação de buracos c/ CBUQ-faixa "C", exclusive forn.do CAP e transporte de todos os materiais</v>
          </cell>
          <cell r="C123" t="str">
            <v>M2</v>
          </cell>
          <cell r="D123">
            <v>56.48</v>
          </cell>
          <cell r="E123">
            <v>45.8</v>
          </cell>
          <cell r="F123" t="str">
            <v xml:space="preserve"> </v>
          </cell>
        </row>
        <row r="124">
          <cell r="A124">
            <v>40858</v>
          </cell>
          <cell r="B124" t="str">
            <v>Obturação de buracos c/ PMF exclusive fornecimento e transporte comercial da emulsão</v>
          </cell>
          <cell r="C124" t="str">
            <v>M2</v>
          </cell>
          <cell r="D124">
            <v>46.89</v>
          </cell>
          <cell r="E124">
            <v>38.03</v>
          </cell>
          <cell r="F124" t="str">
            <v>A incluir</v>
          </cell>
        </row>
        <row r="125">
          <cell r="A125">
            <v>40862</v>
          </cell>
          <cell r="B125" t="str">
            <v>Obturação de buracos c/ PMF exclusive fornecimento e transporte dos materiais betuminosos</v>
          </cell>
          <cell r="C125" t="str">
            <v>t</v>
          </cell>
          <cell r="D125">
            <v>482</v>
          </cell>
          <cell r="E125">
            <v>390.86</v>
          </cell>
          <cell r="F125" t="str">
            <v>A incluir</v>
          </cell>
        </row>
        <row r="126">
          <cell r="A126">
            <v>40859</v>
          </cell>
          <cell r="B126" t="str">
            <v>Obturação de buracos c/ PMF inclusive fornecimento e transporte comercial da emulsão</v>
          </cell>
          <cell r="C126" t="str">
            <v>M2</v>
          </cell>
          <cell r="D126">
            <v>84.53</v>
          </cell>
          <cell r="E126">
            <v>68.55</v>
          </cell>
          <cell r="F126" t="str">
            <v>A incluir</v>
          </cell>
        </row>
        <row r="127">
          <cell r="A127">
            <v>40863</v>
          </cell>
          <cell r="B127" t="str">
            <v>Obturação de buracos c/ PMF inclusive fornecimento e transporte dos materiais betuminosos</v>
          </cell>
          <cell r="C127" t="str">
            <v>t</v>
          </cell>
          <cell r="D127">
            <v>879.9</v>
          </cell>
          <cell r="E127">
            <v>713.51</v>
          </cell>
          <cell r="F127" t="str">
            <v>A incluir</v>
          </cell>
        </row>
        <row r="128">
          <cell r="A128">
            <v>40883</v>
          </cell>
          <cell r="B128" t="str">
            <v>Pavimentação com blocos de concreto  (35 MPa), esp.= 06 cm, sobre colchão areia esp.= 5 cm, inclusive fornecimento e transporte dos blocos e areia</v>
          </cell>
          <cell r="C128" t="str">
            <v>M2</v>
          </cell>
          <cell r="D128">
            <v>91.36</v>
          </cell>
          <cell r="E128">
            <v>74.09</v>
          </cell>
          <cell r="F128" t="str">
            <v>A incluir</v>
          </cell>
        </row>
        <row r="129">
          <cell r="A129">
            <v>40885</v>
          </cell>
          <cell r="B129" t="str">
            <v>Pavimentação com blocos de concreto (35 MPa), esp. = 10 cm, sobre colchão areia esp.= 5cm, inclusive fornecimento e transporte dos blocos e areia</v>
          </cell>
          <cell r="C129" t="str">
            <v>M2</v>
          </cell>
          <cell r="D129">
            <v>116.2</v>
          </cell>
          <cell r="E129">
            <v>94.23</v>
          </cell>
          <cell r="F129" t="str">
            <v>A incluir</v>
          </cell>
        </row>
        <row r="130">
          <cell r="A130">
            <v>40897</v>
          </cell>
          <cell r="B130" t="str">
            <v>Pavimentação com blocos de concreto (35 MPa), esp.= 06cm, sobre colchão areia esp.=5cm, inclusive fornecim. do bloco e areia, exclus. transp.materiais</v>
          </cell>
          <cell r="C130" t="str">
            <v>M2</v>
          </cell>
          <cell r="D130">
            <v>91.36</v>
          </cell>
          <cell r="E130">
            <v>74.09</v>
          </cell>
          <cell r="F130" t="str">
            <v xml:space="preserve"> </v>
          </cell>
        </row>
        <row r="131">
          <cell r="A131">
            <v>40884</v>
          </cell>
          <cell r="B131" t="str">
            <v>Pavimentação com blocos de concreto (35 MPa), esp.= 08 cm, colchão areia esp.= 5cm, inclusive fornecimento e transporte dos blocos e areia</v>
          </cell>
          <cell r="C131" t="str">
            <v>M2</v>
          </cell>
          <cell r="D131">
            <v>109.64</v>
          </cell>
          <cell r="E131">
            <v>88.91</v>
          </cell>
          <cell r="F131" t="str">
            <v>A incluir</v>
          </cell>
        </row>
        <row r="132">
          <cell r="A132">
            <v>40898</v>
          </cell>
          <cell r="B132" t="str">
            <v>Pavimentação com blocos de concreto (35 MPa) esp.=08 cm,colchão areia esp.=5cm, inclusive fornecim. do bloco e areia, exclusive transp. blocos e areia</v>
          </cell>
          <cell r="C132" t="str">
            <v>M2</v>
          </cell>
          <cell r="D132">
            <v>109.64</v>
          </cell>
          <cell r="E132">
            <v>88.91</v>
          </cell>
          <cell r="F132" t="str">
            <v xml:space="preserve"> </v>
          </cell>
        </row>
        <row r="133">
          <cell r="A133">
            <v>40896</v>
          </cell>
          <cell r="B133" t="str">
            <v>Pavimentação com blocos de concreto (35MPa), esp.=10 cm, sobre colchão de areia esp.=5cm, inclusive fornecim. do bloco e areia , exclusive transportes</v>
          </cell>
          <cell r="C133" t="str">
            <v>M2</v>
          </cell>
          <cell r="D133">
            <v>116.2</v>
          </cell>
          <cell r="E133">
            <v>94.23</v>
          </cell>
          <cell r="F133" t="str">
            <v xml:space="preserve"> </v>
          </cell>
        </row>
        <row r="134">
          <cell r="A134">
            <v>40886</v>
          </cell>
          <cell r="B134" t="str">
            <v>Pavimentação com paralelepípedo, sobre colchão areia esp.= 5cm, inclus. fornecimento e transport. da areia, exclus. fornecim. e transp. paralelepípedo</v>
          </cell>
          <cell r="C134" t="str">
            <v>M2</v>
          </cell>
          <cell r="D134">
            <v>40.79</v>
          </cell>
          <cell r="E134">
            <v>33.08</v>
          </cell>
          <cell r="F134" t="str">
            <v>A incluir</v>
          </cell>
        </row>
        <row r="135">
          <cell r="A135">
            <v>40887</v>
          </cell>
          <cell r="B135" t="str">
            <v>Pavimentação com paralelepípedo, sobre colchão areia esp.= 5cm, inclusive fornecimento e transporte do paralelepípedo e areia</v>
          </cell>
          <cell r="C135" t="str">
            <v>M2</v>
          </cell>
          <cell r="D135">
            <v>204.56</v>
          </cell>
          <cell r="E135">
            <v>165.88</v>
          </cell>
          <cell r="F135" t="str">
            <v>A incluir</v>
          </cell>
        </row>
        <row r="136">
          <cell r="A136">
            <v>40888</v>
          </cell>
          <cell r="B136" t="str">
            <v>Pavimentação com paralelepípedo, sobre colchão pó de pedra esp.= 5cm, inclusive fornecimento e transporte do paralelepípedo e pó de pedra</v>
          </cell>
          <cell r="C136" t="str">
            <v>M2</v>
          </cell>
          <cell r="D136">
            <v>204</v>
          </cell>
          <cell r="E136">
            <v>165.43</v>
          </cell>
          <cell r="F136" t="str">
            <v>A incluir</v>
          </cell>
        </row>
        <row r="137">
          <cell r="A137">
            <v>40889</v>
          </cell>
          <cell r="B137" t="str">
            <v>Pavimentação com pedra portuguesa, inclusive fornecimento e transporte da pedra portuguesa, cimento e areia</v>
          </cell>
          <cell r="C137" t="str">
            <v>M2</v>
          </cell>
          <cell r="D137">
            <v>149.99</v>
          </cell>
          <cell r="E137">
            <v>121.63</v>
          </cell>
          <cell r="F137" t="str">
            <v>A incluir</v>
          </cell>
        </row>
        <row r="138">
          <cell r="A138">
            <v>40818</v>
          </cell>
          <cell r="B138" t="str">
            <v>Pintura de ligação exclusive fornecimento e transporte comercial do material betuminoso</v>
          </cell>
          <cell r="C138" t="str">
            <v>M2</v>
          </cell>
          <cell r="D138">
            <v>0.83</v>
          </cell>
          <cell r="E138">
            <v>0.68</v>
          </cell>
          <cell r="F138" t="str">
            <v xml:space="preserve"> </v>
          </cell>
        </row>
        <row r="139">
          <cell r="A139">
            <v>40819</v>
          </cell>
          <cell r="B139" t="str">
            <v>Pintura de ligação inclusive fornecimento e transporte comercial do material betuminoso</v>
          </cell>
          <cell r="C139" t="str">
            <v>M2</v>
          </cell>
          <cell r="D139">
            <v>2.91</v>
          </cell>
          <cell r="E139">
            <v>2.36</v>
          </cell>
          <cell r="F139" t="str">
            <v>A incluir</v>
          </cell>
        </row>
        <row r="140">
          <cell r="A140">
            <v>40872</v>
          </cell>
          <cell r="B140" t="str">
            <v>PMF camada pronta exclusive fornecimento  e transporte comercial da emulsão</v>
          </cell>
          <cell r="C140" t="str">
            <v>t</v>
          </cell>
          <cell r="D140">
            <v>79.430000000000007</v>
          </cell>
          <cell r="E140">
            <v>64.41</v>
          </cell>
          <cell r="F140" t="str">
            <v>A incluir</v>
          </cell>
        </row>
        <row r="141">
          <cell r="A141">
            <v>40836</v>
          </cell>
          <cell r="B141" t="str">
            <v>PMF (massa asfáltica) exclusive fornecimento e transporte comercial da emulsão</v>
          </cell>
          <cell r="C141" t="str">
            <v>t</v>
          </cell>
          <cell r="D141">
            <v>54.31</v>
          </cell>
          <cell r="E141">
            <v>44.04</v>
          </cell>
          <cell r="F141" t="str">
            <v>A incluir</v>
          </cell>
        </row>
        <row r="142">
          <cell r="A142">
            <v>40837</v>
          </cell>
          <cell r="B142" t="str">
            <v>PMF (massa asfáltica) inclusive fornecimento e transporte comercial da emulsão</v>
          </cell>
          <cell r="C142" t="str">
            <v>t</v>
          </cell>
          <cell r="D142">
            <v>404.13</v>
          </cell>
          <cell r="E142">
            <v>327.71</v>
          </cell>
          <cell r="F142" t="str">
            <v>A incluir</v>
          </cell>
        </row>
        <row r="143">
          <cell r="A143">
            <v>41076</v>
          </cell>
          <cell r="B143" t="str">
            <v>Pó de pedra, fornecimento</v>
          </cell>
          <cell r="C143" t="str">
            <v>M3</v>
          </cell>
          <cell r="D143">
            <v>69.069999999999993</v>
          </cell>
          <cell r="E143">
            <v>56.01</v>
          </cell>
          <cell r="F143" t="str">
            <v xml:space="preserve"> </v>
          </cell>
        </row>
        <row r="144">
          <cell r="A144">
            <v>41556</v>
          </cell>
          <cell r="B144" t="str">
            <v>Pó de pedra inclusive fornecimento, espalhamento e transporte</v>
          </cell>
          <cell r="C144" t="str">
            <v>M3</v>
          </cell>
          <cell r="D144">
            <v>74.040000000000006</v>
          </cell>
          <cell r="E144">
            <v>60.04</v>
          </cell>
          <cell r="F144" t="str">
            <v>A incluir</v>
          </cell>
        </row>
        <row r="145">
          <cell r="A145">
            <v>43345</v>
          </cell>
          <cell r="B145" t="str">
            <v>Produção de brita no canteiro, exclusive o desmonte e fragmentação de rocha</v>
          </cell>
          <cell r="C145" t="str">
            <v>M3</v>
          </cell>
          <cell r="D145">
            <v>39.909999999999997</v>
          </cell>
          <cell r="E145">
            <v>32.369999999999997</v>
          </cell>
          <cell r="F145" t="str">
            <v xml:space="preserve"> </v>
          </cell>
        </row>
        <row r="146">
          <cell r="A146">
            <v>40720</v>
          </cell>
          <cell r="B146" t="str">
            <v>Produção de brita no canteiro, inclusive o desmonte  e fragmentação de rocha</v>
          </cell>
          <cell r="C146" t="str">
            <v>M3</v>
          </cell>
          <cell r="D146">
            <v>86.2</v>
          </cell>
          <cell r="E146">
            <v>69.900000000000006</v>
          </cell>
          <cell r="F146" t="str">
            <v xml:space="preserve"> </v>
          </cell>
        </row>
        <row r="147">
          <cell r="A147">
            <v>41070</v>
          </cell>
          <cell r="B147" t="str">
            <v>Reciclagem de pavimento (base) c/ adição de 20% de brita1, 10% de brita 0 e 2% de cimento, inclusive fornecimento e transportes dos materiais</v>
          </cell>
          <cell r="C147" t="str">
            <v>M3</v>
          </cell>
          <cell r="D147">
            <v>116.14</v>
          </cell>
          <cell r="E147">
            <v>94.18</v>
          </cell>
          <cell r="F147" t="str">
            <v>A incluir</v>
          </cell>
        </row>
        <row r="148">
          <cell r="A148">
            <v>40984</v>
          </cell>
          <cell r="B148" t="str">
            <v>Reciclagem de pavimento (Base existente + CBUQ) sem adição de materiais</v>
          </cell>
          <cell r="C148" t="str">
            <v>M3</v>
          </cell>
          <cell r="D148">
            <v>58.56</v>
          </cell>
          <cell r="E148">
            <v>47.49</v>
          </cell>
          <cell r="F148" t="str">
            <v xml:space="preserve"> </v>
          </cell>
        </row>
        <row r="149">
          <cell r="A149">
            <v>41356</v>
          </cell>
          <cell r="B149" t="str">
            <v>Reciclagem de pavimento (Base existente + T.S.D.) c/ adição de 30% de brita, inclusive fornecimento e transporte da brita</v>
          </cell>
          <cell r="C149" t="str">
            <v>M3</v>
          </cell>
          <cell r="D149">
            <v>114.56</v>
          </cell>
          <cell r="E149">
            <v>92.9</v>
          </cell>
          <cell r="F149" t="str">
            <v>A incluir</v>
          </cell>
        </row>
        <row r="150">
          <cell r="A150">
            <v>40774</v>
          </cell>
          <cell r="B150" t="str">
            <v>Reciclagem de pavimento (Base existente + T.S.D.) c/ adição de 30% de brita, inclusive fornecimento, exclusive transporte da brita</v>
          </cell>
          <cell r="C150" t="str">
            <v>M3</v>
          </cell>
          <cell r="D150">
            <v>114.56</v>
          </cell>
          <cell r="E150">
            <v>92.9</v>
          </cell>
          <cell r="F150" t="str">
            <v xml:space="preserve"> </v>
          </cell>
        </row>
        <row r="151">
          <cell r="A151">
            <v>40768</v>
          </cell>
          <cell r="B151" t="str">
            <v>Reciclagem de pavimento (Base existente + T.S.D.) com adição de 20% de brita, inclusive fornecimento e transporte da brita.</v>
          </cell>
          <cell r="C151" t="str">
            <v>M3</v>
          </cell>
          <cell r="D151">
            <v>104.94</v>
          </cell>
          <cell r="E151">
            <v>85.1</v>
          </cell>
          <cell r="F151" t="str">
            <v>A incluir</v>
          </cell>
        </row>
        <row r="152">
          <cell r="A152">
            <v>40767</v>
          </cell>
          <cell r="B152" t="str">
            <v>Reciclagem de pavimento (Base existente + T.S.D.) com adição de 3% de cimento, inclusive fornecimento e tarnsporte do cimento</v>
          </cell>
          <cell r="C152" t="str">
            <v>M3</v>
          </cell>
          <cell r="D152">
            <v>96.48</v>
          </cell>
          <cell r="E152">
            <v>78.239999999999995</v>
          </cell>
          <cell r="F152" t="str">
            <v>A incluir</v>
          </cell>
        </row>
        <row r="153">
          <cell r="A153">
            <v>40769</v>
          </cell>
          <cell r="B153" t="str">
            <v>Reciclagem de pavimento (Base existente + T.S.D.) com adição de 40% de brita, inclusive fornecimento e transporte da brita.</v>
          </cell>
          <cell r="C153" t="str">
            <v>M3</v>
          </cell>
          <cell r="D153">
            <v>124.18</v>
          </cell>
          <cell r="E153">
            <v>100.7</v>
          </cell>
          <cell r="F153" t="str">
            <v>A incluir</v>
          </cell>
        </row>
        <row r="154">
          <cell r="A154">
            <v>40766</v>
          </cell>
          <cell r="B154" t="str">
            <v>Reciclagem de pavimento (Base existente + T.S.D.) sem adição de materiais</v>
          </cell>
          <cell r="C154" t="str">
            <v>M3</v>
          </cell>
          <cell r="D154">
            <v>63.89</v>
          </cell>
          <cell r="E154">
            <v>51.81</v>
          </cell>
          <cell r="F154" t="str">
            <v xml:space="preserve"> </v>
          </cell>
        </row>
        <row r="155">
          <cell r="A155">
            <v>40771</v>
          </cell>
          <cell r="B155" t="str">
            <v>Reciclagem de pavimento (Base existente+TSD) com adição de Ligante Betuminoso, inclusive fornecimento e transporte da emulsão</v>
          </cell>
          <cell r="C155" t="str">
            <v>M3</v>
          </cell>
          <cell r="D155">
            <v>352.05</v>
          </cell>
          <cell r="E155">
            <v>285.48</v>
          </cell>
          <cell r="F155" t="str">
            <v>A incluir</v>
          </cell>
        </row>
        <row r="156">
          <cell r="A156">
            <v>40773</v>
          </cell>
          <cell r="B156" t="str">
            <v>Reciclagem de pavimento com adição de 2% de cimento, inclusive fornecimento e transporte do cimento</v>
          </cell>
          <cell r="C156" t="str">
            <v>M3</v>
          </cell>
          <cell r="D156">
            <v>85.38</v>
          </cell>
          <cell r="E156">
            <v>69.239999999999995</v>
          </cell>
          <cell r="F156" t="str">
            <v>A incluir</v>
          </cell>
        </row>
        <row r="157">
          <cell r="A157">
            <v>40775</v>
          </cell>
          <cell r="B157" t="str">
            <v>Reciclagem de pavimento(Base existente + T.S.D.) com adição de 40% de brita, inclusive fornecimento, exclusive transporte da brita</v>
          </cell>
          <cell r="C157" t="str">
            <v>M3</v>
          </cell>
          <cell r="D157">
            <v>124.18</v>
          </cell>
          <cell r="E157">
            <v>100.7</v>
          </cell>
          <cell r="F157" t="str">
            <v xml:space="preserve"> </v>
          </cell>
        </row>
        <row r="158">
          <cell r="A158">
            <v>40762</v>
          </cell>
          <cell r="B158" t="str">
            <v>Recuperação de base de acostamento exclusive transporte do material (solo)</v>
          </cell>
          <cell r="C158" t="str">
            <v>M2</v>
          </cell>
          <cell r="D158">
            <v>7.62</v>
          </cell>
          <cell r="E158">
            <v>6.18</v>
          </cell>
          <cell r="F158" t="str">
            <v xml:space="preserve"> </v>
          </cell>
        </row>
        <row r="159">
          <cell r="A159">
            <v>40804</v>
          </cell>
          <cell r="B159" t="str">
            <v>Recuperação de base de acostamentos, inclusive fornecimento e transporte da brita</v>
          </cell>
          <cell r="C159" t="str">
            <v>M2</v>
          </cell>
          <cell r="D159">
            <v>13.28</v>
          </cell>
          <cell r="E159">
            <v>10.77</v>
          </cell>
          <cell r="F159" t="str">
            <v>A incluir</v>
          </cell>
        </row>
        <row r="160">
          <cell r="A160">
            <v>40811</v>
          </cell>
          <cell r="B160" t="str">
            <v>Reestabilização da base com adição de 50% de brita, inclusive fonecimento, exclusive transporte da brita</v>
          </cell>
          <cell r="C160" t="str">
            <v>M3</v>
          </cell>
          <cell r="D160">
            <v>72.099999999999994</v>
          </cell>
          <cell r="E160">
            <v>58.47</v>
          </cell>
          <cell r="F160" t="str">
            <v xml:space="preserve"> </v>
          </cell>
        </row>
        <row r="161">
          <cell r="A161">
            <v>42211</v>
          </cell>
          <cell r="B161" t="str">
            <v>Reestabilização de base com adição de 50% de brita, inclusive fornecimento e transporte da brita</v>
          </cell>
          <cell r="C161" t="str">
            <v>M3</v>
          </cell>
          <cell r="D161">
            <v>72.099999999999994</v>
          </cell>
          <cell r="E161">
            <v>58.47</v>
          </cell>
          <cell r="F161" t="str">
            <v>A incluir</v>
          </cell>
        </row>
        <row r="162">
          <cell r="A162">
            <v>40756</v>
          </cell>
          <cell r="B162" t="str">
            <v>Reforço do sub leito 100% P.I.</v>
          </cell>
          <cell r="C162" t="str">
            <v>M3</v>
          </cell>
          <cell r="D162">
            <v>8.44</v>
          </cell>
          <cell r="E162">
            <v>6.85</v>
          </cell>
          <cell r="F162" t="str">
            <v xml:space="preserve"> </v>
          </cell>
        </row>
        <row r="163">
          <cell r="A163">
            <v>40754</v>
          </cell>
          <cell r="B163" t="str">
            <v>Regularização e compactação do sub-leito (100% P.I.) H = 0,20 m</v>
          </cell>
          <cell r="C163" t="str">
            <v>M2</v>
          </cell>
          <cell r="D163">
            <v>1.5</v>
          </cell>
          <cell r="E163">
            <v>1.22</v>
          </cell>
          <cell r="F163" t="str">
            <v xml:space="preserve"> </v>
          </cell>
        </row>
        <row r="164">
          <cell r="A164">
            <v>40866</v>
          </cell>
          <cell r="B164" t="str">
            <v>Remoção de capa asfáltica em TSS, TSD, ou TST exclusive transporte</v>
          </cell>
          <cell r="C164" t="str">
            <v>M2</v>
          </cell>
          <cell r="D164">
            <v>0.98</v>
          </cell>
          <cell r="E164">
            <v>0.8</v>
          </cell>
          <cell r="F164" t="str">
            <v xml:space="preserve"> </v>
          </cell>
        </row>
        <row r="165">
          <cell r="A165">
            <v>40893</v>
          </cell>
          <cell r="B165" t="str">
            <v>Remoção de meio fio</v>
          </cell>
          <cell r="C165" t="str">
            <v>M</v>
          </cell>
          <cell r="D165">
            <v>26.97</v>
          </cell>
          <cell r="E165">
            <v>21.87</v>
          </cell>
          <cell r="F165" t="str">
            <v xml:space="preserve"> </v>
          </cell>
        </row>
        <row r="166">
          <cell r="A166">
            <v>40891</v>
          </cell>
          <cell r="B166" t="str">
            <v>Remoção de pavimentação poliédrica</v>
          </cell>
          <cell r="C166" t="str">
            <v>M2</v>
          </cell>
          <cell r="D166">
            <v>21.8</v>
          </cell>
          <cell r="E166">
            <v>17.68</v>
          </cell>
          <cell r="F166" t="str">
            <v xml:space="preserve"> </v>
          </cell>
        </row>
        <row r="167">
          <cell r="A167">
            <v>40890</v>
          </cell>
          <cell r="B167" t="str">
            <v>Remoção e reassentamento de blocos de concreto, inclusive perdas</v>
          </cell>
          <cell r="C167" t="str">
            <v>M2</v>
          </cell>
          <cell r="D167">
            <v>78.400000000000006</v>
          </cell>
          <cell r="E167">
            <v>63.58</v>
          </cell>
          <cell r="F167" t="str">
            <v>A incluir</v>
          </cell>
        </row>
        <row r="168">
          <cell r="A168">
            <v>40892</v>
          </cell>
          <cell r="B168" t="str">
            <v>Remoção e reassentamento de paralelepípedos, inclusive perdas, colchão de areia e transportes de areia e paralelepípedo</v>
          </cell>
          <cell r="C168" t="str">
            <v>M2</v>
          </cell>
          <cell r="D168">
            <v>87.24</v>
          </cell>
          <cell r="E168">
            <v>70.75</v>
          </cell>
          <cell r="F168" t="str">
            <v>A incluir</v>
          </cell>
        </row>
        <row r="169">
          <cell r="A169">
            <v>40749</v>
          </cell>
          <cell r="B169" t="str">
            <v>Revestimento em estradas vicinais (saibro)</v>
          </cell>
          <cell r="C169" t="str">
            <v>M2</v>
          </cell>
          <cell r="D169">
            <v>0.2</v>
          </cell>
          <cell r="E169">
            <v>0.17</v>
          </cell>
          <cell r="F169" t="str">
            <v xml:space="preserve"> </v>
          </cell>
        </row>
        <row r="170">
          <cell r="A170">
            <v>40750</v>
          </cell>
          <cell r="B170" t="str">
            <v>Revestimento primário, espalhamento e compactação (espessura até 0,15m)</v>
          </cell>
          <cell r="C170" t="str">
            <v>M2</v>
          </cell>
          <cell r="D170">
            <v>0.99</v>
          </cell>
          <cell r="E170">
            <v>0.81</v>
          </cell>
          <cell r="F170" t="str">
            <v xml:space="preserve"> </v>
          </cell>
        </row>
        <row r="171">
          <cell r="A171">
            <v>40792</v>
          </cell>
          <cell r="B171" t="str">
            <v>Sub-base c/ mistura de argila 30%, pó de pedra 30% e brita 40%, inclusive fornecimento e transporte do pó de pedra e da brita</v>
          </cell>
          <cell r="C171" t="str">
            <v>M3</v>
          </cell>
          <cell r="D171">
            <v>114.31</v>
          </cell>
          <cell r="E171">
            <v>92.7</v>
          </cell>
          <cell r="F171" t="str">
            <v>A incluir</v>
          </cell>
        </row>
        <row r="172">
          <cell r="A172">
            <v>40794</v>
          </cell>
          <cell r="B172" t="str">
            <v>Sub-base c/ mistura de solo 80% e areia 20%, inclusive transporte da areia</v>
          </cell>
          <cell r="C172" t="str">
            <v>M3</v>
          </cell>
          <cell r="D172">
            <v>48.85</v>
          </cell>
          <cell r="E172">
            <v>39.619999999999997</v>
          </cell>
          <cell r="F172" t="str">
            <v>A incluir</v>
          </cell>
        </row>
        <row r="173">
          <cell r="A173">
            <v>40796</v>
          </cell>
          <cell r="B173" t="str">
            <v>Sub-base com mistura de argila 70% e escória de aciaria 30%, inclusive fornecim. e transporte  da escória, exceto fornecimento e transporte da argila</v>
          </cell>
          <cell r="C173" t="str">
            <v>M3</v>
          </cell>
          <cell r="D173">
            <v>43.13</v>
          </cell>
          <cell r="E173">
            <v>34.979999999999997</v>
          </cell>
          <cell r="F173" t="str">
            <v>A incluir</v>
          </cell>
        </row>
        <row r="174">
          <cell r="A174">
            <v>41098</v>
          </cell>
          <cell r="B174" t="str">
            <v>Sub-base com solo/escória na proporção 70:30, inclusive fornecimento da escória, exceto fornecimento do solo e transporte do solo e escória</v>
          </cell>
          <cell r="C174" t="str">
            <v>M3</v>
          </cell>
          <cell r="D174">
            <v>43.13</v>
          </cell>
          <cell r="E174">
            <v>34.979999999999997</v>
          </cell>
          <cell r="F174" t="str">
            <v xml:space="preserve"> </v>
          </cell>
        </row>
        <row r="175">
          <cell r="A175">
            <v>40786</v>
          </cell>
          <cell r="B175" t="str">
            <v>Sub-base de brita graduada, inclusive fornecimento e transporte da brita</v>
          </cell>
          <cell r="C175" t="str">
            <v>M3</v>
          </cell>
          <cell r="D175">
            <v>112.86</v>
          </cell>
          <cell r="E175">
            <v>91.52</v>
          </cell>
          <cell r="F175" t="str">
            <v>A incluir</v>
          </cell>
        </row>
        <row r="176">
          <cell r="A176">
            <v>43327</v>
          </cell>
          <cell r="B176" t="str">
            <v>Sub-base de brita graduada, inclusive fornecimento, exclusive transporte da brita</v>
          </cell>
          <cell r="C176" t="str">
            <v>M3</v>
          </cell>
          <cell r="D176">
            <v>112.86</v>
          </cell>
          <cell r="E176">
            <v>91.52</v>
          </cell>
          <cell r="F176" t="str">
            <v xml:space="preserve"> </v>
          </cell>
        </row>
        <row r="177">
          <cell r="A177">
            <v>42675</v>
          </cell>
          <cell r="B177" t="str">
            <v>Sub-base de brita 1, inclusive fornecimento, exclusive transporte da brita</v>
          </cell>
          <cell r="C177" t="str">
            <v>M3</v>
          </cell>
          <cell r="D177">
            <v>153.19999999999999</v>
          </cell>
          <cell r="E177">
            <v>124.23</v>
          </cell>
          <cell r="F177" t="str">
            <v xml:space="preserve"> </v>
          </cell>
        </row>
        <row r="178">
          <cell r="A178">
            <v>40802</v>
          </cell>
          <cell r="B178" t="str">
            <v>Sub-base de escória de aciaria, inclusive fornecimento e transporte da escória</v>
          </cell>
          <cell r="C178" t="str">
            <v>M3</v>
          </cell>
          <cell r="D178">
            <v>70.83</v>
          </cell>
          <cell r="E178">
            <v>57.44</v>
          </cell>
          <cell r="F178" t="str">
            <v>A incluir</v>
          </cell>
        </row>
        <row r="179">
          <cell r="A179">
            <v>41074</v>
          </cell>
          <cell r="B179" t="str">
            <v>Sub-base de solo brita, 50% em peso, inclusive fornecimento, exclusive transporte da brita</v>
          </cell>
          <cell r="C179" t="str">
            <v>M3</v>
          </cell>
          <cell r="D179">
            <v>72.62</v>
          </cell>
          <cell r="E179">
            <v>58.89</v>
          </cell>
          <cell r="F179" t="str">
            <v xml:space="preserve"> </v>
          </cell>
        </row>
        <row r="180">
          <cell r="A180">
            <v>40776</v>
          </cell>
          <cell r="B180" t="str">
            <v>Sub-base solo brita, 20% em peso, inclusive fornecimento e transporte da brita.</v>
          </cell>
          <cell r="C180" t="str">
            <v>M3</v>
          </cell>
          <cell r="D180">
            <v>47.61</v>
          </cell>
          <cell r="E180">
            <v>38.61</v>
          </cell>
          <cell r="F180" t="str">
            <v>A incluir</v>
          </cell>
        </row>
        <row r="181">
          <cell r="A181">
            <v>40778</v>
          </cell>
          <cell r="B181" t="str">
            <v>Sub-base solo brita, 30% em peso, inclusive fornecimento e transporte da brita</v>
          </cell>
          <cell r="C181" t="str">
            <v>M3</v>
          </cell>
          <cell r="D181">
            <v>53.86</v>
          </cell>
          <cell r="E181">
            <v>43.68</v>
          </cell>
          <cell r="F181" t="str">
            <v>A incluir</v>
          </cell>
        </row>
        <row r="182">
          <cell r="A182">
            <v>40780</v>
          </cell>
          <cell r="B182" t="str">
            <v>Sub-base solo brita, 50% em peso, inclusive fornecimento e transporte da brita</v>
          </cell>
          <cell r="C182" t="str">
            <v>M3</v>
          </cell>
          <cell r="D182">
            <v>75.760000000000005</v>
          </cell>
          <cell r="E182">
            <v>61.44</v>
          </cell>
          <cell r="F182" t="str">
            <v>A incluir</v>
          </cell>
        </row>
        <row r="183">
          <cell r="A183">
            <v>40782</v>
          </cell>
          <cell r="B183" t="str">
            <v>Sub-base solo brita, 70% em peso, inclusive fornecimento e transporte da brita</v>
          </cell>
          <cell r="C183" t="str">
            <v>M3</v>
          </cell>
          <cell r="D183">
            <v>95.1</v>
          </cell>
          <cell r="E183">
            <v>77.12</v>
          </cell>
          <cell r="F183" t="str">
            <v>A incluir</v>
          </cell>
        </row>
        <row r="184">
          <cell r="A184">
            <v>40830</v>
          </cell>
          <cell r="B184" t="str">
            <v>T.S.B.D. com capa selante exclusive fornecimento e transporte comercial da emulsão, inclusive lavagem da brita e transporte da areia e brita</v>
          </cell>
          <cell r="C184" t="str">
            <v>M2</v>
          </cell>
          <cell r="D184">
            <v>9.9</v>
          </cell>
          <cell r="E184">
            <v>8.0299999999999994</v>
          </cell>
          <cell r="F184" t="str">
            <v>A incluir</v>
          </cell>
        </row>
        <row r="185">
          <cell r="A185">
            <v>40873</v>
          </cell>
          <cell r="B185" t="str">
            <v>T.S.B.D. com capa selante, executado c/ Multidistribuidor exclus. forn. e transp. com. da emulsão, inclus. lavagem brita e transp. comerc.areia, brita</v>
          </cell>
          <cell r="C185" t="str">
            <v>M2</v>
          </cell>
          <cell r="D185">
            <v>8.17</v>
          </cell>
          <cell r="E185">
            <v>6.63</v>
          </cell>
          <cell r="F185" t="str">
            <v>A incluir</v>
          </cell>
        </row>
        <row r="186">
          <cell r="A186">
            <v>40876</v>
          </cell>
          <cell r="B186" t="str">
            <v>T.S.B.D. com capa selante executado c/ Multidistribuidor,inclus.fornec.areia/brita e lavagem brita, excl.fornec.da emulsão e trnasp.todos os materiais</v>
          </cell>
          <cell r="C186" t="str">
            <v>M2</v>
          </cell>
          <cell r="D186">
            <v>8.7799999999999994</v>
          </cell>
          <cell r="E186">
            <v>7.12</v>
          </cell>
          <cell r="F186" t="str">
            <v xml:space="preserve"> </v>
          </cell>
        </row>
        <row r="187">
          <cell r="A187">
            <v>41363</v>
          </cell>
          <cell r="B187" t="str">
            <v>T.S.B.D. com capa selante, executado com Multidistribuidor inclusive fornecimento, transporte comercial dos materiais e lavagem da brita</v>
          </cell>
          <cell r="C187" t="str">
            <v>M2</v>
          </cell>
          <cell r="D187">
            <v>14.94</v>
          </cell>
          <cell r="E187">
            <v>12.12</v>
          </cell>
          <cell r="F187" t="str">
            <v>A incluir</v>
          </cell>
        </row>
        <row r="188">
          <cell r="A188">
            <v>40831</v>
          </cell>
          <cell r="B188" t="str">
            <v>T.S.B.D. com capa selante inclusive fornecimento e transporte comercial dos materiais e lavagem da brita</v>
          </cell>
          <cell r="C188" t="str">
            <v>M2</v>
          </cell>
          <cell r="D188">
            <v>26.02</v>
          </cell>
          <cell r="E188">
            <v>21.1</v>
          </cell>
          <cell r="F188" t="str">
            <v>A incluir</v>
          </cell>
        </row>
        <row r="189">
          <cell r="A189">
            <v>40827</v>
          </cell>
          <cell r="B189" t="str">
            <v>T.S.B.D. sem capa selante,  inclusive fornecimento e transporte comercial dos materiais e lavagem de brita</v>
          </cell>
          <cell r="C189" t="str">
            <v>M2</v>
          </cell>
          <cell r="D189">
            <v>14.21</v>
          </cell>
          <cell r="E189">
            <v>11.53</v>
          </cell>
          <cell r="F189" t="str">
            <v>A incluir</v>
          </cell>
        </row>
        <row r="190">
          <cell r="A190">
            <v>40828</v>
          </cell>
          <cell r="B190" t="str">
            <v>T.S.B.D. sem capa selante exclusive fornecimento e transporte comercial da emulsão, inclusive lavagem e transporte comercial  da brita</v>
          </cell>
          <cell r="C190" t="str">
            <v>M2</v>
          </cell>
          <cell r="D190">
            <v>9.0299999999999994</v>
          </cell>
          <cell r="E190">
            <v>7.33</v>
          </cell>
          <cell r="F190" t="str">
            <v>A incluir</v>
          </cell>
        </row>
        <row r="191">
          <cell r="A191">
            <v>40874</v>
          </cell>
          <cell r="B191" t="str">
            <v>T.S.B.D. sem capa selante, executado c/ Multidistribuidor exclusive fornec.e transp. comercial da emulsão, inclusive lavagem e transp. comerc.da brita</v>
          </cell>
          <cell r="C191" t="str">
            <v>M2</v>
          </cell>
          <cell r="D191">
            <v>9.08</v>
          </cell>
          <cell r="E191">
            <v>7.37</v>
          </cell>
          <cell r="F191" t="str">
            <v>A incluir</v>
          </cell>
        </row>
        <row r="192">
          <cell r="A192">
            <v>40875</v>
          </cell>
          <cell r="B192" t="str">
            <v>T.S.B.D. sem capa selante executado com Multidistribuidor excl. forn. da emulsão e transp. comerciais da emulsão e da brita, inclus. lavagem da brita</v>
          </cell>
          <cell r="C192" t="str">
            <v>M2</v>
          </cell>
          <cell r="D192">
            <v>8.6199999999999992</v>
          </cell>
          <cell r="E192">
            <v>6.99</v>
          </cell>
          <cell r="F192" t="str">
            <v xml:space="preserve"> </v>
          </cell>
        </row>
        <row r="193">
          <cell r="A193">
            <v>40829</v>
          </cell>
          <cell r="B193" t="str">
            <v>T.S.B.D. sem capa selante inclusive fornecimento e transporte comercial dos materiais e lavagem da brita</v>
          </cell>
          <cell r="C193" t="str">
            <v>M2</v>
          </cell>
          <cell r="D193">
            <v>23.88</v>
          </cell>
          <cell r="E193">
            <v>19.37</v>
          </cell>
          <cell r="F193" t="str">
            <v>A incluir</v>
          </cell>
        </row>
        <row r="194">
          <cell r="A194">
            <v>40824</v>
          </cell>
          <cell r="B194" t="str">
            <v>T.S.B.S. com capa selante exclusive fornecimento e transporte comercial da emulsão, inclusive lavagem e transporte comercial da brita</v>
          </cell>
          <cell r="C194" t="str">
            <v>M2</v>
          </cell>
          <cell r="D194">
            <v>5.63</v>
          </cell>
          <cell r="E194">
            <v>4.57</v>
          </cell>
          <cell r="F194" t="str">
            <v>A incluir</v>
          </cell>
        </row>
        <row r="195">
          <cell r="A195">
            <v>40825</v>
          </cell>
          <cell r="B195" t="str">
            <v>T.S.B.S. com capa selante inclusive fornecimento e transporte comercial dos materiais e lavagem da brita</v>
          </cell>
          <cell r="C195" t="str">
            <v>M2</v>
          </cell>
          <cell r="D195">
            <v>10.81</v>
          </cell>
          <cell r="E195">
            <v>8.77</v>
          </cell>
          <cell r="F195" t="str">
            <v>A incluir</v>
          </cell>
        </row>
        <row r="196">
          <cell r="A196">
            <v>40820</v>
          </cell>
          <cell r="B196" t="str">
            <v>T.S.B.S. exclusive fornecimento e transporte comercial do material betuminoso, inclusive fornecimento, transporte e lavagem da brita</v>
          </cell>
          <cell r="C196" t="str">
            <v>M2</v>
          </cell>
          <cell r="D196">
            <v>5.19</v>
          </cell>
          <cell r="E196">
            <v>4.21</v>
          </cell>
          <cell r="F196" t="str">
            <v>A incluir</v>
          </cell>
        </row>
        <row r="197">
          <cell r="A197">
            <v>100394</v>
          </cell>
          <cell r="B197" t="str">
            <v>Aço CA-25, fornecimento, dobragem e colocação nas formas</v>
          </cell>
          <cell r="C197" t="str">
            <v>kg</v>
          </cell>
          <cell r="D197">
            <v>22.07</v>
          </cell>
          <cell r="E197">
            <v>17.899999999999999</v>
          </cell>
          <cell r="F197" t="str">
            <v xml:space="preserve"> </v>
          </cell>
        </row>
        <row r="198">
          <cell r="A198">
            <v>40376</v>
          </cell>
          <cell r="B198" t="str">
            <v>Aço CA-50, fornecimento, dobragem e colocação nas formas (preço médio das bitolas)</v>
          </cell>
          <cell r="C198" t="str">
            <v>kg</v>
          </cell>
          <cell r="D198">
            <v>19.87</v>
          </cell>
          <cell r="E198">
            <v>16.12</v>
          </cell>
          <cell r="F198" t="str">
            <v xml:space="preserve"> </v>
          </cell>
        </row>
        <row r="199">
          <cell r="A199">
            <v>43351</v>
          </cell>
          <cell r="B199" t="str">
            <v>Aço CA-50 grossa, diâmetro de 12.5 a 25 mm, fornecimento, dobragem e colocação nas formas</v>
          </cell>
          <cell r="C199" t="str">
            <v>kg</v>
          </cell>
          <cell r="D199">
            <v>17.649999999999999</v>
          </cell>
          <cell r="E199">
            <v>14.32</v>
          </cell>
          <cell r="F199" t="str">
            <v xml:space="preserve"> </v>
          </cell>
        </row>
        <row r="200">
          <cell r="A200">
            <v>43350</v>
          </cell>
          <cell r="B200" t="str">
            <v>Aço CA-50 média, diâmetro de 6.3 a 10 mm, fornecimento, dobragem e colocação nas formas</v>
          </cell>
          <cell r="C200" t="str">
            <v>kg</v>
          </cell>
          <cell r="D200">
            <v>18.11</v>
          </cell>
          <cell r="E200">
            <v>14.69</v>
          </cell>
          <cell r="F200" t="str">
            <v xml:space="preserve"> </v>
          </cell>
        </row>
        <row r="201">
          <cell r="A201">
            <v>41261</v>
          </cell>
          <cell r="B201" t="str">
            <v>Aço CA-60 fina, diâmetro de 4.2 a 5.0 mm, fornecimento, dobragem e colocação nas formas</v>
          </cell>
          <cell r="C201" t="str">
            <v>kg</v>
          </cell>
          <cell r="D201">
            <v>18.04</v>
          </cell>
          <cell r="E201">
            <v>14.63</v>
          </cell>
          <cell r="F201" t="str">
            <v xml:space="preserve"> </v>
          </cell>
        </row>
        <row r="202">
          <cell r="A202">
            <v>41023</v>
          </cell>
          <cell r="B202" t="str">
            <v>Aluguel mensal de escoramento tubular com tubos metálicos com até 10 metros de altura</v>
          </cell>
          <cell r="C202" t="str">
            <v>M</v>
          </cell>
          <cell r="D202">
            <v>98.55</v>
          </cell>
          <cell r="E202">
            <v>79.92</v>
          </cell>
          <cell r="F202" t="str">
            <v xml:space="preserve"> </v>
          </cell>
        </row>
        <row r="203">
          <cell r="A203">
            <v>41575</v>
          </cell>
          <cell r="B203" t="str">
            <v>Alvenaria de bloco (39 x 19 x 09) cm espessura 09 cm, inclusive transporte da areia, cimento e  bloco</v>
          </cell>
          <cell r="C203" t="str">
            <v>M2</v>
          </cell>
          <cell r="D203">
            <v>62.85</v>
          </cell>
          <cell r="E203">
            <v>50.97</v>
          </cell>
          <cell r="F203" t="str">
            <v>A incluir</v>
          </cell>
        </row>
        <row r="204">
          <cell r="A204">
            <v>40346</v>
          </cell>
          <cell r="B204" t="str">
            <v>Alvenaria de bloco (39 x 19 x 19) cm espessura 19 cm, inclusive fornecimento e transporte do bloco, areia e cimento</v>
          </cell>
          <cell r="C204" t="str">
            <v>M2</v>
          </cell>
          <cell r="D204">
            <v>104.63</v>
          </cell>
          <cell r="E204">
            <v>84.85</v>
          </cell>
          <cell r="F204" t="str">
            <v>A incluir</v>
          </cell>
        </row>
        <row r="205">
          <cell r="A205">
            <v>40345</v>
          </cell>
          <cell r="B205" t="str">
            <v>Alvenaria de lajota (20 x 20 x 10) cm espessura 10 cm, inclusive transporte de areia, lajota e cimento</v>
          </cell>
          <cell r="C205" t="str">
            <v>M2</v>
          </cell>
          <cell r="D205">
            <v>69.08</v>
          </cell>
          <cell r="E205">
            <v>56.02</v>
          </cell>
          <cell r="F205" t="str">
            <v>A incluir</v>
          </cell>
        </row>
        <row r="206">
          <cell r="A206">
            <v>40343</v>
          </cell>
          <cell r="B206" t="str">
            <v>Alvenaria de pedra de mão argamassada (argamassa cimento areia 1:4), inclusive transporte da pedra</v>
          </cell>
          <cell r="C206" t="str">
            <v>M3</v>
          </cell>
          <cell r="D206">
            <v>410.91</v>
          </cell>
          <cell r="E206">
            <v>333.21</v>
          </cell>
          <cell r="F206" t="str">
            <v>A incluir</v>
          </cell>
        </row>
        <row r="207">
          <cell r="A207">
            <v>40344</v>
          </cell>
          <cell r="B207" t="str">
            <v>Alvenaria de pedra de mão (junta seca), inclusive transporte da pedra</v>
          </cell>
          <cell r="C207" t="str">
            <v>M3</v>
          </cell>
          <cell r="D207">
            <v>303.24</v>
          </cell>
          <cell r="E207">
            <v>245.9</v>
          </cell>
          <cell r="F207" t="str">
            <v>A incluir</v>
          </cell>
        </row>
        <row r="208">
          <cell r="A208">
            <v>41027</v>
          </cell>
          <cell r="B208" t="str">
            <v>Andaime de madeira para altura até 7 m, compreendendo montagem e desmontagem</v>
          </cell>
          <cell r="C208" t="str">
            <v>M3</v>
          </cell>
          <cell r="D208">
            <v>33.82</v>
          </cell>
          <cell r="E208">
            <v>27.43</v>
          </cell>
          <cell r="F208" t="str">
            <v xml:space="preserve"> </v>
          </cell>
        </row>
        <row r="209">
          <cell r="A209">
            <v>40337</v>
          </cell>
          <cell r="B209" t="str">
            <v>Andaime suspenso em madeira, inclusive montagem e desmontagem</v>
          </cell>
          <cell r="C209" t="str">
            <v>M2</v>
          </cell>
          <cell r="D209">
            <v>210.4</v>
          </cell>
          <cell r="E209">
            <v>170.62</v>
          </cell>
          <cell r="F209" t="str">
            <v xml:space="preserve"> </v>
          </cell>
        </row>
        <row r="210">
          <cell r="A210">
            <v>40395</v>
          </cell>
          <cell r="B210" t="str">
            <v>Apicoamento manual de superfície de concreto</v>
          </cell>
          <cell r="C210" t="str">
            <v>M2</v>
          </cell>
          <cell r="D210">
            <v>27.37</v>
          </cell>
          <cell r="E210">
            <v>22.2</v>
          </cell>
          <cell r="F210" t="str">
            <v xml:space="preserve"> </v>
          </cell>
        </row>
        <row r="211">
          <cell r="A211">
            <v>40300</v>
          </cell>
          <cell r="B211" t="str">
            <v>Apiloamento manual</v>
          </cell>
          <cell r="C211" t="str">
            <v>M3</v>
          </cell>
          <cell r="D211">
            <v>58.47</v>
          </cell>
          <cell r="E211">
            <v>47.42</v>
          </cell>
          <cell r="F211" t="str">
            <v xml:space="preserve"> </v>
          </cell>
        </row>
        <row r="212">
          <cell r="A212">
            <v>40348</v>
          </cell>
          <cell r="B212" t="str">
            <v>Argamassa cimento e areia traço 1:4, tudo incluído</v>
          </cell>
          <cell r="C212" t="str">
            <v>M3</v>
          </cell>
          <cell r="D212">
            <v>508.91</v>
          </cell>
          <cell r="E212">
            <v>412.68</v>
          </cell>
          <cell r="F212" t="str">
            <v>A incluir</v>
          </cell>
        </row>
        <row r="213">
          <cell r="A213">
            <v>40347</v>
          </cell>
          <cell r="B213" t="str">
            <v>Argamassa cimento (nata), inclusive transporte de cimento</v>
          </cell>
          <cell r="C213" t="str">
            <v>M3</v>
          </cell>
          <cell r="D213">
            <v>929.66</v>
          </cell>
          <cell r="E213">
            <v>753.86</v>
          </cell>
          <cell r="F213" t="str">
            <v>A incluir</v>
          </cell>
        </row>
        <row r="214">
          <cell r="A214">
            <v>41415</v>
          </cell>
          <cell r="B214" t="str">
            <v>Argamassa de cimento e areia, traço 1:4, consumo de cimento 400 kg/m³</v>
          </cell>
          <cell r="C214" t="str">
            <v>M3</v>
          </cell>
          <cell r="D214">
            <v>523.59</v>
          </cell>
          <cell r="E214">
            <v>424.58</v>
          </cell>
          <cell r="F214" t="str">
            <v>A incluir</v>
          </cell>
        </row>
        <row r="215">
          <cell r="A215">
            <v>42257</v>
          </cell>
          <cell r="B215" t="str">
            <v>Aterro com areia, exceto fornecimento da areia</v>
          </cell>
          <cell r="C215" t="str">
            <v>M3</v>
          </cell>
          <cell r="D215">
            <v>8.43</v>
          </cell>
          <cell r="E215">
            <v>6.84</v>
          </cell>
          <cell r="F215" t="str">
            <v xml:space="preserve"> </v>
          </cell>
        </row>
        <row r="216">
          <cell r="A216">
            <v>40519</v>
          </cell>
          <cell r="B216" t="str">
            <v>Berço de concreto ciclópico para BDTC diâmetro 0,60 m</v>
          </cell>
          <cell r="C216" t="str">
            <v>M</v>
          </cell>
          <cell r="D216">
            <v>297.36</v>
          </cell>
          <cell r="E216">
            <v>241.13</v>
          </cell>
          <cell r="F216" t="str">
            <v>A incluir</v>
          </cell>
        </row>
        <row r="217">
          <cell r="A217">
            <v>40520</v>
          </cell>
          <cell r="B217" t="str">
            <v>Berço de concreto ciclópico para BDTC diâmetro 0,80 m</v>
          </cell>
          <cell r="C217" t="str">
            <v>M</v>
          </cell>
          <cell r="D217">
            <v>464.43</v>
          </cell>
          <cell r="E217">
            <v>376.61</v>
          </cell>
          <cell r="F217" t="str">
            <v>A incluir</v>
          </cell>
        </row>
        <row r="218">
          <cell r="A218">
            <v>40521</v>
          </cell>
          <cell r="B218" t="str">
            <v>Berço de concreto ciclópico para BDTC diâmetro 1,00 m</v>
          </cell>
          <cell r="C218" t="str">
            <v>M</v>
          </cell>
          <cell r="D218">
            <v>667.92</v>
          </cell>
          <cell r="E218">
            <v>541.62</v>
          </cell>
          <cell r="F218" t="str">
            <v>A incluir</v>
          </cell>
        </row>
        <row r="219">
          <cell r="A219">
            <v>40522</v>
          </cell>
          <cell r="B219" t="str">
            <v>Berço de concreto ciclópico para BDTC diâmetro 1,20 m</v>
          </cell>
          <cell r="C219" t="str">
            <v>M</v>
          </cell>
          <cell r="D219">
            <v>901.34</v>
          </cell>
          <cell r="E219">
            <v>730.9</v>
          </cell>
          <cell r="F219" t="str">
            <v>A incluir</v>
          </cell>
        </row>
        <row r="220">
          <cell r="A220">
            <v>40523</v>
          </cell>
          <cell r="B220" t="str">
            <v>Berço de concreto ciclópico para BDTC diâmetro 1,50 m</v>
          </cell>
          <cell r="C220" t="str">
            <v>M</v>
          </cell>
          <cell r="D220">
            <v>1300.77</v>
          </cell>
          <cell r="E220">
            <v>1054.8</v>
          </cell>
          <cell r="F220" t="str">
            <v>A incluir</v>
          </cell>
        </row>
        <row r="221">
          <cell r="A221">
            <v>40513</v>
          </cell>
          <cell r="B221" t="str">
            <v>Berço de concreto ciclópico para BSTC diâmetro 0,40 m</v>
          </cell>
          <cell r="C221" t="str">
            <v>M</v>
          </cell>
          <cell r="D221">
            <v>106.93</v>
          </cell>
          <cell r="E221">
            <v>86.71</v>
          </cell>
          <cell r="F221" t="str">
            <v>A incluir</v>
          </cell>
        </row>
        <row r="222">
          <cell r="A222">
            <v>40514</v>
          </cell>
          <cell r="B222" t="str">
            <v>Berço de concreto ciclópico para BSTC diâmetro 0,60 m</v>
          </cell>
          <cell r="C222" t="str">
            <v>M</v>
          </cell>
          <cell r="D222">
            <v>178.6</v>
          </cell>
          <cell r="E222">
            <v>144.83000000000001</v>
          </cell>
          <cell r="F222" t="str">
            <v>A incluir</v>
          </cell>
        </row>
        <row r="223">
          <cell r="A223">
            <v>40515</v>
          </cell>
          <cell r="B223" t="str">
            <v>Berço de concreto ciclópico para BSTC diâmetro 0,80 m</v>
          </cell>
          <cell r="C223" t="str">
            <v>M</v>
          </cell>
          <cell r="D223">
            <v>271.82</v>
          </cell>
          <cell r="E223">
            <v>220.42</v>
          </cell>
          <cell r="F223" t="str">
            <v>A incluir</v>
          </cell>
        </row>
        <row r="224">
          <cell r="A224">
            <v>40516</v>
          </cell>
          <cell r="B224" t="str">
            <v>Berço de concreto ciclópico para BSTC diâmetro 1,00 m</v>
          </cell>
          <cell r="C224" t="str">
            <v>M</v>
          </cell>
          <cell r="D224">
            <v>382.99</v>
          </cell>
          <cell r="E224">
            <v>310.57</v>
          </cell>
          <cell r="F224" t="str">
            <v>A incluir</v>
          </cell>
        </row>
        <row r="225">
          <cell r="A225">
            <v>40517</v>
          </cell>
          <cell r="B225" t="str">
            <v>Berço de concreto ciclópico para BSTC diâmetro 1,20 m</v>
          </cell>
          <cell r="C225" t="str">
            <v>M</v>
          </cell>
          <cell r="D225">
            <v>509.64</v>
          </cell>
          <cell r="E225">
            <v>413.27</v>
          </cell>
          <cell r="F225" t="str">
            <v>A incluir</v>
          </cell>
        </row>
        <row r="226">
          <cell r="A226">
            <v>40518</v>
          </cell>
          <cell r="B226" t="str">
            <v>Berço de concreto ciclópico para BSTC diâmetro 1,50 m</v>
          </cell>
          <cell r="C226" t="str">
            <v>M</v>
          </cell>
          <cell r="D226">
            <v>723.44</v>
          </cell>
          <cell r="E226">
            <v>586.64</v>
          </cell>
          <cell r="F226" t="str">
            <v>A incluir</v>
          </cell>
        </row>
        <row r="227">
          <cell r="A227">
            <v>40524</v>
          </cell>
          <cell r="B227" t="str">
            <v>Berço de concreto ciclópico para BTTC diâmetro 0,60 m</v>
          </cell>
          <cell r="C227" t="str">
            <v>M</v>
          </cell>
          <cell r="D227">
            <v>414.12</v>
          </cell>
          <cell r="E227">
            <v>335.81</v>
          </cell>
          <cell r="F227" t="str">
            <v>A incluir</v>
          </cell>
        </row>
        <row r="228">
          <cell r="A228">
            <v>40525</v>
          </cell>
          <cell r="B228" t="str">
            <v>Berço de concreto ciclópico para BTTC diâmetro 0,80 m</v>
          </cell>
          <cell r="C228" t="str">
            <v>M</v>
          </cell>
          <cell r="D228">
            <v>658.04</v>
          </cell>
          <cell r="E228">
            <v>533.61</v>
          </cell>
          <cell r="F228" t="str">
            <v>A incluir</v>
          </cell>
        </row>
        <row r="229">
          <cell r="A229">
            <v>40526</v>
          </cell>
          <cell r="B229" t="str">
            <v>Berço de concreto ciclópico para BTTC diâmetro 1,00 m</v>
          </cell>
          <cell r="C229" t="str">
            <v>M</v>
          </cell>
          <cell r="D229">
            <v>952.35</v>
          </cell>
          <cell r="E229">
            <v>772.26</v>
          </cell>
          <cell r="F229" t="str">
            <v>A incluir</v>
          </cell>
        </row>
        <row r="230">
          <cell r="A230">
            <v>40527</v>
          </cell>
          <cell r="B230" t="str">
            <v>Berço de concreto ciclópico para BTTC diâmetro 1,20 m</v>
          </cell>
          <cell r="C230" t="str">
            <v>M</v>
          </cell>
          <cell r="D230">
            <v>1293.05</v>
          </cell>
          <cell r="E230">
            <v>1048.54</v>
          </cell>
          <cell r="F230" t="str">
            <v>A incluir</v>
          </cell>
        </row>
        <row r="231">
          <cell r="A231">
            <v>40528</v>
          </cell>
          <cell r="B231" t="str">
            <v>Berço de concreto ciclópico para BTTC diâmetro 1,50 m</v>
          </cell>
          <cell r="C231" t="str">
            <v>M</v>
          </cell>
          <cell r="D231">
            <v>1878.11</v>
          </cell>
          <cell r="E231">
            <v>1522.96</v>
          </cell>
          <cell r="F231" t="str">
            <v>A incluir</v>
          </cell>
        </row>
        <row r="232">
          <cell r="A232">
            <v>41177</v>
          </cell>
          <cell r="B232" t="str">
            <v>Berço em brita para BSTC diâm. = 1,00 m</v>
          </cell>
          <cell r="C232" t="str">
            <v>M</v>
          </cell>
          <cell r="D232">
            <v>51.88</v>
          </cell>
          <cell r="E232">
            <v>42.07</v>
          </cell>
          <cell r="F232" t="str">
            <v>A incluir</v>
          </cell>
        </row>
        <row r="233">
          <cell r="A233">
            <v>100391</v>
          </cell>
          <cell r="B233" t="str">
            <v>Berço em brita para BSTC diâm.=1,20 m</v>
          </cell>
          <cell r="C233" t="str">
            <v>M</v>
          </cell>
          <cell r="D233">
            <v>57.8</v>
          </cell>
          <cell r="E233">
            <v>46.87</v>
          </cell>
          <cell r="F233" t="str">
            <v>A incluir</v>
          </cell>
        </row>
        <row r="234">
          <cell r="A234">
            <v>41172</v>
          </cell>
          <cell r="B234" t="str">
            <v>Berço em concreto ciclópico para BSTC diâm. = 0,30m</v>
          </cell>
          <cell r="C234" t="str">
            <v>M</v>
          </cell>
          <cell r="D234">
            <v>94.84</v>
          </cell>
          <cell r="E234">
            <v>76.91</v>
          </cell>
          <cell r="F234" t="str">
            <v>A incluir</v>
          </cell>
        </row>
        <row r="235">
          <cell r="A235">
            <v>40620</v>
          </cell>
          <cell r="B235" t="str">
            <v>Boca de BDCC 1,50 x 1,50 m projeto DNIT</v>
          </cell>
          <cell r="C235" t="str">
            <v>Ud</v>
          </cell>
          <cell r="D235">
            <v>20710.48</v>
          </cell>
          <cell r="E235">
            <v>16794.099999999999</v>
          </cell>
          <cell r="F235" t="str">
            <v xml:space="preserve"> </v>
          </cell>
        </row>
        <row r="236">
          <cell r="A236">
            <v>40626</v>
          </cell>
          <cell r="B236" t="str">
            <v>Boca de BDCC 2,00 x 1,20 m conforme projeto</v>
          </cell>
          <cell r="C236" t="str">
            <v>Ud</v>
          </cell>
          <cell r="D236">
            <v>20154.43</v>
          </cell>
          <cell r="E236">
            <v>16343.2</v>
          </cell>
          <cell r="F236" t="str">
            <v xml:space="preserve"> </v>
          </cell>
        </row>
        <row r="237">
          <cell r="A237">
            <v>40621</v>
          </cell>
          <cell r="B237" t="str">
            <v>Boca de BDCC 2,00 x 2,00 m projeto DNIT</v>
          </cell>
          <cell r="C237" t="str">
            <v>Ud</v>
          </cell>
          <cell r="D237">
            <v>31874</v>
          </cell>
          <cell r="E237">
            <v>25846.58</v>
          </cell>
          <cell r="F237" t="str">
            <v xml:space="preserve"> </v>
          </cell>
        </row>
        <row r="238">
          <cell r="A238">
            <v>40622</v>
          </cell>
          <cell r="B238" t="str">
            <v>Boca de BDCC 2,00 x 3,00 m projeto DNIT</v>
          </cell>
          <cell r="C238" t="str">
            <v>Ud</v>
          </cell>
          <cell r="D238">
            <v>50826.02</v>
          </cell>
          <cell r="E238">
            <v>41214.75</v>
          </cell>
          <cell r="F238" t="str">
            <v xml:space="preserve"> </v>
          </cell>
        </row>
        <row r="239">
          <cell r="A239">
            <v>40627</v>
          </cell>
          <cell r="B239" t="str">
            <v>Boca de BDCC 2,50 x 2,00 m conforme projeto</v>
          </cell>
          <cell r="C239" t="str">
            <v>Ud</v>
          </cell>
          <cell r="D239">
            <v>37363.620000000003</v>
          </cell>
          <cell r="E239">
            <v>30298.11</v>
          </cell>
          <cell r="F239" t="str">
            <v xml:space="preserve"> </v>
          </cell>
        </row>
        <row r="240">
          <cell r="A240">
            <v>40623</v>
          </cell>
          <cell r="B240" t="str">
            <v>Boca de BDCC 2,50 x 2,50 m projeto DNIT</v>
          </cell>
          <cell r="C240" t="str">
            <v>Ud</v>
          </cell>
          <cell r="D240">
            <v>44410.97</v>
          </cell>
          <cell r="E240">
            <v>36012.79</v>
          </cell>
          <cell r="F240" t="str">
            <v xml:space="preserve"> </v>
          </cell>
        </row>
        <row r="241">
          <cell r="A241">
            <v>40624</v>
          </cell>
          <cell r="B241" t="str">
            <v>Boca de BDCC 2,50 x 3,00 m projeto DNIT</v>
          </cell>
          <cell r="C241" t="str">
            <v>Ud</v>
          </cell>
          <cell r="D241">
            <v>57595.43</v>
          </cell>
          <cell r="E241">
            <v>46704.05</v>
          </cell>
          <cell r="F241" t="str">
            <v xml:space="preserve"> </v>
          </cell>
        </row>
        <row r="242">
          <cell r="A242">
            <v>40625</v>
          </cell>
          <cell r="B242" t="str">
            <v>Boca de BDCC 3,00 x 3,00 m projeto DNIT</v>
          </cell>
          <cell r="C242" t="str">
            <v>Ud</v>
          </cell>
          <cell r="D242">
            <v>64068.06</v>
          </cell>
          <cell r="E242">
            <v>51952.7</v>
          </cell>
          <cell r="F242" t="str">
            <v xml:space="preserve"> </v>
          </cell>
        </row>
        <row r="243">
          <cell r="A243">
            <v>40613</v>
          </cell>
          <cell r="B243" t="str">
            <v>Boca de BSCC 1,50 x 1,50 m projeto DNIT</v>
          </cell>
          <cell r="C243" t="str">
            <v>Ud</v>
          </cell>
          <cell r="D243">
            <v>17727.34</v>
          </cell>
          <cell r="E243">
            <v>14375.08</v>
          </cell>
          <cell r="F243" t="str">
            <v xml:space="preserve"> </v>
          </cell>
        </row>
        <row r="244">
          <cell r="A244">
            <v>40614</v>
          </cell>
          <cell r="B244" t="str">
            <v>Boca de BSCC 2,00 x 2,00 m projeto DNIT</v>
          </cell>
          <cell r="C244" t="str">
            <v>Ud</v>
          </cell>
          <cell r="D244">
            <v>27613.01</v>
          </cell>
          <cell r="E244">
            <v>22391.35</v>
          </cell>
          <cell r="F244" t="str">
            <v xml:space="preserve"> </v>
          </cell>
        </row>
        <row r="245">
          <cell r="A245">
            <v>40615</v>
          </cell>
          <cell r="B245" t="str">
            <v>Boca de BSCC 2,00 x 3,00 m projeto DNIT</v>
          </cell>
          <cell r="C245" t="str">
            <v>Ud</v>
          </cell>
          <cell r="D245">
            <v>42444.51</v>
          </cell>
          <cell r="E245">
            <v>34418.19</v>
          </cell>
          <cell r="F245" t="str">
            <v xml:space="preserve"> </v>
          </cell>
        </row>
        <row r="246">
          <cell r="A246">
            <v>40616</v>
          </cell>
          <cell r="B246" t="str">
            <v>Boca de BSCC 2,50 x 2,50 m projeto DNIT</v>
          </cell>
          <cell r="C246" t="str">
            <v>Ud</v>
          </cell>
          <cell r="D246">
            <v>36555.32</v>
          </cell>
          <cell r="E246">
            <v>29642.66</v>
          </cell>
          <cell r="F246" t="str">
            <v xml:space="preserve"> </v>
          </cell>
        </row>
        <row r="247">
          <cell r="A247">
            <v>40617</v>
          </cell>
          <cell r="B247" t="str">
            <v>Boca de BSCC 2,50 x 3,00 m projeto DNIT</v>
          </cell>
          <cell r="C247" t="str">
            <v>Ud</v>
          </cell>
          <cell r="D247">
            <v>47522.85</v>
          </cell>
          <cell r="E247">
            <v>38536.21</v>
          </cell>
          <cell r="F247" t="str">
            <v xml:space="preserve"> </v>
          </cell>
        </row>
        <row r="248">
          <cell r="A248">
            <v>40618</v>
          </cell>
          <cell r="B248" t="str">
            <v>Boca de BSCC 3,00 x 3,00 m projeto DNIT</v>
          </cell>
          <cell r="C248" t="str">
            <v>Ud</v>
          </cell>
          <cell r="D248">
            <v>52631.71</v>
          </cell>
          <cell r="E248">
            <v>42678.98</v>
          </cell>
          <cell r="F248" t="str">
            <v xml:space="preserve"> </v>
          </cell>
        </row>
        <row r="249">
          <cell r="A249">
            <v>40629</v>
          </cell>
          <cell r="B249" t="str">
            <v>Boca de BTCC 1,50 x 1,50 m projeto DNIT</v>
          </cell>
          <cell r="C249" t="str">
            <v>Ud</v>
          </cell>
          <cell r="D249">
            <v>25684.31</v>
          </cell>
          <cell r="E249">
            <v>20827.37</v>
          </cell>
          <cell r="F249" t="str">
            <v xml:space="preserve"> </v>
          </cell>
        </row>
        <row r="250">
          <cell r="A250">
            <v>40630</v>
          </cell>
          <cell r="B250" t="str">
            <v>Boca de BTCC 2,00 x 2,00 m projeto DNIT</v>
          </cell>
          <cell r="C250" t="str">
            <v>Ud</v>
          </cell>
          <cell r="D250">
            <v>39011.93</v>
          </cell>
          <cell r="E250">
            <v>31634.720000000001</v>
          </cell>
          <cell r="F250" t="str">
            <v xml:space="preserve"> </v>
          </cell>
        </row>
        <row r="251">
          <cell r="A251">
            <v>40631</v>
          </cell>
          <cell r="B251" t="str">
            <v>Boca de BTCC 2,00 x 3,00 m projeto DNIT</v>
          </cell>
          <cell r="C251" t="str">
            <v>Ud</v>
          </cell>
          <cell r="D251">
            <v>60239.25</v>
          </cell>
          <cell r="E251">
            <v>48847.92</v>
          </cell>
          <cell r="F251" t="str">
            <v xml:space="preserve"> </v>
          </cell>
        </row>
        <row r="252">
          <cell r="A252">
            <v>40632</v>
          </cell>
          <cell r="B252" t="str">
            <v>Boca de BTCC 2,50 x 2,50 m projeto DNIT</v>
          </cell>
          <cell r="C252" t="str">
            <v>Ud</v>
          </cell>
          <cell r="D252">
            <v>55046.080000000002</v>
          </cell>
          <cell r="E252">
            <v>44636.79</v>
          </cell>
          <cell r="F252" t="str">
            <v xml:space="preserve"> </v>
          </cell>
        </row>
        <row r="253">
          <cell r="A253">
            <v>40633</v>
          </cell>
          <cell r="B253" t="str">
            <v>Boca de BTCC 2,50 x 3,00 m projeto DNIT</v>
          </cell>
          <cell r="C253" t="str">
            <v>Ud</v>
          </cell>
          <cell r="D253">
            <v>68860.05</v>
          </cell>
          <cell r="E253">
            <v>55838.51</v>
          </cell>
          <cell r="F253" t="str">
            <v xml:space="preserve"> </v>
          </cell>
        </row>
        <row r="254">
          <cell r="A254">
            <v>40634</v>
          </cell>
          <cell r="B254" t="str">
            <v>Boca de BTCC 3,00 x 3,00 m projeto DNIT</v>
          </cell>
          <cell r="C254" t="str">
            <v>Ud</v>
          </cell>
          <cell r="D254">
            <v>77528.69</v>
          </cell>
          <cell r="E254">
            <v>62867.9</v>
          </cell>
          <cell r="F254" t="str">
            <v xml:space="preserve"> </v>
          </cell>
        </row>
        <row r="255">
          <cell r="A255">
            <v>40535</v>
          </cell>
          <cell r="B255" t="str">
            <v>Boca de concreto ciclópico para BDTC diâmetro 0,60 m</v>
          </cell>
          <cell r="C255" t="str">
            <v>Ud</v>
          </cell>
          <cell r="D255">
            <v>1528.82</v>
          </cell>
          <cell r="E255">
            <v>1239.72</v>
          </cell>
          <cell r="F255" t="str">
            <v>A incluir</v>
          </cell>
        </row>
        <row r="256">
          <cell r="A256">
            <v>40536</v>
          </cell>
          <cell r="B256" t="str">
            <v>Boca de concreto ciclópico para BDTC diâmetro 0,80 m</v>
          </cell>
          <cell r="C256" t="str">
            <v>Ud</v>
          </cell>
          <cell r="D256">
            <v>2528.2600000000002</v>
          </cell>
          <cell r="E256">
            <v>2050.17</v>
          </cell>
          <cell r="F256" t="str">
            <v>A incluir</v>
          </cell>
        </row>
        <row r="257">
          <cell r="A257">
            <v>40537</v>
          </cell>
          <cell r="B257" t="str">
            <v>Boca de concreto ciclópico para BDTC diâmetro 1,00 m</v>
          </cell>
          <cell r="C257" t="str">
            <v>Ud</v>
          </cell>
          <cell r="D257">
            <v>4713.29</v>
          </cell>
          <cell r="E257">
            <v>3822</v>
          </cell>
          <cell r="F257" t="str">
            <v>A incluir</v>
          </cell>
        </row>
        <row r="258">
          <cell r="A258">
            <v>40538</v>
          </cell>
          <cell r="B258" t="str">
            <v>Boca de concreto ciclópico para BDTC diâmetro 1,20 m</v>
          </cell>
          <cell r="C258" t="str">
            <v>Ud</v>
          </cell>
          <cell r="D258">
            <v>6787.15</v>
          </cell>
          <cell r="E258">
            <v>5503.69</v>
          </cell>
          <cell r="F258" t="str">
            <v>A incluir</v>
          </cell>
        </row>
        <row r="259">
          <cell r="A259">
            <v>40539</v>
          </cell>
          <cell r="B259" t="str">
            <v>Boca de concreto ciclópico para BDTC diâmetro 1,50 m</v>
          </cell>
          <cell r="C259" t="str">
            <v>Ud</v>
          </cell>
          <cell r="D259">
            <v>11882.54</v>
          </cell>
          <cell r="E259">
            <v>9635.5400000000009</v>
          </cell>
          <cell r="F259" t="str">
            <v>A incluir</v>
          </cell>
        </row>
        <row r="260">
          <cell r="A260">
            <v>40529</v>
          </cell>
          <cell r="B260" t="str">
            <v>Boca de concreto ciclópico para BSTC diâmetro 0,40 m</v>
          </cell>
          <cell r="C260" t="str">
            <v>Ud</v>
          </cell>
          <cell r="D260">
            <v>443.18</v>
          </cell>
          <cell r="E260">
            <v>359.38</v>
          </cell>
          <cell r="F260" t="str">
            <v>A incluir</v>
          </cell>
        </row>
        <row r="261">
          <cell r="A261">
            <v>40530</v>
          </cell>
          <cell r="B261" t="str">
            <v>Boca de concreto ciclópico para BSTC diâmetro 0,60 m</v>
          </cell>
          <cell r="C261" t="str">
            <v>Ud</v>
          </cell>
          <cell r="D261">
            <v>1340.62</v>
          </cell>
          <cell r="E261">
            <v>1087.1099999999999</v>
          </cell>
          <cell r="F261" t="str">
            <v>A incluir</v>
          </cell>
        </row>
        <row r="262">
          <cell r="A262">
            <v>40531</v>
          </cell>
          <cell r="B262" t="str">
            <v>Boca de concreto ciclópico para BSTC diâmetro 0,80 m</v>
          </cell>
          <cell r="C262" t="str">
            <v>Ud</v>
          </cell>
          <cell r="D262">
            <v>2215.27</v>
          </cell>
          <cell r="E262">
            <v>1796.36</v>
          </cell>
          <cell r="F262" t="str">
            <v>A incluir</v>
          </cell>
        </row>
        <row r="263">
          <cell r="A263">
            <v>40532</v>
          </cell>
          <cell r="B263" t="str">
            <v>Boca de concreto ciclópico para BSTC diâmetro 1,00 m</v>
          </cell>
          <cell r="C263" t="str">
            <v>Ud</v>
          </cell>
          <cell r="D263">
            <v>3390.62</v>
          </cell>
          <cell r="E263">
            <v>2749.45</v>
          </cell>
          <cell r="F263" t="str">
            <v>A incluir</v>
          </cell>
        </row>
        <row r="264">
          <cell r="A264">
            <v>40533</v>
          </cell>
          <cell r="B264" t="str">
            <v>Boca de concreto ciclópico para BSTC diâmetro 1,20 m</v>
          </cell>
          <cell r="C264" t="str">
            <v>Ud</v>
          </cell>
          <cell r="D264">
            <v>4868.71</v>
          </cell>
          <cell r="E264">
            <v>3948.03</v>
          </cell>
          <cell r="F264" t="str">
            <v>A incluir</v>
          </cell>
        </row>
        <row r="265">
          <cell r="A265">
            <v>40534</v>
          </cell>
          <cell r="B265" t="str">
            <v>Boca de concreto ciclópico para BSTC diâmetro 1,50 m</v>
          </cell>
          <cell r="C265" t="str">
            <v>Ud</v>
          </cell>
          <cell r="D265">
            <v>8736.76</v>
          </cell>
          <cell r="E265">
            <v>7084.63</v>
          </cell>
          <cell r="F265" t="str">
            <v>A incluir</v>
          </cell>
        </row>
        <row r="266">
          <cell r="A266">
            <v>40540</v>
          </cell>
          <cell r="B266" t="str">
            <v>Boca de concreto ciclópico para BTTC diâmetro 0,60 m</v>
          </cell>
          <cell r="C266" t="str">
            <v>Ud</v>
          </cell>
          <cell r="D266">
            <v>1903.91</v>
          </cell>
          <cell r="E266">
            <v>1543.88</v>
          </cell>
          <cell r="F266" t="str">
            <v>A incluir</v>
          </cell>
        </row>
        <row r="267">
          <cell r="A267">
            <v>40541</v>
          </cell>
          <cell r="B267" t="str">
            <v>Boca de concreto ciclópico para BTTC diâmetro 0,80 m</v>
          </cell>
          <cell r="C267" t="str">
            <v>Ud</v>
          </cell>
          <cell r="D267">
            <v>3097.69</v>
          </cell>
          <cell r="E267">
            <v>2511.92</v>
          </cell>
          <cell r="F267" t="str">
            <v>A incluir</v>
          </cell>
        </row>
        <row r="268">
          <cell r="A268">
            <v>40542</v>
          </cell>
          <cell r="B268" t="str">
            <v>Boca de concreto ciclópico para BTTC diâmetro 1,00 m</v>
          </cell>
          <cell r="C268" t="str">
            <v>Ud</v>
          </cell>
          <cell r="D268">
            <v>6035.94</v>
          </cell>
          <cell r="E268">
            <v>4894.54</v>
          </cell>
          <cell r="F268" t="str">
            <v>A incluir</v>
          </cell>
        </row>
        <row r="269">
          <cell r="A269">
            <v>40543</v>
          </cell>
          <cell r="B269" t="str">
            <v>Boca de concreto ciclópico para BTTC diâmetro 1,20 m</v>
          </cell>
          <cell r="C269" t="str">
            <v>Ud</v>
          </cell>
          <cell r="D269">
            <v>8704.56</v>
          </cell>
          <cell r="E269">
            <v>7058.52</v>
          </cell>
          <cell r="F269" t="str">
            <v>A incluir</v>
          </cell>
        </row>
        <row r="270">
          <cell r="A270">
            <v>40544</v>
          </cell>
          <cell r="B270" t="str">
            <v>Boca de concreto ciclópico para BTTC diâmetro 1,50 m</v>
          </cell>
          <cell r="C270" t="str">
            <v>Ud</v>
          </cell>
          <cell r="D270">
            <v>15087.19</v>
          </cell>
          <cell r="E270">
            <v>12234.18</v>
          </cell>
          <cell r="F270" t="str">
            <v>A incluir</v>
          </cell>
        </row>
        <row r="271">
          <cell r="A271">
            <v>40565</v>
          </cell>
          <cell r="B271" t="str">
            <v>Boca de lobo simples</v>
          </cell>
          <cell r="C271" t="str">
            <v>Ud</v>
          </cell>
          <cell r="D271">
            <v>3769.8</v>
          </cell>
          <cell r="E271">
            <v>3056.93</v>
          </cell>
          <cell r="F271" t="str">
            <v xml:space="preserve"> </v>
          </cell>
        </row>
        <row r="272">
          <cell r="A272">
            <v>40656</v>
          </cell>
          <cell r="B272" t="str">
            <v>Boca de saída de dreno profundo BSD-01</v>
          </cell>
          <cell r="C272" t="str">
            <v>Ud</v>
          </cell>
          <cell r="D272">
            <v>282.23</v>
          </cell>
          <cell r="E272">
            <v>228.86</v>
          </cell>
          <cell r="F272" t="str">
            <v>A incluir</v>
          </cell>
        </row>
        <row r="273">
          <cell r="A273">
            <v>41102</v>
          </cell>
          <cell r="B273" t="str">
            <v>BSCC (pré-moldado) 1,50 x 1,50 x 1,00m CL 45t, inclusive transporte do Anel de Bueiro Celular Pré-moldado</v>
          </cell>
          <cell r="C273" t="str">
            <v>M</v>
          </cell>
          <cell r="D273">
            <v>3779.96</v>
          </cell>
          <cell r="E273">
            <v>3065.17</v>
          </cell>
          <cell r="F273" t="str">
            <v>A incluir</v>
          </cell>
        </row>
        <row r="274">
          <cell r="A274">
            <v>41103</v>
          </cell>
          <cell r="B274" t="str">
            <v>BSCC (pré-moldado) 2,00 x 2,00 x 1,00m CL 45t, inclusive transporte de Anel de Bueiro Celular Pré-moldado</v>
          </cell>
          <cell r="C274" t="str">
            <v>M</v>
          </cell>
          <cell r="D274">
            <v>4542.91</v>
          </cell>
          <cell r="E274">
            <v>3683.84</v>
          </cell>
          <cell r="F274" t="str">
            <v>A incluir</v>
          </cell>
        </row>
        <row r="275">
          <cell r="A275">
            <v>41104</v>
          </cell>
          <cell r="B275" t="str">
            <v>BSCC (pré-moldado) 2,50 x 2,50 x 1,00m CL 45t, inclusive transporte de Anel de Bueiro Celular Pré-moldado</v>
          </cell>
          <cell r="C275" t="str">
            <v>M</v>
          </cell>
          <cell r="D275">
            <v>5803.95</v>
          </cell>
          <cell r="E275">
            <v>4706.42</v>
          </cell>
          <cell r="F275" t="str">
            <v>A incluir</v>
          </cell>
        </row>
        <row r="276">
          <cell r="A276">
            <v>41155</v>
          </cell>
          <cell r="B276" t="str">
            <v>BSCC (pré-moldado) 3,00 x 3,00 x 1,00m CL 45t, inclusive transporte de Anel de Bueiro Celular Pré-moldado</v>
          </cell>
          <cell r="C276" t="str">
            <v>M</v>
          </cell>
          <cell r="D276">
            <v>6717.08</v>
          </cell>
          <cell r="E276">
            <v>5446.87</v>
          </cell>
          <cell r="F276" t="str">
            <v>A incluir</v>
          </cell>
        </row>
        <row r="277">
          <cell r="A277">
            <v>40635</v>
          </cell>
          <cell r="B277" t="str">
            <v>Bueiro Metálico BSTM - D = 3,00 m - T.L. com tratamento epóxi e = 2,7 mm - método não destrutivo</v>
          </cell>
          <cell r="C277" t="str">
            <v>M</v>
          </cell>
          <cell r="D277">
            <v>18533.89</v>
          </cell>
          <cell r="E277">
            <v>15029.11</v>
          </cell>
          <cell r="F277" t="str">
            <v>A incluir</v>
          </cell>
        </row>
        <row r="278">
          <cell r="A278">
            <v>42230</v>
          </cell>
          <cell r="B278" t="str">
            <v>Bueiro Metálico BSTM - D=3,05m - MP-152 com tratamento epóxi e=2,7mm - método destrutivo, inclusive lastro de brita</v>
          </cell>
          <cell r="C278" t="str">
            <v>M</v>
          </cell>
          <cell r="D278">
            <v>14947.54</v>
          </cell>
          <cell r="E278">
            <v>12120.94</v>
          </cell>
          <cell r="F278" t="str">
            <v>A incluir</v>
          </cell>
        </row>
        <row r="279">
          <cell r="A279">
            <v>40658</v>
          </cell>
          <cell r="B279" t="str">
            <v>Caiação de meio fios, sarjetas, etc</v>
          </cell>
          <cell r="C279" t="str">
            <v>M2</v>
          </cell>
          <cell r="D279">
            <v>6.54</v>
          </cell>
          <cell r="E279">
            <v>5.31</v>
          </cell>
          <cell r="F279" t="str">
            <v xml:space="preserve"> </v>
          </cell>
        </row>
        <row r="280">
          <cell r="A280">
            <v>41161</v>
          </cell>
          <cell r="B280" t="str">
            <v>Caixa Boca de Lobo em bloco pré-moldado 1,20 x 1,20m</v>
          </cell>
          <cell r="C280" t="str">
            <v>Ud</v>
          </cell>
          <cell r="D280">
            <v>5528.05</v>
          </cell>
          <cell r="E280">
            <v>4482.6899999999996</v>
          </cell>
          <cell r="F280" t="str">
            <v xml:space="preserve"> </v>
          </cell>
        </row>
        <row r="281">
          <cell r="A281">
            <v>40563</v>
          </cell>
          <cell r="B281" t="str">
            <v>Caixa coletora concreto armado H= 2,00 m, inclusive escavação</v>
          </cell>
          <cell r="C281" t="str">
            <v>Ud</v>
          </cell>
          <cell r="D281">
            <v>5279.87</v>
          </cell>
          <cell r="E281">
            <v>4281.4399999999996</v>
          </cell>
          <cell r="F281" t="str">
            <v xml:space="preserve"> </v>
          </cell>
        </row>
        <row r="282">
          <cell r="A282">
            <v>40564</v>
          </cell>
          <cell r="B282" t="str">
            <v>Caixa coletora concreto armado H= 2,50 m, inclusive escavação</v>
          </cell>
          <cell r="C282" t="str">
            <v>Ud</v>
          </cell>
          <cell r="D282">
            <v>6482.13</v>
          </cell>
          <cell r="E282">
            <v>5256.35</v>
          </cell>
          <cell r="F282" t="str">
            <v xml:space="preserve"> </v>
          </cell>
        </row>
        <row r="283">
          <cell r="A283">
            <v>41333</v>
          </cell>
          <cell r="B283" t="str">
            <v>Caixa coletora em bloco pré-moldado para d=0,60m (1,00 x 1,00m)</v>
          </cell>
          <cell r="C283" t="str">
            <v>Ud</v>
          </cell>
          <cell r="D283">
            <v>2594.98</v>
          </cell>
          <cell r="E283">
            <v>2104.27</v>
          </cell>
          <cell r="F283" t="str">
            <v>A incluir</v>
          </cell>
        </row>
        <row r="284">
          <cell r="A284">
            <v>40545</v>
          </cell>
          <cell r="B284" t="str">
            <v>Caixa de concreto para BSTC diâmetro 0,40 m H=1,60 m</v>
          </cell>
          <cell r="C284" t="str">
            <v>Ud</v>
          </cell>
          <cell r="D284">
            <v>2468.17</v>
          </cell>
          <cell r="E284">
            <v>2001.44</v>
          </cell>
          <cell r="F284" t="str">
            <v>A incluir</v>
          </cell>
        </row>
        <row r="285">
          <cell r="A285">
            <v>40546</v>
          </cell>
          <cell r="B285" t="str">
            <v>Caixa de concreto para BSTC diâmetro 0,60 m H=2,00 m</v>
          </cell>
          <cell r="C285" t="str">
            <v>Ud</v>
          </cell>
          <cell r="D285">
            <v>3817.37</v>
          </cell>
          <cell r="E285">
            <v>3095.5</v>
          </cell>
          <cell r="F285" t="str">
            <v>A incluir</v>
          </cell>
        </row>
        <row r="286">
          <cell r="A286">
            <v>40547</v>
          </cell>
          <cell r="B286" t="str">
            <v>Caixa de concreto para BSTC diâmetro 0,80 m H=2,50 m</v>
          </cell>
          <cell r="C286" t="str">
            <v>Ud</v>
          </cell>
          <cell r="D286">
            <v>4743.55</v>
          </cell>
          <cell r="E286">
            <v>3846.54</v>
          </cell>
          <cell r="F286" t="str">
            <v>A incluir</v>
          </cell>
        </row>
        <row r="287">
          <cell r="A287">
            <v>40548</v>
          </cell>
          <cell r="B287" t="str">
            <v>Caixa de concreto para BSTC diâmetro 1,00 m H=3,00 m</v>
          </cell>
          <cell r="C287" t="str">
            <v>Ud</v>
          </cell>
          <cell r="D287">
            <v>5632.02</v>
          </cell>
          <cell r="E287">
            <v>4567</v>
          </cell>
          <cell r="F287" t="str">
            <v>A incluir</v>
          </cell>
        </row>
        <row r="288">
          <cell r="A288">
            <v>40549</v>
          </cell>
          <cell r="B288" t="str">
            <v>Caixa de passagem para tubos de D=0,40 m H=1,10 m</v>
          </cell>
          <cell r="C288" t="str">
            <v>Ud</v>
          </cell>
          <cell r="D288">
            <v>1654.85</v>
          </cell>
          <cell r="E288">
            <v>1341.92</v>
          </cell>
          <cell r="F288" t="str">
            <v xml:space="preserve"> </v>
          </cell>
        </row>
        <row r="289">
          <cell r="A289">
            <v>40550</v>
          </cell>
          <cell r="B289" t="str">
            <v>Caixa de passagem para tubos de D=0,60 m H=1,30 m</v>
          </cell>
          <cell r="C289" t="str">
            <v>Ud</v>
          </cell>
          <cell r="D289">
            <v>2088.62</v>
          </cell>
          <cell r="E289">
            <v>1693.66</v>
          </cell>
          <cell r="F289" t="str">
            <v xml:space="preserve"> </v>
          </cell>
        </row>
        <row r="290">
          <cell r="A290">
            <v>40551</v>
          </cell>
          <cell r="B290" t="str">
            <v>Caixa de passagem para tubos de D=0,80 m H=1,50 m</v>
          </cell>
          <cell r="C290" t="str">
            <v>Ud</v>
          </cell>
          <cell r="D290">
            <v>2625.03</v>
          </cell>
          <cell r="E290">
            <v>2128.64</v>
          </cell>
          <cell r="F290" t="str">
            <v xml:space="preserve"> </v>
          </cell>
        </row>
        <row r="291">
          <cell r="A291">
            <v>40552</v>
          </cell>
          <cell r="B291" t="str">
            <v>Caixa de passagem para tubos de D=1,00 m H=1,80 m</v>
          </cell>
          <cell r="C291" t="str">
            <v>Ud</v>
          </cell>
          <cell r="D291">
            <v>4192.18</v>
          </cell>
          <cell r="E291">
            <v>3399.44</v>
          </cell>
          <cell r="F291" t="str">
            <v xml:space="preserve"> </v>
          </cell>
        </row>
        <row r="292">
          <cell r="A292">
            <v>41320</v>
          </cell>
          <cell r="B292" t="str">
            <v>Caixa de passagem (2,50 x 2,50m)</v>
          </cell>
          <cell r="C292" t="str">
            <v>Ud</v>
          </cell>
          <cell r="D292">
            <v>9854.51</v>
          </cell>
          <cell r="E292">
            <v>7991.01</v>
          </cell>
          <cell r="F292" t="str">
            <v>A incluir</v>
          </cell>
        </row>
        <row r="293">
          <cell r="A293">
            <v>41184</v>
          </cell>
          <cell r="B293" t="str">
            <v>Caixa para rede de dutos, dimensões 100 x 100 x 100 cm</v>
          </cell>
          <cell r="C293" t="str">
            <v>M</v>
          </cell>
          <cell r="D293">
            <v>1688.85</v>
          </cell>
          <cell r="E293">
            <v>1369.49</v>
          </cell>
          <cell r="F293" t="str">
            <v xml:space="preserve"> </v>
          </cell>
        </row>
        <row r="294">
          <cell r="A294">
            <v>41338</v>
          </cell>
          <cell r="B294" t="str">
            <v>Caixa para rede de dutos, dimensões 60 x 60 x 60 cm</v>
          </cell>
          <cell r="C294" t="str">
            <v>Ud</v>
          </cell>
          <cell r="D294">
            <v>774.1</v>
          </cell>
          <cell r="E294">
            <v>627.72</v>
          </cell>
          <cell r="F294" t="str">
            <v xml:space="preserve"> </v>
          </cell>
        </row>
        <row r="295">
          <cell r="A295">
            <v>40561</v>
          </cell>
          <cell r="B295" t="str">
            <v>Caixa ralo de elementos pré-moldados em concreto (tudo incluído)</v>
          </cell>
          <cell r="C295" t="str">
            <v>Ud</v>
          </cell>
          <cell r="D295">
            <v>838.92</v>
          </cell>
          <cell r="E295">
            <v>680.28</v>
          </cell>
          <cell r="F295" t="str">
            <v>A incluir</v>
          </cell>
        </row>
        <row r="296">
          <cell r="A296">
            <v>40672</v>
          </cell>
          <cell r="B296" t="str">
            <v>Canaleta com grelha DP-1, inclusive transporte da grelha</v>
          </cell>
          <cell r="C296" t="str">
            <v>M</v>
          </cell>
          <cell r="D296">
            <v>734.74</v>
          </cell>
          <cell r="E296">
            <v>595.79999999999995</v>
          </cell>
          <cell r="F296" t="str">
            <v>A incluir</v>
          </cell>
        </row>
        <row r="297">
          <cell r="A297">
            <v>40703</v>
          </cell>
          <cell r="B297" t="str">
            <v>Canaleta de concreto, com forma retangular inclusive caiação - parede 12 cm</v>
          </cell>
          <cell r="C297" t="str">
            <v>M</v>
          </cell>
          <cell r="D297">
            <v>236.84</v>
          </cell>
          <cell r="E297">
            <v>192.06</v>
          </cell>
          <cell r="F297" t="str">
            <v xml:space="preserve"> </v>
          </cell>
        </row>
        <row r="298">
          <cell r="A298">
            <v>40671</v>
          </cell>
          <cell r="B298" t="str">
            <v>Canaleta de concreto retangular (0,130m³/m) inclusive caiação</v>
          </cell>
          <cell r="C298" t="str">
            <v>M</v>
          </cell>
          <cell r="D298">
            <v>296.79000000000002</v>
          </cell>
          <cell r="E298">
            <v>240.67</v>
          </cell>
          <cell r="F298" t="str">
            <v xml:space="preserve"> </v>
          </cell>
        </row>
        <row r="299">
          <cell r="A299">
            <v>41016</v>
          </cell>
          <cell r="B299" t="str">
            <v>Canaleta de concreto (0,130m³/m) forma trapezoidal inclusive caiação</v>
          </cell>
          <cell r="C299" t="str">
            <v>M</v>
          </cell>
          <cell r="D299">
            <v>220.27</v>
          </cell>
          <cell r="E299">
            <v>178.62</v>
          </cell>
          <cell r="F299" t="str">
            <v>A incluir</v>
          </cell>
        </row>
        <row r="300">
          <cell r="A300">
            <v>40952</v>
          </cell>
          <cell r="B300" t="str">
            <v>Cerca de tela de arame galvanizado h = 1,20 m</v>
          </cell>
          <cell r="C300" t="str">
            <v>M2</v>
          </cell>
          <cell r="D300">
            <v>51.48</v>
          </cell>
          <cell r="E300">
            <v>41.75</v>
          </cell>
          <cell r="F300" t="str">
            <v xml:space="preserve"> </v>
          </cell>
        </row>
        <row r="301">
          <cell r="A301">
            <v>40953</v>
          </cell>
          <cell r="B301" t="str">
            <v>Cerca de tela galvanizada fio 12 malha 3"x3", com altura de 1,80 m</v>
          </cell>
          <cell r="C301" t="str">
            <v>M</v>
          </cell>
          <cell r="D301">
            <v>111.48</v>
          </cell>
          <cell r="E301">
            <v>90.4</v>
          </cell>
          <cell r="F301" t="str">
            <v>A incluir</v>
          </cell>
        </row>
        <row r="302">
          <cell r="A302">
            <v>40708</v>
          </cell>
          <cell r="B302" t="str">
            <v>Cerca em tela revestida em PVC com mourões de concreto, 10 x 10 x 2,40 m,  fornecimento e execução</v>
          </cell>
          <cell r="C302" t="str">
            <v>M2</v>
          </cell>
          <cell r="D302">
            <v>120.96</v>
          </cell>
          <cell r="E302">
            <v>98.09</v>
          </cell>
          <cell r="F302" t="str">
            <v xml:space="preserve"> </v>
          </cell>
        </row>
        <row r="303">
          <cell r="A303">
            <v>40377</v>
          </cell>
          <cell r="B303" t="str">
            <v>Chapisco com argamassa de cimento e areia no traço 1:3</v>
          </cell>
          <cell r="C303" t="str">
            <v>M2</v>
          </cell>
          <cell r="D303">
            <v>6.36</v>
          </cell>
          <cell r="E303">
            <v>5.16</v>
          </cell>
          <cell r="F303" t="str">
            <v xml:space="preserve"> </v>
          </cell>
        </row>
        <row r="304">
          <cell r="A304">
            <v>40378</v>
          </cell>
          <cell r="B304" t="str">
            <v>Chapisco com argamassa de cimento e pedrisco no traço 1:4</v>
          </cell>
          <cell r="C304" t="str">
            <v>M2</v>
          </cell>
          <cell r="D304">
            <v>10.51</v>
          </cell>
          <cell r="E304">
            <v>8.5299999999999994</v>
          </cell>
          <cell r="F304" t="str">
            <v xml:space="preserve"> </v>
          </cell>
        </row>
        <row r="305">
          <cell r="A305">
            <v>41389</v>
          </cell>
          <cell r="B305" t="str">
            <v>Colchão drenante de areia para fundação de aterros, exclusive o fornecimento de areia</v>
          </cell>
          <cell r="C305" t="str">
            <v>M3</v>
          </cell>
          <cell r="D305">
            <v>6.05</v>
          </cell>
          <cell r="E305">
            <v>4.91</v>
          </cell>
          <cell r="F305" t="str">
            <v xml:space="preserve"> </v>
          </cell>
        </row>
        <row r="306">
          <cell r="A306">
            <v>40715</v>
          </cell>
          <cell r="B306" t="str">
            <v>Colchão drenante de areia para fundação de aterros, inclusive fornecimento e transporte da areia</v>
          </cell>
          <cell r="C306" t="str">
            <v>M3</v>
          </cell>
          <cell r="D306">
            <v>86.21</v>
          </cell>
          <cell r="E306">
            <v>69.91</v>
          </cell>
          <cell r="F306" t="str">
            <v>A incluir</v>
          </cell>
        </row>
        <row r="307">
          <cell r="A307">
            <v>40716</v>
          </cell>
          <cell r="B307" t="str">
            <v>Colchão drenante de brita 1 inclusive fornecimento, espalhamento, compactação e transporte da brita</v>
          </cell>
          <cell r="C307" t="str">
            <v>M3</v>
          </cell>
          <cell r="D307">
            <v>118.88</v>
          </cell>
          <cell r="E307">
            <v>96.4</v>
          </cell>
          <cell r="F307" t="str">
            <v>A incluir</v>
          </cell>
        </row>
        <row r="308">
          <cell r="A308">
            <v>40717</v>
          </cell>
          <cell r="B308" t="str">
            <v>Colchão drenante de brita 2 inclusive fornecimento, espalhamento, compactação e transporte da brita</v>
          </cell>
          <cell r="C308" t="str">
            <v>M3</v>
          </cell>
          <cell r="D308">
            <v>119.47</v>
          </cell>
          <cell r="E308">
            <v>96.88</v>
          </cell>
          <cell r="F308" t="str">
            <v>A incluir</v>
          </cell>
        </row>
        <row r="309">
          <cell r="A309">
            <v>40718</v>
          </cell>
          <cell r="B309" t="str">
            <v>Colchão drenante de brita 3 inclusive fornecimento, espalhamento, compactação e transporte da brita</v>
          </cell>
          <cell r="C309" t="str">
            <v>M3</v>
          </cell>
          <cell r="D309">
            <v>112.66</v>
          </cell>
          <cell r="E309">
            <v>91.36</v>
          </cell>
          <cell r="F309" t="str">
            <v>A incluir</v>
          </cell>
        </row>
        <row r="310">
          <cell r="A310">
            <v>40652</v>
          </cell>
          <cell r="B310" t="str">
            <v>Coleta drenante (1,00x1,00) m c/ geotêxtil não tecido RT 16kn/m,  inclusive transporte da brita</v>
          </cell>
          <cell r="C310" t="str">
            <v>M</v>
          </cell>
          <cell r="D310">
            <v>470.52</v>
          </cell>
          <cell r="E310">
            <v>381.55</v>
          </cell>
          <cell r="F310" t="str">
            <v>A incluir</v>
          </cell>
        </row>
        <row r="311">
          <cell r="A311">
            <v>41090</v>
          </cell>
          <cell r="B311" t="str">
            <v>Concreto armado, dosado para resist. 20 Mpa,  incluindo 60kg aço CA-50A, mão de obra p/ corte, dobragem e montagem, exclusive forma</v>
          </cell>
          <cell r="C311" t="str">
            <v>M3</v>
          </cell>
          <cell r="D311">
            <v>1596.64</v>
          </cell>
          <cell r="E311">
            <v>1294.72</v>
          </cell>
          <cell r="F311" t="str">
            <v xml:space="preserve"> </v>
          </cell>
        </row>
        <row r="312">
          <cell r="A312">
            <v>40350</v>
          </cell>
          <cell r="B312" t="str">
            <v>Concreto ciclópico com 70% concreto 10,0 MPa e 30% de pedra de mão, tudo incluído</v>
          </cell>
          <cell r="C312" t="str">
            <v>M3</v>
          </cell>
          <cell r="D312">
            <v>465.38</v>
          </cell>
          <cell r="E312">
            <v>377.38</v>
          </cell>
          <cell r="F312" t="str">
            <v>A incluir</v>
          </cell>
        </row>
        <row r="313">
          <cell r="A313">
            <v>40351</v>
          </cell>
          <cell r="B313" t="str">
            <v>Concreto ciclópico com 70% concreto 15,0 MPa e 30% de pedra de mão, tudo incluído</v>
          </cell>
          <cell r="C313" t="str">
            <v>M3</v>
          </cell>
          <cell r="D313">
            <v>498.98</v>
          </cell>
          <cell r="E313">
            <v>404.63</v>
          </cell>
          <cell r="F313" t="str">
            <v>A incluir</v>
          </cell>
        </row>
        <row r="314">
          <cell r="A314">
            <v>40353</v>
          </cell>
          <cell r="B314" t="str">
            <v>Concreto ciclópico com 70% concreto 20,0 MPa e 30% de pedra de mão, tudo incluído</v>
          </cell>
          <cell r="C314" t="str">
            <v>M3</v>
          </cell>
          <cell r="D314">
            <v>515.85</v>
          </cell>
          <cell r="E314">
            <v>418.31</v>
          </cell>
          <cell r="F314" t="str">
            <v>A incluir</v>
          </cell>
        </row>
        <row r="315">
          <cell r="A315">
            <v>40349</v>
          </cell>
          <cell r="B315" t="str">
            <v>Concreto de regularização, tudo incluído</v>
          </cell>
          <cell r="C315" t="str">
            <v>M3</v>
          </cell>
          <cell r="D315">
            <v>507.06</v>
          </cell>
          <cell r="E315">
            <v>411.18</v>
          </cell>
          <cell r="F315" t="str">
            <v>A incluir</v>
          </cell>
        </row>
        <row r="316">
          <cell r="A316">
            <v>40358</v>
          </cell>
          <cell r="B316" t="str">
            <v>Concreto estrutural fck = 15,0 MPa, tudo incluído</v>
          </cell>
          <cell r="C316" t="str">
            <v>M3</v>
          </cell>
          <cell r="D316">
            <v>650.34</v>
          </cell>
          <cell r="E316">
            <v>527.36</v>
          </cell>
          <cell r="F316" t="str">
            <v>A incluir</v>
          </cell>
        </row>
        <row r="317">
          <cell r="A317">
            <v>40361</v>
          </cell>
          <cell r="B317" t="str">
            <v>Concreto estrutural fck = 20,0 MPa com plastificante, tudo incluído</v>
          </cell>
          <cell r="C317" t="str">
            <v>M3</v>
          </cell>
          <cell r="D317">
            <v>680.78</v>
          </cell>
          <cell r="E317">
            <v>552.04999999999995</v>
          </cell>
          <cell r="F317" t="str">
            <v>A incluir</v>
          </cell>
        </row>
        <row r="318">
          <cell r="A318">
            <v>40360</v>
          </cell>
          <cell r="B318" t="str">
            <v>Concreto estrutural fck = 20,0 MPa, tudo incluído</v>
          </cell>
          <cell r="C318" t="str">
            <v>M3</v>
          </cell>
          <cell r="D318">
            <v>674.44</v>
          </cell>
          <cell r="E318">
            <v>546.91</v>
          </cell>
          <cell r="F318" t="str">
            <v>A incluir</v>
          </cell>
        </row>
        <row r="319">
          <cell r="A319">
            <v>40363</v>
          </cell>
          <cell r="B319" t="str">
            <v>Concreto estrutural fck = 25,0 MPa com plastificante, tudo incluído</v>
          </cell>
          <cell r="C319" t="str">
            <v>M3</v>
          </cell>
          <cell r="D319">
            <v>707.14</v>
          </cell>
          <cell r="E319">
            <v>573.41999999999996</v>
          </cell>
          <cell r="F319" t="str">
            <v>A incluir</v>
          </cell>
        </row>
        <row r="320">
          <cell r="A320">
            <v>40362</v>
          </cell>
          <cell r="B320" t="str">
            <v>Concreto estrutural fck = 25,0 MPa, inclusive fornecimento e transporte do cimento, areia e pedra britada</v>
          </cell>
          <cell r="C320" t="str">
            <v>M3</v>
          </cell>
          <cell r="D320">
            <v>700.05</v>
          </cell>
          <cell r="E320">
            <v>567.66999999999996</v>
          </cell>
          <cell r="F320" t="str">
            <v>A incluir</v>
          </cell>
        </row>
        <row r="321">
          <cell r="A321">
            <v>40368</v>
          </cell>
          <cell r="B321" t="str">
            <v>Concreto estrutural fck = 30,0 MPa com micro-silica e Sikacrete BR ou equivalente</v>
          </cell>
          <cell r="C321" t="str">
            <v>M3</v>
          </cell>
          <cell r="D321">
            <v>913.89</v>
          </cell>
          <cell r="E321">
            <v>741.08</v>
          </cell>
          <cell r="F321" t="str">
            <v>A incluir</v>
          </cell>
        </row>
        <row r="322">
          <cell r="A322">
            <v>40365</v>
          </cell>
          <cell r="B322" t="str">
            <v>Concreto estrutural fck = 30,0 MPa com plastificante</v>
          </cell>
          <cell r="C322" t="str">
            <v>M3</v>
          </cell>
          <cell r="D322">
            <v>731.47</v>
          </cell>
          <cell r="E322">
            <v>593.15</v>
          </cell>
          <cell r="F322" t="str">
            <v>A incluir</v>
          </cell>
        </row>
        <row r="323">
          <cell r="A323">
            <v>40364</v>
          </cell>
          <cell r="B323" t="str">
            <v>Concreto estrutural fck = 30,0 MPa, tudo incluído</v>
          </cell>
          <cell r="C323" t="str">
            <v>M3</v>
          </cell>
          <cell r="D323">
            <v>723.66</v>
          </cell>
          <cell r="E323">
            <v>586.82000000000005</v>
          </cell>
          <cell r="F323" t="str">
            <v>A incluir</v>
          </cell>
        </row>
        <row r="324">
          <cell r="A324">
            <v>40369</v>
          </cell>
          <cell r="B324" t="str">
            <v>Concreto estrutural fck = 35,0 MPa com micro-silica e Sikacrete BR ou equivalente</v>
          </cell>
          <cell r="C324" t="str">
            <v>M3</v>
          </cell>
          <cell r="D324">
            <v>959.05</v>
          </cell>
          <cell r="E324">
            <v>777.7</v>
          </cell>
          <cell r="F324" t="str">
            <v>A incluir</v>
          </cell>
        </row>
        <row r="325">
          <cell r="A325">
            <v>40371</v>
          </cell>
          <cell r="B325" t="str">
            <v>Concreto submerso fck = 20,0 MPa, tudo incluído</v>
          </cell>
          <cell r="C325" t="str">
            <v>M3</v>
          </cell>
          <cell r="D325">
            <v>1661.26</v>
          </cell>
          <cell r="E325">
            <v>1347.12</v>
          </cell>
          <cell r="F325" t="str">
            <v>A incluir</v>
          </cell>
        </row>
        <row r="326">
          <cell r="A326">
            <v>40467</v>
          </cell>
          <cell r="B326" t="str">
            <v>Corpo BDTC (grota) diâmetro 0,60 m CA-1 MF exclusive escavação e reaterro, inclusive transporte do tubo</v>
          </cell>
          <cell r="C326" t="str">
            <v>M</v>
          </cell>
          <cell r="D326">
            <v>446.44</v>
          </cell>
          <cell r="E326">
            <v>362.02</v>
          </cell>
          <cell r="F326" t="str">
            <v>A incluir</v>
          </cell>
        </row>
        <row r="327">
          <cell r="A327">
            <v>40468</v>
          </cell>
          <cell r="B327" t="str">
            <v>Corpo BDTC (grota) diâmetro 0,60 m CA-1 PB exclusive escavação e reaterro, inclusive transporte do tubo</v>
          </cell>
          <cell r="C327" t="str">
            <v>M</v>
          </cell>
          <cell r="D327">
            <v>484.45</v>
          </cell>
          <cell r="E327">
            <v>392.84</v>
          </cell>
          <cell r="F327" t="str">
            <v>A incluir</v>
          </cell>
        </row>
        <row r="328">
          <cell r="A328">
            <v>40469</v>
          </cell>
          <cell r="B328" t="str">
            <v>Corpo BDTC (grota) diâmetro 0,60 m CA-2 MF exclusive escavação e reaterro, inclusive transporte do tubo</v>
          </cell>
          <cell r="C328" t="str">
            <v>M</v>
          </cell>
          <cell r="D328">
            <v>452.7</v>
          </cell>
          <cell r="E328">
            <v>367.1</v>
          </cell>
          <cell r="F328" t="str">
            <v>A incluir</v>
          </cell>
        </row>
        <row r="329">
          <cell r="A329">
            <v>40470</v>
          </cell>
          <cell r="B329" t="str">
            <v>Corpo BDTC (grota) diâmetro 0,60 m CA-2 PB exclusive escavação e reaterro, inclusive transporte do tubo</v>
          </cell>
          <cell r="C329" t="str">
            <v>M</v>
          </cell>
          <cell r="D329">
            <v>440.2</v>
          </cell>
          <cell r="E329">
            <v>356.96</v>
          </cell>
          <cell r="F329" t="str">
            <v>A incluir</v>
          </cell>
        </row>
        <row r="330">
          <cell r="A330">
            <v>40471</v>
          </cell>
          <cell r="B330" t="str">
            <v>Corpo BDTC (grota) diâmetro 0,80 m CA-1 MF exclusive escavação e reaterro, inclusive transporte do tubo</v>
          </cell>
          <cell r="C330" t="str">
            <v>M</v>
          </cell>
          <cell r="D330">
            <v>944.75</v>
          </cell>
          <cell r="E330">
            <v>766.1</v>
          </cell>
          <cell r="F330" t="str">
            <v>A incluir</v>
          </cell>
        </row>
        <row r="331">
          <cell r="A331">
            <v>40472</v>
          </cell>
          <cell r="B331" t="str">
            <v>Corpo BDTC (grota) diâmetro 0,80 m CA-1 PB exclusive escavação e reaterro, inclusive transporte do tubo</v>
          </cell>
          <cell r="C331" t="str">
            <v>M</v>
          </cell>
          <cell r="D331">
            <v>932.59</v>
          </cell>
          <cell r="E331">
            <v>756.24</v>
          </cell>
          <cell r="F331" t="str">
            <v>A incluir</v>
          </cell>
        </row>
        <row r="332">
          <cell r="A332">
            <v>40473</v>
          </cell>
          <cell r="B332" t="str">
            <v>Corpo BDTC (grota) diâmetro 0,80 m CA-2 MF exclusive escavação e reaterro, inclusive transporte do tubo</v>
          </cell>
          <cell r="C332" t="str">
            <v>M</v>
          </cell>
          <cell r="D332">
            <v>966.18</v>
          </cell>
          <cell r="E332">
            <v>783.48</v>
          </cell>
          <cell r="F332" t="str">
            <v>A incluir</v>
          </cell>
        </row>
        <row r="333">
          <cell r="A333">
            <v>40474</v>
          </cell>
          <cell r="B333" t="str">
            <v>Corpo BDTC (grota) diâmetro 0,80 m CA-2 PB exclusive escavação e reaterro, inclusive transporte do tubo</v>
          </cell>
          <cell r="C333" t="str">
            <v>M</v>
          </cell>
          <cell r="D333">
            <v>917.15</v>
          </cell>
          <cell r="E333">
            <v>743.72</v>
          </cell>
          <cell r="F333" t="str">
            <v>A incluir</v>
          </cell>
        </row>
        <row r="334">
          <cell r="A334">
            <v>40475</v>
          </cell>
          <cell r="B334" t="str">
            <v>Corpo BDTC (grota) diâmetro 1,00 m CA-1 MF exclusive escavação e reaterro, inclusive transporte do tubo</v>
          </cell>
          <cell r="C334" t="str">
            <v>M</v>
          </cell>
          <cell r="D334">
            <v>1100.45</v>
          </cell>
          <cell r="E334">
            <v>892.36</v>
          </cell>
          <cell r="F334" t="str">
            <v>A incluir</v>
          </cell>
        </row>
        <row r="335">
          <cell r="A335">
            <v>40476</v>
          </cell>
          <cell r="B335" t="str">
            <v>Corpo BDTC (grota) diâmetro 1,00 m CA-1 PB exclusive escavação e reaterro, inclusive transporte do tubo</v>
          </cell>
          <cell r="C335" t="str">
            <v>M</v>
          </cell>
          <cell r="D335">
            <v>1078.82</v>
          </cell>
          <cell r="E335">
            <v>874.82</v>
          </cell>
          <cell r="F335" t="str">
            <v>A incluir</v>
          </cell>
        </row>
        <row r="336">
          <cell r="A336">
            <v>40477</v>
          </cell>
          <cell r="B336" t="str">
            <v>Corpo BDTC (grota) diâmetro 1,00 m CA-2 MF exclusive escavação e reaterro, inclusive transporte do tubo</v>
          </cell>
          <cell r="C336" t="str">
            <v>M</v>
          </cell>
          <cell r="D336">
            <v>1177.73</v>
          </cell>
          <cell r="E336">
            <v>955.02</v>
          </cell>
          <cell r="F336" t="str">
            <v>A incluir</v>
          </cell>
        </row>
        <row r="337">
          <cell r="A337">
            <v>40478</v>
          </cell>
          <cell r="B337" t="str">
            <v>Corpo BDTC (grota) diâmetro 1,00 m CA-2 PB exclusive escavação e reaterro, inclusive transporte do tubo</v>
          </cell>
          <cell r="C337" t="str">
            <v>M</v>
          </cell>
          <cell r="D337">
            <v>1143.42</v>
          </cell>
          <cell r="E337">
            <v>927.2</v>
          </cell>
          <cell r="F337" t="str">
            <v>A incluir</v>
          </cell>
        </row>
        <row r="338">
          <cell r="A338">
            <v>40479</v>
          </cell>
          <cell r="B338" t="str">
            <v>Corpo BDTC (grota) diâmetro 1,00 m CA-3 MF exclusive escavação e reaterro, inclusive transporte do tubo</v>
          </cell>
          <cell r="C338" t="str">
            <v>M</v>
          </cell>
          <cell r="D338">
            <v>1340.01</v>
          </cell>
          <cell r="E338">
            <v>1086.6199999999999</v>
          </cell>
          <cell r="F338" t="str">
            <v>A incluir</v>
          </cell>
        </row>
        <row r="339">
          <cell r="A339">
            <v>40480</v>
          </cell>
          <cell r="B339" t="str">
            <v>Corpo BDTC (grota) diâmetro 1,20 m CA-1 MF exclusive escavação e reaterro, inclusive transporte do tubo</v>
          </cell>
          <cell r="C339" t="str">
            <v>M</v>
          </cell>
          <cell r="D339">
            <v>1615.62</v>
          </cell>
          <cell r="E339">
            <v>1310.1099999999999</v>
          </cell>
          <cell r="F339" t="str">
            <v>A incluir</v>
          </cell>
        </row>
        <row r="340">
          <cell r="A340">
            <v>40481</v>
          </cell>
          <cell r="B340" t="str">
            <v>Corpo BDTC (grota) diâmetro 1,20 m CA-1 PB exclusive escavação e reaterro, inclusive transporte do tubo</v>
          </cell>
          <cell r="C340" t="str">
            <v>M</v>
          </cell>
          <cell r="D340">
            <v>1509</v>
          </cell>
          <cell r="E340">
            <v>1223.6500000000001</v>
          </cell>
          <cell r="F340" t="str">
            <v>A incluir</v>
          </cell>
        </row>
        <row r="341">
          <cell r="A341">
            <v>40482</v>
          </cell>
          <cell r="B341" t="str">
            <v>Corpo BDTC (grota) diâmetro 1,20 m CA-2 MF exclusive escavação e reaterro, inclusive transporte do tubo</v>
          </cell>
          <cell r="C341" t="str">
            <v>M</v>
          </cell>
          <cell r="D341">
            <v>1660.93</v>
          </cell>
          <cell r="E341">
            <v>1346.85</v>
          </cell>
          <cell r="F341" t="str">
            <v>A incluir</v>
          </cell>
        </row>
        <row r="342">
          <cell r="A342">
            <v>40483</v>
          </cell>
          <cell r="B342" t="str">
            <v>Corpo BDTC (grota) diâmetro 1,20 m CA-2 PB exclusive escavação e reaterro, inclusive transporte do tubo</v>
          </cell>
          <cell r="C342" t="str">
            <v>M</v>
          </cell>
          <cell r="D342">
            <v>1586.22</v>
          </cell>
          <cell r="E342">
            <v>1286.27</v>
          </cell>
          <cell r="F342" t="str">
            <v>A incluir</v>
          </cell>
        </row>
        <row r="343">
          <cell r="A343">
            <v>40484</v>
          </cell>
          <cell r="B343" t="str">
            <v>Corpo BDTC (grota) diâmetro 1,20 m CA-3 MF exclusive escavação e reaterro, inclusive transporte do tubo</v>
          </cell>
          <cell r="C343" t="str">
            <v>M</v>
          </cell>
          <cell r="D343">
            <v>1987.56</v>
          </cell>
          <cell r="E343">
            <v>1611.71</v>
          </cell>
          <cell r="F343" t="str">
            <v>A incluir</v>
          </cell>
        </row>
        <row r="344">
          <cell r="A344">
            <v>40485</v>
          </cell>
          <cell r="B344" t="str">
            <v>Corpo BDTC (grota) diâmetro 1,50 m CA-1 MF exclusive escavação e reaterro, inclusive transporte do tubo</v>
          </cell>
          <cell r="C344" t="str">
            <v>M</v>
          </cell>
          <cell r="D344">
            <v>2097.4299999999998</v>
          </cell>
          <cell r="E344">
            <v>1700.81</v>
          </cell>
          <cell r="F344" t="str">
            <v>A incluir</v>
          </cell>
        </row>
        <row r="345">
          <cell r="A345">
            <v>40486</v>
          </cell>
          <cell r="B345" t="str">
            <v>Corpo BDTC (grota) diâmetro 1,50 m CA-1 PB exclusive escavação e reaterro, inclusive transporte do tubo</v>
          </cell>
          <cell r="C345" t="str">
            <v>M</v>
          </cell>
          <cell r="D345">
            <v>2078.94</v>
          </cell>
          <cell r="E345">
            <v>1685.81</v>
          </cell>
          <cell r="F345" t="str">
            <v>A incluir</v>
          </cell>
        </row>
        <row r="346">
          <cell r="A346">
            <v>40487</v>
          </cell>
          <cell r="B346" t="str">
            <v>Corpo BDTC (grota) diâmetro 1,50 m CA-2 MF exclusive escavação e reaterro, inclusive transporte do tubo</v>
          </cell>
          <cell r="C346" t="str">
            <v>M</v>
          </cell>
          <cell r="D346">
            <v>2093.98</v>
          </cell>
          <cell r="E346">
            <v>1698.01</v>
          </cell>
          <cell r="F346" t="str">
            <v>A incluir</v>
          </cell>
        </row>
        <row r="347">
          <cell r="A347">
            <v>40488</v>
          </cell>
          <cell r="B347" t="str">
            <v>Corpo BDTC (grota) diâmetro 1,50 m CA-2 PB exclusive escavação e reaterro, inclusive transporte do tubo</v>
          </cell>
          <cell r="C347" t="str">
            <v>M</v>
          </cell>
          <cell r="D347">
            <v>2177.2199999999998</v>
          </cell>
          <cell r="E347">
            <v>1765.51</v>
          </cell>
          <cell r="F347" t="str">
            <v>A incluir</v>
          </cell>
        </row>
        <row r="348">
          <cell r="A348">
            <v>40489</v>
          </cell>
          <cell r="B348" t="str">
            <v>Corpo BDTC (grota) diâmetro 1,50 m CA-3 MF exclusive escavação e reaterro, inclusive transporte do tubo</v>
          </cell>
          <cell r="C348" t="str">
            <v>M</v>
          </cell>
          <cell r="D348">
            <v>2873.71</v>
          </cell>
          <cell r="E348">
            <v>2330.29</v>
          </cell>
          <cell r="F348" t="str">
            <v>A incluir</v>
          </cell>
        </row>
        <row r="349">
          <cell r="A349">
            <v>40417</v>
          </cell>
          <cell r="B349" t="str">
            <v>Corpo BSTC diâmetro 0,20 m C.S. MF inclusive escavação, reaterro e transporte do tubo</v>
          </cell>
          <cell r="C349" t="str">
            <v>M</v>
          </cell>
          <cell r="D349">
            <v>104.06</v>
          </cell>
          <cell r="E349">
            <v>84.39</v>
          </cell>
          <cell r="F349" t="str">
            <v>A incluir</v>
          </cell>
        </row>
        <row r="350">
          <cell r="A350">
            <v>40418</v>
          </cell>
          <cell r="B350" t="str">
            <v>Corpo BSTC diâmetro 0,20 m C.S. PB inclusive escavação, reaterro e transporte do tubo</v>
          </cell>
          <cell r="C350" t="str">
            <v>M</v>
          </cell>
          <cell r="D350">
            <v>110.39</v>
          </cell>
          <cell r="E350">
            <v>89.52</v>
          </cell>
          <cell r="F350" t="str">
            <v>A incluir</v>
          </cell>
        </row>
        <row r="351">
          <cell r="A351">
            <v>40419</v>
          </cell>
          <cell r="B351" t="str">
            <v>Corpo BSTC diâmetro 0,30 m C.S. MF inclusive escavação, reaterro e transporte do tubo</v>
          </cell>
          <cell r="C351" t="str">
            <v>M</v>
          </cell>
          <cell r="D351">
            <v>133.11000000000001</v>
          </cell>
          <cell r="E351">
            <v>107.94</v>
          </cell>
          <cell r="F351" t="str">
            <v>A incluir</v>
          </cell>
        </row>
        <row r="352">
          <cell r="A352">
            <v>40420</v>
          </cell>
          <cell r="B352" t="str">
            <v>Corpo BSTC diâmetro 0,30 m C.S. PB inclusive escavação, reaterro e transporte do tubo</v>
          </cell>
          <cell r="C352" t="str">
            <v>M</v>
          </cell>
          <cell r="D352">
            <v>140.96</v>
          </cell>
          <cell r="E352">
            <v>114.31</v>
          </cell>
          <cell r="F352" t="str">
            <v>A incluir</v>
          </cell>
        </row>
        <row r="353">
          <cell r="A353">
            <v>40422</v>
          </cell>
          <cell r="B353" t="str">
            <v>Corpo BSTC diâmetro 0,40 m C.S. MF inclusive escavação, reaterro e transporte do tubo</v>
          </cell>
          <cell r="C353" t="str">
            <v>M</v>
          </cell>
          <cell r="D353">
            <v>186.5</v>
          </cell>
          <cell r="E353">
            <v>151.24</v>
          </cell>
          <cell r="F353" t="str">
            <v>A incluir</v>
          </cell>
        </row>
        <row r="354">
          <cell r="A354">
            <v>40423</v>
          </cell>
          <cell r="B354" t="str">
            <v>Corpo BSTC diâmetro 0,40 m C.S. PB inclusive escavação, reaterro e transporte do tubo</v>
          </cell>
          <cell r="C354" t="str">
            <v>M</v>
          </cell>
          <cell r="D354">
            <v>187.42</v>
          </cell>
          <cell r="E354">
            <v>151.97999999999999</v>
          </cell>
          <cell r="F354" t="str">
            <v>A incluir</v>
          </cell>
        </row>
        <row r="355">
          <cell r="A355">
            <v>40426</v>
          </cell>
          <cell r="B355" t="str">
            <v>Corpo BSTC diâmetro 0,60 m C.S. MF inclusive escavação, reaterro e transporte do tubo</v>
          </cell>
          <cell r="C355" t="str">
            <v>M</v>
          </cell>
          <cell r="D355">
            <v>295.64999999999998</v>
          </cell>
          <cell r="E355">
            <v>239.75</v>
          </cell>
          <cell r="F355" t="str">
            <v>A incluir</v>
          </cell>
        </row>
        <row r="356">
          <cell r="A356">
            <v>40427</v>
          </cell>
          <cell r="B356" t="str">
            <v>Corpo BSTC diâmetro 0,60 m C.S. PB inclusive escavação, reaterro e transporte do tubo</v>
          </cell>
          <cell r="C356" t="str">
            <v>M</v>
          </cell>
          <cell r="D356">
            <v>303.14999999999998</v>
          </cell>
          <cell r="E356">
            <v>245.83</v>
          </cell>
          <cell r="F356" t="str">
            <v>A incluir</v>
          </cell>
        </row>
        <row r="357">
          <cell r="A357">
            <v>40421</v>
          </cell>
          <cell r="B357" t="str">
            <v>Corpo BSTC (greide) diâmetro 0,30 m CA-1 MF inclusive escavação, reaterro e transporte do tubo</v>
          </cell>
          <cell r="C357" t="str">
            <v>M</v>
          </cell>
          <cell r="D357">
            <v>170.62</v>
          </cell>
          <cell r="E357">
            <v>138.36000000000001</v>
          </cell>
          <cell r="F357" t="str">
            <v>A incluir</v>
          </cell>
        </row>
        <row r="358">
          <cell r="A358">
            <v>40424</v>
          </cell>
          <cell r="B358" t="str">
            <v>Corpo BSTC (greide) diâmetro 0,40 m CA-1 MF inclusive escavação, reaterro e transporte do tubo</v>
          </cell>
          <cell r="C358" t="str">
            <v>M</v>
          </cell>
          <cell r="D358">
            <v>218.39</v>
          </cell>
          <cell r="E358">
            <v>177.1</v>
          </cell>
          <cell r="F358" t="str">
            <v>A incluir</v>
          </cell>
        </row>
        <row r="359">
          <cell r="A359">
            <v>40425</v>
          </cell>
          <cell r="B359" t="str">
            <v>Corpo BSTC (greide) diâmetro 0,40 m CA-2 MF inclusive escavação, reaterro e transporte do tubo</v>
          </cell>
          <cell r="C359" t="str">
            <v>M</v>
          </cell>
          <cell r="D359">
            <v>223.32</v>
          </cell>
          <cell r="E359">
            <v>181.09</v>
          </cell>
          <cell r="F359" t="str">
            <v>A incluir</v>
          </cell>
        </row>
        <row r="360">
          <cell r="A360">
            <v>40428</v>
          </cell>
          <cell r="B360" t="str">
            <v>Corpo BSTC (greide) diâmetro 0,60 m CA-1 MF inclusive escavação, reaterro e transporte do tubo</v>
          </cell>
          <cell r="C360" t="str">
            <v>M</v>
          </cell>
          <cell r="D360">
            <v>352.59</v>
          </cell>
          <cell r="E360">
            <v>285.92</v>
          </cell>
          <cell r="F360" t="str">
            <v>A incluir</v>
          </cell>
        </row>
        <row r="361">
          <cell r="A361">
            <v>40429</v>
          </cell>
          <cell r="B361" t="str">
            <v>Corpo BSTC (greide) diâmetro 0,60 m CA-1 PB inclusive escavação, reaterro e transporte do tubo</v>
          </cell>
          <cell r="C361" t="str">
            <v>M</v>
          </cell>
          <cell r="D361">
            <v>371.6</v>
          </cell>
          <cell r="E361">
            <v>301.33</v>
          </cell>
          <cell r="F361" t="str">
            <v>A incluir</v>
          </cell>
        </row>
        <row r="362">
          <cell r="A362">
            <v>40430</v>
          </cell>
          <cell r="B362" t="str">
            <v>Corpo BSTC (greide) diâmetro 0,60 m CA-2 MF inclusive escavação, reaterro e transporte do tubo</v>
          </cell>
          <cell r="C362" t="str">
            <v>M</v>
          </cell>
          <cell r="D362">
            <v>355.72</v>
          </cell>
          <cell r="E362">
            <v>288.45999999999998</v>
          </cell>
          <cell r="F362" t="str">
            <v>A incluir</v>
          </cell>
        </row>
        <row r="363">
          <cell r="A363">
            <v>40431</v>
          </cell>
          <cell r="B363" t="str">
            <v>Corpo BSTC (greide) diâmetro 0,60 m CA-2 PB inclusive escavação, reaterro e transporte do tubo</v>
          </cell>
          <cell r="C363" t="str">
            <v>M</v>
          </cell>
          <cell r="D363">
            <v>349.47</v>
          </cell>
          <cell r="E363">
            <v>283.39</v>
          </cell>
          <cell r="F363" t="str">
            <v>A incluir</v>
          </cell>
        </row>
        <row r="364">
          <cell r="A364">
            <v>40432</v>
          </cell>
          <cell r="B364" t="str">
            <v>Corpo BSTC (greide) diâmetro 0,80 m CA-1 MF inclusive escavação, reaterro e transporte do tubo</v>
          </cell>
          <cell r="C364" t="str">
            <v>M</v>
          </cell>
          <cell r="D364">
            <v>703.54</v>
          </cell>
          <cell r="E364">
            <v>570.5</v>
          </cell>
          <cell r="F364" t="str">
            <v>A incluir</v>
          </cell>
        </row>
        <row r="365">
          <cell r="A365">
            <v>40433</v>
          </cell>
          <cell r="B365" t="str">
            <v>Corpo BSTC (greide) diâmetro 0,80 m CA-1 PB inclusive escavação, reaterro e transporte do tubo</v>
          </cell>
          <cell r="C365" t="str">
            <v>M</v>
          </cell>
          <cell r="D365">
            <v>697.46</v>
          </cell>
          <cell r="E365">
            <v>565.57000000000005</v>
          </cell>
          <cell r="F365" t="str">
            <v>A incluir</v>
          </cell>
        </row>
        <row r="366">
          <cell r="A366">
            <v>40434</v>
          </cell>
          <cell r="B366" t="str">
            <v>Corpo BSTC (greide) diâmetro 0,80 m CA-2 MF inclusive escavação, reaterro e transporte do tubo</v>
          </cell>
          <cell r="C366" t="str">
            <v>M</v>
          </cell>
          <cell r="D366">
            <v>714.25</v>
          </cell>
          <cell r="E366">
            <v>579.19000000000005</v>
          </cell>
          <cell r="F366" t="str">
            <v>A incluir</v>
          </cell>
        </row>
        <row r="367">
          <cell r="A367">
            <v>40435</v>
          </cell>
          <cell r="B367" t="str">
            <v>Corpo BSTC (greide) diâmetro 0,80 m CA-2 PB inclusive escavação, reaterro e transporte do tubo</v>
          </cell>
          <cell r="C367" t="str">
            <v>M</v>
          </cell>
          <cell r="D367">
            <v>689.74</v>
          </cell>
          <cell r="E367">
            <v>559.30999999999995</v>
          </cell>
          <cell r="F367" t="str">
            <v>A incluir</v>
          </cell>
        </row>
        <row r="368">
          <cell r="A368">
            <v>40436</v>
          </cell>
          <cell r="B368" t="str">
            <v>Corpo BSTC (greide) diâmetro 1,00 m CA-1 MF inclusive escavação, reaterro e transporte do tubo</v>
          </cell>
          <cell r="C368" t="str">
            <v>M</v>
          </cell>
          <cell r="D368">
            <v>891.38</v>
          </cell>
          <cell r="E368">
            <v>722.82</v>
          </cell>
          <cell r="F368" t="str">
            <v>A incluir</v>
          </cell>
        </row>
        <row r="369">
          <cell r="A369">
            <v>40437</v>
          </cell>
          <cell r="B369" t="str">
            <v>Corpo BSTC (greide) diâmetro 1,00 m CA-1 PB inclusive escavação, reaterro e transporte do tubo</v>
          </cell>
          <cell r="C369" t="str">
            <v>M</v>
          </cell>
          <cell r="D369">
            <v>880.56</v>
          </cell>
          <cell r="E369">
            <v>714.05</v>
          </cell>
          <cell r="F369" t="str">
            <v>A incluir</v>
          </cell>
        </row>
        <row r="370">
          <cell r="A370">
            <v>40438</v>
          </cell>
          <cell r="B370" t="str">
            <v>Corpo BSTC (greide) diâmetro 1,00 m CA-2 MF inclusive escavação, reaterro e transporte do tubo</v>
          </cell>
          <cell r="C370" t="str">
            <v>M</v>
          </cell>
          <cell r="D370">
            <v>930.01</v>
          </cell>
          <cell r="E370">
            <v>754.15</v>
          </cell>
          <cell r="F370" t="str">
            <v>A incluir</v>
          </cell>
        </row>
        <row r="371">
          <cell r="A371">
            <v>40439</v>
          </cell>
          <cell r="B371" t="str">
            <v>Corpo BSTC (greide) diâmetro 1,00 m CA-2 PB inclusive escavação, reaterro e transporte do tubo</v>
          </cell>
          <cell r="C371" t="str">
            <v>M</v>
          </cell>
          <cell r="D371">
            <v>912.86</v>
          </cell>
          <cell r="E371">
            <v>740.24</v>
          </cell>
          <cell r="F371" t="str">
            <v>A incluir</v>
          </cell>
        </row>
        <row r="372">
          <cell r="A372">
            <v>40440</v>
          </cell>
          <cell r="B372" t="str">
            <v>Corpo BSTC (greide) diâmetro 1,20 m CA-1 MF inclusive escavação, reaterro e transporte do tubo</v>
          </cell>
          <cell r="C372" t="str">
            <v>M</v>
          </cell>
          <cell r="D372">
            <v>1256.03</v>
          </cell>
          <cell r="E372">
            <v>1018.52</v>
          </cell>
          <cell r="F372" t="str">
            <v>A incluir</v>
          </cell>
        </row>
        <row r="373">
          <cell r="A373">
            <v>40441</v>
          </cell>
          <cell r="B373" t="str">
            <v>Corpo BSTC (greide) diâmetro 1,20 m CA-1 PB inclusive escavação, reaterro e transporte do tubo</v>
          </cell>
          <cell r="C373" t="str">
            <v>M</v>
          </cell>
          <cell r="D373">
            <v>1202.72</v>
          </cell>
          <cell r="E373">
            <v>975.29</v>
          </cell>
          <cell r="F373" t="str">
            <v>A incluir</v>
          </cell>
        </row>
        <row r="374">
          <cell r="A374">
            <v>40442</v>
          </cell>
          <cell r="B374" t="str">
            <v>Corpo BSTC (greide) diâmetro 1,20 m CA-2 MF inclusive escavação, reaterro e transporte do tubo</v>
          </cell>
          <cell r="C374" t="str">
            <v>M</v>
          </cell>
          <cell r="D374">
            <v>1278.69</v>
          </cell>
          <cell r="E374">
            <v>1036.8900000000001</v>
          </cell>
          <cell r="F374" t="str">
            <v>A incluir</v>
          </cell>
        </row>
        <row r="375">
          <cell r="A375">
            <v>40443</v>
          </cell>
          <cell r="B375" t="str">
            <v>Corpo BSTC (greide) diâmetro 1,20 m CA-2 PB inclusive escavação, reaterro e transporte do tubo</v>
          </cell>
          <cell r="C375" t="str">
            <v>M</v>
          </cell>
          <cell r="D375">
            <v>1241.33</v>
          </cell>
          <cell r="E375">
            <v>1006.6</v>
          </cell>
          <cell r="F375" t="str">
            <v>A incluir</v>
          </cell>
        </row>
        <row r="376">
          <cell r="A376">
            <v>40444</v>
          </cell>
          <cell r="B376" t="str">
            <v>Corpo BSTC (grota) diâmetro 0,60 m CA-1 MF exclusive escavação e reaterro, inclusive transporte do tubo</v>
          </cell>
          <cell r="C376" t="str">
            <v>M</v>
          </cell>
          <cell r="D376">
            <v>225.09</v>
          </cell>
          <cell r="E376">
            <v>182.53</v>
          </cell>
          <cell r="F376" t="str">
            <v>A incluir</v>
          </cell>
        </row>
        <row r="377">
          <cell r="A377">
            <v>40445</v>
          </cell>
          <cell r="B377" t="str">
            <v>Corpo BSTC (grota) diâmetro 0,60 m CA-1 PB exclusive escavação e reaterro, inclusive transporte do tubo</v>
          </cell>
          <cell r="C377" t="str">
            <v>M</v>
          </cell>
          <cell r="D377">
            <v>244.09</v>
          </cell>
          <cell r="E377">
            <v>197.94</v>
          </cell>
          <cell r="F377" t="str">
            <v>A incluir</v>
          </cell>
        </row>
        <row r="378">
          <cell r="A378">
            <v>40446</v>
          </cell>
          <cell r="B378" t="str">
            <v>Corpo BSTC (grota) diâmetro 0,60 m CA-2 MF exclusive escavação e reaterro, inclusive transporte do tubo</v>
          </cell>
          <cell r="C378" t="str">
            <v>M</v>
          </cell>
          <cell r="D378">
            <v>228.22</v>
          </cell>
          <cell r="E378">
            <v>185.07</v>
          </cell>
          <cell r="F378" t="str">
            <v>A incluir</v>
          </cell>
        </row>
        <row r="379">
          <cell r="A379">
            <v>40447</v>
          </cell>
          <cell r="B379" t="str">
            <v>Corpo BSTC (grota) diâmetro 0,60 m CA-2 PB exclusive escavação e reaterro, inclusive transporte do tubo</v>
          </cell>
          <cell r="C379" t="str">
            <v>M</v>
          </cell>
          <cell r="D379">
            <v>221.97</v>
          </cell>
          <cell r="E379">
            <v>180</v>
          </cell>
          <cell r="F379" t="str">
            <v>A incluir</v>
          </cell>
        </row>
        <row r="380">
          <cell r="A380">
            <v>40448</v>
          </cell>
          <cell r="B380" t="str">
            <v>Corpo BSTC (grota) diâmetro 0,80 m CA-1 MF exclusive escavação e reaterro, inclusive transporte do tubo</v>
          </cell>
          <cell r="C380" t="str">
            <v>M</v>
          </cell>
          <cell r="D380">
            <v>523.27</v>
          </cell>
          <cell r="E380">
            <v>424.32</v>
          </cell>
          <cell r="F380" t="str">
            <v>A incluir</v>
          </cell>
        </row>
        <row r="381">
          <cell r="A381">
            <v>40449</v>
          </cell>
          <cell r="B381" t="str">
            <v>Corpo BSTC (grota) diâmetro 0,80 m CA-1 PB exclusive escavação e reaterro, inclusive transporte do tubo</v>
          </cell>
          <cell r="C381" t="str">
            <v>M</v>
          </cell>
          <cell r="D381">
            <v>517.19000000000005</v>
          </cell>
          <cell r="E381">
            <v>419.39</v>
          </cell>
          <cell r="F381" t="str">
            <v>A incluir</v>
          </cell>
        </row>
        <row r="382">
          <cell r="A382">
            <v>40450</v>
          </cell>
          <cell r="B382" t="str">
            <v>Corpo BSTC (grota) diâmetro 0,80 m CA-2 MF exclusive escavação e reaterro, inclusive transporte do tubo</v>
          </cell>
          <cell r="C382" t="str">
            <v>M</v>
          </cell>
          <cell r="D382">
            <v>533.98</v>
          </cell>
          <cell r="E382">
            <v>433.01</v>
          </cell>
          <cell r="F382" t="str">
            <v>A incluir</v>
          </cell>
        </row>
        <row r="383">
          <cell r="A383">
            <v>40451</v>
          </cell>
          <cell r="B383" t="str">
            <v>Corpo BSTC (grota) diâmetro 0,80 m CA-2 PB exclusive escavação e reaterro, inclusive transporte do tubo</v>
          </cell>
          <cell r="C383" t="str">
            <v>M</v>
          </cell>
          <cell r="D383">
            <v>509.47</v>
          </cell>
          <cell r="E383">
            <v>413.13</v>
          </cell>
          <cell r="F383" t="str">
            <v>A incluir</v>
          </cell>
        </row>
        <row r="384">
          <cell r="A384">
            <v>40452</v>
          </cell>
          <cell r="B384" t="str">
            <v>Corpo BSTC (grota) diâmetro 1,00 m CA-1 MF exclusive escavação e reaterro, inclusive transporte do tubo</v>
          </cell>
          <cell r="C384" t="str">
            <v>M</v>
          </cell>
          <cell r="D384">
            <v>600.08000000000004</v>
          </cell>
          <cell r="E384">
            <v>486.61</v>
          </cell>
          <cell r="F384" t="str">
            <v>A incluir</v>
          </cell>
        </row>
        <row r="385">
          <cell r="A385">
            <v>40453</v>
          </cell>
          <cell r="B385" t="str">
            <v>Corpo BSTC (grota) diâmetro 1,00 m CA-1 PB exclusive escavação e reaterro, inclusive transporte do tubo</v>
          </cell>
          <cell r="C385" t="str">
            <v>M</v>
          </cell>
          <cell r="D385">
            <v>589.27</v>
          </cell>
          <cell r="E385">
            <v>477.84</v>
          </cell>
          <cell r="F385" t="str">
            <v>A incluir</v>
          </cell>
        </row>
        <row r="386">
          <cell r="A386">
            <v>40454</v>
          </cell>
          <cell r="B386" t="str">
            <v>Corpo BSTC (grota) diâmetro 1,00 m CA-2 MF exclusive escavação e reaterro, inclusive transporte do tubo</v>
          </cell>
          <cell r="C386" t="str">
            <v>M</v>
          </cell>
          <cell r="D386">
            <v>638.72</v>
          </cell>
          <cell r="E386">
            <v>517.94000000000005</v>
          </cell>
          <cell r="F386" t="str">
            <v>A incluir</v>
          </cell>
        </row>
        <row r="387">
          <cell r="A387">
            <v>40455</v>
          </cell>
          <cell r="B387" t="str">
            <v>Corpo BSTC (grota) diâmetro 1,00 m CA-2 PB exclusive escavação e reaterro, inclusive transporte do tubo</v>
          </cell>
          <cell r="C387" t="str">
            <v>M</v>
          </cell>
          <cell r="D387">
            <v>621.55999999999995</v>
          </cell>
          <cell r="E387">
            <v>504.03</v>
          </cell>
          <cell r="F387" t="str">
            <v>A incluir</v>
          </cell>
        </row>
        <row r="388">
          <cell r="A388">
            <v>40456</v>
          </cell>
          <cell r="B388" t="str">
            <v>Corpo BSTC (grota) diâmetro 1,00 m CA-3 MF exclusive escavação e reaterro, inclusive transporte do tubo</v>
          </cell>
          <cell r="C388" t="str">
            <v>M</v>
          </cell>
          <cell r="D388">
            <v>719.86</v>
          </cell>
          <cell r="E388">
            <v>583.74</v>
          </cell>
          <cell r="F388" t="str">
            <v>A incluir</v>
          </cell>
        </row>
        <row r="389">
          <cell r="A389">
            <v>40457</v>
          </cell>
          <cell r="B389" t="str">
            <v>Corpo BSTC (grota) diâmetro 1,20 m CA-1 MF exclusive escavação e reaterro, inclusive transporte do tubo</v>
          </cell>
          <cell r="C389" t="str">
            <v>M</v>
          </cell>
          <cell r="D389">
            <v>861.42</v>
          </cell>
          <cell r="E389">
            <v>698.53</v>
          </cell>
          <cell r="F389" t="str">
            <v>A incluir</v>
          </cell>
        </row>
        <row r="390">
          <cell r="A390">
            <v>40458</v>
          </cell>
          <cell r="B390" t="str">
            <v>Corpo BSTC (grota) diâmetro 1,20 m CA-1 PB exclusive escavação e reaterro, inclusive transporte do tubo</v>
          </cell>
          <cell r="C390" t="str">
            <v>M</v>
          </cell>
          <cell r="D390">
            <v>808.11</v>
          </cell>
          <cell r="E390">
            <v>655.29999999999995</v>
          </cell>
          <cell r="F390" t="str">
            <v>A incluir</v>
          </cell>
        </row>
        <row r="391">
          <cell r="A391">
            <v>40459</v>
          </cell>
          <cell r="B391" t="str">
            <v>Corpo BSTC (grota) diâmetro 1,20 m CA-2 MF exclusive escavação e reaterro, inclusive transporte do tubo</v>
          </cell>
          <cell r="C391" t="str">
            <v>M</v>
          </cell>
          <cell r="D391">
            <v>884.08</v>
          </cell>
          <cell r="E391">
            <v>716.9</v>
          </cell>
          <cell r="F391" t="str">
            <v>A incluir</v>
          </cell>
        </row>
        <row r="392">
          <cell r="A392">
            <v>40460</v>
          </cell>
          <cell r="B392" t="str">
            <v>Corpo BSTC (grota) diâmetro 1,20 m CA-2 PB exclusive escavação e reaterro, inclusive transporte do tubo</v>
          </cell>
          <cell r="C392" t="str">
            <v>M</v>
          </cell>
          <cell r="D392">
            <v>846.72</v>
          </cell>
          <cell r="E392">
            <v>686.61</v>
          </cell>
          <cell r="F392" t="str">
            <v>A incluir</v>
          </cell>
        </row>
        <row r="393">
          <cell r="A393">
            <v>40461</v>
          </cell>
          <cell r="B393" t="str">
            <v>Corpo BSTC (grota) diâmetro 1,20 m CA-3 MF exclusive escavação e reaterro, inclusive transporte do tubo</v>
          </cell>
          <cell r="C393" t="str">
            <v>M</v>
          </cell>
          <cell r="D393">
            <v>1047.3900000000001</v>
          </cell>
          <cell r="E393">
            <v>849.33</v>
          </cell>
          <cell r="F393" t="str">
            <v>A incluir</v>
          </cell>
        </row>
        <row r="394">
          <cell r="A394">
            <v>40462</v>
          </cell>
          <cell r="B394" t="str">
            <v>Corpo BSTC (grota) diâmetro 1,50 m CA-1 MF exclusive escavação e reaterro, inclusive transporte do tubo</v>
          </cell>
          <cell r="C394" t="str">
            <v>M</v>
          </cell>
          <cell r="D394">
            <v>1098.58</v>
          </cell>
          <cell r="E394">
            <v>890.84</v>
          </cell>
          <cell r="F394" t="str">
            <v>A incluir</v>
          </cell>
        </row>
        <row r="395">
          <cell r="A395">
            <v>40463</v>
          </cell>
          <cell r="B395" t="str">
            <v>Corpo BSTC (grota) diâmetro 1,50 m CA-1 PB exclusive escavação e reaterro, inclusive transporte do tubo</v>
          </cell>
          <cell r="C395" t="str">
            <v>M</v>
          </cell>
          <cell r="D395">
            <v>1089.33</v>
          </cell>
          <cell r="E395">
            <v>883.34</v>
          </cell>
          <cell r="F395" t="str">
            <v>A incluir</v>
          </cell>
        </row>
        <row r="396">
          <cell r="A396">
            <v>40464</v>
          </cell>
          <cell r="B396" t="str">
            <v>Corpo BSTC (grota) diâmetro 1,50 m CA-2 MF exclusive escavação e reaterro, inclusive transporte do tubo</v>
          </cell>
          <cell r="C396" t="str">
            <v>M</v>
          </cell>
          <cell r="D396">
            <v>1096.8499999999999</v>
          </cell>
          <cell r="E396">
            <v>889.44</v>
          </cell>
          <cell r="F396" t="str">
            <v>A incluir</v>
          </cell>
        </row>
        <row r="397">
          <cell r="A397">
            <v>40465</v>
          </cell>
          <cell r="B397" t="str">
            <v>Corpo BSTC (grota) diâmetro 1,50 m CA-2 PB exclusive escavação e reaterro, inclusive transporte do tubo</v>
          </cell>
          <cell r="C397" t="str">
            <v>M</v>
          </cell>
          <cell r="D397">
            <v>1138.47</v>
          </cell>
          <cell r="E397">
            <v>923.19</v>
          </cell>
          <cell r="F397" t="str">
            <v>A incluir</v>
          </cell>
        </row>
        <row r="398">
          <cell r="A398">
            <v>40466</v>
          </cell>
          <cell r="B398" t="str">
            <v>Corpo BSTC (grota) diâmetro 1,50 m CA-3 MF exclusive escavação e reaterro, inclusive transporte do tubo</v>
          </cell>
          <cell r="C398" t="str">
            <v>M</v>
          </cell>
          <cell r="D398">
            <v>1486.72</v>
          </cell>
          <cell r="E398">
            <v>1205.58</v>
          </cell>
          <cell r="F398" t="str">
            <v>A incluir</v>
          </cell>
        </row>
        <row r="399">
          <cell r="A399">
            <v>40490</v>
          </cell>
          <cell r="B399" t="str">
            <v>Corpo BTTC (grota) diâmetro 0,60 m CA-1 MF exclusive escavação e reaterro, inclusive transporte do tubo</v>
          </cell>
          <cell r="C399" t="str">
            <v>M</v>
          </cell>
          <cell r="D399">
            <v>671.55</v>
          </cell>
          <cell r="E399">
            <v>544.55999999999995</v>
          </cell>
          <cell r="F399" t="str">
            <v>A incluir</v>
          </cell>
        </row>
        <row r="400">
          <cell r="A400">
            <v>40491</v>
          </cell>
          <cell r="B400" t="str">
            <v>Corpo BTTC (grota) diâmetro 0,60 m CA-1 PB exclusive escavação e reaterro, inclusive transporte do tubo</v>
          </cell>
          <cell r="C400" t="str">
            <v>M</v>
          </cell>
          <cell r="D400">
            <v>728.56</v>
          </cell>
          <cell r="E400">
            <v>590.79</v>
          </cell>
          <cell r="F400" t="str">
            <v>A incluir</v>
          </cell>
        </row>
        <row r="401">
          <cell r="A401">
            <v>40492</v>
          </cell>
          <cell r="B401" t="str">
            <v>Corpo BTTC (grota) diâmetro 0,60 m CA-2 MF exclusive escavação e reaterro, inclusive transporte do tubo</v>
          </cell>
          <cell r="C401" t="str">
            <v>M</v>
          </cell>
          <cell r="D401">
            <v>680.94</v>
          </cell>
          <cell r="E401">
            <v>552.17999999999995</v>
          </cell>
          <cell r="F401" t="str">
            <v>A incluir</v>
          </cell>
        </row>
        <row r="402">
          <cell r="A402">
            <v>40493</v>
          </cell>
          <cell r="B402" t="str">
            <v>Corpo BTTC (grota) diâmetro 0,60 m CA-2 PB exclusive escavação e reaterro, inclusive transporte do tubo</v>
          </cell>
          <cell r="C402" t="str">
            <v>M</v>
          </cell>
          <cell r="D402">
            <v>662.19</v>
          </cell>
          <cell r="E402">
            <v>536.97</v>
          </cell>
          <cell r="F402" t="str">
            <v>A incluir</v>
          </cell>
        </row>
        <row r="403">
          <cell r="A403">
            <v>40494</v>
          </cell>
          <cell r="B403" t="str">
            <v>Corpo BTTC (grota) diâmetro 0,80 m CA-1 MF exclusive escavação e reaterro, inclusive transporte do tubo</v>
          </cell>
          <cell r="C403" t="str">
            <v>M</v>
          </cell>
          <cell r="D403">
            <v>1370.36</v>
          </cell>
          <cell r="E403">
            <v>1111.23</v>
          </cell>
          <cell r="F403" t="str">
            <v>A incluir</v>
          </cell>
        </row>
        <row r="404">
          <cell r="A404">
            <v>40495</v>
          </cell>
          <cell r="B404" t="str">
            <v>Corpo BTTC (grota) diâmetro 0,80 m CA-1 PB exclusive escavação e reaterro, inclusive transporte do tubo</v>
          </cell>
          <cell r="C404" t="str">
            <v>M</v>
          </cell>
          <cell r="D404">
            <v>1352.12</v>
          </cell>
          <cell r="E404">
            <v>1096.44</v>
          </cell>
          <cell r="F404" t="str">
            <v>A incluir</v>
          </cell>
        </row>
        <row r="405">
          <cell r="A405">
            <v>40496</v>
          </cell>
          <cell r="B405" t="str">
            <v>Corpo BTTC (grota) diâmetro 0,80 m CA-2 MF exclusive escavação e reaterro, inclusive transporte do tubo</v>
          </cell>
          <cell r="C405" t="str">
            <v>M</v>
          </cell>
          <cell r="D405">
            <v>1402.51</v>
          </cell>
          <cell r="E405">
            <v>1137.3</v>
          </cell>
          <cell r="F405" t="str">
            <v>A incluir</v>
          </cell>
        </row>
        <row r="406">
          <cell r="A406">
            <v>40497</v>
          </cell>
          <cell r="B406" t="str">
            <v>Corpo BTTC (grota) diâmetro 0,80 m CA-2 PB exclusive escavação e reaterro, inclusive transporte do tubo</v>
          </cell>
          <cell r="C406" t="str">
            <v>M</v>
          </cell>
          <cell r="D406">
            <v>1328.97</v>
          </cell>
          <cell r="E406">
            <v>1077.6600000000001</v>
          </cell>
          <cell r="F406" t="str">
            <v>A incluir</v>
          </cell>
        </row>
        <row r="407">
          <cell r="A407">
            <v>40498</v>
          </cell>
          <cell r="B407" t="str">
            <v>Corpo BTTC (grota) diâmetro 1,00 m CA-1 MF exclusive escavação e reaterro, inclusive transporte do tubo</v>
          </cell>
          <cell r="C407" t="str">
            <v>M</v>
          </cell>
          <cell r="D407">
            <v>1600.81</v>
          </cell>
          <cell r="E407">
            <v>1298.0999999999999</v>
          </cell>
          <cell r="F407" t="str">
            <v>A incluir</v>
          </cell>
        </row>
        <row r="408">
          <cell r="A408">
            <v>40499</v>
          </cell>
          <cell r="B408" t="str">
            <v>Corpo BTTC (grota) diâmetro 1,00 m CA-1 PB exclusive escavação e reaterro, inclusive transporte do tubo</v>
          </cell>
          <cell r="C408" t="str">
            <v>M</v>
          </cell>
          <cell r="D408">
            <v>1568.37</v>
          </cell>
          <cell r="E408">
            <v>1271.79</v>
          </cell>
          <cell r="F408" t="str">
            <v>A incluir</v>
          </cell>
        </row>
        <row r="409">
          <cell r="A409">
            <v>40500</v>
          </cell>
          <cell r="B409" t="str">
            <v>Corpo BTTC (grota) diâmetro 1,00 m CA-2 MF exclusive escavação e reaterro, inclusive transporte do tubo</v>
          </cell>
          <cell r="C409" t="str">
            <v>M</v>
          </cell>
          <cell r="D409">
            <v>1716.72</v>
          </cell>
          <cell r="E409">
            <v>1392.09</v>
          </cell>
          <cell r="F409" t="str">
            <v>A incluir</v>
          </cell>
        </row>
        <row r="410">
          <cell r="A410">
            <v>40501</v>
          </cell>
          <cell r="B410" t="str">
            <v>Corpo BTTC (grota) diâmetro 1,00 m CA-2 PB exclusive escavação e reaterro, inclusive transporte do tubo</v>
          </cell>
          <cell r="C410" t="str">
            <v>M</v>
          </cell>
          <cell r="D410">
            <v>1665.26</v>
          </cell>
          <cell r="E410">
            <v>1350.36</v>
          </cell>
          <cell r="F410" t="str">
            <v>A incluir</v>
          </cell>
        </row>
        <row r="411">
          <cell r="A411">
            <v>40502</v>
          </cell>
          <cell r="B411" t="str">
            <v>Corpo BTTC (grota) diâmetro 1,00 m CA-3 MF exclusive escavação e reaterro, inclusive transporte do tubo</v>
          </cell>
          <cell r="C411" t="str">
            <v>M</v>
          </cell>
          <cell r="D411">
            <v>1960.15</v>
          </cell>
          <cell r="E411">
            <v>1589.49</v>
          </cell>
          <cell r="F411" t="str">
            <v>A incluir</v>
          </cell>
        </row>
        <row r="412">
          <cell r="A412">
            <v>40503</v>
          </cell>
          <cell r="B412" t="str">
            <v>Corpo BTTC (grota) diâmetro 1,20 m CA-1 MF exclusive escavação e reaterro, inclusive transporte do tubo</v>
          </cell>
          <cell r="C412" t="str">
            <v>M</v>
          </cell>
          <cell r="D412">
            <v>2384.87</v>
          </cell>
          <cell r="E412">
            <v>1933.89</v>
          </cell>
          <cell r="F412" t="str">
            <v>A incluir</v>
          </cell>
        </row>
        <row r="413">
          <cell r="A413">
            <v>40504</v>
          </cell>
          <cell r="B413" t="str">
            <v>Corpo BTTC (grota) diâmetro 1,20 m CA-1 PB exclusive escavação e reaterro, inclusive transporte do tubo</v>
          </cell>
          <cell r="C413" t="str">
            <v>M</v>
          </cell>
          <cell r="D413">
            <v>2224.9299999999998</v>
          </cell>
          <cell r="E413">
            <v>1804.2</v>
          </cell>
          <cell r="F413" t="str">
            <v>A incluir</v>
          </cell>
        </row>
        <row r="414">
          <cell r="A414">
            <v>40505</v>
          </cell>
          <cell r="B414" t="str">
            <v>Corpo BTTC (grota) diâmetro 1,20 m CA-2 MF exclusive escavação e reaterro, inclusive transporte do tubo</v>
          </cell>
          <cell r="C414" t="str">
            <v>M</v>
          </cell>
          <cell r="D414">
            <v>2452.83</v>
          </cell>
          <cell r="E414">
            <v>1989</v>
          </cell>
          <cell r="F414" t="str">
            <v>A incluir</v>
          </cell>
        </row>
        <row r="415">
          <cell r="A415">
            <v>40506</v>
          </cell>
          <cell r="B415" t="str">
            <v>Corpo BTTC (grota) diâmetro 1,20 m CA-2 PB exclusive escavação e reaterro, inclusive transporte do tubo</v>
          </cell>
          <cell r="C415" t="str">
            <v>M</v>
          </cell>
          <cell r="D415">
            <v>2340.77</v>
          </cell>
          <cell r="E415">
            <v>1898.13</v>
          </cell>
          <cell r="F415" t="str">
            <v>A incluir</v>
          </cell>
        </row>
        <row r="416">
          <cell r="A416">
            <v>40507</v>
          </cell>
          <cell r="B416" t="str">
            <v>Corpo BTTC (grota) diâmetro 1,20 m CA-3 MF exclusive escavação e reaterro, inclusive transporte do tubo</v>
          </cell>
          <cell r="C416" t="str">
            <v>M</v>
          </cell>
          <cell r="D416">
            <v>2942.77</v>
          </cell>
          <cell r="E416">
            <v>2386.29</v>
          </cell>
          <cell r="F416" t="str">
            <v>A incluir</v>
          </cell>
        </row>
        <row r="417">
          <cell r="A417">
            <v>40508</v>
          </cell>
          <cell r="B417" t="str">
            <v>Corpo BTTC (grota) diâmetro 1,50 m CA-1 MF exclusive escavação e reaterro, inclusive transporte do tubo</v>
          </cell>
          <cell r="C417" t="str">
            <v>M</v>
          </cell>
          <cell r="D417">
            <v>3096.3</v>
          </cell>
          <cell r="E417">
            <v>2510.79</v>
          </cell>
          <cell r="F417" t="str">
            <v>A incluir</v>
          </cell>
        </row>
        <row r="418">
          <cell r="A418">
            <v>40509</v>
          </cell>
          <cell r="B418" t="str">
            <v>Corpo BTTC (grota) diâmetro 1,50 m CA-1 PB exclusive escavação e reaterro, inclusive transporte do tubo</v>
          </cell>
          <cell r="C418" t="str">
            <v>M</v>
          </cell>
          <cell r="D418">
            <v>3068.55</v>
          </cell>
          <cell r="E418">
            <v>2488.29</v>
          </cell>
          <cell r="F418" t="str">
            <v>A incluir</v>
          </cell>
        </row>
        <row r="419">
          <cell r="A419">
            <v>40510</v>
          </cell>
          <cell r="B419" t="str">
            <v>Corpo BTTC (grota) diâmetro 1,50 m CA-2 MF exclusive escavação e reaterro, inclusive transporte do tubo</v>
          </cell>
          <cell r="C419" t="str">
            <v>M</v>
          </cell>
          <cell r="D419">
            <v>3091.12</v>
          </cell>
          <cell r="E419">
            <v>2506.59</v>
          </cell>
          <cell r="F419" t="str">
            <v>A incluir</v>
          </cell>
        </row>
        <row r="420">
          <cell r="A420">
            <v>40511</v>
          </cell>
          <cell r="B420" t="str">
            <v>Corpo BTTC (grota) diâmetro 1,50 m CA-2 PB exclusive escavação e reaterro, inclusive transporte do tubo</v>
          </cell>
          <cell r="C420" t="str">
            <v>M</v>
          </cell>
          <cell r="D420">
            <v>3215.98</v>
          </cell>
          <cell r="E420">
            <v>2607.84</v>
          </cell>
          <cell r="F420" t="str">
            <v>A incluir</v>
          </cell>
        </row>
        <row r="421">
          <cell r="A421">
            <v>40512</v>
          </cell>
          <cell r="B421" t="str">
            <v>Corpo BTTC (grota) diâmetro 1,50 m CA-3 MF exclusive escavação e reaterro, inclusive transporte do tubo</v>
          </cell>
          <cell r="C421" t="str">
            <v>M</v>
          </cell>
          <cell r="D421">
            <v>4260.71</v>
          </cell>
          <cell r="E421">
            <v>3455.01</v>
          </cell>
          <cell r="F421" t="str">
            <v>A incluir</v>
          </cell>
        </row>
        <row r="422">
          <cell r="A422">
            <v>40586</v>
          </cell>
          <cell r="B422" t="str">
            <v>Corpo de BDCC 1,50 x 1,50 m projeto DNIT para H &lt; = 2,50 m</v>
          </cell>
          <cell r="C422" t="str">
            <v>M</v>
          </cell>
          <cell r="D422">
            <v>5696.24</v>
          </cell>
          <cell r="E422">
            <v>4619.08</v>
          </cell>
          <cell r="F422" t="str">
            <v xml:space="preserve"> </v>
          </cell>
        </row>
        <row r="423">
          <cell r="A423">
            <v>40592</v>
          </cell>
          <cell r="B423" t="str">
            <v>Corpo de BDCC 1,50 x 1,50 m projeto DNIT para 2,50 &lt; H &lt; 5,00 m</v>
          </cell>
          <cell r="C423" t="str">
            <v>M</v>
          </cell>
          <cell r="D423">
            <v>6093.83</v>
          </cell>
          <cell r="E423">
            <v>4941.4799999999996</v>
          </cell>
          <cell r="F423" t="str">
            <v xml:space="preserve"> </v>
          </cell>
        </row>
        <row r="424">
          <cell r="A424">
            <v>40598</v>
          </cell>
          <cell r="B424" t="str">
            <v>Corpo de BDCC 2,00 x 1,20 m -  tudo incluido conforme projeto</v>
          </cell>
          <cell r="C424" t="str">
            <v>M</v>
          </cell>
          <cell r="D424">
            <v>8926.0400000000009</v>
          </cell>
          <cell r="E424">
            <v>7238.12</v>
          </cell>
          <cell r="F424" t="str">
            <v xml:space="preserve"> </v>
          </cell>
        </row>
        <row r="425">
          <cell r="A425">
            <v>40587</v>
          </cell>
          <cell r="B425" t="str">
            <v>Corpo de BDCC 2,00 x 2,00 m projeto DNIT para H &lt; = 2,50 m</v>
          </cell>
          <cell r="C425" t="str">
            <v>M</v>
          </cell>
          <cell r="D425">
            <v>8377.6</v>
          </cell>
          <cell r="E425">
            <v>6793.39</v>
          </cell>
          <cell r="F425" t="str">
            <v xml:space="preserve"> </v>
          </cell>
        </row>
        <row r="426">
          <cell r="A426">
            <v>40593</v>
          </cell>
          <cell r="B426" t="str">
            <v>Corpo de BDCC 2,00 x 2,00 m projeto DNIT para 2,50 &lt; H &lt;5,00 m</v>
          </cell>
          <cell r="C426" t="str">
            <v>M</v>
          </cell>
          <cell r="D426">
            <v>9632.59</v>
          </cell>
          <cell r="E426">
            <v>7811.06</v>
          </cell>
          <cell r="F426" t="str">
            <v xml:space="preserve"> </v>
          </cell>
        </row>
        <row r="427">
          <cell r="A427">
            <v>40588</v>
          </cell>
          <cell r="B427" t="str">
            <v>Corpo de BDCC 2,00 x 3,00 m projeto DNIT para H &lt; = 2,50 m</v>
          </cell>
          <cell r="C427" t="str">
            <v>M</v>
          </cell>
          <cell r="D427">
            <v>11697.19</v>
          </cell>
          <cell r="E427">
            <v>9485.24</v>
          </cell>
          <cell r="F427" t="str">
            <v xml:space="preserve"> </v>
          </cell>
        </row>
        <row r="428">
          <cell r="A428">
            <v>40594</v>
          </cell>
          <cell r="B428" t="str">
            <v>Corpo de BDCC 2,00 x 3,00 m projeto DNIT para 2,50 &lt; H &lt; 5,00 m</v>
          </cell>
          <cell r="C428" t="str">
            <v>M</v>
          </cell>
          <cell r="D428">
            <v>14088.34</v>
          </cell>
          <cell r="E428">
            <v>11424.22</v>
          </cell>
          <cell r="F428" t="str">
            <v xml:space="preserve"> </v>
          </cell>
        </row>
        <row r="429">
          <cell r="A429">
            <v>40599</v>
          </cell>
          <cell r="B429" t="str">
            <v>Corpo de BDCC 2,50 x 2,00 m - tudo incluído conforme projeto</v>
          </cell>
          <cell r="C429" t="str">
            <v>M</v>
          </cell>
          <cell r="D429">
            <v>12848.62</v>
          </cell>
          <cell r="E429">
            <v>10418.93</v>
          </cell>
          <cell r="F429" t="str">
            <v xml:space="preserve"> </v>
          </cell>
        </row>
        <row r="430">
          <cell r="A430">
            <v>40589</v>
          </cell>
          <cell r="B430" t="str">
            <v>Corpo de BDCC 2,50 x 2,50 m projeto DNIT para H &lt; = 2,50 m</v>
          </cell>
          <cell r="C430" t="str">
            <v>M</v>
          </cell>
          <cell r="D430">
            <v>11385.11</v>
          </cell>
          <cell r="E430">
            <v>9232.17</v>
          </cell>
          <cell r="F430" t="str">
            <v xml:space="preserve"> </v>
          </cell>
        </row>
        <row r="431">
          <cell r="A431">
            <v>40595</v>
          </cell>
          <cell r="B431" t="str">
            <v>Corpo de BDCC 2,50 x 2,50 m projeto DNIT para 2,50 &lt; H &lt; 5,00 m</v>
          </cell>
          <cell r="C431" t="str">
            <v>M</v>
          </cell>
          <cell r="D431">
            <v>12747.61</v>
          </cell>
          <cell r="E431">
            <v>10337.02</v>
          </cell>
          <cell r="F431" t="str">
            <v xml:space="preserve"> </v>
          </cell>
        </row>
        <row r="432">
          <cell r="A432">
            <v>40590</v>
          </cell>
          <cell r="B432" t="str">
            <v>Corpo de BDCC 2,50 x 3,00 m projeto DNIT para H &lt; = 2,50 m</v>
          </cell>
          <cell r="C432" t="str">
            <v>M</v>
          </cell>
          <cell r="D432">
            <v>13587.77</v>
          </cell>
          <cell r="E432">
            <v>11018.31</v>
          </cell>
          <cell r="F432" t="str">
            <v xml:space="preserve"> </v>
          </cell>
        </row>
        <row r="433">
          <cell r="A433">
            <v>40596</v>
          </cell>
          <cell r="B433" t="str">
            <v>Corpo de BDCC 2,50 x 3,00 m projeto DNIT para 2,50 &lt; H &lt; 5,00 m</v>
          </cell>
          <cell r="C433" t="str">
            <v>M</v>
          </cell>
          <cell r="D433">
            <v>15098.09</v>
          </cell>
          <cell r="E433">
            <v>12243.02</v>
          </cell>
          <cell r="F433" t="str">
            <v xml:space="preserve"> </v>
          </cell>
        </row>
        <row r="434">
          <cell r="A434">
            <v>40591</v>
          </cell>
          <cell r="B434" t="str">
            <v>Corpo de BDCC 3,00 x 3,00 m projeto DNIT para H &lt; = 2,50 m</v>
          </cell>
          <cell r="C434" t="str">
            <v>M</v>
          </cell>
          <cell r="D434">
            <v>14892.5</v>
          </cell>
          <cell r="E434">
            <v>12076.31</v>
          </cell>
          <cell r="F434" t="str">
            <v xml:space="preserve"> </v>
          </cell>
        </row>
        <row r="435">
          <cell r="A435">
            <v>40597</v>
          </cell>
          <cell r="B435" t="str">
            <v>Corpo de BDCC 3,00 x 3,00 m projeto DNIT para 2,50 &lt; H &lt; 5,00 m</v>
          </cell>
          <cell r="C435" t="str">
            <v>M</v>
          </cell>
          <cell r="D435">
            <v>15899.65</v>
          </cell>
          <cell r="E435">
            <v>12893.01</v>
          </cell>
          <cell r="F435" t="str">
            <v xml:space="preserve"> </v>
          </cell>
        </row>
        <row r="436">
          <cell r="A436">
            <v>40573</v>
          </cell>
          <cell r="B436" t="str">
            <v>Corpo de BSCC 1,50 x 1,50 m projeto DNIT para H &lt; = 2,50 m</v>
          </cell>
          <cell r="C436" t="str">
            <v>M</v>
          </cell>
          <cell r="D436">
            <v>3494.96</v>
          </cell>
          <cell r="E436">
            <v>2834.06</v>
          </cell>
          <cell r="F436" t="str">
            <v xml:space="preserve"> </v>
          </cell>
        </row>
        <row r="437">
          <cell r="A437">
            <v>40579</v>
          </cell>
          <cell r="B437" t="str">
            <v>Corpo de BSCC 1,50 x 1,50 m projeto DNIT para 2,50 &lt; H &lt; 5,00 m</v>
          </cell>
          <cell r="C437" t="str">
            <v>M</v>
          </cell>
          <cell r="D437">
            <v>3793.15</v>
          </cell>
          <cell r="E437">
            <v>3075.86</v>
          </cell>
          <cell r="F437" t="str">
            <v xml:space="preserve"> </v>
          </cell>
        </row>
        <row r="438">
          <cell r="A438">
            <v>41113</v>
          </cell>
          <cell r="B438" t="str">
            <v>Corpo de BSCC 2,00 x 2,00 m projeto DNIT para  5,00 &lt; H &lt; 7,50 m</v>
          </cell>
          <cell r="C438" t="str">
            <v>M</v>
          </cell>
          <cell r="D438">
            <v>6343.49</v>
          </cell>
          <cell r="E438">
            <v>5143.93</v>
          </cell>
          <cell r="F438" t="str">
            <v xml:space="preserve"> </v>
          </cell>
        </row>
        <row r="439">
          <cell r="A439">
            <v>40574</v>
          </cell>
          <cell r="B439" t="str">
            <v>Corpo de BSCC 2,00 x 2,00 m projeto DNIT para H &lt; = 2,50 m</v>
          </cell>
          <cell r="C439" t="str">
            <v>M</v>
          </cell>
          <cell r="D439">
            <v>5034.7299999999996</v>
          </cell>
          <cell r="E439">
            <v>4082.66</v>
          </cell>
          <cell r="F439" t="str">
            <v xml:space="preserve"> </v>
          </cell>
        </row>
        <row r="440">
          <cell r="A440">
            <v>40580</v>
          </cell>
          <cell r="B440" t="str">
            <v>Corpo de BSCC 2,00 x 2,00 m projeto DNIT para 2,50 &lt; H &lt; 5,00 m</v>
          </cell>
          <cell r="C440" t="str">
            <v>M</v>
          </cell>
          <cell r="D440">
            <v>5647.72</v>
          </cell>
          <cell r="E440">
            <v>4579.7299999999996</v>
          </cell>
          <cell r="F440" t="str">
            <v xml:space="preserve"> </v>
          </cell>
        </row>
        <row r="441">
          <cell r="A441">
            <v>40575</v>
          </cell>
          <cell r="B441" t="str">
            <v>Corpo de BSCC 2,00 x 3,00 m projeto DNIT para H &lt; = 2,50 m</v>
          </cell>
          <cell r="C441" t="str">
            <v>M</v>
          </cell>
          <cell r="D441">
            <v>7259.51</v>
          </cell>
          <cell r="E441">
            <v>5886.73</v>
          </cell>
          <cell r="F441" t="str">
            <v xml:space="preserve"> </v>
          </cell>
        </row>
        <row r="442">
          <cell r="A442">
            <v>40581</v>
          </cell>
          <cell r="B442" t="str">
            <v>Corpo de BSCC 2,00 x 3,00 m projeto DNIT para 2,50 &lt; H &lt; 5,00 m</v>
          </cell>
          <cell r="C442" t="str">
            <v>M</v>
          </cell>
          <cell r="D442">
            <v>9358.3799999999992</v>
          </cell>
          <cell r="E442">
            <v>7588.7</v>
          </cell>
          <cell r="F442" t="str">
            <v xml:space="preserve"> </v>
          </cell>
        </row>
        <row r="443">
          <cell r="A443">
            <v>40576</v>
          </cell>
          <cell r="B443" t="str">
            <v>Corpo de BSCC 2,50 x 2,50 m projeto DNIT para H &lt; = 2,50 m</v>
          </cell>
          <cell r="C443" t="str">
            <v>M</v>
          </cell>
          <cell r="D443">
            <v>7134.8</v>
          </cell>
          <cell r="E443">
            <v>5785.6</v>
          </cell>
          <cell r="F443" t="str">
            <v xml:space="preserve"> </v>
          </cell>
        </row>
        <row r="444">
          <cell r="A444">
            <v>40582</v>
          </cell>
          <cell r="B444" t="str">
            <v>Corpo de BSCC 2,50 x 2,50 m projeto DNIT para 2,50 &lt; H &lt; 5,00 m</v>
          </cell>
          <cell r="C444" t="str">
            <v>M</v>
          </cell>
          <cell r="D444">
            <v>8188.39</v>
          </cell>
          <cell r="E444">
            <v>6639.96</v>
          </cell>
          <cell r="F444" t="str">
            <v xml:space="preserve"> </v>
          </cell>
        </row>
        <row r="445">
          <cell r="A445">
            <v>40577</v>
          </cell>
          <cell r="B445" t="str">
            <v>Corpo de BSCC 2,50 x 3,00 m projeto DNIT para H &lt; = 2,50 m</v>
          </cell>
          <cell r="C445" t="str">
            <v>M</v>
          </cell>
          <cell r="D445">
            <v>9020.82</v>
          </cell>
          <cell r="E445">
            <v>7314.97</v>
          </cell>
          <cell r="F445" t="str">
            <v xml:space="preserve"> </v>
          </cell>
        </row>
        <row r="446">
          <cell r="A446">
            <v>40583</v>
          </cell>
          <cell r="B446" t="str">
            <v>Corpo de BSCC 2,50 x 3,00 m projeto DNIT para 2,50 &lt; H &lt; 5,00 m</v>
          </cell>
          <cell r="C446" t="str">
            <v>M</v>
          </cell>
          <cell r="D446">
            <v>11136.65</v>
          </cell>
          <cell r="E446">
            <v>9030.7000000000007</v>
          </cell>
          <cell r="F446" t="str">
            <v xml:space="preserve"> </v>
          </cell>
        </row>
        <row r="447">
          <cell r="A447">
            <v>40578</v>
          </cell>
          <cell r="B447" t="str">
            <v>Corpo de BSCC 3,00 x 3,00 m projeto DNIT para H &lt; = 2,50 m</v>
          </cell>
          <cell r="C447" t="str">
            <v>M</v>
          </cell>
          <cell r="D447">
            <v>9722.31</v>
          </cell>
          <cell r="E447">
            <v>7883.81</v>
          </cell>
          <cell r="F447" t="str">
            <v xml:space="preserve"> </v>
          </cell>
        </row>
        <row r="448">
          <cell r="A448">
            <v>40584</v>
          </cell>
          <cell r="B448" t="str">
            <v>Corpo de BSCC 3,00 x 3,00 m projeto DNIT para 2,50 &lt; H &lt; 5,00 m</v>
          </cell>
          <cell r="C448" t="str">
            <v>M</v>
          </cell>
          <cell r="D448">
            <v>11322.34</v>
          </cell>
          <cell r="E448">
            <v>9181.27</v>
          </cell>
          <cell r="F448" t="str">
            <v xml:space="preserve"> </v>
          </cell>
        </row>
        <row r="449">
          <cell r="A449">
            <v>40601</v>
          </cell>
          <cell r="B449" t="str">
            <v>Corpo de BTCC 1,50 x 1,50 m projeto DNIT para H &lt; = 2,50 m</v>
          </cell>
          <cell r="C449" t="str">
            <v>M</v>
          </cell>
          <cell r="D449">
            <v>8015.5</v>
          </cell>
          <cell r="E449">
            <v>6499.76</v>
          </cell>
          <cell r="F449" t="str">
            <v xml:space="preserve"> </v>
          </cell>
        </row>
        <row r="450">
          <cell r="A450">
            <v>40607</v>
          </cell>
          <cell r="B450" t="str">
            <v>Corpo de BTCC 1,50 x 1,50 m projeto DNIT para 2,50 &lt; H &lt; 5,00 m</v>
          </cell>
          <cell r="C450" t="str">
            <v>M</v>
          </cell>
          <cell r="D450">
            <v>8751.0300000000007</v>
          </cell>
          <cell r="E450">
            <v>7096.2</v>
          </cell>
          <cell r="F450" t="str">
            <v xml:space="preserve"> </v>
          </cell>
        </row>
        <row r="451">
          <cell r="A451">
            <v>40602</v>
          </cell>
          <cell r="B451" t="str">
            <v>Corpo de BTCC 2,00 x 2,00 m projeto DNIT para H &lt; = 2,50 m</v>
          </cell>
          <cell r="C451" t="str">
            <v>M</v>
          </cell>
          <cell r="D451">
            <v>11916.85</v>
          </cell>
          <cell r="E451">
            <v>9663.36</v>
          </cell>
          <cell r="F451" t="str">
            <v xml:space="preserve"> </v>
          </cell>
        </row>
        <row r="452">
          <cell r="A452">
            <v>40608</v>
          </cell>
          <cell r="B452" t="str">
            <v>Corpo de BTCC 2,00 x 2,00 m projeto DNIT para 2,50 &lt; H &lt; 5,00 m</v>
          </cell>
          <cell r="C452" t="str">
            <v>M</v>
          </cell>
          <cell r="D452">
            <v>13285.91</v>
          </cell>
          <cell r="E452">
            <v>10773.53</v>
          </cell>
          <cell r="F452" t="str">
            <v xml:space="preserve"> </v>
          </cell>
        </row>
        <row r="453">
          <cell r="A453">
            <v>40603</v>
          </cell>
          <cell r="B453" t="str">
            <v>Corpo de BTCC 2,00 x 3,00 m projeto DNIT para H &lt; = 2,50 m</v>
          </cell>
          <cell r="C453" t="str">
            <v>M</v>
          </cell>
          <cell r="D453">
            <v>17269.419999999998</v>
          </cell>
          <cell r="E453">
            <v>14003.75</v>
          </cell>
          <cell r="F453" t="str">
            <v xml:space="preserve"> </v>
          </cell>
        </row>
        <row r="454">
          <cell r="A454">
            <v>40609</v>
          </cell>
          <cell r="B454" t="str">
            <v>Corpo de BTCC 2,00 x 3,00 m projeto DNIT para 2,50 &lt; H &lt; 5,00 m</v>
          </cell>
          <cell r="C454" t="str">
            <v>M</v>
          </cell>
          <cell r="D454">
            <v>19861.060000000001</v>
          </cell>
          <cell r="E454">
            <v>16105.31</v>
          </cell>
          <cell r="F454" t="str">
            <v xml:space="preserve"> </v>
          </cell>
        </row>
        <row r="455">
          <cell r="A455">
            <v>40604</v>
          </cell>
          <cell r="B455" t="str">
            <v>Corpo de BTCC 2,50 x 2,50 m projeto DNIT para H &lt; = 2,50 m</v>
          </cell>
          <cell r="C455" t="str">
            <v>M</v>
          </cell>
          <cell r="D455">
            <v>15621.32</v>
          </cell>
          <cell r="E455">
            <v>12667.31</v>
          </cell>
          <cell r="F455" t="str">
            <v xml:space="preserve"> </v>
          </cell>
        </row>
        <row r="456">
          <cell r="A456">
            <v>40610</v>
          </cell>
          <cell r="B456" t="str">
            <v>Corpo de BTCC 2,50 x 2,50 m projeto DNIT para 2,50 &lt; H &lt; 5,00 m</v>
          </cell>
          <cell r="C456" t="str">
            <v>M</v>
          </cell>
          <cell r="D456">
            <v>17573.59</v>
          </cell>
          <cell r="E456">
            <v>14250.4</v>
          </cell>
          <cell r="F456" t="str">
            <v xml:space="preserve"> </v>
          </cell>
        </row>
        <row r="457">
          <cell r="A457">
            <v>40605</v>
          </cell>
          <cell r="B457" t="str">
            <v>Corpo de BTCC 2,50 x 3,00 m projeto DNIT para H &lt; = 2,50 m</v>
          </cell>
          <cell r="C457" t="str">
            <v>M</v>
          </cell>
          <cell r="D457">
            <v>19320.060000000001</v>
          </cell>
          <cell r="E457">
            <v>15666.61</v>
          </cell>
          <cell r="F457" t="str">
            <v xml:space="preserve"> </v>
          </cell>
        </row>
        <row r="458">
          <cell r="A458">
            <v>40611</v>
          </cell>
          <cell r="B458" t="str">
            <v>Corpo de BTCC 2,50 x 3,00 m projeto DNIT para 2,50 &lt; H &lt; 5,00 m</v>
          </cell>
          <cell r="C458" t="str">
            <v>M</v>
          </cell>
          <cell r="D458">
            <v>22218.19</v>
          </cell>
          <cell r="E458">
            <v>18016.7</v>
          </cell>
          <cell r="F458" t="str">
            <v xml:space="preserve"> </v>
          </cell>
        </row>
        <row r="459">
          <cell r="A459">
            <v>40606</v>
          </cell>
          <cell r="B459" t="str">
            <v>Corpo de BTCC 3,00 x 3,00 m projeto DNIT para H &lt; = 2,50 m</v>
          </cell>
          <cell r="C459" t="str">
            <v>M</v>
          </cell>
          <cell r="D459">
            <v>20508.75</v>
          </cell>
          <cell r="E459">
            <v>16630.52</v>
          </cell>
          <cell r="F459" t="str">
            <v xml:space="preserve"> </v>
          </cell>
        </row>
        <row r="460">
          <cell r="A460">
            <v>40612</v>
          </cell>
          <cell r="B460" t="str">
            <v>Corpo de BTCC 3,00 x 3,00 m projeto DNIT para 2,50 &lt; H &lt; 5,00 m</v>
          </cell>
          <cell r="C460" t="str">
            <v>M</v>
          </cell>
          <cell r="D460">
            <v>23206.240000000002</v>
          </cell>
          <cell r="E460">
            <v>18817.91</v>
          </cell>
          <cell r="F460" t="str">
            <v xml:space="preserve"> </v>
          </cell>
        </row>
        <row r="461">
          <cell r="A461">
            <v>40305</v>
          </cell>
          <cell r="B461" t="str">
            <v>Corta-rio (escavação mecânica em material de 1ª cat.) H = 1,50 a 3,00 m</v>
          </cell>
          <cell r="C461" t="str">
            <v>M3</v>
          </cell>
          <cell r="D461">
            <v>18.059999999999999</v>
          </cell>
          <cell r="E461">
            <v>14.65</v>
          </cell>
          <cell r="F461" t="str">
            <v xml:space="preserve"> </v>
          </cell>
        </row>
        <row r="462">
          <cell r="A462">
            <v>40306</v>
          </cell>
          <cell r="B462" t="str">
            <v>Corta-rio (escavação mecânica em material de 2ª cat.) H = 1,50 a 3,00 m</v>
          </cell>
          <cell r="C462" t="str">
            <v>M3</v>
          </cell>
          <cell r="D462">
            <v>36.130000000000003</v>
          </cell>
          <cell r="E462">
            <v>29.3</v>
          </cell>
          <cell r="F462" t="str">
            <v xml:space="preserve"> </v>
          </cell>
        </row>
        <row r="463">
          <cell r="A463">
            <v>41049</v>
          </cell>
          <cell r="B463" t="str">
            <v>Corte e esmerilhamento de pontas de tubo de ferro fundido DN 500 a 200mm</v>
          </cell>
          <cell r="C463" t="str">
            <v>M</v>
          </cell>
          <cell r="D463">
            <v>22.38</v>
          </cell>
          <cell r="E463">
            <v>18.149999999999999</v>
          </cell>
          <cell r="F463" t="str">
            <v xml:space="preserve"> </v>
          </cell>
        </row>
        <row r="464">
          <cell r="A464">
            <v>40372</v>
          </cell>
          <cell r="B464" t="str">
            <v>Demolição manual alvenaria tijolo furado assentado com argamassa</v>
          </cell>
          <cell r="C464" t="str">
            <v>M3</v>
          </cell>
          <cell r="D464">
            <v>225.39</v>
          </cell>
          <cell r="E464">
            <v>182.77</v>
          </cell>
          <cell r="F464" t="str">
            <v xml:space="preserve"> </v>
          </cell>
        </row>
        <row r="465">
          <cell r="A465">
            <v>40374</v>
          </cell>
          <cell r="B465" t="str">
            <v>Demolição manual de concreto armado</v>
          </cell>
          <cell r="C465" t="str">
            <v>M3</v>
          </cell>
          <cell r="D465">
            <v>332.64</v>
          </cell>
          <cell r="E465">
            <v>269.74</v>
          </cell>
          <cell r="F465" t="str">
            <v xml:space="preserve"> </v>
          </cell>
        </row>
        <row r="466">
          <cell r="A466">
            <v>40373</v>
          </cell>
          <cell r="B466" t="str">
            <v>Demolição manual de concreto simples ou ciclópico</v>
          </cell>
          <cell r="C466" t="str">
            <v>M3</v>
          </cell>
          <cell r="D466">
            <v>293.51</v>
          </cell>
          <cell r="E466">
            <v>238.01</v>
          </cell>
          <cell r="F466" t="str">
            <v xml:space="preserve"> </v>
          </cell>
        </row>
        <row r="467">
          <cell r="A467">
            <v>40375</v>
          </cell>
          <cell r="B467" t="str">
            <v>Demolição mecânica de concreto</v>
          </cell>
          <cell r="C467" t="str">
            <v>M3</v>
          </cell>
          <cell r="D467">
            <v>197.65</v>
          </cell>
          <cell r="E467">
            <v>160.28</v>
          </cell>
          <cell r="F467" t="str">
            <v xml:space="preserve"> </v>
          </cell>
        </row>
        <row r="468">
          <cell r="A468">
            <v>40678</v>
          </cell>
          <cell r="B468" t="str">
            <v>Descida d'água concreto armado (calha) c/ caiação (DSA-01A) canal</v>
          </cell>
          <cell r="C468" t="str">
            <v>M</v>
          </cell>
          <cell r="D468">
            <v>480.7</v>
          </cell>
          <cell r="E468">
            <v>389.8</v>
          </cell>
          <cell r="F468" t="str">
            <v xml:space="preserve"> </v>
          </cell>
        </row>
        <row r="469">
          <cell r="A469">
            <v>40679</v>
          </cell>
          <cell r="B469" t="str">
            <v>Descida d'água concreto armado (calha) c/ caiação (DSA-01A) dispersor</v>
          </cell>
          <cell r="C469" t="str">
            <v>Ud</v>
          </cell>
          <cell r="D469">
            <v>888.8</v>
          </cell>
          <cell r="E469">
            <v>720.73</v>
          </cell>
          <cell r="F469" t="str">
            <v xml:space="preserve"> </v>
          </cell>
        </row>
        <row r="470">
          <cell r="A470">
            <v>40684</v>
          </cell>
          <cell r="B470" t="str">
            <v>Descida d'água concreto armado (degraus) c/ caiação (DSA-03A) apoio</v>
          </cell>
          <cell r="C470" t="str">
            <v>Ud</v>
          </cell>
          <cell r="D470">
            <v>932.65</v>
          </cell>
          <cell r="E470">
            <v>756.29</v>
          </cell>
          <cell r="F470" t="str">
            <v xml:space="preserve"> </v>
          </cell>
        </row>
        <row r="471">
          <cell r="A471">
            <v>40683</v>
          </cell>
          <cell r="B471" t="str">
            <v>Descida d'água concreto armado (degraus) c/ caiação (DSA-03A) degrau</v>
          </cell>
          <cell r="C471" t="str">
            <v>M</v>
          </cell>
          <cell r="D471">
            <v>454.56</v>
          </cell>
          <cell r="E471">
            <v>368.61</v>
          </cell>
          <cell r="F471" t="str">
            <v xml:space="preserve"> </v>
          </cell>
        </row>
        <row r="472">
          <cell r="A472">
            <v>40685</v>
          </cell>
          <cell r="B472" t="str">
            <v>Descida d'água concreto armado (degraus) c/ caiação (DSA-03A) dispersor</v>
          </cell>
          <cell r="C472" t="str">
            <v>Ud</v>
          </cell>
          <cell r="D472">
            <v>826.09</v>
          </cell>
          <cell r="E472">
            <v>669.88</v>
          </cell>
          <cell r="F472" t="str">
            <v xml:space="preserve"> </v>
          </cell>
        </row>
        <row r="473">
          <cell r="A473">
            <v>40686</v>
          </cell>
          <cell r="B473" t="str">
            <v>Descida d'água concreto armado DP-1 (calha) c/ caiação</v>
          </cell>
          <cell r="C473" t="str">
            <v>M</v>
          </cell>
          <cell r="D473">
            <v>638.74</v>
          </cell>
          <cell r="E473">
            <v>517.96</v>
          </cell>
          <cell r="F473" t="str">
            <v xml:space="preserve"> </v>
          </cell>
        </row>
        <row r="474">
          <cell r="A474">
            <v>40687</v>
          </cell>
          <cell r="B474" t="str">
            <v>Descida d'água concreto armado DP-1 (degraus) c/ caiação</v>
          </cell>
          <cell r="C474" t="str">
            <v>M</v>
          </cell>
          <cell r="D474">
            <v>606.57000000000005</v>
          </cell>
          <cell r="E474">
            <v>491.87</v>
          </cell>
          <cell r="F474" t="str">
            <v xml:space="preserve"> </v>
          </cell>
        </row>
        <row r="475">
          <cell r="A475">
            <v>40676</v>
          </cell>
          <cell r="B475" t="str">
            <v>Descida d'água concreto simples (calha) c/ caiação (DSA-01) canal</v>
          </cell>
          <cell r="C475" t="str">
            <v>M</v>
          </cell>
          <cell r="D475">
            <v>341.54</v>
          </cell>
          <cell r="E475">
            <v>276.95999999999998</v>
          </cell>
          <cell r="F475" t="str">
            <v xml:space="preserve"> </v>
          </cell>
        </row>
        <row r="476">
          <cell r="A476">
            <v>40677</v>
          </cell>
          <cell r="B476" t="str">
            <v>Descida d'água concreto simples (calha) c/ caiação (DSA-01) dispersor</v>
          </cell>
          <cell r="C476" t="str">
            <v>Ud</v>
          </cell>
          <cell r="D476">
            <v>729.77</v>
          </cell>
          <cell r="E476">
            <v>591.77</v>
          </cell>
          <cell r="F476" t="str">
            <v xml:space="preserve"> </v>
          </cell>
        </row>
        <row r="477">
          <cell r="A477">
            <v>40681</v>
          </cell>
          <cell r="B477" t="str">
            <v>Descida d'água concreto simples (degraus) c/ caiação (DSA-03) apoio</v>
          </cell>
          <cell r="C477" t="str">
            <v>Ud</v>
          </cell>
          <cell r="D477">
            <v>816.36</v>
          </cell>
          <cell r="E477">
            <v>661.99</v>
          </cell>
          <cell r="F477" t="str">
            <v xml:space="preserve"> </v>
          </cell>
        </row>
        <row r="478">
          <cell r="A478">
            <v>40680</v>
          </cell>
          <cell r="B478" t="str">
            <v>Descida d'água concreto simples (degraus) c/ caiação (DSA-03) degrau</v>
          </cell>
          <cell r="C478" t="str">
            <v>M</v>
          </cell>
          <cell r="D478">
            <v>414.81</v>
          </cell>
          <cell r="E478">
            <v>336.37</v>
          </cell>
          <cell r="F478" t="str">
            <v xml:space="preserve"> </v>
          </cell>
        </row>
        <row r="479">
          <cell r="A479">
            <v>40682</v>
          </cell>
          <cell r="B479" t="str">
            <v>Descida d'água concreto simples (degraus) c/ caiação (DSA-03) dispersor</v>
          </cell>
          <cell r="C479" t="str">
            <v>Ud</v>
          </cell>
          <cell r="D479">
            <v>726.7</v>
          </cell>
          <cell r="E479">
            <v>589.28</v>
          </cell>
          <cell r="F479" t="str">
            <v xml:space="preserve"> </v>
          </cell>
        </row>
        <row r="480">
          <cell r="A480">
            <v>41189</v>
          </cell>
          <cell r="B480" t="str">
            <v>Deslocamento de cerca de tela galvanizada fio 12 malha 3" x 3"</v>
          </cell>
          <cell r="C480" t="str">
            <v>M</v>
          </cell>
          <cell r="D480">
            <v>43.93</v>
          </cell>
          <cell r="E480">
            <v>35.630000000000003</v>
          </cell>
          <cell r="F480" t="str">
            <v>A incluir</v>
          </cell>
        </row>
        <row r="481">
          <cell r="A481">
            <v>40728</v>
          </cell>
          <cell r="B481" t="str">
            <v>Dissipador de energia aplicado a saída d'água tipo DP-1</v>
          </cell>
          <cell r="C481" t="str">
            <v>Ud</v>
          </cell>
          <cell r="D481">
            <v>414.2</v>
          </cell>
          <cell r="E481">
            <v>335.88</v>
          </cell>
          <cell r="F481" t="str">
            <v>A incluir</v>
          </cell>
        </row>
        <row r="482">
          <cell r="A482">
            <v>40732</v>
          </cell>
          <cell r="B482" t="str">
            <v>Dissipador de energia aplicado a saída de bueiro/descida d'agua de aterro (DEB-01)</v>
          </cell>
          <cell r="C482" t="str">
            <v>Ud</v>
          </cell>
          <cell r="D482">
            <v>711.37</v>
          </cell>
          <cell r="E482">
            <v>576.85</v>
          </cell>
          <cell r="F482" t="str">
            <v>A incluir</v>
          </cell>
        </row>
        <row r="483">
          <cell r="A483">
            <v>40733</v>
          </cell>
          <cell r="B483" t="str">
            <v>Dissipador de energia aplicado a saída de bueiro/descida d'água de aterro (DEB-02)</v>
          </cell>
          <cell r="C483" t="str">
            <v>Ud</v>
          </cell>
          <cell r="D483">
            <v>1760.41</v>
          </cell>
          <cell r="E483">
            <v>1427.52</v>
          </cell>
          <cell r="F483" t="str">
            <v>A incluir</v>
          </cell>
        </row>
        <row r="484">
          <cell r="A484">
            <v>40734</v>
          </cell>
          <cell r="B484" t="str">
            <v>Dissipador de energia aplicado a saída de bueiro/descida d'água de aterro (DEB-03)</v>
          </cell>
          <cell r="C484" t="str">
            <v>Ud</v>
          </cell>
          <cell r="D484">
            <v>2755.79</v>
          </cell>
          <cell r="E484">
            <v>2234.67</v>
          </cell>
          <cell r="F484" t="str">
            <v>A incluir</v>
          </cell>
        </row>
        <row r="485">
          <cell r="A485">
            <v>40735</v>
          </cell>
          <cell r="B485" t="str">
            <v>Dissipador de energia aplicado a saída de bueiro/descida d'água de aterro (DEB-04)</v>
          </cell>
          <cell r="C485" t="str">
            <v>Ud</v>
          </cell>
          <cell r="D485">
            <v>3980.88</v>
          </cell>
          <cell r="E485">
            <v>3228.09</v>
          </cell>
          <cell r="F485" t="str">
            <v>A incluir</v>
          </cell>
        </row>
        <row r="486">
          <cell r="A486">
            <v>40736</v>
          </cell>
          <cell r="B486" t="str">
            <v>Dissipador de energia aplicado a saída de bueiro/descida d'água de aterro (DEB-05)</v>
          </cell>
          <cell r="C486" t="str">
            <v>Ud</v>
          </cell>
          <cell r="D486">
            <v>5354.25</v>
          </cell>
          <cell r="E486">
            <v>4341.76</v>
          </cell>
          <cell r="F486" t="str">
            <v>A incluir</v>
          </cell>
        </row>
        <row r="487">
          <cell r="A487">
            <v>40737</v>
          </cell>
          <cell r="B487" t="str">
            <v>Dissipador de energia aplicado a saída de bueiro/descida d'água de aterro (DEB-06)</v>
          </cell>
          <cell r="C487" t="str">
            <v>Ud</v>
          </cell>
          <cell r="D487">
            <v>8506.4</v>
          </cell>
          <cell r="E487">
            <v>6897.83</v>
          </cell>
          <cell r="F487" t="str">
            <v>A incluir</v>
          </cell>
        </row>
        <row r="488">
          <cell r="A488">
            <v>40738</v>
          </cell>
          <cell r="B488" t="str">
            <v>Dissipador de energia aplicado a saída de bueiro/descida d'água de aterro (DEB-07)</v>
          </cell>
          <cell r="C488" t="str">
            <v>Ud</v>
          </cell>
          <cell r="D488">
            <v>5448.95</v>
          </cell>
          <cell r="E488">
            <v>4418.55</v>
          </cell>
          <cell r="F488" t="str">
            <v>A incluir</v>
          </cell>
        </row>
        <row r="489">
          <cell r="A489">
            <v>40739</v>
          </cell>
          <cell r="B489" t="str">
            <v>Dissipador de energia aplicado a saída de bueiro/descida d'água de aterro (DEB-08)</v>
          </cell>
          <cell r="C489" t="str">
            <v>Ud</v>
          </cell>
          <cell r="D489">
            <v>7333.61</v>
          </cell>
          <cell r="E489">
            <v>5946.82</v>
          </cell>
          <cell r="F489" t="str">
            <v>A incluir</v>
          </cell>
        </row>
        <row r="490">
          <cell r="A490">
            <v>40740</v>
          </cell>
          <cell r="B490" t="str">
            <v>Dissipador de energia aplicado a saída de bueiro/descida d'água de aterro (DEB-09)</v>
          </cell>
          <cell r="C490" t="str">
            <v>Ud</v>
          </cell>
          <cell r="D490">
            <v>11370.57</v>
          </cell>
          <cell r="E490">
            <v>9220.3799999999992</v>
          </cell>
          <cell r="F490" t="str">
            <v>A incluir</v>
          </cell>
        </row>
        <row r="491">
          <cell r="A491">
            <v>40741</v>
          </cell>
          <cell r="B491" t="str">
            <v>Dissipador de energia aplicado a saída de bueiro/descida d'água de aterro (DEB-10)</v>
          </cell>
          <cell r="C491" t="str">
            <v>Ud</v>
          </cell>
          <cell r="D491">
            <v>6925.49</v>
          </cell>
          <cell r="E491">
            <v>5615.87</v>
          </cell>
          <cell r="F491" t="str">
            <v>A incluir</v>
          </cell>
        </row>
        <row r="492">
          <cell r="A492">
            <v>40742</v>
          </cell>
          <cell r="B492" t="str">
            <v>Dissipador de energia aplicado a saída de bueiro/descida d'água de aterro (DEB-12)</v>
          </cell>
          <cell r="C492" t="str">
            <v>Ud</v>
          </cell>
          <cell r="D492">
            <v>14232.49</v>
          </cell>
          <cell r="E492">
            <v>11541.11</v>
          </cell>
          <cell r="F492" t="str">
            <v>A incluir</v>
          </cell>
        </row>
        <row r="493">
          <cell r="A493">
            <v>40729</v>
          </cell>
          <cell r="B493" t="str">
            <v>Dissipador de energia aplicado a saída de sarjeta/valeta (DES-01)</v>
          </cell>
          <cell r="C493" t="str">
            <v>Ud</v>
          </cell>
          <cell r="D493">
            <v>348.26</v>
          </cell>
          <cell r="E493">
            <v>282.41000000000003</v>
          </cell>
          <cell r="F493" t="str">
            <v>A incluir</v>
          </cell>
        </row>
        <row r="494">
          <cell r="A494">
            <v>40730</v>
          </cell>
          <cell r="B494" t="str">
            <v>Dissipador de energia aplicado a saída de sarjeta/valeta (DES-02)</v>
          </cell>
          <cell r="C494" t="str">
            <v>Ud</v>
          </cell>
          <cell r="D494">
            <v>414.2</v>
          </cell>
          <cell r="E494">
            <v>335.88</v>
          </cell>
          <cell r="F494" t="str">
            <v>A incluir</v>
          </cell>
        </row>
        <row r="495">
          <cell r="A495">
            <v>40731</v>
          </cell>
          <cell r="B495" t="str">
            <v>Dissipador de energia aplicado a saída de sarjeta/valeta (DES-03)</v>
          </cell>
          <cell r="C495" t="str">
            <v>Ud</v>
          </cell>
          <cell r="D495">
            <v>493.9</v>
          </cell>
          <cell r="E495">
            <v>400.51</v>
          </cell>
          <cell r="F495" t="str">
            <v>A incluir</v>
          </cell>
        </row>
        <row r="496">
          <cell r="A496">
            <v>40650</v>
          </cell>
          <cell r="B496" t="str">
            <v>Dreno de alívio de pavimento (DP - DAP - 01),  com utilização de geotêxtil não tecido RT 07 kn/m, inclusive transporte da brita</v>
          </cell>
          <cell r="C496" t="str">
            <v>M</v>
          </cell>
          <cell r="D496">
            <v>72.19</v>
          </cell>
          <cell r="E496">
            <v>58.54</v>
          </cell>
          <cell r="F496" t="str">
            <v>A incluir</v>
          </cell>
        </row>
        <row r="497">
          <cell r="A497">
            <v>40637</v>
          </cell>
          <cell r="B497" t="str">
            <v>Dreno de PVC  D = 100 mm</v>
          </cell>
          <cell r="C497" t="str">
            <v>M</v>
          </cell>
          <cell r="D497">
            <v>38.17</v>
          </cell>
          <cell r="E497">
            <v>30.96</v>
          </cell>
          <cell r="F497" t="str">
            <v xml:space="preserve"> </v>
          </cell>
        </row>
        <row r="498">
          <cell r="A498">
            <v>40636</v>
          </cell>
          <cell r="B498" t="str">
            <v>Dreno de PVC  D = 50 mm</v>
          </cell>
          <cell r="C498" t="str">
            <v>M</v>
          </cell>
          <cell r="D498">
            <v>36.729999999999997</v>
          </cell>
          <cell r="E498">
            <v>29.79</v>
          </cell>
          <cell r="F498" t="str">
            <v xml:space="preserve"> </v>
          </cell>
        </row>
        <row r="499">
          <cell r="A499">
            <v>40712</v>
          </cell>
          <cell r="B499" t="str">
            <v>Dreno Longitudinal tipo Trincheira Drenante, H = 0,90 m com tubo poroso tipo PEAD de diâm= 100 mm, incluindo esc. em mat. 1ª cat. e transporte do tubo</v>
          </cell>
          <cell r="C499" t="str">
            <v>M</v>
          </cell>
          <cell r="D499">
            <v>113.59</v>
          </cell>
          <cell r="E499">
            <v>92.11</v>
          </cell>
          <cell r="F499" t="str">
            <v>A incluir</v>
          </cell>
        </row>
        <row r="500">
          <cell r="A500">
            <v>40713</v>
          </cell>
          <cell r="B500" t="str">
            <v>Dreno Longitudinal tipo Trincheira Drenante, H = 0,90 m com tubo poroso tipo PEAD de diâm= 100 mm, incluindo esc. mat. 3ª cat. e transporte do tubo</v>
          </cell>
          <cell r="C500" t="str">
            <v>M</v>
          </cell>
          <cell r="D500">
            <v>144.35</v>
          </cell>
          <cell r="E500">
            <v>117.06</v>
          </cell>
          <cell r="F500" t="str">
            <v>A incluir</v>
          </cell>
        </row>
        <row r="501">
          <cell r="A501">
            <v>41262</v>
          </cell>
          <cell r="B501" t="str">
            <v>Dreno Longitudinal tipo Trincheira Drenante, H=0,40m c/ tubo poroso tipo PEAD d=65mm, inclus. esc. em mat. 1ª cat.e geotêxtil não tecido RT 07 kN/m</v>
          </cell>
          <cell r="C501" t="str">
            <v>M</v>
          </cell>
          <cell r="D501">
            <v>107.91</v>
          </cell>
          <cell r="E501">
            <v>87.51</v>
          </cell>
          <cell r="F501" t="str">
            <v xml:space="preserve"> </v>
          </cell>
        </row>
        <row r="502">
          <cell r="A502">
            <v>41259</v>
          </cell>
          <cell r="B502" t="str">
            <v>Dreno ou Barbacã em tubo PVC, diâmetro de 2"</v>
          </cell>
          <cell r="C502" t="str">
            <v>M</v>
          </cell>
          <cell r="D502">
            <v>34.799999999999997</v>
          </cell>
          <cell r="E502">
            <v>28.22</v>
          </cell>
          <cell r="F502" t="str">
            <v xml:space="preserve"> </v>
          </cell>
        </row>
        <row r="503">
          <cell r="A503">
            <v>40640</v>
          </cell>
          <cell r="B503" t="str">
            <v>Dreno profundo com enchimento de areia, escavação em material 1ª categoria, inclusive transporte da areia</v>
          </cell>
          <cell r="C503" t="str">
            <v>M</v>
          </cell>
          <cell r="D503">
            <v>110</v>
          </cell>
          <cell r="E503">
            <v>89.2</v>
          </cell>
          <cell r="F503" t="str">
            <v>A incluir</v>
          </cell>
        </row>
        <row r="504">
          <cell r="A504">
            <v>40642</v>
          </cell>
          <cell r="B504" t="str">
            <v>Dreno profundo com enchimento de brita e areia (1:1) escavação em material 1ª categoria, inclusive transporte da areia e da brita</v>
          </cell>
          <cell r="C504" t="str">
            <v>M</v>
          </cell>
          <cell r="D504">
            <v>114.66</v>
          </cell>
          <cell r="E504">
            <v>92.98</v>
          </cell>
          <cell r="F504" t="str">
            <v>A incluir</v>
          </cell>
        </row>
        <row r="505">
          <cell r="A505">
            <v>40643</v>
          </cell>
          <cell r="B505" t="str">
            <v>Dreno profundo com enchimento de brita e areia (1:1) escavação em material 2ª categoria, inclusive transporte da areia e da brita</v>
          </cell>
          <cell r="C505" t="str">
            <v>M</v>
          </cell>
          <cell r="D505">
            <v>124.92</v>
          </cell>
          <cell r="E505">
            <v>101.3</v>
          </cell>
          <cell r="F505" t="str">
            <v>A incluir</v>
          </cell>
        </row>
        <row r="506">
          <cell r="A506">
            <v>40641</v>
          </cell>
          <cell r="B506" t="str">
            <v>Dreno profundo com enchimento de brita, escavação em material 1ª categoria,  inclusive transporte da brita</v>
          </cell>
          <cell r="C506" t="str">
            <v>M</v>
          </cell>
          <cell r="D506">
            <v>110.87</v>
          </cell>
          <cell r="E506">
            <v>89.91</v>
          </cell>
          <cell r="F506" t="str">
            <v>A incluir</v>
          </cell>
        </row>
        <row r="507">
          <cell r="A507">
            <v>40648</v>
          </cell>
          <cell r="B507" t="str">
            <v>Dreno profundo com tubo poroso, D = 0,20 m com enchimento de brita e areia, escavação em material 2ª categoria, inclusive transp.da areia, brita, tubo</v>
          </cell>
          <cell r="C507" t="str">
            <v>M</v>
          </cell>
          <cell r="D507">
            <v>141.21</v>
          </cell>
          <cell r="E507">
            <v>114.51</v>
          </cell>
          <cell r="F507" t="str">
            <v>A incluir</v>
          </cell>
        </row>
        <row r="508">
          <cell r="A508">
            <v>40649</v>
          </cell>
          <cell r="B508" t="str">
            <v>Dreno profundo com tubo poroso, D = 0,20 m com enchimento de brita, escavação em material 3ª categoria (DPR-01),  inclusive transporte da brita, tubo</v>
          </cell>
          <cell r="C508" t="str">
            <v>M</v>
          </cell>
          <cell r="D508">
            <v>115.11</v>
          </cell>
          <cell r="E508">
            <v>93.35</v>
          </cell>
          <cell r="F508" t="str">
            <v>A incluir</v>
          </cell>
        </row>
        <row r="509">
          <cell r="A509">
            <v>40645</v>
          </cell>
          <cell r="B509" t="str">
            <v>Dreno profundo D = 0,10 m c/ enchim. brita, areia (1:1) escav. mat. 3º categ.incl. transp. areia, brita c/ geotêxtil não tecido res.long. mín 16kn/m</v>
          </cell>
          <cell r="C509" t="str">
            <v>M</v>
          </cell>
          <cell r="D509">
            <v>260.41000000000003</v>
          </cell>
          <cell r="E509">
            <v>211.17</v>
          </cell>
          <cell r="F509" t="str">
            <v>A incluir</v>
          </cell>
        </row>
        <row r="510">
          <cell r="A510">
            <v>40644</v>
          </cell>
          <cell r="B510" t="str">
            <v>Dreno profundo D = 0,10 m c/enchim. brita e areia (1:1) escav.mat. 1º categ., inclus.transp. areia, brita,c/ geotêxtil não tecido res.long. mín 16 kn/m</v>
          </cell>
          <cell r="C510" t="str">
            <v>M</v>
          </cell>
          <cell r="D510">
            <v>161.38</v>
          </cell>
          <cell r="E510">
            <v>130.87</v>
          </cell>
          <cell r="F510" t="str">
            <v>A incluir</v>
          </cell>
        </row>
        <row r="511">
          <cell r="A511">
            <v>40646</v>
          </cell>
          <cell r="B511" t="str">
            <v>Dreno profundo D = 0,20 m com enchimento de areia, escavação em material 1ª categoria (DPS-01), inclusive transporte da areia e do tubo</v>
          </cell>
          <cell r="C511" t="str">
            <v>M</v>
          </cell>
          <cell r="D511">
            <v>134.04</v>
          </cell>
          <cell r="E511">
            <v>108.7</v>
          </cell>
          <cell r="F511" t="str">
            <v>A incluir</v>
          </cell>
        </row>
        <row r="512">
          <cell r="A512">
            <v>40647</v>
          </cell>
          <cell r="B512" t="str">
            <v>Dreno profundo D = 0,20 m com enchimento de brita e areia, escavação em material 1ª categoria, inclusive transporte da brita e da areia</v>
          </cell>
          <cell r="C512" t="str">
            <v>M</v>
          </cell>
          <cell r="D512">
            <v>130.94999999999999</v>
          </cell>
          <cell r="E512">
            <v>106.19</v>
          </cell>
          <cell r="F512" t="str">
            <v>A incluir</v>
          </cell>
        </row>
        <row r="513">
          <cell r="A513">
            <v>40704</v>
          </cell>
          <cell r="B513" t="str">
            <v>Dreno profundo em solo com tubo PEAD perfur. D=100 mm, envolto por geotêxtil não tecido RT16 kn/m, preenchim. c/ brita, incl. Transporte</v>
          </cell>
          <cell r="C513" t="str">
            <v>M</v>
          </cell>
          <cell r="D513">
            <v>118.92</v>
          </cell>
          <cell r="E513">
            <v>96.44</v>
          </cell>
          <cell r="F513" t="str">
            <v>A incluir</v>
          </cell>
        </row>
        <row r="514">
          <cell r="A514">
            <v>41107</v>
          </cell>
          <cell r="B514" t="str">
            <v>Dreno profundo para corte em solo, com enchimento em brita revestido com geotextil não tecido RT 16 kn/m, inclusive transporte da brita</v>
          </cell>
          <cell r="C514" t="str">
            <v>M</v>
          </cell>
          <cell r="D514">
            <v>148.24</v>
          </cell>
          <cell r="E514">
            <v>120.21</v>
          </cell>
          <cell r="F514" t="str">
            <v>A incluir</v>
          </cell>
        </row>
        <row r="515">
          <cell r="A515">
            <v>40638</v>
          </cell>
          <cell r="B515" t="str">
            <v>Dreno sub-horizontal D = 50 mm em PVC, com geotêxtil não tecido RT 16 kn/m, exclusive transportes</v>
          </cell>
          <cell r="C515" t="str">
            <v>M</v>
          </cell>
          <cell r="D515">
            <v>610.87</v>
          </cell>
          <cell r="E515">
            <v>495.36</v>
          </cell>
          <cell r="F515" t="str">
            <v xml:space="preserve"> </v>
          </cell>
        </row>
        <row r="516">
          <cell r="A516">
            <v>41188</v>
          </cell>
          <cell r="B516" t="str">
            <v>Dreno sub-horizontal D=50mm em PVC (escavação em alteração de rocha), inclusive geotêxtil  não tecido RT 16 kn/m, exclusive transportes</v>
          </cell>
          <cell r="C516" t="str">
            <v>M</v>
          </cell>
          <cell r="D516">
            <v>913.39</v>
          </cell>
          <cell r="E516">
            <v>740.67</v>
          </cell>
          <cell r="F516" t="str">
            <v xml:space="preserve"> </v>
          </cell>
        </row>
        <row r="517">
          <cell r="A517">
            <v>41187</v>
          </cell>
          <cell r="B517" t="str">
            <v>Dreno sub-horizontal D=50mm em PVC (escavação em rocha sã), inlusive geotêxtil não tecido RT 16 kn/m, exclusive transportes</v>
          </cell>
          <cell r="C517" t="str">
            <v>M</v>
          </cell>
          <cell r="D517">
            <v>1202.56</v>
          </cell>
          <cell r="E517">
            <v>975.16</v>
          </cell>
          <cell r="F517" t="str">
            <v xml:space="preserve"> </v>
          </cell>
        </row>
        <row r="518">
          <cell r="A518">
            <v>40705</v>
          </cell>
          <cell r="B518" t="str">
            <v>Dreno sub-superficial  rocha (h=0,55m) c/ tubo PEAD perfur. d=100mm, env. por geotêxtil16kn/m, preenc.c/ brita, inclus.transp. tubo, exclusive transp.brita</v>
          </cell>
          <cell r="C518" t="str">
            <v>M</v>
          </cell>
          <cell r="D518">
            <v>92.49</v>
          </cell>
          <cell r="E518">
            <v>75</v>
          </cell>
          <cell r="F518" t="str">
            <v>A incluir</v>
          </cell>
        </row>
        <row r="519">
          <cell r="A519">
            <v>40639</v>
          </cell>
          <cell r="B519" t="str">
            <v>Dreno vertical D = 75 mm em PVC, com geotêxtil não tecido resistência longitudinal 16 kn/m</v>
          </cell>
          <cell r="C519" t="str">
            <v>M</v>
          </cell>
          <cell r="D519">
            <v>620.17999999999995</v>
          </cell>
          <cell r="E519">
            <v>502.91</v>
          </cell>
          <cell r="F519" t="str">
            <v xml:space="preserve"> </v>
          </cell>
        </row>
        <row r="520">
          <cell r="A520">
            <v>41227</v>
          </cell>
          <cell r="B520" t="str">
            <v>Eletroduto de ferro galvanizado DN 4", inclusive conexões, exclusive escavação e reaterro, fornecimento e assentamento</v>
          </cell>
          <cell r="C520" t="str">
            <v>M</v>
          </cell>
          <cell r="D520">
            <v>211.8</v>
          </cell>
          <cell r="E520">
            <v>171.75</v>
          </cell>
          <cell r="F520" t="str">
            <v xml:space="preserve"> </v>
          </cell>
        </row>
        <row r="521">
          <cell r="A521">
            <v>40951</v>
          </cell>
          <cell r="B521" t="str">
            <v>Eletroduto para rede de lógica, inclusive conexões</v>
          </cell>
          <cell r="C521" t="str">
            <v>M</v>
          </cell>
          <cell r="D521">
            <v>32.69</v>
          </cell>
          <cell r="E521">
            <v>26.51</v>
          </cell>
          <cell r="F521" t="str">
            <v xml:space="preserve"> </v>
          </cell>
        </row>
        <row r="522">
          <cell r="A522">
            <v>41121</v>
          </cell>
          <cell r="B522" t="str">
            <v>Eletroduto PVC diâmetro 75mm, fornecimento e assentamento</v>
          </cell>
          <cell r="C522" t="str">
            <v>M</v>
          </cell>
          <cell r="D522">
            <v>38.15</v>
          </cell>
          <cell r="E522">
            <v>30.94</v>
          </cell>
          <cell r="F522" t="str">
            <v xml:space="preserve"> </v>
          </cell>
        </row>
        <row r="523">
          <cell r="A523">
            <v>41120</v>
          </cell>
          <cell r="B523" t="str">
            <v>Eletroduto PVC rígido roscável diâm. 50mm, fornecimento e assentamento</v>
          </cell>
          <cell r="C523" t="str">
            <v>M</v>
          </cell>
          <cell r="D523">
            <v>22.82</v>
          </cell>
          <cell r="E523">
            <v>18.510000000000002</v>
          </cell>
          <cell r="F523" t="str">
            <v xml:space="preserve"> </v>
          </cell>
        </row>
        <row r="524">
          <cell r="A524">
            <v>41128</v>
          </cell>
          <cell r="B524" t="str">
            <v>Eletroduto tipo Kanaflex  diâmetro 1 1/4", fornecimento e assentamento</v>
          </cell>
          <cell r="C524" t="str">
            <v>M</v>
          </cell>
          <cell r="D524">
            <v>8.65</v>
          </cell>
          <cell r="E524">
            <v>7.02</v>
          </cell>
          <cell r="F524" t="str">
            <v xml:space="preserve"> </v>
          </cell>
        </row>
        <row r="525">
          <cell r="A525">
            <v>41129</v>
          </cell>
          <cell r="B525" t="str">
            <v>Eletroduto tipo Kanaflex diâmetro 1 1/2", fornecimento e assentamento</v>
          </cell>
          <cell r="C525" t="str">
            <v>M</v>
          </cell>
          <cell r="D525">
            <v>10.26</v>
          </cell>
          <cell r="E525">
            <v>8.32</v>
          </cell>
          <cell r="F525" t="str">
            <v xml:space="preserve"> </v>
          </cell>
        </row>
        <row r="526">
          <cell r="A526">
            <v>41131</v>
          </cell>
          <cell r="B526" t="str">
            <v>Eletroduto tipo Kanaflex diâmetro 2", fornecimento e assentamento</v>
          </cell>
          <cell r="C526" t="str">
            <v>M</v>
          </cell>
          <cell r="D526">
            <v>12.11</v>
          </cell>
          <cell r="E526">
            <v>9.82</v>
          </cell>
          <cell r="F526" t="str">
            <v xml:space="preserve"> </v>
          </cell>
        </row>
        <row r="527">
          <cell r="A527">
            <v>41130</v>
          </cell>
          <cell r="B527" t="str">
            <v>Eletroduto tipo Kanaflex diâmetro 4", fornecimento e assentamento</v>
          </cell>
          <cell r="C527" t="str">
            <v>M</v>
          </cell>
          <cell r="D527">
            <v>18.57</v>
          </cell>
          <cell r="E527">
            <v>15.06</v>
          </cell>
          <cell r="F527" t="str">
            <v xml:space="preserve"> </v>
          </cell>
        </row>
        <row r="528">
          <cell r="A528">
            <v>40997</v>
          </cell>
          <cell r="B528" t="str">
            <v>Enrocamento de pedra arrumada com pá carregadeira e escavadeira, inclusive fornecimento, exclusive transporte da pedra</v>
          </cell>
          <cell r="C528" t="str">
            <v>M3</v>
          </cell>
          <cell r="D528">
            <v>128.41999999999999</v>
          </cell>
          <cell r="E528">
            <v>104.14</v>
          </cell>
          <cell r="F528" t="str">
            <v xml:space="preserve"> </v>
          </cell>
        </row>
        <row r="529">
          <cell r="A529">
            <v>40724</v>
          </cell>
          <cell r="B529" t="str">
            <v>Enrocamento de pedra de mão arrumada exclusive transporte</v>
          </cell>
          <cell r="C529" t="str">
            <v>M3</v>
          </cell>
          <cell r="D529">
            <v>193.73</v>
          </cell>
          <cell r="E529">
            <v>157.1</v>
          </cell>
          <cell r="F529" t="str">
            <v xml:space="preserve"> </v>
          </cell>
        </row>
        <row r="530">
          <cell r="A530">
            <v>40722</v>
          </cell>
          <cell r="B530" t="str">
            <v>Enrocamento de pedra jogada exclusive fornecimento e transporte (utilização de material considerado em medição)</v>
          </cell>
          <cell r="C530" t="str">
            <v>M3</v>
          </cell>
          <cell r="D530">
            <v>11.88</v>
          </cell>
          <cell r="E530">
            <v>9.64</v>
          </cell>
          <cell r="F530" t="str">
            <v xml:space="preserve"> </v>
          </cell>
        </row>
        <row r="531">
          <cell r="A531">
            <v>40998</v>
          </cell>
          <cell r="B531" t="str">
            <v>Enrocamento de pedra jogada exclusive o fornecimento e transporte da pedra</v>
          </cell>
          <cell r="C531" t="str">
            <v>M3</v>
          </cell>
          <cell r="D531">
            <v>12.13</v>
          </cell>
          <cell r="E531">
            <v>9.84</v>
          </cell>
          <cell r="F531" t="str">
            <v xml:space="preserve"> </v>
          </cell>
        </row>
        <row r="532">
          <cell r="A532">
            <v>40723</v>
          </cell>
          <cell r="B532" t="str">
            <v>Enrocamento de pedra jogada inclusive fornecimento, exclusive transporte da pedra</v>
          </cell>
          <cell r="C532" t="str">
            <v>M3</v>
          </cell>
          <cell r="D532">
            <v>95.38</v>
          </cell>
          <cell r="E532">
            <v>77.349999999999994</v>
          </cell>
          <cell r="F532" t="str">
            <v xml:space="preserve"> </v>
          </cell>
        </row>
        <row r="533">
          <cell r="A533">
            <v>40335</v>
          </cell>
          <cell r="B533" t="str">
            <v>Ensecadeira dupla de madeira esp.= 5 cm com 1 reaproveitamento</v>
          </cell>
          <cell r="C533" t="str">
            <v>M2</v>
          </cell>
          <cell r="D533">
            <v>718.98</v>
          </cell>
          <cell r="E533">
            <v>583.02</v>
          </cell>
          <cell r="F533" t="str">
            <v>A incluir</v>
          </cell>
        </row>
        <row r="534">
          <cell r="A534">
            <v>40334</v>
          </cell>
          <cell r="B534" t="str">
            <v>Ensecadeira dupla de madeira esp.= 5 cm sem reaproveitamento, tudo incluído</v>
          </cell>
          <cell r="C534" t="str">
            <v>M2</v>
          </cell>
          <cell r="D534">
            <v>1029.67</v>
          </cell>
          <cell r="E534">
            <v>834.96</v>
          </cell>
          <cell r="F534" t="str">
            <v>A incluir</v>
          </cell>
        </row>
        <row r="535">
          <cell r="A535">
            <v>40333</v>
          </cell>
          <cell r="B535" t="str">
            <v>Ensecadeira simples de madeira esp.= 5 cm com 1 reaproveitamento, inclusive transporte das madeiras</v>
          </cell>
          <cell r="C535" t="str">
            <v>M2</v>
          </cell>
          <cell r="D535">
            <v>359.49</v>
          </cell>
          <cell r="E535">
            <v>291.51</v>
          </cell>
          <cell r="F535" t="str">
            <v>A incluir</v>
          </cell>
        </row>
        <row r="536">
          <cell r="A536">
            <v>40332</v>
          </cell>
          <cell r="B536" t="str">
            <v>Ensecadeira simples de madeira esp.= 5 cm sem reaproveitamento, inclusive transporte das madeiras</v>
          </cell>
          <cell r="C536" t="str">
            <v>M2</v>
          </cell>
          <cell r="D536">
            <v>514.83000000000004</v>
          </cell>
          <cell r="E536">
            <v>417.48</v>
          </cell>
          <cell r="F536" t="str">
            <v>A incluir</v>
          </cell>
        </row>
        <row r="537">
          <cell r="A537">
            <v>40675</v>
          </cell>
          <cell r="B537" t="str">
            <v>Entrada para descida d'agua DP-1 (calha/degraus) inclusive caiação</v>
          </cell>
          <cell r="C537" t="str">
            <v>Ud</v>
          </cell>
          <cell r="D537">
            <v>305.02999999999997</v>
          </cell>
          <cell r="E537">
            <v>247.35</v>
          </cell>
          <cell r="F537" t="str">
            <v xml:space="preserve"> </v>
          </cell>
        </row>
        <row r="538">
          <cell r="A538">
            <v>40673</v>
          </cell>
          <cell r="B538" t="str">
            <v>Entrada para descida d'água EDA-01</v>
          </cell>
          <cell r="C538" t="str">
            <v>Ud</v>
          </cell>
          <cell r="D538">
            <v>83.74</v>
          </cell>
          <cell r="E538">
            <v>67.91</v>
          </cell>
          <cell r="F538" t="str">
            <v xml:space="preserve"> </v>
          </cell>
        </row>
        <row r="539">
          <cell r="A539">
            <v>40674</v>
          </cell>
          <cell r="B539" t="str">
            <v>Entrada para descida d'água EDA-02</v>
          </cell>
          <cell r="C539" t="str">
            <v>Ud</v>
          </cell>
          <cell r="D539">
            <v>89.75</v>
          </cell>
          <cell r="E539">
            <v>72.78</v>
          </cell>
          <cell r="F539" t="str">
            <v xml:space="preserve"> </v>
          </cell>
        </row>
        <row r="540">
          <cell r="A540">
            <v>41037</v>
          </cell>
          <cell r="B540" t="str">
            <v>Escada de madeira executada sobre terreno inclinado, com 80 cm de largura mínima</v>
          </cell>
          <cell r="C540" t="str">
            <v>M</v>
          </cell>
          <cell r="D540">
            <v>89.03</v>
          </cell>
          <cell r="E540">
            <v>72.2</v>
          </cell>
          <cell r="F540" t="str">
            <v xml:space="preserve"> </v>
          </cell>
        </row>
        <row r="541">
          <cell r="A541">
            <v>40258</v>
          </cell>
          <cell r="B541" t="str">
            <v>Escavação manual em mat. 1ª cat. H= 0,00 a 1,50 m</v>
          </cell>
          <cell r="C541" t="str">
            <v>M3</v>
          </cell>
          <cell r="D541">
            <v>71.69</v>
          </cell>
          <cell r="E541">
            <v>58.14</v>
          </cell>
          <cell r="F541" t="str">
            <v xml:space="preserve"> </v>
          </cell>
        </row>
        <row r="542">
          <cell r="A542">
            <v>40261</v>
          </cell>
          <cell r="B542" t="str">
            <v>Escavação manual em mat. 1ª cat. H= 0,00 a 1,50 m com esgotamento</v>
          </cell>
          <cell r="C542" t="str">
            <v>M3</v>
          </cell>
          <cell r="D542">
            <v>81.88</v>
          </cell>
          <cell r="E542">
            <v>66.400000000000006</v>
          </cell>
          <cell r="F542" t="str">
            <v xml:space="preserve"> </v>
          </cell>
        </row>
        <row r="543">
          <cell r="A543">
            <v>40259</v>
          </cell>
          <cell r="B543" t="str">
            <v>Escavação manual em mat. 1ª cat. H= 1,50 a 3,00 m</v>
          </cell>
          <cell r="C543" t="str">
            <v>M3</v>
          </cell>
          <cell r="D543">
            <v>105.68</v>
          </cell>
          <cell r="E543">
            <v>85.7</v>
          </cell>
          <cell r="F543" t="str">
            <v xml:space="preserve"> </v>
          </cell>
        </row>
        <row r="544">
          <cell r="A544">
            <v>40262</v>
          </cell>
          <cell r="B544" t="str">
            <v>Escavação manual em mat. 1ª cat. H= 1,50 a 3,00 m com esgotamento</v>
          </cell>
          <cell r="C544" t="str">
            <v>M3</v>
          </cell>
          <cell r="D544">
            <v>115.87</v>
          </cell>
          <cell r="E544">
            <v>93.96</v>
          </cell>
          <cell r="F544" t="str">
            <v xml:space="preserve"> </v>
          </cell>
        </row>
        <row r="545">
          <cell r="A545">
            <v>40260</v>
          </cell>
          <cell r="B545" t="str">
            <v>Escavação manual em mat. 1ª cat. H= 3,00 a 4,50 m</v>
          </cell>
          <cell r="C545" t="str">
            <v>M3</v>
          </cell>
          <cell r="D545">
            <v>156.63999999999999</v>
          </cell>
          <cell r="E545">
            <v>127.02</v>
          </cell>
          <cell r="F545" t="str">
            <v xml:space="preserve"> </v>
          </cell>
        </row>
        <row r="546">
          <cell r="A546">
            <v>40263</v>
          </cell>
          <cell r="B546" t="str">
            <v>Escavação manual em mat. 1ª cat. H= 3,00 a 4,50 m com esgotamento</v>
          </cell>
          <cell r="C546" t="str">
            <v>M3</v>
          </cell>
          <cell r="D546">
            <v>166.82</v>
          </cell>
          <cell r="E546">
            <v>135.28</v>
          </cell>
          <cell r="F546" t="str">
            <v xml:space="preserve"> </v>
          </cell>
        </row>
        <row r="547">
          <cell r="A547">
            <v>40267</v>
          </cell>
          <cell r="B547" t="str">
            <v>Escavação manual em mat. 2ª cat. H= 0,00 a 1,50 m com esgotamento</v>
          </cell>
          <cell r="C547" t="str">
            <v>M3</v>
          </cell>
          <cell r="D547">
            <v>171.83</v>
          </cell>
          <cell r="E547">
            <v>139.34</v>
          </cell>
          <cell r="F547" t="str">
            <v xml:space="preserve"> </v>
          </cell>
        </row>
        <row r="548">
          <cell r="A548">
            <v>40264</v>
          </cell>
          <cell r="B548" t="str">
            <v>Escavação manual em mat. 2ª cat. H= 0,00 a 1,50 m sem detonação</v>
          </cell>
          <cell r="C548" t="str">
            <v>M3</v>
          </cell>
          <cell r="D548">
            <v>161.63999999999999</v>
          </cell>
          <cell r="E548">
            <v>131.08000000000001</v>
          </cell>
          <cell r="F548" t="str">
            <v xml:space="preserve"> </v>
          </cell>
        </row>
        <row r="549">
          <cell r="A549">
            <v>40268</v>
          </cell>
          <cell r="B549" t="str">
            <v>Escavação manual em mat. 2ª cat. H= 1,50 a 3,00 m com esgotamento</v>
          </cell>
          <cell r="C549" t="str">
            <v>M3</v>
          </cell>
          <cell r="D549">
            <v>211.35</v>
          </cell>
          <cell r="E549">
            <v>171.39</v>
          </cell>
          <cell r="F549" t="str">
            <v xml:space="preserve"> </v>
          </cell>
        </row>
        <row r="550">
          <cell r="A550">
            <v>40265</v>
          </cell>
          <cell r="B550" t="str">
            <v>Escavação manual em mat. 2ª cat. H= 1,50 a 3,00 m sem detonação</v>
          </cell>
          <cell r="C550" t="str">
            <v>M3</v>
          </cell>
          <cell r="D550">
            <v>201.17</v>
          </cell>
          <cell r="E550">
            <v>163.13</v>
          </cell>
          <cell r="F550" t="str">
            <v xml:space="preserve"> </v>
          </cell>
        </row>
        <row r="551">
          <cell r="A551">
            <v>40269</v>
          </cell>
          <cell r="B551" t="str">
            <v>Escavação manual em mat. 2ª cat. H= 3,00 a 4,50 m com esgotamento</v>
          </cell>
          <cell r="C551" t="str">
            <v>M3</v>
          </cell>
          <cell r="D551">
            <v>367.46</v>
          </cell>
          <cell r="E551">
            <v>297.98</v>
          </cell>
          <cell r="F551" t="str">
            <v xml:space="preserve"> </v>
          </cell>
        </row>
        <row r="552">
          <cell r="A552">
            <v>40266</v>
          </cell>
          <cell r="B552" t="str">
            <v>Escavação manual em mat. 2ª cat. H= 3,00 a 4,50 m sem detonação</v>
          </cell>
          <cell r="C552" t="str">
            <v>M3</v>
          </cell>
          <cell r="D552">
            <v>357.28</v>
          </cell>
          <cell r="E552">
            <v>289.72000000000003</v>
          </cell>
          <cell r="F552" t="str">
            <v xml:space="preserve"> </v>
          </cell>
        </row>
        <row r="553">
          <cell r="A553">
            <v>40276</v>
          </cell>
          <cell r="B553" t="str">
            <v>Escavação manual em mat. 3ª cat. H= 0,00 a 1,50 m, a fogo</v>
          </cell>
          <cell r="C553" t="str">
            <v>M3</v>
          </cell>
          <cell r="D553">
            <v>289.97000000000003</v>
          </cell>
          <cell r="E553">
            <v>235.14</v>
          </cell>
          <cell r="F553" t="str">
            <v xml:space="preserve"> </v>
          </cell>
        </row>
        <row r="554">
          <cell r="A554">
            <v>40256</v>
          </cell>
          <cell r="B554" t="str">
            <v>Escavação manual furos, valetas mat. 1ª cat. H= 0,00 a 1,50 m (dim. reduz.)</v>
          </cell>
          <cell r="C554" t="str">
            <v>M3</v>
          </cell>
          <cell r="D554">
            <v>105.68</v>
          </cell>
          <cell r="E554">
            <v>85.7</v>
          </cell>
          <cell r="F554" t="str">
            <v xml:space="preserve"> </v>
          </cell>
        </row>
        <row r="555">
          <cell r="A555">
            <v>40257</v>
          </cell>
          <cell r="B555" t="str">
            <v>Escavação manual furos, valetas mat. 2ª cat. H= 0,00 a 1,50 m sem detonação (dim. reduz.)</v>
          </cell>
          <cell r="C555" t="str">
            <v>M3</v>
          </cell>
          <cell r="D555">
            <v>240.59</v>
          </cell>
          <cell r="E555">
            <v>195.1</v>
          </cell>
          <cell r="F555" t="str">
            <v xml:space="preserve"> </v>
          </cell>
        </row>
        <row r="556">
          <cell r="A556">
            <v>40282</v>
          </cell>
          <cell r="B556" t="str">
            <v>Escavação mecânica em material de 1ª cat. H= 0,00 a 1,50 m</v>
          </cell>
          <cell r="C556" t="str">
            <v>M3</v>
          </cell>
          <cell r="D556">
            <v>16.41</v>
          </cell>
          <cell r="E556">
            <v>13.31</v>
          </cell>
          <cell r="F556" t="str">
            <v xml:space="preserve"> </v>
          </cell>
        </row>
        <row r="557">
          <cell r="A557">
            <v>40285</v>
          </cell>
          <cell r="B557" t="str">
            <v>Escavação mecânica em material de 1ª cat. H= 0,00 a 1,50 m com esgotamento</v>
          </cell>
          <cell r="C557" t="str">
            <v>M3</v>
          </cell>
          <cell r="D557">
            <v>26.6</v>
          </cell>
          <cell r="E557">
            <v>21.57</v>
          </cell>
          <cell r="F557" t="str">
            <v xml:space="preserve"> </v>
          </cell>
        </row>
        <row r="558">
          <cell r="A558">
            <v>40283</v>
          </cell>
          <cell r="B558" t="str">
            <v>Escavação mecânica em material de 1ª cat. H= 1,50 a 3,00 m</v>
          </cell>
          <cell r="C558" t="str">
            <v>M3</v>
          </cell>
          <cell r="D558">
            <v>18.059999999999999</v>
          </cell>
          <cell r="E558">
            <v>14.65</v>
          </cell>
          <cell r="F558" t="str">
            <v xml:space="preserve"> </v>
          </cell>
        </row>
        <row r="559">
          <cell r="A559">
            <v>40286</v>
          </cell>
          <cell r="B559" t="str">
            <v>Escavação mecânica em material de 1ª cat. H= 1,50 a 3,00 m com esgotamento</v>
          </cell>
          <cell r="C559" t="str">
            <v>M3</v>
          </cell>
          <cell r="D559">
            <v>28.25</v>
          </cell>
          <cell r="E559">
            <v>22.91</v>
          </cell>
          <cell r="F559" t="str">
            <v xml:space="preserve"> </v>
          </cell>
        </row>
        <row r="560">
          <cell r="A560">
            <v>40284</v>
          </cell>
          <cell r="B560" t="str">
            <v>Escavação mecânica em material de 1ª cat. H= 3,00 a 4,50 m</v>
          </cell>
          <cell r="C560" t="str">
            <v>M3</v>
          </cell>
          <cell r="D560">
            <v>21.24</v>
          </cell>
          <cell r="E560">
            <v>17.23</v>
          </cell>
          <cell r="F560" t="str">
            <v xml:space="preserve"> </v>
          </cell>
        </row>
        <row r="561">
          <cell r="A561">
            <v>40287</v>
          </cell>
          <cell r="B561" t="str">
            <v>Escavação mecânica em material de 1º cat. H= 3,00 a 4,50 m com esgotamento</v>
          </cell>
          <cell r="C561" t="str">
            <v>M3</v>
          </cell>
          <cell r="D561">
            <v>31.43</v>
          </cell>
          <cell r="E561">
            <v>25.49</v>
          </cell>
          <cell r="F561" t="str">
            <v xml:space="preserve"> </v>
          </cell>
        </row>
        <row r="562">
          <cell r="A562">
            <v>40288</v>
          </cell>
          <cell r="B562" t="str">
            <v>Escavação mecânica em material de 2ª cat. H= 0,00 a 1,50 m</v>
          </cell>
          <cell r="C562" t="str">
            <v>M3</v>
          </cell>
          <cell r="D562">
            <v>30.1</v>
          </cell>
          <cell r="E562">
            <v>24.41</v>
          </cell>
          <cell r="F562" t="str">
            <v xml:space="preserve"> </v>
          </cell>
        </row>
        <row r="563">
          <cell r="A563">
            <v>40291</v>
          </cell>
          <cell r="B563" t="str">
            <v>Escavação mecânica em material de 2ª cat. H= 0,00 a 1,50 m com esgotamento</v>
          </cell>
          <cell r="C563" t="str">
            <v>M3</v>
          </cell>
          <cell r="D563">
            <v>40.28</v>
          </cell>
          <cell r="E563">
            <v>32.67</v>
          </cell>
          <cell r="F563" t="str">
            <v xml:space="preserve"> </v>
          </cell>
        </row>
        <row r="564">
          <cell r="A564">
            <v>40289</v>
          </cell>
          <cell r="B564" t="str">
            <v>Escavação mecânica em material de 2ª cat. H= 1,50 a 3,00 m</v>
          </cell>
          <cell r="C564" t="str">
            <v>M3</v>
          </cell>
          <cell r="D564">
            <v>36.130000000000003</v>
          </cell>
          <cell r="E564">
            <v>29.3</v>
          </cell>
          <cell r="F564" t="str">
            <v xml:space="preserve"> </v>
          </cell>
        </row>
        <row r="565">
          <cell r="A565">
            <v>40292</v>
          </cell>
          <cell r="B565" t="str">
            <v>Escavação mecânica em material de 2ª cat. H= 1,50 a 3,00 m com esgotamento</v>
          </cell>
          <cell r="C565" t="str">
            <v>M3</v>
          </cell>
          <cell r="D565">
            <v>46.31</v>
          </cell>
          <cell r="E565">
            <v>37.56</v>
          </cell>
          <cell r="F565" t="str">
            <v xml:space="preserve"> </v>
          </cell>
        </row>
        <row r="566">
          <cell r="A566">
            <v>40290</v>
          </cell>
          <cell r="B566" t="str">
            <v>Escavação mecânica em material de 2ª cat. H= 3,00 a 4,50 m</v>
          </cell>
          <cell r="C566" t="str">
            <v>M3</v>
          </cell>
          <cell r="D566">
            <v>45.15</v>
          </cell>
          <cell r="E566">
            <v>36.619999999999997</v>
          </cell>
          <cell r="F566" t="str">
            <v xml:space="preserve"> </v>
          </cell>
        </row>
        <row r="567">
          <cell r="A567">
            <v>40293</v>
          </cell>
          <cell r="B567" t="str">
            <v>Escavação mecânica em material de 2º cat. H= 3,00 a 4,50 m com esgotamento</v>
          </cell>
          <cell r="C567" t="str">
            <v>M3</v>
          </cell>
          <cell r="D567">
            <v>55.34</v>
          </cell>
          <cell r="E567">
            <v>44.88</v>
          </cell>
          <cell r="F567" t="str">
            <v xml:space="preserve"> </v>
          </cell>
        </row>
        <row r="568">
          <cell r="A568">
            <v>40294</v>
          </cell>
          <cell r="B568" t="str">
            <v>Escavação mecânica em material de 3ª cat. H= 0,00 a 1,50 m</v>
          </cell>
          <cell r="C568" t="str">
            <v>M3</v>
          </cell>
          <cell r="D568">
            <v>148.44999999999999</v>
          </cell>
          <cell r="E568">
            <v>120.38</v>
          </cell>
          <cell r="F568" t="str">
            <v xml:space="preserve"> </v>
          </cell>
        </row>
        <row r="569">
          <cell r="A569">
            <v>40297</v>
          </cell>
          <cell r="B569" t="str">
            <v>Escavação mecânica em material de 3ª cat. H= 0,00 a 1,50 m com esgotamento</v>
          </cell>
          <cell r="C569" t="str">
            <v>M3</v>
          </cell>
          <cell r="D569">
            <v>158.63</v>
          </cell>
          <cell r="E569">
            <v>128.63999999999999</v>
          </cell>
          <cell r="F569" t="str">
            <v xml:space="preserve"> </v>
          </cell>
        </row>
        <row r="570">
          <cell r="A570">
            <v>40295</v>
          </cell>
          <cell r="B570" t="str">
            <v>Escavação mecânica em material de 3ª cat. H= 1,50 a 3,00 m</v>
          </cell>
          <cell r="C570" t="str">
            <v>M3</v>
          </cell>
          <cell r="D570">
            <v>166.71</v>
          </cell>
          <cell r="E570">
            <v>135.19</v>
          </cell>
          <cell r="F570" t="str">
            <v xml:space="preserve"> </v>
          </cell>
        </row>
        <row r="571">
          <cell r="A571">
            <v>40298</v>
          </cell>
          <cell r="B571" t="str">
            <v>Escavação mecânica em material de 3ª cat. H= 1,50 a 3,00 m com esgotamento</v>
          </cell>
          <cell r="C571" t="str">
            <v>M3</v>
          </cell>
          <cell r="D571">
            <v>176.9</v>
          </cell>
          <cell r="E571">
            <v>143.44999999999999</v>
          </cell>
          <cell r="F571" t="str">
            <v xml:space="preserve"> </v>
          </cell>
        </row>
        <row r="572">
          <cell r="A572">
            <v>40296</v>
          </cell>
          <cell r="B572" t="str">
            <v>Escavação mecânica em material de 3ª cat. H= 3,00 a 4,50 m</v>
          </cell>
          <cell r="C572" t="str">
            <v>M3</v>
          </cell>
          <cell r="D572">
            <v>200.01</v>
          </cell>
          <cell r="E572">
            <v>162.19</v>
          </cell>
          <cell r="F572" t="str">
            <v xml:space="preserve"> </v>
          </cell>
        </row>
        <row r="573">
          <cell r="A573">
            <v>40299</v>
          </cell>
          <cell r="B573" t="str">
            <v>Escavação mecânica em material de 3ª cat. H= 3,00 a 4,50 m com esgotamento</v>
          </cell>
          <cell r="C573" t="str">
            <v>M3</v>
          </cell>
          <cell r="D573">
            <v>210.19</v>
          </cell>
          <cell r="E573">
            <v>170.45</v>
          </cell>
          <cell r="F573" t="str">
            <v xml:space="preserve"> </v>
          </cell>
        </row>
        <row r="574">
          <cell r="A574">
            <v>40327</v>
          </cell>
          <cell r="B574" t="str">
            <v>Escoramento de cavas e valas, inclusive fornecimento e transportes das madeiras</v>
          </cell>
          <cell r="C574" t="str">
            <v>M2</v>
          </cell>
          <cell r="D574">
            <v>279.38</v>
          </cell>
          <cell r="E574">
            <v>226.55</v>
          </cell>
          <cell r="F574" t="str">
            <v>A incluir</v>
          </cell>
        </row>
        <row r="575">
          <cell r="A575">
            <v>40328</v>
          </cell>
          <cell r="B575" t="str">
            <v>Escoramento e cimbramento (bueiro celular), inclusive fornecimento e transportes das madeiras</v>
          </cell>
          <cell r="C575" t="str">
            <v>M3</v>
          </cell>
          <cell r="D575">
            <v>148.09</v>
          </cell>
          <cell r="E575">
            <v>120.09</v>
          </cell>
          <cell r="F575" t="str">
            <v>A incluir</v>
          </cell>
        </row>
        <row r="576">
          <cell r="A576">
            <v>43332</v>
          </cell>
          <cell r="B576" t="str">
            <v>Esgotamento de escavações para rebaixamento do nível dágua nos serviços de bueiros, galerias e outros, com conj. moto bomba</v>
          </cell>
          <cell r="C576" t="str">
            <v>Mes</v>
          </cell>
          <cell r="D576">
            <v>7423.86</v>
          </cell>
          <cell r="E576">
            <v>6020</v>
          </cell>
          <cell r="F576" t="str">
            <v xml:space="preserve"> </v>
          </cell>
        </row>
        <row r="577">
          <cell r="A577">
            <v>40316</v>
          </cell>
          <cell r="B577" t="str">
            <v>Forma especial de madeira para meio fio, inclusive fornecimento e transporte das madeiras</v>
          </cell>
          <cell r="C577" t="str">
            <v>M2</v>
          </cell>
          <cell r="D577">
            <v>100.09</v>
          </cell>
          <cell r="E577">
            <v>81.17</v>
          </cell>
          <cell r="F577" t="str">
            <v>A incluir</v>
          </cell>
        </row>
        <row r="578">
          <cell r="A578">
            <v>40317</v>
          </cell>
          <cell r="B578" t="str">
            <v>Forma especial de madeira para sarjeta (gabarito), inclusive fornecimento e transporte da madeira</v>
          </cell>
          <cell r="C578" t="str">
            <v>M2</v>
          </cell>
          <cell r="D578">
            <v>88.42</v>
          </cell>
          <cell r="E578">
            <v>71.7</v>
          </cell>
          <cell r="F578" t="str">
            <v>A incluir</v>
          </cell>
        </row>
        <row r="579">
          <cell r="A579">
            <v>40318</v>
          </cell>
          <cell r="B579" t="str">
            <v>Forma metálica para meio fio</v>
          </cell>
          <cell r="C579" t="str">
            <v>M2</v>
          </cell>
          <cell r="D579">
            <v>11.75</v>
          </cell>
          <cell r="E579">
            <v>9.5299999999999994</v>
          </cell>
          <cell r="F579" t="str">
            <v xml:space="preserve"> </v>
          </cell>
        </row>
        <row r="580">
          <cell r="A580">
            <v>40311</v>
          </cell>
          <cell r="B580" t="str">
            <v>Formas planas de madeira com 01 (um) reaproveitamento, inclusive fornecimento e transporte  das madeiras</v>
          </cell>
          <cell r="C580" t="str">
            <v>M2</v>
          </cell>
          <cell r="D580">
            <v>121.61</v>
          </cell>
          <cell r="E580">
            <v>98.62</v>
          </cell>
          <cell r="F580" t="str">
            <v>A incluir</v>
          </cell>
        </row>
        <row r="581">
          <cell r="A581">
            <v>40312</v>
          </cell>
          <cell r="B581" t="str">
            <v>Formas planas de madeira com 02 (dois) reaproveitamentos, inclusive fornecimento e transporte das madeiras</v>
          </cell>
          <cell r="C581" t="str">
            <v>M2</v>
          </cell>
          <cell r="D581">
            <v>102.72</v>
          </cell>
          <cell r="E581">
            <v>83.3</v>
          </cell>
          <cell r="F581" t="str">
            <v>A incluir</v>
          </cell>
        </row>
        <row r="582">
          <cell r="A582">
            <v>40313</v>
          </cell>
          <cell r="B582" t="str">
            <v>Formas planas de madeira com 04 (quatro) reaproveitamentos, inclusive fornecimento e transporte das madeiras</v>
          </cell>
          <cell r="C582" t="str">
            <v>M2</v>
          </cell>
          <cell r="D582">
            <v>88.02</v>
          </cell>
          <cell r="E582">
            <v>71.38</v>
          </cell>
          <cell r="F582" t="str">
            <v>A incluir</v>
          </cell>
        </row>
        <row r="583">
          <cell r="A583">
            <v>40310</v>
          </cell>
          <cell r="B583" t="str">
            <v>Formas planas de madeira sem reaproveitamento (forma perdida), inclusive fornecimento e transporte das madeiras</v>
          </cell>
          <cell r="C583" t="str">
            <v>M2</v>
          </cell>
          <cell r="D583">
            <v>175.76</v>
          </cell>
          <cell r="E583">
            <v>142.53</v>
          </cell>
          <cell r="F583" t="str">
            <v>A incluir</v>
          </cell>
        </row>
        <row r="584">
          <cell r="A584">
            <v>40748</v>
          </cell>
          <cell r="B584" t="str">
            <v>Gabião manta/colchão, malha hex 6x8mm Zn-Al/PVC, e=2,8mm,h=0,23m, inclus.aquis./ assentam. pedra mão, exclus. transp. p/ revestim. canal</v>
          </cell>
          <cell r="C584" t="str">
            <v>M2</v>
          </cell>
          <cell r="D584">
            <v>289.02999999999997</v>
          </cell>
          <cell r="E584">
            <v>234.38</v>
          </cell>
          <cell r="F584" t="str">
            <v xml:space="preserve"> </v>
          </cell>
        </row>
        <row r="585">
          <cell r="A585">
            <v>40726</v>
          </cell>
          <cell r="B585" t="str">
            <v>Gabiões com caixas galvanizadas  com utilização de geotêxtil não tecido RT 07 kN/m, inclus. transp. madeira e pedra mão</v>
          </cell>
          <cell r="C585" t="str">
            <v>M3</v>
          </cell>
          <cell r="D585">
            <v>564</v>
          </cell>
          <cell r="E585">
            <v>457.35</v>
          </cell>
          <cell r="F585" t="str">
            <v>A incluir</v>
          </cell>
        </row>
        <row r="586">
          <cell r="A586">
            <v>40725</v>
          </cell>
          <cell r="B586" t="str">
            <v>Gabiões com caixas galvanizadas, sem manta</v>
          </cell>
          <cell r="C586" t="str">
            <v>M3</v>
          </cell>
          <cell r="D586">
            <v>560.4</v>
          </cell>
          <cell r="E586">
            <v>454.43</v>
          </cell>
          <cell r="F586" t="str">
            <v>A incluir</v>
          </cell>
        </row>
        <row r="587">
          <cell r="A587">
            <v>41394</v>
          </cell>
          <cell r="B587" t="str">
            <v>Geogrelha com resistência londitudinal a tração 35 a 40 kN, resist. transversal a tração 30 kN, fornecimento e aplicação - Deformação de 5%</v>
          </cell>
          <cell r="C587" t="str">
            <v>M2</v>
          </cell>
          <cell r="D587">
            <v>38.06</v>
          </cell>
          <cell r="E587">
            <v>30.87</v>
          </cell>
          <cell r="F587" t="str">
            <v xml:space="preserve"> </v>
          </cell>
        </row>
        <row r="588">
          <cell r="A588">
            <v>41393</v>
          </cell>
          <cell r="B588" t="str">
            <v>Geogrelha com resistência londitudinal a tração 55 a 60 kN, resist. transversal a tração 30 kN, fornecimento e aplicação - Deformação de 5%</v>
          </cell>
          <cell r="C588" t="str">
            <v>M2</v>
          </cell>
          <cell r="D588">
            <v>53.36</v>
          </cell>
          <cell r="E588">
            <v>43.27</v>
          </cell>
          <cell r="F588" t="str">
            <v xml:space="preserve"> </v>
          </cell>
        </row>
        <row r="589">
          <cell r="A589">
            <v>41391</v>
          </cell>
          <cell r="B589" t="str">
            <v>Geogrelha com resistência longitudinal a tração 300 kN, resist. transversal a tração 30 kN, fornecimento e aplicação</v>
          </cell>
          <cell r="C589" t="str">
            <v>M2</v>
          </cell>
          <cell r="D589">
            <v>73.069999999999993</v>
          </cell>
          <cell r="E589">
            <v>59.26</v>
          </cell>
          <cell r="F589" t="str">
            <v xml:space="preserve"> </v>
          </cell>
        </row>
        <row r="590">
          <cell r="A590">
            <v>102596</v>
          </cell>
          <cell r="B590" t="str">
            <v>Geogrelha com resistência longitudinal a tração 35 a 40 KN, resistência transversal a tração 30KN, fornecimento e aplicação - Deformação de 10%</v>
          </cell>
          <cell r="C590" t="str">
            <v>m²</v>
          </cell>
          <cell r="D590">
            <v>22.82</v>
          </cell>
          <cell r="E590">
            <v>18.510000000000002</v>
          </cell>
          <cell r="F590" t="str">
            <v xml:space="preserve"> </v>
          </cell>
        </row>
        <row r="591">
          <cell r="A591">
            <v>102595</v>
          </cell>
          <cell r="B591" t="str">
            <v>Geogrelha com resistência longitudinal a tração 55 a 60 KN, resistência transversal a tração 30KN, fornecimento e aplicação - Deformação de 10%</v>
          </cell>
          <cell r="C591" t="str">
            <v>m²</v>
          </cell>
          <cell r="D591">
            <v>26.11</v>
          </cell>
          <cell r="E591">
            <v>21.18</v>
          </cell>
          <cell r="F591" t="str">
            <v xml:space="preserve"> </v>
          </cell>
        </row>
        <row r="592">
          <cell r="A592">
            <v>41392</v>
          </cell>
          <cell r="B592" t="str">
            <v>Geogrelha com resistência longitudinal a tração 80 a 90 kN, resist. transversal a tração 30 kN, fornecimento e aplicação - Deformação de 5%</v>
          </cell>
          <cell r="C592" t="str">
            <v>M2</v>
          </cell>
          <cell r="D592">
            <v>64.45</v>
          </cell>
          <cell r="E592">
            <v>52.27</v>
          </cell>
          <cell r="F592" t="str">
            <v xml:space="preserve"> </v>
          </cell>
        </row>
        <row r="593">
          <cell r="A593">
            <v>102594</v>
          </cell>
          <cell r="B593" t="str">
            <v>Geogrelha com resistência longitudinal a tração 80 a 90 KN, resistência transversal a tração 30KN, fornecimento e aplicação - Deformação de 10%</v>
          </cell>
          <cell r="C593" t="str">
            <v>m²</v>
          </cell>
          <cell r="D593">
            <v>30.69</v>
          </cell>
          <cell r="E593">
            <v>24.89</v>
          </cell>
          <cell r="F593" t="str">
            <v xml:space="preserve"> </v>
          </cell>
        </row>
        <row r="594">
          <cell r="A594">
            <v>41197</v>
          </cell>
          <cell r="B594" t="str">
            <v>Geogrelha monodirecional 200KN, fornecimento e assentamento</v>
          </cell>
          <cell r="C594" t="str">
            <v>M2</v>
          </cell>
          <cell r="D594">
            <v>58.33</v>
          </cell>
          <cell r="E594">
            <v>47.3</v>
          </cell>
          <cell r="F594" t="str">
            <v xml:space="preserve"> </v>
          </cell>
        </row>
        <row r="595">
          <cell r="A595">
            <v>40709</v>
          </cell>
          <cell r="B595" t="str">
            <v>Geogrelha tecida bidirecional de polipropileno de alto módulo inicial c/ módulo de rigidez nominal = 400KN/m nas duas direções, fornecimento/aplicação</v>
          </cell>
          <cell r="C595" t="str">
            <v>M2</v>
          </cell>
          <cell r="D595">
            <v>30.89</v>
          </cell>
          <cell r="E595">
            <v>25.05</v>
          </cell>
          <cell r="F595" t="str">
            <v xml:space="preserve"> </v>
          </cell>
        </row>
        <row r="596">
          <cell r="A596">
            <v>40721</v>
          </cell>
          <cell r="B596" t="str">
            <v>Lastro de brita, inclusive transporte da brita</v>
          </cell>
          <cell r="C596" t="str">
            <v>M3</v>
          </cell>
          <cell r="D596">
            <v>147.97999999999999</v>
          </cell>
          <cell r="E596">
            <v>120</v>
          </cell>
          <cell r="F596" t="str">
            <v>A incluir</v>
          </cell>
        </row>
        <row r="597">
          <cell r="A597">
            <v>40396</v>
          </cell>
          <cell r="B597" t="str">
            <v>Limpeza e apicoamento manual de superfície de rocha</v>
          </cell>
          <cell r="C597" t="str">
            <v>M2</v>
          </cell>
          <cell r="D597">
            <v>39.26</v>
          </cell>
          <cell r="E597">
            <v>31.84</v>
          </cell>
          <cell r="F597" t="str">
            <v xml:space="preserve"> </v>
          </cell>
        </row>
        <row r="598">
          <cell r="A598">
            <v>40744</v>
          </cell>
          <cell r="B598" t="str">
            <v>Limpeza e desobstrução de BDTC e BDCC</v>
          </cell>
          <cell r="C598" t="str">
            <v>M</v>
          </cell>
          <cell r="D598">
            <v>35.17</v>
          </cell>
          <cell r="E598">
            <v>28.52</v>
          </cell>
          <cell r="F598" t="str">
            <v xml:space="preserve"> </v>
          </cell>
        </row>
        <row r="599">
          <cell r="A599">
            <v>40746</v>
          </cell>
          <cell r="B599" t="str">
            <v>Limpeza e desobstrução de BQTC</v>
          </cell>
          <cell r="C599" t="str">
            <v>M</v>
          </cell>
          <cell r="D599">
            <v>68.47</v>
          </cell>
          <cell r="E599">
            <v>55.53</v>
          </cell>
          <cell r="F599" t="str">
            <v xml:space="preserve"> </v>
          </cell>
        </row>
        <row r="600">
          <cell r="A600">
            <v>40743</v>
          </cell>
          <cell r="B600" t="str">
            <v>Limpeza e desobstrução de BSTC e BSCC</v>
          </cell>
          <cell r="C600" t="str">
            <v>M</v>
          </cell>
          <cell r="D600">
            <v>18.52</v>
          </cell>
          <cell r="E600">
            <v>15.02</v>
          </cell>
          <cell r="F600" t="str">
            <v xml:space="preserve"> </v>
          </cell>
        </row>
        <row r="601">
          <cell r="A601">
            <v>40745</v>
          </cell>
          <cell r="B601" t="str">
            <v>Limpeza e desobstrução de BTTC e BTCC</v>
          </cell>
          <cell r="C601" t="str">
            <v>M</v>
          </cell>
          <cell r="D601">
            <v>51.83</v>
          </cell>
          <cell r="E601">
            <v>42.03</v>
          </cell>
          <cell r="F601" t="str">
            <v xml:space="preserve"> </v>
          </cell>
        </row>
        <row r="602">
          <cell r="A602">
            <v>40397</v>
          </cell>
          <cell r="B602" t="str">
            <v>Limpeza e preparo de superfície de aço</v>
          </cell>
          <cell r="C602" t="str">
            <v>M2</v>
          </cell>
          <cell r="D602">
            <v>101.36</v>
          </cell>
          <cell r="E602">
            <v>82.2</v>
          </cell>
          <cell r="F602" t="str">
            <v xml:space="preserve"> </v>
          </cell>
        </row>
        <row r="603">
          <cell r="A603">
            <v>41221</v>
          </cell>
          <cell r="B603" t="str">
            <v>Lona plástica preta para isolamento de concretagem sobre solo, fornecimento e colocação</v>
          </cell>
          <cell r="C603" t="str">
            <v>M2</v>
          </cell>
          <cell r="D603">
            <v>4.83</v>
          </cell>
          <cell r="E603">
            <v>3.92</v>
          </cell>
          <cell r="F603" t="str">
            <v xml:space="preserve"> </v>
          </cell>
        </row>
        <row r="604">
          <cell r="A604">
            <v>41401</v>
          </cell>
          <cell r="B604" t="str">
            <v>Manta Geotêxtil  não tecida com resistência longitudinal a tração 10kN/m, fornecimento e aplicação</v>
          </cell>
          <cell r="C604" t="str">
            <v>M2</v>
          </cell>
          <cell r="D604">
            <v>9.7200000000000006</v>
          </cell>
          <cell r="E604">
            <v>7.89</v>
          </cell>
          <cell r="F604" t="str">
            <v xml:space="preserve"> </v>
          </cell>
        </row>
        <row r="605">
          <cell r="A605">
            <v>40714</v>
          </cell>
          <cell r="B605" t="str">
            <v>Manta Geotêxtil não tecida RT - 16 kn/m, fornecimento e aplicação</v>
          </cell>
          <cell r="C605" t="str">
            <v>M2</v>
          </cell>
          <cell r="D605">
            <v>13.97</v>
          </cell>
          <cell r="E605">
            <v>11.33</v>
          </cell>
          <cell r="F605" t="str">
            <v xml:space="preserve"> </v>
          </cell>
        </row>
        <row r="606">
          <cell r="A606">
            <v>40660</v>
          </cell>
          <cell r="B606" t="str">
            <v>Meio fio de concreto DP-1, inclusive caiação</v>
          </cell>
          <cell r="C606" t="str">
            <v>M</v>
          </cell>
          <cell r="D606">
            <v>69.739999999999995</v>
          </cell>
          <cell r="E606">
            <v>56.56</v>
          </cell>
          <cell r="F606" t="str">
            <v xml:space="preserve"> </v>
          </cell>
        </row>
        <row r="607">
          <cell r="A607">
            <v>40661</v>
          </cell>
          <cell r="B607" t="str">
            <v>Meio fio de concreto MFC 01, inclusive caiação</v>
          </cell>
          <cell r="C607" t="str">
            <v>M</v>
          </cell>
          <cell r="D607">
            <v>134.06</v>
          </cell>
          <cell r="E607">
            <v>108.71</v>
          </cell>
          <cell r="F607" t="str">
            <v xml:space="preserve"> </v>
          </cell>
        </row>
        <row r="608">
          <cell r="A608">
            <v>40662</v>
          </cell>
          <cell r="B608" t="str">
            <v>Meio fio de concreto MFC 05, inclusive caiação</v>
          </cell>
          <cell r="C608" t="str">
            <v>M</v>
          </cell>
          <cell r="D608">
            <v>74.63</v>
          </cell>
          <cell r="E608">
            <v>60.52</v>
          </cell>
          <cell r="F608" t="str">
            <v xml:space="preserve"> </v>
          </cell>
        </row>
        <row r="609">
          <cell r="A609">
            <v>40663</v>
          </cell>
          <cell r="B609" t="str">
            <v>Meio fio de concreto pré-moldado (12 x 30 x 15) cm, inclusive caiação e transporte do meio fio</v>
          </cell>
          <cell r="C609" t="str">
            <v>M</v>
          </cell>
          <cell r="D609">
            <v>66.03</v>
          </cell>
          <cell r="E609">
            <v>53.55</v>
          </cell>
          <cell r="F609" t="str">
            <v>A incluir</v>
          </cell>
        </row>
        <row r="610">
          <cell r="A610">
            <v>40659</v>
          </cell>
          <cell r="B610" t="str">
            <v>Meio fio sarjeta de concreto tipo DP-1 (0,035 m³/m) inclusive caiação</v>
          </cell>
          <cell r="C610" t="str">
            <v>M</v>
          </cell>
          <cell r="D610">
            <v>62.9</v>
          </cell>
          <cell r="E610">
            <v>51.01</v>
          </cell>
          <cell r="F610" t="str">
            <v xml:space="preserve"> </v>
          </cell>
        </row>
        <row r="611">
          <cell r="A611">
            <v>41024</v>
          </cell>
          <cell r="B611" t="str">
            <v>Montagem e desmontagem de escoramento tubular normal, em obras de arte na densidade de</v>
          </cell>
          <cell r="C611" t="str">
            <v>M</v>
          </cell>
          <cell r="D611">
            <v>23.87</v>
          </cell>
          <cell r="E611">
            <v>19.36</v>
          </cell>
          <cell r="F611" t="str">
            <v xml:space="preserve"> </v>
          </cell>
        </row>
        <row r="612">
          <cell r="A612"/>
          <cell r="B612" t="str">
            <v xml:space="preserve"> 5m de tubo por m³ de escoramento</v>
          </cell>
          <cell r="C612"/>
          <cell r="D612"/>
          <cell r="E612">
            <v>0</v>
          </cell>
          <cell r="F612"/>
        </row>
        <row r="613">
          <cell r="A613">
            <v>40657</v>
          </cell>
          <cell r="B613" t="str">
            <v>Mureta de corte em rocha</v>
          </cell>
          <cell r="C613" t="str">
            <v>M</v>
          </cell>
          <cell r="D613">
            <v>221.07</v>
          </cell>
          <cell r="E613">
            <v>179.27</v>
          </cell>
          <cell r="F613" t="str">
            <v xml:space="preserve"> </v>
          </cell>
        </row>
        <row r="614">
          <cell r="A614">
            <v>41395</v>
          </cell>
          <cell r="B614" t="str">
            <v>Muro com Terramesh System ou similar, altura H&lt;= 4,00 metros (4 cx 1x1x4m), tudo incluído</v>
          </cell>
          <cell r="C614" t="str">
            <v>M2</v>
          </cell>
          <cell r="D614">
            <v>865.38</v>
          </cell>
          <cell r="E614">
            <v>701.74</v>
          </cell>
          <cell r="F614" t="str">
            <v>A incluir</v>
          </cell>
        </row>
        <row r="615">
          <cell r="A615">
            <v>41396</v>
          </cell>
          <cell r="B615" t="str">
            <v>Muro com Terramesh System ou similar, altura 4,00 &lt; H &lt;= 5,00 metros (3 cx 1x1x4m e 4 cx 0,</v>
          </cell>
          <cell r="C615" t="str">
            <v>M2</v>
          </cell>
          <cell r="D615">
            <v>1036.8800000000001</v>
          </cell>
          <cell r="E615">
            <v>840.81</v>
          </cell>
          <cell r="F615" t="str">
            <v>A incluir</v>
          </cell>
        </row>
        <row r="616">
          <cell r="A616"/>
          <cell r="B616" t="str">
            <v>5x1x4m) , execução, tudo incluído</v>
          </cell>
          <cell r="C616"/>
          <cell r="D616"/>
          <cell r="E616">
            <v>0</v>
          </cell>
          <cell r="F616"/>
        </row>
        <row r="617">
          <cell r="A617">
            <v>41397</v>
          </cell>
          <cell r="B617" t="str">
            <v>Muro com Terramesh System ou similar, altura 5,00 &lt; H &lt;= 6,00 metros (4 cx 1x1x4m e 4 cx 0,</v>
          </cell>
          <cell r="C617" t="str">
            <v>M2</v>
          </cell>
          <cell r="D617">
            <v>1009.38</v>
          </cell>
          <cell r="E617">
            <v>818.51</v>
          </cell>
          <cell r="F617" t="str">
            <v>A incluir</v>
          </cell>
        </row>
        <row r="618">
          <cell r="A618"/>
          <cell r="B618" t="str">
            <v>5x1x4m) , tudo incluído</v>
          </cell>
          <cell r="C618"/>
          <cell r="D618"/>
          <cell r="E618">
            <v>0</v>
          </cell>
          <cell r="F618"/>
        </row>
        <row r="619">
          <cell r="A619">
            <v>41398</v>
          </cell>
          <cell r="B619" t="str">
            <v>Muro com Terramesh System ou similar, altura 6,00 &lt; H &lt;= 7,50 metros (3cx 1x1x4m, 2cx</v>
          </cell>
          <cell r="C619" t="str">
            <v>M2</v>
          </cell>
          <cell r="D619">
            <v>1083.79</v>
          </cell>
          <cell r="E619">
            <v>878.85</v>
          </cell>
          <cell r="F619" t="str">
            <v>A incluir</v>
          </cell>
        </row>
        <row r="620">
          <cell r="A620"/>
          <cell r="B620" t="str">
            <v>1x1x5 e 5cx 0,5x1x6m), tudo incluído</v>
          </cell>
          <cell r="C620"/>
          <cell r="D620"/>
          <cell r="E620">
            <v>0</v>
          </cell>
          <cell r="F620"/>
        </row>
        <row r="621">
          <cell r="A621">
            <v>41399</v>
          </cell>
          <cell r="B621" t="str">
            <v>Muro com Terramesh System ou similar, altura 7,50 &lt; H &lt;= 9,00 metros (4 cx 1x1x4m, 2 cx</v>
          </cell>
          <cell r="C621" t="str">
            <v>M2</v>
          </cell>
          <cell r="D621">
            <v>1094</v>
          </cell>
          <cell r="E621">
            <v>887.13</v>
          </cell>
          <cell r="F621" t="str">
            <v>A incluir</v>
          </cell>
        </row>
        <row r="622">
          <cell r="A622"/>
          <cell r="B622" t="str">
            <v>1x1x5, 3 cx 0,5x1x6m e 3cx 0,5x1x7), tudo incluído</v>
          </cell>
          <cell r="C622"/>
          <cell r="D622"/>
          <cell r="E622">
            <v>0</v>
          </cell>
          <cell r="F622"/>
        </row>
        <row r="623">
          <cell r="A623">
            <v>40654</v>
          </cell>
          <cell r="B623" t="str">
            <v>Muro de testa em concreto para saída de dreno profundo em rocha, inclusive transporte do tubo</v>
          </cell>
          <cell r="C623" t="str">
            <v>Ud</v>
          </cell>
          <cell r="D623">
            <v>718.28</v>
          </cell>
          <cell r="E623">
            <v>582.46</v>
          </cell>
          <cell r="F623" t="str">
            <v>A incluir</v>
          </cell>
        </row>
        <row r="624">
          <cell r="A624">
            <v>40653</v>
          </cell>
          <cell r="B624" t="str">
            <v>Muro de testa em concreto para saída de dreno profundo em solo, inclusive transporte do tubo</v>
          </cell>
          <cell r="C624" t="str">
            <v>Ud</v>
          </cell>
          <cell r="D624">
            <v>788.63</v>
          </cell>
          <cell r="E624">
            <v>639.5</v>
          </cell>
          <cell r="F624" t="str">
            <v>A incluir</v>
          </cell>
        </row>
        <row r="625">
          <cell r="A625">
            <v>41337</v>
          </cell>
          <cell r="B625" t="str">
            <v>Passagem d'água 1,10 x 1,00 - Canteiro</v>
          </cell>
          <cell r="C625" t="str">
            <v>Ud</v>
          </cell>
          <cell r="D625">
            <v>357.06</v>
          </cell>
          <cell r="E625">
            <v>289.54000000000002</v>
          </cell>
          <cell r="F625" t="str">
            <v>A incluir</v>
          </cell>
        </row>
        <row r="626">
          <cell r="A626">
            <v>40719</v>
          </cell>
          <cell r="B626" t="str">
            <v>Pedra de mão para (concreto ciclópico ou alvenaria) rocha paga em medição</v>
          </cell>
          <cell r="C626" t="str">
            <v>M3</v>
          </cell>
          <cell r="D626">
            <v>82.95</v>
          </cell>
          <cell r="E626">
            <v>67.27</v>
          </cell>
          <cell r="F626" t="str">
            <v xml:space="preserve"> </v>
          </cell>
        </row>
        <row r="627">
          <cell r="A627">
            <v>41019</v>
          </cell>
          <cell r="B627" t="str">
            <v>Perfuração rotativa inclinada, em rocha sã, com coroa de diamante, diâmetro N (75mm), inclusive deslocamento e posicionamento em cada furo.</v>
          </cell>
          <cell r="C627" t="str">
            <v>M</v>
          </cell>
          <cell r="D627">
            <v>873.74</v>
          </cell>
          <cell r="E627">
            <v>708.52</v>
          </cell>
          <cell r="F627" t="str">
            <v xml:space="preserve"> </v>
          </cell>
        </row>
        <row r="628">
          <cell r="A628">
            <v>40557</v>
          </cell>
          <cell r="B628" t="str">
            <v>Pescoço de poço de visita H=0,30 m, diâm. = 0,60 m, fornecimento, assentamento e transporte</v>
          </cell>
          <cell r="C628" t="str">
            <v>Ud</v>
          </cell>
          <cell r="D628">
            <v>119.38</v>
          </cell>
          <cell r="E628">
            <v>96.81</v>
          </cell>
          <cell r="F628" t="str">
            <v>A incluir</v>
          </cell>
        </row>
        <row r="629">
          <cell r="A629">
            <v>40391</v>
          </cell>
          <cell r="B629" t="str">
            <v>Pintura com nata de cimento</v>
          </cell>
          <cell r="C629" t="str">
            <v>M2</v>
          </cell>
          <cell r="D629">
            <v>5.22</v>
          </cell>
          <cell r="E629">
            <v>4.24</v>
          </cell>
          <cell r="F629" t="str">
            <v xml:space="preserve"> </v>
          </cell>
        </row>
        <row r="630">
          <cell r="A630">
            <v>40380</v>
          </cell>
          <cell r="B630" t="str">
            <v>Pintura interna ou externa sobre ferro, com tinta a base de resina de borracha clorada</v>
          </cell>
          <cell r="C630" t="str">
            <v>M2</v>
          </cell>
          <cell r="D630">
            <v>70.819999999999993</v>
          </cell>
          <cell r="E630">
            <v>57.43</v>
          </cell>
          <cell r="F630" t="str">
            <v xml:space="preserve"> </v>
          </cell>
        </row>
        <row r="631">
          <cell r="A631">
            <v>40399</v>
          </cell>
          <cell r="B631" t="str">
            <v>Placas pré-moldadas para passeio</v>
          </cell>
          <cell r="C631" t="str">
            <v>M2</v>
          </cell>
          <cell r="D631">
            <v>297.2</v>
          </cell>
          <cell r="E631">
            <v>241</v>
          </cell>
          <cell r="F631" t="str">
            <v xml:space="preserve"> </v>
          </cell>
        </row>
        <row r="632">
          <cell r="A632">
            <v>41028</v>
          </cell>
          <cell r="B632" t="str">
            <v>Plataforma ou passarela de pinho de 1ª ou similar, 1" x 12"</v>
          </cell>
          <cell r="C632" t="str">
            <v>M2</v>
          </cell>
          <cell r="D632">
            <v>4.4800000000000004</v>
          </cell>
          <cell r="E632">
            <v>3.64</v>
          </cell>
          <cell r="F632" t="str">
            <v xml:space="preserve"> </v>
          </cell>
        </row>
        <row r="633">
          <cell r="A633">
            <v>41167</v>
          </cell>
          <cell r="B633" t="str">
            <v>Poço de visita em bloco pré-moldado para d=0,30 e 0,40m (0,80x0,80m)</v>
          </cell>
          <cell r="C633" t="str">
            <v>Ud</v>
          </cell>
          <cell r="D633">
            <v>3280.78</v>
          </cell>
          <cell r="E633">
            <v>2660.38</v>
          </cell>
          <cell r="F633" t="str">
            <v xml:space="preserve"> </v>
          </cell>
        </row>
        <row r="634">
          <cell r="A634">
            <v>41168</v>
          </cell>
          <cell r="B634" t="str">
            <v>Poço de visita em bloco pré-moldado para d=0,60m (1,00x1,00m)</v>
          </cell>
          <cell r="C634" t="str">
            <v>Ud</v>
          </cell>
          <cell r="D634">
            <v>3797.86</v>
          </cell>
          <cell r="E634">
            <v>3079.68</v>
          </cell>
          <cell r="F634" t="str">
            <v xml:space="preserve"> </v>
          </cell>
        </row>
        <row r="635">
          <cell r="A635">
            <v>40570</v>
          </cell>
          <cell r="B635" t="str">
            <v>Poço de visita para BDTC diam. 1,00 m - tudo incluido</v>
          </cell>
          <cell r="C635" t="str">
            <v>Ud</v>
          </cell>
          <cell r="D635">
            <v>14782.17</v>
          </cell>
          <cell r="E635">
            <v>11986.84</v>
          </cell>
          <cell r="F635" t="str">
            <v>A incluir</v>
          </cell>
        </row>
        <row r="636">
          <cell r="A636">
            <v>41115</v>
          </cell>
          <cell r="B636" t="str">
            <v>Poço de Visita para BSTC diâm. 0,40m em blocos de concreto</v>
          </cell>
          <cell r="C636" t="str">
            <v>Ud</v>
          </cell>
          <cell r="D636">
            <v>1911.28</v>
          </cell>
          <cell r="E636">
            <v>1549.86</v>
          </cell>
          <cell r="F636" t="str">
            <v xml:space="preserve"> </v>
          </cell>
        </row>
        <row r="637">
          <cell r="A637">
            <v>41116</v>
          </cell>
          <cell r="B637" t="str">
            <v>Poço de visita para BSTC diâm. 0,60m em blocos de concreto</v>
          </cell>
          <cell r="C637" t="str">
            <v>Ud</v>
          </cell>
          <cell r="D637">
            <v>2473.12</v>
          </cell>
          <cell r="E637">
            <v>2005.45</v>
          </cell>
          <cell r="F637" t="str">
            <v xml:space="preserve"> </v>
          </cell>
        </row>
        <row r="638">
          <cell r="A638">
            <v>41117</v>
          </cell>
          <cell r="B638" t="str">
            <v>Poço de visita para BSTC diâm. 0,80m em blocos de concreto</v>
          </cell>
          <cell r="C638" t="str">
            <v>Ud</v>
          </cell>
          <cell r="D638">
            <v>3052.77</v>
          </cell>
          <cell r="E638">
            <v>2475.4899999999998</v>
          </cell>
          <cell r="F638" t="str">
            <v xml:space="preserve"> </v>
          </cell>
        </row>
        <row r="639">
          <cell r="A639">
            <v>40572</v>
          </cell>
          <cell r="B639" t="str">
            <v>Poço de visita para BTTC diam. 1,20 m - tudo incluído</v>
          </cell>
          <cell r="C639" t="str">
            <v>Ud</v>
          </cell>
          <cell r="D639">
            <v>24168.91</v>
          </cell>
          <cell r="E639">
            <v>19598.54</v>
          </cell>
          <cell r="F639" t="str">
            <v>A incluir</v>
          </cell>
        </row>
        <row r="640">
          <cell r="A640">
            <v>40553</v>
          </cell>
          <cell r="B640" t="str">
            <v>Poço de visita (tubo D=0,40 m) H=1,50 m com tampão F.F.A.P., inclusive escavação e transporte do tampão</v>
          </cell>
          <cell r="C640" t="str">
            <v>Ud</v>
          </cell>
          <cell r="D640">
            <v>4643.67</v>
          </cell>
          <cell r="E640">
            <v>3765.55</v>
          </cell>
          <cell r="F640" t="str">
            <v>A incluir</v>
          </cell>
        </row>
        <row r="641">
          <cell r="A641">
            <v>40554</v>
          </cell>
          <cell r="B641" t="str">
            <v>Poço de visita (tubo D=0,60 m) H=1,70 m com tampão F.F.A.P., inclusive escavação e transporte do tampão</v>
          </cell>
          <cell r="C641" t="str">
            <v>Ud</v>
          </cell>
          <cell r="D641">
            <v>5127.6899999999996</v>
          </cell>
          <cell r="E641">
            <v>4158.04</v>
          </cell>
          <cell r="F641" t="str">
            <v>A incluir</v>
          </cell>
        </row>
        <row r="642">
          <cell r="A642">
            <v>40555</v>
          </cell>
          <cell r="B642" t="str">
            <v>Poço de visita (tubo D=0,80 m) H=1,90 m com tampão F.F.A.P., inclusive escavação e transporte do tampão</v>
          </cell>
          <cell r="C642" t="str">
            <v>Ud</v>
          </cell>
          <cell r="D642">
            <v>5611.72</v>
          </cell>
          <cell r="E642">
            <v>4550.54</v>
          </cell>
          <cell r="F642" t="str">
            <v>A incluir</v>
          </cell>
        </row>
        <row r="643">
          <cell r="A643">
            <v>40556</v>
          </cell>
          <cell r="B643" t="str">
            <v>Poço de visita (tubo D=1,00 m) H=2,10 m com tampão F.F.A.P., inclusive escavação e transporte do tampão</v>
          </cell>
          <cell r="C643" t="str">
            <v>Ud</v>
          </cell>
          <cell r="D643">
            <v>6095.74</v>
          </cell>
          <cell r="E643">
            <v>4943.03</v>
          </cell>
          <cell r="F643" t="str">
            <v>A incluir</v>
          </cell>
        </row>
        <row r="644">
          <cell r="A644">
            <v>41086</v>
          </cell>
          <cell r="B644" t="str">
            <v>Preparo manual de talude, compreendendo acerto, raspagem eventual de até 0,30m de prof. e  afastamento lateral</v>
          </cell>
          <cell r="C644" t="str">
            <v>M2</v>
          </cell>
          <cell r="D644">
            <v>11.85</v>
          </cell>
          <cell r="E644">
            <v>9.61</v>
          </cell>
          <cell r="F644" t="str">
            <v xml:space="preserve"> </v>
          </cell>
        </row>
        <row r="645">
          <cell r="A645">
            <v>41021</v>
          </cell>
          <cell r="B645" t="str">
            <v>Preparo manual de terreno, compreendendo acerto raspagem até 25cm de profundidade e afastamento lateral do material excedente</v>
          </cell>
          <cell r="C645" t="str">
            <v>M2</v>
          </cell>
          <cell r="D645">
            <v>9.5</v>
          </cell>
          <cell r="E645">
            <v>7.71</v>
          </cell>
          <cell r="F645" t="str">
            <v xml:space="preserve"> </v>
          </cell>
        </row>
        <row r="646">
          <cell r="A646">
            <v>40304</v>
          </cell>
          <cell r="B646" t="str">
            <v>Reaterro com areia, tudo incluído</v>
          </cell>
          <cell r="C646" t="str">
            <v>M3</v>
          </cell>
          <cell r="D646">
            <v>68.02</v>
          </cell>
          <cell r="E646">
            <v>55.16</v>
          </cell>
          <cell r="F646" t="str">
            <v>A incluir</v>
          </cell>
        </row>
        <row r="647">
          <cell r="A647">
            <v>40302</v>
          </cell>
          <cell r="B647" t="str">
            <v>Reaterro de cavas c/ compactação manual (apiloamento)</v>
          </cell>
          <cell r="C647" t="str">
            <v>M3</v>
          </cell>
          <cell r="D647">
            <v>75.47</v>
          </cell>
          <cell r="E647">
            <v>61.2</v>
          </cell>
          <cell r="F647" t="str">
            <v xml:space="preserve"> </v>
          </cell>
        </row>
        <row r="648">
          <cell r="A648">
            <v>40301</v>
          </cell>
          <cell r="B648" t="str">
            <v>Reaterro de cavas c/ compactação manual (apiloamento) (dim. reduz.)</v>
          </cell>
          <cell r="C648" t="str">
            <v>M3</v>
          </cell>
          <cell r="D648">
            <v>109.44</v>
          </cell>
          <cell r="E648">
            <v>88.75</v>
          </cell>
          <cell r="F648" t="str">
            <v xml:space="preserve"> </v>
          </cell>
        </row>
        <row r="649">
          <cell r="A649">
            <v>40303</v>
          </cell>
          <cell r="B649" t="str">
            <v>Reaterro de cavas c/ compactação mecânica (compactador manual)</v>
          </cell>
          <cell r="C649" t="str">
            <v>M3</v>
          </cell>
          <cell r="D649">
            <v>47.82</v>
          </cell>
          <cell r="E649">
            <v>38.78</v>
          </cell>
          <cell r="F649" t="str">
            <v xml:space="preserve"> </v>
          </cell>
        </row>
        <row r="650">
          <cell r="A650">
            <v>40559</v>
          </cell>
          <cell r="B650" t="str">
            <v>Recuperação de poço de visita inclusive fornecimento tampão F.F.A.P.</v>
          </cell>
          <cell r="C650" t="str">
            <v>Ud</v>
          </cell>
          <cell r="D650">
            <v>1086.28</v>
          </cell>
          <cell r="E650">
            <v>880.87</v>
          </cell>
          <cell r="F650" t="str">
            <v>A incluir</v>
          </cell>
        </row>
        <row r="651">
          <cell r="A651">
            <v>41224</v>
          </cell>
          <cell r="B651" t="str">
            <v>Religação de rede de água em PVC DN 20mm, inclusive conexões</v>
          </cell>
          <cell r="C651" t="str">
            <v>M</v>
          </cell>
          <cell r="D651">
            <v>21.02</v>
          </cell>
          <cell r="E651">
            <v>17.05</v>
          </cell>
          <cell r="F651" t="str">
            <v xml:space="preserve"> </v>
          </cell>
        </row>
        <row r="652">
          <cell r="A652">
            <v>41225</v>
          </cell>
          <cell r="B652" t="str">
            <v>Religação de rede de água em PVC DN 25mm, incluisve conexões</v>
          </cell>
          <cell r="C652" t="str">
            <v>M</v>
          </cell>
          <cell r="D652">
            <v>24.79</v>
          </cell>
          <cell r="E652">
            <v>20.11</v>
          </cell>
          <cell r="F652" t="str">
            <v xml:space="preserve"> </v>
          </cell>
        </row>
        <row r="653">
          <cell r="A653">
            <v>41226</v>
          </cell>
          <cell r="B653" t="str">
            <v>Religação de rede de água em PVC DN 32mm, incluisve conexões</v>
          </cell>
          <cell r="C653" t="str">
            <v>M</v>
          </cell>
          <cell r="D653">
            <v>29.39</v>
          </cell>
          <cell r="E653">
            <v>23.84</v>
          </cell>
          <cell r="F653" t="str">
            <v xml:space="preserve"> </v>
          </cell>
        </row>
        <row r="654">
          <cell r="A654">
            <v>41060</v>
          </cell>
          <cell r="B654" t="str">
            <v>Religação de rede de água em PVC DN 75mm, inclusive conexões</v>
          </cell>
          <cell r="C654" t="str">
            <v>M</v>
          </cell>
          <cell r="D654">
            <v>106.04</v>
          </cell>
          <cell r="E654">
            <v>85.99</v>
          </cell>
          <cell r="F654" t="str">
            <v xml:space="preserve"> </v>
          </cell>
        </row>
        <row r="655">
          <cell r="A655">
            <v>41059</v>
          </cell>
          <cell r="B655" t="str">
            <v>Religação de rede de água em PVC PBA CL 15 DN 100mm, inclusive conexões</v>
          </cell>
          <cell r="C655" t="str">
            <v>M</v>
          </cell>
          <cell r="D655">
            <v>149.59</v>
          </cell>
          <cell r="E655">
            <v>121.31</v>
          </cell>
          <cell r="F655" t="str">
            <v xml:space="preserve"> </v>
          </cell>
        </row>
        <row r="656">
          <cell r="A656">
            <v>40567</v>
          </cell>
          <cell r="B656" t="str">
            <v>Remanejamento de ligação e religação de redes de esgoto</v>
          </cell>
          <cell r="C656" t="str">
            <v>M</v>
          </cell>
          <cell r="D656">
            <v>91.95</v>
          </cell>
          <cell r="E656">
            <v>74.569999999999993</v>
          </cell>
          <cell r="F656" t="str">
            <v xml:space="preserve"> </v>
          </cell>
        </row>
        <row r="657">
          <cell r="A657">
            <v>40747</v>
          </cell>
          <cell r="B657" t="str">
            <v>Remoção de bueiros existentes</v>
          </cell>
          <cell r="C657" t="str">
            <v>M</v>
          </cell>
          <cell r="D657">
            <v>147.6</v>
          </cell>
          <cell r="E657">
            <v>119.69</v>
          </cell>
          <cell r="F657" t="str">
            <v xml:space="preserve"> </v>
          </cell>
        </row>
        <row r="658">
          <cell r="A658">
            <v>40727</v>
          </cell>
          <cell r="B658" t="str">
            <v>Rip-rap c/ argamassa cimento areia 1:6, inclusive aquisição e transporte dos materiais</v>
          </cell>
          <cell r="C658" t="str">
            <v>M3</v>
          </cell>
          <cell r="D658">
            <v>352.31</v>
          </cell>
          <cell r="E658">
            <v>285.69</v>
          </cell>
          <cell r="F658" t="str">
            <v>A incluir</v>
          </cell>
        </row>
        <row r="659">
          <cell r="A659">
            <v>41264</v>
          </cell>
          <cell r="B659" t="str">
            <v>Rip-rap de areia inclusive escavação, transporte e fornecimento de materiais</v>
          </cell>
          <cell r="C659" t="str">
            <v>M3</v>
          </cell>
          <cell r="D659">
            <v>478.02</v>
          </cell>
          <cell r="E659">
            <v>387.63</v>
          </cell>
          <cell r="F659" t="str">
            <v>A incluir</v>
          </cell>
        </row>
        <row r="660">
          <cell r="A660">
            <v>41239</v>
          </cell>
          <cell r="B660" t="str">
            <v>Rip-rap de solo e cimento (Traço 1:15)</v>
          </cell>
          <cell r="C660" t="str">
            <v>M3</v>
          </cell>
          <cell r="D660">
            <v>108.85</v>
          </cell>
          <cell r="E660">
            <v>88.27</v>
          </cell>
          <cell r="F660" t="str">
            <v xml:space="preserve"> </v>
          </cell>
        </row>
        <row r="661">
          <cell r="A661">
            <v>40688</v>
          </cell>
          <cell r="B661" t="str">
            <v>Saída d'água concreto armado DP-1 c/ caiação</v>
          </cell>
          <cell r="C661" t="str">
            <v>Ud</v>
          </cell>
          <cell r="D661">
            <v>381.95</v>
          </cell>
          <cell r="E661">
            <v>309.73</v>
          </cell>
          <cell r="F661" t="str">
            <v xml:space="preserve"> </v>
          </cell>
        </row>
        <row r="662">
          <cell r="A662">
            <v>40690</v>
          </cell>
          <cell r="B662" t="str">
            <v>Saída d'água concreto p/ aterro c/ caiação (SDA-01)</v>
          </cell>
          <cell r="C662" t="str">
            <v>Ud</v>
          </cell>
          <cell r="D662">
            <v>1629.87</v>
          </cell>
          <cell r="E662">
            <v>1321.66</v>
          </cell>
          <cell r="F662" t="str">
            <v xml:space="preserve"> </v>
          </cell>
        </row>
        <row r="663">
          <cell r="A663">
            <v>40691</v>
          </cell>
          <cell r="B663" t="str">
            <v>Saída d'água concreto p/ aterro c/ caiação (SDA-02)</v>
          </cell>
          <cell r="C663" t="str">
            <v>Ud</v>
          </cell>
          <cell r="D663">
            <v>1947.51</v>
          </cell>
          <cell r="E663">
            <v>1579.24</v>
          </cell>
          <cell r="F663" t="str">
            <v xml:space="preserve"> </v>
          </cell>
        </row>
        <row r="664">
          <cell r="A664">
            <v>40689</v>
          </cell>
          <cell r="B664" t="str">
            <v>Saída d'água concreto p/ corte c/ caiação (SDC-01)</v>
          </cell>
          <cell r="C664" t="str">
            <v>Ud</v>
          </cell>
          <cell r="D664">
            <v>849.9</v>
          </cell>
          <cell r="E664">
            <v>689.19</v>
          </cell>
          <cell r="F664" t="str">
            <v xml:space="preserve"> </v>
          </cell>
        </row>
        <row r="665">
          <cell r="A665">
            <v>40666</v>
          </cell>
          <cell r="B665" t="str">
            <v>Sarjeta de concreto DP-1 (0,081 m³/m) calha triangular, inclusive caiação</v>
          </cell>
          <cell r="C665" t="str">
            <v>M</v>
          </cell>
          <cell r="D665">
            <v>97.12</v>
          </cell>
          <cell r="E665">
            <v>78.760000000000005</v>
          </cell>
          <cell r="F665" t="str">
            <v xml:space="preserve"> </v>
          </cell>
        </row>
        <row r="666">
          <cell r="A666">
            <v>40667</v>
          </cell>
          <cell r="B666" t="str">
            <v>Sarjeta de concreto DP-2 (0,085 m³/m) calha triangular, inclusive caiação</v>
          </cell>
          <cell r="C666" t="str">
            <v>M</v>
          </cell>
          <cell r="D666">
            <v>101.57</v>
          </cell>
          <cell r="E666">
            <v>82.37</v>
          </cell>
          <cell r="F666" t="str">
            <v xml:space="preserve"> </v>
          </cell>
        </row>
        <row r="667">
          <cell r="A667">
            <v>41180</v>
          </cell>
          <cell r="B667" t="str">
            <v>Sarjeta de concreto SCA 40/10</v>
          </cell>
          <cell r="C667" t="str">
            <v>M</v>
          </cell>
          <cell r="D667">
            <v>89.77</v>
          </cell>
          <cell r="E667">
            <v>72.8</v>
          </cell>
          <cell r="F667" t="str">
            <v>A incluir</v>
          </cell>
        </row>
        <row r="668">
          <cell r="A668">
            <v>40668</v>
          </cell>
          <cell r="B668" t="str">
            <v>Sarjeta de concreto (SCA 70/15) calha triangular, inclusive caiação</v>
          </cell>
          <cell r="C668" t="str">
            <v>M</v>
          </cell>
          <cell r="D668">
            <v>116.85</v>
          </cell>
          <cell r="E668">
            <v>94.76</v>
          </cell>
          <cell r="F668" t="str">
            <v xml:space="preserve"> </v>
          </cell>
        </row>
        <row r="669">
          <cell r="A669">
            <v>40982</v>
          </cell>
          <cell r="B669" t="str">
            <v>Sarjeta de concreto (SCA 90/10) calha triangular, inclusive caiação</v>
          </cell>
          <cell r="C669" t="str">
            <v>M</v>
          </cell>
          <cell r="D669">
            <v>222.46</v>
          </cell>
          <cell r="E669">
            <v>180.4</v>
          </cell>
          <cell r="F669" t="str">
            <v xml:space="preserve"> </v>
          </cell>
        </row>
        <row r="670">
          <cell r="A670">
            <v>41336</v>
          </cell>
          <cell r="B670" t="str">
            <v>Sarjeta de concreto SCC 40/15</v>
          </cell>
          <cell r="C670" t="str">
            <v>M</v>
          </cell>
          <cell r="D670">
            <v>116.79</v>
          </cell>
          <cell r="E670">
            <v>94.71</v>
          </cell>
          <cell r="F670" t="str">
            <v>A incluir</v>
          </cell>
        </row>
        <row r="671">
          <cell r="A671">
            <v>40669</v>
          </cell>
          <cell r="B671" t="str">
            <v>Sarjeta de concreto (STC - 02) calha triangular em corte/aterro, inclusive caiação</v>
          </cell>
          <cell r="C671" t="str">
            <v>M</v>
          </cell>
          <cell r="D671">
            <v>96</v>
          </cell>
          <cell r="E671">
            <v>77.849999999999994</v>
          </cell>
          <cell r="F671" t="str">
            <v xml:space="preserve"> </v>
          </cell>
        </row>
        <row r="672">
          <cell r="A672">
            <v>40670</v>
          </cell>
          <cell r="B672" t="str">
            <v>Sarjeta de concreto (STC - 04) calha triangular de bancada em corte, inclusive caiação</v>
          </cell>
          <cell r="C672" t="str">
            <v>M</v>
          </cell>
          <cell r="D672">
            <v>71.400000000000006</v>
          </cell>
          <cell r="E672">
            <v>57.9</v>
          </cell>
          <cell r="F672" t="str">
            <v xml:space="preserve"> </v>
          </cell>
        </row>
        <row r="673">
          <cell r="A673">
            <v>40560</v>
          </cell>
          <cell r="B673" t="str">
            <v>Tampa de concreto em grelha, fornecimento, assentamento e transporte</v>
          </cell>
          <cell r="C673" t="str">
            <v>Ud</v>
          </cell>
          <cell r="D673">
            <v>243.69</v>
          </cell>
          <cell r="E673">
            <v>197.61</v>
          </cell>
          <cell r="F673" t="str">
            <v>A incluir</v>
          </cell>
        </row>
        <row r="674">
          <cell r="A674">
            <v>40558</v>
          </cell>
          <cell r="B674" t="str">
            <v>Tampão F.F.A.P. com 100 kg, fornecimento, assentamento e transporte</v>
          </cell>
          <cell r="C674" t="str">
            <v>Ud</v>
          </cell>
          <cell r="D674">
            <v>663.76</v>
          </cell>
          <cell r="E674">
            <v>538.25</v>
          </cell>
          <cell r="F674" t="str">
            <v>A incluir</v>
          </cell>
        </row>
        <row r="675">
          <cell r="A675">
            <v>41029</v>
          </cell>
          <cell r="B675" t="str">
            <v>Tapume de vedação e proteção, executado com chapas de compensado resinado com 6mm de espessura, exclusive pintura</v>
          </cell>
          <cell r="C675" t="str">
            <v>M2</v>
          </cell>
          <cell r="D675">
            <v>49.73</v>
          </cell>
          <cell r="E675">
            <v>40.33</v>
          </cell>
          <cell r="F675" t="str">
            <v xml:space="preserve"> </v>
          </cell>
        </row>
        <row r="676">
          <cell r="A676">
            <v>41040</v>
          </cell>
          <cell r="B676" t="str">
            <v>Tela de aço soldada Telcon Q-138 ou similar, fornecimento e assentamento.</v>
          </cell>
          <cell r="C676" t="str">
            <v>M2</v>
          </cell>
          <cell r="D676">
            <v>56.14</v>
          </cell>
          <cell r="E676">
            <v>45.53</v>
          </cell>
          <cell r="F676" t="str">
            <v xml:space="preserve"> </v>
          </cell>
        </row>
        <row r="677">
          <cell r="A677">
            <v>42658</v>
          </cell>
          <cell r="B677" t="str">
            <v>Tela de aço soldada Telcon Q-196 ou similar, fornecimento e assentamento.</v>
          </cell>
          <cell r="C677" t="str">
            <v>M2</v>
          </cell>
          <cell r="D677">
            <v>95.69</v>
          </cell>
          <cell r="E677">
            <v>77.599999999999994</v>
          </cell>
          <cell r="F677" t="str">
            <v xml:space="preserve"> </v>
          </cell>
        </row>
        <row r="678">
          <cell r="A678">
            <v>40655</v>
          </cell>
          <cell r="B678" t="str">
            <v>Terminal de dreno de alívio de pavimento (DP - TDA - 01)</v>
          </cell>
          <cell r="C678" t="str">
            <v>Ud</v>
          </cell>
          <cell r="D678">
            <v>407.78</v>
          </cell>
          <cell r="E678">
            <v>330.67</v>
          </cell>
          <cell r="F678" t="str">
            <v>A incluir</v>
          </cell>
        </row>
        <row r="679">
          <cell r="A679">
            <v>41092</v>
          </cell>
          <cell r="B679" t="str">
            <v>Transporte de materiais encosta abaixo, serviço manual, inclusive carga e descarga</v>
          </cell>
          <cell r="C679" t="str">
            <v>t dam</v>
          </cell>
          <cell r="D679">
            <v>26.95</v>
          </cell>
          <cell r="E679">
            <v>21.86</v>
          </cell>
          <cell r="F679" t="str">
            <v xml:space="preserve"> </v>
          </cell>
        </row>
        <row r="680">
          <cell r="A680">
            <v>41091</v>
          </cell>
          <cell r="B680" t="str">
            <v>Transporte de materiais encosta acima, serviço manual, inclusive carga e descarga</v>
          </cell>
          <cell r="C680" t="str">
            <v>t dam</v>
          </cell>
          <cell r="D680">
            <v>36.46</v>
          </cell>
          <cell r="E680">
            <v>29.57</v>
          </cell>
          <cell r="F680" t="str">
            <v xml:space="preserve"> </v>
          </cell>
        </row>
        <row r="681">
          <cell r="A681">
            <v>40706</v>
          </cell>
          <cell r="B681" t="str">
            <v>Transposição de segmento de sarjeta - TSS 01, inclusive transporte do tubo de concreto</v>
          </cell>
          <cell r="C681" t="str">
            <v>M</v>
          </cell>
          <cell r="D681">
            <v>360.16</v>
          </cell>
          <cell r="E681">
            <v>292.06</v>
          </cell>
          <cell r="F681" t="str">
            <v>A incluir</v>
          </cell>
        </row>
        <row r="682">
          <cell r="A682">
            <v>40651</v>
          </cell>
          <cell r="B682" t="str">
            <v>Trincheira drenante cega (0,50 x 1,70) m, inclusive transporte da brita c/ geotêxtil não tecido res.long. mín 16 kn/m</v>
          </cell>
          <cell r="C682" t="str">
            <v>M</v>
          </cell>
          <cell r="D682">
            <v>505.61</v>
          </cell>
          <cell r="E682">
            <v>410</v>
          </cell>
          <cell r="F682" t="str">
            <v>A incluir</v>
          </cell>
        </row>
        <row r="683">
          <cell r="A683">
            <v>41122</v>
          </cell>
          <cell r="B683" t="str">
            <v>Tubo de PVC NBR 5648 diâmetro 50 mm, fornecimento e assentamento</v>
          </cell>
          <cell r="C683" t="str">
            <v>M</v>
          </cell>
          <cell r="D683">
            <v>30.39</v>
          </cell>
          <cell r="E683">
            <v>24.65</v>
          </cell>
          <cell r="F683" t="str">
            <v xml:space="preserve"> </v>
          </cell>
        </row>
        <row r="684">
          <cell r="A684">
            <v>41123</v>
          </cell>
          <cell r="B684" t="str">
            <v>Tubo de PVC NBR 5648 diâmetro 75 mm, fornecimento e assentamento</v>
          </cell>
          <cell r="C684" t="str">
            <v>M</v>
          </cell>
          <cell r="D684">
            <v>77.959999999999994</v>
          </cell>
          <cell r="E684">
            <v>63.22</v>
          </cell>
          <cell r="F684" t="str">
            <v xml:space="preserve"> </v>
          </cell>
        </row>
        <row r="685">
          <cell r="A685">
            <v>41125</v>
          </cell>
          <cell r="B685" t="str">
            <v>Tubo de PVC rígido série R diâmetro 100 mm, fornecimento e assentamento</v>
          </cell>
          <cell r="C685" t="str">
            <v>M</v>
          </cell>
          <cell r="D685">
            <v>62.94</v>
          </cell>
          <cell r="E685">
            <v>51.04</v>
          </cell>
          <cell r="F685" t="str">
            <v xml:space="preserve"> </v>
          </cell>
        </row>
        <row r="686">
          <cell r="A686">
            <v>41119</v>
          </cell>
          <cell r="B686" t="str">
            <v>Tubo irrifort agropecuário diâmetro 32 mm, fornecimento e assentamento</v>
          </cell>
          <cell r="C686" t="str">
            <v>M</v>
          </cell>
          <cell r="D686">
            <v>10.75</v>
          </cell>
          <cell r="E686">
            <v>8.7200000000000006</v>
          </cell>
          <cell r="F686" t="str">
            <v xml:space="preserve"> </v>
          </cell>
        </row>
        <row r="687">
          <cell r="A687">
            <v>41114</v>
          </cell>
          <cell r="B687" t="str">
            <v>Tubo para irrigação linha fixa PN40 50 mm, fornecimento e assentamento</v>
          </cell>
          <cell r="C687" t="str">
            <v>M</v>
          </cell>
          <cell r="D687">
            <v>10.17</v>
          </cell>
          <cell r="E687">
            <v>8.25</v>
          </cell>
          <cell r="F687" t="str">
            <v xml:space="preserve"> </v>
          </cell>
        </row>
        <row r="688">
          <cell r="A688">
            <v>40707</v>
          </cell>
          <cell r="B688" t="str">
            <v>Tubos de ferro fundido diâmetro 0,90 m, assentamento</v>
          </cell>
          <cell r="C688" t="str">
            <v>M</v>
          </cell>
          <cell r="D688">
            <v>252.16</v>
          </cell>
          <cell r="E688">
            <v>204.48</v>
          </cell>
          <cell r="F688" t="str">
            <v>A incluir</v>
          </cell>
        </row>
        <row r="689">
          <cell r="A689">
            <v>41118</v>
          </cell>
          <cell r="B689" t="str">
            <v>Tubos para irrigação Linha fixa PN40, diâmetro 75 mm, fornecimento e assentamento</v>
          </cell>
          <cell r="C689" t="str">
            <v>M</v>
          </cell>
          <cell r="D689">
            <v>19.41</v>
          </cell>
          <cell r="E689">
            <v>15.74</v>
          </cell>
          <cell r="F689" t="str">
            <v xml:space="preserve"> </v>
          </cell>
        </row>
        <row r="690">
          <cell r="A690">
            <v>40702</v>
          </cell>
          <cell r="B690" t="str">
            <v>Valeta de pedra argamassada VPAR</v>
          </cell>
          <cell r="C690" t="str">
            <v>M3</v>
          </cell>
          <cell r="D690">
            <v>410.91</v>
          </cell>
          <cell r="E690">
            <v>333.21</v>
          </cell>
          <cell r="F690" t="str">
            <v>A incluir</v>
          </cell>
        </row>
        <row r="691">
          <cell r="A691">
            <v>40701</v>
          </cell>
          <cell r="B691" t="str">
            <v>Valeta de pedra jogada VPJ, inclusive transporte da pedra</v>
          </cell>
          <cell r="C691" t="str">
            <v>M3</v>
          </cell>
          <cell r="D691">
            <v>193.73</v>
          </cell>
          <cell r="E691">
            <v>157.1</v>
          </cell>
          <cell r="F691" t="str">
            <v>A incluir</v>
          </cell>
        </row>
        <row r="692">
          <cell r="A692">
            <v>40698</v>
          </cell>
          <cell r="B692" t="str">
            <v>Valeta de proteção de aterro enleivada (VPA-01 DNIT)</v>
          </cell>
          <cell r="C692" t="str">
            <v>M</v>
          </cell>
          <cell r="D692">
            <v>94.54</v>
          </cell>
          <cell r="E692">
            <v>76.67</v>
          </cell>
          <cell r="F692" t="str">
            <v>A incluir</v>
          </cell>
        </row>
        <row r="693">
          <cell r="A693">
            <v>40700</v>
          </cell>
          <cell r="B693" t="str">
            <v>Valeta de proteção de aterro revestida em concreto (VPA-03 DNIT)</v>
          </cell>
          <cell r="C693" t="str">
            <v>M</v>
          </cell>
          <cell r="D693">
            <v>103.47</v>
          </cell>
          <cell r="E693">
            <v>83.91</v>
          </cell>
          <cell r="F693" t="str">
            <v>A incluir</v>
          </cell>
        </row>
        <row r="694">
          <cell r="A694">
            <v>40696</v>
          </cell>
          <cell r="B694" t="str">
            <v>Valeta de proteção de aterro VPA 02 (revestida em concreto)</v>
          </cell>
          <cell r="C694" t="str">
            <v>M</v>
          </cell>
          <cell r="D694">
            <v>203.31</v>
          </cell>
          <cell r="E694">
            <v>164.87</v>
          </cell>
          <cell r="F694" t="str">
            <v>A incluir</v>
          </cell>
        </row>
        <row r="695">
          <cell r="A695">
            <v>40695</v>
          </cell>
          <cell r="B695" t="str">
            <v>Valeta de proteção de aterro VPA-01 (escavação)</v>
          </cell>
          <cell r="C695" t="str">
            <v>M</v>
          </cell>
          <cell r="D695">
            <v>74.41</v>
          </cell>
          <cell r="E695">
            <v>60.34</v>
          </cell>
          <cell r="F695" t="str">
            <v xml:space="preserve"> </v>
          </cell>
        </row>
        <row r="696">
          <cell r="A696">
            <v>40692</v>
          </cell>
          <cell r="B696" t="str">
            <v>Valeta de proteção de corte - desobstrução e limpeza</v>
          </cell>
          <cell r="C696" t="str">
            <v>M</v>
          </cell>
          <cell r="D696">
            <v>4.1399999999999997</v>
          </cell>
          <cell r="E696">
            <v>3.36</v>
          </cell>
          <cell r="F696" t="str">
            <v xml:space="preserve"> </v>
          </cell>
        </row>
        <row r="697">
          <cell r="A697">
            <v>40697</v>
          </cell>
          <cell r="B697" t="str">
            <v>Valeta de proteção de corte enleivada (VPC-01 DNIT)</v>
          </cell>
          <cell r="C697" t="str">
            <v>M</v>
          </cell>
          <cell r="D697">
            <v>92.65</v>
          </cell>
          <cell r="E697">
            <v>75.13</v>
          </cell>
          <cell r="F697" t="str">
            <v>A incluir</v>
          </cell>
        </row>
        <row r="698">
          <cell r="A698">
            <v>40699</v>
          </cell>
          <cell r="B698" t="str">
            <v>Valeta de proteção de corte revestida em concreto VPC-03</v>
          </cell>
          <cell r="C698" t="str">
            <v>M</v>
          </cell>
          <cell r="D698">
            <v>240.14</v>
          </cell>
          <cell r="E698">
            <v>194.73</v>
          </cell>
          <cell r="F698" t="str">
            <v>A incluir</v>
          </cell>
        </row>
        <row r="699">
          <cell r="A699">
            <v>40693</v>
          </cell>
          <cell r="B699" t="str">
            <v>Valeta de proteção de corte VPC-01 (escavação)</v>
          </cell>
          <cell r="C699" t="str">
            <v>M</v>
          </cell>
          <cell r="D699">
            <v>40.28</v>
          </cell>
          <cell r="E699">
            <v>32.67</v>
          </cell>
          <cell r="F699" t="str">
            <v xml:space="preserve"> </v>
          </cell>
        </row>
        <row r="700">
          <cell r="A700">
            <v>40694</v>
          </cell>
          <cell r="B700" t="str">
            <v>Valeta de proteção de corte VPC-02 (revestida em grama)</v>
          </cell>
          <cell r="C700" t="str">
            <v>M</v>
          </cell>
          <cell r="D700">
            <v>78.92</v>
          </cell>
          <cell r="E700">
            <v>64</v>
          </cell>
          <cell r="F700" t="str">
            <v>A incluir</v>
          </cell>
        </row>
        <row r="701">
          <cell r="A701">
            <v>40972</v>
          </cell>
          <cell r="B701" t="str">
            <v>Bonificação de 15,28% sobre Materiais Betuminosos</v>
          </cell>
          <cell r="C701" t="str">
            <v>%</v>
          </cell>
          <cell r="D701">
            <v>0</v>
          </cell>
          <cell r="E701">
            <v>0</v>
          </cell>
          <cell r="F701" t="str">
            <v xml:space="preserve"> </v>
          </cell>
        </row>
        <row r="702">
          <cell r="A702">
            <v>41405</v>
          </cell>
          <cell r="B702" t="str">
            <v>CAP FLEX 60/85, fornecimento</v>
          </cell>
          <cell r="C702" t="str">
            <v>t</v>
          </cell>
          <cell r="D702">
            <v>4946.68</v>
          </cell>
          <cell r="E702">
            <v>4011.26</v>
          </cell>
          <cell r="F702" t="str">
            <v xml:space="preserve"> </v>
          </cell>
        </row>
        <row r="703">
          <cell r="A703">
            <v>41360</v>
          </cell>
          <cell r="B703" t="str">
            <v>CAP-50/70, fornecimento</v>
          </cell>
          <cell r="C703" t="str">
            <v>t</v>
          </cell>
          <cell r="D703">
            <v>4080.09</v>
          </cell>
          <cell r="E703">
            <v>3308.54</v>
          </cell>
          <cell r="F703" t="str">
            <v xml:space="preserve"> </v>
          </cell>
        </row>
        <row r="704">
          <cell r="A704">
            <v>40968</v>
          </cell>
          <cell r="B704" t="str">
            <v>CM-30, fornecimento</v>
          </cell>
          <cell r="C704" t="str">
            <v>t</v>
          </cell>
          <cell r="D704">
            <v>6023.61</v>
          </cell>
          <cell r="E704">
            <v>4884.54</v>
          </cell>
          <cell r="F704" t="str">
            <v xml:space="preserve"> </v>
          </cell>
        </row>
        <row r="705">
          <cell r="A705">
            <v>40976</v>
          </cell>
          <cell r="B705" t="str">
            <v>Dope, fornecimento</v>
          </cell>
          <cell r="C705" t="str">
            <v>t</v>
          </cell>
          <cell r="D705">
            <v>63150</v>
          </cell>
          <cell r="E705">
            <v>51208.24</v>
          </cell>
          <cell r="F705" t="str">
            <v xml:space="preserve"> </v>
          </cell>
        </row>
        <row r="706">
          <cell r="A706">
            <v>101196</v>
          </cell>
          <cell r="B706" t="str">
            <v>Emulsão Asfáltica para Imprimação (EAI), fornecimento</v>
          </cell>
          <cell r="C706" t="str">
            <v>t</v>
          </cell>
          <cell r="D706">
            <v>2963.27</v>
          </cell>
          <cell r="E706">
            <v>2402.92</v>
          </cell>
          <cell r="F706" t="str">
            <v xml:space="preserve"> </v>
          </cell>
        </row>
        <row r="707">
          <cell r="A707">
            <v>42545</v>
          </cell>
          <cell r="B707" t="str">
            <v>Emulsão RL-1C- FLEX (Emulflex RL-1C-E), fornecimento</v>
          </cell>
          <cell r="C707" t="str">
            <v>t</v>
          </cell>
          <cell r="D707">
            <v>3443.67</v>
          </cell>
          <cell r="E707">
            <v>2792.47</v>
          </cell>
          <cell r="F707" t="str">
            <v xml:space="preserve"> </v>
          </cell>
        </row>
        <row r="708">
          <cell r="A708">
            <v>40974</v>
          </cell>
          <cell r="B708" t="str">
            <v>Emulsão RM-1C, fornecimento</v>
          </cell>
          <cell r="C708" t="str">
            <v>t</v>
          </cell>
          <cell r="D708">
            <v>3545.92</v>
          </cell>
          <cell r="E708">
            <v>2875.39</v>
          </cell>
          <cell r="F708" t="str">
            <v xml:space="preserve"> </v>
          </cell>
        </row>
        <row r="709">
          <cell r="A709">
            <v>40978</v>
          </cell>
          <cell r="B709" t="str">
            <v>Emulsão RR-1C FLEX (Emulflex RR-1C-E,) fornecimento</v>
          </cell>
          <cell r="C709" t="str">
            <v>t</v>
          </cell>
          <cell r="D709">
            <v>3730.5</v>
          </cell>
          <cell r="E709">
            <v>3025.06</v>
          </cell>
          <cell r="F709" t="str">
            <v xml:space="preserve"> </v>
          </cell>
        </row>
        <row r="710">
          <cell r="A710">
            <v>40975</v>
          </cell>
          <cell r="B710" t="str">
            <v>Emulsão RR-1C, fornecimento</v>
          </cell>
          <cell r="C710" t="str">
            <v>t</v>
          </cell>
          <cell r="D710">
            <v>2804.87</v>
          </cell>
          <cell r="E710">
            <v>2274.4699999999998</v>
          </cell>
          <cell r="F710" t="str">
            <v xml:space="preserve"> </v>
          </cell>
        </row>
        <row r="711">
          <cell r="A711">
            <v>40969</v>
          </cell>
          <cell r="B711" t="str">
            <v>Emulsão RR-2C, fornecimento</v>
          </cell>
          <cell r="C711" t="str">
            <v>t</v>
          </cell>
          <cell r="D711">
            <v>3441.1</v>
          </cell>
          <cell r="E711">
            <v>2790.39</v>
          </cell>
          <cell r="F711" t="str">
            <v xml:space="preserve"> </v>
          </cell>
        </row>
        <row r="712">
          <cell r="A712">
            <v>40971</v>
          </cell>
          <cell r="B712" t="str">
            <v>Emulsão RR-2C-FLEX (Emulflex RR-2C-E), fornecimento</v>
          </cell>
          <cell r="C712" t="str">
            <v>t</v>
          </cell>
          <cell r="D712">
            <v>3539.17</v>
          </cell>
          <cell r="E712">
            <v>2869.91</v>
          </cell>
          <cell r="F712" t="str">
            <v xml:space="preserve"> </v>
          </cell>
        </row>
        <row r="713">
          <cell r="A713">
            <v>40910</v>
          </cell>
          <cell r="B713" t="str">
            <v>Abrigo de Ônibus - Rodovia Rural - 3,40 m x 6,00 m</v>
          </cell>
          <cell r="C713" t="str">
            <v>Ud</v>
          </cell>
          <cell r="D713">
            <v>18437.099999999999</v>
          </cell>
          <cell r="E713">
            <v>14950.62</v>
          </cell>
          <cell r="F713" t="str">
            <v xml:space="preserve"> </v>
          </cell>
        </row>
        <row r="714">
          <cell r="A714">
            <v>41362</v>
          </cell>
          <cell r="B714" t="str">
            <v>Abrigo de Ônibus Urbano - Padrão reduzido - 2,40 x 6,00 m</v>
          </cell>
          <cell r="C714" t="str">
            <v>Ud</v>
          </cell>
          <cell r="D714">
            <v>13835.14</v>
          </cell>
          <cell r="E714">
            <v>11218.9</v>
          </cell>
          <cell r="F714" t="str">
            <v xml:space="preserve"> </v>
          </cell>
        </row>
        <row r="715">
          <cell r="A715">
            <v>43343</v>
          </cell>
          <cell r="B715" t="str">
            <v>Alvenaria de tijolos cerâmicos maciços aparentes 5x10x20cm,assent.c/argam.de cimento,cal hidratada CH1 e areia no traço 1:0,5:8,juntas de 10mm e esp.</v>
          </cell>
          <cell r="C715" t="str">
            <v>M2</v>
          </cell>
          <cell r="D715">
            <v>115.08</v>
          </cell>
          <cell r="E715">
            <v>93.32</v>
          </cell>
          <cell r="F715" t="str">
            <v xml:space="preserve"> </v>
          </cell>
        </row>
        <row r="716">
          <cell r="A716">
            <v>41151</v>
          </cell>
          <cell r="B716" t="str">
            <v>Braço galvanizado 101mm - projeção 4,70m, fornecimento e instalação</v>
          </cell>
          <cell r="C716" t="str">
            <v>Ud</v>
          </cell>
          <cell r="D716">
            <v>2933.93</v>
          </cell>
          <cell r="E716">
            <v>2379.12</v>
          </cell>
          <cell r="F716" t="str">
            <v xml:space="preserve"> </v>
          </cell>
        </row>
        <row r="717">
          <cell r="A717">
            <v>41346</v>
          </cell>
          <cell r="B717" t="str">
            <v>Cabo de cobre nú, seção 35 mm2, fornecimento e colocação</v>
          </cell>
          <cell r="C717" t="str">
            <v>M</v>
          </cell>
          <cell r="D717">
            <v>53.76</v>
          </cell>
          <cell r="E717">
            <v>43.6</v>
          </cell>
          <cell r="F717" t="str">
            <v xml:space="preserve"> </v>
          </cell>
        </row>
        <row r="718">
          <cell r="A718">
            <v>41150</v>
          </cell>
          <cell r="B718" t="str">
            <v>Cabo flexível 2 x 1,5 mm², fornecimento e instalação</v>
          </cell>
          <cell r="C718" t="str">
            <v>M</v>
          </cell>
          <cell r="D718">
            <v>10.72</v>
          </cell>
          <cell r="E718">
            <v>8.6999999999999993</v>
          </cell>
          <cell r="F718" t="str">
            <v xml:space="preserve"> </v>
          </cell>
        </row>
        <row r="719">
          <cell r="A719">
            <v>41149</v>
          </cell>
          <cell r="B719" t="str">
            <v>Cabo flexível 2 x 2,5 mm², fornecimento e instalação</v>
          </cell>
          <cell r="C719" t="str">
            <v>M</v>
          </cell>
          <cell r="D719">
            <v>10.61</v>
          </cell>
          <cell r="E719">
            <v>8.61</v>
          </cell>
          <cell r="F719" t="str">
            <v xml:space="preserve"> </v>
          </cell>
        </row>
        <row r="720">
          <cell r="A720">
            <v>41410</v>
          </cell>
          <cell r="B720" t="str">
            <v>Cabo flexível 3 x 1,5 mm², fornecimento e instalação</v>
          </cell>
          <cell r="C720" t="str">
            <v>M</v>
          </cell>
          <cell r="D720">
            <v>12.81</v>
          </cell>
          <cell r="E720">
            <v>10.39</v>
          </cell>
          <cell r="F720" t="str">
            <v xml:space="preserve"> </v>
          </cell>
        </row>
        <row r="721">
          <cell r="A721">
            <v>41148</v>
          </cell>
          <cell r="B721" t="str">
            <v>Cabo flexível 4 x 1,5 mm², fornecimento e instalação</v>
          </cell>
          <cell r="C721" t="str">
            <v>M</v>
          </cell>
          <cell r="D721">
            <v>15.16</v>
          </cell>
          <cell r="E721">
            <v>12.3</v>
          </cell>
          <cell r="F721" t="str">
            <v xml:space="preserve"> </v>
          </cell>
        </row>
        <row r="722">
          <cell r="A722">
            <v>41152</v>
          </cell>
          <cell r="B722" t="str">
            <v>Caixa de passagem de concreto armado de 0,40 x 0,40 x 0,40m</v>
          </cell>
          <cell r="C722" t="str">
            <v>Ud</v>
          </cell>
          <cell r="D722">
            <v>631.32000000000005</v>
          </cell>
          <cell r="E722">
            <v>511.94</v>
          </cell>
          <cell r="F722" t="str">
            <v xml:space="preserve"> </v>
          </cell>
        </row>
        <row r="723">
          <cell r="A723">
            <v>41004</v>
          </cell>
          <cell r="B723" t="str">
            <v>Caixa de passagem de eletroduto de lógica</v>
          </cell>
          <cell r="C723" t="str">
            <v>Ud</v>
          </cell>
          <cell r="D723">
            <v>1192.28</v>
          </cell>
          <cell r="E723">
            <v>966.82</v>
          </cell>
          <cell r="F723" t="str">
            <v xml:space="preserve"> </v>
          </cell>
        </row>
        <row r="724">
          <cell r="A724">
            <v>40911</v>
          </cell>
          <cell r="B724" t="str">
            <v>Calçada de concreto</v>
          </cell>
          <cell r="C724" t="str">
            <v>M2</v>
          </cell>
          <cell r="D724">
            <v>53.33</v>
          </cell>
          <cell r="E724">
            <v>43.25</v>
          </cell>
          <cell r="F724" t="str">
            <v>A incluir</v>
          </cell>
        </row>
        <row r="725">
          <cell r="A725">
            <v>40915</v>
          </cell>
          <cell r="B725" t="str">
            <v>Calçada de concreto fck=15 MP, camurçado c/ argam. cimento e areia 1:4, lastro de brita e 8 cm de concreto, incl. preparo da caixa e transp. da brita</v>
          </cell>
          <cell r="C725" t="str">
            <v>M2</v>
          </cell>
          <cell r="D725">
            <v>110.61</v>
          </cell>
          <cell r="E725">
            <v>89.7</v>
          </cell>
          <cell r="F725" t="str">
            <v>A incluir</v>
          </cell>
        </row>
        <row r="726">
          <cell r="A726">
            <v>40899</v>
          </cell>
          <cell r="B726" t="str">
            <v>Cerca de arame farpado 4 fios com mourões  a cada 2,0 m, esticadores de madeira, a cada 20,0 m, inclusive transporte de mourão e arame farpado)</v>
          </cell>
          <cell r="C726" t="str">
            <v>M</v>
          </cell>
          <cell r="D726">
            <v>21.58</v>
          </cell>
          <cell r="E726">
            <v>17.5</v>
          </cell>
          <cell r="F726" t="str">
            <v>A incluir</v>
          </cell>
        </row>
        <row r="727">
          <cell r="A727">
            <v>40900</v>
          </cell>
          <cell r="B727" t="str">
            <v>Cerca de arame farpado 4 fios com mourões a cada 1,0 m, esticadores de madeira, a cada 20,0 m, inclusive transporte de mourão e arame farpado</v>
          </cell>
          <cell r="C727" t="str">
            <v>M</v>
          </cell>
          <cell r="D727">
            <v>30.84</v>
          </cell>
          <cell r="E727">
            <v>25.01</v>
          </cell>
          <cell r="F727" t="str">
            <v>A incluir</v>
          </cell>
        </row>
        <row r="728">
          <cell r="A728">
            <v>41365</v>
          </cell>
          <cell r="B728" t="str">
            <v>Cerca de arame farpado 4 fios com mourões, a cada 2,5 m, esticadores de madeira a cada 60,0m, inclusive transporte de arame farpado e mourão</v>
          </cell>
          <cell r="C728" t="str">
            <v>M</v>
          </cell>
          <cell r="D728">
            <v>22.01</v>
          </cell>
          <cell r="E728">
            <v>17.850000000000001</v>
          </cell>
          <cell r="F728" t="str">
            <v>A incluir</v>
          </cell>
        </row>
        <row r="729">
          <cell r="A729">
            <v>41110</v>
          </cell>
          <cell r="B729" t="str">
            <v>Cerca de arame farpado 4 fios com mourões a cada 3,0 metros e sem esticadores, inclusive transporte de arame e mourão</v>
          </cell>
          <cell r="C729" t="str">
            <v>M</v>
          </cell>
          <cell r="D729">
            <v>22.09</v>
          </cell>
          <cell r="E729">
            <v>17.920000000000002</v>
          </cell>
          <cell r="F729" t="str">
            <v>A incluir</v>
          </cell>
        </row>
        <row r="730">
          <cell r="A730">
            <v>40903</v>
          </cell>
          <cell r="B730" t="str">
            <v>Cerca de arame farpado 4 fios com postes cada 2,5 m, esticadores de concreto a cada 25,0 m</v>
          </cell>
          <cell r="C730" t="str">
            <v>M</v>
          </cell>
          <cell r="D730">
            <v>37.78</v>
          </cell>
          <cell r="E730">
            <v>30.64</v>
          </cell>
          <cell r="F730" t="str">
            <v>A incluir</v>
          </cell>
        </row>
        <row r="731">
          <cell r="A731">
            <v>40904</v>
          </cell>
          <cell r="B731" t="str">
            <v>Cerca de arame farpado 8 fios com postes concreto 10 x 10 x 220 cm, a cada 1,5 m</v>
          </cell>
          <cell r="C731" t="str">
            <v>M</v>
          </cell>
          <cell r="D731">
            <v>64.69</v>
          </cell>
          <cell r="E731">
            <v>52.46</v>
          </cell>
          <cell r="F731" t="str">
            <v>A incluir</v>
          </cell>
        </row>
        <row r="732">
          <cell r="A732">
            <v>40905</v>
          </cell>
          <cell r="B732" t="str">
            <v>Cerca de arame farpado 8 fios com postes triangulares 10 x 200 cm, a cada 2,5 m, mourão de concreto 10 x 10 x 220 cm, a cada 50,0 m</v>
          </cell>
          <cell r="C732" t="str">
            <v>M</v>
          </cell>
          <cell r="D732">
            <v>40.57</v>
          </cell>
          <cell r="E732">
            <v>32.9</v>
          </cell>
          <cell r="F732" t="str">
            <v>A incluir</v>
          </cell>
        </row>
        <row r="733">
          <cell r="A733">
            <v>43330</v>
          </cell>
          <cell r="B733" t="str">
            <v>Cerca de arame farpado,4 fios ,mourões de madeira a cada 2,5 m e esticadores de concreto/ madeira a cada 40m</v>
          </cell>
          <cell r="C733" t="str">
            <v>M</v>
          </cell>
          <cell r="D733">
            <v>36.49</v>
          </cell>
          <cell r="E733">
            <v>29.59</v>
          </cell>
          <cell r="F733" t="str">
            <v>A incluir</v>
          </cell>
        </row>
        <row r="734">
          <cell r="A734">
            <v>40901</v>
          </cell>
          <cell r="B734" t="str">
            <v>Cerca de arame liso 4 fios com mourões cada 2,0 m, esticadores de madeira, a cada 20,0 m, inclusive transporte de mourão e arame liso</v>
          </cell>
          <cell r="C734" t="str">
            <v>M</v>
          </cell>
          <cell r="D734">
            <v>24.57</v>
          </cell>
          <cell r="E734">
            <v>19.93</v>
          </cell>
          <cell r="F734" t="str">
            <v>A incluir</v>
          </cell>
        </row>
        <row r="735">
          <cell r="A735">
            <v>42475</v>
          </cell>
          <cell r="B735" t="str">
            <v>Concreto estrutural fck = 10,0 MPa, inclusive transportes areia, cimento e pedra britada</v>
          </cell>
          <cell r="C735" t="str">
            <v>M3</v>
          </cell>
          <cell r="D735">
            <v>602.34</v>
          </cell>
          <cell r="E735">
            <v>488.44</v>
          </cell>
          <cell r="F735" t="str">
            <v>A incluir</v>
          </cell>
        </row>
        <row r="736">
          <cell r="A736">
            <v>40945</v>
          </cell>
          <cell r="B736" t="str">
            <v>Corrimão em eucalipto tratado</v>
          </cell>
          <cell r="C736" t="str">
            <v>M</v>
          </cell>
          <cell r="D736">
            <v>97.17</v>
          </cell>
          <cell r="E736">
            <v>78.8</v>
          </cell>
          <cell r="F736" t="str">
            <v>A incluir</v>
          </cell>
        </row>
        <row r="737">
          <cell r="A737">
            <v>41109</v>
          </cell>
          <cell r="B737" t="str">
            <v>Demolição de cerca de madeira com 4 fios</v>
          </cell>
          <cell r="C737" t="str">
            <v>M</v>
          </cell>
          <cell r="D737">
            <v>3.11</v>
          </cell>
          <cell r="E737">
            <v>2.5299999999999998</v>
          </cell>
          <cell r="F737" t="str">
            <v xml:space="preserve"> </v>
          </cell>
        </row>
        <row r="738">
          <cell r="A738">
            <v>40164</v>
          </cell>
          <cell r="B738" t="str">
            <v>Demolição de edificações</v>
          </cell>
          <cell r="C738" t="str">
            <v>M2</v>
          </cell>
          <cell r="D738">
            <v>53.48</v>
          </cell>
          <cell r="E738">
            <v>43.37</v>
          </cell>
          <cell r="F738" t="str">
            <v xml:space="preserve"> </v>
          </cell>
        </row>
        <row r="739">
          <cell r="A739">
            <v>40944</v>
          </cell>
          <cell r="B739" t="str">
            <v>Descida d'água em madeira e pedra de mão, tudo incluído</v>
          </cell>
          <cell r="C739" t="str">
            <v>M</v>
          </cell>
          <cell r="D739">
            <v>807.19</v>
          </cell>
          <cell r="E739">
            <v>654.54999999999995</v>
          </cell>
          <cell r="F739" t="str">
            <v>A incluir</v>
          </cell>
        </row>
        <row r="740">
          <cell r="A740">
            <v>40902</v>
          </cell>
          <cell r="B740" t="str">
            <v>Deslocamento de cerca de madeira com 4 fios de arame</v>
          </cell>
          <cell r="C740" t="str">
            <v>M</v>
          </cell>
          <cell r="D740">
            <v>5.68</v>
          </cell>
          <cell r="E740">
            <v>4.6100000000000003</v>
          </cell>
          <cell r="F740" t="str">
            <v xml:space="preserve"> </v>
          </cell>
        </row>
        <row r="741">
          <cell r="A741">
            <v>41344</v>
          </cell>
          <cell r="B741" t="str">
            <v>Eletroduto de aço galv. 1 1/4" inclusive abertura e fechamento de rasgos em alvenaria, e luvas</v>
          </cell>
          <cell r="C741" t="str">
            <v>M</v>
          </cell>
          <cell r="D741">
            <v>85.31</v>
          </cell>
          <cell r="E741">
            <v>69.180000000000007</v>
          </cell>
          <cell r="F741" t="str">
            <v xml:space="preserve"> </v>
          </cell>
        </row>
        <row r="742">
          <cell r="A742">
            <v>41345</v>
          </cell>
          <cell r="B742" t="str">
            <v>Eletroduto de PVC diâmetro de 4", fornecimento e instalação</v>
          </cell>
          <cell r="C742" t="str">
            <v>M</v>
          </cell>
          <cell r="D742">
            <v>129.47</v>
          </cell>
          <cell r="E742">
            <v>104.99</v>
          </cell>
          <cell r="F742" t="str">
            <v xml:space="preserve"> </v>
          </cell>
        </row>
        <row r="743">
          <cell r="A743">
            <v>41242</v>
          </cell>
          <cell r="B743" t="str">
            <v>Estrutura de madeira para telha cerâmica ancorada em laje ou alvenaria</v>
          </cell>
          <cell r="C743" t="str">
            <v>M2</v>
          </cell>
          <cell r="D743">
            <v>78.39</v>
          </cell>
          <cell r="E743">
            <v>63.57</v>
          </cell>
          <cell r="F743" t="str">
            <v xml:space="preserve"> </v>
          </cell>
        </row>
        <row r="744">
          <cell r="A744">
            <v>42476</v>
          </cell>
          <cell r="B744" t="str">
            <v>Fita isolante em rolo de 19 mm x 20 m, número 33 Scoth ou equivalente</v>
          </cell>
          <cell r="C744" t="str">
            <v>Ud</v>
          </cell>
          <cell r="D744">
            <v>48.07</v>
          </cell>
          <cell r="E744">
            <v>38.979999999999997</v>
          </cell>
          <cell r="F744" t="str">
            <v xml:space="preserve"> </v>
          </cell>
        </row>
        <row r="745">
          <cell r="A745">
            <v>41136</v>
          </cell>
          <cell r="B745" t="str">
            <v>Haste cobreada para aterramento diâmetro 5/8" x 2,4m ( fornecimento e instalação)</v>
          </cell>
          <cell r="C745" t="str">
            <v>Ud</v>
          </cell>
          <cell r="D745">
            <v>131.15</v>
          </cell>
          <cell r="E745">
            <v>106.35</v>
          </cell>
          <cell r="F745" t="str">
            <v xml:space="preserve"> </v>
          </cell>
        </row>
        <row r="746">
          <cell r="A746">
            <v>41135</v>
          </cell>
          <cell r="B746" t="str">
            <v>Isolador de Porcelana tipo roldana com rack 3 x 16, instalação</v>
          </cell>
          <cell r="C746" t="str">
            <v>Ud</v>
          </cell>
          <cell r="D746">
            <v>97.49</v>
          </cell>
          <cell r="E746">
            <v>79.06</v>
          </cell>
          <cell r="F746" t="str">
            <v xml:space="preserve"> </v>
          </cell>
        </row>
        <row r="747">
          <cell r="A747">
            <v>40912</v>
          </cell>
          <cell r="B747" t="str">
            <v>Ladrilho hidráulico (argamassa cimento e areia 1:4), fornecimento e assentamento</v>
          </cell>
          <cell r="C747" t="str">
            <v>M2</v>
          </cell>
          <cell r="D747">
            <v>110.29</v>
          </cell>
          <cell r="E747">
            <v>89.44</v>
          </cell>
          <cell r="F747" t="str">
            <v>A incluir</v>
          </cell>
        </row>
        <row r="748">
          <cell r="A748">
            <v>40908</v>
          </cell>
          <cell r="B748" t="str">
            <v>Mata-burro</v>
          </cell>
          <cell r="C748" t="str">
            <v>Ud</v>
          </cell>
          <cell r="D748">
            <v>9184.39</v>
          </cell>
          <cell r="E748">
            <v>7447.61</v>
          </cell>
          <cell r="F748" t="str">
            <v>A incluir</v>
          </cell>
        </row>
        <row r="749">
          <cell r="A749">
            <v>40907</v>
          </cell>
          <cell r="B749" t="str">
            <v>Passagem de gado (boca)</v>
          </cell>
          <cell r="C749" t="str">
            <v>Ud</v>
          </cell>
          <cell r="D749">
            <v>15677.17</v>
          </cell>
          <cell r="E749">
            <v>12712.6</v>
          </cell>
          <cell r="F749" t="str">
            <v>A incluir</v>
          </cell>
        </row>
        <row r="750">
          <cell r="A750">
            <v>40906</v>
          </cell>
          <cell r="B750" t="str">
            <v>Passagem de gado (sem guarda corpo)</v>
          </cell>
          <cell r="C750" t="str">
            <v>M</v>
          </cell>
          <cell r="D750">
            <v>5316.23</v>
          </cell>
          <cell r="E750">
            <v>4310.93</v>
          </cell>
          <cell r="F750" t="str">
            <v xml:space="preserve"> </v>
          </cell>
        </row>
        <row r="751">
          <cell r="A751">
            <v>41240</v>
          </cell>
          <cell r="B751" t="str">
            <v>Passeio em concreto, largura 2,00m, acabamento em ladrilho hidráulico podotátil (L=0,40m)</v>
          </cell>
          <cell r="C751" t="str">
            <v>M2</v>
          </cell>
          <cell r="D751">
            <v>100.88</v>
          </cell>
          <cell r="E751">
            <v>81.81</v>
          </cell>
          <cell r="F751" t="str">
            <v>A incluir</v>
          </cell>
        </row>
        <row r="752">
          <cell r="A752">
            <v>40946</v>
          </cell>
          <cell r="B752" t="str">
            <v>Passeio pavimentado em blocos de concreto esp.=6cm, colorido, resistência 35 MPa, colchão de areia 5cm, inclusive transporte dos blocos e da areia</v>
          </cell>
          <cell r="C752" t="str">
            <v>M2</v>
          </cell>
          <cell r="D752">
            <v>94.84</v>
          </cell>
          <cell r="E752">
            <v>76.91</v>
          </cell>
          <cell r="F752" t="str">
            <v>A incluir</v>
          </cell>
        </row>
        <row r="753">
          <cell r="A753">
            <v>40942</v>
          </cell>
          <cell r="B753" t="str">
            <v>Pavimentação com pedra de mão (pé de moleque) argamassada</v>
          </cell>
          <cell r="C753" t="str">
            <v>M2</v>
          </cell>
          <cell r="D753">
            <v>43.96</v>
          </cell>
          <cell r="E753">
            <v>35.65</v>
          </cell>
          <cell r="F753" t="str">
            <v>A incluir</v>
          </cell>
        </row>
        <row r="754">
          <cell r="A754">
            <v>41245</v>
          </cell>
          <cell r="B754" t="str">
            <v>Pintura com tinta a óleo em esquadria de ferros duas demãos</v>
          </cell>
          <cell r="C754" t="str">
            <v>M2</v>
          </cell>
          <cell r="D754">
            <v>44.93</v>
          </cell>
          <cell r="E754">
            <v>36.44</v>
          </cell>
          <cell r="F754" t="str">
            <v xml:space="preserve"> </v>
          </cell>
        </row>
        <row r="755">
          <cell r="A755">
            <v>41404</v>
          </cell>
          <cell r="B755" t="str">
            <v>Pintura em estrutura metálica com tinta epoxídica  inclusive primer</v>
          </cell>
          <cell r="C755" t="str">
            <v>M2</v>
          </cell>
          <cell r="D755">
            <v>42.48</v>
          </cell>
          <cell r="E755">
            <v>34.450000000000003</v>
          </cell>
          <cell r="F755" t="str">
            <v xml:space="preserve"> </v>
          </cell>
        </row>
        <row r="756">
          <cell r="A756">
            <v>41244</v>
          </cell>
          <cell r="B756" t="str">
            <v>Pintura em látex acrílica em parede externa, sem massa corrida, três demãos</v>
          </cell>
          <cell r="C756" t="str">
            <v>M2</v>
          </cell>
          <cell r="D756">
            <v>22.14</v>
          </cell>
          <cell r="E756">
            <v>17.96</v>
          </cell>
          <cell r="F756" t="str">
            <v xml:space="preserve"> </v>
          </cell>
        </row>
        <row r="757">
          <cell r="A757">
            <v>43328</v>
          </cell>
          <cell r="B757" t="str">
            <v>Pintura logomarca DER-ES em mourões de concreto ( baixo relevo )</v>
          </cell>
          <cell r="C757" t="str">
            <v>Ud</v>
          </cell>
          <cell r="D757">
            <v>12.94</v>
          </cell>
          <cell r="E757">
            <v>10.5</v>
          </cell>
          <cell r="F757" t="str">
            <v xml:space="preserve"> </v>
          </cell>
        </row>
        <row r="758">
          <cell r="A758">
            <v>40909</v>
          </cell>
          <cell r="B758" t="str">
            <v>Porteira, confecção e colocação, inclusive fornecimento e transporte da madeira e chapa de aço</v>
          </cell>
          <cell r="C758" t="str">
            <v>Ud</v>
          </cell>
          <cell r="D758">
            <v>3897.66</v>
          </cell>
          <cell r="E758">
            <v>3160.61</v>
          </cell>
          <cell r="F758" t="str">
            <v>A incluir</v>
          </cell>
        </row>
        <row r="759">
          <cell r="A759">
            <v>41140</v>
          </cell>
          <cell r="B759" t="str">
            <v>Poste galvanizado 101mm simples, fornecimento e instalação</v>
          </cell>
          <cell r="C759" t="str">
            <v>Ud</v>
          </cell>
          <cell r="D759">
            <v>1742.04</v>
          </cell>
          <cell r="E759">
            <v>1412.62</v>
          </cell>
          <cell r="F759" t="str">
            <v xml:space="preserve"> </v>
          </cell>
        </row>
        <row r="760">
          <cell r="A760">
            <v>41139</v>
          </cell>
          <cell r="B760" t="str">
            <v>Poste galvanizado 114 mm - 1boca, fornecimento e instalação</v>
          </cell>
          <cell r="C760" t="str">
            <v>Ud</v>
          </cell>
          <cell r="D760">
            <v>3940.6</v>
          </cell>
          <cell r="E760">
            <v>3195.43</v>
          </cell>
          <cell r="F760" t="str">
            <v xml:space="preserve"> </v>
          </cell>
        </row>
        <row r="761">
          <cell r="A761">
            <v>41138</v>
          </cell>
          <cell r="B761" t="str">
            <v>Poste galvanizado 114mm - 2 bocas, fornecimento e instalação</v>
          </cell>
          <cell r="C761" t="str">
            <v>Ud</v>
          </cell>
          <cell r="D761">
            <v>3060.66</v>
          </cell>
          <cell r="E761">
            <v>2481.89</v>
          </cell>
          <cell r="F761" t="str">
            <v xml:space="preserve"> </v>
          </cell>
        </row>
        <row r="762">
          <cell r="A762">
            <v>41246</v>
          </cell>
          <cell r="B762" t="str">
            <v>Rampa de pedestres, com piso em ladrilho hidráulico podotátil</v>
          </cell>
          <cell r="C762" t="str">
            <v>M</v>
          </cell>
          <cell r="D762">
            <v>70.56</v>
          </cell>
          <cell r="E762">
            <v>57.22</v>
          </cell>
          <cell r="F762" t="str">
            <v>A incluir</v>
          </cell>
        </row>
        <row r="763">
          <cell r="A763">
            <v>40943</v>
          </cell>
          <cell r="B763" t="str">
            <v>Rampa em pedra de mão (pé de moleque) argamassada e travada</v>
          </cell>
          <cell r="C763" t="str">
            <v>M</v>
          </cell>
          <cell r="D763">
            <v>52.99</v>
          </cell>
          <cell r="E763">
            <v>42.97</v>
          </cell>
          <cell r="F763" t="str">
            <v>A incluir</v>
          </cell>
        </row>
        <row r="764">
          <cell r="A764">
            <v>40922</v>
          </cell>
          <cell r="B764" t="str">
            <v>Remoção de camada vegetal</v>
          </cell>
          <cell r="C764" t="str">
            <v>M3</v>
          </cell>
          <cell r="D764">
            <v>6.27</v>
          </cell>
          <cell r="E764">
            <v>5.09</v>
          </cell>
          <cell r="F764" t="str">
            <v xml:space="preserve"> </v>
          </cell>
        </row>
        <row r="765">
          <cell r="A765">
            <v>40914</v>
          </cell>
          <cell r="B765" t="str">
            <v>Retirada de Defensa Metálica</v>
          </cell>
          <cell r="C765" t="str">
            <v>M</v>
          </cell>
          <cell r="D765">
            <v>20.73</v>
          </cell>
          <cell r="E765">
            <v>16.809999999999999</v>
          </cell>
          <cell r="F765" t="str">
            <v>A incluir</v>
          </cell>
        </row>
        <row r="766">
          <cell r="A766">
            <v>40913</v>
          </cell>
          <cell r="B766" t="str">
            <v>Retirada e recolocação de alambrado</v>
          </cell>
          <cell r="C766" t="str">
            <v>M</v>
          </cell>
          <cell r="D766">
            <v>131.08000000000001</v>
          </cell>
          <cell r="E766">
            <v>106.3</v>
          </cell>
          <cell r="F766" t="str">
            <v xml:space="preserve"> </v>
          </cell>
        </row>
        <row r="767">
          <cell r="A767">
            <v>41191</v>
          </cell>
          <cell r="B767" t="str">
            <v>Sistema cercamento tipo Gradil Nylofor 3DPintura Simples (preto, verde ou branco), #50x200m, fio 5,0mm, L=2,50m, H=2,03m, incl. forn./chumb. Postes</v>
          </cell>
          <cell r="C767" t="str">
            <v>M</v>
          </cell>
          <cell r="D767">
            <v>580.75</v>
          </cell>
          <cell r="E767">
            <v>470.93</v>
          </cell>
          <cell r="F767" t="str">
            <v>A incluir</v>
          </cell>
        </row>
        <row r="768">
          <cell r="A768">
            <v>40947</v>
          </cell>
          <cell r="B768" t="str">
            <v>Sumidouro cilíndrico pré-moldado diam. 2,00m com 5 anéis inclusive escavação</v>
          </cell>
          <cell r="C768" t="str">
            <v>Ud</v>
          </cell>
          <cell r="D768">
            <v>3489.12</v>
          </cell>
          <cell r="E768">
            <v>2829.33</v>
          </cell>
          <cell r="F768" t="str">
            <v>A incluir</v>
          </cell>
        </row>
        <row r="769">
          <cell r="A769">
            <v>43329</v>
          </cell>
          <cell r="B769" t="str">
            <v>Suporte de concreto armado ( 15x15x280 ) com logomarca pintada em baixo relevo</v>
          </cell>
          <cell r="C769" t="str">
            <v>Ud</v>
          </cell>
          <cell r="D769">
            <v>272.11</v>
          </cell>
          <cell r="E769">
            <v>220.66</v>
          </cell>
          <cell r="F769" t="str">
            <v>A incluir</v>
          </cell>
        </row>
        <row r="770">
          <cell r="A770">
            <v>42050</v>
          </cell>
          <cell r="B770" t="str">
            <v>Tela de aço galvanizado ,em malha hexagonal de dupla torção, tipo 8,0cm x 10,0cm, com fios de diâmetro 2,7mm, tudo incluído, fornecimento e execução</v>
          </cell>
          <cell r="C770" t="str">
            <v>M2</v>
          </cell>
          <cell r="D770">
            <v>155.49</v>
          </cell>
          <cell r="E770">
            <v>126.09</v>
          </cell>
          <cell r="F770" t="str">
            <v>A incluir</v>
          </cell>
        </row>
        <row r="771">
          <cell r="A771">
            <v>42203</v>
          </cell>
          <cell r="B771" t="str">
            <v>Arborização para paisagismo ( mudas viveiro de espera) com altura maior que 150 cm</v>
          </cell>
          <cell r="C771" t="str">
            <v>Ud</v>
          </cell>
          <cell r="D771">
            <v>179.33</v>
          </cell>
          <cell r="E771">
            <v>145.41999999999999</v>
          </cell>
          <cell r="F771" t="str">
            <v>A incluir</v>
          </cell>
        </row>
        <row r="772">
          <cell r="A772">
            <v>42202</v>
          </cell>
          <cell r="B772" t="str">
            <v>Arborização para paisagismo (mudas viveiro de espera) com altura até 150 cm</v>
          </cell>
          <cell r="C772" t="str">
            <v>Ud</v>
          </cell>
          <cell r="D772">
            <v>114.97</v>
          </cell>
          <cell r="E772">
            <v>93.23</v>
          </cell>
          <cell r="F772" t="str">
            <v>A incluir</v>
          </cell>
        </row>
        <row r="773">
          <cell r="A773">
            <v>42041</v>
          </cell>
          <cell r="B773" t="str">
            <v>Barreira de Siltagem com escoras de eucalipto,  diâm. 0,10m e a altura 1,60m, espaçadas a cada 2,0 m, 1 reaproveitamento</v>
          </cell>
          <cell r="C773" t="str">
            <v>M</v>
          </cell>
          <cell r="D773">
            <v>31.5</v>
          </cell>
          <cell r="E773">
            <v>25.55</v>
          </cell>
          <cell r="F773" t="str">
            <v>A incluir</v>
          </cell>
        </row>
        <row r="774">
          <cell r="A774">
            <v>42199</v>
          </cell>
          <cell r="B774" t="str">
            <v>Conformação manual de taludes</v>
          </cell>
          <cell r="C774" t="str">
            <v>M2</v>
          </cell>
          <cell r="D774">
            <v>1.73</v>
          </cell>
          <cell r="E774">
            <v>1.41</v>
          </cell>
          <cell r="F774" t="str">
            <v xml:space="preserve"> </v>
          </cell>
        </row>
        <row r="775">
          <cell r="A775">
            <v>42210</v>
          </cell>
          <cell r="B775" t="str">
            <v>Grama  em placas em taludes com estacas de madeira, fornecimento e plantio</v>
          </cell>
          <cell r="C775" t="str">
            <v>M2</v>
          </cell>
          <cell r="D775">
            <v>25.98</v>
          </cell>
          <cell r="E775">
            <v>21.07</v>
          </cell>
          <cell r="F775" t="str">
            <v>A incluir</v>
          </cell>
        </row>
        <row r="776">
          <cell r="A776">
            <v>42206</v>
          </cell>
          <cell r="B776" t="str">
            <v>Grama em placas, fornecimento e plantio (sem fixação com estacas)</v>
          </cell>
          <cell r="C776" t="str">
            <v>M2</v>
          </cell>
          <cell r="D776">
            <v>19.02</v>
          </cell>
          <cell r="E776">
            <v>15.43</v>
          </cell>
          <cell r="F776" t="str">
            <v>A incluir</v>
          </cell>
        </row>
        <row r="777">
          <cell r="A777">
            <v>42208</v>
          </cell>
          <cell r="B777" t="str">
            <v>Gramínea em leiva, extração</v>
          </cell>
          <cell r="C777" t="str">
            <v>M2</v>
          </cell>
          <cell r="D777">
            <v>2.0099999999999998</v>
          </cell>
          <cell r="E777">
            <v>1.63</v>
          </cell>
          <cell r="F777" t="str">
            <v xml:space="preserve"> </v>
          </cell>
        </row>
        <row r="778">
          <cell r="A778">
            <v>42209</v>
          </cell>
          <cell r="B778" t="str">
            <v>Gramínea em leiva, extração, plantio e transporte</v>
          </cell>
          <cell r="C778" t="str">
            <v>M2</v>
          </cell>
          <cell r="D778">
            <v>9.5399999999999991</v>
          </cell>
          <cell r="E778">
            <v>7.74</v>
          </cell>
          <cell r="F778" t="str">
            <v>A incluir</v>
          </cell>
        </row>
        <row r="779">
          <cell r="A779">
            <v>42207</v>
          </cell>
          <cell r="B779" t="str">
            <v>Gramíneas em sementes, fornecimento e plantio a lanço</v>
          </cell>
          <cell r="C779" t="str">
            <v>M2</v>
          </cell>
          <cell r="D779">
            <v>3.83</v>
          </cell>
          <cell r="E779">
            <v>3.11</v>
          </cell>
          <cell r="F779" t="str">
            <v xml:space="preserve"> </v>
          </cell>
        </row>
        <row r="780">
          <cell r="A780">
            <v>42200</v>
          </cell>
          <cell r="B780" t="str">
            <v>Hidrossemeadura simples em taludes</v>
          </cell>
          <cell r="C780" t="str">
            <v>M2</v>
          </cell>
          <cell r="D780">
            <v>6.36</v>
          </cell>
          <cell r="E780">
            <v>5.16</v>
          </cell>
          <cell r="F780" t="str">
            <v xml:space="preserve"> </v>
          </cell>
        </row>
        <row r="781">
          <cell r="A781">
            <v>42201</v>
          </cell>
          <cell r="B781" t="str">
            <v>Hidrossemeadura simples em terrenos planos</v>
          </cell>
          <cell r="C781" t="str">
            <v>M2</v>
          </cell>
          <cell r="D781">
            <v>4.5199999999999996</v>
          </cell>
          <cell r="E781">
            <v>3.67</v>
          </cell>
          <cell r="F781" t="str">
            <v xml:space="preserve"> </v>
          </cell>
        </row>
        <row r="782">
          <cell r="A782">
            <v>41247</v>
          </cell>
          <cell r="B782" t="str">
            <v>Recomposição de talude de corte com aterro de solo argiloso compactado, exclusive material de aterro</v>
          </cell>
          <cell r="C782" t="str">
            <v>M3</v>
          </cell>
          <cell r="D782">
            <v>72.010000000000005</v>
          </cell>
          <cell r="E782">
            <v>58.4</v>
          </cell>
          <cell r="F782" t="str">
            <v xml:space="preserve"> </v>
          </cell>
        </row>
        <row r="783">
          <cell r="A783">
            <v>42204</v>
          </cell>
          <cell r="B783" t="str">
            <v>Reflorestamento com espécies nativas da mata atlântica, mudas em sacolas ou tubetes</v>
          </cell>
          <cell r="C783" t="str">
            <v>Ud</v>
          </cell>
          <cell r="D783">
            <v>43.12</v>
          </cell>
          <cell r="E783">
            <v>34.97</v>
          </cell>
          <cell r="F783" t="str">
            <v>A incluir</v>
          </cell>
        </row>
        <row r="784">
          <cell r="A784">
            <v>42044</v>
          </cell>
          <cell r="B784" t="str">
            <v>Reunião de Comunicação Social inclusive material de consumo</v>
          </cell>
          <cell r="C784" t="str">
            <v>Ud</v>
          </cell>
          <cell r="D784">
            <v>4931.2700000000004</v>
          </cell>
          <cell r="E784">
            <v>3998.76</v>
          </cell>
          <cell r="F784" t="str">
            <v xml:space="preserve"> </v>
          </cell>
        </row>
        <row r="785">
          <cell r="A785">
            <v>40102</v>
          </cell>
          <cell r="B785" t="str">
            <v>Revestimento vegetal com grama em placas, inclusive transporte de grama</v>
          </cell>
          <cell r="C785" t="str">
            <v>M2</v>
          </cell>
          <cell r="D785">
            <v>18.52</v>
          </cell>
          <cell r="E785">
            <v>15.02</v>
          </cell>
          <cell r="F785" t="str">
            <v>A incluir</v>
          </cell>
        </row>
        <row r="786">
          <cell r="A786">
            <v>42039</v>
          </cell>
          <cell r="B786" t="str">
            <v>Revestimento vegetal por hidrossemeadura com manta de fibras vegetais</v>
          </cell>
          <cell r="C786" t="str">
            <v>M2</v>
          </cell>
          <cell r="D786">
            <v>22.34</v>
          </cell>
          <cell r="E786">
            <v>18.12</v>
          </cell>
          <cell r="F786" t="str">
            <v>A incluir</v>
          </cell>
        </row>
        <row r="787">
          <cell r="A787">
            <v>41153</v>
          </cell>
          <cell r="B787" t="str">
            <v>Abraçadeira para fixação de semáforo em braço/coluna de diâmetro 101 ou 114 mm</v>
          </cell>
          <cell r="C787" t="str">
            <v>Ud</v>
          </cell>
          <cell r="D787">
            <v>187.06</v>
          </cell>
          <cell r="E787">
            <v>151.69</v>
          </cell>
          <cell r="F787" t="str">
            <v xml:space="preserve"> </v>
          </cell>
        </row>
        <row r="788">
          <cell r="A788">
            <v>41409</v>
          </cell>
          <cell r="B788" t="str">
            <v>Anteparo 3 x 300 mm, fornecimento e instalação</v>
          </cell>
          <cell r="C788" t="str">
            <v>Ud</v>
          </cell>
          <cell r="D788">
            <v>684.3</v>
          </cell>
          <cell r="E788">
            <v>554.9</v>
          </cell>
          <cell r="F788" t="str">
            <v xml:space="preserve"> </v>
          </cell>
        </row>
        <row r="789">
          <cell r="A789">
            <v>40928</v>
          </cell>
          <cell r="B789" t="str">
            <v>Balizador de concreto ( fornecimento e assentamento )</v>
          </cell>
          <cell r="C789" t="str">
            <v>Ud</v>
          </cell>
          <cell r="D789">
            <v>52.68</v>
          </cell>
          <cell r="E789">
            <v>42.72</v>
          </cell>
          <cell r="F789" t="str">
            <v>A incluir</v>
          </cell>
        </row>
        <row r="790">
          <cell r="A790">
            <v>41408</v>
          </cell>
          <cell r="B790" t="str">
            <v>Botoeira com sinal sonoro, fornecimento e instalação</v>
          </cell>
          <cell r="C790" t="str">
            <v>Ud</v>
          </cell>
          <cell r="D790">
            <v>3680.91</v>
          </cell>
          <cell r="E790">
            <v>2984.85</v>
          </cell>
          <cell r="F790" t="str">
            <v xml:space="preserve"> </v>
          </cell>
        </row>
        <row r="791">
          <cell r="A791">
            <v>41147</v>
          </cell>
          <cell r="B791" t="str">
            <v>Cabos para rede de dados (sincronismo) blindado 2 x 20 awg, fornecimento e instalação</v>
          </cell>
          <cell r="C791" t="str">
            <v>M</v>
          </cell>
          <cell r="D791">
            <v>11.76</v>
          </cell>
          <cell r="E791">
            <v>9.5399999999999991</v>
          </cell>
          <cell r="F791" t="str">
            <v xml:space="preserve"> </v>
          </cell>
        </row>
        <row r="792">
          <cell r="A792">
            <v>42046</v>
          </cell>
          <cell r="B792" t="str">
            <v>Cones para sinalização, fornecimento e colocação</v>
          </cell>
          <cell r="C792" t="str">
            <v>Ud</v>
          </cell>
          <cell r="D792">
            <v>150.77000000000001</v>
          </cell>
          <cell r="E792">
            <v>122.26</v>
          </cell>
          <cell r="F792" t="str">
            <v xml:space="preserve"> </v>
          </cell>
        </row>
        <row r="793">
          <cell r="A793">
            <v>41407</v>
          </cell>
          <cell r="B793" t="str">
            <v>Controlador Eletrônico Microprocessado 4 fases, fornecimento e instalação</v>
          </cell>
          <cell r="C793" t="str">
            <v>Ud</v>
          </cell>
          <cell r="D793">
            <v>18861.939999999999</v>
          </cell>
          <cell r="E793">
            <v>15295.12</v>
          </cell>
          <cell r="F793" t="str">
            <v xml:space="preserve"> </v>
          </cell>
        </row>
        <row r="794">
          <cell r="A794">
            <v>41146</v>
          </cell>
          <cell r="B794" t="str">
            <v>Controlador Eletrônico Microprocessado 6/6 fases, fornecimento e instalação</v>
          </cell>
          <cell r="C794" t="str">
            <v>Ud</v>
          </cell>
          <cell r="D794">
            <v>16710.37</v>
          </cell>
          <cell r="E794">
            <v>13550.42</v>
          </cell>
          <cell r="F794" t="str">
            <v xml:space="preserve"> </v>
          </cell>
        </row>
        <row r="795">
          <cell r="A795">
            <v>41017</v>
          </cell>
          <cell r="B795" t="str">
            <v>Defensa de concreto tipo New Jersey, fornecimento e colocação</v>
          </cell>
          <cell r="C795" t="str">
            <v>M</v>
          </cell>
          <cell r="D795">
            <v>618.03</v>
          </cell>
          <cell r="E795">
            <v>501.16</v>
          </cell>
          <cell r="F795" t="str">
            <v xml:space="preserve"> </v>
          </cell>
        </row>
        <row r="796">
          <cell r="A796">
            <v>40929</v>
          </cell>
          <cell r="B796" t="str">
            <v>Defensa metálica (1 lâmina com espessura = 3 mm), fornecimento e colocação</v>
          </cell>
          <cell r="C796" t="str">
            <v>M</v>
          </cell>
          <cell r="D796">
            <v>376.71</v>
          </cell>
          <cell r="E796">
            <v>305.48</v>
          </cell>
          <cell r="F796" t="str">
            <v>A incluir</v>
          </cell>
        </row>
        <row r="797">
          <cell r="A797">
            <v>41203</v>
          </cell>
          <cell r="B797" t="str">
            <v>Defensa metálica (2 lâminas com espessuras = 3mm) inclusive acessórios, fornecimento e colocação</v>
          </cell>
          <cell r="C797" t="str">
            <v>M</v>
          </cell>
          <cell r="D797">
            <v>745.22</v>
          </cell>
          <cell r="E797">
            <v>604.29999999999995</v>
          </cell>
          <cell r="F797" t="str">
            <v>A incluir</v>
          </cell>
        </row>
        <row r="798">
          <cell r="A798">
            <v>42047</v>
          </cell>
          <cell r="B798" t="str">
            <v>Elementos de madeira para sinalização - cavaletes</v>
          </cell>
          <cell r="C798" t="str">
            <v>Ud</v>
          </cell>
          <cell r="D798">
            <v>46.67</v>
          </cell>
          <cell r="E798">
            <v>37.85</v>
          </cell>
          <cell r="F798" t="str">
            <v xml:space="preserve"> </v>
          </cell>
        </row>
        <row r="799">
          <cell r="A799">
            <v>41145</v>
          </cell>
          <cell r="B799" t="str">
            <v>Grupo focal gradativo (semáforo com informação de tempo) com lâmpada LED, fornecimento e instalação</v>
          </cell>
          <cell r="C799" t="str">
            <v>Ud</v>
          </cell>
          <cell r="D799">
            <v>10369.51</v>
          </cell>
          <cell r="E799">
            <v>8408.6200000000008</v>
          </cell>
          <cell r="F799" t="str">
            <v xml:space="preserve"> </v>
          </cell>
        </row>
        <row r="800">
          <cell r="A800">
            <v>41141</v>
          </cell>
          <cell r="B800" t="str">
            <v>Grupo focal repetidor 2x200 mm com lâmpada LED, fornecimento e instalação</v>
          </cell>
          <cell r="C800" t="str">
            <v>Ud</v>
          </cell>
          <cell r="D800">
            <v>2263.9499999999998</v>
          </cell>
          <cell r="E800">
            <v>1835.84</v>
          </cell>
          <cell r="F800" t="str">
            <v xml:space="preserve"> </v>
          </cell>
        </row>
        <row r="801">
          <cell r="A801">
            <v>41142</v>
          </cell>
          <cell r="B801" t="str">
            <v>Grupo focal repetidor 3x200 mm com lâmpada LED, fornecimento e instalação</v>
          </cell>
          <cell r="C801" t="str">
            <v>Ud</v>
          </cell>
          <cell r="D801">
            <v>2750.87</v>
          </cell>
          <cell r="E801">
            <v>2230.6799999999998</v>
          </cell>
          <cell r="F801" t="str">
            <v xml:space="preserve"> </v>
          </cell>
        </row>
        <row r="802">
          <cell r="A802">
            <v>41143</v>
          </cell>
          <cell r="B802" t="str">
            <v>Grupo focal repetidor 3x300 mm com lâmpada LED, fornecimento e instalação</v>
          </cell>
          <cell r="C802" t="str">
            <v>Ud</v>
          </cell>
          <cell r="D802">
            <v>4690.84</v>
          </cell>
          <cell r="E802">
            <v>3803.8</v>
          </cell>
          <cell r="F802" t="str">
            <v xml:space="preserve"> </v>
          </cell>
        </row>
        <row r="803">
          <cell r="A803">
            <v>43162</v>
          </cell>
          <cell r="B803" t="str">
            <v>Ondulação transversal em CBUQ</v>
          </cell>
          <cell r="C803" t="str">
            <v>M</v>
          </cell>
          <cell r="D803">
            <v>441.81</v>
          </cell>
          <cell r="E803">
            <v>358.27</v>
          </cell>
          <cell r="F803" t="str">
            <v>A incluir</v>
          </cell>
        </row>
        <row r="804">
          <cell r="A804">
            <v>40931</v>
          </cell>
          <cell r="B804" t="str">
            <v>Ondulação transversal em concreto</v>
          </cell>
          <cell r="C804" t="str">
            <v>M2</v>
          </cell>
          <cell r="D804">
            <v>249.11</v>
          </cell>
          <cell r="E804">
            <v>202.01</v>
          </cell>
          <cell r="F804" t="str">
            <v>A incluir</v>
          </cell>
        </row>
        <row r="805">
          <cell r="A805">
            <v>41526</v>
          </cell>
          <cell r="B805" t="str">
            <v>Pintura acrílica sobre capa asfáltica</v>
          </cell>
          <cell r="C805" t="str">
            <v>M2</v>
          </cell>
          <cell r="D805">
            <v>10.79</v>
          </cell>
          <cell r="E805">
            <v>8.75</v>
          </cell>
          <cell r="F805" t="str">
            <v>A incluir</v>
          </cell>
        </row>
        <row r="806">
          <cell r="A806">
            <v>42524</v>
          </cell>
          <cell r="B806" t="str">
            <v>Pintura de setas e zebrados em material termoplástico - 5 anos ( por extrusão)</v>
          </cell>
          <cell r="C806" t="str">
            <v>M2</v>
          </cell>
          <cell r="D806">
            <v>108.8</v>
          </cell>
          <cell r="E806">
            <v>88.23</v>
          </cell>
          <cell r="F806" t="str">
            <v xml:space="preserve"> </v>
          </cell>
        </row>
        <row r="807">
          <cell r="A807">
            <v>40938</v>
          </cell>
          <cell r="B807" t="str">
            <v>Sinalização com chapa em alumínio revestida em película</v>
          </cell>
          <cell r="C807" t="str">
            <v>M2</v>
          </cell>
          <cell r="D807">
            <v>804.05</v>
          </cell>
          <cell r="E807">
            <v>652.01</v>
          </cell>
          <cell r="F807" t="str">
            <v xml:space="preserve"> </v>
          </cell>
        </row>
        <row r="808">
          <cell r="A808">
            <v>40924</v>
          </cell>
          <cell r="B808" t="str">
            <v>Sinalização horizontal TMD=200, vida útil 2 a 3 anos, taxa=0,40 L/m²</v>
          </cell>
          <cell r="C808" t="str">
            <v>M2</v>
          </cell>
          <cell r="D808">
            <v>19.34</v>
          </cell>
          <cell r="E808">
            <v>15.69</v>
          </cell>
          <cell r="F808" t="str">
            <v>A incluir</v>
          </cell>
        </row>
        <row r="809">
          <cell r="A809">
            <v>40925</v>
          </cell>
          <cell r="B809" t="str">
            <v>Sinalização horizontal TMD=400, vida útil 2 a 3 anos, taxa=0,60 L/m²</v>
          </cell>
          <cell r="C809" t="str">
            <v>M2</v>
          </cell>
          <cell r="D809">
            <v>23.45</v>
          </cell>
          <cell r="E809">
            <v>19.02</v>
          </cell>
          <cell r="F809" t="str">
            <v>A incluir</v>
          </cell>
        </row>
        <row r="810">
          <cell r="A810">
            <v>40926</v>
          </cell>
          <cell r="B810" t="str">
            <v>Sinalização horizontal TMD=600, vida útil 2 a 3 anos, taxa=0,80 L/m²</v>
          </cell>
          <cell r="C810" t="str">
            <v>M2</v>
          </cell>
          <cell r="D810">
            <v>27.57</v>
          </cell>
          <cell r="E810">
            <v>22.36</v>
          </cell>
          <cell r="F810" t="str">
            <v>A incluir</v>
          </cell>
        </row>
        <row r="811">
          <cell r="A811">
            <v>40927</v>
          </cell>
          <cell r="B811" t="str">
            <v>Sinalização horizontal TMD=600, vida útil 3 anos, taxa=3,0 kg/m² material termoplástico )</v>
          </cell>
          <cell r="C811" t="str">
            <v>M2</v>
          </cell>
          <cell r="D811">
            <v>55.17</v>
          </cell>
          <cell r="E811">
            <v>44.74</v>
          </cell>
          <cell r="F811" t="str">
            <v>A incluir</v>
          </cell>
        </row>
        <row r="812">
          <cell r="A812">
            <v>41202</v>
          </cell>
          <cell r="B812" t="str">
            <v>Sinalização noturna ( fio com lâmpada e balde ), fornecimento e instalação</v>
          </cell>
          <cell r="C812" t="str">
            <v>M</v>
          </cell>
          <cell r="D812">
            <v>32.85</v>
          </cell>
          <cell r="E812">
            <v>26.64</v>
          </cell>
          <cell r="F812" t="str">
            <v xml:space="preserve"> </v>
          </cell>
        </row>
        <row r="813">
          <cell r="A813">
            <v>40937</v>
          </cell>
          <cell r="B813" t="str">
            <v>Sinalização vertical com chapa em esmalte sintético</v>
          </cell>
          <cell r="C813" t="str">
            <v>M2</v>
          </cell>
          <cell r="D813">
            <v>684.26</v>
          </cell>
          <cell r="E813">
            <v>554.87</v>
          </cell>
          <cell r="F813" t="str">
            <v xml:space="preserve"> </v>
          </cell>
        </row>
        <row r="814">
          <cell r="A814">
            <v>40939</v>
          </cell>
          <cell r="B814" t="str">
            <v>Sinalização vertical com chapa em poliéster (e=2,3mm) reforçada com fibra de vidro, inclusive suporte de madeira</v>
          </cell>
          <cell r="C814" t="str">
            <v>M2</v>
          </cell>
          <cell r="D814">
            <v>721.2</v>
          </cell>
          <cell r="E814">
            <v>584.82000000000005</v>
          </cell>
          <cell r="F814" t="str">
            <v xml:space="preserve"> </v>
          </cell>
        </row>
        <row r="815">
          <cell r="A815">
            <v>40936</v>
          </cell>
          <cell r="B815" t="str">
            <v>Sinalização vertical com chapa revestida em película, inclusive suporte em madeira</v>
          </cell>
          <cell r="C815" t="str">
            <v>M2</v>
          </cell>
          <cell r="D815">
            <v>842.76</v>
          </cell>
          <cell r="E815">
            <v>683.4</v>
          </cell>
          <cell r="F815" t="str">
            <v xml:space="preserve"> </v>
          </cell>
        </row>
        <row r="816">
          <cell r="A816">
            <v>40930</v>
          </cell>
          <cell r="B816" t="str">
            <v>Sonorizador</v>
          </cell>
          <cell r="C816" t="str">
            <v>M2</v>
          </cell>
          <cell r="D816">
            <v>243.97</v>
          </cell>
          <cell r="E816">
            <v>197.84</v>
          </cell>
          <cell r="F816" t="str">
            <v>A incluir</v>
          </cell>
        </row>
        <row r="817">
          <cell r="A817">
            <v>41222</v>
          </cell>
          <cell r="B817" t="str">
            <v>Suporte de placa de sinalização vertical em madeira de 1ª qualidade, pintada, fornecimento e instalação</v>
          </cell>
          <cell r="C817" t="str">
            <v>Ud</v>
          </cell>
          <cell r="D817">
            <v>97.32</v>
          </cell>
          <cell r="E817">
            <v>78.92</v>
          </cell>
          <cell r="F817" t="str">
            <v xml:space="preserve"> </v>
          </cell>
        </row>
        <row r="818">
          <cell r="A818">
            <v>40932</v>
          </cell>
          <cell r="B818" t="str">
            <v>Tacha refletiva  monodirecional, fornecimento e aplicação</v>
          </cell>
          <cell r="C818" t="str">
            <v>Ud</v>
          </cell>
          <cell r="D818">
            <v>25.92</v>
          </cell>
          <cell r="E818">
            <v>21.02</v>
          </cell>
          <cell r="F818" t="str">
            <v xml:space="preserve"> </v>
          </cell>
        </row>
        <row r="819">
          <cell r="A819">
            <v>40934</v>
          </cell>
          <cell r="B819" t="str">
            <v>Tacha refletiva birrefletorizada, fornecimento e aplicação</v>
          </cell>
          <cell r="C819" t="str">
            <v>Ud</v>
          </cell>
          <cell r="D819">
            <v>27.9</v>
          </cell>
          <cell r="E819">
            <v>22.63</v>
          </cell>
          <cell r="F819" t="str">
            <v xml:space="preserve"> </v>
          </cell>
        </row>
        <row r="820">
          <cell r="A820">
            <v>40933</v>
          </cell>
          <cell r="B820" t="str">
            <v>Tachão refletivo  monodirecional, fornecimento e aplicação</v>
          </cell>
          <cell r="C820" t="str">
            <v>Ud</v>
          </cell>
          <cell r="D820">
            <v>66.22</v>
          </cell>
          <cell r="E820">
            <v>53.7</v>
          </cell>
          <cell r="F820" t="str">
            <v xml:space="preserve"> </v>
          </cell>
        </row>
        <row r="821">
          <cell r="A821">
            <v>40935</v>
          </cell>
          <cell r="B821" t="str">
            <v>Tachão refletivo birrefletorizado, fornecimento e aplicação</v>
          </cell>
          <cell r="C821" t="str">
            <v>Ud</v>
          </cell>
          <cell r="D821">
            <v>68.010000000000005</v>
          </cell>
          <cell r="E821">
            <v>55.15</v>
          </cell>
          <cell r="F821" t="str">
            <v xml:space="preserve"> </v>
          </cell>
        </row>
        <row r="822">
          <cell r="A822">
            <v>41359</v>
          </cell>
          <cell r="B822" t="str">
            <v>Tela de proteção de segurança de PVC cor laranja com suporte  para sinalização de obras</v>
          </cell>
          <cell r="C822" t="str">
            <v>M</v>
          </cell>
          <cell r="D822">
            <v>24.76</v>
          </cell>
          <cell r="E822">
            <v>20.079999999999998</v>
          </cell>
          <cell r="F822" t="str">
            <v>A incluir</v>
          </cell>
        </row>
        <row r="823">
          <cell r="A823">
            <v>42878</v>
          </cell>
          <cell r="B823" t="str">
            <v>Aluguel de automóvel VW/ Gol (flex) 1,6 ou equivalente, exclusive motorista, inclusive combustível</v>
          </cell>
          <cell r="C823" t="str">
            <v>Mes</v>
          </cell>
          <cell r="D823">
            <v>6537.13</v>
          </cell>
          <cell r="E823">
            <v>5300.95</v>
          </cell>
          <cell r="F823" t="str">
            <v xml:space="preserve"> </v>
          </cell>
        </row>
        <row r="824">
          <cell r="A824">
            <v>42888</v>
          </cell>
          <cell r="B824" t="str">
            <v>Aluguel mensal de automóvel utilitário inclusive combustível, exclusive motorista</v>
          </cell>
          <cell r="C824" t="str">
            <v>Mes</v>
          </cell>
          <cell r="D824">
            <v>10600.99</v>
          </cell>
          <cell r="E824">
            <v>8596.33</v>
          </cell>
          <cell r="F824" t="str">
            <v xml:space="preserve"> </v>
          </cell>
        </row>
        <row r="825">
          <cell r="A825">
            <v>40981</v>
          </cell>
          <cell r="B825" t="str">
            <v>Aplicação de jato de ar comprimido para limpeza de trincas</v>
          </cell>
          <cell r="C825" t="str">
            <v>M2</v>
          </cell>
          <cell r="D825">
            <v>2.15</v>
          </cell>
          <cell r="E825">
            <v>1.75</v>
          </cell>
          <cell r="F825" t="str">
            <v xml:space="preserve"> </v>
          </cell>
        </row>
        <row r="826">
          <cell r="A826">
            <v>40101</v>
          </cell>
          <cell r="B826" t="str">
            <v>Arborização (mudas de árvores com altura até 1,50 m)</v>
          </cell>
          <cell r="C826" t="str">
            <v>Ud</v>
          </cell>
          <cell r="D826">
            <v>201.41</v>
          </cell>
          <cell r="E826">
            <v>163.33000000000001</v>
          </cell>
          <cell r="F826" t="str">
            <v xml:space="preserve"> </v>
          </cell>
        </row>
        <row r="827">
          <cell r="A827">
            <v>40110</v>
          </cell>
          <cell r="B827" t="str">
            <v>Base de solo estabilizada granulométricamente sem  mistura inclusive escavação e carga</v>
          </cell>
          <cell r="C827" t="str">
            <v>M3</v>
          </cell>
          <cell r="D827">
            <v>43.4</v>
          </cell>
          <cell r="E827">
            <v>35.200000000000003</v>
          </cell>
          <cell r="F827" t="str">
            <v xml:space="preserve"> </v>
          </cell>
        </row>
        <row r="828">
          <cell r="A828">
            <v>40137</v>
          </cell>
          <cell r="B828" t="str">
            <v>Boca de bueiro tubular em concreto ciclópico inclusive escavação, tudo incluído</v>
          </cell>
          <cell r="C828" t="str">
            <v>Ud</v>
          </cell>
          <cell r="D828">
            <v>1851.46</v>
          </cell>
          <cell r="E828">
            <v>1501.35</v>
          </cell>
          <cell r="F828" t="str">
            <v>A incluir</v>
          </cell>
        </row>
        <row r="829">
          <cell r="A829">
            <v>40138</v>
          </cell>
          <cell r="B829" t="str">
            <v>Caixa coletora em concreto fck=10,0 MPa inclusive escavação, tudo incluído</v>
          </cell>
          <cell r="C829" t="str">
            <v>Ud</v>
          </cell>
          <cell r="D829">
            <v>3150.7</v>
          </cell>
          <cell r="E829">
            <v>2554.9</v>
          </cell>
          <cell r="F829" t="str">
            <v>A incluir</v>
          </cell>
        </row>
        <row r="830">
          <cell r="A830">
            <v>43336</v>
          </cell>
          <cell r="B830" t="str">
            <v>Capina manual, inclusive limpeza</v>
          </cell>
          <cell r="C830" t="str">
            <v>M2</v>
          </cell>
          <cell r="D830">
            <v>1.67</v>
          </cell>
          <cell r="E830">
            <v>1.36</v>
          </cell>
          <cell r="F830" t="str">
            <v xml:space="preserve"> </v>
          </cell>
        </row>
        <row r="831">
          <cell r="A831">
            <v>40980</v>
          </cell>
          <cell r="B831" t="str">
            <v>Carga manual de material de limpeza de galerias urbanas</v>
          </cell>
          <cell r="C831" t="str">
            <v>M3</v>
          </cell>
          <cell r="D831">
            <v>16.64</v>
          </cell>
          <cell r="E831">
            <v>13.5</v>
          </cell>
          <cell r="F831" t="str">
            <v xml:space="preserve"> </v>
          </cell>
        </row>
        <row r="832">
          <cell r="A832">
            <v>40115</v>
          </cell>
          <cell r="B832" t="str">
            <v>CBUQ - Usinagem, aquisição e transporte dos materiais</v>
          </cell>
          <cell r="C832" t="str">
            <v>t</v>
          </cell>
          <cell r="D832">
            <v>435.97</v>
          </cell>
          <cell r="E832">
            <v>353.53</v>
          </cell>
          <cell r="F832" t="str">
            <v>A incluir</v>
          </cell>
        </row>
        <row r="833">
          <cell r="A833">
            <v>40104</v>
          </cell>
          <cell r="B833" t="str">
            <v>Cerca com mourões de madeira, inclusive escavação e transporte de mourão e arame farpado</v>
          </cell>
          <cell r="C833" t="str">
            <v>M</v>
          </cell>
          <cell r="D833">
            <v>21.14</v>
          </cell>
          <cell r="E833">
            <v>17.149999999999999</v>
          </cell>
          <cell r="F833" t="str">
            <v>A incluir</v>
          </cell>
        </row>
        <row r="834">
          <cell r="A834">
            <v>40143</v>
          </cell>
          <cell r="B834" t="str">
            <v>Colchão drenante de brita 1, inclusive fornecimento, espalhamento, compactação e transporte da brita</v>
          </cell>
          <cell r="C834" t="str">
            <v>M3</v>
          </cell>
          <cell r="D834">
            <v>120.84</v>
          </cell>
          <cell r="E834">
            <v>97.99</v>
          </cell>
          <cell r="F834" t="str">
            <v>A incluir</v>
          </cell>
        </row>
        <row r="835">
          <cell r="A835">
            <v>40107</v>
          </cell>
          <cell r="B835" t="str">
            <v>Compactação de aterros 100% PN</v>
          </cell>
          <cell r="C835" t="str">
            <v>M3</v>
          </cell>
          <cell r="D835">
            <v>7.3</v>
          </cell>
          <cell r="E835">
            <v>5.92</v>
          </cell>
          <cell r="F835" t="str">
            <v xml:space="preserve"> </v>
          </cell>
        </row>
        <row r="836">
          <cell r="A836">
            <v>40108</v>
          </cell>
          <cell r="B836" t="str">
            <v>Compactação de subleito</v>
          </cell>
          <cell r="C836" t="str">
            <v>M2</v>
          </cell>
          <cell r="D836">
            <v>3.51</v>
          </cell>
          <cell r="E836">
            <v>2.85</v>
          </cell>
          <cell r="F836" t="str">
            <v xml:space="preserve"> </v>
          </cell>
        </row>
        <row r="837">
          <cell r="A837">
            <v>40081</v>
          </cell>
          <cell r="B837" t="str">
            <v>Conformação de taludes de corte</v>
          </cell>
          <cell r="C837" t="str">
            <v>M3</v>
          </cell>
          <cell r="D837">
            <v>9.0500000000000007</v>
          </cell>
          <cell r="E837">
            <v>7.34</v>
          </cell>
          <cell r="F837" t="str">
            <v xml:space="preserve"> </v>
          </cell>
        </row>
        <row r="838">
          <cell r="A838">
            <v>40136</v>
          </cell>
          <cell r="B838" t="str">
            <v>Corpo e berço de bueiro tubular, inclusive transporte do tubo</v>
          </cell>
          <cell r="C838" t="str">
            <v>M</v>
          </cell>
          <cell r="D838">
            <v>666.69</v>
          </cell>
          <cell r="E838">
            <v>540.62</v>
          </cell>
          <cell r="F838" t="str">
            <v>A incluir</v>
          </cell>
        </row>
        <row r="839">
          <cell r="A839">
            <v>40096</v>
          </cell>
          <cell r="B839" t="str">
            <v>Defensas metálicas (espessura lâminas = 3 mm), inclusive fornecimento de materiais, substituição</v>
          </cell>
          <cell r="C839" t="str">
            <v>M</v>
          </cell>
          <cell r="D839">
            <v>487.66</v>
          </cell>
          <cell r="E839">
            <v>395.45</v>
          </cell>
          <cell r="F839" t="str">
            <v xml:space="preserve"> </v>
          </cell>
        </row>
        <row r="840">
          <cell r="A840">
            <v>40134</v>
          </cell>
          <cell r="B840" t="str">
            <v>Demolição e remoção de estrutura de pavimento inclusive capa asfáltica</v>
          </cell>
          <cell r="C840" t="str">
            <v>M2</v>
          </cell>
          <cell r="D840">
            <v>6.49</v>
          </cell>
          <cell r="E840">
            <v>5.27</v>
          </cell>
          <cell r="F840" t="str">
            <v xml:space="preserve"> </v>
          </cell>
        </row>
        <row r="841">
          <cell r="A841">
            <v>40105</v>
          </cell>
          <cell r="B841" t="str">
            <v>Desmatamento, destocamento e limpeza</v>
          </cell>
          <cell r="C841" t="str">
            <v>M2</v>
          </cell>
          <cell r="D841">
            <v>0.83</v>
          </cell>
          <cell r="E841">
            <v>0.68</v>
          </cell>
          <cell r="F841" t="str">
            <v xml:space="preserve"> </v>
          </cell>
        </row>
        <row r="842">
          <cell r="A842">
            <v>40084</v>
          </cell>
          <cell r="B842" t="str">
            <v>Desobstrução manual de valetas</v>
          </cell>
          <cell r="C842" t="str">
            <v>M</v>
          </cell>
          <cell r="D842">
            <v>1.99</v>
          </cell>
          <cell r="E842">
            <v>1.62</v>
          </cell>
          <cell r="F842" t="str">
            <v xml:space="preserve"> </v>
          </cell>
        </row>
        <row r="843">
          <cell r="A843">
            <v>40144</v>
          </cell>
          <cell r="B843" t="str">
            <v>Dreno profundo D=0,20 m com enchimento brita e areia, tudo incluído</v>
          </cell>
          <cell r="C843" t="str">
            <v>M</v>
          </cell>
          <cell r="D843">
            <v>155.63999999999999</v>
          </cell>
          <cell r="E843">
            <v>126.21</v>
          </cell>
          <cell r="F843" t="str">
            <v>A incluir</v>
          </cell>
        </row>
        <row r="844">
          <cell r="A844">
            <v>40106</v>
          </cell>
          <cell r="B844" t="str">
            <v>Escavação, carga e transporte de material de 1º categoria</v>
          </cell>
          <cell r="C844" t="str">
            <v>M3</v>
          </cell>
          <cell r="D844">
            <v>13.86</v>
          </cell>
          <cell r="E844">
            <v>11.24</v>
          </cell>
          <cell r="F844" t="str">
            <v>A incluir</v>
          </cell>
        </row>
        <row r="845">
          <cell r="A845">
            <v>40135</v>
          </cell>
          <cell r="B845" t="str">
            <v>Fresagem de pavimento asfáltico à frio, inclusive transporte do material</v>
          </cell>
          <cell r="C845" t="str">
            <v>M2</v>
          </cell>
          <cell r="D845">
            <v>19.62</v>
          </cell>
          <cell r="E845">
            <v>15.91</v>
          </cell>
          <cell r="F845" t="str">
            <v xml:space="preserve"> </v>
          </cell>
        </row>
        <row r="846">
          <cell r="A846">
            <v>40111</v>
          </cell>
          <cell r="B846" t="str">
            <v>Imprimação inclusive fornecimento e transporte do CM-30</v>
          </cell>
          <cell r="C846" t="str">
            <v>M2</v>
          </cell>
          <cell r="D846">
            <v>10.17</v>
          </cell>
          <cell r="E846">
            <v>8.25</v>
          </cell>
          <cell r="F846" t="str">
            <v>A incluir</v>
          </cell>
        </row>
        <row r="847">
          <cell r="A847">
            <v>40126</v>
          </cell>
          <cell r="B847" t="str">
            <v>Lama asfáltica (faixa I - ISSA) (tudo incluído)</v>
          </cell>
          <cell r="C847" t="str">
            <v>M2</v>
          </cell>
          <cell r="D847">
            <v>4.99</v>
          </cell>
          <cell r="E847">
            <v>4.05</v>
          </cell>
          <cell r="F847" t="str">
            <v>A incluir</v>
          </cell>
        </row>
        <row r="848">
          <cell r="A848">
            <v>40127</v>
          </cell>
          <cell r="B848" t="str">
            <v>Lama asfáltica (faixa II - ISSA) (tudo incluído)</v>
          </cell>
          <cell r="C848" t="str">
            <v>M2</v>
          </cell>
          <cell r="D848">
            <v>6.83</v>
          </cell>
          <cell r="E848">
            <v>5.54</v>
          </cell>
          <cell r="F848" t="str">
            <v>A incluir</v>
          </cell>
        </row>
        <row r="849">
          <cell r="A849">
            <v>40128</v>
          </cell>
          <cell r="B849" t="str">
            <v>Lama asfáltica (faixa III - ISSA) (tudo incluído)</v>
          </cell>
          <cell r="C849" t="str">
            <v>M2</v>
          </cell>
          <cell r="D849">
            <v>9.06</v>
          </cell>
          <cell r="E849">
            <v>7.35</v>
          </cell>
          <cell r="F849" t="str">
            <v>A incluir</v>
          </cell>
        </row>
        <row r="850">
          <cell r="A850">
            <v>40129</v>
          </cell>
          <cell r="B850" t="str">
            <v>Lama asfáltica (faixa IV - ISSA) (tudo incluído)</v>
          </cell>
          <cell r="C850" t="str">
            <v>M2</v>
          </cell>
          <cell r="D850">
            <v>11.99</v>
          </cell>
          <cell r="E850">
            <v>9.73</v>
          </cell>
          <cell r="F850" t="str">
            <v>A incluir</v>
          </cell>
        </row>
        <row r="851">
          <cell r="A851">
            <v>40085</v>
          </cell>
          <cell r="B851" t="str">
            <v>Limpeza de sarjeta e meio-fio</v>
          </cell>
          <cell r="C851" t="str">
            <v>M</v>
          </cell>
          <cell r="D851">
            <v>1.49</v>
          </cell>
          <cell r="E851">
            <v>1.21</v>
          </cell>
          <cell r="F851" t="str">
            <v xml:space="preserve"> </v>
          </cell>
        </row>
        <row r="852">
          <cell r="A852">
            <v>40086</v>
          </cell>
          <cell r="B852" t="str">
            <v>Limpeza e desobstrução de bueiros</v>
          </cell>
          <cell r="C852" t="str">
            <v>M</v>
          </cell>
          <cell r="D852">
            <v>35.18</v>
          </cell>
          <cell r="E852">
            <v>28.53</v>
          </cell>
          <cell r="F852" t="str">
            <v xml:space="preserve"> </v>
          </cell>
        </row>
        <row r="853">
          <cell r="A853">
            <v>40087</v>
          </cell>
          <cell r="B853" t="str">
            <v>Limpeza e desobstrução de caixa coletora</v>
          </cell>
          <cell r="C853" t="str">
            <v>Ud</v>
          </cell>
          <cell r="D853">
            <v>134.44</v>
          </cell>
          <cell r="E853">
            <v>109.02</v>
          </cell>
          <cell r="F853" t="str">
            <v xml:space="preserve"> </v>
          </cell>
        </row>
        <row r="854">
          <cell r="A854">
            <v>40983</v>
          </cell>
          <cell r="B854" t="str">
            <v>Limpeza e desobstrução de rede de drenagem, utilizando caminhão equipado com conjunto de  alta pressão e sucção</v>
          </cell>
          <cell r="C854" t="str">
            <v>M</v>
          </cell>
          <cell r="D854">
            <v>10.97</v>
          </cell>
          <cell r="E854">
            <v>8.9</v>
          </cell>
          <cell r="F854" t="str">
            <v xml:space="preserve"> </v>
          </cell>
        </row>
        <row r="855">
          <cell r="A855">
            <v>40100</v>
          </cell>
          <cell r="B855" t="str">
            <v>Limpeza e pintura de guarda-corpo</v>
          </cell>
          <cell r="C855" t="str">
            <v>M</v>
          </cell>
          <cell r="D855">
            <v>111.85</v>
          </cell>
          <cell r="E855">
            <v>90.7</v>
          </cell>
          <cell r="F855" t="str">
            <v xml:space="preserve"> </v>
          </cell>
        </row>
        <row r="856">
          <cell r="A856">
            <v>40141</v>
          </cell>
          <cell r="B856" t="str">
            <v>Meio-fio pré-moldado em concreto, inclusive caiação e transporte do meio-fio</v>
          </cell>
          <cell r="C856" t="str">
            <v>M</v>
          </cell>
          <cell r="D856">
            <v>66.03</v>
          </cell>
          <cell r="E856">
            <v>53.55</v>
          </cell>
          <cell r="F856" t="str">
            <v>A incluir</v>
          </cell>
        </row>
        <row r="857">
          <cell r="A857">
            <v>40118</v>
          </cell>
          <cell r="B857" t="str">
            <v>Obturação de buracos com CBUQ (tudo incluído)</v>
          </cell>
          <cell r="C857" t="str">
            <v>M2</v>
          </cell>
          <cell r="D857">
            <v>90.97</v>
          </cell>
          <cell r="E857">
            <v>73.77</v>
          </cell>
          <cell r="F857" t="str">
            <v>A incluir</v>
          </cell>
        </row>
        <row r="858">
          <cell r="A858">
            <v>40116</v>
          </cell>
          <cell r="B858" t="str">
            <v>Obturação de buracos com PMF (tudo incluído)</v>
          </cell>
          <cell r="C858" t="str">
            <v>M2</v>
          </cell>
          <cell r="D858">
            <v>84.48</v>
          </cell>
          <cell r="E858">
            <v>68.510000000000005</v>
          </cell>
          <cell r="F858" t="str">
            <v>A incluir</v>
          </cell>
        </row>
        <row r="859">
          <cell r="A859">
            <v>40117</v>
          </cell>
          <cell r="B859" t="str">
            <v>Obturação de buracos com PMF usinado pelo DER-ES (tudo incluído)</v>
          </cell>
          <cell r="C859" t="str">
            <v>M2</v>
          </cell>
          <cell r="D859">
            <v>49.35</v>
          </cell>
          <cell r="E859">
            <v>40.020000000000003</v>
          </cell>
          <cell r="F859" t="str">
            <v>A incluir</v>
          </cell>
        </row>
        <row r="860">
          <cell r="A860">
            <v>40148</v>
          </cell>
          <cell r="B860" t="str">
            <v>Pintura de dispositivos de drenagem</v>
          </cell>
          <cell r="C860" t="str">
            <v>M</v>
          </cell>
          <cell r="D860">
            <v>3.53</v>
          </cell>
          <cell r="E860">
            <v>2.87</v>
          </cell>
          <cell r="F860" t="str">
            <v xml:space="preserve"> </v>
          </cell>
        </row>
        <row r="861">
          <cell r="A861">
            <v>40112</v>
          </cell>
          <cell r="B861" t="str">
            <v>Pintura de ligação, inclusive fornecimento e transporte da emulsão</v>
          </cell>
          <cell r="C861" t="str">
            <v>M2</v>
          </cell>
          <cell r="D861">
            <v>3.08</v>
          </cell>
          <cell r="E861">
            <v>2.5</v>
          </cell>
          <cell r="F861" t="str">
            <v>A incluir</v>
          </cell>
        </row>
        <row r="862">
          <cell r="A862">
            <v>40149</v>
          </cell>
          <cell r="B862" t="str">
            <v>Pintura de pontes a base de cal</v>
          </cell>
          <cell r="C862" t="str">
            <v>M2</v>
          </cell>
          <cell r="D862">
            <v>7.28</v>
          </cell>
          <cell r="E862">
            <v>5.91</v>
          </cell>
          <cell r="F862" t="str">
            <v xml:space="preserve"> </v>
          </cell>
        </row>
        <row r="863">
          <cell r="A863">
            <v>40094</v>
          </cell>
          <cell r="B863" t="str">
            <v>Placas de sinalização, assentamento</v>
          </cell>
          <cell r="C863" t="str">
            <v>M2</v>
          </cell>
          <cell r="D863">
            <v>109.96</v>
          </cell>
          <cell r="E863">
            <v>89.17</v>
          </cell>
          <cell r="F863" t="str">
            <v xml:space="preserve"> </v>
          </cell>
        </row>
        <row r="864">
          <cell r="A864">
            <v>40095</v>
          </cell>
          <cell r="B864" t="str">
            <v>Placas de sinalização, inclusive materiais, substituição</v>
          </cell>
          <cell r="C864" t="str">
            <v>M2</v>
          </cell>
          <cell r="D864">
            <v>764.84</v>
          </cell>
          <cell r="E864">
            <v>620.21</v>
          </cell>
          <cell r="F864" t="str">
            <v>A incluir</v>
          </cell>
        </row>
        <row r="865">
          <cell r="A865">
            <v>40114</v>
          </cell>
          <cell r="B865" t="str">
            <v>PMF - Usinagem, aquisição e transportes dos materiais</v>
          </cell>
          <cell r="C865" t="str">
            <v>t</v>
          </cell>
          <cell r="D865">
            <v>399.27</v>
          </cell>
          <cell r="E865">
            <v>323.77</v>
          </cell>
          <cell r="F865" t="str">
            <v>A incluir</v>
          </cell>
        </row>
        <row r="866">
          <cell r="A866">
            <v>41134</v>
          </cell>
          <cell r="B866" t="str">
            <v>Reciclagem de pavimento (base) c/ adição de 20% de brita1, 10% de brita0 e 2% de cimento, inclusive fornecimento e transportes  dos materiais</v>
          </cell>
          <cell r="C866" t="str">
            <v>M3</v>
          </cell>
          <cell r="D866">
            <v>129.09</v>
          </cell>
          <cell r="E866">
            <v>104.68</v>
          </cell>
          <cell r="F866" t="str">
            <v>A incluir</v>
          </cell>
        </row>
        <row r="867">
          <cell r="A867">
            <v>40130</v>
          </cell>
          <cell r="B867" t="str">
            <v>Recomposição de revestimento c/ CBUQ - Inclusive fornecimento e transporte dos materiais</v>
          </cell>
          <cell r="C867" t="str">
            <v>t</v>
          </cell>
          <cell r="D867">
            <v>463.7</v>
          </cell>
          <cell r="E867">
            <v>376.02</v>
          </cell>
          <cell r="F867" t="str">
            <v>A incluir</v>
          </cell>
        </row>
        <row r="868">
          <cell r="A868">
            <v>40131</v>
          </cell>
          <cell r="B868" t="str">
            <v>Recomposição de revestimento c/ PMF - Inclusive fornecimento e transporte dos materiais</v>
          </cell>
          <cell r="C868" t="str">
            <v>t</v>
          </cell>
          <cell r="D868">
            <v>424.23</v>
          </cell>
          <cell r="E868">
            <v>344.01</v>
          </cell>
          <cell r="F868" t="str">
            <v>A incluir</v>
          </cell>
        </row>
        <row r="869">
          <cell r="A869">
            <v>40083</v>
          </cell>
          <cell r="B869" t="str">
            <v>Recomposição de revestimento primário (tudo incluído)</v>
          </cell>
          <cell r="C869" t="str">
            <v>M2</v>
          </cell>
          <cell r="D869">
            <v>3.39</v>
          </cell>
          <cell r="E869">
            <v>2.75</v>
          </cell>
          <cell r="F869" t="str">
            <v>A incluir</v>
          </cell>
        </row>
        <row r="870">
          <cell r="A870">
            <v>40079</v>
          </cell>
          <cell r="B870" t="str">
            <v>Recomposição mecânica de aterros</v>
          </cell>
          <cell r="C870" t="str">
            <v>M3</v>
          </cell>
          <cell r="D870">
            <v>27.52</v>
          </cell>
          <cell r="E870">
            <v>22.32</v>
          </cell>
          <cell r="F870" t="str">
            <v>A incluir</v>
          </cell>
        </row>
        <row r="871">
          <cell r="A871">
            <v>40082</v>
          </cell>
          <cell r="B871" t="str">
            <v>Reconformação mecânica de plataforma (patrolamento)</v>
          </cell>
          <cell r="C871" t="str">
            <v>M2</v>
          </cell>
          <cell r="D871">
            <v>0.14000000000000001</v>
          </cell>
          <cell r="E871">
            <v>0.12</v>
          </cell>
          <cell r="F871" t="str">
            <v xml:space="preserve"> </v>
          </cell>
        </row>
        <row r="872">
          <cell r="A872">
            <v>40119</v>
          </cell>
          <cell r="B872" t="str">
            <v>Remendo com massa asfáltica fria (tudo incluído)</v>
          </cell>
          <cell r="C872" t="str">
            <v>M2</v>
          </cell>
          <cell r="D872">
            <v>49.93</v>
          </cell>
          <cell r="E872">
            <v>40.49</v>
          </cell>
          <cell r="F872" t="str">
            <v>A incluir</v>
          </cell>
        </row>
        <row r="873">
          <cell r="A873">
            <v>40122</v>
          </cell>
          <cell r="B873" t="str">
            <v>Remendo com massa asfáltica fria (tudo incluído)</v>
          </cell>
          <cell r="C873" t="str">
            <v>t</v>
          </cell>
          <cell r="D873">
            <v>567.64</v>
          </cell>
          <cell r="E873">
            <v>460.3</v>
          </cell>
          <cell r="F873" t="str">
            <v>A incluir</v>
          </cell>
        </row>
        <row r="874">
          <cell r="A874">
            <v>40120</v>
          </cell>
          <cell r="B874" t="str">
            <v>Remendo com massa asfáltica fria usinada pelo DER-ES (tudo incluído)</v>
          </cell>
          <cell r="C874" t="str">
            <v>M2</v>
          </cell>
          <cell r="D874">
            <v>14.79</v>
          </cell>
          <cell r="E874">
            <v>12</v>
          </cell>
          <cell r="F874" t="str">
            <v>A incluir</v>
          </cell>
        </row>
        <row r="875">
          <cell r="A875">
            <v>40121</v>
          </cell>
          <cell r="B875" t="str">
            <v>Remendo com massa asfáltica quente (tudo incluído)</v>
          </cell>
          <cell r="C875" t="str">
            <v>M2</v>
          </cell>
          <cell r="D875">
            <v>56.41</v>
          </cell>
          <cell r="E875">
            <v>45.75</v>
          </cell>
          <cell r="F875" t="str">
            <v>A incluir</v>
          </cell>
        </row>
        <row r="876">
          <cell r="A876">
            <v>40123</v>
          </cell>
          <cell r="B876" t="str">
            <v>Remendo com massa asfáltica quente (tudo incluído)</v>
          </cell>
          <cell r="C876" t="str">
            <v>t</v>
          </cell>
          <cell r="D876">
            <v>599.48</v>
          </cell>
          <cell r="E876">
            <v>486.12</v>
          </cell>
          <cell r="F876" t="str">
            <v>A incluir</v>
          </cell>
        </row>
        <row r="877">
          <cell r="A877">
            <v>40080</v>
          </cell>
          <cell r="B877" t="str">
            <v>Remoção mecânica de barreiras</v>
          </cell>
          <cell r="C877" t="str">
            <v>M3</v>
          </cell>
          <cell r="D877">
            <v>2.2000000000000002</v>
          </cell>
          <cell r="E877">
            <v>1.79</v>
          </cell>
          <cell r="F877" t="str">
            <v>A incluir</v>
          </cell>
        </row>
        <row r="878">
          <cell r="A878">
            <v>40089</v>
          </cell>
          <cell r="B878" t="str">
            <v>Reparo de bueiros celulares (inclusive boca)</v>
          </cell>
          <cell r="C878" t="str">
            <v>Ud</v>
          </cell>
          <cell r="D878">
            <v>2096.19</v>
          </cell>
          <cell r="E878">
            <v>1699.8</v>
          </cell>
          <cell r="F878" t="str">
            <v>A incluir</v>
          </cell>
        </row>
        <row r="879">
          <cell r="A879">
            <v>40088</v>
          </cell>
          <cell r="B879" t="str">
            <v>Reparo de bueiros tubulares</v>
          </cell>
          <cell r="C879" t="str">
            <v>Ud</v>
          </cell>
          <cell r="D879">
            <v>922.6</v>
          </cell>
          <cell r="E879">
            <v>748.14</v>
          </cell>
          <cell r="F879" t="str">
            <v>A incluir</v>
          </cell>
        </row>
        <row r="880">
          <cell r="A880">
            <v>40092</v>
          </cell>
          <cell r="B880" t="str">
            <v>Reparo de caixa  coletora</v>
          </cell>
          <cell r="C880" t="str">
            <v>Ud</v>
          </cell>
          <cell r="D880">
            <v>351.69</v>
          </cell>
          <cell r="E880">
            <v>285.19</v>
          </cell>
          <cell r="F880" t="str">
            <v>A incluir</v>
          </cell>
        </row>
        <row r="881">
          <cell r="A881">
            <v>40078</v>
          </cell>
          <cell r="B881" t="str">
            <v>Reparo de cerca ( substituição de mourões, grampo e arame farpado), inclusive transportes de  todos os materiais</v>
          </cell>
          <cell r="C881" t="str">
            <v>M</v>
          </cell>
          <cell r="D881">
            <v>9.66</v>
          </cell>
          <cell r="E881">
            <v>7.84</v>
          </cell>
          <cell r="F881" t="str">
            <v>A incluir</v>
          </cell>
        </row>
        <row r="882">
          <cell r="A882">
            <v>40097</v>
          </cell>
          <cell r="B882" t="str">
            <v>Reparo de guarda-corpo</v>
          </cell>
          <cell r="C882" t="str">
            <v>M</v>
          </cell>
          <cell r="D882">
            <v>155.53</v>
          </cell>
          <cell r="E882">
            <v>126.12</v>
          </cell>
          <cell r="F882" t="str">
            <v xml:space="preserve"> </v>
          </cell>
        </row>
        <row r="883">
          <cell r="A883">
            <v>40090</v>
          </cell>
          <cell r="B883" t="str">
            <v>Reparo de meio-fio, inclusive caiação</v>
          </cell>
          <cell r="C883" t="str">
            <v>M</v>
          </cell>
          <cell r="D883">
            <v>38.26</v>
          </cell>
          <cell r="E883">
            <v>31.03</v>
          </cell>
          <cell r="F883" t="str">
            <v>A incluir</v>
          </cell>
        </row>
        <row r="884">
          <cell r="A884">
            <v>40099</v>
          </cell>
          <cell r="B884" t="str">
            <v>Reparo de muros de arrimo</v>
          </cell>
          <cell r="C884" t="str">
            <v>M3</v>
          </cell>
          <cell r="D884">
            <v>838.14</v>
          </cell>
          <cell r="E884">
            <v>679.65</v>
          </cell>
          <cell r="F884" t="str">
            <v>A incluir</v>
          </cell>
        </row>
        <row r="885">
          <cell r="A885">
            <v>40091</v>
          </cell>
          <cell r="B885" t="str">
            <v>Reparo de sarjeta, inclusive caiação</v>
          </cell>
          <cell r="C885" t="str">
            <v>M</v>
          </cell>
          <cell r="D885">
            <v>50.85</v>
          </cell>
          <cell r="E885">
            <v>41.24</v>
          </cell>
          <cell r="F885" t="str">
            <v>A incluir</v>
          </cell>
        </row>
        <row r="886">
          <cell r="A886">
            <v>40093</v>
          </cell>
          <cell r="B886" t="str">
            <v>Retirada de placas de sinalização</v>
          </cell>
          <cell r="C886" t="str">
            <v>M2</v>
          </cell>
          <cell r="D886">
            <v>101.27</v>
          </cell>
          <cell r="E886">
            <v>82.12</v>
          </cell>
          <cell r="F886" t="str">
            <v xml:space="preserve"> </v>
          </cell>
        </row>
        <row r="887">
          <cell r="A887">
            <v>43353</v>
          </cell>
          <cell r="B887" t="str">
            <v>Roçada manual com roçadeira costal, ferramentas manuais, inclusive limpeza e remoção com retroescavadeira (conservação)</v>
          </cell>
          <cell r="C887" t="str">
            <v>M2</v>
          </cell>
          <cell r="D887">
            <v>0.83</v>
          </cell>
          <cell r="E887">
            <v>0.68</v>
          </cell>
          <cell r="F887" t="str">
            <v xml:space="preserve"> </v>
          </cell>
        </row>
        <row r="888">
          <cell r="A888">
            <v>43337</v>
          </cell>
          <cell r="B888" t="str">
            <v>Roçada manual com roçadeira costal, ferramentas manuais, inclusive limpeza manual ( conservação)</v>
          </cell>
          <cell r="C888" t="str">
            <v>M2</v>
          </cell>
          <cell r="D888">
            <v>0.71</v>
          </cell>
          <cell r="E888">
            <v>0.57999999999999996</v>
          </cell>
          <cell r="F888" t="str">
            <v xml:space="preserve"> </v>
          </cell>
        </row>
        <row r="889">
          <cell r="A889">
            <v>40077</v>
          </cell>
          <cell r="B889" t="str">
            <v>Roçada mecanizada</v>
          </cell>
          <cell r="C889" t="str">
            <v>M2</v>
          </cell>
          <cell r="D889">
            <v>0.24</v>
          </cell>
          <cell r="E889">
            <v>0.2</v>
          </cell>
          <cell r="F889" t="str">
            <v xml:space="preserve"> </v>
          </cell>
        </row>
        <row r="890">
          <cell r="A890">
            <v>40142</v>
          </cell>
          <cell r="B890" t="str">
            <v>Sarjeta em concreto fck=10,0 MPa inclusive caiação, tudo incluído</v>
          </cell>
          <cell r="C890" t="str">
            <v>M</v>
          </cell>
          <cell r="D890">
            <v>110.93</v>
          </cell>
          <cell r="E890">
            <v>89.96</v>
          </cell>
          <cell r="F890" t="str">
            <v>A incluir</v>
          </cell>
        </row>
        <row r="891">
          <cell r="A891">
            <v>40124</v>
          </cell>
          <cell r="B891" t="str">
            <v>Selagem de trincas, inclusive transporte de areia e emulsão</v>
          </cell>
          <cell r="C891" t="str">
            <v>M2</v>
          </cell>
          <cell r="D891">
            <v>13.09</v>
          </cell>
          <cell r="E891">
            <v>10.62</v>
          </cell>
          <cell r="F891" t="str">
            <v>A incluir</v>
          </cell>
        </row>
        <row r="892">
          <cell r="A892">
            <v>40146</v>
          </cell>
          <cell r="B892" t="str">
            <v>Sinalização horizontal - taxa 0,6 l/m², tudo incluído</v>
          </cell>
          <cell r="C892" t="str">
            <v>M2</v>
          </cell>
          <cell r="D892">
            <v>22.48</v>
          </cell>
          <cell r="E892">
            <v>18.23</v>
          </cell>
          <cell r="F892" t="str">
            <v>A incluir</v>
          </cell>
        </row>
        <row r="893">
          <cell r="A893">
            <v>40145</v>
          </cell>
          <cell r="B893" t="str">
            <v>Sinalização vertical, inclusive transporte de placa sinalização e madeira</v>
          </cell>
          <cell r="C893" t="str">
            <v>M2</v>
          </cell>
          <cell r="D893">
            <v>650.04999999999995</v>
          </cell>
          <cell r="E893">
            <v>527.13</v>
          </cell>
          <cell r="F893" t="str">
            <v>A incluir</v>
          </cell>
        </row>
        <row r="894">
          <cell r="A894">
            <v>40109</v>
          </cell>
          <cell r="B894" t="str">
            <v>Sub-base de solo estabilizada granulométricamente sem mistura inclusive escavação e carga</v>
          </cell>
          <cell r="C894" t="str">
            <v>M3</v>
          </cell>
          <cell r="D894">
            <v>38.130000000000003</v>
          </cell>
          <cell r="E894">
            <v>30.92</v>
          </cell>
          <cell r="F894" t="str">
            <v xml:space="preserve"> </v>
          </cell>
        </row>
        <row r="895">
          <cell r="A895">
            <v>40125</v>
          </cell>
          <cell r="B895" t="str">
            <v>Tapa-panela, inclusive transporte de material de 1ª categoria</v>
          </cell>
          <cell r="C895" t="str">
            <v>M2</v>
          </cell>
          <cell r="D895">
            <v>15.36</v>
          </cell>
          <cell r="E895">
            <v>12.46</v>
          </cell>
          <cell r="F895" t="str">
            <v>A incluir</v>
          </cell>
        </row>
        <row r="896">
          <cell r="A896">
            <v>40113</v>
          </cell>
          <cell r="B896" t="str">
            <v>TSD - Tratamento superficial duplo incl. transporte dos materiais</v>
          </cell>
          <cell r="C896" t="str">
            <v>M2</v>
          </cell>
          <cell r="D896">
            <v>21.59</v>
          </cell>
          <cell r="E896">
            <v>17.510000000000002</v>
          </cell>
          <cell r="F896" t="str">
            <v>A incluir</v>
          </cell>
        </row>
        <row r="897">
          <cell r="A897">
            <v>40140</v>
          </cell>
          <cell r="B897" t="str">
            <v>Valeta em concreto fck=10,0 MPa, tudo incluído</v>
          </cell>
          <cell r="C897" t="str">
            <v>M</v>
          </cell>
          <cell r="D897">
            <v>106.43</v>
          </cell>
          <cell r="E897">
            <v>86.31</v>
          </cell>
          <cell r="F897" t="str">
            <v>A incluir</v>
          </cell>
        </row>
        <row r="898">
          <cell r="A898">
            <v>40139</v>
          </cell>
          <cell r="B898" t="str">
            <v>Valeta não revestida</v>
          </cell>
          <cell r="C898" t="str">
            <v>M</v>
          </cell>
          <cell r="D898">
            <v>11.96</v>
          </cell>
          <cell r="E898">
            <v>9.6999999999999993</v>
          </cell>
          <cell r="F898" t="str">
            <v xml:space="preserve"> </v>
          </cell>
        </row>
        <row r="899">
          <cell r="A899">
            <v>42186</v>
          </cell>
          <cell r="B899" t="str">
            <v>Aluguel mensal de barco de alumínio 4,20 m com motor 15 HP (equipamentos)</v>
          </cell>
          <cell r="C899" t="str">
            <v>Mes</v>
          </cell>
          <cell r="D899">
            <v>9411.7800000000007</v>
          </cell>
          <cell r="E899">
            <v>7632</v>
          </cell>
          <cell r="F899" t="str">
            <v xml:space="preserve"> </v>
          </cell>
        </row>
        <row r="900">
          <cell r="A900">
            <v>41352</v>
          </cell>
          <cell r="B900" t="str">
            <v>Arrasamento estaca concreto D = 0,80 m com martelete pneumático</v>
          </cell>
          <cell r="C900" t="str">
            <v>Ud</v>
          </cell>
          <cell r="D900">
            <v>178.11</v>
          </cell>
          <cell r="E900">
            <v>144.43</v>
          </cell>
          <cell r="F900" t="str">
            <v xml:space="preserve"> </v>
          </cell>
        </row>
        <row r="901">
          <cell r="A901">
            <v>41340</v>
          </cell>
          <cell r="B901" t="str">
            <v>Encamisamento metálico de estacas, diâmetro 380mm em chapa de 6.3mm, preenchido c/ concreto auto adensável (20MPa)</v>
          </cell>
          <cell r="C901" t="str">
            <v>M</v>
          </cell>
          <cell r="D901">
            <v>1202.8699999999999</v>
          </cell>
          <cell r="E901">
            <v>975.41</v>
          </cell>
          <cell r="F901" t="str">
            <v xml:space="preserve"> </v>
          </cell>
        </row>
        <row r="902">
          <cell r="A902">
            <v>40331</v>
          </cell>
          <cell r="B902" t="str">
            <v>Escoramento para blocos submersos, inclusive transporte da madeira</v>
          </cell>
          <cell r="C902" t="str">
            <v>M2</v>
          </cell>
          <cell r="D902">
            <v>118.22</v>
          </cell>
          <cell r="E902">
            <v>95.87</v>
          </cell>
          <cell r="F902" t="str">
            <v>A incluir</v>
          </cell>
        </row>
        <row r="903">
          <cell r="A903">
            <v>40403</v>
          </cell>
          <cell r="B903" t="str">
            <v>Estaca de eucalipto D= 0,20 m, fornecimento, transporte, cravação e perda</v>
          </cell>
          <cell r="C903" t="str">
            <v>M</v>
          </cell>
          <cell r="D903">
            <v>258.58</v>
          </cell>
          <cell r="E903">
            <v>209.69</v>
          </cell>
          <cell r="F903" t="str">
            <v>A incluir</v>
          </cell>
        </row>
        <row r="904">
          <cell r="A904">
            <v>40405</v>
          </cell>
          <cell r="B904" t="str">
            <v>Estaca metálica dupla exclusive fornecimento de trilhos</v>
          </cell>
          <cell r="C904" t="str">
            <v>M</v>
          </cell>
          <cell r="D904">
            <v>337.4</v>
          </cell>
          <cell r="E904">
            <v>273.60000000000002</v>
          </cell>
          <cell r="F904" t="str">
            <v xml:space="preserve"> </v>
          </cell>
        </row>
        <row r="905">
          <cell r="A905">
            <v>40408</v>
          </cell>
          <cell r="B905" t="str">
            <v>Estaca metálica, fornecimento, transporte, perdas, solda, emenda, corte e cravação de TR- 68</v>
          </cell>
          <cell r="C905" t="str">
            <v>M</v>
          </cell>
          <cell r="D905">
            <v>587.65</v>
          </cell>
          <cell r="E905">
            <v>476.53</v>
          </cell>
          <cell r="F905" t="str">
            <v>A incluir</v>
          </cell>
        </row>
        <row r="906">
          <cell r="A906">
            <v>40406</v>
          </cell>
          <cell r="B906" t="str">
            <v>Estaca metálica, fornecimento, transporte, perdas, solda, emenda, corte e cravação de trilho TR- 57</v>
          </cell>
          <cell r="C906" t="str">
            <v>M</v>
          </cell>
          <cell r="D906">
            <v>541.91999999999996</v>
          </cell>
          <cell r="E906">
            <v>439.45</v>
          </cell>
          <cell r="F906" t="str">
            <v>A incluir</v>
          </cell>
        </row>
        <row r="907">
          <cell r="A907">
            <v>40407</v>
          </cell>
          <cell r="B907" t="str">
            <v>Estaca metálica, fornecimento, transporte, perdas, solda, emenda, corte e cravação de 2 TR-57</v>
          </cell>
          <cell r="C907" t="str">
            <v>M</v>
          </cell>
          <cell r="D907">
            <v>896.75</v>
          </cell>
          <cell r="E907">
            <v>727.18</v>
          </cell>
          <cell r="F907" t="str">
            <v>A incluir</v>
          </cell>
        </row>
        <row r="908">
          <cell r="A908">
            <v>40409</v>
          </cell>
          <cell r="B908" t="str">
            <v>Estaca metálica, fornecimento, transporte, perdas, solda, emenda, corte e cravação de 2 TR-68</v>
          </cell>
          <cell r="C908" t="str">
            <v>M</v>
          </cell>
          <cell r="D908">
            <v>988.2</v>
          </cell>
          <cell r="E908">
            <v>801.33</v>
          </cell>
          <cell r="F908" t="str">
            <v>A incluir</v>
          </cell>
        </row>
        <row r="909">
          <cell r="A909">
            <v>40404</v>
          </cell>
          <cell r="B909" t="str">
            <v>Estaca metálica simples exclusive fornecimento de trilhos</v>
          </cell>
          <cell r="C909" t="str">
            <v>M</v>
          </cell>
          <cell r="D909">
            <v>233.8</v>
          </cell>
          <cell r="E909">
            <v>189.59</v>
          </cell>
          <cell r="F909" t="str">
            <v xml:space="preserve"> </v>
          </cell>
        </row>
        <row r="910">
          <cell r="A910">
            <v>42051</v>
          </cell>
          <cell r="B910" t="str">
            <v>Estaca raiz perfurada em rocha, diâm. 310mm com injeção de arg. incl. fornecimento de todos materiais</v>
          </cell>
          <cell r="C910" t="str">
            <v>M</v>
          </cell>
          <cell r="D910">
            <v>1446.48</v>
          </cell>
          <cell r="E910">
            <v>1172.95</v>
          </cell>
          <cell r="F910" t="str">
            <v>A incluir</v>
          </cell>
        </row>
        <row r="911">
          <cell r="A911">
            <v>42052</v>
          </cell>
          <cell r="B911" t="str">
            <v>Estaca raiz perfurada em solo, diâm. 410mm com injeção de arg. incl. fornecimento de todos materiais</v>
          </cell>
          <cell r="C911" t="str">
            <v>M</v>
          </cell>
          <cell r="D911">
            <v>855.86</v>
          </cell>
          <cell r="E911">
            <v>694.02</v>
          </cell>
          <cell r="F911" t="str">
            <v>A incluir</v>
          </cell>
        </row>
        <row r="912">
          <cell r="A912">
            <v>40410</v>
          </cell>
          <cell r="B912" t="str">
            <v>Estaca tipo Franki D = 520 mm</v>
          </cell>
          <cell r="C912" t="str">
            <v>M</v>
          </cell>
          <cell r="D912">
            <v>597.54</v>
          </cell>
          <cell r="E912">
            <v>484.55</v>
          </cell>
          <cell r="F912" t="str">
            <v>A incluir</v>
          </cell>
        </row>
        <row r="913">
          <cell r="A913">
            <v>40309</v>
          </cell>
          <cell r="B913" t="str">
            <v>Formas planas de madeira sem reaproveitamento (fundações), inclusive fornecimento e transporte das madeiras</v>
          </cell>
          <cell r="C913" t="str">
            <v>M2</v>
          </cell>
          <cell r="D913">
            <v>198.61</v>
          </cell>
          <cell r="E913">
            <v>161.06</v>
          </cell>
          <cell r="F913" t="str">
            <v>A incluir</v>
          </cell>
        </row>
        <row r="914">
          <cell r="A914">
            <v>41258</v>
          </cell>
          <cell r="B914" t="str">
            <v>Perfuração rotativa inclinada, em solo, com coroa de Widia, diâmetro 150mm</v>
          </cell>
          <cell r="C914" t="str">
            <v>M</v>
          </cell>
          <cell r="D914">
            <v>278.2</v>
          </cell>
          <cell r="E914">
            <v>225.6</v>
          </cell>
          <cell r="F914" t="str">
            <v xml:space="preserve"> </v>
          </cell>
        </row>
        <row r="915">
          <cell r="A915">
            <v>41034</v>
          </cell>
          <cell r="B915" t="str">
            <v>Perfuração rotativa inclinada, em solo, com coroa de Widia, diâmetro 75mm</v>
          </cell>
          <cell r="C915" t="str">
            <v>M</v>
          </cell>
          <cell r="D915">
            <v>213.99</v>
          </cell>
          <cell r="E915">
            <v>173.53</v>
          </cell>
          <cell r="F915" t="str">
            <v xml:space="preserve"> </v>
          </cell>
        </row>
        <row r="916">
          <cell r="A916">
            <v>41026</v>
          </cell>
          <cell r="B916" t="str">
            <v>Perfuração rotativa vertical, em solo, com coroa de Widia ou similar, diâmetro H(99mm), inclusive deslocamento e posicionamento em cada furo</v>
          </cell>
          <cell r="C916" t="str">
            <v>M</v>
          </cell>
          <cell r="D916">
            <v>176.31</v>
          </cell>
          <cell r="E916">
            <v>142.97</v>
          </cell>
          <cell r="F916" t="str">
            <v xml:space="preserve"> </v>
          </cell>
        </row>
        <row r="917">
          <cell r="A917">
            <v>41022</v>
          </cell>
          <cell r="B917" t="str">
            <v>Perfuração rotativa vertical, em solo, com coroa de Widia ou similar, diâmetro N(75mm), inclusive deslocamento e posicionamento em cada furo</v>
          </cell>
          <cell r="C917" t="str">
            <v>M</v>
          </cell>
          <cell r="D917">
            <v>164.55</v>
          </cell>
          <cell r="E917">
            <v>133.44</v>
          </cell>
          <cell r="F917" t="str">
            <v xml:space="preserve"> </v>
          </cell>
        </row>
        <row r="918">
          <cell r="A918">
            <v>41403</v>
          </cell>
          <cell r="B918" t="str">
            <v>Passarela metálica p/ pontes rodoviárias com 1,0m de largura, piso em chapa xadrez esp 1/4",  em perfis laminados, inclusive pintura</v>
          </cell>
          <cell r="C918" t="str">
            <v>M</v>
          </cell>
          <cell r="D918">
            <v>2078.7399999999998</v>
          </cell>
          <cell r="E918">
            <v>1685.65</v>
          </cell>
          <cell r="F918" t="str">
            <v xml:space="preserve"> </v>
          </cell>
        </row>
        <row r="919">
          <cell r="A919">
            <v>40398</v>
          </cell>
          <cell r="B919" t="str">
            <v>Placas pré-moldadas para forma de tabuleiro de ponte</v>
          </cell>
          <cell r="C919" t="str">
            <v>M2</v>
          </cell>
          <cell r="D919">
            <v>297.2</v>
          </cell>
          <cell r="E919">
            <v>241</v>
          </cell>
          <cell r="F919" t="str">
            <v xml:space="preserve"> </v>
          </cell>
        </row>
        <row r="920">
          <cell r="A920">
            <v>41036</v>
          </cell>
          <cell r="B920" t="str">
            <v>Remoção de superestrutura de pontes com auxilio de guindaste para 40 toneladas</v>
          </cell>
          <cell r="C920" t="str">
            <v>T</v>
          </cell>
          <cell r="D920">
            <v>184.27</v>
          </cell>
          <cell r="E920">
            <v>149.43</v>
          </cell>
          <cell r="F920" t="str">
            <v xml:space="preserve"> </v>
          </cell>
        </row>
        <row r="921">
          <cell r="A921">
            <v>40381</v>
          </cell>
          <cell r="B921" t="str">
            <v>Acabamento em concreto fresco (15,0 MPA), para pavimento, inclusive endurecedor químico de superfície</v>
          </cell>
          <cell r="C921" t="str">
            <v>M2</v>
          </cell>
          <cell r="D921">
            <v>29.1</v>
          </cell>
          <cell r="E921">
            <v>23.6</v>
          </cell>
          <cell r="F921" t="str">
            <v xml:space="preserve"> </v>
          </cell>
        </row>
        <row r="922">
          <cell r="A922">
            <v>41260</v>
          </cell>
          <cell r="B922" t="str">
            <v>Acessório para tirante protendido de aço Rocsolo ou similar diâmetro 29,3 mm</v>
          </cell>
          <cell r="C922" t="str">
            <v>Ud</v>
          </cell>
          <cell r="D922">
            <v>1124.33</v>
          </cell>
          <cell r="E922">
            <v>911.72</v>
          </cell>
          <cell r="F922" t="str">
            <v>A incluir</v>
          </cell>
        </row>
        <row r="923">
          <cell r="A923">
            <v>41045</v>
          </cell>
          <cell r="B923" t="str">
            <v>Acessório para tirante protendido de aço ST 85/105</v>
          </cell>
          <cell r="C923" t="str">
            <v>Ud</v>
          </cell>
          <cell r="D923">
            <v>1072.97</v>
          </cell>
          <cell r="E923">
            <v>870.07</v>
          </cell>
          <cell r="F923" t="str">
            <v>A incluir</v>
          </cell>
        </row>
        <row r="924">
          <cell r="A924">
            <v>40387</v>
          </cell>
          <cell r="B924" t="str">
            <v>Aparelho de apoio de neoprene fretado, fornecimento e assentamento, inclusive grauteamento  e transporte do neoprene</v>
          </cell>
          <cell r="C924" t="str">
            <v>dm3</v>
          </cell>
          <cell r="D924">
            <v>133.83000000000001</v>
          </cell>
          <cell r="E924">
            <v>108.53</v>
          </cell>
          <cell r="F924" t="str">
            <v>A incluir</v>
          </cell>
        </row>
        <row r="925">
          <cell r="A925">
            <v>40339</v>
          </cell>
          <cell r="B925" t="str">
            <v>Cantoneiras (2 1/2" x 2 1/2" x 5/16") para extremidade de laje, fornecimento, montagem e pintura</v>
          </cell>
          <cell r="C925" t="str">
            <v>M</v>
          </cell>
          <cell r="D925">
            <v>153.65</v>
          </cell>
          <cell r="E925">
            <v>124.6</v>
          </cell>
          <cell r="F925" t="str">
            <v xml:space="preserve"> </v>
          </cell>
        </row>
        <row r="926">
          <cell r="A926">
            <v>40379</v>
          </cell>
          <cell r="B926" t="str">
            <v>Chapas de aço SAC 41 de 1/4" para passarelas, fornecimento, soldagem e montagem</v>
          </cell>
          <cell r="C926" t="str">
            <v>kg</v>
          </cell>
          <cell r="D926">
            <v>23.36</v>
          </cell>
          <cell r="E926">
            <v>18.95</v>
          </cell>
          <cell r="F926" t="str">
            <v>A incluir</v>
          </cell>
        </row>
        <row r="927">
          <cell r="A927">
            <v>42875</v>
          </cell>
          <cell r="B927" t="str">
            <v>Chumbador de aço de 25 mm, inclusive proteção anticorrosiva, exclusive a injeção e a perfuração</v>
          </cell>
          <cell r="C927" t="str">
            <v>M</v>
          </cell>
          <cell r="D927">
            <v>84.78</v>
          </cell>
          <cell r="E927">
            <v>68.75</v>
          </cell>
          <cell r="F927" t="str">
            <v xml:space="preserve"> </v>
          </cell>
        </row>
        <row r="928">
          <cell r="A928">
            <v>42045</v>
          </cell>
          <cell r="B928" t="str">
            <v>Aquisição de solo de jazida comercial (saibreira)</v>
          </cell>
          <cell r="C928" t="str">
            <v>M3</v>
          </cell>
          <cell r="D928">
            <v>10.4</v>
          </cell>
          <cell r="E928">
            <v>8.44</v>
          </cell>
          <cell r="F928" t="str">
            <v xml:space="preserve"> </v>
          </cell>
        </row>
        <row r="929">
          <cell r="A929">
            <v>40991</v>
          </cell>
          <cell r="B929" t="str">
            <v>Colagem das mantas de borracha nos berços de apoio das placas, com Sikadur 32 ou equivalente, fornecimento e aplicação</v>
          </cell>
          <cell r="C929" t="str">
            <v>kg</v>
          </cell>
          <cell r="D929">
            <v>58.7</v>
          </cell>
          <cell r="E929">
            <v>47.6</v>
          </cell>
          <cell r="F929" t="str">
            <v xml:space="preserve"> </v>
          </cell>
        </row>
        <row r="930">
          <cell r="A930">
            <v>40382</v>
          </cell>
          <cell r="B930" t="str">
            <v>Concreto projetado com cimento especial</v>
          </cell>
          <cell r="C930" t="str">
            <v>M3</v>
          </cell>
          <cell r="D930">
            <v>806.74</v>
          </cell>
          <cell r="E930">
            <v>654.19000000000005</v>
          </cell>
          <cell r="F930" t="str">
            <v xml:space="preserve"> </v>
          </cell>
        </row>
        <row r="931">
          <cell r="A931">
            <v>42660</v>
          </cell>
          <cell r="B931" t="str">
            <v>Concreto projetado com cimento especial, inclusive aditivo de pega Sigunit STM-35 AF</v>
          </cell>
          <cell r="C931" t="str">
            <v>M3</v>
          </cell>
          <cell r="D931">
            <v>1065.07</v>
          </cell>
          <cell r="E931">
            <v>863.67</v>
          </cell>
          <cell r="F931" t="str">
            <v xml:space="preserve"> </v>
          </cell>
        </row>
        <row r="932">
          <cell r="A932">
            <v>40401</v>
          </cell>
          <cell r="B932" t="str">
            <v>Cone de ancoragem de cabo de aço com 12 cordoalhas de 1/2", inclusive protensão dos cabos</v>
          </cell>
          <cell r="C932" t="str">
            <v>Ud</v>
          </cell>
          <cell r="D932">
            <v>1064.73</v>
          </cell>
          <cell r="E932">
            <v>863.39</v>
          </cell>
          <cell r="F932" t="str">
            <v>A incluir</v>
          </cell>
        </row>
        <row r="933">
          <cell r="A933">
            <v>41200</v>
          </cell>
          <cell r="B933" t="str">
            <v>Conectores diâmetro 16mm (h=10cm), fornecimento e soldagem</v>
          </cell>
          <cell r="C933" t="str">
            <v>Ud</v>
          </cell>
          <cell r="D933">
            <v>30.04</v>
          </cell>
          <cell r="E933">
            <v>24.36</v>
          </cell>
          <cell r="F933" t="str">
            <v xml:space="preserve"> </v>
          </cell>
        </row>
        <row r="934">
          <cell r="A934">
            <v>42876</v>
          </cell>
          <cell r="B934" t="str">
            <v>Escoramento contínuo de cavas em estaca prancha de largura até 400 mm</v>
          </cell>
          <cell r="C934" t="str">
            <v>M2</v>
          </cell>
          <cell r="D934">
            <v>235.43</v>
          </cell>
          <cell r="E934">
            <v>190.91</v>
          </cell>
          <cell r="F934" t="str">
            <v xml:space="preserve"> </v>
          </cell>
        </row>
        <row r="935">
          <cell r="A935">
            <v>42239</v>
          </cell>
          <cell r="B935" t="str">
            <v>Escoramento de O.A.E. diretamente sobre o solo, inclusive fornecimento e transporte das madeiras</v>
          </cell>
          <cell r="C935" t="str">
            <v>M3</v>
          </cell>
          <cell r="D935">
            <v>200.9</v>
          </cell>
          <cell r="E935">
            <v>162.91</v>
          </cell>
          <cell r="F935" t="str">
            <v>A incluir</v>
          </cell>
        </row>
        <row r="936">
          <cell r="A936">
            <v>40329</v>
          </cell>
          <cell r="B936" t="str">
            <v>Escoramento e cimbramento (pontes e pontilhões), inclusive fornecimento e transporte das madeiras</v>
          </cell>
          <cell r="C936" t="str">
            <v>M3</v>
          </cell>
          <cell r="D936">
            <v>215.68</v>
          </cell>
          <cell r="E936">
            <v>174.9</v>
          </cell>
          <cell r="F936" t="str">
            <v>A incluir</v>
          </cell>
        </row>
        <row r="937">
          <cell r="A937">
            <v>41195</v>
          </cell>
          <cell r="B937" t="str">
            <v>Estrutura metálica provisória para macaqueamento de laje de ponte</v>
          </cell>
          <cell r="C937" t="str">
            <v>kg</v>
          </cell>
          <cell r="D937">
            <v>24.35</v>
          </cell>
          <cell r="E937">
            <v>19.75</v>
          </cell>
          <cell r="F937" t="str">
            <v xml:space="preserve"> </v>
          </cell>
        </row>
        <row r="938">
          <cell r="A938">
            <v>40315</v>
          </cell>
          <cell r="B938" t="str">
            <v>Formas curvas de madeira sem reutilização, inclusive fornecimento e transporte das madeiras</v>
          </cell>
          <cell r="C938" t="str">
            <v>M2</v>
          </cell>
          <cell r="D938">
            <v>343.27</v>
          </cell>
          <cell r="E938">
            <v>278.36</v>
          </cell>
          <cell r="F938" t="str">
            <v>A incluir</v>
          </cell>
        </row>
        <row r="939">
          <cell r="A939">
            <v>40314</v>
          </cell>
          <cell r="B939" t="str">
            <v>Formas planas de madeira com 05 (cinco) utilizações (guarda-corpo de pontes), inclusive fornecimento e transportes das madeiras</v>
          </cell>
          <cell r="C939" t="str">
            <v>M2</v>
          </cell>
          <cell r="D939">
            <v>136.16</v>
          </cell>
          <cell r="E939">
            <v>110.42</v>
          </cell>
          <cell r="F939" t="str">
            <v>A incluir</v>
          </cell>
        </row>
        <row r="940">
          <cell r="A940">
            <v>40321</v>
          </cell>
          <cell r="B940" t="str">
            <v>Formas planas de madeirit meso e superestrutura com 1 reaproveitamento esp. = 14 mm, inclusive fornecimento e transporte das madeiras</v>
          </cell>
          <cell r="C940" t="str">
            <v>M2</v>
          </cell>
          <cell r="D940">
            <v>99.37</v>
          </cell>
          <cell r="E940">
            <v>80.58</v>
          </cell>
          <cell r="F940" t="str">
            <v>A incluir</v>
          </cell>
        </row>
        <row r="941">
          <cell r="A941">
            <v>40323</v>
          </cell>
          <cell r="B941" t="str">
            <v>Formas planas de madeirit meso e superestrutura com 1 reaproveitamento esp. = 17 mm, inclusive fornecimento e transporte das madeiras</v>
          </cell>
          <cell r="C941" t="str">
            <v>M2</v>
          </cell>
          <cell r="D941">
            <v>102.45</v>
          </cell>
          <cell r="E941">
            <v>83.08</v>
          </cell>
          <cell r="F941" t="str">
            <v>A incluir</v>
          </cell>
        </row>
        <row r="942">
          <cell r="A942">
            <v>40324</v>
          </cell>
          <cell r="B942" t="str">
            <v>Formas planas de madeirit meso e superestrutura com 2 reaproveitamentos esp. = 17 mm, inclusive fornecimento e transporte das madeiras</v>
          </cell>
          <cell r="C942" t="str">
            <v>M2</v>
          </cell>
          <cell r="D942">
            <v>89.6</v>
          </cell>
          <cell r="E942">
            <v>72.66</v>
          </cell>
          <cell r="F942" t="str">
            <v>A incluir</v>
          </cell>
        </row>
        <row r="943">
          <cell r="A943">
            <v>40325</v>
          </cell>
          <cell r="B943" t="str">
            <v>Formas planas de madeirit meso e superestrutura com 4 reaproveitamentos esp. = 17 mm, inclusive fornecimento e transporte das madeiras</v>
          </cell>
          <cell r="C943" t="str">
            <v>M2</v>
          </cell>
          <cell r="D943">
            <v>78.290000000000006</v>
          </cell>
          <cell r="E943">
            <v>63.49</v>
          </cell>
          <cell r="F943" t="str">
            <v>A incluir</v>
          </cell>
        </row>
        <row r="944">
          <cell r="A944">
            <v>40319</v>
          </cell>
          <cell r="B944" t="str">
            <v>Formas planas de madeirit meso e superestrutura sem reaproveitamento esp. = 10 mm, inclusive fornecimento e transporte das madeiras</v>
          </cell>
          <cell r="C944" t="str">
            <v>M2</v>
          </cell>
          <cell r="D944">
            <v>136.08000000000001</v>
          </cell>
          <cell r="E944">
            <v>110.35</v>
          </cell>
          <cell r="F944" t="str">
            <v>A incluir</v>
          </cell>
        </row>
        <row r="945">
          <cell r="A945">
            <v>40320</v>
          </cell>
          <cell r="B945" t="str">
            <v>Formas planas de madeirit meso e superestrutura sem reaproveitamento esp. = 14 mm, inclusive fornecimento e transporte das madeiras</v>
          </cell>
          <cell r="C945" t="str">
            <v>M2</v>
          </cell>
          <cell r="D945">
            <v>138.43</v>
          </cell>
          <cell r="E945">
            <v>112.26</v>
          </cell>
          <cell r="F945" t="str">
            <v>A incluir</v>
          </cell>
        </row>
        <row r="946">
          <cell r="A946">
            <v>40322</v>
          </cell>
          <cell r="B946" t="str">
            <v>Formas planas de madeirit meso e superestrutura sem reaproveitamento esp. = 17 mm, inclusive fornecimento e transporte das madeiras</v>
          </cell>
          <cell r="C946" t="str">
            <v>M2</v>
          </cell>
          <cell r="D946">
            <v>143.65</v>
          </cell>
          <cell r="E946">
            <v>116.49</v>
          </cell>
          <cell r="F946" t="str">
            <v>A incluir</v>
          </cell>
        </row>
        <row r="947">
          <cell r="A947">
            <v>40342</v>
          </cell>
          <cell r="B947" t="str">
            <v>Furação, fornecimento e fixação de grampos diam.16 mm com resina epoxi (prof. 50 cm)</v>
          </cell>
          <cell r="C947" t="str">
            <v>Ud</v>
          </cell>
          <cell r="D947">
            <v>54.54</v>
          </cell>
          <cell r="E947">
            <v>44.23</v>
          </cell>
          <cell r="F947" t="str">
            <v xml:space="preserve"> </v>
          </cell>
        </row>
        <row r="948">
          <cell r="A948">
            <v>40338</v>
          </cell>
          <cell r="B948" t="str">
            <v>Furação, fornecimento e fixação de grampos 10 mm com resina epoxi</v>
          </cell>
          <cell r="C948" t="str">
            <v>Ud</v>
          </cell>
          <cell r="D948">
            <v>34.549999999999997</v>
          </cell>
          <cell r="E948">
            <v>28.02</v>
          </cell>
          <cell r="F948" t="str">
            <v xml:space="preserve"> </v>
          </cell>
        </row>
        <row r="949">
          <cell r="A949">
            <v>40341</v>
          </cell>
          <cell r="B949" t="str">
            <v>Furação, fornecimento e fixação de grampos 12,5 mm com resina epoxi em vigas prémoldadas</v>
          </cell>
          <cell r="C949" t="str">
            <v>Ud</v>
          </cell>
          <cell r="D949">
            <v>10.56</v>
          </cell>
          <cell r="E949">
            <v>8.57</v>
          </cell>
          <cell r="F949" t="str">
            <v xml:space="preserve"> </v>
          </cell>
        </row>
        <row r="950">
          <cell r="A950">
            <v>40416</v>
          </cell>
          <cell r="B950" t="str">
            <v>Guarda corpo em toras de eucalipto conf. projeto</v>
          </cell>
          <cell r="C950" t="str">
            <v>M</v>
          </cell>
          <cell r="D950">
            <v>458.09</v>
          </cell>
          <cell r="E950">
            <v>371.47</v>
          </cell>
          <cell r="F950" t="str">
            <v xml:space="preserve"> </v>
          </cell>
        </row>
        <row r="951">
          <cell r="A951">
            <v>40388</v>
          </cell>
          <cell r="B951" t="str">
            <v>Guarda corpo padrão (tipo DNIT)</v>
          </cell>
          <cell r="C951" t="str">
            <v>M</v>
          </cell>
          <cell r="D951">
            <v>364.8</v>
          </cell>
          <cell r="E951">
            <v>295.82</v>
          </cell>
          <cell r="F951" t="str">
            <v xml:space="preserve"> </v>
          </cell>
        </row>
        <row r="952">
          <cell r="A952">
            <v>40402</v>
          </cell>
          <cell r="B952" t="str">
            <v>Hidrojateamento de superfícies metálicas</v>
          </cell>
          <cell r="C952" t="str">
            <v>M2</v>
          </cell>
          <cell r="D952">
            <v>19.68</v>
          </cell>
          <cell r="E952">
            <v>15.96</v>
          </cell>
          <cell r="F952" t="str">
            <v xml:space="preserve"> </v>
          </cell>
        </row>
        <row r="953">
          <cell r="A953">
            <v>41033</v>
          </cell>
          <cell r="B953" t="str">
            <v>Injeção de calda de cimento para chumbamento de tirantes</v>
          </cell>
          <cell r="C953" t="str">
            <v>SC</v>
          </cell>
          <cell r="D953">
            <v>48.68</v>
          </cell>
          <cell r="E953">
            <v>39.479999999999997</v>
          </cell>
          <cell r="F953" t="str">
            <v xml:space="preserve"> </v>
          </cell>
        </row>
        <row r="954">
          <cell r="A954">
            <v>41233</v>
          </cell>
          <cell r="B954" t="str">
            <v>Injeção de epoxi em fissuras, inclusive preparo e montagem de bicos de injeção</v>
          </cell>
          <cell r="C954" t="str">
            <v>kg</v>
          </cell>
          <cell r="D954">
            <v>564.97</v>
          </cell>
          <cell r="E954">
            <v>458.14</v>
          </cell>
          <cell r="F954" t="str">
            <v xml:space="preserve"> </v>
          </cell>
        </row>
        <row r="955">
          <cell r="A955">
            <v>40386</v>
          </cell>
          <cell r="B955" t="str">
            <v>Junta de cantoneira L de 4" x 4" x 3/8"</v>
          </cell>
          <cell r="C955" t="str">
            <v>M</v>
          </cell>
          <cell r="D955">
            <v>275.33</v>
          </cell>
          <cell r="E955">
            <v>223.27</v>
          </cell>
          <cell r="F955" t="str">
            <v>A incluir</v>
          </cell>
        </row>
        <row r="956">
          <cell r="A956">
            <v>41199</v>
          </cell>
          <cell r="B956" t="str">
            <v>Junta de dilatação elástica pré-moldada p/ concreto, tipo fungenband em perfil O-12 de PVC alta densidade, Uniontech ou equival. fornecim./colocação</v>
          </cell>
          <cell r="C956" t="str">
            <v>M</v>
          </cell>
          <cell r="D956">
            <v>71.260000000000005</v>
          </cell>
          <cell r="E956">
            <v>57.79</v>
          </cell>
          <cell r="F956" t="str">
            <v xml:space="preserve"> </v>
          </cell>
        </row>
        <row r="957">
          <cell r="A957">
            <v>42529</v>
          </cell>
          <cell r="B957" t="str">
            <v>Junta perfil elastomérico de vedação p/pontes c/abertura média de 25mm ± 10 mm, inclus. lábios poliméricos-Marca Ref JEENE-JJ2540 VV (constr.)</v>
          </cell>
          <cell r="C957" t="str">
            <v>M</v>
          </cell>
          <cell r="D957">
            <v>483.57</v>
          </cell>
          <cell r="E957">
            <v>392.13</v>
          </cell>
          <cell r="F957" t="str">
            <v xml:space="preserve"> </v>
          </cell>
        </row>
        <row r="958">
          <cell r="A958">
            <v>40384</v>
          </cell>
          <cell r="B958" t="str">
            <v>Junta perfil elastomérico de vedação p/pontes c/abertura média de 50 mm ±  25 mm, inclus. lábios poliméricos-Marca Ref.JEENE mod.JJ-5070 (constr.)</v>
          </cell>
          <cell r="C958" t="str">
            <v>M</v>
          </cell>
          <cell r="D958">
            <v>1518.11</v>
          </cell>
          <cell r="E958">
            <v>1231.04</v>
          </cell>
          <cell r="F958" t="str">
            <v xml:space="preserve"> </v>
          </cell>
        </row>
        <row r="959">
          <cell r="A959">
            <v>40385</v>
          </cell>
          <cell r="B959" t="str">
            <v>Junta perfil elastomérico de vedação p/pontes c/abertura média de 50mm ± 25mm,inclus. lábios poliméricos-Marca Ref JEENE mod.JJ-5070 VV(substituição)</v>
          </cell>
          <cell r="C959" t="str">
            <v>M</v>
          </cell>
          <cell r="D959">
            <v>1567.92</v>
          </cell>
          <cell r="E959">
            <v>1271.43</v>
          </cell>
          <cell r="F959" t="str">
            <v xml:space="preserve"> </v>
          </cell>
        </row>
        <row r="960">
          <cell r="A960">
            <v>40393</v>
          </cell>
          <cell r="B960" t="str">
            <v>Perfuração de concreto</v>
          </cell>
          <cell r="C960" t="str">
            <v>M</v>
          </cell>
          <cell r="D960">
            <v>22.99</v>
          </cell>
          <cell r="E960">
            <v>18.649999999999999</v>
          </cell>
          <cell r="F960" t="str">
            <v xml:space="preserve"> </v>
          </cell>
        </row>
        <row r="961">
          <cell r="A961">
            <v>40394</v>
          </cell>
          <cell r="B961" t="str">
            <v>Perfuração de rocha para fixação de chumbadores</v>
          </cell>
          <cell r="C961" t="str">
            <v>M</v>
          </cell>
          <cell r="D961">
            <v>26.9</v>
          </cell>
          <cell r="E961">
            <v>21.82</v>
          </cell>
          <cell r="F961" t="str">
            <v xml:space="preserve"> </v>
          </cell>
        </row>
        <row r="962">
          <cell r="A962">
            <v>40390</v>
          </cell>
          <cell r="B962" t="str">
            <v>Pintura a cal em pontes (2 demãos)</v>
          </cell>
          <cell r="C962" t="str">
            <v>M2</v>
          </cell>
          <cell r="D962">
            <v>4.74</v>
          </cell>
          <cell r="E962">
            <v>3.85</v>
          </cell>
          <cell r="F962" t="str">
            <v xml:space="preserve"> </v>
          </cell>
        </row>
        <row r="963">
          <cell r="A963">
            <v>42256</v>
          </cell>
          <cell r="B963" t="str">
            <v>Ponte provisoria para movimentação de equipamentos de execução de fundação composta de  passadiço de madeira sobre estacas de madeira</v>
          </cell>
          <cell r="C963" t="str">
            <v>M2</v>
          </cell>
          <cell r="D963">
            <v>5282.36</v>
          </cell>
          <cell r="E963">
            <v>4283.46</v>
          </cell>
          <cell r="F963" t="str">
            <v>A incluir</v>
          </cell>
        </row>
        <row r="964">
          <cell r="A964">
            <v>40400</v>
          </cell>
          <cell r="B964" t="str">
            <v>Preparo e colocação de 12 cordoalhas de 1/2" (Aço CP-190 RB) nas formas, inclusive injeção de nata de cimento</v>
          </cell>
          <cell r="C964" t="str">
            <v>kg</v>
          </cell>
          <cell r="D964">
            <v>20.56</v>
          </cell>
          <cell r="E964">
            <v>16.68</v>
          </cell>
          <cell r="F964" t="str">
            <v>A incluir</v>
          </cell>
        </row>
        <row r="965">
          <cell r="A965">
            <v>41201</v>
          </cell>
          <cell r="B965" t="str">
            <v>Recuperação estrutural com uso de argamassa polimérica (espessura média=3,5cm)</v>
          </cell>
          <cell r="C965" t="str">
            <v>M2</v>
          </cell>
          <cell r="D965">
            <v>404.82</v>
          </cell>
          <cell r="E965">
            <v>328.27</v>
          </cell>
          <cell r="F965" t="str">
            <v xml:space="preserve"> </v>
          </cell>
        </row>
        <row r="966">
          <cell r="A966">
            <v>41035</v>
          </cell>
          <cell r="B966" t="str">
            <v>Tirante de Aço CA-50, diâmetro de 25mm (1"), para comprimentos até 6m</v>
          </cell>
          <cell r="C966" t="str">
            <v>M</v>
          </cell>
          <cell r="D966">
            <v>156.43</v>
          </cell>
          <cell r="E966">
            <v>126.85</v>
          </cell>
          <cell r="F966" t="str">
            <v xml:space="preserve"> </v>
          </cell>
        </row>
        <row r="967">
          <cell r="A967">
            <v>41263</v>
          </cell>
          <cell r="B967" t="str">
            <v>Tirante de aço Rocsolo ou similar, diâmetro 29,3mm, incluindo fornecimento da barra e da bainha proteção anticorrosiva, preparo e colocação no furo</v>
          </cell>
          <cell r="C967" t="str">
            <v>M</v>
          </cell>
          <cell r="D967">
            <v>226.21</v>
          </cell>
          <cell r="E967">
            <v>183.44</v>
          </cell>
          <cell r="F967" t="str">
            <v xml:space="preserve"> </v>
          </cell>
        </row>
        <row r="968">
          <cell r="A968">
            <v>41089</v>
          </cell>
          <cell r="B968" t="str">
            <v>Tirante de aço ST 50/55, para carga trab. até 22 t, diam.32mm, incluindo fornecimento da bainha proteção anticorrosiva, preparo e colocação no furo.</v>
          </cell>
          <cell r="C968" t="str">
            <v>M</v>
          </cell>
          <cell r="D968">
            <v>233.88</v>
          </cell>
          <cell r="E968">
            <v>189.66</v>
          </cell>
          <cell r="F968" t="str">
            <v xml:space="preserve"> </v>
          </cell>
        </row>
        <row r="969">
          <cell r="A969">
            <v>41039</v>
          </cell>
          <cell r="B969" t="str">
            <v>Tirante de aço ST 85/105, diâmetro de 32 mm, incluindo fornecimento da barra e da bainha proteção anticorrosiva, preparo e colocação no furo</v>
          </cell>
          <cell r="C969" t="str">
            <v>M</v>
          </cell>
          <cell r="D969">
            <v>303.47000000000003</v>
          </cell>
          <cell r="E969">
            <v>246.09</v>
          </cell>
          <cell r="F969" t="str">
            <v xml:space="preserve"> </v>
          </cell>
        </row>
        <row r="970">
          <cell r="A970">
            <v>41030</v>
          </cell>
          <cell r="B970" t="str">
            <v>Tirante protendido em Aço GEWI 50/55 ou similar, diâmetro de 32mm</v>
          </cell>
          <cell r="C970" t="str">
            <v>M</v>
          </cell>
          <cell r="D970">
            <v>212.03</v>
          </cell>
          <cell r="E970">
            <v>171.94</v>
          </cell>
          <cell r="F970" t="str">
            <v xml:space="preserve"> </v>
          </cell>
        </row>
        <row r="971">
          <cell r="A971">
            <v>42043</v>
          </cell>
          <cell r="B971" t="str">
            <v>Bonificação de 15,28% sobre aquisição de materiais</v>
          </cell>
          <cell r="C971" t="str">
            <v>%</v>
          </cell>
          <cell r="D971">
            <v>0</v>
          </cell>
          <cell r="E971">
            <v>0</v>
          </cell>
          <cell r="F971" t="str">
            <v xml:space="preserve"> </v>
          </cell>
        </row>
        <row r="972">
          <cell r="A972">
            <v>42512</v>
          </cell>
          <cell r="B972" t="str">
            <v>Carga de material de 1ª categoria em Vias Urbanas</v>
          </cell>
          <cell r="C972" t="str">
            <v>M3</v>
          </cell>
          <cell r="D972">
            <v>4.51</v>
          </cell>
          <cell r="E972">
            <v>3.66</v>
          </cell>
          <cell r="F972" t="str">
            <v xml:space="preserve"> </v>
          </cell>
        </row>
        <row r="973">
          <cell r="A973">
            <v>42513</v>
          </cell>
          <cell r="B973" t="str">
            <v>Carga de material de 2ª categoria (solo, areia, brita, excl. rocha escavada) em Vias Urbanas</v>
          </cell>
          <cell r="C973" t="str">
            <v>M3</v>
          </cell>
          <cell r="D973">
            <v>5.85</v>
          </cell>
          <cell r="E973">
            <v>4.75</v>
          </cell>
          <cell r="F973" t="str">
            <v xml:space="preserve"> </v>
          </cell>
        </row>
        <row r="974">
          <cell r="A974">
            <v>42514</v>
          </cell>
          <cell r="B974" t="str">
            <v>Carga de material de 3ª categoria (rocha) em Vias Urbanas</v>
          </cell>
          <cell r="C974" t="str">
            <v>M3</v>
          </cell>
          <cell r="D974">
            <v>8.48</v>
          </cell>
          <cell r="E974">
            <v>6.88</v>
          </cell>
          <cell r="F974" t="str">
            <v xml:space="preserve"> </v>
          </cell>
        </row>
        <row r="975">
          <cell r="A975">
            <v>43349</v>
          </cell>
          <cell r="B975" t="str">
            <v>Compactação de aterros 100% PI em Vias Urbanas</v>
          </cell>
          <cell r="C975" t="str">
            <v>M3</v>
          </cell>
          <cell r="D975">
            <v>9.2100000000000009</v>
          </cell>
          <cell r="E975">
            <v>7.47</v>
          </cell>
          <cell r="F975" t="str">
            <v xml:space="preserve"> </v>
          </cell>
        </row>
        <row r="976">
          <cell r="A976">
            <v>42515</v>
          </cell>
          <cell r="B976" t="str">
            <v>Compactação de aterros 100% PN em Vias Urbanas</v>
          </cell>
          <cell r="C976" t="str">
            <v>M3</v>
          </cell>
          <cell r="D976">
            <v>7.1</v>
          </cell>
          <cell r="E976">
            <v>5.76</v>
          </cell>
          <cell r="F976" t="str">
            <v xml:space="preserve"> </v>
          </cell>
        </row>
        <row r="977">
          <cell r="A977">
            <v>42523</v>
          </cell>
          <cell r="B977" t="str">
            <v>Escalonamento de taludes com escavadeira em Vias Urbanas</v>
          </cell>
          <cell r="C977" t="str">
            <v>M3</v>
          </cell>
          <cell r="D977">
            <v>11.28</v>
          </cell>
          <cell r="E977">
            <v>9.15</v>
          </cell>
          <cell r="F977" t="str">
            <v xml:space="preserve"> </v>
          </cell>
        </row>
        <row r="978">
          <cell r="A978">
            <v>42576</v>
          </cell>
          <cell r="B978" t="str">
            <v>Escavação, carga de material de 3ª categoria (fogo controlado) em Vias Urbanas</v>
          </cell>
          <cell r="C978" t="str">
            <v>M3</v>
          </cell>
          <cell r="D978">
            <v>126.57</v>
          </cell>
          <cell r="E978">
            <v>102.64</v>
          </cell>
          <cell r="F978" t="str">
            <v xml:space="preserve"> </v>
          </cell>
        </row>
        <row r="979">
          <cell r="A979">
            <v>42577</v>
          </cell>
          <cell r="B979" t="str">
            <v>Escavação e carga de material de barreira (remoção) em Vias Urbanas</v>
          </cell>
          <cell r="C979" t="str">
            <v>M3</v>
          </cell>
          <cell r="D979">
            <v>11.55</v>
          </cell>
          <cell r="E979">
            <v>9.3699999999999992</v>
          </cell>
          <cell r="F979" t="str">
            <v xml:space="preserve"> </v>
          </cell>
        </row>
        <row r="980">
          <cell r="A980">
            <v>42578</v>
          </cell>
          <cell r="B980" t="str">
            <v>Escavação e carga de material de 1ª categoria com escavadeira em Vias Urbanas</v>
          </cell>
          <cell r="C980" t="str">
            <v>M3</v>
          </cell>
          <cell r="D980">
            <v>4.59</v>
          </cell>
          <cell r="E980">
            <v>3.73</v>
          </cell>
          <cell r="F980" t="str">
            <v xml:space="preserve"> </v>
          </cell>
        </row>
        <row r="981">
          <cell r="A981">
            <v>42580</v>
          </cell>
          <cell r="B981" t="str">
            <v>Escavação e carga de material de 2ª categoria com escavadeira em Vias Urbanas</v>
          </cell>
          <cell r="C981" t="str">
            <v>M3</v>
          </cell>
          <cell r="D981">
            <v>6.78</v>
          </cell>
          <cell r="E981">
            <v>5.5</v>
          </cell>
          <cell r="F981" t="str">
            <v xml:space="preserve"> </v>
          </cell>
        </row>
        <row r="982">
          <cell r="A982">
            <v>42582</v>
          </cell>
          <cell r="B982" t="str">
            <v>Escavação e carga de material de 3ª categoria (H bancada &gt;1,0 m) em Vias Urbanas</v>
          </cell>
          <cell r="C982" t="str">
            <v>M3</v>
          </cell>
          <cell r="D982">
            <v>59.29</v>
          </cell>
          <cell r="E982">
            <v>48.08</v>
          </cell>
          <cell r="F982" t="str">
            <v xml:space="preserve"> </v>
          </cell>
        </row>
        <row r="983">
          <cell r="A983">
            <v>42586</v>
          </cell>
          <cell r="B983" t="str">
            <v>Fragmentação de rocha (fogacheamento) em Vias Urbanas</v>
          </cell>
          <cell r="C983" t="str">
            <v>M3</v>
          </cell>
          <cell r="D983">
            <v>66.599999999999994</v>
          </cell>
          <cell r="E983">
            <v>54.01</v>
          </cell>
          <cell r="F983" t="str">
            <v xml:space="preserve"> </v>
          </cell>
        </row>
        <row r="984">
          <cell r="A984">
            <v>42587</v>
          </cell>
          <cell r="B984" t="str">
            <v>Limpeza de acostamento em Vias Urbanas</v>
          </cell>
          <cell r="C984" t="str">
            <v>M2</v>
          </cell>
          <cell r="D984">
            <v>0.99</v>
          </cell>
          <cell r="E984">
            <v>0.81</v>
          </cell>
          <cell r="F984" t="str">
            <v xml:space="preserve"> </v>
          </cell>
        </row>
        <row r="985">
          <cell r="A985">
            <v>42590</v>
          </cell>
          <cell r="B985" t="str">
            <v>Limpeza e desmatamento em área alagada (pântano) com ferr. man., incl. moto serra em Vias Urbanas</v>
          </cell>
          <cell r="C985" t="str">
            <v>M2</v>
          </cell>
          <cell r="D985">
            <v>11.8</v>
          </cell>
          <cell r="E985">
            <v>9.57</v>
          </cell>
          <cell r="F985" t="str">
            <v xml:space="preserve"> </v>
          </cell>
        </row>
        <row r="986">
          <cell r="A986">
            <v>42591</v>
          </cell>
          <cell r="B986" t="str">
            <v>Pré-fissuramento de taludes de rocha em Vias Urbanas</v>
          </cell>
          <cell r="C986" t="str">
            <v>M2</v>
          </cell>
          <cell r="D986">
            <v>45.96</v>
          </cell>
          <cell r="E986">
            <v>37.270000000000003</v>
          </cell>
          <cell r="F986" t="str">
            <v xml:space="preserve"> </v>
          </cell>
        </row>
        <row r="987">
          <cell r="A987">
            <v>42592</v>
          </cell>
          <cell r="B987" t="str">
            <v>Recomposição vegetal de jazidas, empréstimos e bota-fora em Vias Urbanas</v>
          </cell>
          <cell r="C987" t="str">
            <v>M2</v>
          </cell>
          <cell r="D987">
            <v>19.12</v>
          </cell>
          <cell r="E987">
            <v>15.51</v>
          </cell>
          <cell r="F987" t="str">
            <v>A incluir</v>
          </cell>
        </row>
        <row r="988">
          <cell r="A988">
            <v>42593</v>
          </cell>
          <cell r="B988" t="str">
            <v>Remoção de solos moles, incluindo carregamento mecânico com escavadeira hidráulica em Vias Urbanas</v>
          </cell>
          <cell r="C988" t="str">
            <v>M3</v>
          </cell>
          <cell r="D988">
            <v>38.89</v>
          </cell>
          <cell r="E988">
            <v>31.54</v>
          </cell>
          <cell r="F988" t="str">
            <v xml:space="preserve"> </v>
          </cell>
        </row>
        <row r="989">
          <cell r="A989">
            <v>42596</v>
          </cell>
          <cell r="B989" t="str">
            <v>Transporte horizontal com trator de lâmina de material de 1ª cat. DMTaté 50m em Vias Urbanas</v>
          </cell>
          <cell r="C989" t="str">
            <v>M3</v>
          </cell>
          <cell r="D989">
            <v>7.76</v>
          </cell>
          <cell r="E989">
            <v>6.3</v>
          </cell>
          <cell r="F989" t="str">
            <v xml:space="preserve"> </v>
          </cell>
        </row>
        <row r="990">
          <cell r="A990">
            <v>42483</v>
          </cell>
          <cell r="B990" t="str">
            <v>Base de brita graduada, inclusive fornecimento, exclusive transporte da brita em Vias Urbanas</v>
          </cell>
          <cell r="C990" t="str">
            <v>M3</v>
          </cell>
          <cell r="D990">
            <v>120.01</v>
          </cell>
          <cell r="E990">
            <v>97.32</v>
          </cell>
          <cell r="F990" t="str">
            <v xml:space="preserve"> </v>
          </cell>
        </row>
        <row r="991">
          <cell r="A991">
            <v>42695</v>
          </cell>
          <cell r="B991" t="str">
            <v>Base de brita 1, inclusive fornecimento, exclusive transporte da brita em Vias Urbanas</v>
          </cell>
          <cell r="C991" t="str">
            <v>M3</v>
          </cell>
          <cell r="D991">
            <v>160.35</v>
          </cell>
          <cell r="E991">
            <v>130.03</v>
          </cell>
          <cell r="F991" t="str">
            <v xml:space="preserve"> </v>
          </cell>
        </row>
        <row r="992">
          <cell r="A992">
            <v>42481</v>
          </cell>
          <cell r="B992" t="str">
            <v>Base de solo brita, 50% em peso, inclusive fornecimento, exclusive transporte da brita em Vias  Urbanas</v>
          </cell>
          <cell r="C992" t="str">
            <v>M3</v>
          </cell>
          <cell r="D992">
            <v>87.63</v>
          </cell>
          <cell r="E992">
            <v>71.06</v>
          </cell>
          <cell r="F992" t="str">
            <v xml:space="preserve"> </v>
          </cell>
        </row>
        <row r="993">
          <cell r="A993">
            <v>42496</v>
          </cell>
          <cell r="B993" t="str">
            <v>Demolição e remoção de pavimento asfáltico em Vias Urbanas</v>
          </cell>
          <cell r="C993" t="str">
            <v>M2</v>
          </cell>
          <cell r="D993">
            <v>4.8</v>
          </cell>
          <cell r="E993">
            <v>3.9</v>
          </cell>
          <cell r="F993" t="str">
            <v xml:space="preserve"> </v>
          </cell>
        </row>
        <row r="994">
          <cell r="A994">
            <v>41133</v>
          </cell>
          <cell r="B994" t="str">
            <v>Fresagem de pavimento asfáltico a frio, esp. até 15cm, exclusive transporte de materiais, em Vias Urbanas</v>
          </cell>
          <cell r="C994" t="str">
            <v>M2</v>
          </cell>
          <cell r="D994">
            <v>21.21</v>
          </cell>
          <cell r="E994">
            <v>17.2</v>
          </cell>
          <cell r="F994" t="str">
            <v xml:space="preserve"> </v>
          </cell>
        </row>
        <row r="995">
          <cell r="A995">
            <v>42479</v>
          </cell>
          <cell r="B995" t="str">
            <v>Fresagem de pavimento asfáltico a frio, esp=5cm, exclusive transporte de materiais em Vias Urbanas</v>
          </cell>
          <cell r="C995" t="str">
            <v>M2</v>
          </cell>
          <cell r="D995">
            <v>14.61</v>
          </cell>
          <cell r="E995">
            <v>11.85</v>
          </cell>
          <cell r="F995" t="str">
            <v xml:space="preserve"> </v>
          </cell>
        </row>
        <row r="996">
          <cell r="A996">
            <v>43333</v>
          </cell>
          <cell r="B996" t="str">
            <v>Imprimação exclusive fornecimento e transporte comercial do material betuminoso em Vias Urbanas</v>
          </cell>
          <cell r="C996" t="str">
            <v>M2</v>
          </cell>
          <cell r="D996">
            <v>1.45</v>
          </cell>
          <cell r="E996">
            <v>1.18</v>
          </cell>
          <cell r="F996" t="str">
            <v xml:space="preserve"> </v>
          </cell>
        </row>
        <row r="997">
          <cell r="A997">
            <v>42484</v>
          </cell>
          <cell r="B997" t="str">
            <v>Imprimação inclusive fornecimento e transporte comercial do material betuminoso em Vias Urbanas</v>
          </cell>
          <cell r="C997" t="str">
            <v>M2</v>
          </cell>
          <cell r="D997">
            <v>10.35</v>
          </cell>
          <cell r="E997">
            <v>8.4</v>
          </cell>
          <cell r="F997" t="str">
            <v>A incluir</v>
          </cell>
        </row>
        <row r="998">
          <cell r="A998">
            <v>42497</v>
          </cell>
          <cell r="B998" t="str">
            <v>Micro revestimento asfáltico à frio inclusive fornecimento e transporte comercial do material betuminoso, em Vias Urbanas</v>
          </cell>
          <cell r="C998" t="str">
            <v>M2</v>
          </cell>
          <cell r="D998">
            <v>20.87</v>
          </cell>
          <cell r="E998">
            <v>16.93</v>
          </cell>
          <cell r="F998" t="str">
            <v>A incluir</v>
          </cell>
        </row>
        <row r="999">
          <cell r="A999">
            <v>42493</v>
          </cell>
          <cell r="B999" t="str">
            <v>Obturação de buracos c/ CBUQ inclusive fornecimento e transporte comercial dos materiais betuminosos em  Vias Urbanas</v>
          </cell>
          <cell r="C999" t="str">
            <v>M2</v>
          </cell>
          <cell r="D999">
            <v>105.42</v>
          </cell>
          <cell r="E999">
            <v>85.49</v>
          </cell>
          <cell r="F999" t="str">
            <v>A incluir</v>
          </cell>
        </row>
        <row r="1000">
          <cell r="A1000">
            <v>42494</v>
          </cell>
          <cell r="B1000" t="str">
            <v>Obturação de buracos c/ CBUQ inclusive fornecimento e transporte dos materiais betuminosos  em Vias Urbanas</v>
          </cell>
          <cell r="C1000" t="str">
            <v>t</v>
          </cell>
          <cell r="D1000">
            <v>613.33000000000004</v>
          </cell>
          <cell r="E1000">
            <v>497.35</v>
          </cell>
          <cell r="F1000" t="str">
            <v>A incluir</v>
          </cell>
        </row>
        <row r="1001">
          <cell r="A1001">
            <v>42498</v>
          </cell>
          <cell r="B1001" t="str">
            <v>Pavimentação com blocos de concreto (35 MPa), esp.=06cm, sobre colchão areia esp.=5cm, inclusive fornecim. e transporte  blocos e areia,  Vias Urbanas</v>
          </cell>
          <cell r="C1001" t="str">
            <v>M2</v>
          </cell>
          <cell r="D1001">
            <v>98.9</v>
          </cell>
          <cell r="E1001">
            <v>80.2</v>
          </cell>
          <cell r="F1001" t="str">
            <v>A incluir</v>
          </cell>
        </row>
        <row r="1002">
          <cell r="A1002">
            <v>42499</v>
          </cell>
          <cell r="B1002" t="str">
            <v>Pavimentação com blocos de concreto (35 MPa), esp.=08cm, sobre colchão de areia 5cm, inclusive fornecim. e transporte blocos e areia, em Vias Urbanas</v>
          </cell>
          <cell r="C1002" t="str">
            <v>M2</v>
          </cell>
          <cell r="D1002">
            <v>117.17</v>
          </cell>
          <cell r="E1002">
            <v>95.02</v>
          </cell>
          <cell r="F1002" t="str">
            <v>A incluir</v>
          </cell>
        </row>
        <row r="1003">
          <cell r="A1003">
            <v>42500</v>
          </cell>
          <cell r="B1003" t="str">
            <v>Pavimentação com blocos de concreto (35 MPa), esp.=10cm, sobre colchão de areia esp.= 5cm, inclusive fornecim.e transporte  blocos e areia,Vias Urbanas</v>
          </cell>
          <cell r="C1003" t="str">
            <v>M2</v>
          </cell>
          <cell r="D1003">
            <v>123.73</v>
          </cell>
          <cell r="E1003">
            <v>100.34</v>
          </cell>
          <cell r="F1003" t="str">
            <v>A incluir</v>
          </cell>
        </row>
        <row r="1004">
          <cell r="A1004">
            <v>42501</v>
          </cell>
          <cell r="B1004" t="str">
            <v>Pavimentação com paralelepípedo, colchão areia 5cm, inclusive fornecimento e transporte do paralelepípedo e areia, em Vias Urbanas</v>
          </cell>
          <cell r="C1004" t="str">
            <v>M2</v>
          </cell>
          <cell r="D1004">
            <v>212.09</v>
          </cell>
          <cell r="E1004">
            <v>171.99</v>
          </cell>
          <cell r="F1004" t="str">
            <v>A incluir</v>
          </cell>
        </row>
        <row r="1005">
          <cell r="A1005">
            <v>42502</v>
          </cell>
          <cell r="B1005" t="str">
            <v>Pavimentação com paralelepípedo sobre colchão pó de pedra esp.=5cm, inclusive fornecimento e transporte do paralelepípedo e pó de pedra,  Vias Urbanas</v>
          </cell>
          <cell r="C1005" t="str">
            <v>M2</v>
          </cell>
          <cell r="D1005">
            <v>211.54</v>
          </cell>
          <cell r="E1005">
            <v>171.54</v>
          </cell>
          <cell r="F1005" t="str">
            <v>A incluir</v>
          </cell>
        </row>
        <row r="1006">
          <cell r="A1006">
            <v>42503</v>
          </cell>
          <cell r="B1006" t="str">
            <v>Pavimentação com pedra portuguesa, inclusive fornecimento e transporte do cimento, areia e pedra portuguesa em Vias Urbanas</v>
          </cell>
          <cell r="C1006" t="str">
            <v>M2</v>
          </cell>
          <cell r="D1006">
            <v>162.74</v>
          </cell>
          <cell r="E1006">
            <v>131.97</v>
          </cell>
          <cell r="F1006" t="str">
            <v>A incluir</v>
          </cell>
        </row>
        <row r="1007">
          <cell r="A1007">
            <v>43334</v>
          </cell>
          <cell r="B1007" t="str">
            <v>Pintura de ligação exclusive fornecimento e transporte comercial do material betuminoso em Vias Urbanas</v>
          </cell>
          <cell r="C1007" t="str">
            <v>M2</v>
          </cell>
          <cell r="D1007">
            <v>1.2</v>
          </cell>
          <cell r="E1007">
            <v>0.98</v>
          </cell>
          <cell r="F1007" t="str">
            <v xml:space="preserve"> </v>
          </cell>
        </row>
        <row r="1008">
          <cell r="A1008">
            <v>42485</v>
          </cell>
          <cell r="B1008" t="str">
            <v>Pintura de ligação inclusive fornecimento e transporte comercial do material betuminoso em Vias Urbanas</v>
          </cell>
          <cell r="C1008" t="str">
            <v>M2</v>
          </cell>
          <cell r="D1008">
            <v>3.28</v>
          </cell>
          <cell r="E1008">
            <v>2.66</v>
          </cell>
          <cell r="F1008" t="str">
            <v>A incluir</v>
          </cell>
        </row>
        <row r="1009">
          <cell r="A1009">
            <v>42495</v>
          </cell>
          <cell r="B1009" t="str">
            <v>Remoção de capa asfáltica em TSS, TSD, ou TST exclusive transporte em Vias Urbanas</v>
          </cell>
          <cell r="C1009" t="str">
            <v>M2</v>
          </cell>
          <cell r="D1009">
            <v>1.4</v>
          </cell>
          <cell r="E1009">
            <v>1.1399999999999999</v>
          </cell>
          <cell r="F1009" t="str">
            <v xml:space="preserve"> </v>
          </cell>
        </row>
        <row r="1010">
          <cell r="A1010">
            <v>42507</v>
          </cell>
          <cell r="B1010" t="str">
            <v>Remoção de meio fio em Vias Urbanas</v>
          </cell>
          <cell r="C1010" t="str">
            <v>M</v>
          </cell>
          <cell r="D1010">
            <v>29.31</v>
          </cell>
          <cell r="E1010">
            <v>23.77</v>
          </cell>
          <cell r="F1010" t="str">
            <v xml:space="preserve"> </v>
          </cell>
        </row>
        <row r="1011">
          <cell r="A1011">
            <v>42505</v>
          </cell>
          <cell r="B1011" t="str">
            <v>Remoção de pavimentação poliédrica em Vias Urbanas</v>
          </cell>
          <cell r="C1011" t="str">
            <v>M2</v>
          </cell>
          <cell r="D1011">
            <v>23.68</v>
          </cell>
          <cell r="E1011">
            <v>19.21</v>
          </cell>
          <cell r="F1011" t="str">
            <v xml:space="preserve"> </v>
          </cell>
        </row>
        <row r="1012">
          <cell r="A1012">
            <v>42504</v>
          </cell>
          <cell r="B1012" t="str">
            <v>Remoção e reassentamento de blocos de concreto, inclusive perdas em Vias Urbanas</v>
          </cell>
          <cell r="C1012" t="str">
            <v>M2</v>
          </cell>
          <cell r="D1012">
            <v>59.87</v>
          </cell>
          <cell r="E1012">
            <v>48.55</v>
          </cell>
          <cell r="F1012" t="str">
            <v>A incluir</v>
          </cell>
        </row>
        <row r="1013">
          <cell r="A1013">
            <v>42506</v>
          </cell>
          <cell r="B1013" t="str">
            <v>Remoção e reassentamento de paralelepípedos, inclusive perdas em Vias Urbanas</v>
          </cell>
          <cell r="C1013" t="str">
            <v>M2</v>
          </cell>
          <cell r="D1013">
            <v>68.709999999999994</v>
          </cell>
          <cell r="E1013">
            <v>55.72</v>
          </cell>
          <cell r="F1013" t="str">
            <v>A incluir</v>
          </cell>
        </row>
        <row r="1014">
          <cell r="A1014">
            <v>42482</v>
          </cell>
          <cell r="B1014" t="str">
            <v>Sub-base de brita graduada, inclusive fornecimento e transporte da brita em Vias Urbanas</v>
          </cell>
          <cell r="C1014" t="str">
            <v>M3</v>
          </cell>
          <cell r="D1014">
            <v>112.86</v>
          </cell>
          <cell r="E1014">
            <v>91.52</v>
          </cell>
          <cell r="F1014" t="str">
            <v>A incluir</v>
          </cell>
        </row>
        <row r="1015">
          <cell r="A1015">
            <v>42702</v>
          </cell>
          <cell r="B1015" t="str">
            <v>Sub-base de brita 1, inclusive fornecimento, exclusive transporte da brita em Vias Urbanas</v>
          </cell>
          <cell r="C1015" t="str">
            <v>M3</v>
          </cell>
          <cell r="D1015">
            <v>160.35</v>
          </cell>
          <cell r="E1015">
            <v>130.03</v>
          </cell>
          <cell r="F1015" t="str">
            <v xml:space="preserve"> </v>
          </cell>
        </row>
        <row r="1016">
          <cell r="A1016">
            <v>42480</v>
          </cell>
          <cell r="B1016" t="str">
            <v>Sub-base solo brita, 50% em peso, inclusive fornecimento e transporte da brita em Vias Urbanas</v>
          </cell>
          <cell r="C1016" t="str">
            <v>M3</v>
          </cell>
          <cell r="D1016">
            <v>87.63</v>
          </cell>
          <cell r="E1016">
            <v>71.06</v>
          </cell>
          <cell r="F1016" t="str">
            <v>A incluir</v>
          </cell>
        </row>
        <row r="1017">
          <cell r="A1017">
            <v>42489</v>
          </cell>
          <cell r="B1017" t="str">
            <v>T.S.B.D. com capa selante, executado com Multidistribuidor inclusive fornecimento e transporte da emulsão, areia, brita e lavagem da brita -V. Urbanas</v>
          </cell>
          <cell r="C1017" t="str">
            <v>M2</v>
          </cell>
          <cell r="D1017">
            <v>17.239999999999998</v>
          </cell>
          <cell r="E1017">
            <v>13.98</v>
          </cell>
          <cell r="F1017" t="str">
            <v>A incluir</v>
          </cell>
        </row>
        <row r="1018">
          <cell r="A1018">
            <v>42487</v>
          </cell>
          <cell r="B1018" t="str">
            <v>T.S.B.D. com capa selante inclusive fornec. areia/brita/emulsão, transporte comerc. emulsão e  lavagem brita, exclus. transp. areia e brita - V.Urbana</v>
          </cell>
          <cell r="C1018" t="str">
            <v>M2</v>
          </cell>
          <cell r="D1018">
            <v>28.59</v>
          </cell>
          <cell r="E1018">
            <v>23.19</v>
          </cell>
          <cell r="F1018" t="str">
            <v>A incluir</v>
          </cell>
        </row>
        <row r="1019">
          <cell r="A1019">
            <v>42486</v>
          </cell>
          <cell r="B1019" t="str">
            <v>T.S.B.D. sem capa selante,  inclusive fornecimento e transporte comercial do material betuminoso e lavagem da brita em Vias Urbanas</v>
          </cell>
          <cell r="C1019" t="str">
            <v>M2</v>
          </cell>
          <cell r="D1019">
            <v>16.48</v>
          </cell>
          <cell r="E1019">
            <v>13.37</v>
          </cell>
          <cell r="F1019" t="str">
            <v>A incluir</v>
          </cell>
        </row>
        <row r="1020">
          <cell r="A1020">
            <v>42488</v>
          </cell>
          <cell r="B1020" t="str">
            <v>T.S.B.D. sem capa selante executado com Multidistribuidor excl. forn.e transp. com. da emulsão, inclus. fornecim., transp.e lavagem brita, V.Urbanas</v>
          </cell>
          <cell r="C1020" t="str">
            <v>M2</v>
          </cell>
          <cell r="D1020">
            <v>11.38</v>
          </cell>
          <cell r="E1020">
            <v>9.23</v>
          </cell>
          <cell r="F1020" t="str">
            <v>A incluir</v>
          </cell>
        </row>
        <row r="1021">
          <cell r="A1021">
            <v>42601</v>
          </cell>
          <cell r="B1021" t="str">
            <v>Alvenaria de bloco (39 x 19 x 09) cm espessura 09 cm em Vias Urbanas, inclusive transporte, areia, cimento e bloco</v>
          </cell>
          <cell r="C1021" t="str">
            <v>M2</v>
          </cell>
          <cell r="D1021">
            <v>68.97</v>
          </cell>
          <cell r="E1021">
            <v>55.93</v>
          </cell>
          <cell r="F1021" t="str">
            <v>A incluir</v>
          </cell>
        </row>
        <row r="1022">
          <cell r="A1022">
            <v>43602</v>
          </cell>
          <cell r="B1022" t="str">
            <v>Alvenaria de bloco (39 x 19 x 19) cm espessura 19 cm em Vias Urbanas</v>
          </cell>
          <cell r="C1022" t="str">
            <v>M2</v>
          </cell>
          <cell r="D1022">
            <v>104.63</v>
          </cell>
          <cell r="E1022">
            <v>84.85</v>
          </cell>
          <cell r="F1022" t="str">
            <v>A incluir</v>
          </cell>
        </row>
        <row r="1023">
          <cell r="A1023">
            <v>42602</v>
          </cell>
          <cell r="B1023" t="str">
            <v>Alvenaria de bloco (39 x 19 x 19) cm espessura 19 cm, inclusive transporte de areia, cimento e  bloco em Vias Urbanas</v>
          </cell>
          <cell r="C1023" t="str">
            <v>M2</v>
          </cell>
          <cell r="D1023">
            <v>113.81</v>
          </cell>
          <cell r="E1023">
            <v>92.29</v>
          </cell>
          <cell r="F1023" t="str">
            <v>A incluir</v>
          </cell>
        </row>
        <row r="1024">
          <cell r="A1024">
            <v>42603</v>
          </cell>
          <cell r="B1024" t="str">
            <v>Alvenaria de lajota (20 x 20 x 10) cm espessura 10 cm , inclusive transporte de areia, lajota e cimento, em Vias Urbanas</v>
          </cell>
          <cell r="C1024" t="str">
            <v>M2</v>
          </cell>
          <cell r="D1024">
            <v>75.64</v>
          </cell>
          <cell r="E1024">
            <v>61.34</v>
          </cell>
          <cell r="F1024" t="str">
            <v>A incluir</v>
          </cell>
        </row>
        <row r="1025">
          <cell r="A1025">
            <v>42604</v>
          </cell>
          <cell r="B1025" t="str">
            <v>Alvenaria de pedra  de mão (junta seca), inclusive transporte da pedra em Vias Urbanas</v>
          </cell>
          <cell r="C1025" t="str">
            <v>M3</v>
          </cell>
          <cell r="D1025">
            <v>326.74</v>
          </cell>
          <cell r="E1025">
            <v>264.95999999999998</v>
          </cell>
          <cell r="F1025" t="str">
            <v>A incluir</v>
          </cell>
        </row>
        <row r="1026">
          <cell r="A1026">
            <v>42605</v>
          </cell>
          <cell r="B1026" t="str">
            <v>Alvenaria de pedra de mão argamassada (argamassa cimento areia 1:4) inclusive transporte da pedra de mão, em Vias Urbanas</v>
          </cell>
          <cell r="C1026" t="str">
            <v>M3</v>
          </cell>
          <cell r="D1026">
            <v>443.02</v>
          </cell>
          <cell r="E1026">
            <v>359.25</v>
          </cell>
          <cell r="F1026" t="str">
            <v>A incluir</v>
          </cell>
        </row>
        <row r="1027">
          <cell r="A1027">
            <v>42606</v>
          </cell>
          <cell r="B1027" t="str">
            <v>Andaime de madeira para altura até 7 m, compreendendo montagem e desmontagem em Vias  Urbanas</v>
          </cell>
          <cell r="C1027" t="str">
            <v>M3</v>
          </cell>
          <cell r="D1027">
            <v>36.299999999999997</v>
          </cell>
          <cell r="E1027">
            <v>29.44</v>
          </cell>
          <cell r="F1027" t="str">
            <v xml:space="preserve"> </v>
          </cell>
        </row>
        <row r="1028">
          <cell r="A1028">
            <v>42607</v>
          </cell>
          <cell r="B1028" t="str">
            <v>Andaime suspenso em madeira, inclusive montagem e desmontagem em Vias Urbanas</v>
          </cell>
          <cell r="C1028" t="str">
            <v>M2</v>
          </cell>
          <cell r="D1028">
            <v>216.13</v>
          </cell>
          <cell r="E1028">
            <v>175.26</v>
          </cell>
          <cell r="F1028" t="str">
            <v xml:space="preserve"> </v>
          </cell>
        </row>
        <row r="1029">
          <cell r="A1029">
            <v>42608</v>
          </cell>
          <cell r="B1029" t="str">
            <v>Apicoamento manual de superfície de concreto em Vias Urbanas</v>
          </cell>
          <cell r="C1029" t="str">
            <v>M2</v>
          </cell>
          <cell r="D1029">
            <v>29.75</v>
          </cell>
          <cell r="E1029">
            <v>24.13</v>
          </cell>
          <cell r="F1029" t="str">
            <v xml:space="preserve"> </v>
          </cell>
        </row>
        <row r="1030">
          <cell r="A1030">
            <v>42609</v>
          </cell>
          <cell r="B1030" t="str">
            <v>Apiloamento manual em Vias Urbanas</v>
          </cell>
          <cell r="C1030" t="str">
            <v>M3</v>
          </cell>
          <cell r="D1030">
            <v>63.55</v>
          </cell>
          <cell r="E1030">
            <v>51.54</v>
          </cell>
          <cell r="F1030" t="str">
            <v xml:space="preserve"> </v>
          </cell>
        </row>
        <row r="1031">
          <cell r="A1031">
            <v>42611</v>
          </cell>
          <cell r="B1031" t="str">
            <v>Argamassa cimento e areia traço 1:4 em Vias Urbanas</v>
          </cell>
          <cell r="C1031" t="str">
            <v>M3</v>
          </cell>
          <cell r="D1031">
            <v>551.55999999999995</v>
          </cell>
          <cell r="E1031">
            <v>447.26</v>
          </cell>
          <cell r="F1031" t="str">
            <v>A incluir</v>
          </cell>
        </row>
        <row r="1032">
          <cell r="A1032">
            <v>42612</v>
          </cell>
          <cell r="B1032" t="str">
            <v>Argamassa cimento (nata) em Vias Urbanas</v>
          </cell>
          <cell r="C1032" t="str">
            <v>M3</v>
          </cell>
          <cell r="D1032">
            <v>972.3</v>
          </cell>
          <cell r="E1032">
            <v>788.44</v>
          </cell>
          <cell r="F1032" t="str">
            <v>A incluir</v>
          </cell>
        </row>
        <row r="1033">
          <cell r="A1033">
            <v>42613</v>
          </cell>
          <cell r="B1033" t="str">
            <v>Argamassa de cimento e areia, traço 1:4, consumo de cimento 400 kg/m³ em Vias Urbanas</v>
          </cell>
          <cell r="C1033" t="str">
            <v>M3</v>
          </cell>
          <cell r="D1033">
            <v>565.54</v>
          </cell>
          <cell r="E1033">
            <v>458.6</v>
          </cell>
          <cell r="F1033" t="str">
            <v>A incluir</v>
          </cell>
        </row>
        <row r="1034">
          <cell r="A1034">
            <v>42615</v>
          </cell>
          <cell r="B1034" t="str">
            <v>Berço de concreto ciclópico para BDTC diâmetro 0,60 m em Via Urbanas</v>
          </cell>
          <cell r="C1034" t="str">
            <v>M</v>
          </cell>
          <cell r="D1034">
            <v>297.36</v>
          </cell>
          <cell r="E1034">
            <v>241.13</v>
          </cell>
          <cell r="F1034" t="str">
            <v>A incluir</v>
          </cell>
        </row>
        <row r="1035">
          <cell r="A1035">
            <v>41173</v>
          </cell>
          <cell r="B1035" t="str">
            <v>Berço em brita para BSTC diâm. = 0,30 m em Vias Urbanas</v>
          </cell>
          <cell r="C1035" t="str">
            <v>M</v>
          </cell>
          <cell r="D1035">
            <v>22.28</v>
          </cell>
          <cell r="E1035">
            <v>18.07</v>
          </cell>
          <cell r="F1035" t="str">
            <v>A incluir</v>
          </cell>
        </row>
        <row r="1036">
          <cell r="A1036">
            <v>41174</v>
          </cell>
          <cell r="B1036" t="str">
            <v>Berço em brita para BSTC diâm. = 0,40 m em Vias Urbanas</v>
          </cell>
          <cell r="C1036" t="str">
            <v>M</v>
          </cell>
          <cell r="D1036">
            <v>23.76</v>
          </cell>
          <cell r="E1036">
            <v>19.27</v>
          </cell>
          <cell r="F1036" t="str">
            <v>A incluir</v>
          </cell>
        </row>
        <row r="1037">
          <cell r="A1037">
            <v>41175</v>
          </cell>
          <cell r="B1037" t="str">
            <v>Berço em brita para BSTC diâm. = 0,60 m em Vias Urbanas</v>
          </cell>
          <cell r="C1037" t="str">
            <v>M</v>
          </cell>
          <cell r="D1037">
            <v>29.68</v>
          </cell>
          <cell r="E1037">
            <v>24.07</v>
          </cell>
          <cell r="F1037" t="str">
            <v>A incluir</v>
          </cell>
        </row>
        <row r="1038">
          <cell r="A1038">
            <v>41176</v>
          </cell>
          <cell r="B1038" t="str">
            <v>Berço em brita para BSTC diam. = 0,80 m em Vias Urbanas</v>
          </cell>
          <cell r="C1038" t="str">
            <v>M</v>
          </cell>
          <cell r="D1038">
            <v>44.48</v>
          </cell>
          <cell r="E1038">
            <v>36.07</v>
          </cell>
          <cell r="F1038" t="str">
            <v>A incluir</v>
          </cell>
        </row>
        <row r="1039">
          <cell r="A1039">
            <v>42635</v>
          </cell>
          <cell r="B1039" t="str">
            <v>Boca de BDCC 2,00 x 1,20m conforme projeto em Vias Urbanas</v>
          </cell>
          <cell r="C1039" t="str">
            <v>Ud</v>
          </cell>
          <cell r="D1039">
            <v>20245.07</v>
          </cell>
          <cell r="E1039">
            <v>16416.7</v>
          </cell>
          <cell r="F1039" t="str">
            <v xml:space="preserve"> </v>
          </cell>
        </row>
        <row r="1040">
          <cell r="A1040">
            <v>40628</v>
          </cell>
          <cell r="B1040" t="str">
            <v>Boca de BDCC 2,00 x 2,50 m em Vias Urbanas</v>
          </cell>
          <cell r="C1040" t="str">
            <v>Ud</v>
          </cell>
          <cell r="D1040">
            <v>41114.85</v>
          </cell>
          <cell r="E1040">
            <v>33339.97</v>
          </cell>
          <cell r="F1040" t="str">
            <v xml:space="preserve"> </v>
          </cell>
        </row>
        <row r="1041">
          <cell r="A1041">
            <v>40619</v>
          </cell>
          <cell r="B1041" t="str">
            <v>Boca de BSCC 2,50 x 2,50 m, projeto DNIT em Vias Urbanas</v>
          </cell>
          <cell r="C1041" t="str">
            <v>Ud</v>
          </cell>
          <cell r="D1041">
            <v>37205.870000000003</v>
          </cell>
          <cell r="E1041">
            <v>30170.19</v>
          </cell>
          <cell r="F1041" t="str">
            <v xml:space="preserve"> </v>
          </cell>
        </row>
        <row r="1042">
          <cell r="A1042">
            <v>41087</v>
          </cell>
          <cell r="B1042" t="str">
            <v>Boca de lobo simples em blocos pré-moldados CR(0,40 x 0,80 m) em Vias Urbanas</v>
          </cell>
          <cell r="C1042" t="str">
            <v>Ud</v>
          </cell>
          <cell r="D1042">
            <v>1709.77</v>
          </cell>
          <cell r="E1042">
            <v>1386.45</v>
          </cell>
          <cell r="F1042" t="str">
            <v xml:space="preserve"> </v>
          </cell>
        </row>
        <row r="1043">
          <cell r="A1043">
            <v>42676</v>
          </cell>
          <cell r="B1043" t="str">
            <v>Bueiro Metálico BSTM - D= 3,00 m - T.L. com tratamento epóxi e=2,7 mm - método não destrutivo em Vias Urbanas</v>
          </cell>
          <cell r="C1043" t="str">
            <v>M</v>
          </cell>
          <cell r="D1043">
            <v>19407.28</v>
          </cell>
          <cell r="E1043">
            <v>15737.34</v>
          </cell>
          <cell r="F1043" t="str">
            <v>A incluir</v>
          </cell>
        </row>
        <row r="1044">
          <cell r="A1044">
            <v>42677</v>
          </cell>
          <cell r="B1044" t="str">
            <v>Bueiro Metálico BSTM - D=3,05m - MP-152 com tratamento epóxi e=2,7mm - método destrutivo, inclusive lastro de brita em Vias Urbanas</v>
          </cell>
          <cell r="C1044" t="str">
            <v>M</v>
          </cell>
          <cell r="D1044">
            <v>15113.39</v>
          </cell>
          <cell r="E1044">
            <v>12255.43</v>
          </cell>
          <cell r="F1044" t="str">
            <v>A incluir</v>
          </cell>
        </row>
        <row r="1045">
          <cell r="A1045">
            <v>42678</v>
          </cell>
          <cell r="B1045" t="str">
            <v>Caiação de meio fios, sarjetas, etc. em Vias Urbanas</v>
          </cell>
          <cell r="C1045" t="str">
            <v>M2</v>
          </cell>
          <cell r="D1045">
            <v>7.78</v>
          </cell>
          <cell r="E1045">
            <v>6.31</v>
          </cell>
          <cell r="F1045" t="str">
            <v xml:space="preserve"> </v>
          </cell>
        </row>
        <row r="1046">
          <cell r="A1046">
            <v>41159</v>
          </cell>
          <cell r="B1046" t="str">
            <v>Caixa Boca de Lobo em bloco pré-moldado de concreto para diâm.=1,00m (1,30 x 1,30m) em Vias Urbanas</v>
          </cell>
          <cell r="C1046" t="str">
            <v>Ud</v>
          </cell>
          <cell r="D1046">
            <v>4014.22</v>
          </cell>
          <cell r="E1046">
            <v>3255.13</v>
          </cell>
          <cell r="F1046" t="str">
            <v xml:space="preserve"> </v>
          </cell>
        </row>
        <row r="1047">
          <cell r="A1047">
            <v>41144</v>
          </cell>
          <cell r="B1047" t="str">
            <v>Caixa Boca de Lobo em bloco pré-moldado para diâm. = 0,60m (1,00 x 1,00m) CBL2 (Vias Urbanas)</v>
          </cell>
          <cell r="C1047" t="str">
            <v>Ud</v>
          </cell>
          <cell r="D1047">
            <v>2940.03</v>
          </cell>
          <cell r="E1047">
            <v>2384.0700000000002</v>
          </cell>
          <cell r="F1047" t="str">
            <v xml:space="preserve"> </v>
          </cell>
        </row>
        <row r="1048">
          <cell r="A1048">
            <v>41158</v>
          </cell>
          <cell r="B1048" t="str">
            <v>Caixa Boca de Lobo em bloco pré-moldado para diâm. = 0,80m (1,20 x 1,20m) (Vias Urbanas)</v>
          </cell>
          <cell r="C1048" t="str">
            <v>Ud</v>
          </cell>
          <cell r="D1048">
            <v>3442.94</v>
          </cell>
          <cell r="E1048">
            <v>2791.88</v>
          </cell>
          <cell r="F1048" t="str">
            <v xml:space="preserve"> </v>
          </cell>
        </row>
        <row r="1049">
          <cell r="A1049">
            <v>41160</v>
          </cell>
          <cell r="B1049" t="str">
            <v>Caixa Boca de Lobo em bloco pré-moldado para diâm. = 1,20m(1,50 x 1,50m) (Vias Urbanas)</v>
          </cell>
          <cell r="C1049" t="str">
            <v>Ud</v>
          </cell>
          <cell r="D1049">
            <v>5111.63</v>
          </cell>
          <cell r="E1049">
            <v>4145.0200000000004</v>
          </cell>
          <cell r="F1049" t="str">
            <v xml:space="preserve"> </v>
          </cell>
        </row>
        <row r="1050">
          <cell r="A1050">
            <v>41101</v>
          </cell>
          <cell r="B1050" t="str">
            <v>Caixa Boca de Lobo em bloco pré-moldado para diâm.= 0,30m e 0,40m (0,80 x 0,80m) (Vias Urbanas)</v>
          </cell>
          <cell r="C1050" t="str">
            <v>Ud</v>
          </cell>
          <cell r="D1050">
            <v>2459.66</v>
          </cell>
          <cell r="E1050">
            <v>1994.54</v>
          </cell>
          <cell r="F1050" t="str">
            <v xml:space="preserve"> </v>
          </cell>
        </row>
        <row r="1051">
          <cell r="A1051">
            <v>42679</v>
          </cell>
          <cell r="B1051" t="str">
            <v>Caixa Boca de Lobo em bloco pré-moldado 1,20 x 1,20m em Vias Urbanas</v>
          </cell>
          <cell r="C1051" t="str">
            <v>Ud</v>
          </cell>
          <cell r="D1051">
            <v>5536.13</v>
          </cell>
          <cell r="E1051">
            <v>4489.24</v>
          </cell>
          <cell r="F1051" t="str">
            <v xml:space="preserve"> </v>
          </cell>
        </row>
        <row r="1052">
          <cell r="A1052">
            <v>42680</v>
          </cell>
          <cell r="B1052" t="str">
            <v>Caixa coletora concreto armado H= 2,00m, inclusive escavação em Vias Urbanas</v>
          </cell>
          <cell r="C1052" t="str">
            <v>Ud</v>
          </cell>
          <cell r="D1052">
            <v>5288.22</v>
          </cell>
          <cell r="E1052">
            <v>4288.21</v>
          </cell>
          <cell r="F1052" t="str">
            <v xml:space="preserve"> </v>
          </cell>
        </row>
        <row r="1053">
          <cell r="A1053">
            <v>42681</v>
          </cell>
          <cell r="B1053" t="str">
            <v>Caixa coletora concreto armado H= 2,50m, inclusive escavação em Vias Urbanas</v>
          </cell>
          <cell r="C1053" t="str">
            <v>Ud</v>
          </cell>
          <cell r="D1053">
            <v>6490.47</v>
          </cell>
          <cell r="E1053">
            <v>5263.12</v>
          </cell>
          <cell r="F1053" t="str">
            <v xml:space="preserve"> </v>
          </cell>
        </row>
        <row r="1054">
          <cell r="A1054">
            <v>42682</v>
          </cell>
          <cell r="B1054" t="str">
            <v>Caixa coletora em bloco pré-moldado para d=0,60m (1,00 x 1,00m) em Vias Urbanas</v>
          </cell>
          <cell r="C1054" t="str">
            <v>Ud</v>
          </cell>
          <cell r="D1054">
            <v>2603.06</v>
          </cell>
          <cell r="E1054">
            <v>2110.8200000000002</v>
          </cell>
          <cell r="F1054" t="str">
            <v>A incluir</v>
          </cell>
        </row>
        <row r="1055">
          <cell r="A1055">
            <v>41334</v>
          </cell>
          <cell r="B1055" t="str">
            <v>Caixa coletora em bloco pré-moldado para d=0,80m (1,20 x 1,20m) em Vias Urbanas</v>
          </cell>
          <cell r="C1055" t="str">
            <v>Ud</v>
          </cell>
          <cell r="D1055">
            <v>3282.97</v>
          </cell>
          <cell r="E1055">
            <v>2662.16</v>
          </cell>
          <cell r="F1055" t="str">
            <v>A incluir</v>
          </cell>
        </row>
        <row r="1056">
          <cell r="A1056">
            <v>42683</v>
          </cell>
          <cell r="B1056" t="str">
            <v>Caixa de concreto para BSTC diâmetro 0,40 m H=1,60 m em Vias Urbanas</v>
          </cell>
          <cell r="C1056" t="str">
            <v>Ud</v>
          </cell>
          <cell r="D1056">
            <v>2472.34</v>
          </cell>
          <cell r="E1056">
            <v>2004.82</v>
          </cell>
          <cell r="F1056" t="str">
            <v>A incluir</v>
          </cell>
        </row>
        <row r="1057">
          <cell r="A1057">
            <v>42684</v>
          </cell>
          <cell r="B1057" t="str">
            <v>Caixa de concreto para BSTC diâmetro 0,60m H=2,00m em Vias Urbanas</v>
          </cell>
          <cell r="C1057" t="str">
            <v>Ud</v>
          </cell>
          <cell r="D1057">
            <v>3823.63</v>
          </cell>
          <cell r="E1057">
            <v>3100.58</v>
          </cell>
          <cell r="F1057" t="str">
            <v>A incluir</v>
          </cell>
        </row>
        <row r="1058">
          <cell r="A1058">
            <v>42685</v>
          </cell>
          <cell r="B1058" t="str">
            <v>Caixa de concreto para BSTC diâmetro 0,80m H=2,50m em Vias Urbanas</v>
          </cell>
          <cell r="C1058" t="str">
            <v>Ud</v>
          </cell>
          <cell r="D1058">
            <v>4751.8999999999996</v>
          </cell>
          <cell r="E1058">
            <v>3853.31</v>
          </cell>
          <cell r="F1058" t="str">
            <v>A incluir</v>
          </cell>
        </row>
        <row r="1059">
          <cell r="A1059">
            <v>42686</v>
          </cell>
          <cell r="B1059" t="str">
            <v>Caixa de concreto para BSTC diâmetro 1,00m H=3,00m em Vias Urbanas</v>
          </cell>
          <cell r="C1059" t="str">
            <v>Ud</v>
          </cell>
          <cell r="D1059">
            <v>5640.37</v>
          </cell>
          <cell r="E1059">
            <v>4573.7700000000004</v>
          </cell>
          <cell r="F1059" t="str">
            <v>A incluir</v>
          </cell>
        </row>
        <row r="1060">
          <cell r="A1060">
            <v>41162</v>
          </cell>
          <cell r="B1060" t="str">
            <v>Caixa de passagem em bloco pré-moldado para d=0,30 e 0,40m (0,80x0,80m) em Vias Urbanas</v>
          </cell>
          <cell r="C1060" t="str">
            <v>Ud</v>
          </cell>
          <cell r="D1060">
            <v>2622.06</v>
          </cell>
          <cell r="E1060">
            <v>2126.23</v>
          </cell>
          <cell r="F1060" t="str">
            <v xml:space="preserve"> </v>
          </cell>
        </row>
        <row r="1061">
          <cell r="A1061">
            <v>41163</v>
          </cell>
          <cell r="B1061" t="str">
            <v>Caixa de passagem em bloco pré-moldado para d=0,60m (1,00x1,00m) em Vias Urbanas</v>
          </cell>
          <cell r="C1061" t="str">
            <v>Ud</v>
          </cell>
          <cell r="D1061">
            <v>3139.14</v>
          </cell>
          <cell r="E1061">
            <v>2545.5300000000002</v>
          </cell>
          <cell r="F1061" t="str">
            <v xml:space="preserve"> </v>
          </cell>
        </row>
        <row r="1062">
          <cell r="A1062">
            <v>41164</v>
          </cell>
          <cell r="B1062" t="str">
            <v>Caixa de passagem em bloco pré-moldado para d=0,80m (1,20 x 1,20m) em Vias Urbanas</v>
          </cell>
          <cell r="C1062" t="str">
            <v>Ud</v>
          </cell>
          <cell r="D1062">
            <v>3825.46</v>
          </cell>
          <cell r="E1062">
            <v>3102.06</v>
          </cell>
          <cell r="F1062" t="str">
            <v xml:space="preserve"> </v>
          </cell>
        </row>
        <row r="1063">
          <cell r="A1063">
            <v>41165</v>
          </cell>
          <cell r="B1063" t="str">
            <v>Caixa de passagem em bloco pré-moldado para d=1,00m (1,30 x 1,30m) em Vias Urbanas</v>
          </cell>
          <cell r="C1063" t="str">
            <v>Ud</v>
          </cell>
          <cell r="D1063">
            <v>4268.95</v>
          </cell>
          <cell r="E1063">
            <v>3461.69</v>
          </cell>
          <cell r="F1063" t="str">
            <v xml:space="preserve"> </v>
          </cell>
        </row>
        <row r="1064">
          <cell r="A1064">
            <v>41166</v>
          </cell>
          <cell r="B1064" t="str">
            <v>Caixa de passagem em bloco pré-moldado para d=1,20m (1,50 x 1,50m) em Vias Urbanas</v>
          </cell>
          <cell r="C1064" t="str">
            <v>Ud</v>
          </cell>
          <cell r="D1064">
            <v>5229.3999999999996</v>
          </cell>
          <cell r="E1064">
            <v>4240.5200000000004</v>
          </cell>
          <cell r="F1064" t="str">
            <v xml:space="preserve"> </v>
          </cell>
        </row>
        <row r="1065">
          <cell r="A1065">
            <v>42687</v>
          </cell>
          <cell r="B1065" t="str">
            <v>Caixa de passagem para tubos de D=0,40m H=1,10m em Vias Urbanas</v>
          </cell>
          <cell r="C1065" t="str">
            <v>Ud</v>
          </cell>
          <cell r="D1065">
            <v>1659.02</v>
          </cell>
          <cell r="E1065">
            <v>1345.3</v>
          </cell>
          <cell r="F1065" t="str">
            <v xml:space="preserve"> </v>
          </cell>
        </row>
        <row r="1066">
          <cell r="A1066">
            <v>42688</v>
          </cell>
          <cell r="B1066" t="str">
            <v>Caixa de passagem para tubos de D=0,60m H=1,30m em Vias Urbanas</v>
          </cell>
          <cell r="C1066" t="str">
            <v>Ud</v>
          </cell>
          <cell r="D1066">
            <v>2094.88</v>
          </cell>
          <cell r="E1066">
            <v>1698.74</v>
          </cell>
          <cell r="F1066" t="str">
            <v xml:space="preserve"> </v>
          </cell>
        </row>
        <row r="1067">
          <cell r="A1067">
            <v>42689</v>
          </cell>
          <cell r="B1067" t="str">
            <v>Caixa de passagem para tubos de D=0,80m H=1,50m em Vias Urbanas</v>
          </cell>
          <cell r="C1067" t="str">
            <v>Ud</v>
          </cell>
          <cell r="D1067">
            <v>2631.3</v>
          </cell>
          <cell r="E1067">
            <v>2133.7199999999998</v>
          </cell>
          <cell r="F1067" t="str">
            <v xml:space="preserve"> </v>
          </cell>
        </row>
        <row r="1068">
          <cell r="A1068">
            <v>42690</v>
          </cell>
          <cell r="B1068" t="str">
            <v>Caixa de passagem para tubos de D=1,00m H=1,80m em Vias Urbanas</v>
          </cell>
          <cell r="C1068" t="str">
            <v>Ud</v>
          </cell>
          <cell r="D1068">
            <v>4200.53</v>
          </cell>
          <cell r="E1068">
            <v>3406.21</v>
          </cell>
          <cell r="F1068" t="str">
            <v xml:space="preserve"> </v>
          </cell>
        </row>
        <row r="1069">
          <cell r="A1069">
            <v>42691</v>
          </cell>
          <cell r="B1069" t="str">
            <v>Caixa de passagem (2,50 x 2,50m) em Vias Urbanas</v>
          </cell>
          <cell r="C1069" t="str">
            <v>Ud</v>
          </cell>
          <cell r="D1069">
            <v>9960.74</v>
          </cell>
          <cell r="E1069">
            <v>8077.15</v>
          </cell>
          <cell r="F1069" t="str">
            <v>A incluir</v>
          </cell>
        </row>
        <row r="1070">
          <cell r="A1070">
            <v>42693</v>
          </cell>
          <cell r="B1070" t="str">
            <v>Caixa para rede de dutos dimensões 100 x100 x100 cm, em Vias Urbanas</v>
          </cell>
          <cell r="C1070" t="str">
            <v>M</v>
          </cell>
          <cell r="D1070">
            <v>4517.26</v>
          </cell>
          <cell r="E1070">
            <v>3663.04</v>
          </cell>
          <cell r="F1070" t="str">
            <v xml:space="preserve"> </v>
          </cell>
        </row>
        <row r="1071">
          <cell r="A1071">
            <v>42692</v>
          </cell>
          <cell r="B1071" t="str">
            <v>Caixa para rede de dutos dimensões 60 x 60 x 60 cm, em Vias Urbanas</v>
          </cell>
          <cell r="C1071" t="str">
            <v>Ud</v>
          </cell>
          <cell r="D1071">
            <v>819.52</v>
          </cell>
          <cell r="E1071">
            <v>664.55</v>
          </cell>
          <cell r="F1071" t="str">
            <v xml:space="preserve"> </v>
          </cell>
        </row>
        <row r="1072">
          <cell r="A1072">
            <v>41085</v>
          </cell>
          <cell r="B1072" t="str">
            <v>Caixa ralo com grelha de concreto em blocos pré-moldados - CRG - Vias Urbanas</v>
          </cell>
          <cell r="C1072" t="str">
            <v>Ud</v>
          </cell>
          <cell r="D1072">
            <v>1745.73</v>
          </cell>
          <cell r="E1072">
            <v>1415.61</v>
          </cell>
          <cell r="F1072" t="str">
            <v xml:space="preserve"> </v>
          </cell>
        </row>
        <row r="1073">
          <cell r="A1073">
            <v>42694</v>
          </cell>
          <cell r="B1073" t="str">
            <v>Caixa ralo de elementos pré-moldados em concreto (tudo incluído) em Vias Urbanas</v>
          </cell>
          <cell r="C1073" t="str">
            <v>Ud</v>
          </cell>
          <cell r="D1073">
            <v>852.27</v>
          </cell>
          <cell r="E1073">
            <v>691.11</v>
          </cell>
          <cell r="F1073" t="str">
            <v>A incluir</v>
          </cell>
        </row>
        <row r="1074">
          <cell r="A1074">
            <v>41241</v>
          </cell>
          <cell r="B1074" t="str">
            <v>Caixa ralo em blocos pré-moldados e grelha articulada em FFA em Vias Urbanas</v>
          </cell>
          <cell r="C1074" t="str">
            <v>Ud</v>
          </cell>
          <cell r="D1074">
            <v>1561.25</v>
          </cell>
          <cell r="E1074">
            <v>1266.02</v>
          </cell>
          <cell r="F1074" t="str">
            <v>A incluir</v>
          </cell>
        </row>
        <row r="1075">
          <cell r="A1075">
            <v>42697</v>
          </cell>
          <cell r="B1075" t="str">
            <v>Canaleta com grelha DP-1, inclusive transporte da grelha em Vias Urbanas</v>
          </cell>
          <cell r="C1075" t="str">
            <v>M</v>
          </cell>
          <cell r="D1075">
            <v>742.37</v>
          </cell>
          <cell r="E1075">
            <v>601.99</v>
          </cell>
          <cell r="F1075" t="str">
            <v>A incluir</v>
          </cell>
        </row>
        <row r="1076">
          <cell r="A1076">
            <v>42698</v>
          </cell>
          <cell r="B1076" t="str">
            <v>Canaleta de concreto, com forma retangular inclusive caiação - parede 12 cm em Vias Urbanas</v>
          </cell>
          <cell r="C1076" t="str">
            <v>M</v>
          </cell>
          <cell r="D1076">
            <v>230.79</v>
          </cell>
          <cell r="E1076">
            <v>187.15</v>
          </cell>
          <cell r="F1076" t="str">
            <v>A incluir</v>
          </cell>
        </row>
        <row r="1077">
          <cell r="A1077">
            <v>42699</v>
          </cell>
          <cell r="B1077" t="str">
            <v>Canaleta de concreto retangular (0,130m³/m) inclusive caiação em Vias Urbanas</v>
          </cell>
          <cell r="C1077" t="str">
            <v>M</v>
          </cell>
          <cell r="D1077">
            <v>296.79000000000002</v>
          </cell>
          <cell r="E1077">
            <v>240.67</v>
          </cell>
          <cell r="F1077" t="str">
            <v xml:space="preserve"> </v>
          </cell>
        </row>
        <row r="1078">
          <cell r="A1078">
            <v>42700</v>
          </cell>
          <cell r="B1078" t="str">
            <v>Canaleta de concreto (0,130m³/m) forma trapezoidal inclusive caiação em Vias Urbanas</v>
          </cell>
          <cell r="C1078" t="str">
            <v>M</v>
          </cell>
          <cell r="D1078">
            <v>209.84</v>
          </cell>
          <cell r="E1078">
            <v>170.16</v>
          </cell>
          <cell r="F1078" t="str">
            <v>A incluir</v>
          </cell>
        </row>
        <row r="1079">
          <cell r="A1079">
            <v>42701</v>
          </cell>
          <cell r="B1079" t="str">
            <v>Cerca de tela de arame galvanizado h=1,20m em Vias Urbanas</v>
          </cell>
          <cell r="C1079" t="str">
            <v>M2</v>
          </cell>
          <cell r="D1079">
            <v>53.61</v>
          </cell>
          <cell r="E1079">
            <v>43.48</v>
          </cell>
          <cell r="F1079" t="str">
            <v xml:space="preserve"> </v>
          </cell>
        </row>
        <row r="1080">
          <cell r="A1080">
            <v>42703</v>
          </cell>
          <cell r="B1080" t="str">
            <v>Cerca em tela revestida em PVC com mourões de concreto, fornecimento e execução em Vias  Urbanas</v>
          </cell>
          <cell r="C1080" t="str">
            <v>M2</v>
          </cell>
          <cell r="D1080">
            <v>128.33000000000001</v>
          </cell>
          <cell r="E1080">
            <v>104.07</v>
          </cell>
          <cell r="F1080" t="str">
            <v xml:space="preserve"> </v>
          </cell>
        </row>
        <row r="1081">
          <cell r="A1081">
            <v>42704</v>
          </cell>
          <cell r="B1081" t="str">
            <v>Chapisco com argamassa de cimento e areia 1:3 em Vias Urbanas</v>
          </cell>
          <cell r="C1081" t="str">
            <v>M2</v>
          </cell>
          <cell r="D1081">
            <v>7.28</v>
          </cell>
          <cell r="E1081">
            <v>5.91</v>
          </cell>
          <cell r="F1081" t="str">
            <v xml:space="preserve"> </v>
          </cell>
        </row>
        <row r="1082">
          <cell r="A1082">
            <v>42705</v>
          </cell>
          <cell r="B1082" t="str">
            <v>Chapisco com argamassa de cimento e pedrisco 1:4 em Vias Urbanas</v>
          </cell>
          <cell r="C1082" t="str">
            <v>M2</v>
          </cell>
          <cell r="D1082">
            <v>12.24</v>
          </cell>
          <cell r="E1082">
            <v>9.93</v>
          </cell>
          <cell r="F1082" t="str">
            <v xml:space="preserve"> </v>
          </cell>
        </row>
        <row r="1083">
          <cell r="A1083">
            <v>42706</v>
          </cell>
          <cell r="B1083" t="str">
            <v>Colchão drenante de areia para fundação de aterros, exclusive o fornecimento de areia em Vias Urbanas</v>
          </cell>
          <cell r="C1083" t="str">
            <v>M3</v>
          </cell>
          <cell r="D1083">
            <v>7.26</v>
          </cell>
          <cell r="E1083">
            <v>5.89</v>
          </cell>
          <cell r="F1083" t="str">
            <v xml:space="preserve"> </v>
          </cell>
        </row>
        <row r="1084">
          <cell r="A1084">
            <v>42707</v>
          </cell>
          <cell r="B1084" t="str">
            <v>Colchão drenante de areia para fundação de aterros, inclusive fornecimento e transporte da areia em Vias Urbanas</v>
          </cell>
          <cell r="C1084" t="str">
            <v>M3</v>
          </cell>
          <cell r="D1084">
            <v>87.42</v>
          </cell>
          <cell r="E1084">
            <v>70.89</v>
          </cell>
          <cell r="F1084" t="str">
            <v>A incluir</v>
          </cell>
        </row>
        <row r="1085">
          <cell r="A1085">
            <v>42708</v>
          </cell>
          <cell r="B1085" t="str">
            <v>Colchão drenante de brita 1 inclusive fornecimento, espalhamento, compactação e transporte da brita em Vias Urbanas</v>
          </cell>
          <cell r="C1085" t="str">
            <v>M3</v>
          </cell>
          <cell r="D1085">
            <v>120.26</v>
          </cell>
          <cell r="E1085">
            <v>97.52</v>
          </cell>
          <cell r="F1085" t="str">
            <v>A incluir</v>
          </cell>
        </row>
        <row r="1086">
          <cell r="A1086">
            <v>42709</v>
          </cell>
          <cell r="B1086" t="str">
            <v>Colchão drenante de brita 2 inclusive fornecimento, espalhamento, compactação e transporte da brita em Vias Urbanas</v>
          </cell>
          <cell r="C1086" t="str">
            <v>M3</v>
          </cell>
          <cell r="D1086">
            <v>120.85</v>
          </cell>
          <cell r="E1086">
            <v>98</v>
          </cell>
          <cell r="F1086" t="str">
            <v>A incluir</v>
          </cell>
        </row>
        <row r="1087">
          <cell r="A1087">
            <v>42710</v>
          </cell>
          <cell r="B1087" t="str">
            <v>Colchão drenante de brita 3 inclusive fornecimento, espalhamento, compactação e transporte da brita em Vias Urbanas</v>
          </cell>
          <cell r="C1087" t="str">
            <v>M3</v>
          </cell>
          <cell r="D1087">
            <v>114.04</v>
          </cell>
          <cell r="E1087">
            <v>92.48</v>
          </cell>
          <cell r="F1087" t="str">
            <v>A incluir</v>
          </cell>
        </row>
        <row r="1088">
          <cell r="A1088">
            <v>42711</v>
          </cell>
          <cell r="B1088" t="str">
            <v>Coleta drenante (1,00x1,00) m c/ geotêxtil não tecido RT 16kn/m, inclusive transporte da brita em Vias Urbanas</v>
          </cell>
          <cell r="C1088" t="str">
            <v>M</v>
          </cell>
          <cell r="D1088">
            <v>540.55999999999995</v>
          </cell>
          <cell r="E1088">
            <v>438.34</v>
          </cell>
          <cell r="F1088" t="str">
            <v>A incluir</v>
          </cell>
        </row>
        <row r="1089">
          <cell r="A1089">
            <v>42712</v>
          </cell>
          <cell r="B1089" t="str">
            <v>Concreto armado, dosado para resist. 20 Mpa,  incluindo 60 kg aço CA-50 A, mão de obra p/ corte, dobragem e montagem, exclusive forma em Vias Urbanas</v>
          </cell>
          <cell r="C1089" t="str">
            <v>M3</v>
          </cell>
          <cell r="D1089">
            <v>1641.38</v>
          </cell>
          <cell r="E1089">
            <v>1331</v>
          </cell>
          <cell r="F1089" t="str">
            <v xml:space="preserve"> </v>
          </cell>
        </row>
        <row r="1090">
          <cell r="A1090">
            <v>42714</v>
          </cell>
          <cell r="B1090" t="str">
            <v>Concreto de regularização em Vias Urbanas</v>
          </cell>
          <cell r="C1090" t="str">
            <v>M3</v>
          </cell>
          <cell r="D1090">
            <v>561.16</v>
          </cell>
          <cell r="E1090">
            <v>455.05</v>
          </cell>
          <cell r="F1090" t="str">
            <v>A incluir</v>
          </cell>
        </row>
        <row r="1091">
          <cell r="A1091">
            <v>42717</v>
          </cell>
          <cell r="B1091" t="str">
            <v>Concreto estrutural fck = 20,0 MPa com plastificante em Vias Urbanas</v>
          </cell>
          <cell r="C1091" t="str">
            <v>M3</v>
          </cell>
          <cell r="D1091">
            <v>747.26</v>
          </cell>
          <cell r="E1091">
            <v>605.96</v>
          </cell>
          <cell r="F1091" t="str">
            <v>A incluir</v>
          </cell>
        </row>
        <row r="1092">
          <cell r="A1092">
            <v>42716</v>
          </cell>
          <cell r="B1092" t="str">
            <v>Concreto estrutural fck = 20,0 MPa em Vias Urbanas</v>
          </cell>
          <cell r="C1092" t="str">
            <v>M3</v>
          </cell>
          <cell r="D1092">
            <v>740.93</v>
          </cell>
          <cell r="E1092">
            <v>600.82000000000005</v>
          </cell>
          <cell r="F1092" t="str">
            <v>A incluir</v>
          </cell>
        </row>
        <row r="1093">
          <cell r="A1093">
            <v>42719</v>
          </cell>
          <cell r="B1093" t="str">
            <v>Concreto estrutural fck = 25,0 MPa com plastificante em Vias Urbanas</v>
          </cell>
          <cell r="C1093" t="str">
            <v>M3</v>
          </cell>
          <cell r="D1093">
            <v>773.62</v>
          </cell>
          <cell r="E1093">
            <v>627.33000000000004</v>
          </cell>
          <cell r="F1093" t="str">
            <v>A incluir</v>
          </cell>
        </row>
        <row r="1094">
          <cell r="A1094">
            <v>42718</v>
          </cell>
          <cell r="B1094" t="str">
            <v>Concreto estrutural fck = 25,0 MPa em Vias Urbanas</v>
          </cell>
          <cell r="C1094" t="str">
            <v>M3</v>
          </cell>
          <cell r="D1094">
            <v>766.53</v>
          </cell>
          <cell r="E1094">
            <v>621.58000000000004</v>
          </cell>
          <cell r="F1094" t="str">
            <v>A incluir</v>
          </cell>
        </row>
        <row r="1095">
          <cell r="A1095">
            <v>42722</v>
          </cell>
          <cell r="B1095" t="str">
            <v>Concreto estrutural fck = 30,0 MPa com micro-silica e Sikacrete BR ou equivalente em Vias Urbanas</v>
          </cell>
          <cell r="C1095" t="str">
            <v>M3</v>
          </cell>
          <cell r="D1095">
            <v>980.38</v>
          </cell>
          <cell r="E1095">
            <v>794.99</v>
          </cell>
          <cell r="F1095" t="str">
            <v>A incluir</v>
          </cell>
        </row>
        <row r="1096">
          <cell r="A1096">
            <v>42721</v>
          </cell>
          <cell r="B1096" t="str">
            <v>Concreto estrutural fck = 30,0 MPa com plastificante em Vias Urbanas</v>
          </cell>
          <cell r="C1096" t="str">
            <v>M3</v>
          </cell>
          <cell r="D1096">
            <v>797.95</v>
          </cell>
          <cell r="E1096">
            <v>647.05999999999995</v>
          </cell>
          <cell r="F1096" t="str">
            <v>A incluir</v>
          </cell>
        </row>
        <row r="1097">
          <cell r="A1097">
            <v>42720</v>
          </cell>
          <cell r="B1097" t="str">
            <v>Concreto estrutural fck = 30,0 MPa em Vias Urbanas</v>
          </cell>
          <cell r="C1097" t="str">
            <v>M3</v>
          </cell>
          <cell r="D1097">
            <v>790.14</v>
          </cell>
          <cell r="E1097">
            <v>640.73</v>
          </cell>
          <cell r="F1097" t="str">
            <v>A incluir</v>
          </cell>
        </row>
        <row r="1098">
          <cell r="A1098">
            <v>42723</v>
          </cell>
          <cell r="B1098" t="str">
            <v>Concreto estrutural fck = 35,0 MPa com micro-silica e Sikacrete ou equivalente em Vias Urbanas</v>
          </cell>
          <cell r="C1098" t="str">
            <v>M3</v>
          </cell>
          <cell r="D1098">
            <v>929.84</v>
          </cell>
          <cell r="E1098">
            <v>754.01</v>
          </cell>
          <cell r="F1098" t="str">
            <v>A incluir</v>
          </cell>
        </row>
        <row r="1099">
          <cell r="A1099">
            <v>42724</v>
          </cell>
          <cell r="B1099" t="str">
            <v>Concreto submerso fck = 20,0 MPa em Vias Urbanas</v>
          </cell>
          <cell r="C1099" t="str">
            <v>M3</v>
          </cell>
          <cell r="D1099">
            <v>1923.1</v>
          </cell>
          <cell r="E1099">
            <v>1559.44</v>
          </cell>
          <cell r="F1099" t="str">
            <v>A incluir</v>
          </cell>
        </row>
        <row r="1100">
          <cell r="A1100">
            <v>42726</v>
          </cell>
          <cell r="B1100" t="str">
            <v>Corpo BDTC (grota) diâmetro 0,60 m CA-1 MF exclusive escavação e reaterro, inclusive transporte do tubo em Vias Urbanas</v>
          </cell>
          <cell r="C1100" t="str">
            <v>M</v>
          </cell>
          <cell r="D1100">
            <v>474.07</v>
          </cell>
          <cell r="E1100">
            <v>384.43</v>
          </cell>
          <cell r="F1100" t="str">
            <v>A incluir</v>
          </cell>
        </row>
        <row r="1101">
          <cell r="A1101">
            <v>42727</v>
          </cell>
          <cell r="B1101" t="str">
            <v>Corpo BDTC (grota) diâmetro 0,60 m CA-1 PB exclusive escavação e reaterro, inclusive transporte do tubo em Vias Urbanas</v>
          </cell>
          <cell r="C1101" t="str">
            <v>M</v>
          </cell>
          <cell r="D1101">
            <v>512.08000000000004</v>
          </cell>
          <cell r="E1101">
            <v>415.25</v>
          </cell>
          <cell r="F1101" t="str">
            <v>A incluir</v>
          </cell>
        </row>
        <row r="1102">
          <cell r="A1102">
            <v>42728</v>
          </cell>
          <cell r="B1102" t="str">
            <v>Corpo BDTC (grota) diâmetro 0,60 m CA-2 MF exclusive escavação e reaterro, inclusive transporte do tubo em Vias Urbanas</v>
          </cell>
          <cell r="C1102" t="str">
            <v>M</v>
          </cell>
          <cell r="D1102">
            <v>480.34</v>
          </cell>
          <cell r="E1102">
            <v>389.51</v>
          </cell>
          <cell r="F1102" t="str">
            <v>A incluir</v>
          </cell>
        </row>
        <row r="1103">
          <cell r="A1103">
            <v>42729</v>
          </cell>
          <cell r="B1103" t="str">
            <v>Corpo BDTC (grota) diâmetro 0,60 m CA-2 PB exclusive escavação e reaterro, inclusive transporte do tubo em Vias Urbanas</v>
          </cell>
          <cell r="C1103" t="str">
            <v>M</v>
          </cell>
          <cell r="D1103">
            <v>467.83</v>
          </cell>
          <cell r="E1103">
            <v>379.37</v>
          </cell>
          <cell r="F1103" t="str">
            <v>A incluir</v>
          </cell>
        </row>
        <row r="1104">
          <cell r="A1104">
            <v>42730</v>
          </cell>
          <cell r="B1104" t="str">
            <v>Corpo BDTC (grota) diâmetro 0,80 m CA-1 MF exclusive escavação e reaterro, inclusive transporte do tubo em Vias Urbanas</v>
          </cell>
          <cell r="C1104" t="str">
            <v>M</v>
          </cell>
          <cell r="D1104">
            <v>1016.66</v>
          </cell>
          <cell r="E1104">
            <v>824.41</v>
          </cell>
          <cell r="F1104" t="str">
            <v>A incluir</v>
          </cell>
        </row>
        <row r="1105">
          <cell r="A1105">
            <v>42731</v>
          </cell>
          <cell r="B1105" t="str">
            <v>Corpo BDTC (grota) diâmetro 0,80 m CA-1 PB exclusive escavação e reaterro, inclusive transporte do tubo em Vias Urbanas</v>
          </cell>
          <cell r="C1105" t="str">
            <v>M</v>
          </cell>
          <cell r="D1105">
            <v>1004.5</v>
          </cell>
          <cell r="E1105">
            <v>814.55</v>
          </cell>
          <cell r="F1105" t="str">
            <v>A incluir</v>
          </cell>
        </row>
        <row r="1106">
          <cell r="A1106">
            <v>42732</v>
          </cell>
          <cell r="B1106" t="str">
            <v>Corpo BDTC (grota) diâmetro 0,80 m CA-2 MF exclusive escavação e reaterro, inclusive transporte do tubo em Vias Urbanas</v>
          </cell>
          <cell r="C1106" t="str">
            <v>M</v>
          </cell>
          <cell r="D1106">
            <v>1038.0899999999999</v>
          </cell>
          <cell r="E1106">
            <v>841.79</v>
          </cell>
          <cell r="F1106" t="str">
            <v>A incluir</v>
          </cell>
        </row>
        <row r="1107">
          <cell r="A1107">
            <v>42733</v>
          </cell>
          <cell r="B1107" t="str">
            <v>Corpo BDTC (grota) diâmetro 0,80 m CA-2 PB exclusive escavação e reaterro, inclusive transporte do tubo em Vias Urbanas</v>
          </cell>
          <cell r="C1107" t="str">
            <v>M</v>
          </cell>
          <cell r="D1107">
            <v>989.06</v>
          </cell>
          <cell r="E1107">
            <v>802.03</v>
          </cell>
          <cell r="F1107" t="str">
            <v>A incluir</v>
          </cell>
        </row>
        <row r="1108">
          <cell r="A1108">
            <v>42734</v>
          </cell>
          <cell r="B1108" t="str">
            <v>Corpo BDTC (grota) diâmetro 1,00 m CA-1 MF exclusive escavação e reaterro, inclusive transporte do tubo em Vias Urbanas</v>
          </cell>
          <cell r="C1108" t="str">
            <v>M</v>
          </cell>
          <cell r="D1108">
            <v>1181.3</v>
          </cell>
          <cell r="E1108">
            <v>957.92</v>
          </cell>
          <cell r="F1108" t="str">
            <v>A incluir</v>
          </cell>
        </row>
        <row r="1109">
          <cell r="A1109">
            <v>42735</v>
          </cell>
          <cell r="B1109" t="str">
            <v>Corpo BDTC (grota) diâmetro 1,00 m CA-1 PB exclusive escavação e reaterro, inclusive transporte do tubo em Vias Urbanas</v>
          </cell>
          <cell r="C1109" t="str">
            <v>M</v>
          </cell>
          <cell r="D1109">
            <v>1078.82</v>
          </cell>
          <cell r="E1109">
            <v>874.82</v>
          </cell>
          <cell r="F1109" t="str">
            <v>A incluir</v>
          </cell>
        </row>
        <row r="1110">
          <cell r="A1110">
            <v>42736</v>
          </cell>
          <cell r="B1110" t="str">
            <v>Corpo BDTC (grota) diâmetro 1,00 m CA-2 MF exclusive escavação e reaterro, inclusive transporte do tubo em Vias Urbanas</v>
          </cell>
          <cell r="C1110" t="str">
            <v>M</v>
          </cell>
          <cell r="D1110">
            <v>1258.57</v>
          </cell>
          <cell r="E1110">
            <v>1020.58</v>
          </cell>
          <cell r="F1110" t="str">
            <v>A incluir</v>
          </cell>
        </row>
        <row r="1111">
          <cell r="A1111">
            <v>42737</v>
          </cell>
          <cell r="B1111" t="str">
            <v>Corpo BDTC (grota) diâmetro 1,00 m CA-2 PB exclusive escavação e reaterro, inclusive transporte do tubo em Vias Urbanas</v>
          </cell>
          <cell r="C1111" t="str">
            <v>M</v>
          </cell>
          <cell r="D1111">
            <v>1224.27</v>
          </cell>
          <cell r="E1111">
            <v>992.76</v>
          </cell>
          <cell r="F1111" t="str">
            <v>A incluir</v>
          </cell>
        </row>
        <row r="1112">
          <cell r="A1112">
            <v>42738</v>
          </cell>
          <cell r="B1112" t="str">
            <v>Corpo BDTC (grota) diâmetro 1,00 m CA-3 MF exclusive escavação e reaterro, inclusive transporte do tubo em Vias Urbanas</v>
          </cell>
          <cell r="C1112" t="str">
            <v>M</v>
          </cell>
          <cell r="D1112">
            <v>1420.86</v>
          </cell>
          <cell r="E1112">
            <v>1152.18</v>
          </cell>
          <cell r="F1112" t="str">
            <v>A incluir</v>
          </cell>
        </row>
        <row r="1113">
          <cell r="A1113">
            <v>42739</v>
          </cell>
          <cell r="B1113" t="str">
            <v>Corpo BDTC (grota) diâmetro 1,20 m CA-1 MF exclusive escavação e reaterro, inclusive transporte do tubo em Vias Urbanas</v>
          </cell>
          <cell r="C1113" t="str">
            <v>M</v>
          </cell>
          <cell r="D1113">
            <v>1609.38</v>
          </cell>
          <cell r="E1113">
            <v>1305.05</v>
          </cell>
          <cell r="F1113" t="str">
            <v>A incluir</v>
          </cell>
        </row>
        <row r="1114">
          <cell r="A1114">
            <v>42740</v>
          </cell>
          <cell r="B1114" t="str">
            <v>Corpo BDTC (grota) diâmetro 1,20 m CA-2 MF exclusive escavação e reaterro, inclusive transporte do tubo em Vias Urbanas</v>
          </cell>
          <cell r="C1114" t="str">
            <v>M</v>
          </cell>
          <cell r="D1114">
            <v>1761.31</v>
          </cell>
          <cell r="E1114">
            <v>1428.25</v>
          </cell>
          <cell r="F1114" t="str">
            <v>A incluir</v>
          </cell>
        </row>
        <row r="1115">
          <cell r="A1115">
            <v>42741</v>
          </cell>
          <cell r="B1115" t="str">
            <v>Corpo BDTC (grota) diâmetro 1,20 m CA-2 PB exclusive escavação e reaterro, inclusive transporte do tubo em Vias Urbanas</v>
          </cell>
          <cell r="C1115" t="str">
            <v>M</v>
          </cell>
          <cell r="D1115">
            <v>1686.61</v>
          </cell>
          <cell r="E1115">
            <v>1367.67</v>
          </cell>
          <cell r="F1115" t="str">
            <v>A incluir</v>
          </cell>
        </row>
        <row r="1116">
          <cell r="A1116">
            <v>42742</v>
          </cell>
          <cell r="B1116" t="str">
            <v>Corpo BDTC (grota) diâmetro 1,20 m CA-3 MF exclusive escavação e reaterro, inclusive transporte do tubo em Vias Urbanas</v>
          </cell>
          <cell r="C1116" t="str">
            <v>M</v>
          </cell>
          <cell r="D1116">
            <v>2087.94</v>
          </cell>
          <cell r="E1116">
            <v>1693.11</v>
          </cell>
          <cell r="F1116" t="str">
            <v>A incluir</v>
          </cell>
        </row>
        <row r="1117">
          <cell r="A1117">
            <v>42743</v>
          </cell>
          <cell r="B1117" t="str">
            <v>Corpo BDTC (grota) diâmetro 1,50 m CA-1 MF exclusive escavação e reaterro, inclusive transporte do tubo em Vias Urbanas</v>
          </cell>
          <cell r="C1117" t="str">
            <v>M</v>
          </cell>
          <cell r="D1117">
            <v>2221.9699999999998</v>
          </cell>
          <cell r="E1117">
            <v>1801.8</v>
          </cell>
          <cell r="F1117" t="str">
            <v>A incluir</v>
          </cell>
        </row>
        <row r="1118">
          <cell r="A1118">
            <v>42744</v>
          </cell>
          <cell r="B1118" t="str">
            <v>Corpo BDTC (grota) diâmetro 1,50 m CA-1 PB exclusive escavação e reaterro, inclusive transporte do tubo em Vias Urbanas</v>
          </cell>
          <cell r="C1118" t="str">
            <v>M</v>
          </cell>
          <cell r="D1118">
            <v>2203.48</v>
          </cell>
          <cell r="E1118">
            <v>1786.8</v>
          </cell>
          <cell r="F1118" t="str">
            <v>A incluir</v>
          </cell>
        </row>
        <row r="1119">
          <cell r="A1119">
            <v>42745</v>
          </cell>
          <cell r="B1119" t="str">
            <v>Corpo BDTC (grota) diâmetro 1,50 m CA-2 MF exclusive escavação e reaterro, inclusive transporte do tubo em Vias Urbanas</v>
          </cell>
          <cell r="C1119" t="str">
            <v>M</v>
          </cell>
          <cell r="D1119">
            <v>2218.52</v>
          </cell>
          <cell r="E1119">
            <v>1799</v>
          </cell>
          <cell r="F1119" t="str">
            <v>A incluir</v>
          </cell>
        </row>
        <row r="1120">
          <cell r="A1120">
            <v>42746</v>
          </cell>
          <cell r="B1120" t="str">
            <v>Corpo BDTC (grota) diâmetro 1,50 m CA-2 PB exclusive escavação e reaterro, inclusive transporte do tubo em Vias Urbanas</v>
          </cell>
          <cell r="C1120" t="str">
            <v>M</v>
          </cell>
          <cell r="D1120">
            <v>2301.7600000000002</v>
          </cell>
          <cell r="E1120">
            <v>1866.5</v>
          </cell>
          <cell r="F1120" t="str">
            <v>A incluir</v>
          </cell>
        </row>
        <row r="1121">
          <cell r="A1121">
            <v>42747</v>
          </cell>
          <cell r="B1121" t="str">
            <v>Corpo BDTC (grota) diâmetro 1,50 m CA-3 MF exclusive escavação e reaterro, inclusive transporte do tubo em Vias Urbanas</v>
          </cell>
          <cell r="C1121" t="str">
            <v>M</v>
          </cell>
          <cell r="D1121">
            <v>2998.25</v>
          </cell>
          <cell r="E1121">
            <v>2431.2800000000002</v>
          </cell>
          <cell r="F1121" t="str">
            <v>A incluir</v>
          </cell>
        </row>
        <row r="1122">
          <cell r="A1122">
            <v>42748</v>
          </cell>
          <cell r="B1122" t="str">
            <v>Corpo BSTC diâmetro 0,20 m C.S. MF inclusive escavação, reaterro e transporte do tubo em Vias Urbanas</v>
          </cell>
          <cell r="C1122" t="str">
            <v>M</v>
          </cell>
          <cell r="D1122">
            <v>108.64</v>
          </cell>
          <cell r="E1122">
            <v>88.1</v>
          </cell>
          <cell r="F1122" t="str">
            <v>A incluir</v>
          </cell>
        </row>
        <row r="1123">
          <cell r="A1123">
            <v>42749</v>
          </cell>
          <cell r="B1123" t="str">
            <v>Corpo BSTC diâmetro 0,20 m C.S. PB inclusive escavação, reaterro e transporte do tubo em Vias Urbanas</v>
          </cell>
          <cell r="C1123" t="str">
            <v>M</v>
          </cell>
          <cell r="D1123">
            <v>114.97</v>
          </cell>
          <cell r="E1123">
            <v>93.23</v>
          </cell>
          <cell r="F1123" t="str">
            <v>A incluir</v>
          </cell>
        </row>
        <row r="1124">
          <cell r="A1124">
            <v>42750</v>
          </cell>
          <cell r="B1124" t="str">
            <v>Corpo BSTC diâmetro 0,30 m C.S. MF inclusive escavação, reaterro e transporte do tubo em Vias Urbanas</v>
          </cell>
          <cell r="C1124" t="str">
            <v>M</v>
          </cell>
          <cell r="D1124">
            <v>139.78</v>
          </cell>
          <cell r="E1124">
            <v>113.35</v>
          </cell>
          <cell r="F1124" t="str">
            <v>A incluir</v>
          </cell>
        </row>
        <row r="1125">
          <cell r="A1125">
            <v>42751</v>
          </cell>
          <cell r="B1125" t="str">
            <v>Corpo BSTC diâmetro 0,30 m C.S. PB inclusive escavação, reaterro e transporte do tubo em Vias Urbanas</v>
          </cell>
          <cell r="C1125" t="str">
            <v>M</v>
          </cell>
          <cell r="D1125">
            <v>147.63</v>
          </cell>
          <cell r="E1125">
            <v>119.72</v>
          </cell>
          <cell r="F1125" t="str">
            <v>A incluir</v>
          </cell>
        </row>
        <row r="1126">
          <cell r="A1126">
            <v>42752</v>
          </cell>
          <cell r="B1126" t="str">
            <v>Corpo BSTC diâmetro 0,40 m C.S. MF inclusive escavação, reaterro e transporte do tubo em Vias Urbanas</v>
          </cell>
          <cell r="C1126" t="str">
            <v>M</v>
          </cell>
          <cell r="D1126">
            <v>196.54</v>
          </cell>
          <cell r="E1126">
            <v>159.38</v>
          </cell>
          <cell r="F1126" t="str">
            <v>A incluir</v>
          </cell>
        </row>
        <row r="1127">
          <cell r="A1127">
            <v>42753</v>
          </cell>
          <cell r="B1127" t="str">
            <v>Corpo BSTC diâmetro 0,40 m C.S. PB inclusive escavação, reaterro e transporte do tubo em Vias Urbanas</v>
          </cell>
          <cell r="C1127" t="str">
            <v>M</v>
          </cell>
          <cell r="D1127">
            <v>197.45</v>
          </cell>
          <cell r="E1127">
            <v>160.12</v>
          </cell>
          <cell r="F1127" t="str">
            <v>A incluir</v>
          </cell>
        </row>
        <row r="1128">
          <cell r="A1128">
            <v>42754</v>
          </cell>
          <cell r="B1128" t="str">
            <v>Corpo BSTC diâmetro 0,60 m C.S. MF inclusive escavação, reaterro e transporte do tubo em Vias Urbanas</v>
          </cell>
          <cell r="C1128" t="str">
            <v>M</v>
          </cell>
          <cell r="D1128">
            <v>309.86</v>
          </cell>
          <cell r="E1128">
            <v>251.27</v>
          </cell>
          <cell r="F1128" t="str">
            <v>A incluir</v>
          </cell>
        </row>
        <row r="1129">
          <cell r="A1129">
            <v>42755</v>
          </cell>
          <cell r="B1129" t="str">
            <v>Corpo BSTC diâmetro 0,60 m C.S. PB inclusive escavação, reaterro e transporte do tubo em Vias Urbanas</v>
          </cell>
          <cell r="C1129" t="str">
            <v>M</v>
          </cell>
          <cell r="D1129">
            <v>317.36</v>
          </cell>
          <cell r="E1129">
            <v>257.35000000000002</v>
          </cell>
          <cell r="F1129" t="str">
            <v>A incluir</v>
          </cell>
        </row>
        <row r="1130">
          <cell r="A1130">
            <v>42756</v>
          </cell>
          <cell r="B1130" t="str">
            <v>Corpo BSTC (greide) diâmetro 0,30 m CA-1 MF inclusive escavação, reaterro e transporte do tubo em Vias Urbanas</v>
          </cell>
          <cell r="C1130" t="str">
            <v>M</v>
          </cell>
          <cell r="D1130">
            <v>177.29</v>
          </cell>
          <cell r="E1130">
            <v>143.77000000000001</v>
          </cell>
          <cell r="F1130" t="str">
            <v>A incluir</v>
          </cell>
        </row>
        <row r="1131">
          <cell r="A1131">
            <v>42757</v>
          </cell>
          <cell r="B1131" t="str">
            <v>Corpo BSTC (greide) diâmetro 0,40 m CA-1 MF inclusive escavação, reaterro e transporte do tubo em Vias Urbanas</v>
          </cell>
          <cell r="C1131" t="str">
            <v>M</v>
          </cell>
          <cell r="D1131">
            <v>228.43</v>
          </cell>
          <cell r="E1131">
            <v>185.24</v>
          </cell>
          <cell r="F1131" t="str">
            <v>A incluir</v>
          </cell>
        </row>
        <row r="1132">
          <cell r="A1132">
            <v>42759</v>
          </cell>
          <cell r="B1132" t="str">
            <v>Corpo BSTC (greide) diâmetro 0,40 m CA-2 MF inclusive escavação, reaterro e transporte do tubo em Vias Urbanas</v>
          </cell>
          <cell r="C1132" t="str">
            <v>M</v>
          </cell>
          <cell r="D1132">
            <v>233.35</v>
          </cell>
          <cell r="E1132">
            <v>189.23</v>
          </cell>
          <cell r="F1132" t="str">
            <v>A incluir</v>
          </cell>
        </row>
        <row r="1133">
          <cell r="A1133">
            <v>42760</v>
          </cell>
          <cell r="B1133" t="str">
            <v>Corpo BSTC (greide) diâmetro 0,60 m CA-1 MF inclusive escavação, reaterro e transporte do tubo em Vias Urbanas</v>
          </cell>
          <cell r="C1133" t="str">
            <v>M</v>
          </cell>
          <cell r="D1133">
            <v>366.8</v>
          </cell>
          <cell r="E1133">
            <v>297.44</v>
          </cell>
          <cell r="F1133" t="str">
            <v>A incluir</v>
          </cell>
        </row>
        <row r="1134">
          <cell r="A1134">
            <v>42761</v>
          </cell>
          <cell r="B1134" t="str">
            <v>Corpo BSTC (greide) diâmetro 0,60 m CA-1 PB inclusive escavação, reaterro e transporte do tubo em Vias Urbanas</v>
          </cell>
          <cell r="C1134" t="str">
            <v>M</v>
          </cell>
          <cell r="D1134">
            <v>385.8</v>
          </cell>
          <cell r="E1134">
            <v>312.85000000000002</v>
          </cell>
          <cell r="F1134" t="str">
            <v>A incluir</v>
          </cell>
        </row>
        <row r="1135">
          <cell r="A1135">
            <v>42762</v>
          </cell>
          <cell r="B1135" t="str">
            <v>Corpo BSTC (greide) diâmetro 0,60 m CA-2 MF inclusive escavação, reaterro e transporte do tubo em Vias Urbanas</v>
          </cell>
          <cell r="C1135" t="str">
            <v>M</v>
          </cell>
          <cell r="D1135">
            <v>369.93</v>
          </cell>
          <cell r="E1135">
            <v>299.98</v>
          </cell>
          <cell r="F1135" t="str">
            <v>A incluir</v>
          </cell>
        </row>
        <row r="1136">
          <cell r="A1136">
            <v>42763</v>
          </cell>
          <cell r="B1136" t="str">
            <v>Corpo BSTC (greide) diâmetro 0,60 m CA-2 PB inclusive escavação, reaterro e transporte do tubo em Vias Urbanas</v>
          </cell>
          <cell r="C1136" t="str">
            <v>M</v>
          </cell>
          <cell r="D1136">
            <v>363.68</v>
          </cell>
          <cell r="E1136">
            <v>294.91000000000003</v>
          </cell>
          <cell r="F1136" t="str">
            <v>A incluir</v>
          </cell>
        </row>
        <row r="1137">
          <cell r="A1137">
            <v>42764</v>
          </cell>
          <cell r="B1137" t="str">
            <v>Corpo BSTC (greide) diâmetro 0,80 m CA-1 MF inclusive escavação, reaterro e transporte do tubo em Vias Urbanas</v>
          </cell>
          <cell r="C1137" t="str">
            <v>M</v>
          </cell>
          <cell r="D1137">
            <v>749.92</v>
          </cell>
          <cell r="E1137">
            <v>608.11</v>
          </cell>
          <cell r="F1137" t="str">
            <v>A incluir</v>
          </cell>
        </row>
        <row r="1138">
          <cell r="A1138">
            <v>42765</v>
          </cell>
          <cell r="B1138" t="str">
            <v>Corpo BSTC (greide) diâmetro 0,80 m CA-1 PB inclusive escavação, reaterro e transporte do tubo em Vias Urbanas</v>
          </cell>
          <cell r="C1138" t="str">
            <v>M</v>
          </cell>
          <cell r="D1138">
            <v>743.84</v>
          </cell>
          <cell r="E1138">
            <v>603.17999999999995</v>
          </cell>
          <cell r="F1138" t="str">
            <v>A incluir</v>
          </cell>
        </row>
        <row r="1139">
          <cell r="A1139">
            <v>42766</v>
          </cell>
          <cell r="B1139" t="str">
            <v>Corpo BSTC (greide) diâmetro 0,80 m CA-2 MF inclusive escavação, reaterro e transporte do tubo em Vias Urbanas</v>
          </cell>
          <cell r="C1139" t="str">
            <v>M</v>
          </cell>
          <cell r="D1139">
            <v>760.63</v>
          </cell>
          <cell r="E1139">
            <v>616.79999999999995</v>
          </cell>
          <cell r="F1139" t="str">
            <v>A incluir</v>
          </cell>
        </row>
        <row r="1140">
          <cell r="A1140">
            <v>42767</v>
          </cell>
          <cell r="B1140" t="str">
            <v>Corpo BSTC (greide) diâmetro 0,80 m CA-2 PB inclusive escavação, reaterro e transporte do tubo em Vias Urbanas</v>
          </cell>
          <cell r="C1140" t="str">
            <v>M</v>
          </cell>
          <cell r="D1140">
            <v>736.12</v>
          </cell>
          <cell r="E1140">
            <v>596.91999999999996</v>
          </cell>
          <cell r="F1140" t="str">
            <v>A incluir</v>
          </cell>
        </row>
        <row r="1141">
          <cell r="A1141">
            <v>42768</v>
          </cell>
          <cell r="B1141" t="str">
            <v>Corpo BSTC (greide) diâmetro 1,00 m CA-1 MF inclusive escavação, reaterro e transporte do tubo em Vias Urbanas</v>
          </cell>
          <cell r="C1141" t="str">
            <v>M</v>
          </cell>
          <cell r="D1141">
            <v>942.01</v>
          </cell>
          <cell r="E1141">
            <v>763.88</v>
          </cell>
          <cell r="F1141" t="str">
            <v>A incluir</v>
          </cell>
        </row>
        <row r="1142">
          <cell r="A1142">
            <v>42769</v>
          </cell>
          <cell r="B1142" t="str">
            <v>Corpo BSTC (greide) diâmetro 1,00 m CA-1 PB inclusive escavação, reaterro e transporte do tubo em Vias Urbanas</v>
          </cell>
          <cell r="C1142" t="str">
            <v>M</v>
          </cell>
          <cell r="D1142">
            <v>931.2</v>
          </cell>
          <cell r="E1142">
            <v>755.11</v>
          </cell>
          <cell r="F1142" t="str">
            <v>A incluir</v>
          </cell>
        </row>
        <row r="1143">
          <cell r="A1143">
            <v>42770</v>
          </cell>
          <cell r="B1143" t="str">
            <v>Corpo BSTC (greide) diâmetro 1,00 m CA-2 MF inclusive escavação, reaterro e transporte do tubo em Vias Urbanas</v>
          </cell>
          <cell r="C1143" t="str">
            <v>M</v>
          </cell>
          <cell r="D1143">
            <v>980.65</v>
          </cell>
          <cell r="E1143">
            <v>795.21</v>
          </cell>
          <cell r="F1143" t="str">
            <v>A incluir</v>
          </cell>
        </row>
        <row r="1144">
          <cell r="A1144">
            <v>42771</v>
          </cell>
          <cell r="B1144" t="str">
            <v>Corpo BSTC (greide) diâmetro 1,00 m CA-2 PB inclusive escavação, reaterro e transporte do tubo em Vias Urbanas</v>
          </cell>
          <cell r="C1144" t="str">
            <v>M</v>
          </cell>
          <cell r="D1144">
            <v>963.49</v>
          </cell>
          <cell r="E1144">
            <v>781.3</v>
          </cell>
          <cell r="F1144" t="str">
            <v>A incluir</v>
          </cell>
        </row>
        <row r="1145">
          <cell r="A1145">
            <v>42772</v>
          </cell>
          <cell r="B1145" t="str">
            <v>Corpo BSTC (greide) diâmetro 1,20 m CA-1 MF inclusive escavação, reaterro e transporte do tubo em Vias Urbanas</v>
          </cell>
          <cell r="C1145" t="str">
            <v>M</v>
          </cell>
          <cell r="D1145">
            <v>1317.2</v>
          </cell>
          <cell r="E1145">
            <v>1068.1199999999999</v>
          </cell>
          <cell r="F1145" t="str">
            <v>A incluir</v>
          </cell>
        </row>
        <row r="1146">
          <cell r="A1146">
            <v>42773</v>
          </cell>
          <cell r="B1146" t="str">
            <v>Corpo BSTC (greide) diâmetro 1,20 m CA-1 PB inclusive escavação, reaterro e transporte do tubo em Vias Urbanas</v>
          </cell>
          <cell r="C1146" t="str">
            <v>M</v>
          </cell>
          <cell r="D1146">
            <v>1263.8900000000001</v>
          </cell>
          <cell r="E1146">
            <v>1024.8900000000001</v>
          </cell>
          <cell r="F1146" t="str">
            <v>A incluir</v>
          </cell>
        </row>
        <row r="1147">
          <cell r="A1147">
            <v>42774</v>
          </cell>
          <cell r="B1147" t="str">
            <v>Corpo BSTC (greide) diâmetro 1,20 m CA-2 MF inclusive escavação, reaterro e transporte do tubo, em Vias Urbanas</v>
          </cell>
          <cell r="C1147" t="str">
            <v>M</v>
          </cell>
          <cell r="D1147">
            <v>1339.85</v>
          </cell>
          <cell r="E1147">
            <v>1086.49</v>
          </cell>
          <cell r="F1147" t="str">
            <v>A incluir</v>
          </cell>
        </row>
        <row r="1148">
          <cell r="A1148">
            <v>42775</v>
          </cell>
          <cell r="B1148" t="str">
            <v>Corpo BSTC (greide) diâmetro 1,20 m CA-2 PB inclusive escavação, reaterro e transporte do tubo em Vias Urbanas</v>
          </cell>
          <cell r="C1148" t="str">
            <v>M</v>
          </cell>
          <cell r="D1148">
            <v>1302.5</v>
          </cell>
          <cell r="E1148">
            <v>1056.2</v>
          </cell>
          <cell r="F1148" t="str">
            <v>A incluir</v>
          </cell>
        </row>
        <row r="1149">
          <cell r="A1149">
            <v>42776</v>
          </cell>
          <cell r="B1149" t="str">
            <v>Corpo BSTC (grota) diâmetro 0,60 m CA-1 MF exclusive escavação e reaterro, inclusive transporte do tubo em Vias Urbanas</v>
          </cell>
          <cell r="C1149" t="str">
            <v>M</v>
          </cell>
          <cell r="D1149">
            <v>239.3</v>
          </cell>
          <cell r="E1149">
            <v>194.05</v>
          </cell>
          <cell r="F1149" t="str">
            <v>A incluir</v>
          </cell>
        </row>
        <row r="1150">
          <cell r="A1150">
            <v>42777</v>
          </cell>
          <cell r="B1150" t="str">
            <v>Corpo BSTC (grota) diâmetro 0,60 m CA-1 PB exclusive escavação e reaterro, inclusive transporte do tubo em Vias Urbanas</v>
          </cell>
          <cell r="C1150" t="str">
            <v>M</v>
          </cell>
          <cell r="D1150">
            <v>258.3</v>
          </cell>
          <cell r="E1150">
            <v>209.46</v>
          </cell>
          <cell r="F1150" t="str">
            <v>A incluir</v>
          </cell>
        </row>
        <row r="1151">
          <cell r="A1151">
            <v>42778</v>
          </cell>
          <cell r="B1151" t="str">
            <v>Corpo BSTC (grota) diâmetro 0,60 m CA-2 MF exclusive escavação e reaterro, inclusive transporte do tubo em Vias Urbanas</v>
          </cell>
          <cell r="C1151" t="str">
            <v>M</v>
          </cell>
          <cell r="D1151">
            <v>242.43</v>
          </cell>
          <cell r="E1151">
            <v>196.59</v>
          </cell>
          <cell r="F1151" t="str">
            <v>A incluir</v>
          </cell>
        </row>
        <row r="1152">
          <cell r="A1152">
            <v>42779</v>
          </cell>
          <cell r="B1152" t="str">
            <v>Corpo BSTC (grota) diâmetro 0,60 m CA-2 PB exclusive escavação e reaterro, inclusive transporte do tubo em Vias Urbanas</v>
          </cell>
          <cell r="C1152" t="str">
            <v>M</v>
          </cell>
          <cell r="D1152">
            <v>236.18</v>
          </cell>
          <cell r="E1152">
            <v>191.52</v>
          </cell>
          <cell r="F1152" t="str">
            <v>A incluir</v>
          </cell>
        </row>
        <row r="1153">
          <cell r="A1153">
            <v>42780</v>
          </cell>
          <cell r="B1153" t="str">
            <v>Corpo BSTC (grota) diâmetro 0,80 m CA-1 MF exclusive escavação e reaterro, inclusive transporte do tubo em Vias Urbanas</v>
          </cell>
          <cell r="C1153" t="str">
            <v>M</v>
          </cell>
          <cell r="D1153">
            <v>569.65</v>
          </cell>
          <cell r="E1153">
            <v>461.93</v>
          </cell>
          <cell r="F1153" t="str">
            <v>A incluir</v>
          </cell>
        </row>
        <row r="1154">
          <cell r="A1154">
            <v>42781</v>
          </cell>
          <cell r="B1154" t="str">
            <v>Corpo BSTC (grota) diâmetro 0,80 m CA-1 PB exclusive escavação e reaterro, inclusive transporte do tubo em Vias Urbanas</v>
          </cell>
          <cell r="C1154" t="str">
            <v>M</v>
          </cell>
          <cell r="D1154">
            <v>563.57000000000005</v>
          </cell>
          <cell r="E1154">
            <v>457</v>
          </cell>
          <cell r="F1154" t="str">
            <v>A incluir</v>
          </cell>
        </row>
        <row r="1155">
          <cell r="A1155">
            <v>42782</v>
          </cell>
          <cell r="B1155" t="str">
            <v>Corpo BSTC (grota) diâmetro 0,80 m CA-2 MF exclusive escavação e reaterro, inclusive transporte do tubo em Vias Urbanas</v>
          </cell>
          <cell r="C1155" t="str">
            <v>M</v>
          </cell>
          <cell r="D1155">
            <v>580.36</v>
          </cell>
          <cell r="E1155">
            <v>470.62</v>
          </cell>
          <cell r="F1155" t="str">
            <v>A incluir</v>
          </cell>
        </row>
        <row r="1156">
          <cell r="A1156">
            <v>42783</v>
          </cell>
          <cell r="B1156" t="str">
            <v>Corpo BSTC (grota) diâmetro 0,80 m CA-2 PB exclusive escavação e reaterro, inclusive transporte do tubo em Vias Urbanas</v>
          </cell>
          <cell r="C1156" t="str">
            <v>M</v>
          </cell>
          <cell r="D1156">
            <v>555.85</v>
          </cell>
          <cell r="E1156">
            <v>450.74</v>
          </cell>
          <cell r="F1156" t="str">
            <v>A incluir</v>
          </cell>
        </row>
        <row r="1157">
          <cell r="A1157">
            <v>42784</v>
          </cell>
          <cell r="B1157" t="str">
            <v>Corpo BSTC (grota) diâmetro 1,00 m CA-1 MF exclusive escavação e reaterro, inclusive transporte do tubo em Vias Urbanas</v>
          </cell>
          <cell r="C1157" t="str">
            <v>M</v>
          </cell>
          <cell r="D1157">
            <v>650.72</v>
          </cell>
          <cell r="E1157">
            <v>527.66999999999996</v>
          </cell>
          <cell r="F1157" t="str">
            <v>A incluir</v>
          </cell>
        </row>
        <row r="1158">
          <cell r="A1158">
            <v>42785</v>
          </cell>
          <cell r="B1158" t="str">
            <v>Corpo BSTC (grota) diâmetro 1,00 m CA-1 PB exclusive escavação e reaterro, inclusive transporte do tubo em Vias Urbanas</v>
          </cell>
          <cell r="C1158" t="str">
            <v>M</v>
          </cell>
          <cell r="D1158">
            <v>639.9</v>
          </cell>
          <cell r="E1158">
            <v>518.9</v>
          </cell>
          <cell r="F1158" t="str">
            <v>A incluir</v>
          </cell>
        </row>
        <row r="1159">
          <cell r="A1159">
            <v>42786</v>
          </cell>
          <cell r="B1159" t="str">
            <v>Corpo BSTC (grota) diâmetro 1,00 m CA-2 MF exclusive escavação e reaterro, inclusive transporte do tubo em Vias Urbanas</v>
          </cell>
          <cell r="C1159" t="str">
            <v>M</v>
          </cell>
          <cell r="D1159">
            <v>689.35</v>
          </cell>
          <cell r="E1159">
            <v>559</v>
          </cell>
          <cell r="F1159" t="str">
            <v>A incluir</v>
          </cell>
        </row>
        <row r="1160">
          <cell r="A1160">
            <v>42787</v>
          </cell>
          <cell r="B1160" t="str">
            <v>Corpo BSTC (grota) diâmetro 1,00 m CA-2 PB exclusive escavação e reaterro, inclusive transporte do tubo em Vias Urbanas</v>
          </cell>
          <cell r="C1160" t="str">
            <v>M</v>
          </cell>
          <cell r="D1160">
            <v>672.2</v>
          </cell>
          <cell r="E1160">
            <v>545.09</v>
          </cell>
          <cell r="F1160" t="str">
            <v>A incluir</v>
          </cell>
        </row>
        <row r="1161">
          <cell r="A1161">
            <v>42788</v>
          </cell>
          <cell r="B1161" t="str">
            <v>Corpo BSTC (grota) diâmetro 1,00 m CA-3 MF exclusive escavação e reaterro, inclusive transporte do tubo em Vias Urbanas</v>
          </cell>
          <cell r="C1161" t="str">
            <v>M</v>
          </cell>
          <cell r="D1161">
            <v>770.5</v>
          </cell>
          <cell r="E1161">
            <v>624.79999999999995</v>
          </cell>
          <cell r="F1161" t="str">
            <v>A incluir</v>
          </cell>
        </row>
        <row r="1162">
          <cell r="A1162">
            <v>42789</v>
          </cell>
          <cell r="B1162" t="str">
            <v>Corpo BSTC (grota) diâmetro 1,20 m CA-1 MF exclusive escavação e reaterro, inclusive transporte do tubo em Vias Urbanas</v>
          </cell>
          <cell r="C1162" t="str">
            <v>M</v>
          </cell>
          <cell r="D1162">
            <v>922.59</v>
          </cell>
          <cell r="E1162">
            <v>748.13</v>
          </cell>
          <cell r="F1162" t="str">
            <v>A incluir</v>
          </cell>
        </row>
        <row r="1163">
          <cell r="A1163">
            <v>42790</v>
          </cell>
          <cell r="B1163" t="str">
            <v>Corpo BSTC (grota) diâmetro 1,20 m CA-1 PB exclusive escavação e reaterro, inclusive transporte do tubo em Vias Urbanas</v>
          </cell>
          <cell r="C1163" t="str">
            <v>M</v>
          </cell>
          <cell r="D1163">
            <v>869.28</v>
          </cell>
          <cell r="E1163">
            <v>704.9</v>
          </cell>
          <cell r="F1163" t="str">
            <v>A incluir</v>
          </cell>
        </row>
        <row r="1164">
          <cell r="A1164">
            <v>42791</v>
          </cell>
          <cell r="B1164" t="str">
            <v>Corpo BSTC (grota) diâmetro 1,20 m CA-2 MF exclusive escavação e reaterro, inclusive transporte do tubo em Vias Urbanas</v>
          </cell>
          <cell r="C1164" t="str">
            <v>M</v>
          </cell>
          <cell r="D1164">
            <v>945.24</v>
          </cell>
          <cell r="E1164">
            <v>766.5</v>
          </cell>
          <cell r="F1164" t="str">
            <v>A incluir</v>
          </cell>
        </row>
        <row r="1165">
          <cell r="A1165">
            <v>42792</v>
          </cell>
          <cell r="B1165" t="str">
            <v>Corpo BSTC (grota) diâmetro 1,20 m CA-2 PB exclusive escavação e reaterro, inclusive transporte do tubo em Vias Urbanas</v>
          </cell>
          <cell r="C1165" t="str">
            <v>M</v>
          </cell>
          <cell r="D1165">
            <v>907.89</v>
          </cell>
          <cell r="E1165">
            <v>736.21</v>
          </cell>
          <cell r="F1165" t="str">
            <v>A incluir</v>
          </cell>
        </row>
        <row r="1166">
          <cell r="A1166">
            <v>42793</v>
          </cell>
          <cell r="B1166" t="str">
            <v>Corpo BSTC (grota) diâmetro 1,20 m CA-3 MF exclusive escavação e reaterro, inclusive transporte do tubo em Vias Urbanas</v>
          </cell>
          <cell r="C1166" t="str">
            <v>M</v>
          </cell>
          <cell r="D1166">
            <v>1108.56</v>
          </cell>
          <cell r="E1166">
            <v>898.93</v>
          </cell>
          <cell r="F1166" t="str">
            <v>A incluir</v>
          </cell>
        </row>
        <row r="1167">
          <cell r="A1167">
            <v>42794</v>
          </cell>
          <cell r="B1167" t="str">
            <v>Corpo BSTC (grota) diâmetro 1,50 m CA-1 MF exclusive escavação e reaterro, inclusive transporte do tubo em Vias Urbanas</v>
          </cell>
          <cell r="C1167" t="str">
            <v>M</v>
          </cell>
          <cell r="D1167">
            <v>1171.05</v>
          </cell>
          <cell r="E1167">
            <v>949.61</v>
          </cell>
          <cell r="F1167" t="str">
            <v>A incluir</v>
          </cell>
        </row>
        <row r="1168">
          <cell r="A1168">
            <v>42758</v>
          </cell>
          <cell r="B1168" t="str">
            <v>Corpo BSTC (grota) diâmetro 1,50 m CA-1 PB exclusive escavação e reaterro, inclusive transporte do tubo em Vias Urbanas</v>
          </cell>
          <cell r="C1168" t="str">
            <v>M</v>
          </cell>
          <cell r="D1168">
            <v>1161.81</v>
          </cell>
          <cell r="E1168">
            <v>942.11</v>
          </cell>
          <cell r="F1168" t="str">
            <v>A incluir</v>
          </cell>
        </row>
        <row r="1169">
          <cell r="A1169">
            <v>42795</v>
          </cell>
          <cell r="B1169" t="str">
            <v>Corpo BSTC (grota) diâmetro 1,50 m CA-2 MF exclusive escavação e reaterro, inclusive transporte do tubo em Vias Urbanas</v>
          </cell>
          <cell r="C1169" t="str">
            <v>M</v>
          </cell>
          <cell r="D1169">
            <v>1169.33</v>
          </cell>
          <cell r="E1169">
            <v>948.21</v>
          </cell>
          <cell r="F1169" t="str">
            <v>A incluir</v>
          </cell>
        </row>
        <row r="1170">
          <cell r="A1170">
            <v>42796</v>
          </cell>
          <cell r="B1170" t="str">
            <v>Corpo BSTC (grota) diâmetro 1,50 m CA-2 PB exclusive escavação e reaterro, inclusive transporte do tubo em Vias Urbanas</v>
          </cell>
          <cell r="C1170" t="str">
            <v>M</v>
          </cell>
          <cell r="D1170">
            <v>1210.95</v>
          </cell>
          <cell r="E1170">
            <v>981.96</v>
          </cell>
          <cell r="F1170" t="str">
            <v>A incluir</v>
          </cell>
        </row>
        <row r="1171">
          <cell r="A1171">
            <v>42797</v>
          </cell>
          <cell r="B1171" t="str">
            <v>Corpo BSTC (grota) diâmetro 1,50 m CA-3 MF exclusive escavação e reaterro, inclusive transporte do tubo em Vias Urbanas</v>
          </cell>
          <cell r="C1171" t="str">
            <v>M</v>
          </cell>
          <cell r="D1171">
            <v>1559.19</v>
          </cell>
          <cell r="E1171">
            <v>1264.3499999999999</v>
          </cell>
          <cell r="F1171" t="str">
            <v>A incluir</v>
          </cell>
        </row>
        <row r="1172">
          <cell r="A1172">
            <v>42798</v>
          </cell>
          <cell r="B1172" t="str">
            <v>Corpo BTTC (grota) diâmetro 0,60 m CA-1 MF exclusive escavação e reaterro, inclusive transporte do tubo em Vias Urbanas</v>
          </cell>
          <cell r="C1172" t="str">
            <v>M</v>
          </cell>
          <cell r="D1172">
            <v>713.4</v>
          </cell>
          <cell r="E1172">
            <v>578.5</v>
          </cell>
          <cell r="F1172" t="str">
            <v>A incluir</v>
          </cell>
        </row>
        <row r="1173">
          <cell r="A1173">
            <v>42799</v>
          </cell>
          <cell r="B1173" t="str">
            <v>Corpo BTTC (grota) diâmetro 0,60 m CA-1 PB exclusive escavação e reaterro, inclusive transporte do tubo em Vias Urbanas</v>
          </cell>
          <cell r="C1173" t="str">
            <v>M</v>
          </cell>
          <cell r="D1173">
            <v>770.41</v>
          </cell>
          <cell r="E1173">
            <v>624.73</v>
          </cell>
          <cell r="F1173" t="str">
            <v>A incluir</v>
          </cell>
        </row>
        <row r="1174">
          <cell r="A1174">
            <v>42800</v>
          </cell>
          <cell r="B1174" t="str">
            <v>Corpo BTTC (grota) diâmetro 0,60 m CA-2 MF exclusive escavação e reaterro, inclusive transporte do tubo em Vias Urbanas</v>
          </cell>
          <cell r="C1174" t="str">
            <v>M</v>
          </cell>
          <cell r="D1174">
            <v>722.8</v>
          </cell>
          <cell r="E1174">
            <v>586.12</v>
          </cell>
          <cell r="F1174" t="str">
            <v>A incluir</v>
          </cell>
        </row>
        <row r="1175">
          <cell r="A1175">
            <v>42801</v>
          </cell>
          <cell r="B1175" t="str">
            <v>Corpo BTTC (grota) diâmetro 0,60 m CA-2 PB exclusive escavação e reaterro, inclusive transporte do tubo em Vias Urbanas</v>
          </cell>
          <cell r="C1175" t="str">
            <v>M</v>
          </cell>
          <cell r="D1175">
            <v>704.04</v>
          </cell>
          <cell r="E1175">
            <v>570.91</v>
          </cell>
          <cell r="F1175" t="str">
            <v>A incluir</v>
          </cell>
        </row>
        <row r="1176">
          <cell r="A1176">
            <v>42802</v>
          </cell>
          <cell r="B1176" t="str">
            <v>Corpo BTTC (grota) diâmetro 0,80 m CA-1 MF exclusive escavação e reaterro, inclusive transporte do tubo em Vias Urbanas</v>
          </cell>
          <cell r="C1176" t="str">
            <v>M</v>
          </cell>
          <cell r="D1176">
            <v>1468.65</v>
          </cell>
          <cell r="E1176">
            <v>1190.93</v>
          </cell>
          <cell r="F1176" t="str">
            <v>A incluir</v>
          </cell>
        </row>
        <row r="1177">
          <cell r="A1177">
            <v>42803</v>
          </cell>
          <cell r="B1177" t="str">
            <v>Corpo BTTC (grota) diâmetro 0,80 m CA-1 PB exclusive escavação e reaterro, inclusive transporte do tubo em Vias Urbanas</v>
          </cell>
          <cell r="C1177" t="str">
            <v>M</v>
          </cell>
          <cell r="D1177">
            <v>1450.41</v>
          </cell>
          <cell r="E1177">
            <v>1176.1400000000001</v>
          </cell>
          <cell r="F1177" t="str">
            <v>A incluir</v>
          </cell>
        </row>
        <row r="1178">
          <cell r="A1178">
            <v>42804</v>
          </cell>
          <cell r="B1178" t="str">
            <v>Corpo BTTC (grota) diâmetro 0,80 m CA-2 MF exclusive escavação e reaterro, inclusive transporte do tubo em Vias Urbanas</v>
          </cell>
          <cell r="C1178" t="str">
            <v>M</v>
          </cell>
          <cell r="D1178">
            <v>1500.8</v>
          </cell>
          <cell r="E1178">
            <v>1217</v>
          </cell>
          <cell r="F1178" t="str">
            <v>A incluir</v>
          </cell>
        </row>
        <row r="1179">
          <cell r="A1179">
            <v>42805</v>
          </cell>
          <cell r="B1179" t="str">
            <v>Corpo BTTC (grota) diâmetro 0,80 m CA-2 PB exclusive escavação e reaterro, inclusive transporte do tubo em Vias Urbanas</v>
          </cell>
          <cell r="C1179" t="str">
            <v>M</v>
          </cell>
          <cell r="D1179">
            <v>1427.25</v>
          </cell>
          <cell r="E1179">
            <v>1157.3599999999999</v>
          </cell>
          <cell r="F1179" t="str">
            <v>A incluir</v>
          </cell>
        </row>
        <row r="1180">
          <cell r="A1180">
            <v>42806</v>
          </cell>
          <cell r="B1180" t="str">
            <v>Corpo BTTC (grota) diâmetro 1,00 m CA-1 MF exclusive escavação e reaterro, inclusive transporte do tubo em Vias Urbanas</v>
          </cell>
          <cell r="C1180" t="str">
            <v>M</v>
          </cell>
          <cell r="D1180">
            <v>1711.86</v>
          </cell>
          <cell r="E1180">
            <v>1388.15</v>
          </cell>
          <cell r="F1180" t="str">
            <v>A incluir</v>
          </cell>
        </row>
        <row r="1181">
          <cell r="A1181">
            <v>42807</v>
          </cell>
          <cell r="B1181" t="str">
            <v>Corpo BTTC (grota) diâmetro 1,00 m CA-1 PB exclusive escavação e reaterro, inclusive transporte do tubo em Vias Urbanas</v>
          </cell>
          <cell r="C1181" t="str">
            <v>M</v>
          </cell>
          <cell r="D1181">
            <v>1679.42</v>
          </cell>
          <cell r="E1181">
            <v>1361.84</v>
          </cell>
          <cell r="F1181" t="str">
            <v>A incluir</v>
          </cell>
        </row>
        <row r="1182">
          <cell r="A1182">
            <v>42808</v>
          </cell>
          <cell r="B1182" t="str">
            <v>Corpo BTTC (grota) diâmetro 1,00 m CA-2 MF exclusive escavação e reaterro, inclusive transporte do tubo em Vias Urbanas</v>
          </cell>
          <cell r="C1182" t="str">
            <v>M</v>
          </cell>
          <cell r="D1182">
            <v>1827.77</v>
          </cell>
          <cell r="E1182">
            <v>1482.14</v>
          </cell>
          <cell r="F1182" t="str">
            <v>A incluir</v>
          </cell>
        </row>
        <row r="1183">
          <cell r="A1183">
            <v>42809</v>
          </cell>
          <cell r="B1183" t="str">
            <v>Corpo BTTC (grota) diâmetro 1,00 m CA-2 PB exclusive escavação e reaterro, inclusive transporte do tubo em Vias Urbanas</v>
          </cell>
          <cell r="C1183" t="str">
            <v>M</v>
          </cell>
          <cell r="D1183">
            <v>1776.31</v>
          </cell>
          <cell r="E1183">
            <v>1440.41</v>
          </cell>
          <cell r="F1183" t="str">
            <v>A incluir</v>
          </cell>
        </row>
        <row r="1184">
          <cell r="A1184">
            <v>42810</v>
          </cell>
          <cell r="B1184" t="str">
            <v>Corpo BTTC (grota) diâmetro 1,00 m CA-3 MF exclusive escavação e reaterro, inclusive transporte do tubo em Vias Urbanas</v>
          </cell>
          <cell r="C1184" t="str">
            <v>M</v>
          </cell>
          <cell r="D1184">
            <v>2071.1999999999998</v>
          </cell>
          <cell r="E1184">
            <v>1679.54</v>
          </cell>
          <cell r="F1184" t="str">
            <v>A incluir</v>
          </cell>
        </row>
        <row r="1185">
          <cell r="A1185">
            <v>42811</v>
          </cell>
          <cell r="B1185" t="str">
            <v>Corpo BTTC (grota) diâmetro 1,20 m CA-1 MF exclusive escavação e reaterro, inclusive transporte do tubo em Vias Urbanas</v>
          </cell>
          <cell r="C1185" t="str">
            <v>M</v>
          </cell>
          <cell r="D1185">
            <v>2527.54</v>
          </cell>
          <cell r="E1185">
            <v>2049.58</v>
          </cell>
          <cell r="F1185" t="str">
            <v>A incluir</v>
          </cell>
        </row>
        <row r="1186">
          <cell r="A1186">
            <v>42812</v>
          </cell>
          <cell r="B1186" t="str">
            <v>Corpo BTTC (grota) diâmetro 1,20 m CA-1 PB exclusive escavação e reaterro, inclusive transporte do tubo em Vias Urbanas</v>
          </cell>
          <cell r="C1186" t="str">
            <v>M</v>
          </cell>
          <cell r="D1186">
            <v>2367.6</v>
          </cell>
          <cell r="E1186">
            <v>1919.89</v>
          </cell>
          <cell r="F1186" t="str">
            <v>A incluir</v>
          </cell>
        </row>
        <row r="1187">
          <cell r="A1187">
            <v>42813</v>
          </cell>
          <cell r="B1187" t="str">
            <v>Corpo BTTC (grota) diâmetro 1,20 m CA-2 MF exclusive escavação e reaterro, inclusive transporte do tubo em Vias Urbanas</v>
          </cell>
          <cell r="C1187" t="str">
            <v>M</v>
          </cell>
          <cell r="D1187">
            <v>2595.5</v>
          </cell>
          <cell r="E1187">
            <v>2104.69</v>
          </cell>
          <cell r="F1187" t="str">
            <v>A incluir</v>
          </cell>
        </row>
        <row r="1188">
          <cell r="A1188">
            <v>42814</v>
          </cell>
          <cell r="B1188" t="str">
            <v>Corpo BTTC (grota) diâmetro 1,20 m CA-2 PB exclusive escavação e reaterro, inclusive transporte do tubo em Vias Urbanas</v>
          </cell>
          <cell r="C1188" t="str">
            <v>M</v>
          </cell>
          <cell r="D1188">
            <v>2483.44</v>
          </cell>
          <cell r="E1188">
            <v>2013.82</v>
          </cell>
          <cell r="F1188" t="str">
            <v>A incluir</v>
          </cell>
        </row>
        <row r="1189">
          <cell r="A1189">
            <v>42815</v>
          </cell>
          <cell r="B1189" t="str">
            <v>Corpo BTTC (grota) diâmetro 1,20 m CA-3 MF exclusive escavação e reaterro, inclusive transporte do tubo em Vias Urbanas</v>
          </cell>
          <cell r="C1189" t="str">
            <v>M</v>
          </cell>
          <cell r="D1189">
            <v>3085.44</v>
          </cell>
          <cell r="E1189">
            <v>2501.98</v>
          </cell>
          <cell r="F1189" t="str">
            <v>A incluir</v>
          </cell>
        </row>
        <row r="1190">
          <cell r="A1190">
            <v>42816</v>
          </cell>
          <cell r="B1190" t="str">
            <v>Corpo BTTC (grota) diâmetro 1,50 m CA-1 MF exclusive escavação e reaterro, inclusive transporte do tubo em Vias Urbanas</v>
          </cell>
          <cell r="C1190" t="str">
            <v>M</v>
          </cell>
          <cell r="D1190">
            <v>3272.91</v>
          </cell>
          <cell r="E1190">
            <v>2654</v>
          </cell>
          <cell r="F1190" t="str">
            <v>A incluir</v>
          </cell>
        </row>
        <row r="1191">
          <cell r="A1191">
            <v>42817</v>
          </cell>
          <cell r="B1191" t="str">
            <v>Corpo BTTC (grota) diâmetro 1,50 m CA-1 PB exclusive escavação e reaterro, inclusive transporte do tubo em Vias Urbanas</v>
          </cell>
          <cell r="C1191" t="str">
            <v>M</v>
          </cell>
          <cell r="D1191">
            <v>3245.16</v>
          </cell>
          <cell r="E1191">
            <v>2631.5</v>
          </cell>
          <cell r="F1191" t="str">
            <v>A incluir</v>
          </cell>
        </row>
        <row r="1192">
          <cell r="A1192">
            <v>42818</v>
          </cell>
          <cell r="B1192" t="str">
            <v>Corpo BTTC (grota) diâmetro 1,50 m CA-2 MF exclusive escavação e reaterro, inclusive transporte do tubo em Vias Urbanas</v>
          </cell>
          <cell r="C1192" t="str">
            <v>M</v>
          </cell>
          <cell r="D1192">
            <v>3267.73</v>
          </cell>
          <cell r="E1192">
            <v>2649.8</v>
          </cell>
          <cell r="F1192" t="str">
            <v>A incluir</v>
          </cell>
        </row>
        <row r="1193">
          <cell r="A1193">
            <v>42819</v>
          </cell>
          <cell r="B1193" t="str">
            <v>Corpo BTTC (grota) diâmetro 1,50 m CA-2 PB exclusive escavação e reaterro, inclusive transporte do tubo em Vias Urbanas</v>
          </cell>
          <cell r="C1193" t="str">
            <v>M</v>
          </cell>
          <cell r="D1193">
            <v>3392.59</v>
          </cell>
          <cell r="E1193">
            <v>2751.05</v>
          </cell>
          <cell r="F1193" t="str">
            <v>A incluir</v>
          </cell>
        </row>
        <row r="1194">
          <cell r="A1194">
            <v>42820</v>
          </cell>
          <cell r="B1194" t="str">
            <v>Corpo BTTC (grota) diâmetro 1,50 m CA-3 MF exclusive escavação e reaterro, inclusive transporte do tubo em Vias Urbanas</v>
          </cell>
          <cell r="C1194" t="str">
            <v>M</v>
          </cell>
          <cell r="D1194">
            <v>4437.32</v>
          </cell>
          <cell r="E1194">
            <v>3598.22</v>
          </cell>
          <cell r="F1194" t="str">
            <v>A incluir</v>
          </cell>
        </row>
        <row r="1195">
          <cell r="A1195">
            <v>41321</v>
          </cell>
          <cell r="B1195" t="str">
            <v>Corpo de BDCC 1,00 x 1,00 m em Vias Urbanas</v>
          </cell>
          <cell r="C1195" t="str">
            <v>M</v>
          </cell>
          <cell r="D1195">
            <v>7398.52</v>
          </cell>
          <cell r="E1195">
            <v>5999.45</v>
          </cell>
          <cell r="F1195" t="str">
            <v xml:space="preserve"> </v>
          </cell>
        </row>
        <row r="1196">
          <cell r="A1196">
            <v>42821</v>
          </cell>
          <cell r="B1196" t="str">
            <v>Corpo de BDCC 1,50 x 1,50 m projeto DNIT para H &lt; = 2,50 m em Vias Urbanas</v>
          </cell>
          <cell r="C1196" t="str">
            <v>M</v>
          </cell>
          <cell r="D1196">
            <v>5741.56</v>
          </cell>
          <cell r="E1196">
            <v>4655.83</v>
          </cell>
          <cell r="F1196" t="str">
            <v xml:space="preserve"> </v>
          </cell>
        </row>
        <row r="1197">
          <cell r="A1197">
            <v>42822</v>
          </cell>
          <cell r="B1197" t="str">
            <v>Corpo de BDCC 1,50 x 1,50 m projeto DNIT para 2,50 &lt; H &lt; 5,00 m em Vias Urbanas</v>
          </cell>
          <cell r="C1197" t="str">
            <v>M</v>
          </cell>
          <cell r="D1197">
            <v>6139.15</v>
          </cell>
          <cell r="E1197">
            <v>4978.2299999999996</v>
          </cell>
          <cell r="F1197" t="str">
            <v xml:space="preserve"> </v>
          </cell>
        </row>
        <row r="1198">
          <cell r="A1198">
            <v>42823</v>
          </cell>
          <cell r="B1198" t="str">
            <v>Corpo de BDCC 2,00 x 1,20 m -  tudo incluido conforme projeto em Vias Urbanas</v>
          </cell>
          <cell r="C1198" t="str">
            <v>M</v>
          </cell>
          <cell r="D1198">
            <v>8971.36</v>
          </cell>
          <cell r="E1198">
            <v>7274.87</v>
          </cell>
          <cell r="F1198" t="str">
            <v xml:space="preserve"> </v>
          </cell>
        </row>
        <row r="1199">
          <cell r="A1199">
            <v>42824</v>
          </cell>
          <cell r="B1199" t="str">
            <v>Corpo de BDCC 2,00 x 2,00 m projeto DNIT para H &lt; = 2,50 m em Vias Urbanas</v>
          </cell>
          <cell r="C1199" t="str">
            <v>M</v>
          </cell>
          <cell r="D1199">
            <v>8422.92</v>
          </cell>
          <cell r="E1199">
            <v>6830.14</v>
          </cell>
          <cell r="F1199" t="str">
            <v xml:space="preserve"> </v>
          </cell>
        </row>
        <row r="1200">
          <cell r="A1200">
            <v>42825</v>
          </cell>
          <cell r="B1200" t="str">
            <v>Corpo de BDCC 2,00 x 2,00 m projeto DNIT para 2,50 &lt; H &lt; 5,00 m em Vias Urbanas</v>
          </cell>
          <cell r="C1200" t="str">
            <v>M</v>
          </cell>
          <cell r="D1200">
            <v>9723.23</v>
          </cell>
          <cell r="E1200">
            <v>7884.56</v>
          </cell>
          <cell r="F1200" t="str">
            <v xml:space="preserve"> </v>
          </cell>
        </row>
        <row r="1201">
          <cell r="A1201">
            <v>40600</v>
          </cell>
          <cell r="B1201" t="str">
            <v>Corpo de BDCC 2,00 x 2,50 m em Vias Urbanas</v>
          </cell>
          <cell r="C1201" t="str">
            <v>M</v>
          </cell>
          <cell r="D1201">
            <v>13152.8</v>
          </cell>
          <cell r="E1201">
            <v>10665.59</v>
          </cell>
          <cell r="F1201" t="str">
            <v xml:space="preserve"> </v>
          </cell>
        </row>
        <row r="1202">
          <cell r="A1202">
            <v>42827</v>
          </cell>
          <cell r="B1202" t="str">
            <v>Corpo de BDCC 2,00 x 3,00 m projeto DNIT p/ 2,50 &lt; H &lt; 5,00 m em Vias Urbanas</v>
          </cell>
          <cell r="C1202" t="str">
            <v>M</v>
          </cell>
          <cell r="D1202">
            <v>14178.98</v>
          </cell>
          <cell r="E1202">
            <v>11497.72</v>
          </cell>
          <cell r="F1202" t="str">
            <v xml:space="preserve"> </v>
          </cell>
        </row>
        <row r="1203">
          <cell r="A1203">
            <v>42826</v>
          </cell>
          <cell r="B1203" t="str">
            <v>Corpo de BDCC 2,00 x 3,00 m projeto DNIT para H &lt; = 2,50 m em Vias Urbanas</v>
          </cell>
          <cell r="C1203" t="str">
            <v>M</v>
          </cell>
          <cell r="D1203">
            <v>11787.83</v>
          </cell>
          <cell r="E1203">
            <v>9558.74</v>
          </cell>
          <cell r="F1203" t="str">
            <v xml:space="preserve"> </v>
          </cell>
        </row>
        <row r="1204">
          <cell r="A1204">
            <v>42828</v>
          </cell>
          <cell r="B1204" t="str">
            <v>Corpo de BDCC 2,50 x 2,00m - tudo incluído conforme projeto em Vias Urbanas</v>
          </cell>
          <cell r="C1204" t="str">
            <v>M</v>
          </cell>
          <cell r="D1204">
            <v>12893.94</v>
          </cell>
          <cell r="E1204">
            <v>10455.68</v>
          </cell>
          <cell r="F1204" t="str">
            <v xml:space="preserve"> </v>
          </cell>
        </row>
        <row r="1205">
          <cell r="A1205">
            <v>42830</v>
          </cell>
          <cell r="B1205" t="str">
            <v>Corpo de BDCC 2,50 x 2,50 m projeto DNIT p/ 2,50&lt; H &lt;5,00 m em Vias Urbanas</v>
          </cell>
          <cell r="C1205" t="str">
            <v>M</v>
          </cell>
          <cell r="D1205">
            <v>12838.25</v>
          </cell>
          <cell r="E1205">
            <v>10410.52</v>
          </cell>
          <cell r="F1205" t="str">
            <v xml:space="preserve"> </v>
          </cell>
        </row>
        <row r="1206">
          <cell r="A1206">
            <v>42829</v>
          </cell>
          <cell r="B1206" t="str">
            <v>Corpo de BDCC 2,50 x 2,50 m projeto DNIT para H&lt;=2,50m em Vias Urbanas</v>
          </cell>
          <cell r="C1206" t="str">
            <v>M</v>
          </cell>
          <cell r="D1206">
            <v>11475.75</v>
          </cell>
          <cell r="E1206">
            <v>9305.67</v>
          </cell>
          <cell r="F1206" t="str">
            <v xml:space="preserve"> </v>
          </cell>
        </row>
        <row r="1207">
          <cell r="A1207">
            <v>42831</v>
          </cell>
          <cell r="B1207" t="str">
            <v>Corpo de BDCC 2,50 x 3,00 m projeto DNIT p/ H &lt;= 2,50 m em Vias Urbanas</v>
          </cell>
          <cell r="C1207" t="str">
            <v>M</v>
          </cell>
          <cell r="D1207">
            <v>13678.42</v>
          </cell>
          <cell r="E1207">
            <v>11091.81</v>
          </cell>
          <cell r="F1207" t="str">
            <v xml:space="preserve"> </v>
          </cell>
        </row>
        <row r="1208">
          <cell r="A1208">
            <v>42832</v>
          </cell>
          <cell r="B1208" t="str">
            <v>Corpo de BDCC 2,50 x 3,00 m projeto DNIT p/ 2,50 &lt; H &lt; 5,00 m em Vias Urbanas</v>
          </cell>
          <cell r="C1208" t="str">
            <v>M</v>
          </cell>
          <cell r="D1208">
            <v>15188.73</v>
          </cell>
          <cell r="E1208">
            <v>12316.52</v>
          </cell>
          <cell r="F1208" t="str">
            <v xml:space="preserve"> </v>
          </cell>
        </row>
        <row r="1209">
          <cell r="A1209">
            <v>42834</v>
          </cell>
          <cell r="B1209" t="str">
            <v>Corpo de BDCC 3,00 x 3,00 m projeto DNIT p/ 2,50 &lt; H &lt; 5,00 m em Vias Urbanas</v>
          </cell>
          <cell r="C1209" t="str">
            <v>M</v>
          </cell>
          <cell r="D1209">
            <v>15990.3</v>
          </cell>
          <cell r="E1209">
            <v>12966.51</v>
          </cell>
          <cell r="F1209" t="str">
            <v xml:space="preserve"> </v>
          </cell>
        </row>
        <row r="1210">
          <cell r="A1210">
            <v>42833</v>
          </cell>
          <cell r="B1210" t="str">
            <v>Corpo de BDCC 3,00 x 3,00 m projeto DNIT para  H &lt;= 2,50 m em Vias Urbanas</v>
          </cell>
          <cell r="C1210" t="str">
            <v>M</v>
          </cell>
          <cell r="D1210">
            <v>14983.14</v>
          </cell>
          <cell r="E1210">
            <v>12149.81</v>
          </cell>
          <cell r="F1210" t="str">
            <v xml:space="preserve"> </v>
          </cell>
        </row>
        <row r="1211">
          <cell r="A1211">
            <v>42835</v>
          </cell>
          <cell r="B1211" t="str">
            <v>Corpo de BSCC 1,50 x 1,50 m projeto DNIT p/ H &lt;= 2,50 m em Vias Urbanas</v>
          </cell>
          <cell r="C1211" t="str">
            <v>M</v>
          </cell>
          <cell r="D1211">
            <v>3523.84</v>
          </cell>
          <cell r="E1211">
            <v>2857.48</v>
          </cell>
          <cell r="F1211" t="str">
            <v xml:space="preserve"> </v>
          </cell>
        </row>
        <row r="1212">
          <cell r="A1212">
            <v>42836</v>
          </cell>
          <cell r="B1212" t="str">
            <v>Corpo de BSCC 1,50x1,50m projeto DNIT p/ 2,50&lt; H &lt;5,00m em Vias Urbanas</v>
          </cell>
          <cell r="C1212" t="str">
            <v>M</v>
          </cell>
          <cell r="D1212">
            <v>3822.03</v>
          </cell>
          <cell r="E1212">
            <v>3099.28</v>
          </cell>
          <cell r="F1212" t="str">
            <v xml:space="preserve"> </v>
          </cell>
        </row>
        <row r="1213">
          <cell r="A1213">
            <v>42837</v>
          </cell>
          <cell r="B1213" t="str">
            <v>Corpo de BSCC 2,00 x 2,00m projeto DNIT para  5,00 &lt; H &lt; 7,50 m em Vias Urbanas</v>
          </cell>
          <cell r="C1213" t="str">
            <v>M</v>
          </cell>
          <cell r="D1213">
            <v>6388.81</v>
          </cell>
          <cell r="E1213">
            <v>5180.68</v>
          </cell>
          <cell r="F1213" t="str">
            <v xml:space="preserve"> </v>
          </cell>
        </row>
        <row r="1214">
          <cell r="A1214">
            <v>42838</v>
          </cell>
          <cell r="B1214" t="str">
            <v>Corpo de BSCC 2,00x2,00m projeto DNIT p/ H&lt;=2,50m em Vias Urbanas</v>
          </cell>
          <cell r="C1214" t="str">
            <v>M</v>
          </cell>
          <cell r="D1214">
            <v>5080.05</v>
          </cell>
          <cell r="E1214">
            <v>4119.41</v>
          </cell>
          <cell r="F1214" t="str">
            <v xml:space="preserve"> </v>
          </cell>
        </row>
        <row r="1215">
          <cell r="A1215">
            <v>42839</v>
          </cell>
          <cell r="B1215" t="str">
            <v>Corpo de BSCC 2,00x2,00m projeto DNIT p/ 2,50&lt; H &lt;5,00m em Vias Urbanas</v>
          </cell>
          <cell r="C1215" t="str">
            <v>M</v>
          </cell>
          <cell r="D1215">
            <v>5693.04</v>
          </cell>
          <cell r="E1215">
            <v>4616.4799999999996</v>
          </cell>
          <cell r="F1215" t="str">
            <v xml:space="preserve"> </v>
          </cell>
        </row>
        <row r="1216">
          <cell r="A1216">
            <v>42840</v>
          </cell>
          <cell r="B1216" t="str">
            <v>Corpo de BSCC 2,00x3,00m projeto DNIT p/ H&lt;=2,50m em Vias Urbanas</v>
          </cell>
          <cell r="C1216" t="str">
            <v>M</v>
          </cell>
          <cell r="D1216">
            <v>7304.83</v>
          </cell>
          <cell r="E1216">
            <v>5923.48</v>
          </cell>
          <cell r="F1216" t="str">
            <v xml:space="preserve"> </v>
          </cell>
        </row>
        <row r="1217">
          <cell r="A1217">
            <v>42841</v>
          </cell>
          <cell r="B1217" t="str">
            <v>Corpo de BSCC 2,00x3,00m projeto DNIT p/ 2,50&lt; H &lt;5,00m em Vias Urbanas</v>
          </cell>
          <cell r="C1217" t="str">
            <v>M</v>
          </cell>
          <cell r="D1217">
            <v>9403.7000000000007</v>
          </cell>
          <cell r="E1217">
            <v>7625.45</v>
          </cell>
          <cell r="F1217" t="str">
            <v xml:space="preserve"> </v>
          </cell>
        </row>
        <row r="1218">
          <cell r="A1218">
            <v>40585</v>
          </cell>
          <cell r="B1218" t="str">
            <v>Corpo de BSCC 2,50 x 2,50 m, para H &lt; = 2,50 m em Vias Urbanas</v>
          </cell>
          <cell r="C1218" t="str">
            <v>M</v>
          </cell>
          <cell r="D1218">
            <v>8296.43</v>
          </cell>
          <cell r="E1218">
            <v>6727.57</v>
          </cell>
          <cell r="F1218" t="str">
            <v xml:space="preserve"> </v>
          </cell>
        </row>
        <row r="1219">
          <cell r="A1219">
            <v>42843</v>
          </cell>
          <cell r="B1219" t="str">
            <v>Corpo de BSCC 2,50x2,50m projeto DNIT para 2,50&lt; H &lt;5,00m em Vias Urbanas</v>
          </cell>
          <cell r="C1219" t="str">
            <v>M</v>
          </cell>
          <cell r="D1219">
            <v>8233.7099999999991</v>
          </cell>
          <cell r="E1219">
            <v>6676.71</v>
          </cell>
          <cell r="F1219" t="str">
            <v xml:space="preserve"> </v>
          </cell>
        </row>
        <row r="1220">
          <cell r="A1220">
            <v>42844</v>
          </cell>
          <cell r="B1220" t="str">
            <v>Corpo de BSCC 2,50x3,00m projeto DNIT para H&lt;=2,50m em Vias Urbanas</v>
          </cell>
          <cell r="C1220" t="str">
            <v>M</v>
          </cell>
          <cell r="D1220">
            <v>9111.4599999999991</v>
          </cell>
          <cell r="E1220">
            <v>7388.47</v>
          </cell>
          <cell r="F1220" t="str">
            <v xml:space="preserve"> </v>
          </cell>
        </row>
        <row r="1221">
          <cell r="A1221">
            <v>42845</v>
          </cell>
          <cell r="B1221" t="str">
            <v>Corpo de BSCC 2,50x3,00m projeto DNIT para 2,50&lt; H &lt;5,00m em Vias Urbanas</v>
          </cell>
          <cell r="C1221" t="str">
            <v>M</v>
          </cell>
          <cell r="D1221">
            <v>11227.29</v>
          </cell>
          <cell r="E1221">
            <v>9104.2000000000007</v>
          </cell>
          <cell r="F1221" t="str">
            <v xml:space="preserve"> </v>
          </cell>
        </row>
        <row r="1222">
          <cell r="A1222">
            <v>41179</v>
          </cell>
          <cell r="B1222" t="str">
            <v>Corpo de BSCC 3,00x1,50 para 2,50m&lt; H &lt; 5,00m , em Vias Urbanas</v>
          </cell>
          <cell r="C1222" t="str">
            <v>M</v>
          </cell>
          <cell r="D1222">
            <v>9336</v>
          </cell>
          <cell r="E1222">
            <v>7570.55</v>
          </cell>
          <cell r="F1222" t="str">
            <v xml:space="preserve"> </v>
          </cell>
        </row>
        <row r="1223">
          <cell r="A1223">
            <v>42842</v>
          </cell>
          <cell r="B1223" t="str">
            <v>Corpo de BSCC 3,00x3,00m projeto DNIT para H&lt;=2,50m em Vias Urbanas</v>
          </cell>
          <cell r="C1223" t="str">
            <v>M</v>
          </cell>
          <cell r="D1223">
            <v>9812.9500000000007</v>
          </cell>
          <cell r="E1223">
            <v>7957.31</v>
          </cell>
          <cell r="F1223" t="str">
            <v xml:space="preserve"> </v>
          </cell>
        </row>
        <row r="1224">
          <cell r="A1224">
            <v>42848</v>
          </cell>
          <cell r="B1224" t="str">
            <v>Corpo de BSCC 3,00x3,00m projeto DNIT para 2,50&lt; H &lt;5,00m em Vias Urbanas</v>
          </cell>
          <cell r="C1224" t="str">
            <v>M</v>
          </cell>
          <cell r="D1224">
            <v>11412.98</v>
          </cell>
          <cell r="E1224">
            <v>9254.77</v>
          </cell>
          <cell r="F1224" t="str">
            <v xml:space="preserve"> </v>
          </cell>
        </row>
        <row r="1225">
          <cell r="A1225">
            <v>42849</v>
          </cell>
          <cell r="B1225" t="str">
            <v>Corpo de BTCC 1,50 x 1,50 m projeto DNIT para H &lt;= 2,50 m em Vias Urbanas</v>
          </cell>
          <cell r="C1225" t="str">
            <v>M</v>
          </cell>
          <cell r="D1225">
            <v>8060.82</v>
          </cell>
          <cell r="E1225">
            <v>6536.51</v>
          </cell>
          <cell r="F1225" t="str">
            <v xml:space="preserve"> </v>
          </cell>
        </row>
        <row r="1226">
          <cell r="A1226">
            <v>42850</v>
          </cell>
          <cell r="B1226" t="str">
            <v>Corpo de BTCC 1,50 x 1,50 m projeto DNIT para 2,50 &lt; H &lt; 5,00 m em Vias Urbanas</v>
          </cell>
          <cell r="C1226" t="str">
            <v>M</v>
          </cell>
          <cell r="D1226">
            <v>8796.35</v>
          </cell>
          <cell r="E1226">
            <v>7132.95</v>
          </cell>
          <cell r="F1226" t="str">
            <v xml:space="preserve"> </v>
          </cell>
        </row>
        <row r="1227">
          <cell r="A1227">
            <v>42851</v>
          </cell>
          <cell r="B1227" t="str">
            <v>Corpo de BTCC 2,00 x 2,00 m projeto DNIT para H &lt;= 2,50 m em Vias Urbanas</v>
          </cell>
          <cell r="C1227" t="str">
            <v>M</v>
          </cell>
          <cell r="D1227">
            <v>12007.49</v>
          </cell>
          <cell r="E1227">
            <v>9736.86</v>
          </cell>
          <cell r="F1227" t="str">
            <v xml:space="preserve"> </v>
          </cell>
        </row>
        <row r="1228">
          <cell r="A1228">
            <v>42852</v>
          </cell>
          <cell r="B1228" t="str">
            <v>Corpo de BTCC 2,00 x 2,00 m projeto DNIT para 2,50 &lt; H &lt; 5,00 m em Vias Urbanas</v>
          </cell>
          <cell r="C1228" t="str">
            <v>M</v>
          </cell>
          <cell r="D1228">
            <v>13331.23</v>
          </cell>
          <cell r="E1228">
            <v>10810.28</v>
          </cell>
          <cell r="F1228" t="str">
            <v xml:space="preserve"> </v>
          </cell>
        </row>
        <row r="1229">
          <cell r="A1229">
            <v>42853</v>
          </cell>
          <cell r="B1229" t="str">
            <v>Corpo de BTCC 2,00 x 3,00 m projeto DNIT para H &lt; = 2,50 m em Vias Urbanas</v>
          </cell>
          <cell r="C1229" t="str">
            <v>M</v>
          </cell>
          <cell r="D1229">
            <v>17360.060000000001</v>
          </cell>
          <cell r="E1229">
            <v>14077.25</v>
          </cell>
          <cell r="F1229" t="str">
            <v xml:space="preserve"> </v>
          </cell>
        </row>
        <row r="1230">
          <cell r="A1230">
            <v>42854</v>
          </cell>
          <cell r="B1230" t="str">
            <v>Corpo de BTCC 2,00 x 3,00 m projeto DNIT para 2,50 &lt; H &lt; 5,00 m em Vias Urbanas</v>
          </cell>
          <cell r="C1230" t="str">
            <v>M</v>
          </cell>
          <cell r="D1230">
            <v>19951.7</v>
          </cell>
          <cell r="E1230">
            <v>16178.81</v>
          </cell>
          <cell r="F1230" t="str">
            <v xml:space="preserve"> </v>
          </cell>
        </row>
        <row r="1231">
          <cell r="A1231">
            <v>42855</v>
          </cell>
          <cell r="B1231" t="str">
            <v>Corpo de BTCC 2,50 x 2,50 m projeto DNIT para H &lt; = 2,50 m em Vias Urbanas</v>
          </cell>
          <cell r="C1231" t="str">
            <v>M</v>
          </cell>
          <cell r="D1231">
            <v>15711.96</v>
          </cell>
          <cell r="E1231">
            <v>12740.81</v>
          </cell>
          <cell r="F1231" t="str">
            <v xml:space="preserve"> </v>
          </cell>
        </row>
        <row r="1232">
          <cell r="A1232">
            <v>42856</v>
          </cell>
          <cell r="B1232" t="str">
            <v>Corpo de BTCC 2,50 x 2,50 m projeto DNIT para 2,50 &lt; H &lt; 5,00 m em Vias Urbanas</v>
          </cell>
          <cell r="C1232" t="str">
            <v>M</v>
          </cell>
          <cell r="D1232">
            <v>17664.23</v>
          </cell>
          <cell r="E1232">
            <v>14323.9</v>
          </cell>
          <cell r="F1232" t="str">
            <v xml:space="preserve"> </v>
          </cell>
        </row>
        <row r="1233">
          <cell r="A1233">
            <v>42858</v>
          </cell>
          <cell r="B1233" t="str">
            <v>Corpo de BTCC 2,50 x 3,00 m projeto DNIT para H &lt; = 2,50 m em Vias Urbanas</v>
          </cell>
          <cell r="C1233" t="str">
            <v>M</v>
          </cell>
          <cell r="D1233">
            <v>19410.7</v>
          </cell>
          <cell r="E1233">
            <v>15740.11</v>
          </cell>
          <cell r="F1233" t="str">
            <v xml:space="preserve"> </v>
          </cell>
        </row>
        <row r="1234">
          <cell r="A1234">
            <v>42857</v>
          </cell>
          <cell r="B1234" t="str">
            <v>Corpo de BTCC 2,50 x 3,00 m projeto DNIT para H &lt; = 2,50 m em vias Urbanas</v>
          </cell>
          <cell r="C1234" t="str">
            <v>M</v>
          </cell>
          <cell r="D1234">
            <v>19410.7</v>
          </cell>
          <cell r="E1234">
            <v>15740.11</v>
          </cell>
          <cell r="F1234" t="str">
            <v xml:space="preserve"> </v>
          </cell>
        </row>
        <row r="1235">
          <cell r="A1235">
            <v>42859</v>
          </cell>
          <cell r="B1235" t="str">
            <v>Corpo de BTCC 2,50 x 3,00 m projeto DNIT para 2,50 &lt; H &lt; 5,00 m em Vias Urbanas</v>
          </cell>
          <cell r="C1235" t="str">
            <v>M</v>
          </cell>
          <cell r="D1235">
            <v>22308.83</v>
          </cell>
          <cell r="E1235">
            <v>18090.2</v>
          </cell>
          <cell r="F1235" t="str">
            <v xml:space="preserve"> </v>
          </cell>
        </row>
        <row r="1236">
          <cell r="A1236">
            <v>42860</v>
          </cell>
          <cell r="B1236" t="str">
            <v>Corpo de BTCC 3,00 x 3,00 m projeto DNIT para H &lt; = 2,50 m em Vias Urbanas</v>
          </cell>
          <cell r="C1236" t="str">
            <v>M</v>
          </cell>
          <cell r="D1236">
            <v>20599.39</v>
          </cell>
          <cell r="E1236">
            <v>16704.02</v>
          </cell>
          <cell r="F1236" t="str">
            <v xml:space="preserve"> </v>
          </cell>
        </row>
        <row r="1237">
          <cell r="A1237">
            <v>42861</v>
          </cell>
          <cell r="B1237" t="str">
            <v>Corpo de BTCC 3,00 x 3,00 m projeto DNIT para 2,50 &lt; H &lt; 5,00 m em Vias Urbanas</v>
          </cell>
          <cell r="C1237" t="str">
            <v>M</v>
          </cell>
          <cell r="D1237">
            <v>23296.880000000001</v>
          </cell>
          <cell r="E1237">
            <v>18891.41</v>
          </cell>
          <cell r="F1237" t="str">
            <v xml:space="preserve"> </v>
          </cell>
        </row>
        <row r="1238">
          <cell r="A1238">
            <v>42862</v>
          </cell>
          <cell r="B1238" t="str">
            <v>Corta-rio (escavação mecânica em material de 1ª cat.) H=1,50 a 3,00 m em Vias Urbanas</v>
          </cell>
          <cell r="C1238" t="str">
            <v>M3</v>
          </cell>
          <cell r="D1238">
            <v>21.76</v>
          </cell>
          <cell r="E1238">
            <v>17.649999999999999</v>
          </cell>
          <cell r="F1238" t="str">
            <v xml:space="preserve"> </v>
          </cell>
        </row>
        <row r="1239">
          <cell r="A1239">
            <v>42863</v>
          </cell>
          <cell r="B1239" t="str">
            <v>Corta-rio (escavação mecânica em material de 2ª cat.) H=1,50 a 3,00m em Vias Urbanas</v>
          </cell>
          <cell r="C1239" t="str">
            <v>M3</v>
          </cell>
          <cell r="D1239">
            <v>43.53</v>
          </cell>
          <cell r="E1239">
            <v>35.299999999999997</v>
          </cell>
          <cell r="F1239" t="str">
            <v xml:space="preserve"> </v>
          </cell>
        </row>
        <row r="1240">
          <cell r="A1240">
            <v>42864</v>
          </cell>
          <cell r="B1240" t="str">
            <v>Corta-rio (escavação mecânica em material de 3º cat.) H=0,00 a 1,50m em Vias Urbanas</v>
          </cell>
          <cell r="C1240" t="str">
            <v>M3</v>
          </cell>
          <cell r="D1240">
            <v>174.21</v>
          </cell>
          <cell r="E1240">
            <v>141.27000000000001</v>
          </cell>
          <cell r="F1240" t="str">
            <v xml:space="preserve"> </v>
          </cell>
        </row>
        <row r="1241">
          <cell r="A1241">
            <v>42865</v>
          </cell>
          <cell r="B1241" t="str">
            <v>Corte e esmerilhamento de pontas de tubo de ferro fundido DN 500 a 200mm em Vias Urbanas</v>
          </cell>
          <cell r="C1241" t="str">
            <v>M</v>
          </cell>
          <cell r="D1241">
            <v>26.95</v>
          </cell>
          <cell r="E1241">
            <v>21.86</v>
          </cell>
          <cell r="F1241" t="str">
            <v xml:space="preserve"> </v>
          </cell>
        </row>
        <row r="1242">
          <cell r="A1242">
            <v>42867</v>
          </cell>
          <cell r="B1242" t="str">
            <v>Demolição manual alvenaria tijolo furado assentado com argamassa em Vias Urbanas</v>
          </cell>
          <cell r="C1242" t="str">
            <v>M3</v>
          </cell>
          <cell r="D1242">
            <v>244.98</v>
          </cell>
          <cell r="E1242">
            <v>198.66</v>
          </cell>
          <cell r="F1242" t="str">
            <v xml:space="preserve"> </v>
          </cell>
        </row>
        <row r="1243">
          <cell r="A1243">
            <v>42868</v>
          </cell>
          <cell r="B1243" t="str">
            <v>Demolição manual de concreto armado em Vias Urbanas</v>
          </cell>
          <cell r="C1243" t="str">
            <v>M3</v>
          </cell>
          <cell r="D1243">
            <v>361.56</v>
          </cell>
          <cell r="E1243">
            <v>293.19</v>
          </cell>
          <cell r="F1243" t="str">
            <v xml:space="preserve"> </v>
          </cell>
        </row>
        <row r="1244">
          <cell r="A1244">
            <v>42869</v>
          </cell>
          <cell r="B1244" t="str">
            <v>Demolição manual de concreto simples ou ciclópico em Vias Urbanas</v>
          </cell>
          <cell r="C1244" t="str">
            <v>M3</v>
          </cell>
          <cell r="D1244">
            <v>319.02</v>
          </cell>
          <cell r="E1244">
            <v>258.7</v>
          </cell>
          <cell r="F1244" t="str">
            <v xml:space="preserve"> </v>
          </cell>
        </row>
        <row r="1245">
          <cell r="A1245">
            <v>42870</v>
          </cell>
          <cell r="B1245" t="str">
            <v>Demolição mecânica de concreto em Vias Urbanas</v>
          </cell>
          <cell r="C1245" t="str">
            <v>M3</v>
          </cell>
          <cell r="D1245">
            <v>238.13</v>
          </cell>
          <cell r="E1245">
            <v>193.1</v>
          </cell>
          <cell r="F1245" t="str">
            <v xml:space="preserve"> </v>
          </cell>
        </row>
        <row r="1246">
          <cell r="A1246">
            <v>42880</v>
          </cell>
          <cell r="B1246" t="str">
            <v>Descida d'água concreto simples (degraus) c/ caiação (DSA-03) apoio em Vias Urbanas</v>
          </cell>
          <cell r="C1246" t="str">
            <v>Ud</v>
          </cell>
          <cell r="D1246">
            <v>816.36</v>
          </cell>
          <cell r="E1246">
            <v>661.99</v>
          </cell>
          <cell r="F1246" t="str">
            <v xml:space="preserve"> </v>
          </cell>
        </row>
        <row r="1247">
          <cell r="A1247">
            <v>42883</v>
          </cell>
          <cell r="B1247" t="str">
            <v>Deslocamento de cerca de tela galvanizada fio 12 malha 3" x 3", em Vias Urbanas</v>
          </cell>
          <cell r="C1247" t="str">
            <v>M</v>
          </cell>
          <cell r="D1247">
            <v>47.25</v>
          </cell>
          <cell r="E1247">
            <v>38.32</v>
          </cell>
          <cell r="F1247" t="str">
            <v>A incluir</v>
          </cell>
        </row>
        <row r="1248">
          <cell r="A1248">
            <v>42899</v>
          </cell>
          <cell r="B1248" t="str">
            <v>Dreno de alívio de pavimento (DP - DAP - 01), com tubo PVC d=50mm, geotêxtil não tecido RT 07 kN/m inclusive transporte da brita em Vias Urbanas</v>
          </cell>
          <cell r="C1248" t="str">
            <v>M</v>
          </cell>
          <cell r="D1248">
            <v>77.13</v>
          </cell>
          <cell r="E1248">
            <v>62.55</v>
          </cell>
          <cell r="F1248" t="str">
            <v>A incluir</v>
          </cell>
        </row>
        <row r="1249">
          <cell r="A1249">
            <v>42901</v>
          </cell>
          <cell r="B1249" t="str">
            <v>Dreno de PVC  D = 100 mm em Vias Urbanas</v>
          </cell>
          <cell r="C1249" t="str">
            <v>M</v>
          </cell>
          <cell r="D1249">
            <v>42</v>
          </cell>
          <cell r="E1249">
            <v>34.06</v>
          </cell>
          <cell r="F1249" t="str">
            <v xml:space="preserve"> </v>
          </cell>
        </row>
        <row r="1250">
          <cell r="A1250">
            <v>42900</v>
          </cell>
          <cell r="B1250" t="str">
            <v>Dreno de PVC  D = 50 mm em Vias Urbanas</v>
          </cell>
          <cell r="C1250" t="str">
            <v>M</v>
          </cell>
          <cell r="D1250">
            <v>39.03</v>
          </cell>
          <cell r="E1250">
            <v>31.65</v>
          </cell>
          <cell r="F1250" t="str">
            <v xml:space="preserve"> </v>
          </cell>
        </row>
        <row r="1251">
          <cell r="A1251">
            <v>41185</v>
          </cell>
          <cell r="B1251" t="str">
            <v>Dreno em PEAD perfurado diâm. = 100 mm,  inclusive transporte do tubo, em Vias Urbanas</v>
          </cell>
          <cell r="C1251" t="str">
            <v>M</v>
          </cell>
          <cell r="D1251">
            <v>13.07</v>
          </cell>
          <cell r="E1251">
            <v>10.6</v>
          </cell>
          <cell r="F1251" t="str">
            <v>A incluir</v>
          </cell>
        </row>
        <row r="1252">
          <cell r="A1252">
            <v>42903</v>
          </cell>
          <cell r="B1252" t="str">
            <v>Dreno Longitudinal tipo Trincheira Drenante, H = 0,90 m com tubo poroso tipo PEAD d =100 mm, incluindo esc. mat. 3ª cat. e transporte do tubo em Vias Urbanas</v>
          </cell>
          <cell r="C1252" t="str">
            <v>M</v>
          </cell>
          <cell r="D1252">
            <v>148.02000000000001</v>
          </cell>
          <cell r="E1252">
            <v>120.03</v>
          </cell>
          <cell r="F1252" t="str">
            <v>A incluir</v>
          </cell>
        </row>
        <row r="1253">
          <cell r="A1253">
            <v>42904</v>
          </cell>
          <cell r="B1253" t="str">
            <v>Dreno Longitudinal tipo Trincheira Drenante, H = 0,90 m com tubo poroso tipo PEAD d=100 mm, inclusive esc. em mat. 1ª cat. e transporte do tubo em Vias Urbanas</v>
          </cell>
          <cell r="C1253" t="str">
            <v>M</v>
          </cell>
          <cell r="D1253">
            <v>109.4</v>
          </cell>
          <cell r="E1253">
            <v>88.72</v>
          </cell>
          <cell r="F1253" t="str">
            <v>A incluir</v>
          </cell>
        </row>
        <row r="1254">
          <cell r="A1254">
            <v>42902</v>
          </cell>
          <cell r="B1254" t="str">
            <v>Dreno Longitudinal tipo Trincheira Drenante, H=0,40m c/tubo poroso PEAD d = 65 mm, incl. esc. mat. 1ª cat., geotêxtil não tecido RT 07kN/m, V. Urbanas</v>
          </cell>
          <cell r="C1254" t="str">
            <v>M</v>
          </cell>
          <cell r="D1254">
            <v>115.82</v>
          </cell>
          <cell r="E1254">
            <v>93.92</v>
          </cell>
          <cell r="F1254" t="str">
            <v xml:space="preserve"> </v>
          </cell>
        </row>
        <row r="1255">
          <cell r="A1255">
            <v>42905</v>
          </cell>
          <cell r="B1255" t="str">
            <v>Dreno ou Barbacã em tubo PVC, diâmetro de 2" em Vias Urbanas</v>
          </cell>
          <cell r="C1255" t="str">
            <v>M</v>
          </cell>
          <cell r="D1255">
            <v>36.409999999999997</v>
          </cell>
          <cell r="E1255">
            <v>29.53</v>
          </cell>
          <cell r="F1255" t="str">
            <v xml:space="preserve"> </v>
          </cell>
        </row>
        <row r="1256">
          <cell r="A1256">
            <v>43120</v>
          </cell>
          <cell r="B1256" t="str">
            <v>Dreno profundo com enchimento de areia, escavação em material 1ª categoria, inclusive transporte da areia, em vias Urbanas</v>
          </cell>
          <cell r="C1256" t="str">
            <v>M</v>
          </cell>
          <cell r="D1256">
            <v>118.35</v>
          </cell>
          <cell r="E1256">
            <v>95.97</v>
          </cell>
          <cell r="F1256" t="str">
            <v>A incluir</v>
          </cell>
        </row>
        <row r="1257">
          <cell r="A1257">
            <v>42906</v>
          </cell>
          <cell r="B1257" t="str">
            <v>Dreno profundo com enchimento de brita e areia (1:1) escavação em material 1ª categoria, inclusive transporte da areia e da brita em Vias Urbanas</v>
          </cell>
          <cell r="C1257" t="str">
            <v>M</v>
          </cell>
          <cell r="D1257">
            <v>124.72</v>
          </cell>
          <cell r="E1257">
            <v>101.14</v>
          </cell>
          <cell r="F1257" t="str">
            <v>A incluir</v>
          </cell>
        </row>
        <row r="1258">
          <cell r="A1258">
            <v>42907</v>
          </cell>
          <cell r="B1258" t="str">
            <v>Dreno profundo com enchimento de brita e areia (1:1) escavação em material 2ª categoria, inclusive transporte da areia e da brita em Vias Urbanas</v>
          </cell>
          <cell r="C1258" t="str">
            <v>M</v>
          </cell>
          <cell r="D1258">
            <v>134.97999999999999</v>
          </cell>
          <cell r="E1258">
            <v>109.46</v>
          </cell>
          <cell r="F1258" t="str">
            <v>A incluir</v>
          </cell>
        </row>
        <row r="1259">
          <cell r="A1259">
            <v>42908</v>
          </cell>
          <cell r="B1259" t="str">
            <v>Dreno profundo com enchimento de brita, escavação em material 1ª categoria,  inclusive transporte da brita em Vias Urbanas</v>
          </cell>
          <cell r="C1259" t="str">
            <v>M</v>
          </cell>
          <cell r="D1259">
            <v>120.93</v>
          </cell>
          <cell r="E1259">
            <v>98.07</v>
          </cell>
          <cell r="F1259" t="str">
            <v>A incluir</v>
          </cell>
        </row>
        <row r="1260">
          <cell r="A1260">
            <v>43122</v>
          </cell>
          <cell r="B1260" t="str">
            <v>Dreno profundo com tubo poroso, D=0,20 m com enchim. de brita, escav. material 3ª categoria  (DPR-01),  inclus. transporte brita e  tubo,  Vias Urbanas</v>
          </cell>
          <cell r="C1260" t="str">
            <v>M</v>
          </cell>
          <cell r="D1260">
            <v>123.41</v>
          </cell>
          <cell r="E1260">
            <v>100.08</v>
          </cell>
          <cell r="F1260" t="str">
            <v>A incluir</v>
          </cell>
        </row>
        <row r="1261">
          <cell r="A1261">
            <v>42913</v>
          </cell>
          <cell r="B1261" t="str">
            <v>Dreno profundo com tubo poroso, D=0,20m com enchim. de brita e areia, escav. material 2ª categoria, inclusi. transp. areia,brita e  tubo Vias Urbanas</v>
          </cell>
          <cell r="C1261" t="str">
            <v>M</v>
          </cell>
          <cell r="D1261">
            <v>149.51</v>
          </cell>
          <cell r="E1261">
            <v>121.24</v>
          </cell>
          <cell r="F1261" t="str">
            <v>A incluir</v>
          </cell>
        </row>
        <row r="1262">
          <cell r="A1262">
            <v>42910</v>
          </cell>
          <cell r="B1262" t="str">
            <v>Dreno profundo D=0,10m c/ enchim.brita, areia (1:1) escav. em mat. 3ª categoria, incl.geotêxtil  não tecido RT 16kn/m, e transp. brita, areia V.Urbanas</v>
          </cell>
          <cell r="C1262" t="str">
            <v>M</v>
          </cell>
          <cell r="D1262">
            <v>271.74</v>
          </cell>
          <cell r="E1262">
            <v>220.36</v>
          </cell>
          <cell r="F1262" t="str">
            <v>A incluir</v>
          </cell>
        </row>
        <row r="1263">
          <cell r="A1263">
            <v>42909</v>
          </cell>
          <cell r="B1263" t="str">
            <v>Dreno profundo D=0,10m c/ enchim.brita,areia (1:1) escav.mat. 1ª categoria, incl. geotêxtil não  tecido RT16 kn/m e transp. areia,brita- Vias Urbanas</v>
          </cell>
          <cell r="C1263" t="str">
            <v>M</v>
          </cell>
          <cell r="D1263">
            <v>172.72</v>
          </cell>
          <cell r="E1263">
            <v>140.06</v>
          </cell>
          <cell r="F1263" t="str">
            <v>A incluir</v>
          </cell>
        </row>
        <row r="1264">
          <cell r="A1264">
            <v>42911</v>
          </cell>
          <cell r="B1264" t="str">
            <v>Dreno profundo D=0,20m com enchimento de areia, escavação em material 1ª categoria (DPS-01), inclusive transporte da areia e do tubo em Vias Urbanas</v>
          </cell>
          <cell r="C1264" t="str">
            <v>M</v>
          </cell>
          <cell r="D1264">
            <v>142.34</v>
          </cell>
          <cell r="E1264">
            <v>115.43</v>
          </cell>
          <cell r="F1264" t="str">
            <v>A incluir</v>
          </cell>
        </row>
        <row r="1265">
          <cell r="A1265">
            <v>42912</v>
          </cell>
          <cell r="B1265" t="str">
            <v>Dreno profundo D=0,20m com enchimento de brita e areia, escavação em material 1ª categoria, inclusive transporte da brita e da areia, em Vias Urbanas</v>
          </cell>
          <cell r="C1265" t="str">
            <v>M</v>
          </cell>
          <cell r="D1265">
            <v>139.25</v>
          </cell>
          <cell r="E1265">
            <v>112.92</v>
          </cell>
          <cell r="F1265" t="str">
            <v>A incluir</v>
          </cell>
        </row>
        <row r="1266">
          <cell r="A1266">
            <v>42915</v>
          </cell>
          <cell r="B1266" t="str">
            <v>Dreno profundo para corte em solo, com enchimento em brita revestido com geotêxtil não tecido RT-16, inclusive transporte da brita em Vias Urbanas</v>
          </cell>
          <cell r="C1266" t="str">
            <v>M</v>
          </cell>
          <cell r="D1266">
            <v>158.30000000000001</v>
          </cell>
          <cell r="E1266">
            <v>128.37</v>
          </cell>
          <cell r="F1266" t="str">
            <v>A incluir</v>
          </cell>
        </row>
        <row r="1267">
          <cell r="A1267">
            <v>42914</v>
          </cell>
          <cell r="B1267" t="str">
            <v>Dreno profundo solo c/tubo PEAD perfur. D=100mm envolto geotêxtil não tecido RT16kn, preench.c/brita, inclus.transp.tubo exclus transp.brita V Urbanas</v>
          </cell>
          <cell r="C1267" t="str">
            <v>M</v>
          </cell>
          <cell r="D1267">
            <v>121.84</v>
          </cell>
          <cell r="E1267">
            <v>98.8</v>
          </cell>
          <cell r="F1267" t="str">
            <v>A incluir</v>
          </cell>
        </row>
        <row r="1268">
          <cell r="A1268">
            <v>42917</v>
          </cell>
          <cell r="B1268" t="str">
            <v>Dreno sub-horizontal D = 50 mm em PVC inclus. escavação em alteração de rocha, geotêxtil não tecido RT-16 exclusive transp. em Vias Urbanas</v>
          </cell>
          <cell r="C1268" t="str">
            <v>M</v>
          </cell>
          <cell r="D1268">
            <v>977.29</v>
          </cell>
          <cell r="E1268">
            <v>792.49</v>
          </cell>
          <cell r="F1268" t="str">
            <v xml:space="preserve"> </v>
          </cell>
        </row>
        <row r="1269">
          <cell r="A1269">
            <v>42918</v>
          </cell>
          <cell r="B1269" t="str">
            <v>Dreno sub-horizontal D = 50 mm em PVC inclus.escavação em rocha sã,  geotêxtil não tecido RT-16, exclusive transportes em Vias Urbanas</v>
          </cell>
          <cell r="C1269" t="str">
            <v>M</v>
          </cell>
          <cell r="D1269">
            <v>1263.06</v>
          </cell>
          <cell r="E1269">
            <v>1024.22</v>
          </cell>
          <cell r="F1269" t="str">
            <v xml:space="preserve"> </v>
          </cell>
        </row>
        <row r="1270">
          <cell r="A1270">
            <v>42916</v>
          </cell>
          <cell r="B1270" t="str">
            <v>Dreno sub-horizontal D=50 mm inclusive geotêxtil não tecido RT 16 kn/m, em PVC, exclusive transportes em Vias Urbanas</v>
          </cell>
          <cell r="C1270" t="str">
            <v>M</v>
          </cell>
          <cell r="D1270">
            <v>729.3</v>
          </cell>
          <cell r="E1270">
            <v>591.39</v>
          </cell>
          <cell r="F1270" t="str">
            <v xml:space="preserve"> </v>
          </cell>
        </row>
        <row r="1271">
          <cell r="A1271">
            <v>42919</v>
          </cell>
          <cell r="B1271" t="str">
            <v>Dreno sub-superficial rocha (h=0,55m) c/tubo PEAD perfur.d=100mm, env. geotêxtil RT-16, preenc.c/ brita, incl. transp. tubo, excl. transp brita-Vias Urb</v>
          </cell>
          <cell r="C1271" t="str">
            <v>M</v>
          </cell>
          <cell r="D1271">
            <v>95.4</v>
          </cell>
          <cell r="E1271">
            <v>77.36</v>
          </cell>
          <cell r="F1271" t="str">
            <v>A incluir</v>
          </cell>
        </row>
        <row r="1272">
          <cell r="A1272">
            <v>42920</v>
          </cell>
          <cell r="B1272" t="str">
            <v>Dreno vertical D = 75 mm em PVC, inclusive geotêxtil não tecido RT-16, exclusive transportes,  em Vias Urbanas</v>
          </cell>
          <cell r="C1272" t="str">
            <v>M</v>
          </cell>
          <cell r="D1272">
            <v>738.61</v>
          </cell>
          <cell r="E1272">
            <v>598.94000000000005</v>
          </cell>
          <cell r="F1272" t="str">
            <v xml:space="preserve"> </v>
          </cell>
        </row>
        <row r="1273">
          <cell r="A1273">
            <v>42921</v>
          </cell>
          <cell r="B1273" t="str">
            <v>Eletroduto de ferro galvanizado DN 4" , inclusive conexões, exclusive escavação e reaterro, fornecimento e assentamento, em Vias Urbanas</v>
          </cell>
          <cell r="C1273" t="str">
            <v>M</v>
          </cell>
          <cell r="D1273">
            <v>216.31</v>
          </cell>
          <cell r="E1273">
            <v>175.41</v>
          </cell>
          <cell r="F1273" t="str">
            <v xml:space="preserve"> </v>
          </cell>
        </row>
        <row r="1274">
          <cell r="A1274">
            <v>42922</v>
          </cell>
          <cell r="B1274" t="str">
            <v>Eletroduto para rede de lógica, inclusive conexões, em Vias Urbanas</v>
          </cell>
          <cell r="C1274" t="str">
            <v>M</v>
          </cell>
          <cell r="D1274">
            <v>35.229999999999997</v>
          </cell>
          <cell r="E1274">
            <v>28.57</v>
          </cell>
          <cell r="F1274" t="str">
            <v xml:space="preserve"> </v>
          </cell>
        </row>
        <row r="1275">
          <cell r="A1275">
            <v>42923</v>
          </cell>
          <cell r="B1275" t="str">
            <v>Eletroduto PVC diâmetro 75mm, fornecimento e assentamento em Vias Urbanas</v>
          </cell>
          <cell r="C1275" t="str">
            <v>M</v>
          </cell>
          <cell r="D1275">
            <v>39.049999999999997</v>
          </cell>
          <cell r="E1275">
            <v>31.67</v>
          </cell>
          <cell r="F1275" t="str">
            <v xml:space="preserve"> </v>
          </cell>
        </row>
        <row r="1276">
          <cell r="A1276">
            <v>42924</v>
          </cell>
          <cell r="B1276" t="str">
            <v>Eletroduto PVC rígido roscável diâm. 50 mm, fornecimento e assentamento em Vias Urbanas</v>
          </cell>
          <cell r="C1276" t="str">
            <v>M</v>
          </cell>
          <cell r="D1276">
            <v>23.72</v>
          </cell>
          <cell r="E1276">
            <v>19.239999999999998</v>
          </cell>
          <cell r="F1276" t="str">
            <v xml:space="preserve"> </v>
          </cell>
        </row>
        <row r="1277">
          <cell r="A1277">
            <v>42925</v>
          </cell>
          <cell r="B1277" t="str">
            <v>Eletroduto tipo Kanaflex  diâmetro 1 1/4", fornecimento e assentamento em Vias Urbanas</v>
          </cell>
          <cell r="C1277" t="str">
            <v>M</v>
          </cell>
          <cell r="D1277">
            <v>9.5500000000000007</v>
          </cell>
          <cell r="E1277">
            <v>7.75</v>
          </cell>
          <cell r="F1277" t="str">
            <v xml:space="preserve"> </v>
          </cell>
        </row>
        <row r="1278">
          <cell r="A1278">
            <v>42926</v>
          </cell>
          <cell r="B1278" t="str">
            <v>Eletroduto tipo Kanaflex diâmetro 1 1/2", fornecimento e assentamento em Vias Urbanas</v>
          </cell>
          <cell r="C1278" t="str">
            <v>M</v>
          </cell>
          <cell r="D1278">
            <v>11.16</v>
          </cell>
          <cell r="E1278">
            <v>9.0500000000000007</v>
          </cell>
          <cell r="F1278" t="str">
            <v xml:space="preserve"> </v>
          </cell>
        </row>
        <row r="1279">
          <cell r="A1279">
            <v>42927</v>
          </cell>
          <cell r="B1279" t="str">
            <v>Eletroduto tipo Kanaflex diâmetro 2", fornecimento e assentamento em Vias Urbanas</v>
          </cell>
          <cell r="C1279" t="str">
            <v>M</v>
          </cell>
          <cell r="D1279">
            <v>13.01</v>
          </cell>
          <cell r="E1279">
            <v>10.55</v>
          </cell>
          <cell r="F1279" t="str">
            <v xml:space="preserve"> </v>
          </cell>
        </row>
        <row r="1280">
          <cell r="A1280">
            <v>42928</v>
          </cell>
          <cell r="B1280" t="str">
            <v>Eletroduto tipo Kanaflex diâmetro 4", fornecimento e assentamento em Vias Urbanas</v>
          </cell>
          <cell r="C1280" t="str">
            <v>M</v>
          </cell>
          <cell r="D1280">
            <v>19.47</v>
          </cell>
          <cell r="E1280">
            <v>15.79</v>
          </cell>
          <cell r="F1280" t="str">
            <v xml:space="preserve"> </v>
          </cell>
        </row>
        <row r="1281">
          <cell r="A1281">
            <v>42942</v>
          </cell>
          <cell r="B1281" t="str">
            <v>Escada de madeira executada sobre terreno inclinado, com 80 cm de largura mínima em Vias Urbanas</v>
          </cell>
          <cell r="C1281" t="str">
            <v>M</v>
          </cell>
          <cell r="D1281">
            <v>97.11</v>
          </cell>
          <cell r="E1281">
            <v>78.75</v>
          </cell>
          <cell r="F1281" t="str">
            <v xml:space="preserve"> </v>
          </cell>
        </row>
        <row r="1282">
          <cell r="A1282">
            <v>42944</v>
          </cell>
          <cell r="B1282" t="str">
            <v>Escavação manual em mat. 1ª cat. H= 0,00 a 1,50 m c/ esgotamento em Vias Urbanas</v>
          </cell>
          <cell r="C1282" t="str">
            <v>M3</v>
          </cell>
          <cell r="D1282">
            <v>82.77</v>
          </cell>
          <cell r="E1282">
            <v>67.12</v>
          </cell>
          <cell r="F1282" t="str">
            <v xml:space="preserve"> </v>
          </cell>
        </row>
        <row r="1283">
          <cell r="A1283">
            <v>42943</v>
          </cell>
          <cell r="B1283" t="str">
            <v>Escavação manual em mat. 1ª cat. H= 0,00 a 1,50 m em Vias Urbanas</v>
          </cell>
          <cell r="C1283" t="str">
            <v>M3</v>
          </cell>
          <cell r="D1283">
            <v>77.92</v>
          </cell>
          <cell r="E1283">
            <v>63.19</v>
          </cell>
          <cell r="F1283" t="str">
            <v xml:space="preserve"> </v>
          </cell>
        </row>
        <row r="1284">
          <cell r="A1284">
            <v>42946</v>
          </cell>
          <cell r="B1284" t="str">
            <v>Escavação manual em mat. 1ª cat. H= 1,50 a 3,00 m c/ esgotamento em Vias Urbanas</v>
          </cell>
          <cell r="C1284" t="str">
            <v>M3</v>
          </cell>
          <cell r="D1284">
            <v>116.75</v>
          </cell>
          <cell r="E1284">
            <v>94.68</v>
          </cell>
          <cell r="F1284" t="str">
            <v xml:space="preserve"> </v>
          </cell>
        </row>
        <row r="1285">
          <cell r="A1285">
            <v>42945</v>
          </cell>
          <cell r="B1285" t="str">
            <v>Escavação manual em mat. 1ª cat. H= 1,50 a 3,00 m em Vias Urbanas</v>
          </cell>
          <cell r="C1285" t="str">
            <v>M3</v>
          </cell>
          <cell r="D1285">
            <v>114.87</v>
          </cell>
          <cell r="E1285">
            <v>93.15</v>
          </cell>
          <cell r="F1285" t="str">
            <v xml:space="preserve"> </v>
          </cell>
        </row>
        <row r="1286">
          <cell r="A1286">
            <v>42948</v>
          </cell>
          <cell r="B1286" t="str">
            <v>Escavação manual em mat. 1ª cat. H= 3,00 a 4,50 m c/ esgotamento, em Vias Urbanas</v>
          </cell>
          <cell r="C1286" t="str">
            <v>M3</v>
          </cell>
          <cell r="D1286">
            <v>167.71</v>
          </cell>
          <cell r="E1286">
            <v>136</v>
          </cell>
          <cell r="F1286" t="str">
            <v xml:space="preserve"> </v>
          </cell>
        </row>
        <row r="1287">
          <cell r="A1287">
            <v>42947</v>
          </cell>
          <cell r="B1287" t="str">
            <v>Escavação manual em mat. 1ª cat. H= 3,00 a 4,50 m, em Vias Urbanas</v>
          </cell>
          <cell r="C1287" t="str">
            <v>M3</v>
          </cell>
          <cell r="D1287">
            <v>170.25</v>
          </cell>
          <cell r="E1287">
            <v>138.06</v>
          </cell>
          <cell r="F1287" t="str">
            <v xml:space="preserve"> </v>
          </cell>
        </row>
        <row r="1288">
          <cell r="A1288">
            <v>42949</v>
          </cell>
          <cell r="B1288" t="str">
            <v>Escavação manual em mat. 2ª cat. H= 0,00 a 1,50 m c/ esgotamento, em Vias Urbanas</v>
          </cell>
          <cell r="C1288" t="str">
            <v>M3</v>
          </cell>
          <cell r="D1288">
            <v>172.72</v>
          </cell>
          <cell r="E1288">
            <v>140.06</v>
          </cell>
          <cell r="F1288" t="str">
            <v xml:space="preserve"> </v>
          </cell>
        </row>
        <row r="1289">
          <cell r="A1289">
            <v>42950</v>
          </cell>
          <cell r="B1289" t="str">
            <v>Escavação manual em mat. 2ª cat. H= 0,00 a 1,50 m s/ detonação, em Vias Urbanas</v>
          </cell>
          <cell r="C1289" t="str">
            <v>M3</v>
          </cell>
          <cell r="D1289">
            <v>175.69</v>
          </cell>
          <cell r="E1289">
            <v>142.47</v>
          </cell>
          <cell r="F1289" t="str">
            <v xml:space="preserve"> </v>
          </cell>
        </row>
        <row r="1290">
          <cell r="A1290">
            <v>42951</v>
          </cell>
          <cell r="B1290" t="str">
            <v>Escavação manual em mat. 2ª cat. H= 1,50 a 3,00 m c/ esgotamento, em Vias Urbanas</v>
          </cell>
          <cell r="C1290" t="str">
            <v>M3</v>
          </cell>
          <cell r="D1290">
            <v>212.24</v>
          </cell>
          <cell r="E1290">
            <v>172.11</v>
          </cell>
          <cell r="F1290" t="str">
            <v xml:space="preserve"> </v>
          </cell>
        </row>
        <row r="1291">
          <cell r="A1291">
            <v>42952</v>
          </cell>
          <cell r="B1291" t="str">
            <v>Escavação manual em mat. 2ª cat. H= 1,50 a 3,00 m s/ detonação, em Vias Urbanas</v>
          </cell>
          <cell r="C1291" t="str">
            <v>M3</v>
          </cell>
          <cell r="D1291">
            <v>218.65</v>
          </cell>
          <cell r="E1291">
            <v>177.31</v>
          </cell>
          <cell r="F1291" t="str">
            <v xml:space="preserve"> </v>
          </cell>
        </row>
        <row r="1292">
          <cell r="A1292">
            <v>42953</v>
          </cell>
          <cell r="B1292" t="str">
            <v>Escavação manual em mat. 2ª cat. H= 3,00 a 4,50 m c/ esgotamento, em Vias Urbanas</v>
          </cell>
          <cell r="C1292" t="str">
            <v>M3</v>
          </cell>
          <cell r="D1292">
            <v>368.35</v>
          </cell>
          <cell r="E1292">
            <v>298.7</v>
          </cell>
          <cell r="F1292" t="str">
            <v xml:space="preserve"> </v>
          </cell>
        </row>
        <row r="1293">
          <cell r="A1293">
            <v>42954</v>
          </cell>
          <cell r="B1293" t="str">
            <v>Escavação manual em mat. 2ª cat. H= 3,00 a 4,50 m s/ detonação, em Vias Urbanas</v>
          </cell>
          <cell r="C1293" t="str">
            <v>M3</v>
          </cell>
          <cell r="D1293">
            <v>388.34</v>
          </cell>
          <cell r="E1293">
            <v>314.91000000000003</v>
          </cell>
          <cell r="F1293" t="str">
            <v xml:space="preserve"> </v>
          </cell>
        </row>
        <row r="1294">
          <cell r="A1294">
            <v>42955</v>
          </cell>
          <cell r="B1294" t="str">
            <v>Escavação manual em mat. 3ª cat. H= 0,00 a 1,50 m, a fogo, em Vias Urbanas</v>
          </cell>
          <cell r="C1294" t="str">
            <v>M3</v>
          </cell>
          <cell r="D1294">
            <v>314.23</v>
          </cell>
          <cell r="E1294">
            <v>254.81</v>
          </cell>
          <cell r="F1294" t="str">
            <v xml:space="preserve"> </v>
          </cell>
        </row>
        <row r="1295">
          <cell r="A1295">
            <v>42956</v>
          </cell>
          <cell r="B1295" t="str">
            <v>Escavação manual furos, valetas mat. 1ª cat. H= 0,00 a 1,50 m (dim. reduz.), em Vias Urbanas</v>
          </cell>
          <cell r="C1295" t="str">
            <v>M3</v>
          </cell>
          <cell r="D1295">
            <v>114.87</v>
          </cell>
          <cell r="E1295">
            <v>93.15</v>
          </cell>
          <cell r="F1295" t="str">
            <v xml:space="preserve"> </v>
          </cell>
        </row>
        <row r="1296">
          <cell r="A1296">
            <v>42957</v>
          </cell>
          <cell r="B1296" t="str">
            <v>Escavação manual furos, valetas mat. 2ª cat. H= 0,00 a 1,50 m s/detonação (dim. reduz.), em Vias Urbanas</v>
          </cell>
          <cell r="C1296" t="str">
            <v>M3</v>
          </cell>
          <cell r="D1296">
            <v>261.51</v>
          </cell>
          <cell r="E1296">
            <v>212.06</v>
          </cell>
          <cell r="F1296" t="str">
            <v xml:space="preserve"> </v>
          </cell>
        </row>
        <row r="1297">
          <cell r="A1297">
            <v>42958</v>
          </cell>
          <cell r="B1297" t="str">
            <v>Escavação mecânica de valas em material de 1ª categoria, 3,00 a 4,50 m, c/ esgotamento, carga do material, transp. material p/ bota-fora -Vias Urbanas</v>
          </cell>
          <cell r="C1297" t="str">
            <v>M3</v>
          </cell>
          <cell r="D1297">
            <v>281.57</v>
          </cell>
          <cell r="E1297">
            <v>228.33</v>
          </cell>
          <cell r="F1297" t="str">
            <v>A incluir</v>
          </cell>
        </row>
        <row r="1298">
          <cell r="A1298">
            <v>42959</v>
          </cell>
          <cell r="B1298" t="str">
            <v>Escavação mecânica de valas em 1ª categoria, profundidade de 4,50 a 6,00 m com esgotamento, transp. DMT=20km, descarga e espalhamento, em Vias Urbanas</v>
          </cell>
          <cell r="C1298" t="str">
            <v>M3</v>
          </cell>
          <cell r="D1298">
            <v>284.35000000000002</v>
          </cell>
          <cell r="E1298">
            <v>230.58</v>
          </cell>
          <cell r="F1298" t="str">
            <v>A incluir</v>
          </cell>
        </row>
        <row r="1299">
          <cell r="A1299">
            <v>42961</v>
          </cell>
          <cell r="B1299" t="str">
            <v>Escavação mecânica em material de 1ª cat. H= 0,00 a 1,50 m c/ esgotamento, em Vias Urbanas</v>
          </cell>
          <cell r="C1299" t="str">
            <v>M3</v>
          </cell>
          <cell r="D1299">
            <v>27.48</v>
          </cell>
          <cell r="E1299">
            <v>22.29</v>
          </cell>
          <cell r="F1299" t="str">
            <v xml:space="preserve"> </v>
          </cell>
        </row>
        <row r="1300">
          <cell r="A1300">
            <v>42962</v>
          </cell>
          <cell r="B1300" t="str">
            <v>Escavação mecânica em material de 1ª cat. H= 0,00 a 1,50 m c/ esgotamento, em Vias Urbanas</v>
          </cell>
          <cell r="C1300" t="str">
            <v>M3</v>
          </cell>
          <cell r="D1300">
            <v>27.48</v>
          </cell>
          <cell r="E1300">
            <v>22.29</v>
          </cell>
          <cell r="F1300" t="str">
            <v xml:space="preserve"> </v>
          </cell>
        </row>
        <row r="1301">
          <cell r="A1301">
            <v>42960</v>
          </cell>
          <cell r="B1301" t="str">
            <v>Escavação mecânica em material de 1ª cat. H= 0,00 a 1,50 m, em Vias Urbanas</v>
          </cell>
          <cell r="C1301" t="str">
            <v>M3</v>
          </cell>
          <cell r="D1301">
            <v>18.059999999999999</v>
          </cell>
          <cell r="E1301">
            <v>14.65</v>
          </cell>
          <cell r="F1301" t="str">
            <v xml:space="preserve"> </v>
          </cell>
        </row>
        <row r="1302">
          <cell r="A1302">
            <v>42964</v>
          </cell>
          <cell r="B1302" t="str">
            <v>Escavação mecânica em material de 1ª cat. H= 1,50 a 3,00 m c/ esgotamento, em Vias Urbanas</v>
          </cell>
          <cell r="C1302" t="str">
            <v>M3</v>
          </cell>
          <cell r="D1302">
            <v>29.14</v>
          </cell>
          <cell r="E1302">
            <v>23.63</v>
          </cell>
          <cell r="F1302" t="str">
            <v xml:space="preserve"> </v>
          </cell>
        </row>
        <row r="1303">
          <cell r="A1303">
            <v>42963</v>
          </cell>
          <cell r="B1303" t="str">
            <v>Escavação mecânica em material de 1ª cat. H= 1,50 a 3,00 m, em Vias Urbanas</v>
          </cell>
          <cell r="C1303" t="str">
            <v>M3</v>
          </cell>
          <cell r="D1303">
            <v>19.63</v>
          </cell>
          <cell r="E1303">
            <v>15.92</v>
          </cell>
          <cell r="F1303" t="str">
            <v xml:space="preserve"> </v>
          </cell>
        </row>
        <row r="1304">
          <cell r="A1304">
            <v>42966</v>
          </cell>
          <cell r="B1304" t="str">
            <v>Escavação mecânica em material de 1º cat. H= 3,00 a 4,50 m c/ esgotamento, em Vias Urbanas</v>
          </cell>
          <cell r="C1304" t="str">
            <v>M3</v>
          </cell>
          <cell r="D1304">
            <v>32.32</v>
          </cell>
          <cell r="E1304">
            <v>26.21</v>
          </cell>
          <cell r="F1304" t="str">
            <v xml:space="preserve"> </v>
          </cell>
        </row>
        <row r="1305">
          <cell r="A1305">
            <v>42965</v>
          </cell>
          <cell r="B1305" t="str">
            <v>Escavação mecânica em material de 1ª cat. H= 3,00 a 4,50 m, em Vias Urbanas</v>
          </cell>
          <cell r="C1305" t="str">
            <v>M3</v>
          </cell>
          <cell r="D1305">
            <v>22.78</v>
          </cell>
          <cell r="E1305">
            <v>18.48</v>
          </cell>
          <cell r="F1305" t="str">
            <v xml:space="preserve"> </v>
          </cell>
        </row>
        <row r="1306">
          <cell r="A1306">
            <v>42968</v>
          </cell>
          <cell r="B1306" t="str">
            <v>Escavação mecânica em material de 2ª cat. H= 0,00 a 1,50 m c/ esgotamento, em Vias Urbanas</v>
          </cell>
          <cell r="C1306" t="str">
            <v>M3</v>
          </cell>
          <cell r="D1306">
            <v>41.17</v>
          </cell>
          <cell r="E1306">
            <v>33.39</v>
          </cell>
          <cell r="F1306" t="str">
            <v xml:space="preserve"> </v>
          </cell>
        </row>
        <row r="1307">
          <cell r="A1307">
            <v>42967</v>
          </cell>
          <cell r="B1307" t="str">
            <v>Escavação mecânica em material de 2ª cat. H= 0,00 a 1,50 m, em Vias Urbanas</v>
          </cell>
          <cell r="C1307" t="str">
            <v>M3</v>
          </cell>
          <cell r="D1307">
            <v>32.840000000000003</v>
          </cell>
          <cell r="E1307">
            <v>26.63</v>
          </cell>
          <cell r="F1307" t="str">
            <v xml:space="preserve"> </v>
          </cell>
        </row>
        <row r="1308">
          <cell r="A1308">
            <v>42970</v>
          </cell>
          <cell r="B1308" t="str">
            <v>Escavação mecânica em material de 2ª cat. H= 1,50 a 3,00 m c/ esgotamento, em Vias Urbanas</v>
          </cell>
          <cell r="C1308" t="str">
            <v>M3</v>
          </cell>
          <cell r="D1308">
            <v>47.2</v>
          </cell>
          <cell r="E1308">
            <v>38.28</v>
          </cell>
          <cell r="F1308" t="str">
            <v xml:space="preserve"> </v>
          </cell>
        </row>
        <row r="1309">
          <cell r="A1309">
            <v>42969</v>
          </cell>
          <cell r="B1309" t="str">
            <v>Escavação mecânica em material de 2ª cat. H= 1,50 a 3,00 m, em Vias Urbanas</v>
          </cell>
          <cell r="C1309" t="str">
            <v>M3</v>
          </cell>
          <cell r="D1309">
            <v>39.270000000000003</v>
          </cell>
          <cell r="E1309">
            <v>31.85</v>
          </cell>
          <cell r="F1309" t="str">
            <v xml:space="preserve"> </v>
          </cell>
        </row>
        <row r="1310">
          <cell r="A1310">
            <v>42973</v>
          </cell>
          <cell r="B1310" t="str">
            <v>Escavação mecânica em material de 2ª cat. H= 3,00 a 4,50 m c/ esgotamento, em Vias Urbanas</v>
          </cell>
          <cell r="C1310" t="str">
            <v>M3</v>
          </cell>
          <cell r="D1310">
            <v>56.23</v>
          </cell>
          <cell r="E1310">
            <v>45.6</v>
          </cell>
          <cell r="F1310" t="str">
            <v xml:space="preserve"> </v>
          </cell>
        </row>
        <row r="1311">
          <cell r="A1311">
            <v>42979</v>
          </cell>
          <cell r="B1311" t="str">
            <v>Escavação mecânica em material de 2º cat. H= 3,00 a 4,50 m c/ esgotamento em Vias Urbanas</v>
          </cell>
          <cell r="C1311" t="str">
            <v>M3</v>
          </cell>
          <cell r="D1311">
            <v>56.23</v>
          </cell>
          <cell r="E1311">
            <v>45.6</v>
          </cell>
          <cell r="F1311" t="str">
            <v xml:space="preserve"> </v>
          </cell>
        </row>
        <row r="1312">
          <cell r="A1312">
            <v>42971</v>
          </cell>
          <cell r="B1312" t="str">
            <v>Escavação mecânica em material de 2ª cat. H= 3,00 a 4,50 m, em Vias Urbanas</v>
          </cell>
          <cell r="C1312" t="str">
            <v>M3</v>
          </cell>
          <cell r="D1312">
            <v>49.15</v>
          </cell>
          <cell r="E1312">
            <v>39.86</v>
          </cell>
          <cell r="F1312" t="str">
            <v xml:space="preserve"> </v>
          </cell>
        </row>
        <row r="1313">
          <cell r="A1313">
            <v>42981</v>
          </cell>
          <cell r="B1313" t="str">
            <v>Escoramento de cavas e valas, inclusive fornecimento e transporte das madeiras, em Vias Urbanas</v>
          </cell>
          <cell r="C1313" t="str">
            <v>M2</v>
          </cell>
          <cell r="D1313">
            <v>287.75</v>
          </cell>
          <cell r="E1313">
            <v>233.34</v>
          </cell>
          <cell r="F1313" t="str">
            <v>A incluir</v>
          </cell>
        </row>
        <row r="1314">
          <cell r="A1314">
            <v>42982</v>
          </cell>
          <cell r="B1314" t="str">
            <v>Escoramento e cimbramento (bueiro celular), inclusive fornecimento e transporte das madeiras,  em Vias Urbanas</v>
          </cell>
          <cell r="C1314" t="str">
            <v>M3</v>
          </cell>
          <cell r="D1314">
            <v>201.33</v>
          </cell>
          <cell r="E1314">
            <v>163.26</v>
          </cell>
          <cell r="F1314" t="str">
            <v>A incluir</v>
          </cell>
        </row>
        <row r="1315">
          <cell r="A1315">
            <v>42987</v>
          </cell>
          <cell r="B1315" t="str">
            <v>Forma especial de madeira para meio fio, inclusive fornecimento e transporte das madeiras em Vias Urbanas</v>
          </cell>
          <cell r="C1315" t="str">
            <v>M2</v>
          </cell>
          <cell r="D1315">
            <v>106.05</v>
          </cell>
          <cell r="E1315">
            <v>86</v>
          </cell>
          <cell r="F1315" t="str">
            <v>A incluir</v>
          </cell>
        </row>
        <row r="1316">
          <cell r="A1316">
            <v>42988</v>
          </cell>
          <cell r="B1316" t="str">
            <v>Forma especial de madeira para sarjeta (gabarito), inclusive fornecimento e transporte das madeiras, em Vias Urbanas</v>
          </cell>
          <cell r="C1316" t="str">
            <v>M2</v>
          </cell>
          <cell r="D1316">
            <v>92.4</v>
          </cell>
          <cell r="E1316">
            <v>74.930000000000007</v>
          </cell>
          <cell r="F1316" t="str">
            <v>A incluir</v>
          </cell>
        </row>
        <row r="1317">
          <cell r="A1317">
            <v>42989</v>
          </cell>
          <cell r="B1317" t="str">
            <v>Forma metálica para meio fio, em Vias Urbanas</v>
          </cell>
          <cell r="C1317" t="str">
            <v>M2</v>
          </cell>
          <cell r="D1317">
            <v>12.87</v>
          </cell>
          <cell r="E1317">
            <v>10.44</v>
          </cell>
          <cell r="F1317" t="str">
            <v xml:space="preserve"> </v>
          </cell>
        </row>
        <row r="1318">
          <cell r="A1318">
            <v>42991</v>
          </cell>
          <cell r="B1318" t="str">
            <v>Formas planas de madeira com 01 (um) reaproveitamento, inclusive fornecimento e transporte  das madeiras, em Vias Urbanas</v>
          </cell>
          <cell r="C1318" t="str">
            <v>M2</v>
          </cell>
          <cell r="D1318">
            <v>134.63999999999999</v>
          </cell>
          <cell r="E1318">
            <v>109.18</v>
          </cell>
          <cell r="F1318" t="str">
            <v>A incluir</v>
          </cell>
        </row>
        <row r="1319">
          <cell r="A1319">
            <v>42992</v>
          </cell>
          <cell r="B1319" t="str">
            <v>Formas planas de madeira com 02 (dois) reaproveitamentos, inclusive fornecimento e transporte das madeiras, em Vias Urbanas</v>
          </cell>
          <cell r="C1319" t="str">
            <v>M2</v>
          </cell>
          <cell r="D1319">
            <v>114.47</v>
          </cell>
          <cell r="E1319">
            <v>92.83</v>
          </cell>
          <cell r="F1319" t="str">
            <v>A incluir</v>
          </cell>
        </row>
        <row r="1320">
          <cell r="A1320">
            <v>42993</v>
          </cell>
          <cell r="B1320" t="str">
            <v>Formas planas de madeira com 04 (quatro) reaproveitamentos, inclusive fornecimento e transporte das madeiras, em Vias Urbanas</v>
          </cell>
          <cell r="C1320" t="str">
            <v>M2</v>
          </cell>
          <cell r="D1320">
            <v>97.28</v>
          </cell>
          <cell r="E1320">
            <v>78.89</v>
          </cell>
          <cell r="F1320" t="str">
            <v>A incluir</v>
          </cell>
        </row>
        <row r="1321">
          <cell r="A1321">
            <v>42994</v>
          </cell>
          <cell r="B1321" t="str">
            <v>Formas planas de madeira sem reaproveitamento (forma perdida), inclusive fornecimento e transporte das madeiras em Vias Urbanas</v>
          </cell>
          <cell r="C1321" t="str">
            <v>M2</v>
          </cell>
          <cell r="D1321">
            <v>192.58</v>
          </cell>
          <cell r="E1321">
            <v>156.16999999999999</v>
          </cell>
          <cell r="F1321" t="str">
            <v>A incluir</v>
          </cell>
        </row>
        <row r="1322">
          <cell r="A1322">
            <v>43070</v>
          </cell>
          <cell r="B1322" t="str">
            <v>Gabião manta/colchão, p/ revest. canal em malha hex 6x8mm Zn-Al/PVC, e=2,8mm,h=0,23m, inclus.aquis./assentam. pedra mão, exclus. transp., Vias Urbanas</v>
          </cell>
          <cell r="C1322" t="str">
            <v>M2</v>
          </cell>
          <cell r="D1322">
            <v>302.82</v>
          </cell>
          <cell r="E1322">
            <v>245.56</v>
          </cell>
          <cell r="F1322" t="str">
            <v xml:space="preserve"> </v>
          </cell>
        </row>
        <row r="1323">
          <cell r="A1323">
            <v>42996</v>
          </cell>
          <cell r="B1323" t="str">
            <v>Gabiões com caixas galvanizadas, sem manta, em Vias Urbanas</v>
          </cell>
          <cell r="C1323" t="str">
            <v>M3</v>
          </cell>
          <cell r="D1323">
            <v>570.9</v>
          </cell>
          <cell r="E1323">
            <v>462.95</v>
          </cell>
          <cell r="F1323" t="str">
            <v>A incluir</v>
          </cell>
        </row>
        <row r="1324">
          <cell r="A1324">
            <v>43012</v>
          </cell>
          <cell r="B1324" t="str">
            <v>Geotêxtil não tecido RT-16 kn/m, fornecimento e aplicação em Vias Urbanas</v>
          </cell>
          <cell r="C1324" t="str">
            <v>M2</v>
          </cell>
          <cell r="D1324">
            <v>14.14</v>
          </cell>
          <cell r="E1324">
            <v>11.47</v>
          </cell>
          <cell r="F1324" t="str">
            <v xml:space="preserve"> </v>
          </cell>
        </row>
        <row r="1325">
          <cell r="A1325">
            <v>43011</v>
          </cell>
          <cell r="B1325" t="str">
            <v>Geotêxtil não-tecido com resistência longitudinal a tração 10kN/m, fornecimento e aplicação em Vias Urbanas</v>
          </cell>
          <cell r="C1325" t="str">
            <v>M2</v>
          </cell>
          <cell r="D1325">
            <v>9.93</v>
          </cell>
          <cell r="E1325">
            <v>8.06</v>
          </cell>
          <cell r="F1325" t="str">
            <v xml:space="preserve"> </v>
          </cell>
        </row>
        <row r="1326">
          <cell r="A1326">
            <v>43003</v>
          </cell>
          <cell r="B1326" t="str">
            <v>Lastro de brita, inclusive transporte da brita em Vias Urbanas</v>
          </cell>
          <cell r="C1326" t="str">
            <v>M3</v>
          </cell>
          <cell r="D1326">
            <v>158.19999999999999</v>
          </cell>
          <cell r="E1326">
            <v>128.29</v>
          </cell>
          <cell r="F1326" t="str">
            <v>A incluir</v>
          </cell>
        </row>
        <row r="1327">
          <cell r="A1327">
            <v>43004</v>
          </cell>
          <cell r="B1327" t="str">
            <v>Limpeza e apicoamento manual de superfície de rocha em Vias Urbanas</v>
          </cell>
          <cell r="C1327" t="str">
            <v>M2</v>
          </cell>
          <cell r="D1327">
            <v>47.3</v>
          </cell>
          <cell r="E1327">
            <v>38.36</v>
          </cell>
          <cell r="F1327" t="str">
            <v xml:space="preserve"> </v>
          </cell>
        </row>
        <row r="1328">
          <cell r="A1328">
            <v>43005</v>
          </cell>
          <cell r="B1328" t="str">
            <v>Limpeza e desobstrução de BDTC e BDCC em Vias Urbanas</v>
          </cell>
          <cell r="C1328" t="str">
            <v>M</v>
          </cell>
          <cell r="D1328">
            <v>42.37</v>
          </cell>
          <cell r="E1328">
            <v>34.36</v>
          </cell>
          <cell r="F1328" t="str">
            <v xml:space="preserve"> </v>
          </cell>
        </row>
        <row r="1329">
          <cell r="A1329">
            <v>43006</v>
          </cell>
          <cell r="B1329" t="str">
            <v>Limpeza e desobstrução de BQTC em Vias Urbanas</v>
          </cell>
          <cell r="C1329" t="str">
            <v>M</v>
          </cell>
          <cell r="D1329">
            <v>68.47</v>
          </cell>
          <cell r="E1329">
            <v>55.53</v>
          </cell>
          <cell r="F1329" t="str">
            <v xml:space="preserve"> </v>
          </cell>
        </row>
        <row r="1330">
          <cell r="A1330">
            <v>43007</v>
          </cell>
          <cell r="B1330" t="str">
            <v>Limpeza e desobstrução de BSTC e BSCC em Vias Urbanas</v>
          </cell>
          <cell r="C1330" t="str">
            <v>M</v>
          </cell>
          <cell r="D1330">
            <v>22.3</v>
          </cell>
          <cell r="E1330">
            <v>18.09</v>
          </cell>
          <cell r="F1330" t="str">
            <v xml:space="preserve"> </v>
          </cell>
        </row>
        <row r="1331">
          <cell r="A1331">
            <v>43008</v>
          </cell>
          <cell r="B1331" t="str">
            <v>Limpeza e desobstrução de BTTC e BTCC em Vias Urbanas</v>
          </cell>
          <cell r="C1331" t="str">
            <v>M</v>
          </cell>
          <cell r="D1331">
            <v>62.43</v>
          </cell>
          <cell r="E1331">
            <v>50.63</v>
          </cell>
          <cell r="F1331" t="str">
            <v xml:space="preserve"> </v>
          </cell>
        </row>
        <row r="1332">
          <cell r="A1332">
            <v>43009</v>
          </cell>
          <cell r="B1332" t="str">
            <v>Limpeza e preparo de superfície de aço em Vias Urbanas</v>
          </cell>
          <cell r="C1332" t="str">
            <v>M2</v>
          </cell>
          <cell r="D1332">
            <v>122.12</v>
          </cell>
          <cell r="E1332">
            <v>99.03</v>
          </cell>
          <cell r="F1332" t="str">
            <v xml:space="preserve"> </v>
          </cell>
        </row>
        <row r="1333">
          <cell r="A1333">
            <v>43018</v>
          </cell>
          <cell r="B1333" t="str">
            <v>Meio fio de concreto pré-moldado (12 x 30 x 15) cm, inclusive caiação e transporte do meio fio em Vias Urbanas</v>
          </cell>
          <cell r="C1333" t="str">
            <v>M</v>
          </cell>
          <cell r="D1333">
            <v>72.319999999999993</v>
          </cell>
          <cell r="E1333">
            <v>58.65</v>
          </cell>
          <cell r="F1333" t="str">
            <v>A incluir</v>
          </cell>
        </row>
        <row r="1334">
          <cell r="A1334">
            <v>43026</v>
          </cell>
          <cell r="B1334" t="str">
            <v>Montagem e desmontagem de escoramento tubular normal, em obras de arte na densidade de  5m de tubo por m³ de escoramento em Vias Urbanas</v>
          </cell>
          <cell r="C1334" t="str">
            <v>M</v>
          </cell>
          <cell r="D1334">
            <v>28.75</v>
          </cell>
          <cell r="E1334">
            <v>23.32</v>
          </cell>
          <cell r="F1334" t="str">
            <v xml:space="preserve"> </v>
          </cell>
        </row>
        <row r="1335">
          <cell r="A1335">
            <v>43033</v>
          </cell>
          <cell r="B1335" t="str">
            <v>Muro de testa em concreto para saída de dreno profundo em rocha, inclusive transporte do tubo em Vias Urbanas</v>
          </cell>
          <cell r="C1335" t="str">
            <v>Ud</v>
          </cell>
          <cell r="D1335">
            <v>1271.08</v>
          </cell>
          <cell r="E1335">
            <v>1030.72</v>
          </cell>
          <cell r="F1335" t="str">
            <v>A incluir</v>
          </cell>
        </row>
        <row r="1336">
          <cell r="A1336">
            <v>43037</v>
          </cell>
          <cell r="B1336" t="str">
            <v>Pedra de mão p/ (concreto ciclópico ou alvenaria) rocha paga em medição em Vias Urbanas</v>
          </cell>
          <cell r="C1336" t="str">
            <v>M3</v>
          </cell>
          <cell r="D1336">
            <v>90.27</v>
          </cell>
          <cell r="E1336">
            <v>73.2</v>
          </cell>
          <cell r="F1336" t="str">
            <v xml:space="preserve"> </v>
          </cell>
        </row>
        <row r="1337">
          <cell r="A1337">
            <v>43038</v>
          </cell>
          <cell r="B1337" t="str">
            <v>Pescoço de poço de visita H=0,30m, diâm. = 0,60 m, fornecimento, assentamento e transporte  em Vias Urbanas</v>
          </cell>
          <cell r="C1337" t="str">
            <v>Ud</v>
          </cell>
          <cell r="D1337">
            <v>128.56</v>
          </cell>
          <cell r="E1337">
            <v>104.25</v>
          </cell>
          <cell r="F1337" t="str">
            <v>A incluir</v>
          </cell>
        </row>
        <row r="1338">
          <cell r="A1338">
            <v>43039</v>
          </cell>
          <cell r="B1338" t="str">
            <v>Pintura com nata de cimento em Vias Urbanas</v>
          </cell>
          <cell r="C1338" t="str">
            <v>M2</v>
          </cell>
          <cell r="D1338">
            <v>6.06</v>
          </cell>
          <cell r="E1338">
            <v>4.92</v>
          </cell>
          <cell r="F1338" t="str">
            <v xml:space="preserve"> </v>
          </cell>
        </row>
        <row r="1339">
          <cell r="A1339">
            <v>43040</v>
          </cell>
          <cell r="B1339" t="str">
            <v>Pintura interna ou externa sobre ferro, com tinta a base de resina de borracha clorada em Vias Urbanas</v>
          </cell>
          <cell r="C1339" t="str">
            <v>M2</v>
          </cell>
          <cell r="D1339">
            <v>73.84</v>
          </cell>
          <cell r="E1339">
            <v>59.88</v>
          </cell>
          <cell r="F1339" t="str">
            <v xml:space="preserve"> </v>
          </cell>
        </row>
        <row r="1340">
          <cell r="A1340">
            <v>43042</v>
          </cell>
          <cell r="B1340" t="str">
            <v>Plataforma ou passarela de pinho de 1ª ou similar, 1" x 12", em Vias Urbanas</v>
          </cell>
          <cell r="C1340" t="str">
            <v>M2</v>
          </cell>
          <cell r="D1340">
            <v>4.88</v>
          </cell>
          <cell r="E1340">
            <v>3.96</v>
          </cell>
          <cell r="F1340" t="str">
            <v xml:space="preserve"> </v>
          </cell>
        </row>
        <row r="1341">
          <cell r="A1341">
            <v>43043</v>
          </cell>
          <cell r="B1341" t="str">
            <v>Poço de visita em bloco pré-moldado para d=0,30 e 0,40 m (0,80 x 0,8 0m), em Vias Urbanas</v>
          </cell>
          <cell r="C1341" t="str">
            <v>Ud</v>
          </cell>
          <cell r="D1341">
            <v>3293.08</v>
          </cell>
          <cell r="E1341">
            <v>2670.36</v>
          </cell>
          <cell r="F1341" t="str">
            <v xml:space="preserve"> </v>
          </cell>
        </row>
        <row r="1342">
          <cell r="A1342">
            <v>43044</v>
          </cell>
          <cell r="B1342" t="str">
            <v>Poço de visita em bloco pré-moldado para d=0,60 m (1,00 x 1,00 m), em Vias Urbanas</v>
          </cell>
          <cell r="C1342" t="str">
            <v>Ud</v>
          </cell>
          <cell r="D1342">
            <v>3810.16</v>
          </cell>
          <cell r="E1342">
            <v>3089.66</v>
          </cell>
          <cell r="F1342" t="str">
            <v xml:space="preserve"> </v>
          </cell>
        </row>
        <row r="1343">
          <cell r="A1343">
            <v>41169</v>
          </cell>
          <cell r="B1343" t="str">
            <v>Poço de visita em bloco pré-moldado para d=0,80m (1,20x1,20m), em Vias Urbanas</v>
          </cell>
          <cell r="C1343" t="str">
            <v>Ud</v>
          </cell>
          <cell r="D1343">
            <v>4496.4799999999996</v>
          </cell>
          <cell r="E1343">
            <v>3646.19</v>
          </cell>
          <cell r="F1343" t="str">
            <v xml:space="preserve"> </v>
          </cell>
        </row>
        <row r="1344">
          <cell r="A1344">
            <v>41170</v>
          </cell>
          <cell r="B1344" t="str">
            <v>Poço de visita em bloco pré-moldado para d=1,00m (1,30x1,30m) (Vias Urbanas)</v>
          </cell>
          <cell r="C1344" t="str">
            <v>Ud</v>
          </cell>
          <cell r="D1344">
            <v>4939.97</v>
          </cell>
          <cell r="E1344">
            <v>4005.82</v>
          </cell>
          <cell r="F1344" t="str">
            <v xml:space="preserve"> </v>
          </cell>
        </row>
        <row r="1345">
          <cell r="A1345">
            <v>41171</v>
          </cell>
          <cell r="B1345" t="str">
            <v>Poço de visita em bloco pré-moldado para d=1,20m (1,50x1,50m), em Vias Urbanas</v>
          </cell>
          <cell r="C1345" t="str">
            <v>Ud</v>
          </cell>
          <cell r="D1345">
            <v>5888.12</v>
          </cell>
          <cell r="E1345">
            <v>4774.67</v>
          </cell>
          <cell r="F1345" t="str">
            <v xml:space="preserve"> </v>
          </cell>
        </row>
        <row r="1346">
          <cell r="A1346">
            <v>43046</v>
          </cell>
          <cell r="B1346" t="str">
            <v>Poço de Visita para BSTC diâm. 0,40 m em blocos de concreto, em Vias Urbanas</v>
          </cell>
          <cell r="C1346" t="str">
            <v>Ud</v>
          </cell>
          <cell r="D1346">
            <v>1952.08</v>
          </cell>
          <cell r="E1346">
            <v>1582.94</v>
          </cell>
          <cell r="F1346" t="str">
            <v xml:space="preserve"> </v>
          </cell>
        </row>
        <row r="1347">
          <cell r="A1347">
            <v>43047</v>
          </cell>
          <cell r="B1347" t="str">
            <v>Poço de visita para BSTC diâm. 0,60 m em blocos de concreto, em Vias Urbanas</v>
          </cell>
          <cell r="C1347" t="str">
            <v>Ud</v>
          </cell>
          <cell r="D1347">
            <v>2513.91</v>
          </cell>
          <cell r="E1347">
            <v>2038.53</v>
          </cell>
          <cell r="F1347" t="str">
            <v xml:space="preserve"> </v>
          </cell>
        </row>
        <row r="1348">
          <cell r="A1348">
            <v>43048</v>
          </cell>
          <cell r="B1348" t="str">
            <v>Poço de visita para BSTC diâm. 0,80 m em blocos de concreto, em Vias Urbanas</v>
          </cell>
          <cell r="C1348" t="str">
            <v>Ud</v>
          </cell>
          <cell r="D1348">
            <v>3093.56</v>
          </cell>
          <cell r="E1348">
            <v>2508.5700000000002</v>
          </cell>
          <cell r="F1348" t="str">
            <v xml:space="preserve"> </v>
          </cell>
        </row>
        <row r="1349">
          <cell r="A1349">
            <v>43050</v>
          </cell>
          <cell r="B1349" t="str">
            <v>Poço de visita (tubo D=0,40 m) H=1,50 m com tampão F.F.A.P., inclusive escavação e transporte do tampão, em Vias Urbanas</v>
          </cell>
          <cell r="C1349" t="str">
            <v>Ud</v>
          </cell>
          <cell r="D1349">
            <v>4654.34</v>
          </cell>
          <cell r="E1349">
            <v>3774.2</v>
          </cell>
          <cell r="F1349" t="str">
            <v>A incluir</v>
          </cell>
        </row>
        <row r="1350">
          <cell r="A1350">
            <v>43051</v>
          </cell>
          <cell r="B1350" t="str">
            <v>Poço de visita (tubo D=0,60 m) H=1,70 m com tampão F.F.A.P., inclusive escavação e transporte do tampão, em Vias Urbanas</v>
          </cell>
          <cell r="C1350" t="str">
            <v>Ud</v>
          </cell>
          <cell r="D1350">
            <v>5138.3599999999997</v>
          </cell>
          <cell r="E1350">
            <v>4166.6899999999996</v>
          </cell>
          <cell r="F1350" t="str">
            <v>A incluir</v>
          </cell>
        </row>
        <row r="1351">
          <cell r="A1351">
            <v>43052</v>
          </cell>
          <cell r="B1351" t="str">
            <v>Poço de visita (tubo D=0,80 m) H=1,90 m com tampão F.F.A.P., inclusive escavação e transporte do tampão, em Vias Urbanas</v>
          </cell>
          <cell r="C1351" t="str">
            <v>Ud</v>
          </cell>
          <cell r="D1351">
            <v>5622.39</v>
          </cell>
          <cell r="E1351">
            <v>4559.1899999999996</v>
          </cell>
          <cell r="F1351" t="str">
            <v>A incluir</v>
          </cell>
        </row>
        <row r="1352">
          <cell r="A1352">
            <v>43053</v>
          </cell>
          <cell r="B1352" t="str">
            <v>Poço de visita (tubo D=1,00 m) H=2,10 m com tampão F.F.A.P., inclusive escavação e transporte do tampão, em Vias Urbanas</v>
          </cell>
          <cell r="C1352" t="str">
            <v>Ud</v>
          </cell>
          <cell r="D1352">
            <v>6106.41</v>
          </cell>
          <cell r="E1352">
            <v>4951.68</v>
          </cell>
          <cell r="F1352" t="str">
            <v>A incluir</v>
          </cell>
        </row>
        <row r="1353">
          <cell r="A1353">
            <v>43054</v>
          </cell>
          <cell r="B1353" t="str">
            <v>Preparo manual de talude, compreendendo acerto, raspagem eventual de até 0,30 m de prof. e afastamento lateral, em Vias Urbanas</v>
          </cell>
          <cell r="C1353" t="str">
            <v>M2</v>
          </cell>
          <cell r="D1353">
            <v>12.87</v>
          </cell>
          <cell r="E1353">
            <v>10.44</v>
          </cell>
          <cell r="F1353" t="str">
            <v xml:space="preserve"> </v>
          </cell>
        </row>
        <row r="1354">
          <cell r="A1354">
            <v>43055</v>
          </cell>
          <cell r="B1354" t="str">
            <v>Preparo manual de terreno, compreendendo acerto raspagem até 25 cm de profundidade e afastamento lateral do material excedente, em Vias Urbanas</v>
          </cell>
          <cell r="C1354" t="str">
            <v>M2</v>
          </cell>
          <cell r="D1354">
            <v>10.33</v>
          </cell>
          <cell r="E1354">
            <v>8.3800000000000008</v>
          </cell>
          <cell r="F1354" t="str">
            <v xml:space="preserve"> </v>
          </cell>
        </row>
        <row r="1355">
          <cell r="A1355">
            <v>43056</v>
          </cell>
          <cell r="B1355" t="str">
            <v>Reaterro com areia, tudo incluído, em Vias Urbanas</v>
          </cell>
          <cell r="C1355" t="str">
            <v>M3</v>
          </cell>
          <cell r="D1355">
            <v>69.84</v>
          </cell>
          <cell r="E1355">
            <v>56.64</v>
          </cell>
          <cell r="F1355" t="str">
            <v>A incluir</v>
          </cell>
        </row>
        <row r="1356">
          <cell r="A1356">
            <v>43058</v>
          </cell>
          <cell r="B1356" t="str">
            <v>Reaterro de cavas c/ compactação manual (apiloamento) (dim. reduz.), em Vias Urbanas</v>
          </cell>
          <cell r="C1356" t="str">
            <v>M3</v>
          </cell>
          <cell r="D1356">
            <v>118.95</v>
          </cell>
          <cell r="E1356">
            <v>96.46</v>
          </cell>
          <cell r="F1356" t="str">
            <v xml:space="preserve"> </v>
          </cell>
        </row>
        <row r="1357">
          <cell r="A1357">
            <v>43057</v>
          </cell>
          <cell r="B1357" t="str">
            <v>Reaterro de cavas c/ compactação manual (apiloamento) em Vias Urbanas</v>
          </cell>
          <cell r="C1357" t="str">
            <v>M3</v>
          </cell>
          <cell r="D1357">
            <v>82.03</v>
          </cell>
          <cell r="E1357">
            <v>66.52</v>
          </cell>
          <cell r="F1357" t="str">
            <v xml:space="preserve"> </v>
          </cell>
        </row>
        <row r="1358">
          <cell r="A1358">
            <v>43059</v>
          </cell>
          <cell r="B1358" t="str">
            <v>Reaterro de cavas c/ compactação mecânica (compactador manual), em Vias Urbanas</v>
          </cell>
          <cell r="C1358" t="str">
            <v>M3</v>
          </cell>
          <cell r="D1358">
            <v>51.97</v>
          </cell>
          <cell r="E1358">
            <v>42.15</v>
          </cell>
          <cell r="F1358" t="str">
            <v xml:space="preserve"> </v>
          </cell>
        </row>
        <row r="1359">
          <cell r="A1359">
            <v>43060</v>
          </cell>
          <cell r="B1359" t="str">
            <v>Recuperação de poço de visita inclusive fornecimento tampão F.F.A.P., em Vias Urbanas</v>
          </cell>
          <cell r="C1359" t="str">
            <v>Ud</v>
          </cell>
          <cell r="D1359">
            <v>1088.75</v>
          </cell>
          <cell r="E1359">
            <v>882.87</v>
          </cell>
          <cell r="F1359" t="str">
            <v>A incluir</v>
          </cell>
        </row>
        <row r="1360">
          <cell r="A1360">
            <v>43064</v>
          </cell>
          <cell r="B1360" t="str">
            <v>Religação de rede de água em PVC DN 20 mm, inclusive conexões, em Vias Urbanas</v>
          </cell>
          <cell r="C1360" t="str">
            <v>M</v>
          </cell>
          <cell r="D1360">
            <v>24.18</v>
          </cell>
          <cell r="E1360">
            <v>19.61</v>
          </cell>
          <cell r="F1360" t="str">
            <v xml:space="preserve"> </v>
          </cell>
        </row>
        <row r="1361">
          <cell r="A1361">
            <v>43065</v>
          </cell>
          <cell r="B1361" t="str">
            <v>Religação de rede de água em PVC DN 25 mm, inclusive conexões, em Vias Urbanas</v>
          </cell>
          <cell r="C1361" t="str">
            <v>M</v>
          </cell>
          <cell r="D1361">
            <v>28.4</v>
          </cell>
          <cell r="E1361">
            <v>23.03</v>
          </cell>
          <cell r="F1361" t="str">
            <v xml:space="preserve"> </v>
          </cell>
        </row>
        <row r="1362">
          <cell r="A1362">
            <v>43066</v>
          </cell>
          <cell r="B1362" t="str">
            <v>Religação de rede de água em PVC DN 32 mm, inclusive conexões, em Vias Urbanas</v>
          </cell>
          <cell r="C1362" t="str">
            <v>M</v>
          </cell>
          <cell r="D1362">
            <v>35.71</v>
          </cell>
          <cell r="E1362">
            <v>28.96</v>
          </cell>
          <cell r="F1362" t="str">
            <v xml:space="preserve"> </v>
          </cell>
        </row>
        <row r="1363">
          <cell r="A1363">
            <v>43067</v>
          </cell>
          <cell r="B1363" t="str">
            <v>Religação de rede de água em PVC DN 75 mm, inclusive conexões, em Vias Urbanas</v>
          </cell>
          <cell r="C1363" t="str">
            <v>M</v>
          </cell>
          <cell r="D1363">
            <v>110.55</v>
          </cell>
          <cell r="E1363">
            <v>89.65</v>
          </cell>
          <cell r="F1363" t="str">
            <v xml:space="preserve"> </v>
          </cell>
        </row>
        <row r="1364">
          <cell r="A1364">
            <v>43063</v>
          </cell>
          <cell r="B1364" t="str">
            <v>Religação de rede de água em PVC PBA CL 15 DN 100 mm, inclusive conexões, em Vias Urbanas</v>
          </cell>
          <cell r="C1364" t="str">
            <v>M</v>
          </cell>
          <cell r="D1364">
            <v>154.11000000000001</v>
          </cell>
          <cell r="E1364">
            <v>124.97</v>
          </cell>
          <cell r="F1364" t="str">
            <v xml:space="preserve"> </v>
          </cell>
        </row>
        <row r="1365">
          <cell r="A1365">
            <v>43068</v>
          </cell>
          <cell r="B1365" t="str">
            <v>Remanejamento de ligação e religação de redes de esgoto, em Vias Urbanas</v>
          </cell>
          <cell r="C1365" t="str">
            <v>M</v>
          </cell>
          <cell r="D1365">
            <v>95.77</v>
          </cell>
          <cell r="E1365">
            <v>77.66</v>
          </cell>
          <cell r="F1365" t="str">
            <v xml:space="preserve"> </v>
          </cell>
        </row>
        <row r="1366">
          <cell r="A1366">
            <v>43069</v>
          </cell>
          <cell r="B1366" t="str">
            <v>Remoção de bueiros existentes, em Vias Urbanas</v>
          </cell>
          <cell r="C1366" t="str">
            <v>M</v>
          </cell>
          <cell r="D1366">
            <v>177.82</v>
          </cell>
          <cell r="E1366">
            <v>144.19999999999999</v>
          </cell>
          <cell r="F1366" t="str">
            <v>A incluir</v>
          </cell>
        </row>
        <row r="1367">
          <cell r="A1367">
            <v>43071</v>
          </cell>
          <cell r="B1367" t="str">
            <v>Rip-rap c/ argamassa cimento areia 1:6, inclusive aquisição e transporte dos materiais, em Vias Urbanas</v>
          </cell>
          <cell r="C1367" t="str">
            <v>M3</v>
          </cell>
          <cell r="D1367">
            <v>369.79</v>
          </cell>
          <cell r="E1367">
            <v>299.87</v>
          </cell>
          <cell r="F1367" t="str">
            <v>A incluir</v>
          </cell>
        </row>
        <row r="1368">
          <cell r="A1368">
            <v>43078</v>
          </cell>
          <cell r="B1368" t="str">
            <v>Sarjeta de concreto DP-1 (0,081 m³/m) calha triangular, inclusive caiação, em Vias Urbanas</v>
          </cell>
          <cell r="C1368" t="str">
            <v>M</v>
          </cell>
          <cell r="D1368">
            <v>101.38</v>
          </cell>
          <cell r="E1368">
            <v>82.21</v>
          </cell>
          <cell r="F1368" t="str">
            <v xml:space="preserve"> </v>
          </cell>
        </row>
        <row r="1369">
          <cell r="A1369">
            <v>43079</v>
          </cell>
          <cell r="B1369" t="str">
            <v>Sarjeta de concreto DP-2 (0,085 m³/m) calha triangular, inclusive caiação, em Vias Urbanas</v>
          </cell>
          <cell r="C1369" t="str">
            <v>M</v>
          </cell>
          <cell r="D1369">
            <v>105.83</v>
          </cell>
          <cell r="E1369">
            <v>85.82</v>
          </cell>
          <cell r="F1369" t="str">
            <v xml:space="preserve"> </v>
          </cell>
        </row>
        <row r="1370">
          <cell r="A1370">
            <v>43080</v>
          </cell>
          <cell r="B1370" t="str">
            <v>Sarjeta de concreto SCA 40/10 - em Vias Urbanas</v>
          </cell>
          <cell r="C1370" t="str">
            <v>M</v>
          </cell>
          <cell r="D1370">
            <v>94.03</v>
          </cell>
          <cell r="E1370">
            <v>76.25</v>
          </cell>
          <cell r="F1370" t="str">
            <v>A incluir</v>
          </cell>
        </row>
        <row r="1371">
          <cell r="A1371">
            <v>43081</v>
          </cell>
          <cell r="B1371" t="str">
            <v>Sarjeta de concreto (SCA 70/15) calha triangular, inclusive caiação, em Vias Urbanas</v>
          </cell>
          <cell r="C1371" t="str">
            <v>M</v>
          </cell>
          <cell r="D1371">
            <v>121.11</v>
          </cell>
          <cell r="E1371">
            <v>98.21</v>
          </cell>
          <cell r="F1371" t="str">
            <v xml:space="preserve"> </v>
          </cell>
        </row>
        <row r="1372">
          <cell r="A1372">
            <v>43085</v>
          </cell>
          <cell r="B1372" t="str">
            <v>Sarjeta de concreto (SCA 90/10) calha triangular, inclusive caiação, em Vias Urbanas</v>
          </cell>
          <cell r="C1372" t="str">
            <v>M</v>
          </cell>
          <cell r="D1372">
            <v>227.61</v>
          </cell>
          <cell r="E1372">
            <v>184.57</v>
          </cell>
          <cell r="F1372" t="str">
            <v xml:space="preserve"> </v>
          </cell>
        </row>
        <row r="1373">
          <cell r="A1373">
            <v>43083</v>
          </cell>
          <cell r="B1373" t="str">
            <v>Sarjeta de concreto (STC - 02) calha triangular em corte/aterro, inclusive caiação, em Vias Urbanas</v>
          </cell>
          <cell r="C1373" t="str">
            <v>M</v>
          </cell>
          <cell r="D1373">
            <v>100.25</v>
          </cell>
          <cell r="E1373">
            <v>81.3</v>
          </cell>
          <cell r="F1373" t="str">
            <v xml:space="preserve"> </v>
          </cell>
        </row>
        <row r="1374">
          <cell r="A1374">
            <v>43084</v>
          </cell>
          <cell r="B1374" t="str">
            <v>Sarjeta de concreto (STC - 04) calha triangular de bancada em corte, inclusive caiação, em Vias Urbanas</v>
          </cell>
          <cell r="C1374" t="str">
            <v>M</v>
          </cell>
          <cell r="D1374">
            <v>75.650000000000006</v>
          </cell>
          <cell r="E1374">
            <v>61.35</v>
          </cell>
          <cell r="F1374" t="str">
            <v xml:space="preserve"> </v>
          </cell>
        </row>
        <row r="1375">
          <cell r="A1375">
            <v>43086</v>
          </cell>
          <cell r="B1375" t="str">
            <v>Tampa de concreto em grelha, fornecimento, assentamento e transporte, em Vias Urbanas</v>
          </cell>
          <cell r="C1375" t="str">
            <v>Ud</v>
          </cell>
          <cell r="D1375">
            <v>245.41</v>
          </cell>
          <cell r="E1375">
            <v>199.01</v>
          </cell>
          <cell r="F1375" t="str">
            <v>A incluir</v>
          </cell>
        </row>
        <row r="1376">
          <cell r="A1376">
            <v>43087</v>
          </cell>
          <cell r="B1376" t="str">
            <v>Tampão F.F.A.P. com 100 kg, fornecimento, assentamento e transporte em Vias Urbanas</v>
          </cell>
          <cell r="C1376" t="str">
            <v>Ud</v>
          </cell>
          <cell r="D1376">
            <v>667.37</v>
          </cell>
          <cell r="E1376">
            <v>541.16999999999996</v>
          </cell>
          <cell r="F1376" t="str">
            <v>A incluir</v>
          </cell>
        </row>
        <row r="1377">
          <cell r="A1377">
            <v>43089</v>
          </cell>
          <cell r="B1377" t="str">
            <v>Tapume de vedação e proteção, executado com chapas de compensado resinado com 6 mm de espessura, exclusive pintura, em Vias Urbanas</v>
          </cell>
          <cell r="C1377" t="str">
            <v>M2</v>
          </cell>
          <cell r="D1377">
            <v>55.54</v>
          </cell>
          <cell r="E1377">
            <v>45.04</v>
          </cell>
          <cell r="F1377" t="str">
            <v xml:space="preserve"> </v>
          </cell>
        </row>
        <row r="1378">
          <cell r="A1378">
            <v>43090</v>
          </cell>
          <cell r="B1378" t="str">
            <v>Tela de aço soldada Telcon Q-138 ou similar, fornecimento e assentamento em Vias Urbanas</v>
          </cell>
          <cell r="C1378" t="str">
            <v>M2</v>
          </cell>
          <cell r="D1378">
            <v>59.39</v>
          </cell>
          <cell r="E1378">
            <v>48.16</v>
          </cell>
          <cell r="F1378" t="str">
            <v xml:space="preserve"> </v>
          </cell>
        </row>
        <row r="1379">
          <cell r="A1379">
            <v>43088</v>
          </cell>
          <cell r="B1379" t="str">
            <v>Tela de proteção de segurança de PVC cor laranja com suporte  para sinalização de obras em Vias Urbanas</v>
          </cell>
          <cell r="C1379" t="str">
            <v>M</v>
          </cell>
          <cell r="D1379">
            <v>25.31</v>
          </cell>
          <cell r="E1379">
            <v>20.53</v>
          </cell>
          <cell r="F1379" t="str">
            <v>A incluir</v>
          </cell>
        </row>
        <row r="1380">
          <cell r="A1380">
            <v>43091</v>
          </cell>
          <cell r="B1380" t="str">
            <v>Terminal de dreno de alívio de pavimento (DP - TDA - 01) em Vias Urbanas</v>
          </cell>
          <cell r="C1380" t="str">
            <v>Ud</v>
          </cell>
          <cell r="D1380">
            <v>451.98</v>
          </cell>
          <cell r="E1380">
            <v>366.51</v>
          </cell>
          <cell r="F1380" t="str">
            <v>A incluir</v>
          </cell>
        </row>
        <row r="1381">
          <cell r="A1381">
            <v>43092</v>
          </cell>
          <cell r="B1381" t="str">
            <v>Transporte de materiais encosta abaixo, serviço manual, inclusive carga e descarga em Vias Urbanas</v>
          </cell>
          <cell r="C1381" t="str">
            <v>t dam</v>
          </cell>
          <cell r="D1381">
            <v>29.3</v>
          </cell>
          <cell r="E1381">
            <v>23.76</v>
          </cell>
          <cell r="F1381" t="str">
            <v xml:space="preserve"> </v>
          </cell>
        </row>
        <row r="1382">
          <cell r="A1382">
            <v>43093</v>
          </cell>
          <cell r="B1382" t="str">
            <v>Transporte de materiais encosta acima, serviço manual, inclusive carga e descarga em Vias Urbanas</v>
          </cell>
          <cell r="C1382" t="str">
            <v>t dam</v>
          </cell>
          <cell r="D1382">
            <v>39.630000000000003</v>
          </cell>
          <cell r="E1382">
            <v>32.14</v>
          </cell>
          <cell r="F1382" t="str">
            <v xml:space="preserve"> </v>
          </cell>
        </row>
        <row r="1383">
          <cell r="A1383">
            <v>43094</v>
          </cell>
          <cell r="B1383" t="str">
            <v>Transposição de segmento de sarjeta - TSS 01, inclusive transporte do tubo de concreto em Vias Urbanas</v>
          </cell>
          <cell r="C1383" t="str">
            <v>M</v>
          </cell>
          <cell r="D1383">
            <v>374</v>
          </cell>
          <cell r="E1383">
            <v>303.27999999999997</v>
          </cell>
          <cell r="F1383" t="str">
            <v>A incluir</v>
          </cell>
        </row>
        <row r="1384">
          <cell r="A1384">
            <v>43095</v>
          </cell>
          <cell r="B1384" t="str">
            <v>Trincheira drenante cega (0,50 x 1,70) m, com utilização de geotêxtil não tecido Rt-16 kn/m, inclusive transporte da brita em Vias Urbanas</v>
          </cell>
          <cell r="C1384" t="str">
            <v>M</v>
          </cell>
          <cell r="D1384">
            <v>575.64</v>
          </cell>
          <cell r="E1384">
            <v>466.79</v>
          </cell>
          <cell r="F1384" t="str">
            <v>A incluir</v>
          </cell>
        </row>
        <row r="1385">
          <cell r="A1385">
            <v>43096</v>
          </cell>
          <cell r="B1385" t="str">
            <v>Trincheira drenante em madeira em Vias Urbanas</v>
          </cell>
          <cell r="C1385" t="str">
            <v>M</v>
          </cell>
          <cell r="D1385">
            <v>810.98</v>
          </cell>
          <cell r="E1385">
            <v>657.63</v>
          </cell>
          <cell r="F1385" t="str">
            <v xml:space="preserve"> </v>
          </cell>
        </row>
        <row r="1386">
          <cell r="A1386">
            <v>43098</v>
          </cell>
          <cell r="B1386" t="str">
            <v>Tubo de PVC NBR 5648 diâmetro 50 mm, fornecimento e assentamento em Vias Urbanas</v>
          </cell>
          <cell r="C1386" t="str">
            <v>M</v>
          </cell>
          <cell r="D1386">
            <v>31.29</v>
          </cell>
          <cell r="E1386">
            <v>25.38</v>
          </cell>
          <cell r="F1386" t="str">
            <v xml:space="preserve"> </v>
          </cell>
        </row>
        <row r="1387">
          <cell r="A1387">
            <v>43097</v>
          </cell>
          <cell r="B1387" t="str">
            <v>Tubo de PVC NBR 5648 diâmetro 75 mm, fornecimento e assentamento em Vias Urbanas</v>
          </cell>
          <cell r="C1387" t="str">
            <v>M</v>
          </cell>
          <cell r="D1387">
            <v>78.86</v>
          </cell>
          <cell r="E1387">
            <v>63.95</v>
          </cell>
          <cell r="F1387" t="str">
            <v xml:space="preserve"> </v>
          </cell>
        </row>
        <row r="1388">
          <cell r="A1388">
            <v>43100</v>
          </cell>
          <cell r="B1388" t="str">
            <v>Tubo de PVC rígido série R diâmetro 100 mm, fornecimento e assentamento em Vias Urbanas</v>
          </cell>
          <cell r="C1388" t="str">
            <v>M</v>
          </cell>
          <cell r="D1388">
            <v>63.84</v>
          </cell>
          <cell r="E1388">
            <v>51.77</v>
          </cell>
          <cell r="F1388" t="str">
            <v xml:space="preserve"> </v>
          </cell>
        </row>
        <row r="1389">
          <cell r="A1389">
            <v>43101</v>
          </cell>
          <cell r="B1389" t="str">
            <v>Tubo irrifort agropecuário diâmetro 32 mm, fornecimento e assentamento em Vias Urbanas</v>
          </cell>
          <cell r="C1389" t="str">
            <v>M</v>
          </cell>
          <cell r="D1389">
            <v>11.65</v>
          </cell>
          <cell r="E1389">
            <v>9.4499999999999993</v>
          </cell>
          <cell r="F1389" t="str">
            <v xml:space="preserve"> </v>
          </cell>
        </row>
        <row r="1390">
          <cell r="A1390">
            <v>43102</v>
          </cell>
          <cell r="B1390" t="str">
            <v>Tubo para irrigação linha fixa PN40 50 mm, fornecimento e assentamento em Vias Urbanas</v>
          </cell>
          <cell r="C1390" t="str">
            <v>M</v>
          </cell>
          <cell r="D1390">
            <v>11.07</v>
          </cell>
          <cell r="E1390">
            <v>8.98</v>
          </cell>
          <cell r="F1390" t="str">
            <v xml:space="preserve"> </v>
          </cell>
        </row>
        <row r="1391">
          <cell r="A1391">
            <v>42614</v>
          </cell>
          <cell r="B1391" t="str">
            <v>Tubos de ferro fundido diâmetro 0,90 m, assentamento em Vias Urbanas</v>
          </cell>
          <cell r="C1391" t="str">
            <v>M</v>
          </cell>
          <cell r="D1391">
            <v>255.55</v>
          </cell>
          <cell r="E1391">
            <v>207.23</v>
          </cell>
          <cell r="F1391" t="str">
            <v>A incluir</v>
          </cell>
        </row>
        <row r="1392">
          <cell r="A1392">
            <v>43104</v>
          </cell>
          <cell r="B1392" t="str">
            <v>Tubos para irrigação Linha fixa PN40, diâmetro 75 mm, fornecimento e assentamento em Vias  Urbanas</v>
          </cell>
          <cell r="C1392" t="str">
            <v>M</v>
          </cell>
          <cell r="D1392">
            <v>20.309999999999999</v>
          </cell>
          <cell r="E1392">
            <v>16.47</v>
          </cell>
          <cell r="F1392" t="str">
            <v xml:space="preserve"> </v>
          </cell>
        </row>
        <row r="1393">
          <cell r="A1393">
            <v>43105</v>
          </cell>
          <cell r="B1393" t="str">
            <v>Valeta de pedra argamassada VPAR em Vias Urbanas</v>
          </cell>
          <cell r="C1393" t="str">
            <v>M3</v>
          </cell>
          <cell r="D1393">
            <v>410.91</v>
          </cell>
          <cell r="E1393">
            <v>333.21</v>
          </cell>
          <cell r="F1393" t="str">
            <v>A incluir</v>
          </cell>
        </row>
        <row r="1394">
          <cell r="A1394">
            <v>43106</v>
          </cell>
          <cell r="B1394" t="str">
            <v>Valeta de pedra jogada VPJ, inclusive transporte da pedra em Vias Urbanas</v>
          </cell>
          <cell r="C1394" t="str">
            <v>M3</v>
          </cell>
          <cell r="D1394">
            <v>214.63</v>
          </cell>
          <cell r="E1394">
            <v>174.05</v>
          </cell>
          <cell r="F1394" t="str">
            <v>A incluir</v>
          </cell>
        </row>
        <row r="1395">
          <cell r="A1395">
            <v>43111</v>
          </cell>
          <cell r="B1395" t="str">
            <v>Valeta de proteção de corte - desobstrução e limpeza em Vias Urbanas</v>
          </cell>
          <cell r="C1395" t="str">
            <v>M</v>
          </cell>
          <cell r="D1395">
            <v>4.5</v>
          </cell>
          <cell r="E1395">
            <v>3.65</v>
          </cell>
          <cell r="F1395" t="str">
            <v xml:space="preserve"> </v>
          </cell>
        </row>
        <row r="1396">
          <cell r="A1396">
            <v>41578</v>
          </cell>
          <cell r="B1396" t="str">
            <v>Aluguel de container p/ escritório c/ ar condicionado e banheiro, isolam.térmico e acústico, 2 luminárias, janela de vidro, tomada p/ comput. e telef.</v>
          </cell>
          <cell r="C1396" t="str">
            <v>Mes</v>
          </cell>
          <cell r="D1396">
            <v>970.93</v>
          </cell>
          <cell r="E1396">
            <v>787.33</v>
          </cell>
          <cell r="F1396" t="str">
            <v xml:space="preserve"> </v>
          </cell>
        </row>
        <row r="1397">
          <cell r="A1397">
            <v>42511</v>
          </cell>
          <cell r="B1397" t="str">
            <v>Aluguel de container p/ escritório com ar condicionado, isolamento term/acust., 2 luminárias, janela de vidro, tomadas computador e telefone</v>
          </cell>
          <cell r="C1397" t="str">
            <v>Mes</v>
          </cell>
          <cell r="D1397">
            <v>886.67</v>
          </cell>
          <cell r="E1397">
            <v>719</v>
          </cell>
          <cell r="F1397" t="str">
            <v xml:space="preserve"> </v>
          </cell>
        </row>
        <row r="1398">
          <cell r="A1398">
            <v>41579</v>
          </cell>
          <cell r="B1398" t="str">
            <v>Aluguel de container para almoxarifado</v>
          </cell>
          <cell r="C1398" t="str">
            <v>Mes</v>
          </cell>
          <cell r="D1398">
            <v>652.36</v>
          </cell>
          <cell r="E1398">
            <v>529</v>
          </cell>
          <cell r="F1398" t="str">
            <v xml:space="preserve"> </v>
          </cell>
        </row>
        <row r="1399">
          <cell r="A1399">
            <v>41494</v>
          </cell>
          <cell r="B1399" t="str">
            <v>Aluguel de container tipo cozinha com isolamento térmico e acústico, 2 luminárias, piso especial e janela</v>
          </cell>
          <cell r="C1399" t="str">
            <v>Mes</v>
          </cell>
          <cell r="D1399">
            <v>1145.6400000000001</v>
          </cell>
          <cell r="E1399">
            <v>929</v>
          </cell>
          <cell r="F1399" t="str">
            <v xml:space="preserve"> </v>
          </cell>
        </row>
        <row r="1400">
          <cell r="A1400">
            <v>41678</v>
          </cell>
          <cell r="B1400" t="str">
            <v>Aluguel de container tipo refeitório simples, c/ 1 aparelho de ar condicionado, 2 luminárias e 2 janelas de vidro</v>
          </cell>
          <cell r="C1400" t="str">
            <v>Mes</v>
          </cell>
          <cell r="D1400">
            <v>886.67</v>
          </cell>
          <cell r="E1400">
            <v>719</v>
          </cell>
          <cell r="F1400" t="str">
            <v xml:space="preserve"> </v>
          </cell>
        </row>
        <row r="1401">
          <cell r="A1401">
            <v>41455</v>
          </cell>
          <cell r="B1401" t="str">
            <v>Aluguel de container tipo refeitório (2 unidades acopladas), c/ 2 aparelhos de ar condicionado, 4 lumináriase 4 janelas de vidro</v>
          </cell>
          <cell r="C1401" t="str">
            <v>Mes</v>
          </cell>
          <cell r="D1401">
            <v>1881.48</v>
          </cell>
          <cell r="E1401">
            <v>1525.69</v>
          </cell>
          <cell r="F1401" t="str">
            <v xml:space="preserve"> </v>
          </cell>
        </row>
        <row r="1402">
          <cell r="A1402">
            <v>41456</v>
          </cell>
          <cell r="B1402" t="str">
            <v>Aluguel de container tipo refeitório (3 unidades acopladas), c/ 3 aparelhos de ar condiocionado, 6 luminárias e 6 janelas de vidro</v>
          </cell>
          <cell r="C1402" t="str">
            <v>Mes</v>
          </cell>
          <cell r="D1402">
            <v>2919.53</v>
          </cell>
          <cell r="E1402">
            <v>2367.4499999999998</v>
          </cell>
          <cell r="F1402" t="str">
            <v xml:space="preserve"> </v>
          </cell>
        </row>
        <row r="1403">
          <cell r="A1403">
            <v>41580</v>
          </cell>
          <cell r="B1403" t="str">
            <v>Aluguel de container tipo sanitário com 3 vasos sanitários, lavatório, mictório, 5 chuveiros, 2 venezianas e piso especial</v>
          </cell>
          <cell r="C1403" t="str">
            <v>Mes</v>
          </cell>
          <cell r="D1403">
            <v>1044.82</v>
          </cell>
          <cell r="E1403">
            <v>847.25</v>
          </cell>
          <cell r="F1403" t="str">
            <v xml:space="preserve"> </v>
          </cell>
        </row>
        <row r="1404">
          <cell r="A1404">
            <v>41454</v>
          </cell>
          <cell r="B1404" t="str">
            <v>Aluguel de container tipo vestiário, 2 luminárias, piso especial e janela</v>
          </cell>
          <cell r="C1404" t="str">
            <v>Mes</v>
          </cell>
          <cell r="D1404">
            <v>664.38</v>
          </cell>
          <cell r="E1404">
            <v>538.75</v>
          </cell>
          <cell r="F1404" t="str">
            <v xml:space="preserve"> </v>
          </cell>
        </row>
        <row r="1405">
          <cell r="A1405">
            <v>41498</v>
          </cell>
          <cell r="B1405" t="str">
            <v>Barracão com sanitário, em chapa compensada 12 mm e pont. 8x8cm, piso cimentado e cobertura em telha de fibroc. 6mm, incl. ponto de luz e cx. inspeção</v>
          </cell>
          <cell r="C1405" t="str">
            <v>M2</v>
          </cell>
          <cell r="D1405">
            <v>869.24</v>
          </cell>
          <cell r="E1405">
            <v>704.87</v>
          </cell>
          <cell r="F1405" t="str">
            <v xml:space="preserve"> </v>
          </cell>
        </row>
        <row r="1406">
          <cell r="A1406">
            <v>41531</v>
          </cell>
          <cell r="B1406" t="str">
            <v>Barracão em chapa compensada 12mm e pont. 8x8cm, piso cimentado e cobertura de telhas fibrocimento 6mm, incl. ponto de luz</v>
          </cell>
          <cell r="C1406" t="str">
            <v>M2</v>
          </cell>
          <cell r="D1406">
            <v>605.20000000000005</v>
          </cell>
          <cell r="E1406">
            <v>490.76</v>
          </cell>
          <cell r="F1406" t="str">
            <v xml:space="preserve"> </v>
          </cell>
        </row>
        <row r="1407">
          <cell r="A1407">
            <v>41557</v>
          </cell>
          <cell r="B1407" t="str">
            <v>Canaleta de concreto retangular com grelha em barra de aço</v>
          </cell>
          <cell r="C1407" t="str">
            <v>M</v>
          </cell>
          <cell r="D1407">
            <v>207.74</v>
          </cell>
          <cell r="E1407">
            <v>168.46</v>
          </cell>
          <cell r="F1407" t="str">
            <v xml:space="preserve"> </v>
          </cell>
        </row>
        <row r="1408">
          <cell r="A1408">
            <v>41506</v>
          </cell>
          <cell r="B1408" t="str">
            <v>Cobertura nova de telhas onduladas de fibrocimento 6,0mm, inclusive cumeeiras e acessórios de fixação</v>
          </cell>
          <cell r="C1408" t="str">
            <v>M2</v>
          </cell>
          <cell r="D1408">
            <v>57.91</v>
          </cell>
          <cell r="E1408">
            <v>46.96</v>
          </cell>
          <cell r="F1408" t="str">
            <v xml:space="preserve"> </v>
          </cell>
        </row>
        <row r="1409">
          <cell r="A1409">
            <v>41505</v>
          </cell>
          <cell r="B1409" t="str">
            <v>Estrutura de madeira lei para telhado de telha ondulada de fibroc. esp. 6mm, c/ pontaletes e caibros, incl. com cupinicida, excl. telhas</v>
          </cell>
          <cell r="C1409" t="str">
            <v>M2</v>
          </cell>
          <cell r="D1409">
            <v>142.06</v>
          </cell>
          <cell r="E1409">
            <v>115.2</v>
          </cell>
          <cell r="F1409" t="str">
            <v xml:space="preserve"> </v>
          </cell>
        </row>
        <row r="1410">
          <cell r="A1410">
            <v>41528</v>
          </cell>
          <cell r="B1410" t="str">
            <v>Galpão em peças de madeira 8x8cm e contravent. de 5x7cm, cobertura de telhas de fibroc. de  6mm, incl. ponto e cabo de alimentação da máquina</v>
          </cell>
          <cell r="C1410" t="str">
            <v>M2</v>
          </cell>
          <cell r="D1410">
            <v>302.61</v>
          </cell>
          <cell r="E1410">
            <v>245.39</v>
          </cell>
          <cell r="F1410" t="str">
            <v xml:space="preserve"> </v>
          </cell>
        </row>
        <row r="1411">
          <cell r="A1411">
            <v>41546</v>
          </cell>
          <cell r="B1411" t="str">
            <v>Mobilização e desmobilização de caminhão basculante (máximo)</v>
          </cell>
          <cell r="C1411" t="str">
            <v>h</v>
          </cell>
          <cell r="D1411">
            <v>305.61</v>
          </cell>
          <cell r="E1411">
            <v>247.82</v>
          </cell>
          <cell r="F1411" t="str">
            <v xml:space="preserve"> </v>
          </cell>
        </row>
        <row r="1412">
          <cell r="A1412">
            <v>41545</v>
          </cell>
          <cell r="B1412" t="str">
            <v>Mobilização e desmobilização de caminhão carroceria (máximo)</v>
          </cell>
          <cell r="C1412" t="str">
            <v>h</v>
          </cell>
          <cell r="D1412">
            <v>257.38</v>
          </cell>
          <cell r="E1412">
            <v>208.71</v>
          </cell>
          <cell r="F1412" t="str">
            <v xml:space="preserve"> </v>
          </cell>
        </row>
        <row r="1413">
          <cell r="A1413">
            <v>41547</v>
          </cell>
          <cell r="B1413" t="str">
            <v>Mobilização e desmobilização de caminhão tanque (6.000 L) (máximo)</v>
          </cell>
          <cell r="C1413" t="str">
            <v>h</v>
          </cell>
          <cell r="D1413">
            <v>250.62</v>
          </cell>
          <cell r="E1413">
            <v>203.23</v>
          </cell>
          <cell r="F1413" t="str">
            <v xml:space="preserve"> </v>
          </cell>
        </row>
        <row r="1414">
          <cell r="A1414">
            <v>41497</v>
          </cell>
          <cell r="B1414" t="str">
            <v>Mobilização e desmobilização de container acima de 150 km</v>
          </cell>
          <cell r="C1414" t="str">
            <v>Ud</v>
          </cell>
          <cell r="D1414">
            <v>3914.52</v>
          </cell>
          <cell r="E1414">
            <v>3174.28</v>
          </cell>
          <cell r="F1414" t="str">
            <v xml:space="preserve"> </v>
          </cell>
        </row>
        <row r="1415">
          <cell r="A1415">
            <v>41495</v>
          </cell>
          <cell r="B1415" t="str">
            <v>Mobilização e desmobilização de container até 50 km</v>
          </cell>
          <cell r="C1415" t="str">
            <v>Ud</v>
          </cell>
          <cell r="D1415">
            <v>1277.18</v>
          </cell>
          <cell r="E1415">
            <v>1035.67</v>
          </cell>
          <cell r="F1415" t="str">
            <v xml:space="preserve"> </v>
          </cell>
        </row>
        <row r="1416">
          <cell r="A1416">
            <v>41496</v>
          </cell>
          <cell r="B1416" t="str">
            <v>Mobilização e desmobilização de container de 51 km até 150 km</v>
          </cell>
          <cell r="C1416" t="str">
            <v>Ud</v>
          </cell>
          <cell r="D1416">
            <v>1565.8</v>
          </cell>
          <cell r="E1416">
            <v>1269.71</v>
          </cell>
          <cell r="F1416" t="str">
            <v xml:space="preserve"> </v>
          </cell>
        </row>
        <row r="1417">
          <cell r="A1417">
            <v>41544</v>
          </cell>
          <cell r="B1417" t="str">
            <v>Mobilização e desmobilização de equipamentos com carreta prancha (máximo)</v>
          </cell>
          <cell r="C1417" t="str">
            <v>h</v>
          </cell>
          <cell r="D1417">
            <v>504.95</v>
          </cell>
          <cell r="E1417">
            <v>409.47</v>
          </cell>
          <cell r="F1417" t="str">
            <v xml:space="preserve"> </v>
          </cell>
        </row>
        <row r="1418">
          <cell r="A1418">
            <v>41500</v>
          </cell>
          <cell r="B1418" t="str">
            <v>Placa de obra nas dimensões de 3,0 x 6,0 m, padrão DER-ES</v>
          </cell>
          <cell r="C1418" t="str">
            <v>M2</v>
          </cell>
          <cell r="D1418">
            <v>353.21</v>
          </cell>
          <cell r="E1418">
            <v>286.42</v>
          </cell>
          <cell r="F1418" t="str">
            <v xml:space="preserve"> </v>
          </cell>
        </row>
        <row r="1419">
          <cell r="A1419">
            <v>41501</v>
          </cell>
          <cell r="B1419" t="str">
            <v>Rede de água c/ padrão de entrada d'água diâm. 3/4" conf. CESAN, incl. tubos e conexões p/ aliment., distrib., extravas. e limp., cons. o padrão a 25m</v>
          </cell>
          <cell r="C1419" t="str">
            <v>M</v>
          </cell>
          <cell r="D1419">
            <v>52.13</v>
          </cell>
          <cell r="E1419">
            <v>42.28</v>
          </cell>
          <cell r="F1419" t="str">
            <v xml:space="preserve"> </v>
          </cell>
        </row>
        <row r="1420">
          <cell r="A1420">
            <v>41499</v>
          </cell>
          <cell r="B1420" t="str">
            <v>Rede de esgoto, contendo fossa e filtro, incl. tubos e conexões de ligação entre caixas, considerando distância de 25m</v>
          </cell>
          <cell r="C1420" t="str">
            <v>M</v>
          </cell>
          <cell r="D1420">
            <v>418.96</v>
          </cell>
          <cell r="E1420">
            <v>339.74</v>
          </cell>
          <cell r="F1420" t="str">
            <v xml:space="preserve"> </v>
          </cell>
        </row>
        <row r="1421">
          <cell r="A1421">
            <v>41503</v>
          </cell>
          <cell r="B1421" t="str">
            <v>Rede de luz, incl. padrão entr. energia trifás. cabo ligação até barracões, quadro distrib., disj. e  chave de força, cons. 20m entre padrão entr.e QDG</v>
          </cell>
          <cell r="C1421" t="str">
            <v>M</v>
          </cell>
          <cell r="D1421">
            <v>752.78</v>
          </cell>
          <cell r="E1421">
            <v>610.42999999999995</v>
          </cell>
          <cell r="F1421" t="str">
            <v xml:space="preserve"> </v>
          </cell>
        </row>
        <row r="1422">
          <cell r="A1422">
            <v>41530</v>
          </cell>
          <cell r="B1422" t="str">
            <v>Refeitório c/ paredes chapa de comp. 12mm e pont. 8x8cm, piso ciment. e cob. telhas fibroc. 6mm, incl. ponto de luz e cx. de insp. (1,21m²/func/turno)</v>
          </cell>
          <cell r="C1422" t="str">
            <v>M2</v>
          </cell>
          <cell r="D1422">
            <v>486.89</v>
          </cell>
          <cell r="E1422">
            <v>394.82</v>
          </cell>
          <cell r="F1422" t="str">
            <v xml:space="preserve"> </v>
          </cell>
        </row>
        <row r="1423">
          <cell r="A1423">
            <v>41527</v>
          </cell>
          <cell r="B1423" t="str">
            <v>Reservatório de fibra de vidro de 1000 L, incl. suporte em madeira de 7x12cm, elevado de 4m</v>
          </cell>
          <cell r="C1423" t="str">
            <v>Ud</v>
          </cell>
          <cell r="D1423">
            <v>4202.5200000000004</v>
          </cell>
          <cell r="E1423">
            <v>3407.82</v>
          </cell>
          <cell r="F1423" t="str">
            <v xml:space="preserve"> </v>
          </cell>
        </row>
        <row r="1424">
          <cell r="A1424">
            <v>41529</v>
          </cell>
          <cell r="B1424" t="str">
            <v>Sanitário e vestiário de 40/60 func., c/ 33,90m², paredes chapa compens. 12mm e pont. 8x8cm, piso ciment., cobert. telha fibroc., incl. luz e cx. Insp</v>
          </cell>
          <cell r="C1424" t="str">
            <v>Ud</v>
          </cell>
          <cell r="D1424">
            <v>30449.919999999998</v>
          </cell>
          <cell r="E1424">
            <v>24691.8</v>
          </cell>
          <cell r="F1424" t="str">
            <v xml:space="preserve"> </v>
          </cell>
        </row>
        <row r="1425">
          <cell r="A1425">
            <v>41555</v>
          </cell>
          <cell r="B1425" t="str">
            <v>Sistema separador de água e óleo</v>
          </cell>
          <cell r="C1425" t="str">
            <v>Ud</v>
          </cell>
          <cell r="D1425">
            <v>7926.72</v>
          </cell>
          <cell r="E1425">
            <v>6427.77</v>
          </cell>
          <cell r="F1425" t="str">
            <v xml:space="preserve"> </v>
          </cell>
        </row>
        <row r="1426">
          <cell r="A1426">
            <v>100883</v>
          </cell>
          <cell r="B1426" t="str">
            <v>Tapume madeira compensada resinada e= 12mm h=2,20m, estr. c/ mad reflorest., incl montagem e pintura esmalte sintético</v>
          </cell>
          <cell r="C1426" t="str">
            <v>M</v>
          </cell>
          <cell r="D1426">
            <v>255.99</v>
          </cell>
          <cell r="E1426">
            <v>207.59</v>
          </cell>
          <cell r="F1426" t="str">
            <v xml:space="preserve"> </v>
          </cell>
        </row>
        <row r="1427">
          <cell r="A1427">
            <v>100882</v>
          </cell>
          <cell r="B1427" t="str">
            <v>Tapume Telha Metálica Ondulada 0,50mm Branca h=2,20m, incl. montagem estr. mad. 8"x8", incl. faixas pint. esmalte sintético c/ h=40cm (Reaproveitamento 2x)</v>
          </cell>
          <cell r="C1427" t="str">
            <v>M</v>
          </cell>
          <cell r="D1427">
            <v>221.29</v>
          </cell>
          <cell r="E1427">
            <v>179.45</v>
          </cell>
          <cell r="F1427" t="str">
            <v xml:space="preserve"> </v>
          </cell>
        </row>
        <row r="1428">
          <cell r="A1428">
            <v>100390</v>
          </cell>
          <cell r="B1428" t="str">
            <v>Administração Local  (valor mensal a calcular de acordo com a obra)</v>
          </cell>
          <cell r="C1428" t="str">
            <v>vb</v>
          </cell>
          <cell r="D1428">
            <v>0</v>
          </cell>
          <cell r="E1428">
            <v>0</v>
          </cell>
          <cell r="F1428" t="str">
            <v xml:space="preserve"> </v>
          </cell>
        </row>
        <row r="1429">
          <cell r="A1429">
            <v>60020</v>
          </cell>
          <cell r="B1429" t="str">
            <v>LOCAL COM DMT DE 3,1 A 5,0 KM (Caminhão basculante) - 0,947XINCC-MXP+1,065XINCC-MXR+1,929XINCC-M - XP=2,0km, XR=2,0km</v>
          </cell>
          <cell r="C1429" t="str">
            <v>t</v>
          </cell>
          <cell r="D1429"/>
          <cell r="E1429">
            <v>6.5486072464999996</v>
          </cell>
          <cell r="F1429"/>
        </row>
        <row r="1430">
          <cell r="A1430">
            <v>60019</v>
          </cell>
          <cell r="B1430" t="str">
            <v>LOCAL COM DMT ATÉ 3,0 KM (Caminhão basculante) - 1,147XINCC-MXP + 1,268XINCC-MXR + 2,013XINCC-M</v>
          </cell>
          <cell r="C1430" t="str">
            <v>t</v>
          </cell>
          <cell r="D1430"/>
          <cell r="E1430">
            <v>6.0455877405000003</v>
          </cell>
          <cell r="F1430"/>
        </row>
      </sheetData>
      <sheetData sheetId="2">
        <row r="1">
          <cell r="A1" t="str">
            <v>GOVERNO DO ESTADO DO ESPÍRITO SANTO</v>
          </cell>
          <cell r="B1"/>
          <cell r="C1"/>
          <cell r="D1"/>
          <cell r="E1"/>
          <cell r="F1"/>
        </row>
        <row r="2">
          <cell r="A2" t="str">
            <v>Secretaria de Estado de Mobilidade e Infraestrutura - SEMOBI</v>
          </cell>
          <cell r="B2"/>
          <cell r="C2"/>
          <cell r="D2"/>
          <cell r="E2"/>
          <cell r="F2"/>
        </row>
        <row r="3">
          <cell r="A3" t="str">
            <v>Departamento de Edificações e de Rodovias do Estado do Espírito Santo - DER-ES</v>
          </cell>
          <cell r="B3"/>
          <cell r="C3"/>
          <cell r="D3"/>
          <cell r="E3"/>
          <cell r="F3"/>
        </row>
        <row r="4">
          <cell r="A4" t="str">
            <v>Planilha Orçamentária</v>
          </cell>
          <cell r="B4"/>
          <cell r="C4"/>
          <cell r="D4"/>
          <cell r="E4"/>
          <cell r="F4"/>
        </row>
        <row r="5">
          <cell r="A5"/>
          <cell r="B5"/>
          <cell r="C5"/>
          <cell r="D5"/>
          <cell r="E5"/>
          <cell r="F5"/>
        </row>
        <row r="6">
          <cell r="A6" t="str">
            <v>Orçamento: 1151501 - TABELA CUSTOS LABOR/CT-UFES PADRÃO DER-ES NOVEMBRO/2021(LS=157,27; BDI=0%)</v>
          </cell>
          <cell r="B6"/>
          <cell r="C6"/>
          <cell r="D6"/>
          <cell r="E6" t="str">
            <v>Leis Sociais: 157,27</v>
          </cell>
          <cell r="F6"/>
        </row>
        <row r="7">
          <cell r="A7" t="str">
            <v>Orgão Cliente: DEPARTAMENTO DE EDIFICAÇÕES E DE RODOVIAS DO ESTADO DO ESPÍRITO SANTO</v>
          </cell>
          <cell r="B7"/>
          <cell r="C7"/>
          <cell r="D7"/>
          <cell r="E7" t="str">
            <v>BDI: 0</v>
          </cell>
          <cell r="F7"/>
        </row>
        <row r="8">
          <cell r="A8"/>
          <cell r="B8"/>
          <cell r="C8"/>
          <cell r="D8"/>
          <cell r="E8"/>
          <cell r="F8"/>
        </row>
        <row r="9">
          <cell r="A9" t="str">
            <v>Planilha: TABELA CUSTOS LABOR/CT-UFES PADRÃO DER NOVEMBRO/2021(LS=157,27; BDI=0%)</v>
          </cell>
          <cell r="B9"/>
          <cell r="C9"/>
          <cell r="D9"/>
          <cell r="E9" t="str">
            <v>Data Base: Novembro/2021</v>
          </cell>
          <cell r="F9"/>
        </row>
        <row r="10">
          <cell r="A10" t="str">
            <v>Local: </v>
          </cell>
          <cell r="B10"/>
          <cell r="C10"/>
          <cell r="D10"/>
          <cell r="E10"/>
          <cell r="F10"/>
        </row>
        <row r="11">
          <cell r="A11"/>
          <cell r="B11"/>
          <cell r="C11"/>
          <cell r="D11"/>
          <cell r="E11"/>
          <cell r="F11"/>
        </row>
        <row r="12">
          <cell r="A12" t="str">
            <v>Item</v>
          </cell>
          <cell r="B12" t="str">
            <v>Especificação do Serviço</v>
          </cell>
          <cell r="C12" t="str">
            <v>Und.</v>
          </cell>
          <cell r="D12" t="str">
            <v>Quant.</v>
          </cell>
          <cell r="E12" t="str">
            <v>Preço Unitário</v>
          </cell>
          <cell r="F12" t="str">
            <v>Preço Total</v>
          </cell>
        </row>
        <row r="13">
          <cell r="A13" t="str">
            <v>'01</v>
          </cell>
          <cell r="B13" t="str">
            <v>SERVIÇOS PRELIMINARES</v>
          </cell>
          <cell r="C13"/>
          <cell r="D13"/>
          <cell r="E13"/>
          <cell r="F13"/>
        </row>
        <row r="14">
          <cell r="A14" t="str">
            <v>'0102</v>
          </cell>
          <cell r="B14" t="str">
            <v>DEMOLIÇÕES E RETIRADAS</v>
          </cell>
          <cell r="C14"/>
          <cell r="D14"/>
          <cell r="E14"/>
          <cell r="F14"/>
        </row>
        <row r="15">
          <cell r="A15" t="str">
            <v>010201</v>
          </cell>
          <cell r="B15" t="str">
            <v>Demolição de piso cimentado inclusive lastro de concreto</v>
          </cell>
          <cell r="C15" t="str">
            <v>m2</v>
          </cell>
          <cell r="D15">
            <v>1</v>
          </cell>
          <cell r="E15">
            <v>20.75</v>
          </cell>
          <cell r="F15">
            <v>20.75</v>
          </cell>
        </row>
        <row r="16">
          <cell r="A16" t="str">
            <v>010202</v>
          </cell>
          <cell r="B16" t="str">
            <v>Demolição de piso revestido com cerâmica</v>
          </cell>
          <cell r="C16" t="str">
            <v>m2</v>
          </cell>
          <cell r="D16">
            <v>1</v>
          </cell>
          <cell r="E16">
            <v>11.17</v>
          </cell>
          <cell r="F16">
            <v>11.17</v>
          </cell>
        </row>
        <row r="17">
          <cell r="A17" t="str">
            <v>010203</v>
          </cell>
          <cell r="B17" t="str">
            <v>Demolição de piso revestido com cerâmica inclusive lastro de concreto</v>
          </cell>
          <cell r="C17" t="str">
            <v>m2</v>
          </cell>
          <cell r="D17">
            <v>1</v>
          </cell>
          <cell r="E17">
            <v>22.35</v>
          </cell>
          <cell r="F17">
            <v>22.35</v>
          </cell>
        </row>
        <row r="18">
          <cell r="A18" t="str">
            <v>010204</v>
          </cell>
          <cell r="B18" t="str">
            <v>Demolição de piso revestido com tacos de madeira</v>
          </cell>
          <cell r="C18" t="str">
            <v>m2</v>
          </cell>
          <cell r="D18">
            <v>1</v>
          </cell>
          <cell r="E18">
            <v>15.96</v>
          </cell>
          <cell r="F18">
            <v>15.96</v>
          </cell>
        </row>
        <row r="19">
          <cell r="A19" t="str">
            <v>010205</v>
          </cell>
          <cell r="B19" t="str">
            <v>Demolição de piso de tábuas</v>
          </cell>
          <cell r="C19" t="str">
            <v>m2</v>
          </cell>
          <cell r="D19">
            <v>1</v>
          </cell>
          <cell r="E19">
            <v>14.37</v>
          </cell>
          <cell r="F19">
            <v>14.37</v>
          </cell>
        </row>
        <row r="20">
          <cell r="A20" t="str">
            <v>010206</v>
          </cell>
          <cell r="B20" t="str">
            <v>Demolição de revestimento com azulejos</v>
          </cell>
          <cell r="C20" t="str">
            <v>m2</v>
          </cell>
          <cell r="D20">
            <v>1</v>
          </cell>
          <cell r="E20">
            <v>39.909999999999997</v>
          </cell>
          <cell r="F20">
            <v>39.909999999999997</v>
          </cell>
        </row>
        <row r="21">
          <cell r="A21" t="str">
            <v>010207</v>
          </cell>
          <cell r="B21" t="str">
            <v>Demolição de revestimento com lambris de madeira</v>
          </cell>
          <cell r="C21" t="str">
            <v>m2</v>
          </cell>
          <cell r="D21">
            <v>1</v>
          </cell>
          <cell r="E21">
            <v>39.909999999999997</v>
          </cell>
          <cell r="F21">
            <v>39.909999999999997</v>
          </cell>
        </row>
        <row r="22">
          <cell r="A22" t="str">
            <v>010208</v>
          </cell>
          <cell r="B22" t="str">
            <v>Retirada de revestimento antigo em reboco</v>
          </cell>
          <cell r="C22" t="str">
            <v>m2</v>
          </cell>
          <cell r="D22">
            <v>1</v>
          </cell>
          <cell r="E22">
            <v>7.98</v>
          </cell>
          <cell r="F22">
            <v>7.98</v>
          </cell>
        </row>
        <row r="23">
          <cell r="A23" t="str">
            <v>010209</v>
          </cell>
          <cell r="B23" t="str">
            <v>Demolição de alvenaria</v>
          </cell>
          <cell r="C23" t="str">
            <v>m3</v>
          </cell>
          <cell r="D23">
            <v>1</v>
          </cell>
          <cell r="E23">
            <v>47.89</v>
          </cell>
          <cell r="F23">
            <v>47.89</v>
          </cell>
        </row>
        <row r="24">
          <cell r="A24" t="str">
            <v>010210</v>
          </cell>
          <cell r="B24" t="str">
            <v>Demolição manual de concreto simples (EMOP 05.001.001)</v>
          </cell>
          <cell r="C24" t="str">
            <v>m3</v>
          </cell>
          <cell r="D24">
            <v>1</v>
          </cell>
          <cell r="E24">
            <v>224.8</v>
          </cell>
          <cell r="F24">
            <v>224.8</v>
          </cell>
        </row>
        <row r="25">
          <cell r="A25" t="str">
            <v>010212</v>
          </cell>
          <cell r="B25" t="str">
            <v>Retirada manual de pavimento em paralelepípedos, incluindo empilhamento para reaproveitamento</v>
          </cell>
          <cell r="C25" t="str">
            <v>m2</v>
          </cell>
          <cell r="D25">
            <v>1</v>
          </cell>
          <cell r="E25">
            <v>9.58</v>
          </cell>
          <cell r="F25">
            <v>9.58</v>
          </cell>
        </row>
        <row r="26">
          <cell r="A26" t="str">
            <v>010213</v>
          </cell>
          <cell r="B26" t="str">
            <v>Retirada manual de blocos pré-moldados de concreto (Blokret), inclusive empilhamento para reaproveitamento</v>
          </cell>
          <cell r="C26" t="str">
            <v>m2</v>
          </cell>
          <cell r="D26">
            <v>1</v>
          </cell>
          <cell r="E26">
            <v>11.17</v>
          </cell>
          <cell r="F26">
            <v>11.17</v>
          </cell>
        </row>
        <row r="27">
          <cell r="A27" t="str">
            <v>010214</v>
          </cell>
          <cell r="B27" t="str">
            <v>Retirada de portas e janelas de madeira, inclusive batentes</v>
          </cell>
          <cell r="C27" t="str">
            <v>m2</v>
          </cell>
          <cell r="D27">
            <v>1</v>
          </cell>
          <cell r="E27">
            <v>12.77</v>
          </cell>
          <cell r="F27">
            <v>12.77</v>
          </cell>
        </row>
        <row r="28">
          <cell r="A28" t="str">
            <v>010215</v>
          </cell>
          <cell r="B28" t="str">
            <v>Retirada de esquadrias metálicas</v>
          </cell>
          <cell r="C28" t="str">
            <v>m2</v>
          </cell>
          <cell r="D28">
            <v>1</v>
          </cell>
          <cell r="E28">
            <v>7.98</v>
          </cell>
          <cell r="F28">
            <v>7.98</v>
          </cell>
        </row>
        <row r="29">
          <cell r="A29" t="str">
            <v>010216</v>
          </cell>
          <cell r="B29" t="str">
            <v>Retirada de meio-fio de concreto</v>
          </cell>
          <cell r="C29" t="str">
            <v>m</v>
          </cell>
          <cell r="D29">
            <v>1</v>
          </cell>
          <cell r="E29">
            <v>7.98</v>
          </cell>
          <cell r="F29">
            <v>7.98</v>
          </cell>
        </row>
        <row r="30">
          <cell r="A30" t="str">
            <v>010218</v>
          </cell>
          <cell r="B30" t="str">
            <v>Remoção de pintura antiga a óleo ou esmalte</v>
          </cell>
          <cell r="C30" t="str">
            <v>m2</v>
          </cell>
          <cell r="D30">
            <v>1</v>
          </cell>
          <cell r="E30">
            <v>10.73</v>
          </cell>
          <cell r="F30">
            <v>10.73</v>
          </cell>
        </row>
        <row r="31">
          <cell r="A31" t="str">
            <v>010219</v>
          </cell>
          <cell r="B31" t="str">
            <v>Demolição manual de concreto armado (EMOP 05.001.033)</v>
          </cell>
          <cell r="C31" t="str">
            <v>m3</v>
          </cell>
          <cell r="D31">
            <v>1</v>
          </cell>
          <cell r="E31">
            <v>264.43</v>
          </cell>
          <cell r="F31">
            <v>264.43</v>
          </cell>
        </row>
        <row r="32">
          <cell r="A32" t="str">
            <v>010220</v>
          </cell>
          <cell r="B32" t="str">
            <v>Demolição de piso cimentado, exclusive lastro de concreto</v>
          </cell>
          <cell r="C32" t="str">
            <v>m2</v>
          </cell>
          <cell r="D32">
            <v>1</v>
          </cell>
          <cell r="E32">
            <v>9.84</v>
          </cell>
          <cell r="F32">
            <v>9.84</v>
          </cell>
        </row>
        <row r="33">
          <cell r="A33" t="str">
            <v>010221</v>
          </cell>
          <cell r="B33" t="str">
            <v>Retirada de bandeira de porta</v>
          </cell>
          <cell r="C33" t="str">
            <v>und</v>
          </cell>
          <cell r="D33">
            <v>1</v>
          </cell>
          <cell r="E33">
            <v>24.38</v>
          </cell>
          <cell r="F33">
            <v>24.38</v>
          </cell>
        </row>
        <row r="34">
          <cell r="A34" t="str">
            <v>010222</v>
          </cell>
          <cell r="B34" t="str">
            <v>Demolição de elementos vazados cerâmicos ou de concreto</v>
          </cell>
          <cell r="C34" t="str">
            <v>m2</v>
          </cell>
          <cell r="D34">
            <v>1</v>
          </cell>
          <cell r="E34">
            <v>17.68</v>
          </cell>
          <cell r="F34">
            <v>17.68</v>
          </cell>
        </row>
        <row r="35">
          <cell r="A35" t="str">
            <v>010223</v>
          </cell>
          <cell r="B35" t="str">
            <v>Retirada de aparelhos sanitários</v>
          </cell>
          <cell r="C35" t="str">
            <v>und</v>
          </cell>
          <cell r="D35">
            <v>1</v>
          </cell>
          <cell r="E35">
            <v>16.59</v>
          </cell>
          <cell r="F35">
            <v>16.59</v>
          </cell>
        </row>
        <row r="36">
          <cell r="A36" t="str">
            <v>010224</v>
          </cell>
          <cell r="B36" t="str">
            <v>Retirada de grades, gradis, alambrados, cercas e portões</v>
          </cell>
          <cell r="C36" t="str">
            <v>m2</v>
          </cell>
          <cell r="D36">
            <v>1</v>
          </cell>
          <cell r="E36">
            <v>14.05</v>
          </cell>
          <cell r="F36">
            <v>14.05</v>
          </cell>
        </row>
        <row r="37">
          <cell r="A37" t="str">
            <v>010225</v>
          </cell>
          <cell r="B37" t="str">
            <v>Retirada de bancada de pia</v>
          </cell>
          <cell r="C37" t="str">
            <v>m2</v>
          </cell>
          <cell r="D37">
            <v>1</v>
          </cell>
          <cell r="E37">
            <v>19.899999999999999</v>
          </cell>
          <cell r="F37">
            <v>19.899999999999999</v>
          </cell>
        </row>
        <row r="38">
          <cell r="A38" t="str">
            <v>010226</v>
          </cell>
          <cell r="B38" t="str">
            <v>Retirada de tanque de cimento</v>
          </cell>
          <cell r="C38" t="str">
            <v>und</v>
          </cell>
          <cell r="D38">
            <v>1</v>
          </cell>
          <cell r="E38">
            <v>19.899999999999999</v>
          </cell>
          <cell r="F38">
            <v>19.899999999999999</v>
          </cell>
        </row>
        <row r="39">
          <cell r="A39" t="str">
            <v>010227</v>
          </cell>
          <cell r="B39" t="str">
            <v>Retirada de caixa d'água de fibrocimento, inclusive tubulação de ligação</v>
          </cell>
          <cell r="C39" t="str">
            <v>und</v>
          </cell>
          <cell r="D39">
            <v>1</v>
          </cell>
          <cell r="E39">
            <v>33.17</v>
          </cell>
          <cell r="F39">
            <v>33.17</v>
          </cell>
        </row>
        <row r="40">
          <cell r="A40" t="str">
            <v>010228</v>
          </cell>
          <cell r="B40" t="str">
            <v>Demolição de forro de madeira, sem reaproveitamento</v>
          </cell>
          <cell r="C40" t="str">
            <v>m2</v>
          </cell>
          <cell r="D40">
            <v>1</v>
          </cell>
          <cell r="E40">
            <v>5.41</v>
          </cell>
          <cell r="F40">
            <v>5.41</v>
          </cell>
        </row>
        <row r="41">
          <cell r="A41" t="str">
            <v>010229</v>
          </cell>
          <cell r="B41" t="str">
            <v>Retirada de poste de aço de 4 a 6 m</v>
          </cell>
          <cell r="C41" t="str">
            <v>und</v>
          </cell>
          <cell r="D41">
            <v>1</v>
          </cell>
          <cell r="E41">
            <v>31.92</v>
          </cell>
          <cell r="F41">
            <v>31.92</v>
          </cell>
        </row>
        <row r="42">
          <cell r="A42" t="str">
            <v>010230</v>
          </cell>
          <cell r="B42" t="str">
            <v>Retirada de pintura antiga a base de PVA</v>
          </cell>
          <cell r="C42" t="str">
            <v>m2</v>
          </cell>
          <cell r="D42">
            <v>1</v>
          </cell>
          <cell r="E42">
            <v>5.13</v>
          </cell>
          <cell r="F42">
            <v>5.13</v>
          </cell>
        </row>
        <row r="43">
          <cell r="A43" t="str">
            <v>010234</v>
          </cell>
          <cell r="B43" t="str">
            <v>Demolição de laje pré-moldada de concreto</v>
          </cell>
          <cell r="C43" t="str">
            <v>m2</v>
          </cell>
          <cell r="D43">
            <v>1</v>
          </cell>
          <cell r="E43">
            <v>20.75</v>
          </cell>
          <cell r="F43">
            <v>20.75</v>
          </cell>
        </row>
        <row r="44">
          <cell r="A44" t="str">
            <v>010238</v>
          </cell>
          <cell r="B44" t="str">
            <v>Apicoamento de superfície com revestimento em argamassa</v>
          </cell>
          <cell r="C44" t="str">
            <v>m2</v>
          </cell>
          <cell r="D44">
            <v>1</v>
          </cell>
          <cell r="E44">
            <v>7.98</v>
          </cell>
          <cell r="F44">
            <v>7.98</v>
          </cell>
        </row>
        <row r="45">
          <cell r="A45" t="str">
            <v>010239</v>
          </cell>
          <cell r="B45" t="str">
            <v>Retirada de divisórias com reaproveitamento</v>
          </cell>
          <cell r="C45" t="str">
            <v>m2</v>
          </cell>
          <cell r="D45">
            <v>1</v>
          </cell>
          <cell r="E45">
            <v>31.1</v>
          </cell>
          <cell r="F45">
            <v>31.1</v>
          </cell>
        </row>
        <row r="46">
          <cell r="A46" t="str">
            <v>010240</v>
          </cell>
          <cell r="B46" t="str">
            <v>Retirada de pontos elétricos (luminárias, interruptores e tomadas)</v>
          </cell>
          <cell r="C46" t="str">
            <v>und</v>
          </cell>
          <cell r="D46">
            <v>1</v>
          </cell>
          <cell r="E46">
            <v>8.81</v>
          </cell>
          <cell r="F46">
            <v>8.81</v>
          </cell>
        </row>
        <row r="47">
          <cell r="A47" t="str">
            <v>010242</v>
          </cell>
          <cell r="B47" t="str">
            <v>Retirada de vidros quebrados</v>
          </cell>
          <cell r="C47" t="str">
            <v>m2</v>
          </cell>
          <cell r="D47">
            <v>1</v>
          </cell>
          <cell r="E47">
            <v>2.81</v>
          </cell>
          <cell r="F47">
            <v>2.81</v>
          </cell>
        </row>
        <row r="48">
          <cell r="A48" t="str">
            <v>010244</v>
          </cell>
          <cell r="B48" t="str">
            <v>Retirada de rodapé em argamassa de cimento e areia</v>
          </cell>
          <cell r="C48" t="str">
            <v>m</v>
          </cell>
          <cell r="D48">
            <v>1</v>
          </cell>
          <cell r="E48">
            <v>11.49</v>
          </cell>
          <cell r="F48">
            <v>11.49</v>
          </cell>
        </row>
        <row r="49">
          <cell r="A49" t="str">
            <v>010246</v>
          </cell>
          <cell r="B49" t="str">
            <v>Lixamento de parede com pintura antiga PVA para recebimento de nova camada de tinta</v>
          </cell>
          <cell r="C49" t="str">
            <v>m2</v>
          </cell>
          <cell r="D49">
            <v>1</v>
          </cell>
          <cell r="E49">
            <v>3.02</v>
          </cell>
          <cell r="F49">
            <v>3.02</v>
          </cell>
        </row>
        <row r="50">
          <cell r="A50" t="str">
            <v>010253</v>
          </cell>
          <cell r="B50" t="str">
            <v>Remoção de engradamento de madeira de cobertura para reaproveitamento</v>
          </cell>
          <cell r="C50" t="str">
            <v>m2</v>
          </cell>
          <cell r="D50">
            <v>1</v>
          </cell>
          <cell r="E50">
            <v>23.46</v>
          </cell>
          <cell r="F50">
            <v>23.46</v>
          </cell>
        </row>
        <row r="51">
          <cell r="A51" t="str">
            <v>010254</v>
          </cell>
          <cell r="B51" t="str">
            <v>Remoção de telhas cerâmica, tipo francesa, inclusive cumeeira</v>
          </cell>
          <cell r="C51" t="str">
            <v>m2</v>
          </cell>
          <cell r="D51">
            <v>1</v>
          </cell>
          <cell r="E51">
            <v>7.77</v>
          </cell>
          <cell r="F51">
            <v>7.77</v>
          </cell>
        </row>
        <row r="52">
          <cell r="A52" t="str">
            <v>010255</v>
          </cell>
          <cell r="B52" t="str">
            <v>Remoção de telhas cerâmicas, tipo colonial, inclusive cumeeiras</v>
          </cell>
          <cell r="C52" t="str">
            <v>m2</v>
          </cell>
          <cell r="D52">
            <v>1</v>
          </cell>
          <cell r="E52">
            <v>19.190000000000001</v>
          </cell>
          <cell r="F52">
            <v>19.190000000000001</v>
          </cell>
        </row>
        <row r="53">
          <cell r="A53" t="str">
            <v>010256</v>
          </cell>
          <cell r="B53" t="str">
            <v>Remoção de telha ondulada de fibrocimento, inclusive cumeeira</v>
          </cell>
          <cell r="C53" t="str">
            <v>m2</v>
          </cell>
          <cell r="D53">
            <v>1</v>
          </cell>
          <cell r="E53">
            <v>6.11</v>
          </cell>
          <cell r="F53">
            <v>6.11</v>
          </cell>
        </row>
        <row r="54">
          <cell r="A54" t="str">
            <v>010259</v>
          </cell>
          <cell r="B54" t="str">
            <v>Retirada de rodapé de madeira ou cerâmica</v>
          </cell>
          <cell r="C54" t="str">
            <v>m</v>
          </cell>
          <cell r="D54">
            <v>1</v>
          </cell>
          <cell r="E54">
            <v>1.86</v>
          </cell>
          <cell r="F54">
            <v>1.86</v>
          </cell>
        </row>
        <row r="55">
          <cell r="A55" t="str">
            <v>010264</v>
          </cell>
          <cell r="B55" t="str">
            <v>Demolição de piso granilite</v>
          </cell>
          <cell r="C55" t="str">
            <v>m2</v>
          </cell>
          <cell r="D55">
            <v>1</v>
          </cell>
          <cell r="E55">
            <v>22.13</v>
          </cell>
          <cell r="F55">
            <v>22.13</v>
          </cell>
        </row>
        <row r="56">
          <cell r="A56" t="str">
            <v>010271</v>
          </cell>
          <cell r="B56" t="str">
            <v>Retirada de caixas/quadros elétricos</v>
          </cell>
          <cell r="C56" t="str">
            <v>und</v>
          </cell>
          <cell r="D56">
            <v>1</v>
          </cell>
          <cell r="E56">
            <v>11.88</v>
          </cell>
          <cell r="F56">
            <v>11.88</v>
          </cell>
        </row>
        <row r="57">
          <cell r="A57" t="str">
            <v>010279</v>
          </cell>
          <cell r="B57" t="str">
            <v>Retirada de quadro de giz (1.29 x 3.95m)</v>
          </cell>
          <cell r="C57" t="str">
            <v>und</v>
          </cell>
          <cell r="D57">
            <v>1</v>
          </cell>
          <cell r="E57">
            <v>18.55</v>
          </cell>
          <cell r="F57">
            <v>18.55</v>
          </cell>
        </row>
        <row r="58">
          <cell r="A58" t="str">
            <v>010280</v>
          </cell>
          <cell r="B58" t="str">
            <v>Remoção de cobertura em telha metálica, exclusive estrutura</v>
          </cell>
          <cell r="C58" t="str">
            <v>m2</v>
          </cell>
          <cell r="D58">
            <v>1</v>
          </cell>
          <cell r="E58">
            <v>6.97</v>
          </cell>
          <cell r="F58">
            <v>6.97</v>
          </cell>
        </row>
        <row r="59">
          <cell r="A59" t="str">
            <v>010286</v>
          </cell>
          <cell r="B59" t="str">
            <v>Demolição de divisória de granito</v>
          </cell>
          <cell r="C59" t="str">
            <v>m2</v>
          </cell>
          <cell r="D59">
            <v>1</v>
          </cell>
          <cell r="E59">
            <v>11.8</v>
          </cell>
          <cell r="F59">
            <v>11.8</v>
          </cell>
        </row>
        <row r="60">
          <cell r="A60" t="str">
            <v>010292</v>
          </cell>
          <cell r="B60" t="str">
            <v>Retirada de alizar de madeira</v>
          </cell>
          <cell r="C60" t="str">
            <v>m</v>
          </cell>
          <cell r="D60">
            <v>1</v>
          </cell>
          <cell r="E60">
            <v>0.49</v>
          </cell>
          <cell r="F60">
            <v>0.49</v>
          </cell>
        </row>
        <row r="61">
          <cell r="A61" t="str">
            <v>0103</v>
          </cell>
          <cell r="B61" t="str">
            <v>DEMOLIÇÕES E RETIRADAS</v>
          </cell>
          <cell r="C61"/>
          <cell r="D61"/>
          <cell r="E61"/>
          <cell r="F61"/>
        </row>
        <row r="62">
          <cell r="A62" t="str">
            <v>010315</v>
          </cell>
          <cell r="B62" t="str">
            <v>Retirada de cobertura em telhas Canalete 49</v>
          </cell>
          <cell r="C62" t="str">
            <v>m2</v>
          </cell>
          <cell r="D62">
            <v>1</v>
          </cell>
          <cell r="E62">
            <v>9.15</v>
          </cell>
          <cell r="F62">
            <v>9.15</v>
          </cell>
        </row>
        <row r="63">
          <cell r="A63" t="str">
            <v>010317</v>
          </cell>
          <cell r="B63" t="str">
            <v>Demolição de alvenaria, com reaproveitamento</v>
          </cell>
          <cell r="C63" t="str">
            <v>m2</v>
          </cell>
          <cell r="D63">
            <v>1</v>
          </cell>
          <cell r="E63">
            <v>95.77</v>
          </cell>
          <cell r="F63">
            <v>95.77</v>
          </cell>
        </row>
        <row r="64">
          <cell r="A64" t="str">
            <v>010318</v>
          </cell>
          <cell r="B64" t="str">
            <v>Remoção de forro em eucatex, sem aproveitamento do material</v>
          </cell>
          <cell r="C64" t="str">
            <v>m2</v>
          </cell>
          <cell r="D64">
            <v>1</v>
          </cell>
          <cell r="E64">
            <v>11.29</v>
          </cell>
          <cell r="F64">
            <v>11.29</v>
          </cell>
        </row>
        <row r="65">
          <cell r="A65" t="str">
            <v>010319</v>
          </cell>
          <cell r="B65" t="str">
            <v>Remoção de pintura antiga a base de óleo ou esmalte sobre esquadrias</v>
          </cell>
          <cell r="C65" t="str">
            <v>m2</v>
          </cell>
          <cell r="D65">
            <v>1</v>
          </cell>
          <cell r="E65">
            <v>15.64</v>
          </cell>
          <cell r="F65">
            <v>15.64</v>
          </cell>
        </row>
        <row r="66">
          <cell r="A66" t="str">
            <v>010320</v>
          </cell>
          <cell r="B66" t="str">
            <v>Remoção de revestimento de pisos com forração textil</v>
          </cell>
          <cell r="C66" t="str">
            <v>m2</v>
          </cell>
          <cell r="D66">
            <v>1</v>
          </cell>
          <cell r="E66">
            <v>1.6</v>
          </cell>
          <cell r="F66">
            <v>1.6</v>
          </cell>
        </row>
        <row r="67">
          <cell r="A67" t="str">
            <v>010323</v>
          </cell>
          <cell r="B67" t="str">
            <v>Retirada de torneiras e registros</v>
          </cell>
          <cell r="C67" t="str">
            <v>und</v>
          </cell>
          <cell r="D67">
            <v>1</v>
          </cell>
          <cell r="E67">
            <v>8.81</v>
          </cell>
          <cell r="F67">
            <v>8.81</v>
          </cell>
        </row>
        <row r="68">
          <cell r="A68" t="str">
            <v>010324</v>
          </cell>
          <cell r="B68" t="str">
            <v>Retirada de cobertura em telha canalete 90</v>
          </cell>
          <cell r="C68" t="str">
            <v>m2</v>
          </cell>
          <cell r="D68">
            <v>1</v>
          </cell>
          <cell r="E68">
            <v>7.04</v>
          </cell>
          <cell r="F68">
            <v>7.04</v>
          </cell>
        </row>
        <row r="69">
          <cell r="A69" t="str">
            <v>010325</v>
          </cell>
          <cell r="B69" t="str">
            <v>Demolição de estrutura de madeira para telhado</v>
          </cell>
          <cell r="C69" t="str">
            <v>m2</v>
          </cell>
          <cell r="D69">
            <v>1</v>
          </cell>
          <cell r="E69">
            <v>23.46</v>
          </cell>
          <cell r="F69">
            <v>23.46</v>
          </cell>
        </row>
        <row r="70">
          <cell r="A70" t="str">
            <v>010326</v>
          </cell>
          <cell r="B70" t="str">
            <v>Retirada de estrutura em madeira do telhado</v>
          </cell>
          <cell r="C70" t="str">
            <v>m2</v>
          </cell>
          <cell r="D70">
            <v>1</v>
          </cell>
          <cell r="E70">
            <v>23.46</v>
          </cell>
          <cell r="F70">
            <v>23.46</v>
          </cell>
        </row>
        <row r="71">
          <cell r="A71" t="str">
            <v>010327</v>
          </cell>
          <cell r="B71" t="str">
            <v>Retirada de marco de madeira</v>
          </cell>
          <cell r="C71" t="str">
            <v>m</v>
          </cell>
          <cell r="D71">
            <v>1</v>
          </cell>
          <cell r="E71">
            <v>1.99</v>
          </cell>
          <cell r="F71">
            <v>1.99</v>
          </cell>
        </row>
        <row r="72">
          <cell r="A72" t="str">
            <v>010329</v>
          </cell>
          <cell r="B72" t="str">
            <v>Retirada de disjuntor</v>
          </cell>
          <cell r="C72" t="str">
            <v>und</v>
          </cell>
          <cell r="D72">
            <v>1</v>
          </cell>
          <cell r="E72">
            <v>16.45</v>
          </cell>
          <cell r="F72">
            <v>16.45</v>
          </cell>
        </row>
        <row r="73">
          <cell r="A73" t="str">
            <v>010331</v>
          </cell>
          <cell r="B73" t="str">
            <v>Demolição de piso, soleira, peitoris e escadas em mármore ou granito, exclusive regularização</v>
          </cell>
          <cell r="C73" t="str">
            <v>m2</v>
          </cell>
          <cell r="D73">
            <v>1</v>
          </cell>
          <cell r="E73">
            <v>8.56</v>
          </cell>
          <cell r="F73">
            <v>8.56</v>
          </cell>
        </row>
        <row r="74">
          <cell r="A74" t="str">
            <v>010332</v>
          </cell>
          <cell r="B74" t="str">
            <v>Retirada de roda parede em madeira</v>
          </cell>
          <cell r="C74" t="str">
            <v>m</v>
          </cell>
          <cell r="D74">
            <v>1</v>
          </cell>
          <cell r="E74">
            <v>2.97</v>
          </cell>
          <cell r="F74">
            <v>2.97</v>
          </cell>
        </row>
        <row r="75">
          <cell r="A75" t="str">
            <v>010333</v>
          </cell>
          <cell r="B75" t="str">
            <v>Retirada de piso de borracha</v>
          </cell>
          <cell r="C75" t="str">
            <v>m2</v>
          </cell>
          <cell r="D75">
            <v>1</v>
          </cell>
          <cell r="E75">
            <v>6.69</v>
          </cell>
          <cell r="F75">
            <v>6.69</v>
          </cell>
        </row>
        <row r="76">
          <cell r="A76" t="str">
            <v>0104</v>
          </cell>
          <cell r="B76" t="str">
            <v>LIMPEZA DO TERRENO</v>
          </cell>
          <cell r="C76"/>
          <cell r="D76"/>
          <cell r="E76"/>
          <cell r="F76"/>
        </row>
        <row r="77">
          <cell r="A77" t="str">
            <v>010401</v>
          </cell>
          <cell r="B77" t="str">
            <v>Corte de capoeira fina, a foice (manual)</v>
          </cell>
          <cell r="C77" t="str">
            <v>m2</v>
          </cell>
          <cell r="D77">
            <v>1</v>
          </cell>
          <cell r="E77">
            <v>1.0900000000000001</v>
          </cell>
          <cell r="F77">
            <v>1.0900000000000001</v>
          </cell>
        </row>
        <row r="78">
          <cell r="A78" t="str">
            <v>010402</v>
          </cell>
          <cell r="B78" t="str">
            <v>Raspagem e limpeza do terreno (manual)</v>
          </cell>
          <cell r="C78" t="str">
            <v>m2</v>
          </cell>
          <cell r="D78">
            <v>1</v>
          </cell>
          <cell r="E78">
            <v>3.51</v>
          </cell>
          <cell r="F78">
            <v>3.51</v>
          </cell>
        </row>
        <row r="79">
          <cell r="A79" t="str">
            <v>010403</v>
          </cell>
          <cell r="B79" t="str">
            <v>Corte e destocamento de árvores com diâmetro de até 15 cm</v>
          </cell>
          <cell r="C79" t="str">
            <v>und</v>
          </cell>
          <cell r="D79">
            <v>1</v>
          </cell>
          <cell r="E79">
            <v>42.15</v>
          </cell>
          <cell r="F79">
            <v>42.15</v>
          </cell>
        </row>
        <row r="80">
          <cell r="A80" t="str">
            <v>010404</v>
          </cell>
          <cell r="B80" t="str">
            <v>Corte e destocamento de árvores com diâmetro superior a 30 cm</v>
          </cell>
          <cell r="C80" t="str">
            <v>und</v>
          </cell>
          <cell r="D80">
            <v>1</v>
          </cell>
          <cell r="E80">
            <v>104.81</v>
          </cell>
          <cell r="F80">
            <v>104.81</v>
          </cell>
        </row>
        <row r="81">
          <cell r="A81" t="str">
            <v>0105</v>
          </cell>
          <cell r="B81" t="str">
            <v>LOCAÇÃO</v>
          </cell>
          <cell r="C81"/>
          <cell r="D81"/>
          <cell r="E81"/>
          <cell r="F81"/>
        </row>
        <row r="82">
          <cell r="A82" t="str">
            <v>010501</v>
          </cell>
          <cell r="B82" t="str">
            <v>Locação de obra com gabarito de madeira</v>
          </cell>
          <cell r="C82" t="str">
            <v>m2</v>
          </cell>
          <cell r="D82">
            <v>1</v>
          </cell>
          <cell r="E82">
            <v>10.25</v>
          </cell>
          <cell r="F82">
            <v>10.25</v>
          </cell>
        </row>
        <row r="83">
          <cell r="A83" t="str">
            <v>010512</v>
          </cell>
          <cell r="B83" t="str">
            <v>Equipe topográfica para serviços simples de locação e nivelamento (incluindo equipamento, transporte e profissionais nivel médio)</v>
          </cell>
          <cell r="C83" t="str">
            <v>mês</v>
          </cell>
          <cell r="D83">
            <v>1</v>
          </cell>
          <cell r="E83">
            <v>17193.48</v>
          </cell>
          <cell r="F83">
            <v>17193.48</v>
          </cell>
        </row>
        <row r="84">
          <cell r="A84" t="str">
            <v>02</v>
          </cell>
          <cell r="B84" t="str">
            <v>INSTALAÇÃO DO CANTEIRO DE OBRAS</v>
          </cell>
          <cell r="C84"/>
          <cell r="D84"/>
          <cell r="E84"/>
          <cell r="F84"/>
        </row>
        <row r="85">
          <cell r="A85" t="str">
            <v>0203</v>
          </cell>
          <cell r="B85" t="str">
            <v>TAPUMES, BARRACÕES E COBERTURAS</v>
          </cell>
          <cell r="C85"/>
          <cell r="D85"/>
          <cell r="E85"/>
          <cell r="F85"/>
        </row>
        <row r="86">
          <cell r="A86" t="str">
            <v>020305</v>
          </cell>
          <cell r="B86" t="str">
            <v>Placa de obra nas dimensões de 2.0 x 4.0 m, padrão DER</v>
          </cell>
          <cell r="C86" t="str">
            <v>m2</v>
          </cell>
          <cell r="D86">
            <v>1</v>
          </cell>
          <cell r="E86">
            <v>269.31</v>
          </cell>
          <cell r="F86">
            <v>269.31</v>
          </cell>
        </row>
        <row r="87">
          <cell r="A87" t="str">
            <v>020339</v>
          </cell>
          <cell r="B87" t="str">
            <v>Locação de andaime metálico para trabalho em fachada de edifíco (aluguel de 1 m² por 1 mês) inclusive frete, montagem e desmontagem</v>
          </cell>
          <cell r="C87" t="str">
            <v>m2</v>
          </cell>
          <cell r="D87">
            <v>1</v>
          </cell>
          <cell r="E87">
            <v>14.88</v>
          </cell>
          <cell r="F87">
            <v>14.88</v>
          </cell>
        </row>
        <row r="88">
          <cell r="A88" t="str">
            <v>020343</v>
          </cell>
          <cell r="B88" t="str">
            <v>Aluguel mensal container para escritório, sem banheiro, dim. 6.00x2.40m, incl. porta, 2 janelas, abert p/ ar cond., 2 pt iluminação, 2 tomadas elét. e 1 tomada telef. Isolamento térmico (teto e paredes), piso em comp. Naval, cert. NR18, incl. laudo descontaminação.</v>
          </cell>
          <cell r="C88" t="str">
            <v>mês</v>
          </cell>
          <cell r="D88">
            <v>1</v>
          </cell>
          <cell r="E88">
            <v>978.33</v>
          </cell>
          <cell r="F88">
            <v>978.33</v>
          </cell>
        </row>
        <row r="89">
          <cell r="A89" t="str">
            <v>020344</v>
          </cell>
          <cell r="B89" t="str">
            <v>Mobilização e desmobilização de conteiner locado para barracão de obra</v>
          </cell>
          <cell r="C89" t="str">
            <v>und</v>
          </cell>
          <cell r="D89">
            <v>1</v>
          </cell>
          <cell r="E89">
            <v>1400</v>
          </cell>
          <cell r="F89">
            <v>1400</v>
          </cell>
        </row>
        <row r="90">
          <cell r="A90" t="str">
            <v>020346</v>
          </cell>
          <cell r="B90" t="str">
            <v>Locação de andaime metálico para fachada - tipo torre (aluguel mensal)</v>
          </cell>
          <cell r="C90" t="str">
            <v>m</v>
          </cell>
          <cell r="D90">
            <v>1</v>
          </cell>
          <cell r="E90">
            <v>14.81</v>
          </cell>
          <cell r="F90">
            <v>14.81</v>
          </cell>
        </row>
        <row r="91">
          <cell r="A91" t="str">
            <v>020348</v>
          </cell>
          <cell r="B91" t="str">
            <v>Fornecimento e instalação de proteção para andaime fachadeiro considerando plataforma, rodapé e guarda-corpo em madeira, inclusive entelamento, conforme NR-18 (medido por m2 de fachada)</v>
          </cell>
          <cell r="C91" t="str">
            <v>m2</v>
          </cell>
          <cell r="D91">
            <v>1</v>
          </cell>
          <cell r="E91">
            <v>24.01</v>
          </cell>
          <cell r="F91">
            <v>24.01</v>
          </cell>
        </row>
        <row r="92">
          <cell r="A92" t="str">
            <v>020350</v>
          </cell>
          <cell r="B92" t="str">
            <v>Tapume Telha Metálica Ondulada em aço galvalume 0,50mm Branca h=2,20m, incl. montagem estr. mad. 8"x8", c/adesivo "DER-ES" 60x60cm a cada 10m, incl. faixas pint. esmalte sint. cores azul c/ h=30cm e rosa c/ h=10cm (Reaproveitamento 2x)</v>
          </cell>
          <cell r="C92" t="str">
            <v>m</v>
          </cell>
          <cell r="D92">
            <v>1</v>
          </cell>
          <cell r="E92">
            <v>207.79</v>
          </cell>
          <cell r="F92">
            <v>207.79</v>
          </cell>
        </row>
        <row r="93">
          <cell r="A93" t="str">
            <v>020351</v>
          </cell>
          <cell r="B93" t="str">
            <v>Tapume madeira compensada resinada e= 12mm h=2,20m, estr. c/ mad reflorest., incl mont, pintura esmalte sint, adesivo "DER-ES" 60x60cm a cada 10m e faixas c/ pintura esmalte sintético nas cores azul c/ h=30cm e rosa c/ h=10cm</v>
          </cell>
          <cell r="C93" t="str">
            <v>m</v>
          </cell>
          <cell r="D93">
            <v>1</v>
          </cell>
          <cell r="E93">
            <v>278.45999999999998</v>
          </cell>
          <cell r="F93">
            <v>278.45999999999998</v>
          </cell>
        </row>
        <row r="94">
          <cell r="A94" t="str">
            <v>020352</v>
          </cell>
          <cell r="B94" t="str">
            <v>Aluguel mensal container para escritório, dim. 6.00x2.40m, c/ banheiro (vaso+lavat+chuveiro e básc), incl. porta, 2 janelas, abert p/ ar cond., 2 pt iluminação, 2 tom. elét. e 1 tom.telef. Isolam.térmico(teto e paredes), piso em comp. Naval, cert. NR18, incl. laudo descontaminação.</v>
          </cell>
          <cell r="C94" t="str">
            <v>ms</v>
          </cell>
          <cell r="D94">
            <v>1</v>
          </cell>
          <cell r="E94">
            <v>1050</v>
          </cell>
          <cell r="F94">
            <v>1050</v>
          </cell>
        </row>
        <row r="95">
          <cell r="A95" t="str">
            <v>020353</v>
          </cell>
          <cell r="B95" t="str">
            <v>Aluguel mensal container para refeitorio, incl. porta, 2 janelas, abert p/ ar cond., 2 pt iluminação, 2 tomadas elét. e 1 tomada telef. Isolamento térmico (paredes e teto), piso em comp. Naval pintado, cert. NR18, incl. laudo descontaminação.</v>
          </cell>
          <cell r="C95" t="str">
            <v>ms</v>
          </cell>
          <cell r="D95">
            <v>1</v>
          </cell>
          <cell r="E95">
            <v>1000</v>
          </cell>
          <cell r="F95">
            <v>1000</v>
          </cell>
        </row>
        <row r="96">
          <cell r="A96" t="str">
            <v>020354</v>
          </cell>
          <cell r="B96" t="str">
            <v>Aluguel mensal container para vestiário, incl. porta, venezianas de circulação, 1 pt iluminação, Isolamento térmico (teto), piso em comp. Naval pintado, cert. NR18, incl. laudo descontaminação.</v>
          </cell>
          <cell r="C96" t="str">
            <v>ms</v>
          </cell>
          <cell r="D96">
            <v>1</v>
          </cell>
          <cell r="E96">
            <v>710</v>
          </cell>
          <cell r="F96">
            <v>710</v>
          </cell>
        </row>
        <row r="97">
          <cell r="A97" t="str">
            <v>020355</v>
          </cell>
          <cell r="B97" t="str">
            <v>Aluguel mensal container sanitário, incl porta, básc, 2 ptos luz, 1 pto aterram., 3vasos, 3lavatórios, calha mictório, 6 chuveiros (1 eletrico), torn.,registros, piso comp. Naval pintado, cert NR18 e laudo descontaminação</v>
          </cell>
          <cell r="C97" t="str">
            <v>ms</v>
          </cell>
          <cell r="D97">
            <v>1</v>
          </cell>
          <cell r="E97">
            <v>1033.33</v>
          </cell>
          <cell r="F97">
            <v>1033.33</v>
          </cell>
        </row>
        <row r="98">
          <cell r="A98" t="str">
            <v>020356</v>
          </cell>
          <cell r="B98" t="str">
            <v>Aluguel mensal container para almoxarifado, incl. porta, 2 janelas, 1 pt iluminação, Isolamento térmico (teto), piso em comp. Naval pintado, cert. NR18, incl. laudo descontaminação.</v>
          </cell>
          <cell r="C98" t="str">
            <v>ms</v>
          </cell>
          <cell r="D98">
            <v>1</v>
          </cell>
          <cell r="E98">
            <v>710</v>
          </cell>
          <cell r="F98">
            <v>710</v>
          </cell>
        </row>
        <row r="99">
          <cell r="A99" t="str">
            <v>0207</v>
          </cell>
          <cell r="B99" t="str">
            <v>INSTALAÇÃO DO CANTEIRO DE OBRAS (UTILIZAÇÃO 1 VEZ), PROJETO PADRÃO LABOR - NR.18 (OBRAS COM PRAZO DE EXECUÇÃO SUPERIOR A 12 MESES)</v>
          </cell>
          <cell r="C99"/>
          <cell r="D99"/>
          <cell r="E99"/>
          <cell r="F99"/>
        </row>
        <row r="100">
          <cell r="A100" t="str">
            <v>020701</v>
          </cell>
          <cell r="B100" t="str">
            <v>Barracão para escritório com sanitário área de 14.50 m2, de chapa de compens. 12mm e pontalete 8x8cm, piso cimentado e cobertura de telha de fibroc. 6mm, incl. ponto de luz e cx. de inspeção, conf. projeto (1 utilização)</v>
          </cell>
          <cell r="C100" t="str">
            <v>m2</v>
          </cell>
          <cell r="D100">
            <v>1</v>
          </cell>
          <cell r="E100">
            <v>857.02</v>
          </cell>
          <cell r="F100">
            <v>857.02</v>
          </cell>
        </row>
        <row r="101">
          <cell r="A101" t="str">
            <v>020702</v>
          </cell>
          <cell r="B101" t="str">
            <v>Barracão para almoxarifado área de 10.90m2, de chapa de compensado de 12mm e pontalete 8x8cm, piso cimentado e cobertura de telhas de fibrocimento de 6mm, incl. ponto de luz, conf. projeto (1 utilização)</v>
          </cell>
          <cell r="C101" t="str">
            <v>m2</v>
          </cell>
          <cell r="D101">
            <v>1</v>
          </cell>
          <cell r="E101">
            <v>653.87</v>
          </cell>
          <cell r="F101">
            <v>653.87</v>
          </cell>
        </row>
        <row r="102">
          <cell r="A102" t="str">
            <v>020703</v>
          </cell>
          <cell r="B102" t="str">
            <v>Barracão para depósito de cimento área de 10.90m2, de chapa de compensado 12mm e pontaletes 8x8cm, piso cimentado e cobertura de telhas de fibrocimento de 6mm, inclusive ponto de luz, conf. projeto (1 utilização)</v>
          </cell>
          <cell r="C102" t="str">
            <v>m2</v>
          </cell>
          <cell r="D102">
            <v>1</v>
          </cell>
          <cell r="E102">
            <v>574.61</v>
          </cell>
          <cell r="F102">
            <v>574.61</v>
          </cell>
        </row>
        <row r="103">
          <cell r="A103" t="str">
            <v>020704</v>
          </cell>
          <cell r="B103" t="str">
            <v>Refeitório com paredes de chapa de compens. 12mm e pontaletes 8x8cm, piso ciment. e cob. de telhas fibroc. 6mm, incl. ponto de luz e cx. de inspeção (cons. 1.21 m2/func./turno), conf. projeto (1 utilização)</v>
          </cell>
          <cell r="C103" t="str">
            <v>m2</v>
          </cell>
          <cell r="D103">
            <v>1</v>
          </cell>
          <cell r="E103">
            <v>502.75</v>
          </cell>
          <cell r="F103">
            <v>502.75</v>
          </cell>
        </row>
        <row r="104">
          <cell r="A104" t="str">
            <v>020705</v>
          </cell>
          <cell r="B104" t="str">
            <v>Unidade de sanitário e vestiário p/ até 20 func. área de 18.15m2, paredes de chapa compens. 12mm e pontalete 8x8cm, piso cimentado, cobert. telha fibroc. 6mm, incl. instalação de luz e cx. de inspeção, conf. projeto (1 utilização)</v>
          </cell>
          <cell r="C104" t="str">
            <v>und</v>
          </cell>
          <cell r="D104">
            <v>1</v>
          </cell>
          <cell r="E104">
            <v>16624.77</v>
          </cell>
          <cell r="F104">
            <v>16624.77</v>
          </cell>
        </row>
        <row r="105">
          <cell r="A105" t="str">
            <v>020706</v>
          </cell>
          <cell r="B105" t="str">
            <v>Unidade de sanitário e vestiário de 20 a 40 func. área 25.40m2, paredes de chapa compens. 12mm e pontalete 8x8cm, piso cimentado, cobert. telha fibroc. 6mm, incl. inst. de luz e cx. de inspeção, conf. projeto (1 utilização)</v>
          </cell>
          <cell r="C105" t="str">
            <v>und</v>
          </cell>
          <cell r="D105">
            <v>1</v>
          </cell>
          <cell r="E105">
            <v>24852.69</v>
          </cell>
          <cell r="F105">
            <v>24852.69</v>
          </cell>
        </row>
        <row r="106">
          <cell r="A106" t="str">
            <v>020707</v>
          </cell>
          <cell r="B106" t="str">
            <v>Unidade de sanitário e vestiário de 40 a 60 func. área 33.90m2, paredes de chapa compens. 12mm e pontalete 8x8cm, piso cimentado, cobert. telha fibroc. 6mm, incl. inst. de luz e cx. de inspeção, conf. projeto (1 utilização)</v>
          </cell>
          <cell r="C106" t="str">
            <v>und</v>
          </cell>
          <cell r="D106">
            <v>1</v>
          </cell>
          <cell r="E106">
            <v>30487.47</v>
          </cell>
          <cell r="F106">
            <v>30487.47</v>
          </cell>
        </row>
        <row r="107">
          <cell r="A107" t="str">
            <v>020708</v>
          </cell>
          <cell r="B107" t="str">
            <v>Galpão para serraria e carpintaria área 12.00m2, em peça de madeira 8x8cm e contraventamento de 5x7cm, cobertura de telha de fibroc. de 6mm, inclusive ponto e cabo de alimentação da máquina, conf. projeto (1 utilização)</v>
          </cell>
          <cell r="C107" t="str">
            <v>m2</v>
          </cell>
          <cell r="D107">
            <v>1</v>
          </cell>
          <cell r="E107">
            <v>233</v>
          </cell>
          <cell r="F107">
            <v>233</v>
          </cell>
        </row>
        <row r="108">
          <cell r="A108" t="str">
            <v>020709</v>
          </cell>
          <cell r="B108" t="str">
            <v>Galpão para corte e armação com área de 6.00m2, em peças de madeira 8x8cm e contraventamento de 5x7cm, cobertura de telhas de fibroc. de 6mm, inclusive ponto e cabo de alimentação da máquina, conf. projeto (1 utilização)</v>
          </cell>
          <cell r="C108" t="str">
            <v>m2</v>
          </cell>
          <cell r="D108">
            <v>1</v>
          </cell>
          <cell r="E108">
            <v>305.75</v>
          </cell>
          <cell r="F108">
            <v>305.75</v>
          </cell>
        </row>
        <row r="109">
          <cell r="A109" t="str">
            <v>020710</v>
          </cell>
          <cell r="B109" t="str">
            <v>Reservatório de poliestileno de 500L, incl. suporte em madeira de 7x12cm e 5x7cm, elevado de 4m, conf. projeto (1 utilização)</v>
          </cell>
          <cell r="C109" t="str">
            <v>und</v>
          </cell>
          <cell r="D109">
            <v>1</v>
          </cell>
          <cell r="E109">
            <v>2719.43</v>
          </cell>
          <cell r="F109">
            <v>2719.43</v>
          </cell>
        </row>
        <row r="110">
          <cell r="A110" t="str">
            <v>020711</v>
          </cell>
          <cell r="B110" t="str">
            <v>Reservatório de poliestileno de 1000 L, incl. suporte em madeira de 7x12cm e 8x7cm, elevado de 4m, conf. projeto (1 utilização)</v>
          </cell>
          <cell r="C110" t="str">
            <v>und</v>
          </cell>
          <cell r="D110">
            <v>1</v>
          </cell>
          <cell r="E110">
            <v>3172.72</v>
          </cell>
          <cell r="F110">
            <v>3172.72</v>
          </cell>
        </row>
        <row r="111">
          <cell r="A111" t="str">
            <v>020712</v>
          </cell>
          <cell r="B111" t="str">
            <v>Rede de água com padrão de entrada d'água diâm. 3/4", conf. espec. CESAN, incl. tubos e conexões para alimentação, distribuição, extravasor e limpeza, cons. o padrão a 25m, conf. projeto (1 utilização)</v>
          </cell>
          <cell r="C111" t="str">
            <v>m</v>
          </cell>
          <cell r="D111">
            <v>1</v>
          </cell>
          <cell r="E111">
            <v>47.52</v>
          </cell>
          <cell r="F111">
            <v>47.52</v>
          </cell>
        </row>
        <row r="112">
          <cell r="A112" t="str">
            <v>020713</v>
          </cell>
          <cell r="B112" t="str">
            <v>Rede de luz, incl. padrão entrada de energia trifás., cabo de ligação até barracões, quadro de distrib., disj. e chave de força (quando necessário), cons. 20m entre padrão entrada e QDG, conf. projeto (1 utilização)</v>
          </cell>
          <cell r="C112" t="str">
            <v>m</v>
          </cell>
          <cell r="D112">
            <v>1</v>
          </cell>
          <cell r="E112">
            <v>649.57000000000005</v>
          </cell>
          <cell r="F112">
            <v>649.57000000000005</v>
          </cell>
        </row>
        <row r="113">
          <cell r="A113" t="str">
            <v>020714</v>
          </cell>
          <cell r="B113" t="str">
            <v>Rede de esgoto, contendo fossa e filtro, inclusive tubos e conexões de ligação entre caixas, considerando distância de 25m, conforme projeto (1 utilização)</v>
          </cell>
          <cell r="C113" t="str">
            <v>m</v>
          </cell>
          <cell r="D113">
            <v>1</v>
          </cell>
          <cell r="E113">
            <v>348.57</v>
          </cell>
          <cell r="F113">
            <v>348.57</v>
          </cell>
        </row>
        <row r="114">
          <cell r="A114" t="str">
            <v>0208</v>
          </cell>
          <cell r="B114" t="str">
            <v>INSTALAÇÃO DO CANTEIRO DE OBRAS (UTILIZAÇÃO 2 VEZES), PROJETO PADRÃO LABOR - NR.18 (OBRAS COM PRAZO DE EXECUÇÃO DE 6 A 12 MESES)</v>
          </cell>
          <cell r="C114"/>
          <cell r="D114"/>
          <cell r="E114"/>
          <cell r="F114"/>
        </row>
        <row r="115">
          <cell r="A115" t="str">
            <v>020801</v>
          </cell>
          <cell r="B115" t="str">
            <v>Barracão para escritório com sanitário área 14.50m2, de chapa de compens. 12mm e pontalete 8x8cm, piso cimentado e cobertura de telha de fibroc. 6mm, incl. ponto de luz e cx. de inspeção, conf. projeto (2 utilizações)</v>
          </cell>
          <cell r="C115" t="str">
            <v>m2</v>
          </cell>
          <cell r="D115">
            <v>1</v>
          </cell>
          <cell r="E115">
            <v>617.94000000000005</v>
          </cell>
          <cell r="F115">
            <v>617.94000000000005</v>
          </cell>
        </row>
        <row r="116">
          <cell r="A116" t="str">
            <v>020802</v>
          </cell>
          <cell r="B116" t="str">
            <v>Barracão para almoxarifado área de 10.90m2, de chapa de compensado 12mm e pontaletes 8x8cm, piso cimentado e cobertura de telha de fibrocimento de 6mm, inclusive ponto de luz, conf. projeto (2 utilizações)</v>
          </cell>
          <cell r="C116" t="str">
            <v>m2</v>
          </cell>
          <cell r="D116">
            <v>1</v>
          </cell>
          <cell r="E116">
            <v>472.56</v>
          </cell>
          <cell r="F116">
            <v>472.56</v>
          </cell>
        </row>
        <row r="117">
          <cell r="A117" t="str">
            <v>020803</v>
          </cell>
          <cell r="B117" t="str">
            <v>Barracão para depósito de cimento área de 10.90m2, de chapa de compensado 12mm e pontaletes 8x8cm, piso cimentado e cobertura de telhas de fibrocimento de 6mm, inclusive ponto de luz, conf. projeto (2 utilizações)</v>
          </cell>
          <cell r="C117" t="str">
            <v>m2</v>
          </cell>
          <cell r="D117">
            <v>1</v>
          </cell>
          <cell r="E117">
            <v>416.76</v>
          </cell>
          <cell r="F117">
            <v>416.76</v>
          </cell>
        </row>
        <row r="118">
          <cell r="A118" t="str">
            <v>020804</v>
          </cell>
          <cell r="B118" t="str">
            <v>Refeitório com paredes de chapa de compens. 12mm e pontaletes 8x8cm, piso ciment. e cobert. de telhas fibroc. 6mm, incl. ponto de luz e cx. de inspeção (cons. 1.21m2/func./turno), conf. projeto (2 utilização)</v>
          </cell>
          <cell r="C118" t="str">
            <v>m2</v>
          </cell>
          <cell r="D118">
            <v>1</v>
          </cell>
          <cell r="E118">
            <v>406.19</v>
          </cell>
          <cell r="F118">
            <v>406.19</v>
          </cell>
        </row>
        <row r="119">
          <cell r="A119" t="str">
            <v>020805</v>
          </cell>
          <cell r="B119" t="str">
            <v>Unidade de sanitário e vestiário para até 20 func. área 18.15m2, paredes de chapa compens. 12mm e pontalete 8x8cm, piso cimentado, cobert. telha fibroc. 6mm, incl. inst. de luz e cx. de inspeção, conf. projeto (2 utilizações)</v>
          </cell>
          <cell r="C119" t="str">
            <v>und</v>
          </cell>
          <cell r="D119">
            <v>1</v>
          </cell>
          <cell r="E119">
            <v>12410.12</v>
          </cell>
          <cell r="F119">
            <v>12410.12</v>
          </cell>
        </row>
        <row r="120">
          <cell r="A120" t="str">
            <v>020806</v>
          </cell>
          <cell r="B120" t="str">
            <v>Unidade de sanitário e vestiário de 20 a 40 func. área 25.40m2, paredes de chapa compens. 12mm e pontalete 8x8cm, piso cimentado, cobert. telha fibroc. 6mm, incl. inst. de luz e cx. de inspeção, conf. projeto (2 utilizações)</v>
          </cell>
          <cell r="C120" t="str">
            <v>und</v>
          </cell>
          <cell r="D120">
            <v>1</v>
          </cell>
          <cell r="E120">
            <v>18642.61</v>
          </cell>
          <cell r="F120">
            <v>18642.61</v>
          </cell>
        </row>
        <row r="121">
          <cell r="A121" t="str">
            <v>020807</v>
          </cell>
          <cell r="B121" t="str">
            <v>Unidade de sanitário e vestiário de 40 a 60 func. área 33.90m2, paredes de chapa compens. 12mm e pontalete 8x8cm, piso cimentado, cobert. telha fibroc. 6mm, incl. inst. de luz e cx. de inspeção, conf. projeto (2 utilizações)</v>
          </cell>
          <cell r="C121" t="str">
            <v>und</v>
          </cell>
          <cell r="D121">
            <v>1</v>
          </cell>
          <cell r="E121">
            <v>23138.82</v>
          </cell>
          <cell r="F121">
            <v>23138.82</v>
          </cell>
        </row>
        <row r="122">
          <cell r="A122" t="str">
            <v>020808</v>
          </cell>
          <cell r="B122" t="str">
            <v>Galpão para serraria e carpintaria área 12.00m2, em peças de madeira 8x8cm e contraventamento de 5x7cm, cobertura de telhas de fibroc. de 6mm, inclusive ponto e cabo de alimentação da máquina, conf. projeto (2 utilizações)</v>
          </cell>
          <cell r="C122" t="str">
            <v>m2</v>
          </cell>
          <cell r="D122">
            <v>1</v>
          </cell>
          <cell r="E122">
            <v>154.72999999999999</v>
          </cell>
          <cell r="F122">
            <v>154.72999999999999</v>
          </cell>
        </row>
        <row r="123">
          <cell r="A123" t="str">
            <v>020809</v>
          </cell>
          <cell r="B123" t="str">
            <v>Galpão para corte e armação com área de 6.00m2, de peças de madeira 8x8cm e contraventamento de 5x7cm, cobertura de telhas de fibroc. de 6mm, inclusive ponto e cabo de alimentação da máquina, conf. projeto (2 utilizações)</v>
          </cell>
          <cell r="C123" t="str">
            <v>m2</v>
          </cell>
          <cell r="D123">
            <v>1</v>
          </cell>
          <cell r="E123">
            <v>207.29</v>
          </cell>
          <cell r="F123">
            <v>207.29</v>
          </cell>
        </row>
        <row r="124">
          <cell r="A124" t="str">
            <v>020810</v>
          </cell>
          <cell r="B124" t="str">
            <v>Reservatório de poliestileno de 500 L, incl. suporte em madeira de 7x12cm e 5x7cm, elevado de 4m, conforme projeto (2 utilizações)</v>
          </cell>
          <cell r="C124" t="str">
            <v>und</v>
          </cell>
          <cell r="D124">
            <v>1</v>
          </cell>
          <cell r="E124">
            <v>1671.64</v>
          </cell>
          <cell r="F124">
            <v>1671.64</v>
          </cell>
        </row>
        <row r="125">
          <cell r="A125" t="str">
            <v>020811</v>
          </cell>
          <cell r="B125" t="str">
            <v>Reservatório de poliestileno de 1000 L, inclusive suporte em madeira de 7x12cm e 5x7cm, elevado de 4m, conforme projeto (2 utilizações)</v>
          </cell>
          <cell r="C125" t="str">
            <v>und</v>
          </cell>
          <cell r="D125">
            <v>1</v>
          </cell>
          <cell r="E125">
            <v>1930.05</v>
          </cell>
          <cell r="F125">
            <v>1930.05</v>
          </cell>
        </row>
        <row r="126">
          <cell r="A126" t="str">
            <v>020812</v>
          </cell>
          <cell r="B126" t="str">
            <v>Rede de água, com padrão de entrada d'água diâm. 3/4", conf. espec. CESAN, incl. tubos e conexões para alimentação, distribuição, extravasor e limpeza, cons. o padrão a 25m, conf. projeto (2 utilizações)</v>
          </cell>
          <cell r="C126" t="str">
            <v>m</v>
          </cell>
          <cell r="D126">
            <v>1</v>
          </cell>
          <cell r="E126">
            <v>32.03</v>
          </cell>
          <cell r="F126">
            <v>32.03</v>
          </cell>
        </row>
        <row r="127">
          <cell r="A127" t="str">
            <v>03</v>
          </cell>
          <cell r="B127" t="str">
            <v>MOVIMENTO DE TERRA</v>
          </cell>
          <cell r="C127"/>
          <cell r="D127"/>
          <cell r="E127"/>
          <cell r="F127"/>
        </row>
        <row r="128">
          <cell r="A128" t="str">
            <v>0301</v>
          </cell>
          <cell r="B128" t="str">
            <v>ESCAVAÇÕES</v>
          </cell>
          <cell r="C128"/>
          <cell r="D128"/>
          <cell r="E128"/>
          <cell r="F128"/>
        </row>
        <row r="129">
          <cell r="A129" t="str">
            <v>030101</v>
          </cell>
          <cell r="B129" t="str">
            <v>Escavação manual em material de 1a. categoria, até 1.50 m de profundidade</v>
          </cell>
          <cell r="C129" t="str">
            <v>m3</v>
          </cell>
          <cell r="D129">
            <v>1</v>
          </cell>
          <cell r="E129">
            <v>45.66</v>
          </cell>
          <cell r="F129">
            <v>45.66</v>
          </cell>
        </row>
        <row r="130">
          <cell r="A130" t="str">
            <v>030102</v>
          </cell>
          <cell r="B130" t="str">
            <v>Escavação manual em material de 2a. categoria, até 1.50 m de profundidade</v>
          </cell>
          <cell r="C130" t="str">
            <v>m3</v>
          </cell>
          <cell r="D130">
            <v>1</v>
          </cell>
          <cell r="E130">
            <v>77.28</v>
          </cell>
          <cell r="F130">
            <v>77.28</v>
          </cell>
        </row>
        <row r="131">
          <cell r="A131" t="str">
            <v>030103</v>
          </cell>
          <cell r="B131" t="str">
            <v>Escavação mecânica em material de 1a. categoria</v>
          </cell>
          <cell r="C131" t="str">
            <v>m3</v>
          </cell>
          <cell r="D131">
            <v>1</v>
          </cell>
          <cell r="E131">
            <v>10.72</v>
          </cell>
          <cell r="F131">
            <v>10.72</v>
          </cell>
        </row>
        <row r="132">
          <cell r="A132" t="str">
            <v>030104</v>
          </cell>
          <cell r="B132" t="str">
            <v>Escavação mecânica em material de 2a. categoria</v>
          </cell>
          <cell r="C132" t="str">
            <v>m3</v>
          </cell>
          <cell r="D132">
            <v>1</v>
          </cell>
          <cell r="E132">
            <v>14.98</v>
          </cell>
          <cell r="F132">
            <v>14.98</v>
          </cell>
        </row>
        <row r="133">
          <cell r="A133" t="str">
            <v>030119</v>
          </cell>
          <cell r="B133" t="str">
            <v>Apiloamento do fundo de vala com maço de 30 a 60kg</v>
          </cell>
          <cell r="C133" t="str">
            <v>m2</v>
          </cell>
          <cell r="D133">
            <v>1</v>
          </cell>
          <cell r="E133">
            <v>23.89</v>
          </cell>
          <cell r="F133">
            <v>23.89</v>
          </cell>
        </row>
        <row r="134">
          <cell r="A134" t="str">
            <v>0302</v>
          </cell>
          <cell r="B134" t="str">
            <v>REATERRO E COMPACTAÇÃO</v>
          </cell>
          <cell r="C134"/>
          <cell r="D134"/>
          <cell r="E134"/>
          <cell r="F134"/>
        </row>
        <row r="135">
          <cell r="A135" t="str">
            <v>030201</v>
          </cell>
          <cell r="B135" t="str">
            <v>Reaterro apiloado de cavas de fundação, em camadas de 20 cm</v>
          </cell>
          <cell r="C135" t="str">
            <v>m3</v>
          </cell>
          <cell r="D135">
            <v>1</v>
          </cell>
          <cell r="E135">
            <v>49.18</v>
          </cell>
          <cell r="F135">
            <v>49.18</v>
          </cell>
        </row>
        <row r="136">
          <cell r="A136" t="str">
            <v>030202</v>
          </cell>
          <cell r="B136" t="str">
            <v>Material para aterro - areia limpa (fornecimento já considerado 15% de empolamento)</v>
          </cell>
          <cell r="C136" t="str">
            <v>m3</v>
          </cell>
          <cell r="D136">
            <v>1</v>
          </cell>
          <cell r="E136">
            <v>103.5</v>
          </cell>
          <cell r="F136">
            <v>103.5</v>
          </cell>
        </row>
        <row r="137">
          <cell r="A137" t="str">
            <v>030203</v>
          </cell>
          <cell r="B137" t="str">
            <v>Lastro de brita 3 e 4, apiloado manualmente</v>
          </cell>
          <cell r="C137" t="str">
            <v>m3</v>
          </cell>
          <cell r="D137">
            <v>1</v>
          </cell>
          <cell r="E137">
            <v>167.66</v>
          </cell>
          <cell r="F137">
            <v>167.66</v>
          </cell>
        </row>
        <row r="138">
          <cell r="A138" t="str">
            <v>030204</v>
          </cell>
          <cell r="B138" t="str">
            <v>Lastro de areia</v>
          </cell>
          <cell r="C138" t="str">
            <v>m3</v>
          </cell>
          <cell r="D138">
            <v>1</v>
          </cell>
          <cell r="E138">
            <v>152.68</v>
          </cell>
          <cell r="F138">
            <v>152.68</v>
          </cell>
        </row>
        <row r="139">
          <cell r="A139" t="str">
            <v>030206</v>
          </cell>
          <cell r="B139" t="str">
            <v>Aterro manual para regularização do terreno em areia, inclusive adensamento hidráulico e fornecimento do material (máximo de 100m3)</v>
          </cell>
          <cell r="C139" t="str">
            <v>m3</v>
          </cell>
          <cell r="D139">
            <v>1</v>
          </cell>
          <cell r="E139">
            <v>139.9</v>
          </cell>
          <cell r="F139">
            <v>139.9</v>
          </cell>
        </row>
        <row r="140">
          <cell r="A140" t="str">
            <v>030208</v>
          </cell>
          <cell r="B140" t="str">
            <v>Aterro manual para regularização do terreno em argila, inclusive adensamento manual e fornecimento do material (máximo de 100m3)</v>
          </cell>
          <cell r="C140" t="str">
            <v>m3</v>
          </cell>
          <cell r="D140">
            <v>1</v>
          </cell>
          <cell r="E140">
            <v>139.06</v>
          </cell>
          <cell r="F140">
            <v>139.06</v>
          </cell>
        </row>
        <row r="141">
          <cell r="A141" t="str">
            <v>030209</v>
          </cell>
          <cell r="B141" t="str">
            <v>Aterro com areia em áreas de calçada, inclusive fornecimento e adensamento</v>
          </cell>
          <cell r="C141" t="str">
            <v>m3</v>
          </cell>
          <cell r="D141">
            <v>1</v>
          </cell>
          <cell r="E141">
            <v>118.83</v>
          </cell>
          <cell r="F141">
            <v>118.83</v>
          </cell>
        </row>
        <row r="142">
          <cell r="A142" t="str">
            <v>030210</v>
          </cell>
          <cell r="B142" t="str">
            <v>Aterro compactado utilizando compactador de placa vibratória com reaproveitamento do material</v>
          </cell>
          <cell r="C142" t="str">
            <v>m3</v>
          </cell>
          <cell r="D142">
            <v>1</v>
          </cell>
          <cell r="E142">
            <v>24.72</v>
          </cell>
          <cell r="F142">
            <v>24.72</v>
          </cell>
        </row>
        <row r="143">
          <cell r="A143" t="str">
            <v>030211</v>
          </cell>
          <cell r="B143" t="str">
            <v>Reaterro de valas, exclusive compactação</v>
          </cell>
          <cell r="C143" t="str">
            <v>m3</v>
          </cell>
          <cell r="D143">
            <v>1</v>
          </cell>
          <cell r="E143">
            <v>6.32</v>
          </cell>
          <cell r="F143">
            <v>6.32</v>
          </cell>
        </row>
        <row r="144">
          <cell r="A144" t="str">
            <v>0303</v>
          </cell>
          <cell r="B144" t="str">
            <v>TRANSPORTES</v>
          </cell>
          <cell r="C144"/>
          <cell r="D144"/>
          <cell r="E144"/>
          <cell r="F144"/>
        </row>
        <row r="145">
          <cell r="A145" t="str">
            <v>030304</v>
          </cell>
          <cell r="B145" t="str">
            <v>Índice de preço para remoção de entulho decorrente da execução de obras (Classe A CONAMA - NBR 10.004 - Classe II-B), incluindo aluguel da caçamba, carga, transporte e descarga em área licenciada</v>
          </cell>
          <cell r="C145" t="str">
            <v>m3</v>
          </cell>
          <cell r="D145">
            <v>1</v>
          </cell>
          <cell r="E145">
            <v>60.85</v>
          </cell>
          <cell r="F145">
            <v>60.85</v>
          </cell>
        </row>
        <row r="146">
          <cell r="A146" t="str">
            <v>030305</v>
          </cell>
          <cell r="B146" t="str">
            <v>Transporte de material encosta acima, serviço inteiramente manual, a 10m de distância, considerados ao longo da encosta, inclusive carga e descarga (txdam)</v>
          </cell>
          <cell r="C146" t="str">
            <v>und</v>
          </cell>
          <cell r="D146">
            <v>1</v>
          </cell>
          <cell r="E146">
            <v>21.08</v>
          </cell>
          <cell r="F146">
            <v>21.08</v>
          </cell>
        </row>
        <row r="147">
          <cell r="A147" t="str">
            <v>030306</v>
          </cell>
          <cell r="B147" t="str">
            <v>Transporte de material encosta abaixo, serviço inteiramente manual, a 10m de distância, considerados ao longo da encosta, inclusive carga e descarga (txdam)</v>
          </cell>
          <cell r="C147" t="str">
            <v>und</v>
          </cell>
          <cell r="D147">
            <v>1</v>
          </cell>
          <cell r="E147">
            <v>14.05</v>
          </cell>
          <cell r="F147">
            <v>14.05</v>
          </cell>
        </row>
        <row r="148">
          <cell r="A148" t="str">
            <v>04</v>
          </cell>
          <cell r="B148" t="str">
            <v>ESTRUTURAS</v>
          </cell>
          <cell r="C148"/>
          <cell r="D148"/>
          <cell r="E148"/>
          <cell r="F148"/>
        </row>
        <row r="149">
          <cell r="A149" t="str">
            <v>0402</v>
          </cell>
          <cell r="B149" t="str">
            <v>INFRA-ESTRUTURA (FUNDAÇÃO)</v>
          </cell>
          <cell r="C149"/>
          <cell r="D149"/>
          <cell r="E149"/>
          <cell r="F149"/>
        </row>
        <row r="150">
          <cell r="A150" t="str">
            <v>040202</v>
          </cell>
          <cell r="B150" t="str">
            <v>Fornecimento, preparo e aplicação de concreto ciclópico Fck=15MPa com 30% de pedra de mão</v>
          </cell>
          <cell r="C150" t="str">
            <v>m3</v>
          </cell>
          <cell r="D150">
            <v>1</v>
          </cell>
          <cell r="E150">
            <v>525.27</v>
          </cell>
          <cell r="F150">
            <v>525.27</v>
          </cell>
        </row>
        <row r="151">
          <cell r="A151" t="str">
            <v>040206</v>
          </cell>
          <cell r="B151" t="str">
            <v>Fôrma de tábua de madeira de 2.5 x 30.0 cm para fundações, levando-se em conta a utilização 5 vezes (incluido o material, corte, montagem, escoramento e desforma)</v>
          </cell>
          <cell r="C151" t="str">
            <v>m2</v>
          </cell>
          <cell r="D151">
            <v>1</v>
          </cell>
          <cell r="E151">
            <v>73.25</v>
          </cell>
          <cell r="F151">
            <v>73.25</v>
          </cell>
        </row>
        <row r="152">
          <cell r="A152" t="str">
            <v>040224</v>
          </cell>
          <cell r="B152" t="str">
            <v>Fornecimento, preparo e aplicação de concreto Fck = 30 MPa (com brita 1 e 2) - (5% de perdas já incluído no custo)</v>
          </cell>
          <cell r="C152" t="str">
            <v>m3</v>
          </cell>
          <cell r="D152">
            <v>1</v>
          </cell>
          <cell r="E152">
            <v>601.77</v>
          </cell>
          <cell r="F152">
            <v>601.77</v>
          </cell>
        </row>
        <row r="153">
          <cell r="A153" t="str">
            <v>040231</v>
          </cell>
          <cell r="B153" t="str">
            <v>Fornecimento, preparo e aplicação de concreto magro com consumo mínimo de cimento de 250 kg/m3 (brita 1 e 2) - (5% de perdas já incluído no custo)</v>
          </cell>
          <cell r="C153" t="str">
            <v>m3</v>
          </cell>
          <cell r="D153">
            <v>1</v>
          </cell>
          <cell r="E153">
            <v>527.91</v>
          </cell>
          <cell r="F153">
            <v>527.91</v>
          </cell>
        </row>
        <row r="154">
          <cell r="A154" t="str">
            <v>040233</v>
          </cell>
          <cell r="B154" t="str">
            <v>Fornecimento, preparo e aplicação de concreto Fck=15 MPa (brita 1 e 2) - (5% de perdas já incluído no custo)</v>
          </cell>
          <cell r="C154" t="str">
            <v>m3</v>
          </cell>
          <cell r="D154">
            <v>1</v>
          </cell>
          <cell r="E154">
            <v>546.41999999999996</v>
          </cell>
          <cell r="F154">
            <v>546.41999999999996</v>
          </cell>
        </row>
        <row r="155">
          <cell r="A155" t="str">
            <v>040235</v>
          </cell>
          <cell r="B155" t="str">
            <v>Fornecimento, preparo e aplicação de concreto Fck=20 MPa (brita 1 e 2) - (5% de perdas já incluído no custo)</v>
          </cell>
          <cell r="C155" t="str">
            <v>m3</v>
          </cell>
          <cell r="D155">
            <v>1</v>
          </cell>
          <cell r="E155">
            <v>564.41999999999996</v>
          </cell>
          <cell r="F155">
            <v>564.41999999999996</v>
          </cell>
        </row>
        <row r="156">
          <cell r="A156" t="str">
            <v>040237</v>
          </cell>
          <cell r="B156" t="str">
            <v>Fornecimento, preparo e aplicação de concreto Fck=25 MPa (brita 1 e 2) - (5% de perdas já incluído no custo)</v>
          </cell>
          <cell r="C156" t="str">
            <v>m3</v>
          </cell>
          <cell r="D156">
            <v>1</v>
          </cell>
          <cell r="E156">
            <v>584.16</v>
          </cell>
          <cell r="F156">
            <v>584.16</v>
          </cell>
        </row>
        <row r="157">
          <cell r="A157" t="str">
            <v>040238</v>
          </cell>
          <cell r="B157" t="str">
            <v>Fôrma de chapa compensada resinada 12mm, levando-se em conta a utilização 3 vezes (incluido o material, corte, montagem, escoramento e desfôrma)</v>
          </cell>
          <cell r="C157" t="str">
            <v>m2</v>
          </cell>
          <cell r="D157">
            <v>1</v>
          </cell>
          <cell r="E157">
            <v>88.63</v>
          </cell>
          <cell r="F157">
            <v>88.63</v>
          </cell>
        </row>
        <row r="158">
          <cell r="A158" t="str">
            <v>040239</v>
          </cell>
          <cell r="B158" t="str">
            <v>Fornecimento e aplicação de concreto USINADO Fck=20 MPa - considerando lançamento MANUAL para INFRA-ESTRUTURA (5% de perdas já incluído no custo)</v>
          </cell>
          <cell r="C158" t="str">
            <v>m3</v>
          </cell>
          <cell r="D158">
            <v>1</v>
          </cell>
          <cell r="E158">
            <v>498.44</v>
          </cell>
          <cell r="F158">
            <v>498.44</v>
          </cell>
        </row>
        <row r="159">
          <cell r="A159" t="str">
            <v>040240</v>
          </cell>
          <cell r="B159" t="str">
            <v>Fornecimento e aplicação de concreto USINADO Fck=25 MPa - considerando lançamento MANUAL para INFRA-ESTRUTURA (5% de perdas já incluído no custo)</v>
          </cell>
          <cell r="C159" t="str">
            <v>m3</v>
          </cell>
          <cell r="D159">
            <v>1</v>
          </cell>
          <cell r="E159">
            <v>518.74</v>
          </cell>
          <cell r="F159">
            <v>518.74</v>
          </cell>
        </row>
        <row r="160">
          <cell r="A160" t="str">
            <v>040243</v>
          </cell>
          <cell r="B160" t="str">
            <v>Fornecimento, dobragem e colocação em fôrma, de armadura CA-50 A média, diâmetro de 6.3 a 10.0 mm</v>
          </cell>
          <cell r="C160" t="str">
            <v>kg</v>
          </cell>
          <cell r="D160">
            <v>1</v>
          </cell>
          <cell r="E160">
            <v>12.94</v>
          </cell>
          <cell r="F160">
            <v>12.94</v>
          </cell>
        </row>
        <row r="161">
          <cell r="A161" t="str">
            <v>040245</v>
          </cell>
          <cell r="B161" t="str">
            <v>Fornecimento, dobragem e colocação em fôrma, de armadura CA-50 A grossa diâmetro de 12.5 a 25.0 mm (1/2 a 1")</v>
          </cell>
          <cell r="C161" t="str">
            <v>kg</v>
          </cell>
          <cell r="D161">
            <v>1</v>
          </cell>
          <cell r="E161">
            <v>13.04</v>
          </cell>
          <cell r="F161">
            <v>13.04</v>
          </cell>
        </row>
        <row r="162">
          <cell r="A162" t="str">
            <v>040246</v>
          </cell>
          <cell r="B162" t="str">
            <v>Fornecimento, dobragem e colocação em fôrma, de armadura CA-60 B fina, diâmetro de 4.0 a 7.0mm</v>
          </cell>
          <cell r="C162" t="str">
            <v>kg</v>
          </cell>
          <cell r="D162">
            <v>1</v>
          </cell>
          <cell r="E162">
            <v>15.75</v>
          </cell>
          <cell r="F162">
            <v>15.75</v>
          </cell>
        </row>
        <row r="163">
          <cell r="A163" t="str">
            <v>040249</v>
          </cell>
          <cell r="B163" t="str">
            <v>Fôrma de tábua de madeira de 2.5x30.0cm, levando-se em conta utilização 1 vez (incluindo o material, corte, montagem, escoramento e desforma)</v>
          </cell>
          <cell r="C163" t="str">
            <v>m2</v>
          </cell>
          <cell r="D163">
            <v>1</v>
          </cell>
          <cell r="E163">
            <v>127.4</v>
          </cell>
          <cell r="F163">
            <v>127.4</v>
          </cell>
        </row>
        <row r="164">
          <cell r="A164" t="str">
            <v>040250</v>
          </cell>
          <cell r="B164" t="str">
            <v>Fôrma de tábua de madeira de 2.5x30.0cm, levando-se em conta utilização 3 vezes (incluindo o material, corte, montagem, escoramento e desforma)</v>
          </cell>
          <cell r="C164" t="str">
            <v>m2</v>
          </cell>
          <cell r="D164">
            <v>1</v>
          </cell>
          <cell r="E164">
            <v>90.46</v>
          </cell>
          <cell r="F164">
            <v>90.46</v>
          </cell>
        </row>
        <row r="165">
          <cell r="A165" t="str">
            <v>040253</v>
          </cell>
          <cell r="B165" t="str">
            <v>Fornecimento e aplicação de concreto USINADO Fck=30 MPa - considerando lançamento MANUAL para INFRA-ESTRUTURA (5% de perdas já incluído no custo)</v>
          </cell>
          <cell r="C165" t="str">
            <v>m3</v>
          </cell>
          <cell r="D165">
            <v>1</v>
          </cell>
          <cell r="E165">
            <v>539.04</v>
          </cell>
          <cell r="F165">
            <v>539.04</v>
          </cell>
        </row>
        <row r="166">
          <cell r="A166" t="str">
            <v>0403</v>
          </cell>
          <cell r="B166" t="str">
            <v>SUPER-ESTRUTURA</v>
          </cell>
          <cell r="C166"/>
          <cell r="D166"/>
          <cell r="E166"/>
          <cell r="F166"/>
        </row>
        <row r="167">
          <cell r="A167" t="str">
            <v>040315</v>
          </cell>
          <cell r="B167" t="str">
            <v>Fornecimento, preparo e aplicação de concreto Fck = 30 MPa (com brita 1 e 2) - (5% de perdas já incluído no custo)</v>
          </cell>
          <cell r="C167" t="str">
            <v>m3</v>
          </cell>
          <cell r="D167">
            <v>1</v>
          </cell>
          <cell r="E167">
            <v>691.51</v>
          </cell>
          <cell r="F167">
            <v>691.51</v>
          </cell>
        </row>
        <row r="168">
          <cell r="A168" t="str">
            <v>040320</v>
          </cell>
          <cell r="B168" t="str">
            <v>Fornecimento, preparo e aplicação de concreto Fck=15 MPa (brita 1 e 2) - (5% de perdas já incluído no custo)</v>
          </cell>
          <cell r="C168" t="str">
            <v>m3</v>
          </cell>
          <cell r="D168">
            <v>1</v>
          </cell>
          <cell r="E168">
            <v>636.16</v>
          </cell>
          <cell r="F168">
            <v>636.16</v>
          </cell>
        </row>
        <row r="169">
          <cell r="A169" t="str">
            <v>040322</v>
          </cell>
          <cell r="B169" t="str">
            <v>Fornecimento, preparo e aplicação de concreto Fck=20 MPa (brita 1 e 2) - (5% de perdas já incluído no custo)</v>
          </cell>
          <cell r="C169" t="str">
            <v>m3</v>
          </cell>
          <cell r="D169">
            <v>1</v>
          </cell>
          <cell r="E169">
            <v>654.16</v>
          </cell>
          <cell r="F169">
            <v>654.16</v>
          </cell>
        </row>
        <row r="170">
          <cell r="A170" t="str">
            <v>040324</v>
          </cell>
          <cell r="B170" t="str">
            <v>Fornecimento, preparo e aplicação de concreto Fck=25 MPa (brita 1 e 2) - (5% de perdas já incluído no custo)</v>
          </cell>
          <cell r="C170" t="str">
            <v>m3</v>
          </cell>
          <cell r="D170">
            <v>1</v>
          </cell>
          <cell r="E170">
            <v>673.9</v>
          </cell>
          <cell r="F170">
            <v>673.9</v>
          </cell>
        </row>
        <row r="171">
          <cell r="A171" t="str">
            <v>040328</v>
          </cell>
          <cell r="B171" t="str">
            <v>Fornecimento, dobragem e colocação em fôrma, de armadura CA-50 A média, diâmetro de 6.3 a 10.0 mm</v>
          </cell>
          <cell r="C171" t="str">
            <v>kg</v>
          </cell>
          <cell r="D171">
            <v>1</v>
          </cell>
          <cell r="E171">
            <v>12.94</v>
          </cell>
          <cell r="F171">
            <v>12.94</v>
          </cell>
        </row>
        <row r="172">
          <cell r="A172" t="str">
            <v>040329</v>
          </cell>
          <cell r="B172" t="str">
            <v>Fornecimento e aplicação de concreto USINADO Fck=20 MPa - considerando BOMBEAMENTO (5% de perdas já incluído no custo) (6% de taxa p/concr.bombeavel)</v>
          </cell>
          <cell r="C172" t="str">
            <v>m3</v>
          </cell>
          <cell r="D172">
            <v>1</v>
          </cell>
          <cell r="E172">
            <v>436.58</v>
          </cell>
          <cell r="F172">
            <v>436.58</v>
          </cell>
        </row>
        <row r="173">
          <cell r="A173" t="str">
            <v>040330</v>
          </cell>
          <cell r="B173" t="str">
            <v>Fornecimento e aplicação de concreto USINADO Fck=25 MPa - considerando BOMBEAMENTO (5% de perdas já incluído no custo) (6% de taxa p/concr.bombeavel)</v>
          </cell>
          <cell r="C173" t="str">
            <v>m3</v>
          </cell>
          <cell r="D173">
            <v>1</v>
          </cell>
          <cell r="E173">
            <v>458.04</v>
          </cell>
          <cell r="F173">
            <v>458.04</v>
          </cell>
        </row>
        <row r="174">
          <cell r="A174" t="str">
            <v>040331</v>
          </cell>
          <cell r="B174" t="str">
            <v>Fornecimento e aplicação de concreto USINADO Fck=30 MPa - considerando BOMBEAMENTO (5% de perdas já incluído no custo) (6% de taxa p/ concr. bombeavel)</v>
          </cell>
          <cell r="C174" t="str">
            <v>m3</v>
          </cell>
          <cell r="D174">
            <v>1</v>
          </cell>
          <cell r="E174">
            <v>479.51</v>
          </cell>
          <cell r="F174">
            <v>479.51</v>
          </cell>
        </row>
        <row r="175">
          <cell r="A175" t="str">
            <v>040332</v>
          </cell>
          <cell r="B175" t="str">
            <v>Fornecimento, dobragem e colocação em fôrma, de armadura CA-50 A grossa, diâmetro de 12.5 a 25.0mm</v>
          </cell>
          <cell r="C175" t="str">
            <v>kg</v>
          </cell>
          <cell r="D175">
            <v>1</v>
          </cell>
          <cell r="E175">
            <v>13.04</v>
          </cell>
          <cell r="F175">
            <v>13.04</v>
          </cell>
        </row>
        <row r="176">
          <cell r="A176" t="str">
            <v>040333</v>
          </cell>
          <cell r="B176" t="str">
            <v>Fornecimento, dobragem e colocação em fôrma, de armadura CA-60 B fina, diâmetro de 4.0 a 7.0mm</v>
          </cell>
          <cell r="C176" t="str">
            <v>kg</v>
          </cell>
          <cell r="D176">
            <v>1</v>
          </cell>
          <cell r="E176">
            <v>15.75</v>
          </cell>
          <cell r="F176">
            <v>15.75</v>
          </cell>
        </row>
        <row r="177">
          <cell r="A177" t="str">
            <v>040337</v>
          </cell>
          <cell r="B177" t="str">
            <v>Fôrma em chapa de madeira compensada plastificada 12mm para estrutura em geral, 5 reaproveitamentos, reforçada com sarrafos de madeira 2.5x10cm (incl material, corte, montagem, escoras em eucalipto e desforma)</v>
          </cell>
          <cell r="C177" t="str">
            <v>m2</v>
          </cell>
          <cell r="D177">
            <v>1</v>
          </cell>
          <cell r="E177">
            <v>104.2</v>
          </cell>
          <cell r="F177">
            <v>104.2</v>
          </cell>
        </row>
        <row r="178">
          <cell r="A178" t="str">
            <v>040339</v>
          </cell>
          <cell r="B178" t="str">
            <v>Forma de chapas madeira compensada resinada, esp. 12mm, levando-se em conta a utilização 3 vezes, reforçadas com sarrafos de madeira de 2.5 x 10.0cm (incl material, corte, montagem, escoras em eucalipto e desforma)</v>
          </cell>
          <cell r="C178" t="str">
            <v>m2</v>
          </cell>
          <cell r="D178">
            <v>1</v>
          </cell>
          <cell r="E178">
            <v>124.84</v>
          </cell>
          <cell r="F178">
            <v>124.84</v>
          </cell>
        </row>
        <row r="179">
          <cell r="A179" t="str">
            <v>0404</v>
          </cell>
          <cell r="B179" t="str">
            <v>ESTRUTURAS DE CONCRETO APARENTE</v>
          </cell>
          <cell r="C179"/>
          <cell r="D179"/>
          <cell r="E179"/>
          <cell r="F179"/>
        </row>
        <row r="180">
          <cell r="A180" t="str">
            <v>040405</v>
          </cell>
          <cell r="B180" t="str">
            <v>Fôrma com chapa compensada plastificada esp. 12mm, utização 5 vezes</v>
          </cell>
          <cell r="C180" t="str">
            <v>m2</v>
          </cell>
          <cell r="D180">
            <v>1</v>
          </cell>
          <cell r="E180">
            <v>121.16</v>
          </cell>
          <cell r="F180">
            <v>121.16</v>
          </cell>
        </row>
        <row r="181">
          <cell r="A181" t="str">
            <v>0406</v>
          </cell>
          <cell r="B181" t="str">
            <v>LAJES PRÉ-MOLDADAS</v>
          </cell>
          <cell r="C181"/>
          <cell r="D181"/>
          <cell r="E181"/>
          <cell r="F181"/>
        </row>
        <row r="182">
          <cell r="A182" t="str">
            <v>040601</v>
          </cell>
          <cell r="B182" t="str">
            <v>Laje pré-fabricada treliçada para forro simples revestido, vão até 3.5m, capeamento 2cm, esp. 10cm, Fck = 150Kg/cm2</v>
          </cell>
          <cell r="C182" t="str">
            <v>m2</v>
          </cell>
          <cell r="D182">
            <v>1</v>
          </cell>
          <cell r="E182">
            <v>112.44</v>
          </cell>
          <cell r="F182">
            <v>112.44</v>
          </cell>
        </row>
        <row r="183">
          <cell r="A183" t="str">
            <v>040602</v>
          </cell>
          <cell r="B183" t="str">
            <v>Laje pré-fabricada treliçada, sobrecarga 300 Kg/m2, vão de 3.5m a 4.3m, capeamento 4cm, esp. 12cm, Fck = 150 Kg/cm2</v>
          </cell>
          <cell r="C183" t="str">
            <v>m2</v>
          </cell>
          <cell r="D183">
            <v>1</v>
          </cell>
          <cell r="E183">
            <v>124.22</v>
          </cell>
          <cell r="F183">
            <v>124.22</v>
          </cell>
        </row>
        <row r="184">
          <cell r="A184" t="str">
            <v>0407</v>
          </cell>
          <cell r="B184" t="str">
            <v>DIVERSOS</v>
          </cell>
          <cell r="C184"/>
          <cell r="D184"/>
          <cell r="E184"/>
          <cell r="F184"/>
        </row>
        <row r="185">
          <cell r="A185" t="str">
            <v>040705</v>
          </cell>
          <cell r="B185" t="str">
            <v>Execução de junta de dilatação 2 x 2 cm considerando 1cm de aplicação de isopor e 1cm de aplicação de mastique elástico do tipo sikaflex 1a ou equivalente</v>
          </cell>
          <cell r="C185" t="str">
            <v>m</v>
          </cell>
          <cell r="D185">
            <v>1</v>
          </cell>
          <cell r="E185">
            <v>73.78</v>
          </cell>
          <cell r="F185">
            <v>73.78</v>
          </cell>
        </row>
        <row r="186">
          <cell r="A186" t="str">
            <v>0408</v>
          </cell>
          <cell r="B186" t="str">
            <v>RECUPERAÇÃO DE ESTRUTURAS</v>
          </cell>
          <cell r="C186"/>
          <cell r="D186"/>
          <cell r="E186"/>
          <cell r="F186"/>
        </row>
        <row r="187">
          <cell r="A187" t="str">
            <v>040801</v>
          </cell>
          <cell r="B187" t="str">
            <v>Remoção cuidadosa do concreto afetado, através de escarificação</v>
          </cell>
          <cell r="C187" t="str">
            <v>m3</v>
          </cell>
          <cell r="D187">
            <v>1</v>
          </cell>
          <cell r="E187">
            <v>2379.89</v>
          </cell>
          <cell r="F187">
            <v>2379.89</v>
          </cell>
        </row>
        <row r="188">
          <cell r="A188" t="str">
            <v>040802</v>
          </cell>
          <cell r="B188" t="str">
            <v>Remoção cuidadosa do concreto afetado, através de escarificação (considerando esp. escarificada de 5cm)</v>
          </cell>
          <cell r="C188" t="str">
            <v>m2</v>
          </cell>
          <cell r="D188">
            <v>1</v>
          </cell>
          <cell r="E188">
            <v>118.99</v>
          </cell>
          <cell r="F188">
            <v>118.99</v>
          </cell>
        </row>
        <row r="189">
          <cell r="A189" t="str">
            <v>040803</v>
          </cell>
          <cell r="B189" t="str">
            <v>Preparação do substrato para reparo em estrutura de concreto por apicoamento manual da superfície</v>
          </cell>
          <cell r="C189" t="str">
            <v>m2</v>
          </cell>
          <cell r="D189">
            <v>1</v>
          </cell>
          <cell r="E189">
            <v>70.25</v>
          </cell>
          <cell r="F189">
            <v>70.25</v>
          </cell>
        </row>
        <row r="190">
          <cell r="A190" t="str">
            <v>040806</v>
          </cell>
          <cell r="B190" t="str">
            <v>Limpeza de aço com lixamento e escovamento com escova de aço, até a completa remoção de partículas soltas, materiais indesejáveis e corrosão</v>
          </cell>
          <cell r="C190" t="str">
            <v>m2</v>
          </cell>
          <cell r="D190">
            <v>1</v>
          </cell>
          <cell r="E190">
            <v>21.08</v>
          </cell>
          <cell r="F190">
            <v>21.08</v>
          </cell>
        </row>
        <row r="191">
          <cell r="A191" t="str">
            <v>040807</v>
          </cell>
          <cell r="B191" t="str">
            <v>Aplicação de Sika Top 108 Armatec ou equivalente, nas ferragens a serem recuperadas</v>
          </cell>
          <cell r="C191" t="str">
            <v>m2</v>
          </cell>
          <cell r="D191">
            <v>1</v>
          </cell>
          <cell r="E191">
            <v>64.33</v>
          </cell>
          <cell r="F191">
            <v>64.33</v>
          </cell>
        </row>
        <row r="192">
          <cell r="A192" t="str">
            <v>040808</v>
          </cell>
          <cell r="B192" t="str">
            <v>Retirada de ferragem corroída</v>
          </cell>
          <cell r="C192" t="str">
            <v>kg</v>
          </cell>
          <cell r="D192">
            <v>1</v>
          </cell>
          <cell r="E192">
            <v>4.2300000000000004</v>
          </cell>
          <cell r="F192">
            <v>4.2300000000000004</v>
          </cell>
        </row>
        <row r="193">
          <cell r="A193" t="str">
            <v>040809</v>
          </cell>
          <cell r="B193" t="str">
            <v>Recomposição de concreto danificado, com utilização de argamassa Sika Grout ou equivalente (considerando esp. 5cm)</v>
          </cell>
          <cell r="C193" t="str">
            <v>m2</v>
          </cell>
          <cell r="D193">
            <v>1</v>
          </cell>
          <cell r="E193">
            <v>373.44</v>
          </cell>
          <cell r="F193">
            <v>373.44</v>
          </cell>
        </row>
        <row r="194">
          <cell r="A194" t="str">
            <v>040810</v>
          </cell>
          <cell r="B194" t="str">
            <v>Recomposição de concreto danificado, com utilização de argamassa Sika Grout ou equivalente</v>
          </cell>
          <cell r="C194" t="str">
            <v>m3</v>
          </cell>
          <cell r="D194">
            <v>1</v>
          </cell>
          <cell r="E194">
            <v>6881.68</v>
          </cell>
          <cell r="F194">
            <v>6881.68</v>
          </cell>
        </row>
        <row r="195">
          <cell r="A195" t="str">
            <v>040813</v>
          </cell>
          <cell r="B195" t="str">
            <v>Impermeabilização de estrutura com Sika Top 107 ou equivalente</v>
          </cell>
          <cell r="C195" t="str">
            <v>m2</v>
          </cell>
          <cell r="D195">
            <v>1</v>
          </cell>
          <cell r="E195">
            <v>71.290000000000006</v>
          </cell>
          <cell r="F195">
            <v>71.290000000000006</v>
          </cell>
        </row>
        <row r="196">
          <cell r="A196" t="str">
            <v>040816</v>
          </cell>
          <cell r="B196" t="str">
            <v>Aplicação de Oxiprimer ou equivalente, nas ferragens a serem recuperadas</v>
          </cell>
          <cell r="C196" t="str">
            <v>m2</v>
          </cell>
          <cell r="D196">
            <v>1</v>
          </cell>
          <cell r="E196">
            <v>13.87</v>
          </cell>
          <cell r="F196">
            <v>13.87</v>
          </cell>
        </row>
        <row r="197">
          <cell r="A197" t="str">
            <v>040817</v>
          </cell>
          <cell r="B197" t="str">
            <v>Fornecimento e lançamento de concreto para grouteamento com adição de pedrisco (50% em peso), utilizando Sikagrout ou produto equivalente, exclusive forma</v>
          </cell>
          <cell r="C197" t="str">
            <v>m3</v>
          </cell>
          <cell r="D197">
            <v>1</v>
          </cell>
          <cell r="E197">
            <v>2812.31</v>
          </cell>
          <cell r="F197">
            <v>2812.31</v>
          </cell>
        </row>
        <row r="198">
          <cell r="A198" t="str">
            <v>040818</v>
          </cell>
          <cell r="B198" t="str">
            <v>Revestimento externo com argamassa corretiva tipo Sika Monotop 622 BR ou equivalente, esp. 5mm</v>
          </cell>
          <cell r="C198" t="str">
            <v>m2</v>
          </cell>
          <cell r="D198">
            <v>1</v>
          </cell>
          <cell r="E198">
            <v>88.28</v>
          </cell>
          <cell r="F198">
            <v>88.28</v>
          </cell>
        </row>
        <row r="199">
          <cell r="A199" t="str">
            <v>0409</v>
          </cell>
          <cell r="B199" t="str">
            <v>MURO DE ARRIMO (Conc. ciclópico 15MPa c/ 30% de pedra de mão, c/ forn., preparo e aplicação de concreto, forma de tábua pinho-reap.5 vezes, exclusive escav. e reaterro) seções tipicas nas seguintes dimensões:</v>
          </cell>
          <cell r="C199"/>
          <cell r="D199"/>
          <cell r="E199"/>
          <cell r="F199"/>
        </row>
        <row r="200">
          <cell r="A200" t="str">
            <v>040901</v>
          </cell>
          <cell r="B200" t="str">
            <v>Muro de arrimo em Conc. ciclópico 15MPa c/ 30% de pedra de mão, c/ forn., preparo e aplicação de concreto, forma de tábua pinho-reap.5 vezes, exclusive escav. e reaterro, seções tipicas nas dimensões:b=0.40m; B=0.70m e H=1.00m</v>
          </cell>
          <cell r="C200" t="str">
            <v>m</v>
          </cell>
          <cell r="D200">
            <v>1</v>
          </cell>
          <cell r="E200">
            <v>577.9</v>
          </cell>
          <cell r="F200">
            <v>577.9</v>
          </cell>
        </row>
        <row r="201">
          <cell r="A201" t="str">
            <v>040902</v>
          </cell>
          <cell r="B201" t="str">
            <v>Muro de arrimo em Conc. ciclópico 15MPa c/ 30% de pedra de mão, c/ forn., preparo e aplicação de concreto, forma de tábua pinho-reap.5 vezes, exclusive escav. e reaterro, seções tipicas nas dimensões:b=0.40m; B=0.90m e H=1,50m</v>
          </cell>
          <cell r="C201" t="str">
            <v>m</v>
          </cell>
          <cell r="D201">
            <v>1</v>
          </cell>
          <cell r="E201">
            <v>915.51</v>
          </cell>
          <cell r="F201">
            <v>915.51</v>
          </cell>
        </row>
        <row r="202">
          <cell r="A202" t="str">
            <v>040903</v>
          </cell>
          <cell r="B202" t="str">
            <v>Muro de arrimo em Conc. ciclópico 15MPa c/ 30% de pedra de mão, c/ forn., preparo e aplicação de concreto, forma de tábua pinho-reap.5 vezes, exclusive escav. e reaterro, seções tipicas nas dimensões:b=0.40m; B=1.05m e H=2.00m</v>
          </cell>
          <cell r="C202" t="str">
            <v>m</v>
          </cell>
          <cell r="D202">
            <v>1</v>
          </cell>
          <cell r="E202">
            <v>1294.6500000000001</v>
          </cell>
          <cell r="F202">
            <v>1294.6500000000001</v>
          </cell>
        </row>
        <row r="203">
          <cell r="A203" t="str">
            <v>040904</v>
          </cell>
          <cell r="B203" t="str">
            <v>Muro de arrimo em Conc. ciclópico 15MPa c/ 30% de pedra de mão, c/ forn., preparo e aplicação de concreto, forma de tábua pinho-reap.5 vezes, exclusive escav. e reaterro, seções tipicas nas dimensões:b=0.40m; B=1.23 e H=2.50m</v>
          </cell>
          <cell r="C203" t="str">
            <v>m</v>
          </cell>
          <cell r="D203">
            <v>1</v>
          </cell>
          <cell r="E203">
            <v>1697.72</v>
          </cell>
          <cell r="F203">
            <v>1697.72</v>
          </cell>
        </row>
        <row r="204">
          <cell r="A204" t="str">
            <v>05</v>
          </cell>
          <cell r="B204" t="str">
            <v>PAREDES E PAINÉIS</v>
          </cell>
          <cell r="C204"/>
          <cell r="D204"/>
          <cell r="E204"/>
          <cell r="F204"/>
        </row>
        <row r="205">
          <cell r="A205" t="str">
            <v>0501</v>
          </cell>
          <cell r="B205" t="str">
            <v>ALVENARIA DE VEDAÇÃO</v>
          </cell>
          <cell r="C205"/>
          <cell r="D205"/>
          <cell r="E205"/>
          <cell r="F205"/>
        </row>
        <row r="206">
          <cell r="A206" t="str">
            <v>050112</v>
          </cell>
          <cell r="B206" t="str">
            <v>Cobogó de concreto 40 x 40 x 10 cm, tipo reto, assentados com argamassa de cimento e areia no traço 1:3, espessura das juntas 15 mm</v>
          </cell>
          <cell r="C206" t="str">
            <v>m2</v>
          </cell>
          <cell r="D206">
            <v>1</v>
          </cell>
          <cell r="E206">
            <v>128.46</v>
          </cell>
          <cell r="F206">
            <v>128.46</v>
          </cell>
        </row>
        <row r="207">
          <cell r="A207" t="str">
            <v>050115</v>
          </cell>
          <cell r="B207" t="str">
            <v>Alvenaria em bloco de pedra argamassada com cimento e areia no traço 1:3</v>
          </cell>
          <cell r="C207" t="str">
            <v>m3</v>
          </cell>
          <cell r="D207">
            <v>1</v>
          </cell>
          <cell r="E207">
            <v>439.31</v>
          </cell>
          <cell r="F207">
            <v>439.31</v>
          </cell>
        </row>
        <row r="208">
          <cell r="A208" t="str">
            <v>050122</v>
          </cell>
          <cell r="B208" t="str">
            <v>Cobogó de concreto tipo cruzeta de 20 x 20 x 10 cm, assentado com argamassa de cimento, cal hidratada e areia no traço1:0,5:5, espessura das juntas de 10mm e espessura de parede 10cm</v>
          </cell>
          <cell r="C208" t="str">
            <v>m2</v>
          </cell>
          <cell r="D208">
            <v>1</v>
          </cell>
          <cell r="E208">
            <v>158.22999999999999</v>
          </cell>
          <cell r="F208">
            <v>158.22999999999999</v>
          </cell>
        </row>
        <row r="209">
          <cell r="A209" t="str">
            <v>0502</v>
          </cell>
          <cell r="B209" t="str">
            <v>PLACAS E PAINÉIS DIVISÓRIOS</v>
          </cell>
          <cell r="C209"/>
          <cell r="D209"/>
          <cell r="E209"/>
          <cell r="F209"/>
        </row>
        <row r="210">
          <cell r="A210" t="str">
            <v>050202</v>
          </cell>
          <cell r="B210" t="str">
            <v>Fornecimento e instalação de divisórias novas com acabamento de chapa de fibra de madeira, sistema de montagem simplificado, espessura de 35mm e miolo em colméia no padrão painel/painel</v>
          </cell>
          <cell r="C210" t="str">
            <v>m2</v>
          </cell>
          <cell r="D210">
            <v>1</v>
          </cell>
          <cell r="E210">
            <v>118.22</v>
          </cell>
          <cell r="F210">
            <v>118.22</v>
          </cell>
        </row>
        <row r="211">
          <cell r="A211" t="str">
            <v>050203</v>
          </cell>
          <cell r="B211" t="str">
            <v>Fornecimento e instalação de porta para divisória de 80 X 210 cm incluindo dobradiças e fechadura interna</v>
          </cell>
          <cell r="C211" t="str">
            <v>und</v>
          </cell>
          <cell r="D211">
            <v>1</v>
          </cell>
          <cell r="E211">
            <v>390.67</v>
          </cell>
          <cell r="F211">
            <v>390.67</v>
          </cell>
        </row>
        <row r="212">
          <cell r="A212" t="str">
            <v>050205</v>
          </cell>
          <cell r="B212" t="str">
            <v>Divisória de granito com 3 cm de espessura, assentada com argamassa de cimento e areia no traço 1:3, na cor cinza</v>
          </cell>
          <cell r="C212" t="str">
            <v>m2</v>
          </cell>
          <cell r="D212">
            <v>1</v>
          </cell>
          <cell r="E212">
            <v>413.05</v>
          </cell>
          <cell r="F212">
            <v>413.05</v>
          </cell>
        </row>
        <row r="213">
          <cell r="A213" t="str">
            <v>050206</v>
          </cell>
          <cell r="B213" t="str">
            <v>Divisória de granito cinza andorinha com 3 cm de espessura, fixada com cantoneira de ferro cromado</v>
          </cell>
          <cell r="C213" t="str">
            <v>m2</v>
          </cell>
          <cell r="D213">
            <v>1</v>
          </cell>
          <cell r="E213">
            <v>412.18</v>
          </cell>
          <cell r="F213">
            <v>412.18</v>
          </cell>
        </row>
        <row r="214">
          <cell r="A214" t="str">
            <v>050208</v>
          </cell>
          <cell r="B214" t="str">
            <v>Assentamento de divisória de mármore ou granito com 3 cm de espessura, empregando argamassa de cimento e areia no traço 1:3, exclusive fornecimento da divisória</v>
          </cell>
          <cell r="C214" t="str">
            <v>m2</v>
          </cell>
          <cell r="D214">
            <v>1</v>
          </cell>
          <cell r="E214">
            <v>117.28</v>
          </cell>
          <cell r="F214">
            <v>117.28</v>
          </cell>
        </row>
        <row r="215">
          <cell r="A215" t="str">
            <v>0503</v>
          </cell>
          <cell r="B215" t="str">
            <v>VERGAS/CONTRAVERGA</v>
          </cell>
          <cell r="C215"/>
          <cell r="D215"/>
          <cell r="E215"/>
          <cell r="F215"/>
        </row>
        <row r="216">
          <cell r="A216" t="str">
            <v>050301</v>
          </cell>
          <cell r="B216" t="str">
            <v>Verga/contraverga reta de concreto armado 10 x 5 cm, Fck = 15 MPa, inclusive forma, armação e desforma</v>
          </cell>
          <cell r="C216" t="str">
            <v>m</v>
          </cell>
          <cell r="D216">
            <v>1</v>
          </cell>
          <cell r="E216">
            <v>9.24</v>
          </cell>
          <cell r="F216">
            <v>9.24</v>
          </cell>
        </row>
        <row r="217">
          <cell r="A217" t="str">
            <v>050303</v>
          </cell>
          <cell r="B217" t="str">
            <v>Verga/contraverga curva de concreto armado 10 x 5 cm, Fck = 15 MPa, inclusive forma, armação e desforma</v>
          </cell>
          <cell r="C217" t="str">
            <v>m</v>
          </cell>
          <cell r="D217">
            <v>1</v>
          </cell>
          <cell r="E217">
            <v>82.24</v>
          </cell>
          <cell r="F217">
            <v>82.24</v>
          </cell>
        </row>
        <row r="218">
          <cell r="A218" t="str">
            <v>0505</v>
          </cell>
          <cell r="B218" t="str">
            <v>ALVENARIA ESTRUTURAL</v>
          </cell>
          <cell r="C218"/>
          <cell r="D218"/>
          <cell r="E218"/>
          <cell r="F218"/>
        </row>
        <row r="219">
          <cell r="A219" t="str">
            <v>050501</v>
          </cell>
          <cell r="B219" t="str">
            <v>Alvenaria de blocos de concreto estrut. (14x19x39cm) cheios, c/ resist. mín. compr. 15MPa, assentados c/ arg. de cimento e areia no traço 1:4, esp. juntas 10mm e esp. da parede s/ revest. 14cm</v>
          </cell>
          <cell r="C219" t="str">
            <v>m2</v>
          </cell>
          <cell r="D219">
            <v>1</v>
          </cell>
          <cell r="E219">
            <v>102.91</v>
          </cell>
          <cell r="F219">
            <v>102.91</v>
          </cell>
        </row>
        <row r="220">
          <cell r="A220" t="str">
            <v>050502</v>
          </cell>
          <cell r="B220" t="str">
            <v>Alvenaria de blocos de concreto estrut. (19x19x39cm) cheios, c/ resist. mín. compr. 15MPa, assentados c/ arg. cimento e areia no traço 1:4, esp. juntas de 10mm e esp. da parede s/ revest. 19cm</v>
          </cell>
          <cell r="C220" t="str">
            <v>m2</v>
          </cell>
          <cell r="D220">
            <v>1</v>
          </cell>
          <cell r="E220">
            <v>191.82</v>
          </cell>
          <cell r="F220">
            <v>191.82</v>
          </cell>
        </row>
        <row r="221">
          <cell r="A221" t="str">
            <v>050503</v>
          </cell>
          <cell r="B221" t="str">
            <v>Alvenaria de blocos de concreto estrut. (9x19x39cm) cheios, com resistência mín. compr. 15MPa, assentados c/ arg. de cimento e areia no traço 1:4, esp. juntas 10mm e esp. da parede s/ revest. 9cm</v>
          </cell>
          <cell r="C221" t="str">
            <v>m2</v>
          </cell>
          <cell r="D221">
            <v>1</v>
          </cell>
          <cell r="E221">
            <v>72.33</v>
          </cell>
          <cell r="F221">
            <v>72.33</v>
          </cell>
        </row>
        <row r="222">
          <cell r="A222" t="str">
            <v>0506</v>
          </cell>
          <cell r="B222" t="str">
            <v>ALVENARIA DE VEDAÇÃO EMPREGANDO ARGAMASSA DE CIMENTO, CAL E AREIA</v>
          </cell>
          <cell r="C222"/>
          <cell r="D222"/>
          <cell r="E222"/>
          <cell r="F222"/>
        </row>
        <row r="223">
          <cell r="A223" t="str">
            <v>050601</v>
          </cell>
          <cell r="B223" t="str">
            <v>Alvenaria de blocos de concreto 9x19x39cm, c/ resist. mínimo a compres. 2.5 MPa, assent. c/ arg. de cimento, cal hidratada CH1 e areia no traço 1:0.5:8 esp. das juntas 10mm e esp. das paredes, s/ rev. 9cm</v>
          </cell>
          <cell r="C223" t="str">
            <v>m2</v>
          </cell>
          <cell r="D223">
            <v>1</v>
          </cell>
          <cell r="E223">
            <v>54.08</v>
          </cell>
          <cell r="F223">
            <v>54.08</v>
          </cell>
        </row>
        <row r="224">
          <cell r="A224" t="str">
            <v>050602</v>
          </cell>
          <cell r="B224" t="str">
            <v>Alvenaria de blocos de concreto 14x19x39cm, c/ resist. mínimo a compres. 2.5 MPa, assent. c/ arg. de cimento, cal hidratada CH1 e areia no traço 1:0.5:8 esp. das juntas 10mm e esp. das paredes, s/ rev. 14cm</v>
          </cell>
          <cell r="C224" t="str">
            <v>m2</v>
          </cell>
          <cell r="D224">
            <v>1</v>
          </cell>
          <cell r="E224">
            <v>66.83</v>
          </cell>
          <cell r="F224">
            <v>66.83</v>
          </cell>
        </row>
        <row r="225">
          <cell r="A225" t="str">
            <v>050603</v>
          </cell>
          <cell r="B225" t="str">
            <v>Alvenaria de blocos de concreto 19x19x39cm, c/ resist. mínimo a compres. 2.5 MPa, assent. c/ arg. de cimento, cal hidratada CH1 e areia no traço 1:0.5:8 esp. das juntas 10mm e esp. das paredes, s/ rev. 19cm</v>
          </cell>
          <cell r="C225" t="str">
            <v>m2</v>
          </cell>
          <cell r="D225">
            <v>1</v>
          </cell>
          <cell r="E225">
            <v>79.83</v>
          </cell>
          <cell r="F225">
            <v>79.83</v>
          </cell>
        </row>
        <row r="226">
          <cell r="A226" t="str">
            <v>050605</v>
          </cell>
          <cell r="B226" t="str">
            <v>Alvenaria de blocos cerâmicos 10 furos 10x20x20cm, assentados c/argamassa de cimento, cal hidratada CH1 e areia traço 1:0,5:8, juntas 12mm e esp. das paredes s/revestimento, 10cm (bloco comprado na praça de Vitória, posto obra)</v>
          </cell>
          <cell r="C226" t="str">
            <v>m2</v>
          </cell>
          <cell r="D226">
            <v>1</v>
          </cell>
          <cell r="E226">
            <v>70.73</v>
          </cell>
          <cell r="F226">
            <v>70.73</v>
          </cell>
        </row>
        <row r="227">
          <cell r="A227" t="str">
            <v>050606</v>
          </cell>
          <cell r="B227" t="str">
            <v>Alvenaria de blocos cerâmicos 10 furos 10x20x20cm, assentados c/argamassa de cimento, cal hidratada CH1 e areia traço 1:0,5:8, esp. das juntas 12mm e esp. das paredes s/revestimento, 10cm (bloco comprado na fábrica, posto obra)</v>
          </cell>
          <cell r="C227" t="str">
            <v>m2</v>
          </cell>
          <cell r="D227">
            <v>1</v>
          </cell>
          <cell r="E227">
            <v>58.98</v>
          </cell>
          <cell r="F227">
            <v>58.98</v>
          </cell>
        </row>
        <row r="228">
          <cell r="A228" t="str">
            <v>050607</v>
          </cell>
          <cell r="B228" t="str">
            <v>Alvenaria de blocos cerâmicos 10 furos 10x20x20cm, assentados c/argamassa de cimento, cal hidratada CH1 e areia traço 1:0.5:8, juntas 12mm e espessura das paredes, s/ revestimento, 20cm(bloco comprado praça de Vitória, posto obra)</v>
          </cell>
          <cell r="C228" t="str">
            <v>m2</v>
          </cell>
          <cell r="D228">
            <v>1</v>
          </cell>
          <cell r="E228">
            <v>124.48</v>
          </cell>
          <cell r="F228">
            <v>124.48</v>
          </cell>
        </row>
        <row r="229">
          <cell r="A229" t="str">
            <v>050608</v>
          </cell>
          <cell r="B229" t="str">
            <v>Alvenaria de blocos cerâmicos 10 furos 10x20x20cm, assentados c/argamassa de cimento, cal hidratada CH1 e areia traço 1:0,5:8, juntas 12mm e espessura das paredes, s/revestimento, 20cm (bloco comprado fábrica,posto obra)</v>
          </cell>
          <cell r="C229" t="str">
            <v>m2</v>
          </cell>
          <cell r="D229">
            <v>1</v>
          </cell>
          <cell r="E229">
            <v>102.39</v>
          </cell>
          <cell r="F229">
            <v>102.39</v>
          </cell>
        </row>
        <row r="230">
          <cell r="A230" t="str">
            <v>06</v>
          </cell>
          <cell r="B230" t="str">
            <v>ESQUADRIAS DE MADEIRA</v>
          </cell>
          <cell r="C230"/>
          <cell r="D230"/>
          <cell r="E230"/>
          <cell r="F230"/>
        </row>
        <row r="231">
          <cell r="A231" t="str">
            <v>0601</v>
          </cell>
          <cell r="B231" t="str">
            <v>MARCOS E ALIZARES</v>
          </cell>
          <cell r="C231"/>
          <cell r="D231"/>
          <cell r="E231"/>
          <cell r="F231"/>
        </row>
        <row r="232">
          <cell r="A232" t="str">
            <v>060101</v>
          </cell>
          <cell r="B232" t="str">
            <v>Marco de madeira de lei de 1ª (Peroba, Ipê, Angelim Pedra ou equivalente) com 15x3 cm de batente, nas dimensões de 0.60 x 2.10 m</v>
          </cell>
          <cell r="C232" t="str">
            <v>und</v>
          </cell>
          <cell r="D232">
            <v>1</v>
          </cell>
          <cell r="E232">
            <v>350.87</v>
          </cell>
          <cell r="F232">
            <v>350.87</v>
          </cell>
        </row>
        <row r="233">
          <cell r="A233" t="str">
            <v>060102</v>
          </cell>
          <cell r="B233" t="str">
            <v>Marco de madeira de lei de 1ª (Peroba, Ipê, Angelim Pedra ou equivalente) com 15x3 cm de batente, nas dimensões de 0.70 x 2.10 m</v>
          </cell>
          <cell r="C233" t="str">
            <v>und</v>
          </cell>
          <cell r="D233">
            <v>1</v>
          </cell>
          <cell r="E233">
            <v>350.87</v>
          </cell>
          <cell r="F233">
            <v>350.87</v>
          </cell>
        </row>
        <row r="234">
          <cell r="A234" t="str">
            <v>060103</v>
          </cell>
          <cell r="B234" t="str">
            <v>Marco de madeira de lei de 1ª (Peroba, Ipê, Angelim Pedra ou equivalente) com 15x3 cm de batente, nas dimensões de 0.80 x 2.10 m</v>
          </cell>
          <cell r="C234" t="str">
            <v>und</v>
          </cell>
          <cell r="D234">
            <v>1</v>
          </cell>
          <cell r="E234">
            <v>350.87</v>
          </cell>
          <cell r="F234">
            <v>350.87</v>
          </cell>
        </row>
        <row r="235">
          <cell r="A235" t="str">
            <v>060107</v>
          </cell>
          <cell r="B235" t="str">
            <v>Alizar de madeira de lei de 1ª (Peroba, Ipê, Angelim Pedra ou equivalente) de 5 x 1,5 cm</v>
          </cell>
          <cell r="C235" t="str">
            <v>m</v>
          </cell>
          <cell r="D235">
            <v>1</v>
          </cell>
          <cell r="E235">
            <v>16.600000000000001</v>
          </cell>
          <cell r="F235">
            <v>16.600000000000001</v>
          </cell>
        </row>
        <row r="236">
          <cell r="A236" t="str">
            <v>060108</v>
          </cell>
          <cell r="B236" t="str">
            <v>Marco de madeira de lei de 1ª (Peroba, Ipê, Angelim Pedra ou equivalente) com 15 x 3 cm de batente, nas dimensões de 0.90 x 2.10 m</v>
          </cell>
          <cell r="C236" t="str">
            <v>und</v>
          </cell>
          <cell r="D236">
            <v>1</v>
          </cell>
          <cell r="E236">
            <v>350.87</v>
          </cell>
          <cell r="F236">
            <v>350.87</v>
          </cell>
        </row>
        <row r="237">
          <cell r="A237" t="str">
            <v>060110</v>
          </cell>
          <cell r="B237" t="str">
            <v>Marco de madeira de lei de 1ª (Peroba, Ipê, Angelim Pedra ou equivalente)com 15 x 3 cm de batente</v>
          </cell>
          <cell r="C237" t="str">
            <v>m</v>
          </cell>
          <cell r="D237">
            <v>1</v>
          </cell>
          <cell r="E237">
            <v>84.27</v>
          </cell>
          <cell r="F237">
            <v>84.27</v>
          </cell>
        </row>
        <row r="238">
          <cell r="A238" t="str">
            <v>060112</v>
          </cell>
          <cell r="B238" t="str">
            <v>Caixilho em madeira de lei de 1ª (Peroba, Ipê, Angelim Pedra ou equivalente) de 9 x 3 cm para janela</v>
          </cell>
          <cell r="C238" t="str">
            <v>m</v>
          </cell>
          <cell r="D238">
            <v>1</v>
          </cell>
          <cell r="E238">
            <v>63.09</v>
          </cell>
          <cell r="F238">
            <v>63.09</v>
          </cell>
        </row>
        <row r="239">
          <cell r="A239" t="str">
            <v>060113</v>
          </cell>
          <cell r="B239" t="str">
            <v>Alizar de madeira de lei de 1ª (Peroba, Ipê, Angelim Pedra ou equivalente) 7 x 1,5 cm</v>
          </cell>
          <cell r="C239" t="str">
            <v>m</v>
          </cell>
          <cell r="D239">
            <v>1</v>
          </cell>
          <cell r="E239">
            <v>22.33</v>
          </cell>
          <cell r="F239">
            <v>22.33</v>
          </cell>
        </row>
        <row r="240">
          <cell r="A240" t="str">
            <v>0611</v>
          </cell>
          <cell r="B240" t="str">
            <v>FERRAGENS</v>
          </cell>
          <cell r="C240"/>
          <cell r="D240"/>
          <cell r="E240"/>
          <cell r="F240"/>
        </row>
        <row r="241">
          <cell r="A241" t="str">
            <v>061101</v>
          </cell>
          <cell r="B241" t="str">
            <v>Targeta fio redondo 3" para travamento de portas, ref. IMAB, STAN, ALIANÇA ou equivalente</v>
          </cell>
          <cell r="C241" t="str">
            <v>und</v>
          </cell>
          <cell r="D241">
            <v>1</v>
          </cell>
          <cell r="E241">
            <v>9.52</v>
          </cell>
          <cell r="F241">
            <v>9.52</v>
          </cell>
        </row>
        <row r="242">
          <cell r="A242" t="str">
            <v>061102</v>
          </cell>
          <cell r="B242" t="str">
            <v>Fechadura com maçaneta tipo alavanca e chave tipo yale, ref. IMAB, STAN, ALIANÇA ou equivalente</v>
          </cell>
          <cell r="C242" t="str">
            <v>und</v>
          </cell>
          <cell r="D242">
            <v>1</v>
          </cell>
          <cell r="E242">
            <v>100.02</v>
          </cell>
          <cell r="F242">
            <v>100.02</v>
          </cell>
        </row>
        <row r="243">
          <cell r="A243" t="str">
            <v>061103</v>
          </cell>
          <cell r="B243" t="str">
            <v>Fechadura com maçaneta tipo alavanca e chave comum para porta interna, ref. IMAB, STAN, ALIANÇA ou equivalente</v>
          </cell>
          <cell r="C243" t="str">
            <v>und</v>
          </cell>
          <cell r="D243">
            <v>1</v>
          </cell>
          <cell r="E243">
            <v>254.11</v>
          </cell>
          <cell r="F243">
            <v>254.11</v>
          </cell>
        </row>
        <row r="244">
          <cell r="A244" t="str">
            <v>061104</v>
          </cell>
          <cell r="B244" t="str">
            <v>Targeta tipo livre/ocupado, ref. IMAB, STAN, ALIANÇA ou equivalente</v>
          </cell>
          <cell r="C244" t="str">
            <v>und</v>
          </cell>
          <cell r="D244">
            <v>1</v>
          </cell>
          <cell r="E244">
            <v>68.14</v>
          </cell>
          <cell r="F244">
            <v>68.14</v>
          </cell>
        </row>
        <row r="245">
          <cell r="A245" t="str">
            <v>061106</v>
          </cell>
          <cell r="B245" t="str">
            <v>Fechadura com maçaneta tipo bola e chave tipo yale, ref. IMAB, STAN, ALIANÇA ou equivalente</v>
          </cell>
          <cell r="C245" t="str">
            <v>und</v>
          </cell>
          <cell r="D245">
            <v>1</v>
          </cell>
          <cell r="E245">
            <v>177.32</v>
          </cell>
          <cell r="F245">
            <v>177.32</v>
          </cell>
        </row>
        <row r="246">
          <cell r="A246" t="str">
            <v>061107</v>
          </cell>
          <cell r="B246" t="str">
            <v>Fechadura de sobrepor, tipo caixão, com chave comum, ref. IMAB, STAN, ALIANÇA ou equivalente</v>
          </cell>
          <cell r="C246" t="str">
            <v>und</v>
          </cell>
          <cell r="D246">
            <v>1</v>
          </cell>
          <cell r="E246">
            <v>102.69</v>
          </cell>
          <cell r="F246">
            <v>102.69</v>
          </cell>
        </row>
        <row r="247">
          <cell r="A247" t="str">
            <v>061108</v>
          </cell>
          <cell r="B247" t="str">
            <v>Fechadura com maçaneta tipo alavanca e chave tipo banheiro, ref. IMAB, STAN, ALIANÇA ou equivalente</v>
          </cell>
          <cell r="C247" t="str">
            <v>und</v>
          </cell>
          <cell r="D247">
            <v>1</v>
          </cell>
          <cell r="E247">
            <v>89.37</v>
          </cell>
          <cell r="F247">
            <v>89.37</v>
          </cell>
        </row>
        <row r="248">
          <cell r="A248" t="str">
            <v>061112</v>
          </cell>
          <cell r="B248" t="str">
            <v>Dobradiça de latão cromado de 3 x 2 1/2", incl. parafusos, ref. IMAB, STAN, ALIANÇA ou equivalente</v>
          </cell>
          <cell r="C248" t="str">
            <v>und</v>
          </cell>
          <cell r="D248">
            <v>1</v>
          </cell>
          <cell r="E248">
            <v>58.06</v>
          </cell>
          <cell r="F248">
            <v>58.06</v>
          </cell>
        </row>
        <row r="249">
          <cell r="A249" t="str">
            <v>0613</v>
          </cell>
          <cell r="B249" t="str">
            <v>PORTA EM MADEIRA DE LEI TIPO ANGELIM PEDRA OU EQUIV.C/ENCHIMENTO EM MADEIRA 1A.QUALIDADE ESP. 30MM P/ PINTURA, INCLUSIVE ALIZARES, DOBRADIÇAS E FECHADURA EXTERNA, EXCLUSIVE MARCO</v>
          </cell>
          <cell r="C249"/>
          <cell r="D249"/>
          <cell r="E249"/>
          <cell r="F249"/>
        </row>
        <row r="250">
          <cell r="A250" t="str">
            <v>061301</v>
          </cell>
          <cell r="B250" t="str">
            <v>Porta em madeira de lei tipo angelim pedra ou equiv.c/enchimento em madeira 1a.qualidade esp. 30mm p/ pintura, inclusive alizares, dobradiças e fechadura externa em latão cromado LaFonte ou equiv., exclusive marco, nas dim.:0.60 x 2.10 m</v>
          </cell>
          <cell r="C250" t="str">
            <v>und</v>
          </cell>
          <cell r="D250">
            <v>1</v>
          </cell>
          <cell r="E250">
            <v>888.25</v>
          </cell>
          <cell r="F250">
            <v>888.25</v>
          </cell>
        </row>
        <row r="251">
          <cell r="A251" t="str">
            <v>061302</v>
          </cell>
          <cell r="B251" t="str">
            <v>Porta em madeira de lei tipo angelim pedra ou equiv.c/enchimento em madeira 1a.qualidade esp. 30mm p/ pintura, inclusive alizares, dobradiças e fechadura externa em latão cromado LaFonte ou equiv., exclusive marco, nas dim.: 0.70 x 2.10 m</v>
          </cell>
          <cell r="C251" t="str">
            <v>und</v>
          </cell>
          <cell r="D251">
            <v>1</v>
          </cell>
          <cell r="E251">
            <v>896.17</v>
          </cell>
          <cell r="F251">
            <v>896.17</v>
          </cell>
        </row>
        <row r="252">
          <cell r="A252" t="str">
            <v>061303</v>
          </cell>
          <cell r="B252" t="str">
            <v>Porta em madeira de lei tipo angelim pedra ou equiv.c/enchimento em madeira 1a.qualidade esp. 30mm p/ pintura, inclusive alizares, dobradiças e fechadura externa em latão cromado LaFonte ou equiv., exclusive marco, nas dim.: 0.80 x 2.10 m</v>
          </cell>
          <cell r="C252" t="str">
            <v>und</v>
          </cell>
          <cell r="D252">
            <v>1</v>
          </cell>
          <cell r="E252">
            <v>904.42</v>
          </cell>
          <cell r="F252">
            <v>904.42</v>
          </cell>
        </row>
        <row r="253">
          <cell r="A253" t="str">
            <v>061304</v>
          </cell>
          <cell r="B253" t="str">
            <v>Porta em madeira de lei tipo angelim pedra ou equiv.c/enchimento em madeira 1a.qualidade esp. 30mm p/ pintura, inclusive alizares, dobradiças e fechadura externa em latão cromado LaFonte ou equiv., exclusive marco, nas dim.: 0.90 x 2.10 m</v>
          </cell>
          <cell r="C253" t="str">
            <v>und</v>
          </cell>
          <cell r="D253">
            <v>1</v>
          </cell>
          <cell r="E253">
            <v>942.22</v>
          </cell>
          <cell r="F253">
            <v>942.22</v>
          </cell>
        </row>
        <row r="254">
          <cell r="A254" t="str">
            <v>0614</v>
          </cell>
          <cell r="B254" t="str">
            <v>PORTA EM MADEIRA DE LEI TIPO ANGELIM PEDRA/EQUIV, ESP. 30MM C/ ACAB. LISO P/ PINTURA, INCL. FECHADURA TIPO "LIVRE/OCUPADO" E FERRAGENS P/ FIXAÇÃO EM GRANITO, EXCLUSIVE MARCO</v>
          </cell>
          <cell r="C254"/>
          <cell r="D254"/>
          <cell r="E254"/>
          <cell r="F254"/>
        </row>
        <row r="255">
          <cell r="A255" t="str">
            <v>061401</v>
          </cell>
          <cell r="B255" t="str">
            <v>Porta em madeira de lei tipo angelim pedra ou equiv.c/enchimento em madeira 1a.qualidade esp. 30mm p/ pintura, incl. fechadura tipo "livre/ocupado" em latão cromado Lafonte ou equiv. e ferragens p/ fixação em granito, excl. marco, nas dimensões: 0.60 x 1.80 m</v>
          </cell>
          <cell r="C255" t="str">
            <v>und</v>
          </cell>
          <cell r="D255">
            <v>1</v>
          </cell>
          <cell r="E255">
            <v>762.6</v>
          </cell>
          <cell r="F255">
            <v>762.6</v>
          </cell>
        </row>
        <row r="256">
          <cell r="A256" t="str">
            <v>061402</v>
          </cell>
          <cell r="B256" t="str">
            <v>Porta em madeira de lei tipo angelim pedra ou equiv.c/enchimento em madeira 1a.qualidade esp. 30mm p/ pintura, incl. fechadura tipo "livre/ocupado" em latão cromado Lafonte ou equiv. e ferragens p/ fixação em granito, excl. marco, nas dimensões: 0.80 x 1.80 m</v>
          </cell>
          <cell r="C256" t="str">
            <v>und</v>
          </cell>
          <cell r="D256">
            <v>1</v>
          </cell>
          <cell r="E256">
            <v>789.25</v>
          </cell>
          <cell r="F256">
            <v>789.25</v>
          </cell>
        </row>
        <row r="257">
          <cell r="A257" t="str">
            <v>061403</v>
          </cell>
          <cell r="B257" t="str">
            <v>Porta em madeira de lei tipo angelim pedra ou equiv.c/enchimento em madeira 1a.qualidade esp. 30mm p/ pintura, incl. fechadura tipo "livre/ocupado" em latão cromado Lafonte ou equiv. e ferragens p/ fixação em granito, excl. marco, nas dimensões: 0.60 x 1.60 m</v>
          </cell>
          <cell r="C257" t="str">
            <v>und</v>
          </cell>
          <cell r="D257">
            <v>1</v>
          </cell>
          <cell r="E257">
            <v>762.6</v>
          </cell>
          <cell r="F257">
            <v>762.6</v>
          </cell>
        </row>
        <row r="258">
          <cell r="A258" t="str">
            <v>061404</v>
          </cell>
          <cell r="B258" t="str">
            <v>Porta em madeira de lei tipo angelim pedra ou equiv.c/enchimento em madeira 1a.qualidade esp. 30mm p/ pintura, incl. fechadura tipo "livre/ocupado" em latão cromado Lafonte ou equiv. e ferragens p/ fixação em granito, excl. marco, nas dimensões: 0.80 x 1.60 m</v>
          </cell>
          <cell r="C258" t="str">
            <v>und</v>
          </cell>
          <cell r="D258">
            <v>1</v>
          </cell>
          <cell r="E258">
            <v>789.25</v>
          </cell>
          <cell r="F258">
            <v>789.25</v>
          </cell>
        </row>
        <row r="259">
          <cell r="A259" t="str">
            <v>0617</v>
          </cell>
          <cell r="B259" t="str">
            <v>PORTA EM VENEZIANA, EM MADEIRA DE LEI, ESP. 30MM, INCL. DOBRADIÇAS, EXCLUSIVE ALIZAR, MARCO E FECHADURA</v>
          </cell>
          <cell r="C259"/>
          <cell r="D259"/>
          <cell r="E259"/>
          <cell r="F259"/>
        </row>
        <row r="260">
          <cell r="A260" t="str">
            <v>061701</v>
          </cell>
          <cell r="B260" t="str">
            <v>Porta em veneziana, em madeira de lei, esp. 30mm, incl. dobradiças, excl. alizar, marco e fechadura, nas dimensões: 0.60 x 2.10 m</v>
          </cell>
          <cell r="C260" t="str">
            <v>und</v>
          </cell>
          <cell r="D260">
            <v>1</v>
          </cell>
          <cell r="E260">
            <v>943.07</v>
          </cell>
          <cell r="F260">
            <v>943.07</v>
          </cell>
        </row>
        <row r="261">
          <cell r="A261" t="str">
            <v>061702</v>
          </cell>
          <cell r="B261" t="str">
            <v>Porta em veneziana, em madeira de lei, esp. 30mm, incl. dobradiças, excl. alizar, marco e fechadura, nas dimensões: 0.70 x 2.10 m</v>
          </cell>
          <cell r="C261" t="str">
            <v>und</v>
          </cell>
          <cell r="D261">
            <v>1</v>
          </cell>
          <cell r="E261">
            <v>1068.5</v>
          </cell>
          <cell r="F261">
            <v>1068.5</v>
          </cell>
        </row>
        <row r="262">
          <cell r="A262" t="str">
            <v>061703</v>
          </cell>
          <cell r="B262" t="str">
            <v>Porta em veneziana, em madeira de lei, esp. 30mm, incl. dobradiças, excl. alizar, marco e fechadura, nas dimensões: 0.80 x 2.10 m</v>
          </cell>
          <cell r="C262" t="str">
            <v>und</v>
          </cell>
          <cell r="D262">
            <v>1</v>
          </cell>
          <cell r="E262">
            <v>1160.4000000000001</v>
          </cell>
          <cell r="F262">
            <v>1160.4000000000001</v>
          </cell>
        </row>
        <row r="263">
          <cell r="A263" t="str">
            <v>0619</v>
          </cell>
          <cell r="B263" t="str">
            <v>PORTA EM MADEIRA DE LEI TIPO ANGELIM PEDRA OU EQUIV. C/ ENCHIMENTO EM MADEIRA DE 1ª QUALIDADE ESP 30MM, COM VISOR DE VIDRO, INCL. ALIZARES, DOBRADIÇAS E FECHADURAS EXT EM LATÃO CROMADO LAFONTE/EQUIV , EXCL. MARCO, NAS DIMENSÕES:</v>
          </cell>
          <cell r="C263"/>
          <cell r="D263"/>
          <cell r="E263"/>
          <cell r="F263"/>
        </row>
        <row r="264">
          <cell r="A264" t="str">
            <v>061901</v>
          </cell>
          <cell r="B264" t="str">
            <v>Porta em madeira de Lei tipo Angelim Pedra ou equiv. c/ enchimento em madeira de 1ª qualidade esp. 30mm, com visor de vidro, inclusive alizares, dobradiças e fechaduras externas em latão cromado La Fonte/equiv. exclusive marco, nas dimensões: 0.70 x 2.10 m</v>
          </cell>
          <cell r="C264" t="str">
            <v>und</v>
          </cell>
          <cell r="D264">
            <v>1</v>
          </cell>
          <cell r="E264">
            <v>1237.92</v>
          </cell>
          <cell r="F264">
            <v>1237.92</v>
          </cell>
        </row>
        <row r="265">
          <cell r="A265" t="str">
            <v>061902</v>
          </cell>
          <cell r="B265" t="str">
            <v>Porta em madeira de Lei tipo Angelim Pedra ou equiv. c/ enchimento em madeira de 1ª qualidade esp. 30mm, com visor de vidro, inclusive alizares, dobradiças e fechaduras externas em latão cromado La Fonte/equiv. exclusive marco, nas dimensões: 0.80 x 2.10 m</v>
          </cell>
          <cell r="C265" t="str">
            <v>und</v>
          </cell>
          <cell r="D265">
            <v>1</v>
          </cell>
          <cell r="E265">
            <v>1295.17</v>
          </cell>
          <cell r="F265">
            <v>1295.17</v>
          </cell>
        </row>
        <row r="266">
          <cell r="A266" t="str">
            <v>061903</v>
          </cell>
          <cell r="B266" t="str">
            <v>Porta em madeira de Lei tipo Angelim Pedra ou equiv. c/ enchimento em madeira de 1ª qualidade esp. 30mm, com visor de vidro, inclusive alizares, dobradiças e fechaduras externas em latão cromado La Fonte/equiv. exclusive marco, nas dimensões: 0.90 x 2.10 m</v>
          </cell>
          <cell r="C266" t="str">
            <v>und</v>
          </cell>
          <cell r="D266">
            <v>1</v>
          </cell>
          <cell r="E266">
            <v>1365.84</v>
          </cell>
          <cell r="F266">
            <v>1365.84</v>
          </cell>
        </row>
        <row r="267">
          <cell r="A267" t="str">
            <v>0622</v>
          </cell>
          <cell r="B267" t="str">
            <v>REVISÕES E REPAROS</v>
          </cell>
          <cell r="C267"/>
          <cell r="D267"/>
          <cell r="E267"/>
          <cell r="F267"/>
        </row>
        <row r="268">
          <cell r="A268" t="str">
            <v>062201</v>
          </cell>
          <cell r="B268" t="str">
            <v>Substituição de fechadura com maçaneta tipo alavanca e chave yale</v>
          </cell>
          <cell r="C268" t="str">
            <v>und</v>
          </cell>
          <cell r="D268">
            <v>1</v>
          </cell>
          <cell r="E268">
            <v>76.5</v>
          </cell>
          <cell r="F268">
            <v>76.5</v>
          </cell>
        </row>
        <row r="269">
          <cell r="A269" t="str">
            <v>062202</v>
          </cell>
          <cell r="B269" t="str">
            <v>Substituição de fechadura com maçaneta tipo alavanca e chave tipo comum</v>
          </cell>
          <cell r="C269" t="str">
            <v>und</v>
          </cell>
          <cell r="D269">
            <v>1</v>
          </cell>
          <cell r="E269">
            <v>230.59</v>
          </cell>
          <cell r="F269">
            <v>230.59</v>
          </cell>
        </row>
        <row r="270">
          <cell r="A270" t="str">
            <v>062203</v>
          </cell>
          <cell r="B270" t="str">
            <v>Substituição de fechadura com maçaneta tipo bola e chave tipo yale</v>
          </cell>
          <cell r="C270" t="str">
            <v>und</v>
          </cell>
          <cell r="D270">
            <v>1</v>
          </cell>
          <cell r="E270">
            <v>153.80000000000001</v>
          </cell>
          <cell r="F270">
            <v>153.80000000000001</v>
          </cell>
        </row>
        <row r="271">
          <cell r="A271" t="str">
            <v>062204</v>
          </cell>
          <cell r="B271" t="str">
            <v>Recolocação de folha de porta em madeira de 1 folha, excl. ferragens, marcos e alizares</v>
          </cell>
          <cell r="C271" t="str">
            <v>und</v>
          </cell>
          <cell r="D271">
            <v>1</v>
          </cell>
          <cell r="E271">
            <v>66.55</v>
          </cell>
          <cell r="F271">
            <v>66.55</v>
          </cell>
        </row>
        <row r="272">
          <cell r="A272" t="str">
            <v>062205</v>
          </cell>
          <cell r="B272" t="str">
            <v>Substituição de targeta tipo livre/ocupado</v>
          </cell>
          <cell r="C272" t="str">
            <v>und</v>
          </cell>
          <cell r="D272">
            <v>1</v>
          </cell>
          <cell r="E272">
            <v>56.45</v>
          </cell>
          <cell r="F272">
            <v>56.45</v>
          </cell>
        </row>
        <row r="273">
          <cell r="A273" t="str">
            <v>062206</v>
          </cell>
          <cell r="B273" t="str">
            <v>Substituição de targeta de fio redondo 2"</v>
          </cell>
          <cell r="C273" t="str">
            <v>und</v>
          </cell>
          <cell r="D273">
            <v>1</v>
          </cell>
          <cell r="E273">
            <v>8.32</v>
          </cell>
          <cell r="F273">
            <v>8.32</v>
          </cell>
        </row>
        <row r="274">
          <cell r="A274" t="str">
            <v>062207</v>
          </cell>
          <cell r="B274" t="str">
            <v>Substituição de dobradiça 3 x 2 1/2"</v>
          </cell>
          <cell r="C274" t="str">
            <v>und</v>
          </cell>
          <cell r="D274">
            <v>1</v>
          </cell>
          <cell r="E274">
            <v>53.22</v>
          </cell>
          <cell r="F274">
            <v>53.22</v>
          </cell>
        </row>
        <row r="275">
          <cell r="A275" t="str">
            <v>062208</v>
          </cell>
          <cell r="B275" t="str">
            <v>Reparo na porta com plaina, incl. retirada e recolocação de folha de porta</v>
          </cell>
          <cell r="C275" t="str">
            <v>und</v>
          </cell>
          <cell r="D275">
            <v>1</v>
          </cell>
          <cell r="E275">
            <v>60.67</v>
          </cell>
          <cell r="F275">
            <v>60.67</v>
          </cell>
        </row>
        <row r="276">
          <cell r="A276" t="str">
            <v>062211</v>
          </cell>
          <cell r="B276" t="str">
            <v>Recolocação de alizar em madeira, excl. alizar</v>
          </cell>
          <cell r="C276" t="str">
            <v>m</v>
          </cell>
          <cell r="D276">
            <v>1</v>
          </cell>
          <cell r="E276">
            <v>2.59</v>
          </cell>
          <cell r="F276">
            <v>2.59</v>
          </cell>
        </row>
        <row r="277">
          <cell r="A277" t="str">
            <v>062212</v>
          </cell>
          <cell r="B277" t="str">
            <v>Recolocação de marco em madeira, excl. marco</v>
          </cell>
          <cell r="C277" t="str">
            <v>m</v>
          </cell>
          <cell r="D277">
            <v>1</v>
          </cell>
          <cell r="E277">
            <v>12.46</v>
          </cell>
          <cell r="F277">
            <v>12.46</v>
          </cell>
        </row>
        <row r="278">
          <cell r="A278" t="str">
            <v>0623</v>
          </cell>
          <cell r="B278" t="str">
            <v>PORTA EM MADEIRA DE LEI COM ENCHIMENTO EM MADEIRA DE 1ª QUALIDADE, ESP. 30MM, PARA PINTURA, INCL. ALIZARES, DOBRADIÇAS, FECHADURA TIPO "LIVRE/OCUPADO" EXCLUSIVE MARCO</v>
          </cell>
          <cell r="C278"/>
          <cell r="D278"/>
          <cell r="E278"/>
          <cell r="F278"/>
        </row>
        <row r="279">
          <cell r="A279" t="str">
            <v>062301</v>
          </cell>
          <cell r="B279" t="str">
            <v>Porta em madeira de lei com enchimento em madeira de 1ª qualidade, esp. 30mm, para pintura, incl. alizares, dobradiças, fechadura tipo "livre/ocupado" em latão cromado La Fonte ou equiv., excl. marco, nas dimensões: 0.60 x 1.60 m</v>
          </cell>
          <cell r="C279" t="str">
            <v>und</v>
          </cell>
          <cell r="D279">
            <v>1</v>
          </cell>
          <cell r="E279">
            <v>632.44000000000005</v>
          </cell>
          <cell r="F279">
            <v>632.44000000000005</v>
          </cell>
        </row>
        <row r="280">
          <cell r="A280" t="str">
            <v>062302</v>
          </cell>
          <cell r="B280" t="str">
            <v>Porta em madeira de lei com enchimento em madeira de 1ª qualidade, esp. 30mm, para pintura, incl. alizares, dobradiças, fechadura tipo "livre/ocupado" em latão cromado La Fonte ou equiv., excl. marco, nas dimensões: 0.80 x 1.60 m</v>
          </cell>
          <cell r="C280" t="str">
            <v>und</v>
          </cell>
          <cell r="D280">
            <v>1</v>
          </cell>
          <cell r="E280">
            <v>659.09</v>
          </cell>
          <cell r="F280">
            <v>659.09</v>
          </cell>
        </row>
        <row r="281">
          <cell r="A281" t="str">
            <v>0625</v>
          </cell>
          <cell r="B281" t="str">
            <v>PORTA EM MADEIRA DE LEI TIPO ANGELIM PEDRA OU EQUIV.,ESP. 35 MM, MACIÇA C/ FRISO P/ VERNIZ, PADRÃO SEDU, COM VISOR, INCLUSIVE ALIZARES, DOBRADIÇAS E FECHADURA DE BOLA EXTERNA, EXCLUSIVE MARCO</v>
          </cell>
          <cell r="C281"/>
          <cell r="D281"/>
          <cell r="E281"/>
          <cell r="F281"/>
        </row>
        <row r="282">
          <cell r="A282" t="str">
            <v>062501</v>
          </cell>
          <cell r="B282" t="str">
            <v>Porta em madeira de lei tipo angelim pedra ou equiv.,esp. 35 mm, maciça c/ friso p/ verniz, padrão SEDU, com visor, inclusive alizares, dobradiças e fechadura de bola ext. em latão cromado LaFonte ou equiv., excl. marco, dimensões: 0.60 x 2.10 m</v>
          </cell>
          <cell r="C282" t="str">
            <v>und</v>
          </cell>
          <cell r="D282">
            <v>1</v>
          </cell>
          <cell r="E282">
            <v>1332.65</v>
          </cell>
          <cell r="F282">
            <v>1332.65</v>
          </cell>
        </row>
        <row r="283">
          <cell r="A283" t="str">
            <v>062502</v>
          </cell>
          <cell r="B283" t="str">
            <v>Porta em madeira de lei tipo angelim pedra ou equiv.,esp. 35 mm, maciça c/ friso p/ verniz, padrão SEDU, com visor, inclusive alizares, dobradiças e fechadura de bola ext. em latão cromado LaFonte ou equiv., excl. marco, dimensões: 0.70 x 2.10 m</v>
          </cell>
          <cell r="C283" t="str">
            <v>und</v>
          </cell>
          <cell r="D283">
            <v>1</v>
          </cell>
          <cell r="E283">
            <v>1410.29</v>
          </cell>
          <cell r="F283">
            <v>1410.29</v>
          </cell>
        </row>
        <row r="284">
          <cell r="A284" t="str">
            <v>062503</v>
          </cell>
          <cell r="B284" t="str">
            <v>Porta em madeira de lei tipo angelim pedra ou equiv.,esp. 35 mm, maciça c/ friso p/ verniz, padrão SEDU, com visor, inclusive alizares, dobradiças e fechadura de bola ext. em latão cromado LaFonte ou equiv., excl. marco, dimensões: 0.80 x 2.10 m</v>
          </cell>
          <cell r="C284" t="str">
            <v>und</v>
          </cell>
          <cell r="D284">
            <v>1</v>
          </cell>
          <cell r="E284">
            <v>1524.32</v>
          </cell>
          <cell r="F284">
            <v>1524.32</v>
          </cell>
        </row>
        <row r="285">
          <cell r="A285" t="str">
            <v>062504</v>
          </cell>
          <cell r="B285" t="str">
            <v>Porta em madeira de lei tipo angelim pedra ou equiv.,esp. 35 mm, maciça c/ friso p/ verniz, padrão SEDU, com visor, inclusive alizares, dobradiças e fechadura de bola ext. em latão cromado LaFonte ou equiv., excl. marco, dimensões: 0.90 x 2.10 m</v>
          </cell>
          <cell r="C285" t="str">
            <v>und</v>
          </cell>
          <cell r="D285">
            <v>1</v>
          </cell>
          <cell r="E285">
            <v>1585.62</v>
          </cell>
          <cell r="F285">
            <v>1585.62</v>
          </cell>
        </row>
        <row r="286">
          <cell r="A286" t="str">
            <v>062505</v>
          </cell>
          <cell r="B286" t="str">
            <v>Porta em madeira de lei tipo angelim pedra ou equiv.,esp. 35 mm, maciça c/ friso p/ verniz, padrão SEDU, com visor, inclusive alizares, dobradiças e fechadura de bola ext. em latão cromado LaFonte ou equiv., excl. marco, dimensões: 1.60 x 2.10 m (duas folhas)</v>
          </cell>
          <cell r="C286" t="str">
            <v>und</v>
          </cell>
          <cell r="D286">
            <v>1</v>
          </cell>
          <cell r="E286">
            <v>2719.51</v>
          </cell>
          <cell r="F286">
            <v>2719.51</v>
          </cell>
        </row>
        <row r="287">
          <cell r="A287" t="str">
            <v>07</v>
          </cell>
          <cell r="B287" t="str">
            <v>ESQUADRIAS METÁLICAS</v>
          </cell>
          <cell r="C287"/>
          <cell r="D287"/>
          <cell r="E287"/>
          <cell r="F287"/>
        </row>
        <row r="288">
          <cell r="A288" t="str">
            <v>0711</v>
          </cell>
          <cell r="B288" t="str">
            <v>GRADES E PORTÕES</v>
          </cell>
          <cell r="C288"/>
          <cell r="D288"/>
          <cell r="E288"/>
          <cell r="F288"/>
        </row>
        <row r="289">
          <cell r="A289" t="str">
            <v>071101</v>
          </cell>
          <cell r="B289" t="str">
            <v>Tela de proteção de arame galvanizado 1/2" fio 12, com quadro em tubo de ferro galvanizado 1 1/2" e cantoneira de ferro 1/2" x 1/2" x1/8", conforme detalhe em projeto</v>
          </cell>
          <cell r="C289" t="str">
            <v>m2</v>
          </cell>
          <cell r="D289">
            <v>1</v>
          </cell>
          <cell r="E289">
            <v>738.45</v>
          </cell>
          <cell r="F289">
            <v>738.45</v>
          </cell>
        </row>
        <row r="290">
          <cell r="A290" t="str">
            <v>071103</v>
          </cell>
          <cell r="B290" t="str">
            <v>Grade de tela tipo mosquiteiro de arame galvanizado #18, fio 32, inclusive, requadro em cantoneira de ferro 1/8"x1/2"x1/2"</v>
          </cell>
          <cell r="C290" t="str">
            <v>m2</v>
          </cell>
          <cell r="D290">
            <v>1</v>
          </cell>
          <cell r="E290">
            <v>139</v>
          </cell>
          <cell r="F290">
            <v>139</v>
          </cell>
        </row>
        <row r="291">
          <cell r="A291" t="str">
            <v>071104</v>
          </cell>
          <cell r="B291" t="str">
            <v>Portão de ferro de abrir em barra chata, inclusive chumbamento</v>
          </cell>
          <cell r="C291" t="str">
            <v>m2</v>
          </cell>
          <cell r="D291">
            <v>1</v>
          </cell>
          <cell r="E291">
            <v>692.97</v>
          </cell>
          <cell r="F291">
            <v>692.97</v>
          </cell>
        </row>
        <row r="292">
          <cell r="A292" t="str">
            <v>071105</v>
          </cell>
          <cell r="B292" t="str">
            <v>Grade de ferro em barra chata, inclusive chumbamento</v>
          </cell>
          <cell r="C292" t="str">
            <v>m2</v>
          </cell>
          <cell r="D292">
            <v>1</v>
          </cell>
          <cell r="E292">
            <v>406.5</v>
          </cell>
          <cell r="F292">
            <v>406.5</v>
          </cell>
        </row>
        <row r="293">
          <cell r="A293" t="str">
            <v>071106</v>
          </cell>
          <cell r="B293" t="str">
            <v>Portão de ferro de correr em barra chata, inclusive chumbamento</v>
          </cell>
          <cell r="C293" t="str">
            <v>m2</v>
          </cell>
          <cell r="D293">
            <v>1</v>
          </cell>
          <cell r="E293">
            <v>859.08</v>
          </cell>
          <cell r="F293">
            <v>859.08</v>
          </cell>
        </row>
        <row r="294">
          <cell r="A294" t="str">
            <v>071107</v>
          </cell>
          <cell r="B294" t="str">
            <v>Portão de ferro de abrir em barra chata, chapa e tubo, inclusive chumbamento</v>
          </cell>
          <cell r="C294" t="str">
            <v>m2</v>
          </cell>
          <cell r="D294">
            <v>1</v>
          </cell>
          <cell r="E294">
            <v>1011.4</v>
          </cell>
          <cell r="F294">
            <v>1011.4</v>
          </cell>
        </row>
        <row r="295">
          <cell r="A295" t="str">
            <v>0717</v>
          </cell>
          <cell r="B295" t="str">
            <v>ESQUADRIAS METÁLICAS (M2)</v>
          </cell>
          <cell r="C295"/>
          <cell r="D295"/>
          <cell r="E295"/>
          <cell r="F295"/>
        </row>
        <row r="296">
          <cell r="A296" t="str">
            <v>071701</v>
          </cell>
          <cell r="B296" t="str">
            <v>Janela de correr para vidro em alumínio anodizado cor natural, linha 25, completa, incl. puxador com tranca, alizar, caixilho e contramarco, exclusive vidro</v>
          </cell>
          <cell r="C296" t="str">
            <v>m2</v>
          </cell>
          <cell r="D296">
            <v>1</v>
          </cell>
          <cell r="E296">
            <v>574.22</v>
          </cell>
          <cell r="F296">
            <v>574.22</v>
          </cell>
        </row>
        <row r="297">
          <cell r="A297" t="str">
            <v>071702</v>
          </cell>
          <cell r="B297" t="str">
            <v>Báscula para vidro em alumínio anodizado cor natural, linha 25, completa, com tranca, caixilho, alizar e contramarco, exclusive vidro</v>
          </cell>
          <cell r="C297" t="str">
            <v>m2</v>
          </cell>
          <cell r="D297">
            <v>1</v>
          </cell>
          <cell r="E297">
            <v>672.56</v>
          </cell>
          <cell r="F297">
            <v>672.56</v>
          </cell>
        </row>
        <row r="298">
          <cell r="A298" t="str">
            <v>071703</v>
          </cell>
          <cell r="B298" t="str">
            <v>Janela tipo maxim-ar para vidro em alumínio anodizado natural, linha 25, completa, incl. puxador com tranca, caixilho, alizar e contramarco, exclusive vidro</v>
          </cell>
          <cell r="C298" t="str">
            <v>m2</v>
          </cell>
          <cell r="D298">
            <v>1</v>
          </cell>
          <cell r="E298">
            <v>479.52</v>
          </cell>
          <cell r="F298">
            <v>479.52</v>
          </cell>
        </row>
        <row r="299">
          <cell r="A299" t="str">
            <v>071704</v>
          </cell>
          <cell r="B299" t="str">
            <v>Porta de abrir tipo veneziana em alumínio anodizado, linha 25, completa, incl. puxador com tranca, caixilho, alizar e contramarco</v>
          </cell>
          <cell r="C299" t="str">
            <v>m2</v>
          </cell>
          <cell r="D299">
            <v>1</v>
          </cell>
          <cell r="E299">
            <v>1047.1300000000001</v>
          </cell>
          <cell r="F299">
            <v>1047.1300000000001</v>
          </cell>
        </row>
        <row r="300">
          <cell r="A300" t="str">
            <v>071706</v>
          </cell>
          <cell r="B300" t="str">
            <v>Guichê/gradil em perfil L 1" e perfil T 3/4" em ferro, inclusive pintura em esmalte sintético, marca de referência SUVINIL</v>
          </cell>
          <cell r="C300" t="str">
            <v>m2</v>
          </cell>
          <cell r="D300">
            <v>1</v>
          </cell>
          <cell r="E300">
            <v>311.95</v>
          </cell>
          <cell r="F300">
            <v>311.95</v>
          </cell>
        </row>
        <row r="301">
          <cell r="A301" t="str">
            <v>0718</v>
          </cell>
          <cell r="B301" t="str">
            <v>REVISÕES E REPAROS</v>
          </cell>
          <cell r="C301"/>
          <cell r="D301"/>
          <cell r="E301"/>
          <cell r="F301"/>
        </row>
        <row r="302">
          <cell r="A302" t="str">
            <v>071801</v>
          </cell>
          <cell r="B302" t="str">
            <v>Escovamento com escova de aço em esquadrias de ferro</v>
          </cell>
          <cell r="C302" t="str">
            <v>m2</v>
          </cell>
          <cell r="D302">
            <v>1</v>
          </cell>
          <cell r="E302">
            <v>21.08</v>
          </cell>
          <cell r="F302">
            <v>21.08</v>
          </cell>
        </row>
        <row r="303">
          <cell r="A303" t="str">
            <v>08</v>
          </cell>
          <cell r="B303" t="str">
            <v>VIDROS E ESPELHOS</v>
          </cell>
          <cell r="C303"/>
          <cell r="D303"/>
          <cell r="E303"/>
          <cell r="F303"/>
        </row>
        <row r="304">
          <cell r="A304" t="str">
            <v>0801</v>
          </cell>
          <cell r="B304" t="str">
            <v>VIDROS PARA ESQUADRIAS</v>
          </cell>
          <cell r="C304"/>
          <cell r="D304"/>
          <cell r="E304"/>
          <cell r="F304"/>
        </row>
        <row r="305">
          <cell r="A305" t="str">
            <v>080102</v>
          </cell>
          <cell r="B305" t="str">
            <v>Vidro plano transparente liso, com 4 mm de espessura</v>
          </cell>
          <cell r="C305" t="str">
            <v>m2</v>
          </cell>
          <cell r="D305">
            <v>1</v>
          </cell>
          <cell r="E305">
            <v>284.5</v>
          </cell>
          <cell r="F305">
            <v>284.5</v>
          </cell>
        </row>
        <row r="306">
          <cell r="A306" t="str">
            <v>080103</v>
          </cell>
          <cell r="B306" t="str">
            <v>Vidro fantasia mini-boreal, com 4 mm de espessura</v>
          </cell>
          <cell r="C306" t="str">
            <v>m2</v>
          </cell>
          <cell r="D306">
            <v>1</v>
          </cell>
          <cell r="E306">
            <v>321</v>
          </cell>
          <cell r="F306">
            <v>321</v>
          </cell>
        </row>
        <row r="307">
          <cell r="A307" t="str">
            <v>080107</v>
          </cell>
          <cell r="B307" t="str">
            <v>Vidro aramado esp. 6mm, colocado</v>
          </cell>
          <cell r="C307" t="str">
            <v>m2</v>
          </cell>
          <cell r="D307">
            <v>1</v>
          </cell>
          <cell r="E307">
            <v>1084.5</v>
          </cell>
          <cell r="F307">
            <v>1084.5</v>
          </cell>
        </row>
        <row r="308">
          <cell r="A308" t="str">
            <v>0802</v>
          </cell>
          <cell r="B308" t="str">
            <v>ESPELHOS</v>
          </cell>
          <cell r="C308"/>
          <cell r="D308"/>
          <cell r="E308"/>
          <cell r="F308"/>
        </row>
        <row r="309">
          <cell r="A309" t="str">
            <v>080201</v>
          </cell>
          <cell r="B309" t="str">
            <v>Espelho para banheiros espessura 4 mm, incluindo chapa compensada 10 mm, moldura de alumínio em perfil L 3/4", fixado com parafusos cromados</v>
          </cell>
          <cell r="C309" t="str">
            <v>m2</v>
          </cell>
          <cell r="D309">
            <v>1</v>
          </cell>
          <cell r="E309">
            <v>667.41</v>
          </cell>
          <cell r="F309">
            <v>667.41</v>
          </cell>
        </row>
        <row r="310">
          <cell r="A310" t="str">
            <v>080202</v>
          </cell>
          <cell r="B310" t="str">
            <v>Espelho espessura 4 mm, incluindo chapa compensada 6mm, moldura de peça de madeira 7x2.5cm fixada com parafuso e bucha conforme detalhe em projeto</v>
          </cell>
          <cell r="C310" t="str">
            <v>m2</v>
          </cell>
          <cell r="D310">
            <v>1</v>
          </cell>
          <cell r="E310">
            <v>855.52</v>
          </cell>
          <cell r="F310">
            <v>855.52</v>
          </cell>
        </row>
        <row r="311">
          <cell r="A311" t="str">
            <v>080203</v>
          </cell>
          <cell r="B311" t="str">
            <v>Espelho prata esp. 4 mm sobre caixa de compensado colado revestido com fórmica e fixado com parafuso cromado e bucha, dim. 1,80 x 0,40m, conforme detalhe em projeto</v>
          </cell>
          <cell r="C311" t="str">
            <v>m2</v>
          </cell>
          <cell r="D311">
            <v>1</v>
          </cell>
          <cell r="E311">
            <v>676.36</v>
          </cell>
          <cell r="F311">
            <v>676.36</v>
          </cell>
        </row>
        <row r="312">
          <cell r="A312" t="str">
            <v>09</v>
          </cell>
          <cell r="B312" t="str">
            <v>COBERTURA</v>
          </cell>
          <cell r="C312"/>
          <cell r="D312"/>
          <cell r="E312"/>
          <cell r="F312"/>
        </row>
        <row r="313">
          <cell r="A313" t="str">
            <v>0901</v>
          </cell>
          <cell r="B313" t="str">
            <v>ESTRUTURA PARA TELHADO</v>
          </cell>
          <cell r="C313"/>
          <cell r="D313"/>
          <cell r="E313"/>
          <cell r="F313"/>
        </row>
        <row r="314">
          <cell r="A314" t="str">
            <v>090101</v>
          </cell>
          <cell r="B314" t="str">
            <v>Estrutura de madeira de lei tipo Paraju, peroba mica, angelim pedra ou equivalente para telhado de telha cerâmica tipo capa e canal, com pontaletes, terças, caibros e ripas, inclusive tratamento com cupinicida, exclusive telhas</v>
          </cell>
          <cell r="C314" t="str">
            <v>m2</v>
          </cell>
          <cell r="D314">
            <v>1</v>
          </cell>
          <cell r="E314">
            <v>219.21</v>
          </cell>
          <cell r="F314">
            <v>219.21</v>
          </cell>
        </row>
        <row r="315">
          <cell r="A315" t="str">
            <v>090102</v>
          </cell>
          <cell r="B315" t="str">
            <v>Estrutura de madeira de lei tipo Paraju, peroba mica, angelim pedra ou equivalente para telhado de telha ondulada de fibrocimento esp. 6mm, com pontaletes e caibros, inclusive tratamento com cupinicida, exclusive telhas</v>
          </cell>
          <cell r="C315" t="str">
            <v>m2</v>
          </cell>
          <cell r="D315">
            <v>1</v>
          </cell>
          <cell r="E315">
            <v>113.68</v>
          </cell>
          <cell r="F315">
            <v>113.68</v>
          </cell>
        </row>
        <row r="316">
          <cell r="A316" t="str">
            <v>090103</v>
          </cell>
          <cell r="B316" t="str">
            <v>Estrutura de madeira de lei tipo Paraju ou equivalente para cobertura de telha de fibrocimento canalete 49/90, inclusive tratamento com cupinicida, exclusive telhas</v>
          </cell>
          <cell r="C316" t="str">
            <v>m2</v>
          </cell>
          <cell r="D316">
            <v>1</v>
          </cell>
          <cell r="E316">
            <v>105.27</v>
          </cell>
          <cell r="F316">
            <v>105.27</v>
          </cell>
        </row>
        <row r="317">
          <cell r="A317" t="str">
            <v>090104</v>
          </cell>
          <cell r="B317" t="str">
            <v>Estrutura de madeira de lei tipo Paraju, peroba mica, angelim pedra ou equivalente para telhado de telhas cerâmicas tipo capa e canal c/ tesouras, pilares, vigas, terças, caibros e ripas, incl. trat. c/cupinicida, exclusive telhas</v>
          </cell>
          <cell r="C317" t="str">
            <v>m2</v>
          </cell>
          <cell r="D317">
            <v>1</v>
          </cell>
          <cell r="E317">
            <v>475.1</v>
          </cell>
          <cell r="F317">
            <v>475.1</v>
          </cell>
        </row>
        <row r="318">
          <cell r="A318" t="str">
            <v>090105</v>
          </cell>
          <cell r="B318" t="str">
            <v>Estrutura de madeira de lei Paraju, peroba mica, angelim pedra ou equivalente para telhado de telha cerâmica tipo francesa, com pontaletes, terças, caibros e ripas, inclusive tratamento com cupunicida, exclusive telhas</v>
          </cell>
          <cell r="C318" t="str">
            <v>m2</v>
          </cell>
          <cell r="D318">
            <v>1</v>
          </cell>
          <cell r="E318">
            <v>263.27</v>
          </cell>
          <cell r="F318">
            <v>263.27</v>
          </cell>
        </row>
        <row r="319">
          <cell r="A319" t="str">
            <v>0902</v>
          </cell>
          <cell r="B319" t="str">
            <v>TELHADO</v>
          </cell>
          <cell r="C319"/>
          <cell r="D319"/>
          <cell r="E319"/>
          <cell r="F319"/>
        </row>
        <row r="320">
          <cell r="A320" t="str">
            <v>090202</v>
          </cell>
          <cell r="B320" t="str">
            <v>Cobertura nova de telhas onduladas de fibrocimento 6.0mm, inclusive cumeeiras e acessórios de fixação</v>
          </cell>
          <cell r="C320" t="str">
            <v>m2</v>
          </cell>
          <cell r="D320">
            <v>1</v>
          </cell>
          <cell r="E320">
            <v>56.61</v>
          </cell>
          <cell r="F320">
            <v>56.61</v>
          </cell>
        </row>
        <row r="321">
          <cell r="A321" t="str">
            <v>090203</v>
          </cell>
          <cell r="B321" t="str">
            <v>Cobertura nova de telhas onduladas de fibrocimento 8.0mm, inclusive cumeeiras e acessórios de fixação</v>
          </cell>
          <cell r="C321" t="str">
            <v>m2</v>
          </cell>
          <cell r="D321">
            <v>1</v>
          </cell>
          <cell r="E321">
            <v>73.23</v>
          </cell>
          <cell r="F321">
            <v>73.23</v>
          </cell>
        </row>
        <row r="322">
          <cell r="A322" t="str">
            <v>090206</v>
          </cell>
          <cell r="B322" t="str">
            <v>Cobertura nova de telhas de alumínio trapezoidal, H = 8 cm, esp. 0.5mm, inclusive acessórios de fixação</v>
          </cell>
          <cell r="C322" t="str">
            <v>m2</v>
          </cell>
          <cell r="D322">
            <v>1</v>
          </cell>
          <cell r="E322">
            <v>89.67</v>
          </cell>
          <cell r="F322">
            <v>89.67</v>
          </cell>
        </row>
        <row r="323">
          <cell r="A323" t="str">
            <v>090211</v>
          </cell>
          <cell r="B323" t="str">
            <v>Cobertura nova de telhas cerâmicas tipo capa e canal inclusive cumeeira (telhas compradas na praça de Vitória, posto obra) (área de projeção horizontal; incl. 35%)</v>
          </cell>
          <cell r="C323" t="str">
            <v>m2</v>
          </cell>
          <cell r="D323">
            <v>1</v>
          </cell>
          <cell r="E323">
            <v>151.72999999999999</v>
          </cell>
          <cell r="F323">
            <v>151.72999999999999</v>
          </cell>
        </row>
        <row r="324">
          <cell r="A324" t="str">
            <v>090212</v>
          </cell>
          <cell r="B324" t="str">
            <v>Cobertura nova de telhas cerâmicas tipo capa e canal inclusive cumeeiras (telhas compradas na fábrica, posto obra)</v>
          </cell>
          <cell r="C324" t="str">
            <v>m2</v>
          </cell>
          <cell r="D324">
            <v>1</v>
          </cell>
          <cell r="E324">
            <v>119.57</v>
          </cell>
          <cell r="F324">
            <v>119.57</v>
          </cell>
        </row>
        <row r="325">
          <cell r="A325" t="str">
            <v>090215</v>
          </cell>
          <cell r="B325" t="str">
            <v>Cumeeira para cobertura em telha cerâmica tipo capa e canal</v>
          </cell>
          <cell r="C325" t="str">
            <v>m</v>
          </cell>
          <cell r="D325">
            <v>1</v>
          </cell>
          <cell r="E325">
            <v>32.380000000000003</v>
          </cell>
          <cell r="F325">
            <v>32.380000000000003</v>
          </cell>
        </row>
        <row r="326">
          <cell r="A326" t="str">
            <v>090216</v>
          </cell>
          <cell r="B326" t="str">
            <v>Cumeeira para cobertura em telhas onduladas de fibrocimento 6.0mm</v>
          </cell>
          <cell r="C326" t="str">
            <v>m</v>
          </cell>
          <cell r="D326">
            <v>1</v>
          </cell>
          <cell r="E326">
            <v>70.209999999999994</v>
          </cell>
          <cell r="F326">
            <v>70.209999999999994</v>
          </cell>
        </row>
        <row r="327">
          <cell r="A327" t="str">
            <v>090219</v>
          </cell>
          <cell r="B327" t="str">
            <v>Cobertura em telha ondulada de alumínio, esp. 0.5mm, inclusive acessórios de fixação</v>
          </cell>
          <cell r="C327" t="str">
            <v>m2</v>
          </cell>
          <cell r="D327">
            <v>1</v>
          </cell>
          <cell r="E327">
            <v>93.7</v>
          </cell>
          <cell r="F327">
            <v>93.7</v>
          </cell>
        </row>
        <row r="328">
          <cell r="A328" t="str">
            <v>090228</v>
          </cell>
          <cell r="B328" t="str">
            <v>Telha em aço galvalume trapezoidal 40, e=0.50mm, pintura cor branca nas duas faces, inclusive acessório de fixação Ref. Santo André, Eternit, Metform ou equivalente</v>
          </cell>
          <cell r="C328" t="str">
            <v>m2</v>
          </cell>
          <cell r="D328">
            <v>1</v>
          </cell>
          <cell r="E328">
            <v>101.18</v>
          </cell>
          <cell r="F328">
            <v>101.18</v>
          </cell>
        </row>
        <row r="329">
          <cell r="A329" t="str">
            <v>0903</v>
          </cell>
          <cell r="B329" t="str">
            <v>RUFOS E CALHAS</v>
          </cell>
          <cell r="C329"/>
          <cell r="D329"/>
          <cell r="E329"/>
          <cell r="F329"/>
        </row>
        <row r="330">
          <cell r="A330" t="str">
            <v>090301</v>
          </cell>
          <cell r="B330" t="str">
            <v>Rufo de concreto armado Fck=15 MPa, nas dimensões de 30x5 cm, moldado "in loco"</v>
          </cell>
          <cell r="C330" t="str">
            <v>m</v>
          </cell>
          <cell r="D330">
            <v>1</v>
          </cell>
          <cell r="E330">
            <v>113.07</v>
          </cell>
          <cell r="F330">
            <v>113.07</v>
          </cell>
        </row>
        <row r="331">
          <cell r="A331" t="str">
            <v>090302</v>
          </cell>
          <cell r="B331" t="str">
            <v>Rufo de chapa metálica nº 26 com largura de 30 cm</v>
          </cell>
          <cell r="C331" t="str">
            <v>m</v>
          </cell>
          <cell r="D331">
            <v>1</v>
          </cell>
          <cell r="E331">
            <v>45.34</v>
          </cell>
          <cell r="F331">
            <v>45.34</v>
          </cell>
        </row>
        <row r="332">
          <cell r="A332" t="str">
            <v>090305</v>
          </cell>
          <cell r="B332" t="str">
            <v>Calha de concreto armado Fck=15 MPa em "U" nas dimensões de 38 x 56 cm conforme detalhes em projeto</v>
          </cell>
          <cell r="C332" t="str">
            <v>m</v>
          </cell>
          <cell r="D332">
            <v>1</v>
          </cell>
          <cell r="E332">
            <v>272.47000000000003</v>
          </cell>
          <cell r="F332">
            <v>272.47000000000003</v>
          </cell>
        </row>
        <row r="333">
          <cell r="A333" t="str">
            <v>090312</v>
          </cell>
          <cell r="B333" t="str">
            <v>Calha em chapa galvanizada com largura de 40 cm</v>
          </cell>
          <cell r="C333" t="str">
            <v>m</v>
          </cell>
          <cell r="D333">
            <v>1</v>
          </cell>
          <cell r="E333">
            <v>129.46</v>
          </cell>
          <cell r="F333">
            <v>129.46</v>
          </cell>
        </row>
        <row r="334">
          <cell r="A334" t="str">
            <v>090314</v>
          </cell>
          <cell r="B334" t="str">
            <v>Rufo de chapa de alumínio esp. 0.5mm, largura de 30cm</v>
          </cell>
          <cell r="C334" t="str">
            <v>m</v>
          </cell>
          <cell r="D334">
            <v>1</v>
          </cell>
          <cell r="E334">
            <v>47.21</v>
          </cell>
          <cell r="F334">
            <v>47.21</v>
          </cell>
        </row>
        <row r="335">
          <cell r="A335" t="str">
            <v>0904</v>
          </cell>
          <cell r="B335" t="str">
            <v>PLATIBANDA</v>
          </cell>
          <cell r="C335"/>
          <cell r="D335"/>
          <cell r="E335"/>
          <cell r="F335"/>
        </row>
        <row r="336">
          <cell r="A336" t="str">
            <v>090403</v>
          </cell>
          <cell r="B336" t="str">
            <v>Platibanda de alvenaria de bloco cerâmico 10x20x20cm, assentado com argamassa de cimento, cal hidratada CH1 e areia no traço 1:0,5:8, amarrada com pilaretes em conc. arm. a cada 2m (H=1.0m), excl. revest.</v>
          </cell>
          <cell r="C336" t="str">
            <v>m</v>
          </cell>
          <cell r="D336">
            <v>1</v>
          </cell>
          <cell r="E336">
            <v>116.23</v>
          </cell>
          <cell r="F336">
            <v>116.23</v>
          </cell>
        </row>
        <row r="337">
          <cell r="A337" t="str">
            <v>0905</v>
          </cell>
          <cell r="B337" t="str">
            <v>REVISÕES E REPAROS</v>
          </cell>
          <cell r="C337"/>
          <cell r="D337"/>
          <cell r="E337"/>
          <cell r="F337"/>
        </row>
        <row r="338">
          <cell r="A338" t="str">
            <v>090501</v>
          </cell>
          <cell r="B338" t="str">
            <v>Recolocação de engradamento de madeira para telhado com telha cerâmica, com pontaletes, terças, caibros e ripas, exclusive fornecimento</v>
          </cell>
          <cell r="C338" t="str">
            <v>m2</v>
          </cell>
          <cell r="D338">
            <v>1</v>
          </cell>
          <cell r="E338">
            <v>54.04</v>
          </cell>
          <cell r="F338">
            <v>54.04</v>
          </cell>
        </row>
        <row r="339">
          <cell r="A339" t="str">
            <v>090502</v>
          </cell>
          <cell r="B339" t="str">
            <v>Recolocação de estrutura de madeira para telhado com telha ondulada de fibrocimento ou telha ecológica tipo onduline, com pontaletes e caibros, exclusive fornecimento</v>
          </cell>
          <cell r="C339" t="str">
            <v>m2</v>
          </cell>
          <cell r="D339">
            <v>1</v>
          </cell>
          <cell r="E339">
            <v>18.5</v>
          </cell>
          <cell r="F339">
            <v>18.5</v>
          </cell>
        </row>
        <row r="340">
          <cell r="A340" t="str">
            <v>090506</v>
          </cell>
          <cell r="B340" t="str">
            <v>Recolocação de telha ondulada de fibrocimento 6mm, excl. cumeeira</v>
          </cell>
          <cell r="C340" t="str">
            <v>m2</v>
          </cell>
          <cell r="D340">
            <v>1</v>
          </cell>
          <cell r="E340">
            <v>16.02</v>
          </cell>
          <cell r="F340">
            <v>16.02</v>
          </cell>
        </row>
        <row r="341">
          <cell r="A341" t="str">
            <v>090509</v>
          </cell>
          <cell r="B341" t="str">
            <v>Remoção, lavagem com escova de aço e recolocação de telhas cerâmicas</v>
          </cell>
          <cell r="C341" t="str">
            <v>m2</v>
          </cell>
          <cell r="D341">
            <v>1</v>
          </cell>
          <cell r="E341">
            <v>75.94</v>
          </cell>
          <cell r="F341">
            <v>75.94</v>
          </cell>
        </row>
        <row r="342">
          <cell r="A342" t="str">
            <v>090511</v>
          </cell>
          <cell r="B342" t="str">
            <v>Tratamento em estrutura de madeira com cupinicida</v>
          </cell>
          <cell r="C342" t="str">
            <v>m2</v>
          </cell>
          <cell r="D342">
            <v>1</v>
          </cell>
          <cell r="E342">
            <v>41.32</v>
          </cell>
          <cell r="F342">
            <v>41.32</v>
          </cell>
        </row>
        <row r="343">
          <cell r="A343" t="str">
            <v>090512</v>
          </cell>
          <cell r="B343" t="str">
            <v>Limpeza de calhas e coletores (serviço realizado por servente)</v>
          </cell>
          <cell r="C343" t="str">
            <v>m3</v>
          </cell>
          <cell r="D343">
            <v>1</v>
          </cell>
          <cell r="E343">
            <v>19.32</v>
          </cell>
          <cell r="F343">
            <v>19.32</v>
          </cell>
        </row>
        <row r="344">
          <cell r="A344" t="str">
            <v>10</v>
          </cell>
          <cell r="B344" t="str">
            <v>IMPERMEABILIZAÇÃO</v>
          </cell>
          <cell r="C344"/>
          <cell r="D344"/>
          <cell r="E344"/>
          <cell r="F344"/>
        </row>
        <row r="345">
          <cell r="A345" t="str">
            <v>1001</v>
          </cell>
          <cell r="B345" t="str">
            <v>IMPERMEABILIZAÇÃO DE CAIXAS DE ÁGUA</v>
          </cell>
          <cell r="C345"/>
          <cell r="D345"/>
          <cell r="E345"/>
          <cell r="F345"/>
        </row>
        <row r="346">
          <cell r="A346" t="str">
            <v>100102</v>
          </cell>
          <cell r="B346" t="str">
            <v>Impermeabilização nas seguintes etapas: chapisco traço 1:2 c/ sika 1 ou equivalente, revest. duplo c/ argamassa de cimento e areia traço 1:3 c/ sika 1 ou equivalente, em 2x15 mm e acab. argamassa 1:1</v>
          </cell>
          <cell r="C346" t="str">
            <v>m2</v>
          </cell>
          <cell r="D346">
            <v>1</v>
          </cell>
          <cell r="E346">
            <v>68.8</v>
          </cell>
          <cell r="F346">
            <v>68.8</v>
          </cell>
        </row>
        <row r="347">
          <cell r="A347" t="str">
            <v>100105</v>
          </cell>
          <cell r="B347" t="str">
            <v>Índice de imperm.c/ manta asfáltica atendendo NBR 9952, asfalto polimérico, esp.4mm reforç.c/ filme int.em polietileno, regul.base c/ arg.1:4 esp.mín.15mm, proteção mec. arg. 1:4 esp.20mm e juntas dilat.</v>
          </cell>
          <cell r="C347" t="str">
            <v>m2</v>
          </cell>
          <cell r="D347">
            <v>1</v>
          </cell>
          <cell r="E347">
            <v>246.2</v>
          </cell>
          <cell r="F347">
            <v>246.2</v>
          </cell>
        </row>
        <row r="348">
          <cell r="A348" t="str">
            <v>1002</v>
          </cell>
          <cell r="B348" t="str">
            <v>IMPERMEABILIZAÇÃO CALHAS, LAJES DESCOBERTAS, BALDRAMES, PAREDES E JARDINEIRAS</v>
          </cell>
          <cell r="C348"/>
          <cell r="D348"/>
          <cell r="E348"/>
          <cell r="F348"/>
        </row>
        <row r="349">
          <cell r="A349" t="str">
            <v>100202</v>
          </cell>
          <cell r="B349" t="str">
            <v>Impermeabilização com argamassa de igol 2 - marca de referência Sika</v>
          </cell>
          <cell r="C349" t="str">
            <v>m2</v>
          </cell>
          <cell r="D349">
            <v>1</v>
          </cell>
          <cell r="E349">
            <v>50.09</v>
          </cell>
          <cell r="F349">
            <v>50.09</v>
          </cell>
        </row>
        <row r="350">
          <cell r="A350" t="str">
            <v>100203</v>
          </cell>
          <cell r="B350" t="str">
            <v>Pintura impermeabilizante com igolflex ou equivalente a 3 demãos</v>
          </cell>
          <cell r="C350" t="str">
            <v>m2</v>
          </cell>
          <cell r="D350">
            <v>1</v>
          </cell>
          <cell r="E350">
            <v>41.96</v>
          </cell>
          <cell r="F350">
            <v>41.96</v>
          </cell>
        </row>
        <row r="351">
          <cell r="A351" t="str">
            <v>100204</v>
          </cell>
          <cell r="B351" t="str">
            <v>Impermeabilização, empregando argamassa de cimento e areia sem peneirar no traço 1:3 com aditivo impermeabilizado tipo sika 1 ou equivalente, espessura de 2 cm</v>
          </cell>
          <cell r="C351" t="str">
            <v>m2</v>
          </cell>
          <cell r="D351">
            <v>1</v>
          </cell>
          <cell r="E351">
            <v>37.659999999999997</v>
          </cell>
          <cell r="F351">
            <v>37.659999999999997</v>
          </cell>
        </row>
        <row r="352">
          <cell r="A352" t="str">
            <v>100208</v>
          </cell>
          <cell r="B352" t="str">
            <v>Índice de imperm.c/ manta asfáltica atendendo NBR 9952, asfalto polimerizado esp.3mm, reforç.c/ filme int. polietileno, regul. base c/ arg.1:4 esp.mín.15mm, proteção mec. arg.1:4 esp.20mm e juntas dilat.</v>
          </cell>
          <cell r="C352" t="str">
            <v>m2</v>
          </cell>
          <cell r="D352">
            <v>1</v>
          </cell>
          <cell r="E352">
            <v>232.27</v>
          </cell>
          <cell r="F352">
            <v>232.27</v>
          </cell>
        </row>
        <row r="353">
          <cell r="A353" t="str">
            <v>1003</v>
          </cell>
          <cell r="B353" t="str">
            <v>IMPERMEABILIZAÇÃO DE FOSSAS E FILTROS</v>
          </cell>
          <cell r="C353"/>
          <cell r="D353"/>
          <cell r="E353"/>
          <cell r="F353"/>
        </row>
        <row r="354">
          <cell r="A354" t="str">
            <v>100301</v>
          </cell>
          <cell r="B354" t="str">
            <v>Impermeabilização nas seguintes etapas: chapisco traço 1:2 c/ sika 1 prop. 1:10 ou equiv., revest. duplo c/ argamassa de cimento e areia traço 1:3 c/ sika 1 prop. 1:12 ou equivalente, esp. 2x15 mm e acab. argamassa 1:2</v>
          </cell>
          <cell r="C354" t="str">
            <v>m2</v>
          </cell>
          <cell r="D354">
            <v>1</v>
          </cell>
          <cell r="E354">
            <v>78.73</v>
          </cell>
          <cell r="F354">
            <v>78.73</v>
          </cell>
        </row>
        <row r="355">
          <cell r="A355" t="str">
            <v>11</v>
          </cell>
          <cell r="B355" t="str">
            <v>TETOS E FORROS</v>
          </cell>
          <cell r="C355"/>
          <cell r="D355"/>
          <cell r="E355"/>
          <cell r="F355"/>
        </row>
        <row r="356">
          <cell r="A356" t="str">
            <v>1101</v>
          </cell>
          <cell r="B356" t="str">
            <v>REVESTIMENTO COM ARGAMASSA</v>
          </cell>
          <cell r="C356"/>
          <cell r="D356"/>
          <cell r="E356"/>
          <cell r="F356"/>
        </row>
        <row r="357">
          <cell r="A357" t="str">
            <v>110101</v>
          </cell>
          <cell r="B357" t="str">
            <v>Chapisco com argamassa de cimento e areia média ou grossa lavada no traço 1:3, espessura 5 mm</v>
          </cell>
          <cell r="C357" t="str">
            <v>m2</v>
          </cell>
          <cell r="D357">
            <v>1</v>
          </cell>
          <cell r="E357">
            <v>11.13</v>
          </cell>
          <cell r="F357">
            <v>11.13</v>
          </cell>
        </row>
        <row r="358">
          <cell r="A358" t="str">
            <v>1102</v>
          </cell>
          <cell r="B358" t="str">
            <v>REBAIXAMENTOS</v>
          </cell>
          <cell r="C358"/>
          <cell r="D358"/>
          <cell r="E358"/>
          <cell r="F358"/>
        </row>
        <row r="359">
          <cell r="A359" t="str">
            <v>110201</v>
          </cell>
          <cell r="B359" t="str">
            <v>Forro de gesso acabamento tipo liso</v>
          </cell>
          <cell r="C359" t="str">
            <v>m2</v>
          </cell>
          <cell r="D359">
            <v>1</v>
          </cell>
          <cell r="E359">
            <v>41.67</v>
          </cell>
          <cell r="F359">
            <v>41.67</v>
          </cell>
        </row>
        <row r="360">
          <cell r="A360" t="str">
            <v>110210</v>
          </cell>
          <cell r="B360" t="str">
            <v>Forro PVC branco L = 20 cm, frisado, colocado</v>
          </cell>
          <cell r="C360" t="str">
            <v>m2</v>
          </cell>
          <cell r="D360">
            <v>1</v>
          </cell>
          <cell r="E360">
            <v>91.18</v>
          </cell>
          <cell r="F360">
            <v>91.18</v>
          </cell>
        </row>
        <row r="361">
          <cell r="A361" t="str">
            <v>1103</v>
          </cell>
          <cell r="B361" t="str">
            <v>REVESTIMENTO EMPREGANDO ARGAMASSA DE CIMENTO, CAL E AREIA</v>
          </cell>
          <cell r="C361"/>
          <cell r="D361"/>
          <cell r="E361"/>
          <cell r="F361"/>
        </row>
        <row r="362">
          <cell r="A362" t="str">
            <v>110301</v>
          </cell>
          <cell r="B362" t="str">
            <v>Emboço de argamassa de cimento, cal hidratada CH1 e areia lavada traço 1:0.5:6, espessura 20 mm</v>
          </cell>
          <cell r="C362" t="str">
            <v>m2</v>
          </cell>
          <cell r="D362">
            <v>1</v>
          </cell>
          <cell r="E362">
            <v>31.08</v>
          </cell>
          <cell r="F362">
            <v>31.08</v>
          </cell>
        </row>
        <row r="363">
          <cell r="A363" t="str">
            <v>110302</v>
          </cell>
          <cell r="B363" t="str">
            <v>Reboco tipo paulista de argamassa de cimento, cal hidratada CH1 e areia lavada traço 1:0.5:6, espessura 25 mm</v>
          </cell>
          <cell r="C363" t="str">
            <v>m2</v>
          </cell>
          <cell r="D363">
            <v>1</v>
          </cell>
          <cell r="E363">
            <v>53.64</v>
          </cell>
          <cell r="F363">
            <v>53.64</v>
          </cell>
        </row>
        <row r="364">
          <cell r="A364" t="str">
            <v>1104</v>
          </cell>
          <cell r="B364" t="str">
            <v>REVISÕES E REPAROS</v>
          </cell>
          <cell r="C364"/>
          <cell r="D364"/>
          <cell r="E364"/>
          <cell r="F364"/>
        </row>
        <row r="365">
          <cell r="A365" t="str">
            <v>110401</v>
          </cell>
          <cell r="B365" t="str">
            <v>Recolocação de forro de madeira, com aproveitamento do material</v>
          </cell>
          <cell r="C365" t="str">
            <v>m2</v>
          </cell>
          <cell r="D365">
            <v>1</v>
          </cell>
          <cell r="E365">
            <v>48.93</v>
          </cell>
          <cell r="F365">
            <v>48.93</v>
          </cell>
        </row>
        <row r="366">
          <cell r="A366" t="str">
            <v>12</v>
          </cell>
          <cell r="B366" t="str">
            <v>REVESTIMENTO DE PAREDES</v>
          </cell>
          <cell r="C366"/>
          <cell r="D366"/>
          <cell r="E366"/>
          <cell r="F366"/>
        </row>
        <row r="367">
          <cell r="A367" t="str">
            <v>1201</v>
          </cell>
          <cell r="B367" t="str">
            <v>REVESTIMENTO COM ARGAMASSA</v>
          </cell>
          <cell r="C367"/>
          <cell r="D367"/>
          <cell r="E367"/>
          <cell r="F367"/>
        </row>
        <row r="368">
          <cell r="A368" t="str">
            <v>120101</v>
          </cell>
          <cell r="B368" t="str">
            <v>Chapisco de argamassa de cimento e areia média ou grossa lavada, no traço 1:3, espessura 5 mm</v>
          </cell>
          <cell r="C368" t="str">
            <v>m2</v>
          </cell>
          <cell r="D368">
            <v>1</v>
          </cell>
          <cell r="E368">
            <v>5.69</v>
          </cell>
          <cell r="F368">
            <v>5.69</v>
          </cell>
        </row>
        <row r="369">
          <cell r="A369" t="str">
            <v>1202</v>
          </cell>
          <cell r="B369" t="str">
            <v>ACABAMENTOS</v>
          </cell>
          <cell r="C369"/>
          <cell r="D369"/>
          <cell r="E369"/>
          <cell r="F369"/>
        </row>
        <row r="370">
          <cell r="A370" t="str">
            <v>120201</v>
          </cell>
          <cell r="B370" t="str">
            <v>Azulejo branco 15 x 15 cm, juntas a prumo, assentado com argamassa de cimento colante, inclusive rejuntamento com cimento branco, marcas de referência Eliane, Cecrisa ou Portobello</v>
          </cell>
          <cell r="C370" t="str">
            <v>m2</v>
          </cell>
          <cell r="D370">
            <v>1</v>
          </cell>
          <cell r="E370">
            <v>88.45</v>
          </cell>
          <cell r="F370">
            <v>88.45</v>
          </cell>
        </row>
        <row r="371">
          <cell r="A371" t="str">
            <v>120205</v>
          </cell>
          <cell r="B371" t="str">
            <v>Roda-parede de madeira de lei tipo Paraju ou equivalente, de 10 x 2.5cm, fixado com parafuso e bucha plástica n° 8</v>
          </cell>
          <cell r="C371" t="str">
            <v>m</v>
          </cell>
          <cell r="D371">
            <v>1</v>
          </cell>
          <cell r="E371">
            <v>46.56</v>
          </cell>
          <cell r="F371">
            <v>46.56</v>
          </cell>
        </row>
        <row r="372">
          <cell r="A372" t="str">
            <v>120207</v>
          </cell>
          <cell r="B372" t="str">
            <v>Roda-parede de madeira de lei tipo Paraju ou equivalente, de 20 X 1.5cm fixado com parafuso e bucha plástica n° 7</v>
          </cell>
          <cell r="C372" t="str">
            <v>m</v>
          </cell>
          <cell r="D372">
            <v>1</v>
          </cell>
          <cell r="E372">
            <v>64.97</v>
          </cell>
          <cell r="F372">
            <v>64.97</v>
          </cell>
        </row>
        <row r="373">
          <cell r="A373" t="str">
            <v>120208</v>
          </cell>
          <cell r="B373" t="str">
            <v>Acabamento de alumínio com perfil de canto para arremate das paredes</v>
          </cell>
          <cell r="C373" t="str">
            <v>m</v>
          </cell>
          <cell r="D373">
            <v>1</v>
          </cell>
          <cell r="E373">
            <v>15.72</v>
          </cell>
          <cell r="F373">
            <v>15.72</v>
          </cell>
        </row>
        <row r="374">
          <cell r="A374" t="str">
            <v>120216</v>
          </cell>
          <cell r="B374" t="str">
            <v>Acabamento de perfil "U" em alumínio anodizado fosco 1/2"</v>
          </cell>
          <cell r="C374" t="str">
            <v>m</v>
          </cell>
          <cell r="D374">
            <v>1</v>
          </cell>
          <cell r="E374">
            <v>15.73</v>
          </cell>
          <cell r="F374">
            <v>15.73</v>
          </cell>
        </row>
        <row r="375">
          <cell r="A375" t="str">
            <v>120220</v>
          </cell>
          <cell r="B375" t="str">
            <v>Cerâmica 10 x 10 cm, marcas de referência Eliane, Cecrisa ou Portobello, nas cores branco ou areia, com rejunte esp. 0.5 cm, empregando argamassa colante</v>
          </cell>
          <cell r="C375" t="str">
            <v>m2</v>
          </cell>
          <cell r="D375">
            <v>1</v>
          </cell>
          <cell r="E375">
            <v>73.44</v>
          </cell>
          <cell r="F375">
            <v>73.44</v>
          </cell>
        </row>
        <row r="376">
          <cell r="A376" t="str">
            <v>120221</v>
          </cell>
          <cell r="B376" t="str">
            <v>Pastilha cerâmica branca 5 x 5 cm, assentada com argamassa de cimento colante e rejunte pré-fabricado, marcas de referência Atlas, Jatobá, NGK ou equivalentwe</v>
          </cell>
          <cell r="C376" t="str">
            <v>m2</v>
          </cell>
          <cell r="D376">
            <v>1</v>
          </cell>
          <cell r="E376">
            <v>165.48</v>
          </cell>
          <cell r="F376">
            <v>165.48</v>
          </cell>
        </row>
        <row r="377">
          <cell r="A377" t="str">
            <v>120224</v>
          </cell>
          <cell r="B377" t="str">
            <v>Assentamento de revestimento cerâmico com cimento colante, excl. rejuntamento e cerâmica</v>
          </cell>
          <cell r="C377" t="str">
            <v>m2</v>
          </cell>
          <cell r="D377">
            <v>1</v>
          </cell>
          <cell r="E377">
            <v>13.91</v>
          </cell>
          <cell r="F377">
            <v>13.91</v>
          </cell>
        </row>
        <row r="378">
          <cell r="A378" t="str">
            <v>120227</v>
          </cell>
          <cell r="B378" t="str">
            <v>Roda parede em granito cinza andorinha 7x2cm, com acabamento abaulado nos dois lados</v>
          </cell>
          <cell r="C378" t="str">
            <v>m</v>
          </cell>
          <cell r="D378">
            <v>1</v>
          </cell>
          <cell r="E378">
            <v>51.15</v>
          </cell>
          <cell r="F378">
            <v>51.15</v>
          </cell>
        </row>
        <row r="379">
          <cell r="A379" t="str">
            <v>120232</v>
          </cell>
          <cell r="B379" t="str">
            <v>Cerâmica 10 x 10 cm, ref Camburi branco Eliane, Cecrisa ou Portobello, empregando argamassa colante, inclusive rejuntamento junta plus cinza claro esp. 3 mm</v>
          </cell>
          <cell r="C379" t="str">
            <v>m2</v>
          </cell>
          <cell r="D379">
            <v>1</v>
          </cell>
          <cell r="E379">
            <v>79.08</v>
          </cell>
          <cell r="F379">
            <v>79.08</v>
          </cell>
        </row>
        <row r="380">
          <cell r="A380" t="str">
            <v>1203</v>
          </cell>
          <cell r="B380" t="str">
            <v>REVESTIMENTO EMPREGANDO ARGAMASSA DE CIMENTO, CAL E AREIA</v>
          </cell>
          <cell r="C380"/>
          <cell r="D380"/>
          <cell r="E380"/>
          <cell r="F380"/>
        </row>
        <row r="381">
          <cell r="A381" t="str">
            <v>120301</v>
          </cell>
          <cell r="B381" t="str">
            <v>Emboço de argamassa de cimento, cal hidratada CH1 e areia média ou grossa lavada no traço 1:0.5:6, espessura 20 mm</v>
          </cell>
          <cell r="C381" t="str">
            <v>m2</v>
          </cell>
          <cell r="D381">
            <v>1</v>
          </cell>
          <cell r="E381">
            <v>27.76</v>
          </cell>
          <cell r="F381">
            <v>27.76</v>
          </cell>
        </row>
        <row r="382">
          <cell r="A382" t="str">
            <v>120302</v>
          </cell>
          <cell r="B382" t="str">
            <v>Reboco de argamassa de cimento, cal hidratada CH1 e areia média ou grossa lavada no traço 1:0.5:6, espessura 5mm</v>
          </cell>
          <cell r="C382" t="str">
            <v>m2</v>
          </cell>
          <cell r="D382">
            <v>1</v>
          </cell>
          <cell r="E382">
            <v>19.670000000000002</v>
          </cell>
          <cell r="F382">
            <v>19.670000000000002</v>
          </cell>
        </row>
        <row r="383">
          <cell r="A383" t="str">
            <v>120303</v>
          </cell>
          <cell r="B383" t="str">
            <v>Reboco tipo paulista de argamassa de cimento, cal hidratada CH1 e areia média ou grossa lavada no traço 1:0.5:6, espessura 25 mm</v>
          </cell>
          <cell r="C383" t="str">
            <v>m2</v>
          </cell>
          <cell r="D383">
            <v>1</v>
          </cell>
          <cell r="E383">
            <v>47.53</v>
          </cell>
          <cell r="F383">
            <v>47.53</v>
          </cell>
        </row>
        <row r="384">
          <cell r="A384" t="str">
            <v>120304</v>
          </cell>
          <cell r="B384" t="str">
            <v>Reboco de argamassa de cimento, cal hidratada CH1 e areia média ou grossa lavada no traço 1:0.5:6, com impermeabilizante para revestimentos (caixas, fossas, filtros, cisternas, etc...)</v>
          </cell>
          <cell r="C384" t="str">
            <v>m2</v>
          </cell>
          <cell r="D384">
            <v>1</v>
          </cell>
          <cell r="E384">
            <v>53.33</v>
          </cell>
          <cell r="F384">
            <v>53.33</v>
          </cell>
        </row>
        <row r="385">
          <cell r="A385" t="str">
            <v>120308</v>
          </cell>
          <cell r="B385" t="str">
            <v>Chapisco de argamassa de cimento e areia média ou grossa lavada no traço 1:3, espessura 5mm, com utilização de impermeabilizante</v>
          </cell>
          <cell r="C385" t="str">
            <v>m2</v>
          </cell>
          <cell r="D385">
            <v>1</v>
          </cell>
          <cell r="E385">
            <v>6.59</v>
          </cell>
          <cell r="F385">
            <v>6.59</v>
          </cell>
        </row>
        <row r="386">
          <cell r="A386" t="str">
            <v>13</v>
          </cell>
          <cell r="B386" t="str">
            <v>PISOS INTERNOS E EXTERNOS</v>
          </cell>
          <cell r="C386"/>
          <cell r="D386"/>
          <cell r="E386"/>
          <cell r="F386"/>
        </row>
        <row r="387">
          <cell r="A387" t="str">
            <v>1301</v>
          </cell>
          <cell r="B387" t="str">
            <v>LASTRO DE CONTRAPISO</v>
          </cell>
          <cell r="C387"/>
          <cell r="D387"/>
          <cell r="E387"/>
          <cell r="F387"/>
        </row>
        <row r="388">
          <cell r="A388" t="str">
            <v>130103</v>
          </cell>
          <cell r="B388" t="str">
            <v>Regularização de base p/ revestimento cerâmico, com argamassa de cimento e areia no traço 1:5, espessura 3cm</v>
          </cell>
          <cell r="C388" t="str">
            <v>m2</v>
          </cell>
          <cell r="D388">
            <v>1</v>
          </cell>
          <cell r="E388">
            <v>19.829999999999998</v>
          </cell>
          <cell r="F388">
            <v>19.829999999999998</v>
          </cell>
        </row>
        <row r="389">
          <cell r="A389" t="str">
            <v>130104</v>
          </cell>
          <cell r="B389" t="str">
            <v>Regularização de base p/ revestimento cerâmico, com argamassa de cimento e areia no traço 1:5, espessura 5cm</v>
          </cell>
          <cell r="C389" t="str">
            <v>m2</v>
          </cell>
          <cell r="D389">
            <v>1</v>
          </cell>
          <cell r="E389">
            <v>30.83</v>
          </cell>
          <cell r="F389">
            <v>30.83</v>
          </cell>
        </row>
        <row r="390">
          <cell r="A390" t="str">
            <v>130109</v>
          </cell>
          <cell r="B390" t="str">
            <v>Lastro regularizado e impermeabilizado de concreto não estrutural, espessura de 8 cm</v>
          </cell>
          <cell r="C390" t="str">
            <v>m2</v>
          </cell>
          <cell r="D390">
            <v>1</v>
          </cell>
          <cell r="E390">
            <v>66.37</v>
          </cell>
          <cell r="F390">
            <v>66.37</v>
          </cell>
        </row>
        <row r="391">
          <cell r="A391" t="str">
            <v>130110</v>
          </cell>
          <cell r="B391" t="str">
            <v>Lastro regularizado de concreto não estrutural, espessura de 8 cm</v>
          </cell>
          <cell r="C391" t="str">
            <v>m2</v>
          </cell>
          <cell r="D391">
            <v>1</v>
          </cell>
          <cell r="E391">
            <v>53.1</v>
          </cell>
          <cell r="F391">
            <v>53.1</v>
          </cell>
        </row>
        <row r="392">
          <cell r="A392" t="str">
            <v>130111</v>
          </cell>
          <cell r="B392" t="str">
            <v>Lastro impermeabilizado de concreto não estrutural, espessura de 6 cm</v>
          </cell>
          <cell r="C392" t="str">
            <v>m2</v>
          </cell>
          <cell r="D392">
            <v>1</v>
          </cell>
          <cell r="E392">
            <v>50.25</v>
          </cell>
          <cell r="F392">
            <v>50.25</v>
          </cell>
        </row>
        <row r="393">
          <cell r="A393" t="str">
            <v>130112</v>
          </cell>
          <cell r="B393" t="str">
            <v>Lastro de concreto não estrutural, espessura de 6 cm</v>
          </cell>
          <cell r="C393" t="str">
            <v>m2</v>
          </cell>
          <cell r="D393">
            <v>1</v>
          </cell>
          <cell r="E393">
            <v>40.31</v>
          </cell>
          <cell r="F393">
            <v>40.31</v>
          </cell>
        </row>
        <row r="394">
          <cell r="A394" t="str">
            <v>130113</v>
          </cell>
          <cell r="B394" t="str">
            <v>Lastro impermeabilizado de concreto não estrutural, espessura de 8cm</v>
          </cell>
          <cell r="C394" t="str">
            <v>m2</v>
          </cell>
          <cell r="D394">
            <v>1</v>
          </cell>
          <cell r="E394">
            <v>66.84</v>
          </cell>
          <cell r="F394">
            <v>66.84</v>
          </cell>
        </row>
        <row r="395">
          <cell r="A395" t="str">
            <v>1302</v>
          </cell>
          <cell r="B395" t="str">
            <v>ACABAMENTOS</v>
          </cell>
          <cell r="C395"/>
          <cell r="D395"/>
          <cell r="E395"/>
          <cell r="F395"/>
        </row>
        <row r="396">
          <cell r="A396" t="str">
            <v>130202</v>
          </cell>
          <cell r="B396" t="str">
            <v>Piso cimentado liso com 1.5 cm de espessura, de argamassa de cimento e areia no traço 1:3 e juntas plásticas em quadros de 1 m</v>
          </cell>
          <cell r="C396" t="str">
            <v>m2</v>
          </cell>
          <cell r="D396">
            <v>1</v>
          </cell>
          <cell r="E396">
            <v>47.17</v>
          </cell>
          <cell r="F396">
            <v>47.17</v>
          </cell>
        </row>
        <row r="397">
          <cell r="A397" t="str">
            <v>130205</v>
          </cell>
          <cell r="B397" t="str">
            <v>Piso de tábuas corridas de Peroba de 15cm sobre caibros de 5x6cm espaçados de 50cm, fixados com argamassa de cimento e areia no traço 1:5</v>
          </cell>
          <cell r="C397" t="str">
            <v>m2</v>
          </cell>
          <cell r="D397">
            <v>1</v>
          </cell>
          <cell r="E397">
            <v>415.12</v>
          </cell>
          <cell r="F397">
            <v>415.12</v>
          </cell>
        </row>
        <row r="398">
          <cell r="A398" t="str">
            <v>130208</v>
          </cell>
          <cell r="B398" t="str">
            <v>Junta plástica 17 x 3 mm, para pisos corridos, inclusive fornecimento e colocação</v>
          </cell>
          <cell r="C398" t="str">
            <v>m</v>
          </cell>
          <cell r="D398">
            <v>1</v>
          </cell>
          <cell r="E398">
            <v>9.4600000000000009</v>
          </cell>
          <cell r="F398">
            <v>9.4600000000000009</v>
          </cell>
        </row>
        <row r="399">
          <cell r="A399" t="str">
            <v>130209</v>
          </cell>
          <cell r="B399" t="str">
            <v>Piso de cimentado camurçado executado com argamassa de cimento e areia no traço 1:3, esp. 3.0cm</v>
          </cell>
          <cell r="C399" t="str">
            <v>m2</v>
          </cell>
          <cell r="D399">
            <v>1</v>
          </cell>
          <cell r="E399">
            <v>85.42</v>
          </cell>
          <cell r="F399">
            <v>85.42</v>
          </cell>
        </row>
        <row r="400">
          <cell r="A400" t="str">
            <v>130210</v>
          </cell>
          <cell r="B400" t="str">
            <v>Piso cimentado liso com 1.5 cm de espessura, em argamassa de cimento e areia no traço 1:3 e juntas plásticas em quadros de 1 m colorido com corante tipo Xadrez ou equivalente</v>
          </cell>
          <cell r="C400" t="str">
            <v>m2</v>
          </cell>
          <cell r="D400">
            <v>1</v>
          </cell>
          <cell r="E400">
            <v>54.66</v>
          </cell>
          <cell r="F400">
            <v>54.66</v>
          </cell>
        </row>
        <row r="401">
          <cell r="A401" t="str">
            <v>130211</v>
          </cell>
          <cell r="B401" t="str">
            <v>Fornecimento e instalação de Piso Paviflex dim. 30x30cm, esp. 2mm linha Chroma Concept ref. Fademac ou equivalente</v>
          </cell>
          <cell r="C401" t="str">
            <v>m2</v>
          </cell>
          <cell r="D401">
            <v>1</v>
          </cell>
          <cell r="E401">
            <v>143.25</v>
          </cell>
          <cell r="F401">
            <v>143.25</v>
          </cell>
        </row>
        <row r="402">
          <cell r="A402" t="str">
            <v>130219</v>
          </cell>
          <cell r="B402" t="str">
            <v>Piso cerâmico 45x45cm, PEI 5, Cargo Plus Gray, marcas de referência Eliane, Cecrisa ou Portobello, assentado com argamassa de cimento colante, inclusive rejuntamento</v>
          </cell>
          <cell r="C402" t="str">
            <v>m2</v>
          </cell>
          <cell r="D402">
            <v>1</v>
          </cell>
          <cell r="E402">
            <v>71.17</v>
          </cell>
          <cell r="F402">
            <v>71.17</v>
          </cell>
        </row>
        <row r="403">
          <cell r="A403" t="str">
            <v>130222</v>
          </cell>
          <cell r="B403" t="str">
            <v>Revestimento de piso com placas de borracha plurigoma preto pastilhado ou equivalente, inclusive arremate</v>
          </cell>
          <cell r="C403" t="str">
            <v>m2</v>
          </cell>
          <cell r="D403">
            <v>1</v>
          </cell>
          <cell r="E403">
            <v>107.22</v>
          </cell>
          <cell r="F403">
            <v>107.22</v>
          </cell>
        </row>
        <row r="404">
          <cell r="A404" t="str">
            <v>130223</v>
          </cell>
          <cell r="B404" t="str">
            <v>Assentamento de piso cerâmico, com utilização de cimento colante, excl. rejuntamento e cerâmica</v>
          </cell>
          <cell r="C404" t="str">
            <v>m2</v>
          </cell>
          <cell r="D404">
            <v>1</v>
          </cell>
          <cell r="E404">
            <v>12.48</v>
          </cell>
          <cell r="F404">
            <v>12.48</v>
          </cell>
        </row>
        <row r="405">
          <cell r="A405" t="str">
            <v>130225</v>
          </cell>
          <cell r="B405" t="str">
            <v>Rejuntamento de piso cerâmico, usando cimento branco, para juntas de no máximo 3mm de espessura</v>
          </cell>
          <cell r="C405" t="str">
            <v>m2</v>
          </cell>
          <cell r="D405">
            <v>1</v>
          </cell>
          <cell r="E405">
            <v>8.61</v>
          </cell>
          <cell r="F405">
            <v>8.61</v>
          </cell>
        </row>
        <row r="406">
          <cell r="A406" t="str">
            <v>130226</v>
          </cell>
          <cell r="B406" t="str">
            <v>Rejuntamento empregando argamassa para rejunte, esp. 5mm</v>
          </cell>
          <cell r="C406" t="str">
            <v>m2</v>
          </cell>
          <cell r="D406">
            <v>1</v>
          </cell>
          <cell r="E406">
            <v>12.5</v>
          </cell>
          <cell r="F406">
            <v>12.5</v>
          </cell>
        </row>
        <row r="407">
          <cell r="A407" t="str">
            <v>130228</v>
          </cell>
          <cell r="B407" t="str">
            <v>Assentamento e rejuntamento de piso em porcelanato (dimensões superiores a 30x30cm) utilizando dupla colagem de argamassa colante para porcelanato tipo ACIII, exclusive fornecimento do porcelanato e do rejunte</v>
          </cell>
          <cell r="C407" t="str">
            <v>m2</v>
          </cell>
          <cell r="D407">
            <v>1</v>
          </cell>
          <cell r="E407">
            <v>45.45</v>
          </cell>
          <cell r="F407">
            <v>45.45</v>
          </cell>
        </row>
        <row r="408">
          <cell r="A408" t="str">
            <v>130230</v>
          </cell>
          <cell r="B408" t="str">
            <v>Piso argamassa alta resistência tipo granilite ou equiv de qualidade comprovada, esp de 10mm, com juntas plástica em quadros de 1m, na cor natural, com acabamento anti-derrapante mecanizado, inclusive regularização e=3.0cm</v>
          </cell>
          <cell r="C408" t="str">
            <v>m2</v>
          </cell>
          <cell r="D408">
            <v>1</v>
          </cell>
          <cell r="E408">
            <v>103.87</v>
          </cell>
          <cell r="F408">
            <v>103.87</v>
          </cell>
        </row>
        <row r="409">
          <cell r="A409" t="str">
            <v>130231</v>
          </cell>
          <cell r="B409" t="str">
            <v>Piso argamassa alta resistência tipo granilite ou equiv de qualidade comprovada, esp de 10mm, com juntas plástica em quadros de 1m, na cor natural, com acabamento polido mecanizado, inclusive regularização e=3.0cm</v>
          </cell>
          <cell r="C409" t="str">
            <v>m2</v>
          </cell>
          <cell r="D409">
            <v>1</v>
          </cell>
          <cell r="E409">
            <v>114.99</v>
          </cell>
          <cell r="F409">
            <v>114.99</v>
          </cell>
        </row>
        <row r="410">
          <cell r="A410" t="str">
            <v>130232</v>
          </cell>
          <cell r="B410" t="str">
            <v>Porcelanato polido, acabamento brilhante, dim. 50x50cm, ref. de cor PANNA PLUS PO Eliane/equiv, utilizando dupla colagem de argamassa colante para porcelanato tipo ACIII e rejunte 1mm para porcelanato</v>
          </cell>
          <cell r="C410" t="str">
            <v>m2</v>
          </cell>
          <cell r="D410">
            <v>1</v>
          </cell>
          <cell r="E410">
            <v>150.94</v>
          </cell>
          <cell r="F410">
            <v>150.94</v>
          </cell>
        </row>
        <row r="411">
          <cell r="A411" t="str">
            <v>130233</v>
          </cell>
          <cell r="B411" t="str">
            <v>Porcelanato polido, acabamento acetinado, dim. 60x60cm, ref. de cor CIMENTO CINZA BOLD Potobello/equiv, utilizando dupla colagem de argamassa colante para porcelanato tipo ACIII e rejunte 1mm para porcelanato</v>
          </cell>
          <cell r="C411" t="str">
            <v>m2</v>
          </cell>
          <cell r="D411">
            <v>1</v>
          </cell>
          <cell r="E411">
            <v>101.08</v>
          </cell>
          <cell r="F411">
            <v>101.08</v>
          </cell>
        </row>
        <row r="412">
          <cell r="A412" t="str">
            <v>130234</v>
          </cell>
          <cell r="B412" t="str">
            <v>Porcelanato natural, acabamento acetinado, dim. 60x60cm, ref. PLATINA NA Eliane/equiv, utilizando dupla colagem de argamassa colante para porcelanato tipo ACIII e rejunte 1mm para porcelanato</v>
          </cell>
          <cell r="C412" t="str">
            <v>m2</v>
          </cell>
          <cell r="D412">
            <v>1</v>
          </cell>
          <cell r="E412">
            <v>143.81</v>
          </cell>
          <cell r="F412">
            <v>143.81</v>
          </cell>
        </row>
        <row r="413">
          <cell r="A413" t="str">
            <v>130236</v>
          </cell>
          <cell r="B413" t="str">
            <v>Piso cerâmico esmaltado, PEI 5, acabamento semibrilho, dim. 45x45cm, ref. de cor CARGO PLUS WHITE Eliane/equiv. assentado com argamassa de cimento colante, inclusive rejuntamento</v>
          </cell>
          <cell r="C413" t="str">
            <v>m2</v>
          </cell>
          <cell r="D413">
            <v>1</v>
          </cell>
          <cell r="E413">
            <v>68.400000000000006</v>
          </cell>
          <cell r="F413">
            <v>68.400000000000006</v>
          </cell>
        </row>
        <row r="414">
          <cell r="A414" t="str">
            <v>130237</v>
          </cell>
          <cell r="B414" t="str">
            <v>Assentamento e rejuntamento de piso em porcelanato (dimensões superiores a 30x30cm) utilizando dupla colagem de argamassa colante para porcelanato tipo ACII/ACIII, exclusive fornecimento do porcelanato e do rejunte</v>
          </cell>
          <cell r="C414" t="str">
            <v>m2</v>
          </cell>
          <cell r="D414">
            <v>1</v>
          </cell>
          <cell r="E414">
            <v>45.45</v>
          </cell>
          <cell r="F414">
            <v>45.45</v>
          </cell>
        </row>
        <row r="415">
          <cell r="A415" t="str">
            <v>1303</v>
          </cell>
          <cell r="B415" t="str">
            <v>DEGRAUS, RODAPÉS, SOLEIRAS E PEITORIS</v>
          </cell>
          <cell r="C415"/>
          <cell r="D415"/>
          <cell r="E415"/>
          <cell r="F415"/>
        </row>
        <row r="416">
          <cell r="A416" t="str">
            <v>130301</v>
          </cell>
          <cell r="B416" t="str">
            <v>Rodapé de argamassa de cimento e areia no traço 1:3, altura de 7 cm e espessura de 2 cm</v>
          </cell>
          <cell r="C416" t="str">
            <v>m</v>
          </cell>
          <cell r="D416">
            <v>1</v>
          </cell>
          <cell r="E416">
            <v>11.8</v>
          </cell>
          <cell r="F416">
            <v>11.8</v>
          </cell>
        </row>
        <row r="417">
          <cell r="A417" t="str">
            <v>130303</v>
          </cell>
          <cell r="B417" t="str">
            <v>Rodapé de cerâmica PEI-3, assentado com argamassa de cimento cola h = 7.0 cm, inclusive rejuntamento com cimento branco</v>
          </cell>
          <cell r="C417" t="str">
            <v>m</v>
          </cell>
          <cell r="D417">
            <v>1</v>
          </cell>
          <cell r="E417">
            <v>14.39</v>
          </cell>
          <cell r="F417">
            <v>14.39</v>
          </cell>
        </row>
        <row r="418">
          <cell r="A418" t="str">
            <v>130304</v>
          </cell>
          <cell r="B418" t="str">
            <v>Rodapé de madeira de lei 7.0 x 1.5 cm, fixado com parafuso e bucha plástica n° 7</v>
          </cell>
          <cell r="C418" t="str">
            <v>m</v>
          </cell>
          <cell r="D418">
            <v>1</v>
          </cell>
          <cell r="E418">
            <v>28.03</v>
          </cell>
          <cell r="F418">
            <v>28.03</v>
          </cell>
        </row>
        <row r="419">
          <cell r="A419" t="str">
            <v>130307</v>
          </cell>
          <cell r="B419" t="str">
            <v>Peitoril de mármore branco com largura 40 cm e esp. 3cm</v>
          </cell>
          <cell r="C419" t="str">
            <v>m</v>
          </cell>
          <cell r="D419">
            <v>1</v>
          </cell>
          <cell r="E419">
            <v>134.41999999999999</v>
          </cell>
          <cell r="F419">
            <v>134.41999999999999</v>
          </cell>
        </row>
        <row r="420">
          <cell r="A420" t="str">
            <v>130308</v>
          </cell>
          <cell r="B420" t="str">
            <v>Soleira de granito esp. 2 cm e largura de 15 cm</v>
          </cell>
          <cell r="C420" t="str">
            <v>m</v>
          </cell>
          <cell r="D420">
            <v>1</v>
          </cell>
          <cell r="E420">
            <v>46.5</v>
          </cell>
          <cell r="F420">
            <v>46.5</v>
          </cell>
        </row>
        <row r="421">
          <cell r="A421" t="str">
            <v>130311</v>
          </cell>
          <cell r="B421" t="str">
            <v>Soleira de granito cinza, espessura 3 cm e largura de 3 cm, conforme detalhe em projeto</v>
          </cell>
          <cell r="C421" t="str">
            <v>m</v>
          </cell>
          <cell r="D421">
            <v>1</v>
          </cell>
          <cell r="E421">
            <v>24.44</v>
          </cell>
          <cell r="F421">
            <v>24.44</v>
          </cell>
        </row>
        <row r="422">
          <cell r="A422" t="str">
            <v>130315</v>
          </cell>
          <cell r="B422" t="str">
            <v>Rodapé de mármore ou granito, assentado com argamassa de cimento, cal hidratada CH1 e areia no traço 1:0,5:8, incl. rejuntamento com cimento branco, h=7cm</v>
          </cell>
          <cell r="C422" t="str">
            <v>m</v>
          </cell>
          <cell r="D422">
            <v>1</v>
          </cell>
          <cell r="E422">
            <v>40.94</v>
          </cell>
          <cell r="F422">
            <v>40.94</v>
          </cell>
        </row>
        <row r="423">
          <cell r="A423" t="str">
            <v>130317</v>
          </cell>
          <cell r="B423" t="str">
            <v>Peitoril de granito cinza polido, 15 cm, esp. 3cm</v>
          </cell>
          <cell r="C423" t="str">
            <v>m</v>
          </cell>
          <cell r="D423">
            <v>1</v>
          </cell>
          <cell r="E423">
            <v>75.41</v>
          </cell>
          <cell r="F423">
            <v>75.41</v>
          </cell>
        </row>
        <row r="424">
          <cell r="A424" t="str">
            <v>130320</v>
          </cell>
          <cell r="B424" t="str">
            <v>Rodapé em cerâmica PEI-3, h = 7cm, assentado com argamassa de cimento, cal e areia, incl. rejuntamento com cimento branco</v>
          </cell>
          <cell r="C424" t="str">
            <v>m</v>
          </cell>
          <cell r="D424">
            <v>1</v>
          </cell>
          <cell r="E424">
            <v>28.44</v>
          </cell>
          <cell r="F424">
            <v>28.44</v>
          </cell>
        </row>
        <row r="425">
          <cell r="A425" t="str">
            <v>130321</v>
          </cell>
          <cell r="B425" t="str">
            <v>Rodapé de granito cinza esp. 2cm, h=7cm, assentado com argamassa de cimento, cal hidratada CH1 e areia no traço 1:0,5:8, incl. rejuntamento com cimento branco</v>
          </cell>
          <cell r="C425" t="str">
            <v>m</v>
          </cell>
          <cell r="D425">
            <v>1</v>
          </cell>
          <cell r="E425">
            <v>42.69</v>
          </cell>
          <cell r="F425">
            <v>42.69</v>
          </cell>
        </row>
        <row r="426">
          <cell r="A426" t="str">
            <v>130322</v>
          </cell>
          <cell r="B426" t="str">
            <v>Rodapé de argamassa de alta resistência tipo granilite ou equivalente de qualidade comprovada, altura de 10 cm e espessura de 10 mm, com cantos boleados, executado com cimento e granitina grana N.1, inclusive polimento</v>
          </cell>
          <cell r="C426" t="str">
            <v>m</v>
          </cell>
          <cell r="D426">
            <v>1</v>
          </cell>
          <cell r="E426">
            <v>23.37</v>
          </cell>
          <cell r="F426">
            <v>23.37</v>
          </cell>
        </row>
        <row r="427">
          <cell r="A427" t="str">
            <v>130323</v>
          </cell>
          <cell r="B427" t="str">
            <v>Soleira de argamassa de alta resistência tipo granilite ou equivalente de qualidade comprovada, largura de 15cm, executado com cimento e granitina grana N.1</v>
          </cell>
          <cell r="C427" t="str">
            <v>m</v>
          </cell>
          <cell r="D427">
            <v>1</v>
          </cell>
          <cell r="E427">
            <v>40.53</v>
          </cell>
          <cell r="F427">
            <v>40.53</v>
          </cell>
        </row>
        <row r="428">
          <cell r="A428" t="str">
            <v>1304</v>
          </cell>
          <cell r="B428" t="str">
            <v>REVISÕES E REPAROS</v>
          </cell>
          <cell r="C428"/>
          <cell r="D428"/>
          <cell r="E428"/>
          <cell r="F428"/>
        </row>
        <row r="429">
          <cell r="A429" t="str">
            <v>130403</v>
          </cell>
          <cell r="B429" t="str">
            <v>Recomposição de piso cimentado, com argamassa de cimento e areia no traço 1:3, com 2 cm de espessura, incl. lastro</v>
          </cell>
          <cell r="C429" t="str">
            <v>m2</v>
          </cell>
          <cell r="D429">
            <v>1</v>
          </cell>
          <cell r="E429">
            <v>105.35</v>
          </cell>
          <cell r="F429">
            <v>105.35</v>
          </cell>
        </row>
        <row r="430">
          <cell r="A430" t="str">
            <v>14</v>
          </cell>
          <cell r="B430" t="str">
            <v>INSTALAÇÕES HIDRO-SANITÁRIAS</v>
          </cell>
          <cell r="C430"/>
          <cell r="D430"/>
          <cell r="E430"/>
          <cell r="F430"/>
        </row>
        <row r="431">
          <cell r="A431" t="str">
            <v>1401</v>
          </cell>
          <cell r="B431" t="str">
            <v>SUMIDOUROS, FOSSAS SÉPTICAS E FILTROS ANAERÓBIOS</v>
          </cell>
          <cell r="C431"/>
          <cell r="D431"/>
          <cell r="E431"/>
          <cell r="F431"/>
        </row>
        <row r="432">
          <cell r="A432" t="str">
            <v>140102</v>
          </cell>
          <cell r="B432" t="str">
            <v>Fossa séptica de anéis pré-moldados de concreto, diâmetro 1.20 m, altura útil de 1.70m, completa, incluindo tampa c/visita de 60cm, concreto p/fundo esp.10 cm, e tubo para ligação ao filtro</v>
          </cell>
          <cell r="C432" t="str">
            <v>und</v>
          </cell>
          <cell r="D432">
            <v>1</v>
          </cell>
          <cell r="E432">
            <v>1941.53</v>
          </cell>
          <cell r="F432">
            <v>1941.53</v>
          </cell>
        </row>
        <row r="433">
          <cell r="A433" t="str">
            <v>140103</v>
          </cell>
          <cell r="B433" t="str">
            <v>Filtro anaeróbio de anéis pré-moldados de concreto, diâmetro de 1.20m, altura útil de 1.80m, completo, incl. tampa c/visita de 60 cm, concreto p/fundo esp.10cm e tubulação de saída de esgoto</v>
          </cell>
          <cell r="C433" t="str">
            <v>und</v>
          </cell>
          <cell r="D433">
            <v>1</v>
          </cell>
          <cell r="E433">
            <v>2503.86</v>
          </cell>
          <cell r="F433">
            <v>2503.86</v>
          </cell>
        </row>
        <row r="434">
          <cell r="A434" t="str">
            <v>140108</v>
          </cell>
          <cell r="B434" t="str">
            <v>Fossa séptica de anéis pré-moldados de concreto, diâmetro 2.00 m, Hútil 2.0m completa, incluindo tampa c/visita de 60cm, concreto p/ fundo esp.10 cm, tubo de limpeza e escavação, conf. detalhe em projeto</v>
          </cell>
          <cell r="C434" t="str">
            <v>und</v>
          </cell>
          <cell r="D434">
            <v>1</v>
          </cell>
          <cell r="E434">
            <v>5956.69</v>
          </cell>
          <cell r="F434">
            <v>5956.69</v>
          </cell>
        </row>
        <row r="435">
          <cell r="A435" t="str">
            <v>140109</v>
          </cell>
          <cell r="B435" t="str">
            <v>Filtro anaeróbio de anéis pré-moldados de concreto, diâm. 2.0m, Hútil 2.0m, compl., incl. tampa c/visita 60cm, concreto p/ fundo esp. 10cm, escavação, brita 4 e tubulação de saída esgoto 150mm, conf. proj.</v>
          </cell>
          <cell r="C435" t="str">
            <v>und</v>
          </cell>
          <cell r="D435">
            <v>1</v>
          </cell>
          <cell r="E435">
            <v>5487.23</v>
          </cell>
          <cell r="F435">
            <v>5487.23</v>
          </cell>
        </row>
        <row r="436">
          <cell r="A436" t="str">
            <v>1402</v>
          </cell>
          <cell r="B436" t="str">
            <v>ENTRADA DE ÁGUA</v>
          </cell>
          <cell r="C436"/>
          <cell r="D436"/>
          <cell r="E436"/>
          <cell r="F436"/>
        </row>
        <row r="437">
          <cell r="A437" t="str">
            <v>140201</v>
          </cell>
          <cell r="B437" t="str">
            <v>Padrão de entrada d' água com cavalete de PVC para hidrômetro com diâmetro de 3/4" - padrão 1C da CESAN. Instalado em vão de muro protegido com gradeamento. Inclusive base de concreto magro, tubulação, conexões e registro. Conferir detalhe.</v>
          </cell>
          <cell r="C437" t="str">
            <v>und</v>
          </cell>
          <cell r="D437">
            <v>1</v>
          </cell>
          <cell r="E437">
            <v>360.21</v>
          </cell>
          <cell r="F437">
            <v>360.21</v>
          </cell>
        </row>
        <row r="438">
          <cell r="A438" t="str">
            <v>140207</v>
          </cell>
          <cell r="B438" t="str">
            <v>Padrão de entrada d'água com caixa termoplástica para hidrômetro de 3/4" - padrão 1B da CESAN. Instalado embutido na alvenaria. Inclusive tubulação, conexões, registro, tubo camisa e caixa com tampa transparente. Conferir detalhe.</v>
          </cell>
          <cell r="C438" t="str">
            <v>und</v>
          </cell>
          <cell r="D438">
            <v>1</v>
          </cell>
          <cell r="E438">
            <v>447.18</v>
          </cell>
          <cell r="F438">
            <v>447.18</v>
          </cell>
        </row>
        <row r="439">
          <cell r="A439" t="str">
            <v>140208</v>
          </cell>
          <cell r="B439" t="str">
            <v>Padrão entrada d'água com caixa enterrada para hidrômetro com diâmetro de 1" - padrão 2B da CESAN. Caixa em alvenaria 60x80x40cm e com tampa articulada de ferro fundido, registro e conexões para instalação de hidrômetro. Conferir detalhe</v>
          </cell>
          <cell r="C439" t="str">
            <v>und</v>
          </cell>
          <cell r="D439">
            <v>1</v>
          </cell>
          <cell r="E439">
            <v>639.98</v>
          </cell>
          <cell r="F439">
            <v>639.98</v>
          </cell>
        </row>
        <row r="440">
          <cell r="A440" t="str">
            <v>140209</v>
          </cell>
          <cell r="B440" t="str">
            <v>Mureta p/ cavalete (Padrão 1B - CESAN) de alv. blocos cerâmicos 10x20x20cm deitados, dimensões 0.80x1.0x0.20m, para instalação de caixa termoplastica, incl revest. em reboco e lastro concreto esp.10cm, exclusive caixa e cavalete</v>
          </cell>
          <cell r="C440" t="str">
            <v>und</v>
          </cell>
          <cell r="D440">
            <v>1</v>
          </cell>
          <cell r="E440">
            <v>236.69</v>
          </cell>
          <cell r="F440">
            <v>236.69</v>
          </cell>
        </row>
        <row r="441">
          <cell r="A441" t="str">
            <v>1407</v>
          </cell>
          <cell r="B441" t="str">
            <v>PONTOS HIDRO-SANITÁRIOS</v>
          </cell>
          <cell r="C441"/>
          <cell r="D441"/>
          <cell r="E441"/>
          <cell r="F441"/>
        </row>
        <row r="442">
          <cell r="A442" t="str">
            <v>140701</v>
          </cell>
          <cell r="B442" t="str">
            <v>Ponto de água fria (lavatório, tanque, pia de cozinha, etc...)</v>
          </cell>
          <cell r="C442" t="str">
            <v>pt</v>
          </cell>
          <cell r="D442">
            <v>1</v>
          </cell>
          <cell r="E442">
            <v>94.74</v>
          </cell>
          <cell r="F442">
            <v>94.74</v>
          </cell>
        </row>
        <row r="443">
          <cell r="A443" t="str">
            <v>140702</v>
          </cell>
          <cell r="B443" t="str">
            <v>Ponto com registro de pressão (chuveiro, caixa de descarga, etc...)</v>
          </cell>
          <cell r="C443" t="str">
            <v>pt</v>
          </cell>
          <cell r="D443">
            <v>1</v>
          </cell>
          <cell r="E443">
            <v>211.09</v>
          </cell>
          <cell r="F443">
            <v>211.09</v>
          </cell>
        </row>
        <row r="444">
          <cell r="A444" t="str">
            <v>140703</v>
          </cell>
          <cell r="B444" t="str">
            <v>Ponto de torneira de jardim (para praças)</v>
          </cell>
          <cell r="C444" t="str">
            <v>pt</v>
          </cell>
          <cell r="D444">
            <v>1</v>
          </cell>
          <cell r="E444">
            <v>385.76</v>
          </cell>
          <cell r="F444">
            <v>385.76</v>
          </cell>
        </row>
        <row r="445">
          <cell r="A445" t="str">
            <v>140704</v>
          </cell>
          <cell r="B445" t="str">
            <v>Ponto de válvula de descarga, inclusive válvula (sem acabamento)</v>
          </cell>
          <cell r="C445" t="str">
            <v>pt</v>
          </cell>
          <cell r="D445">
            <v>1</v>
          </cell>
          <cell r="E445">
            <v>380.8</v>
          </cell>
          <cell r="F445">
            <v>380.8</v>
          </cell>
        </row>
        <row r="446">
          <cell r="A446" t="str">
            <v>140705</v>
          </cell>
          <cell r="B446" t="str">
            <v>Ponto para esgoto primário (vaso sanitário)</v>
          </cell>
          <cell r="C446" t="str">
            <v>pt</v>
          </cell>
          <cell r="D446">
            <v>1</v>
          </cell>
          <cell r="E446">
            <v>111.23</v>
          </cell>
          <cell r="F446">
            <v>111.23</v>
          </cell>
        </row>
        <row r="447">
          <cell r="A447" t="str">
            <v>140706</v>
          </cell>
          <cell r="B447" t="str">
            <v>Ponto para esgoto secundário (pia, lavatório, mictório, tanque, bidê, etc...)</v>
          </cell>
          <cell r="C447" t="str">
            <v>pt</v>
          </cell>
          <cell r="D447">
            <v>1</v>
          </cell>
          <cell r="E447">
            <v>86.3</v>
          </cell>
          <cell r="F447">
            <v>86.3</v>
          </cell>
        </row>
        <row r="448">
          <cell r="A448" t="str">
            <v>140707</v>
          </cell>
          <cell r="B448" t="str">
            <v>Ponto para caixa sifonada, inclusive caixa sifonada pvc 150x150x50mm com grelha em pvc</v>
          </cell>
          <cell r="C448" t="str">
            <v>pt</v>
          </cell>
          <cell r="D448">
            <v>1</v>
          </cell>
          <cell r="E448">
            <v>159.07</v>
          </cell>
          <cell r="F448">
            <v>159.07</v>
          </cell>
        </row>
        <row r="449">
          <cell r="A449" t="str">
            <v>140708</v>
          </cell>
          <cell r="B449" t="str">
            <v>Ponto para ralo sifonado, inclusive ralo sifonado 100 x 40 mm c/ grelha em pvc</v>
          </cell>
          <cell r="C449" t="str">
            <v>pt</v>
          </cell>
          <cell r="D449">
            <v>1</v>
          </cell>
          <cell r="E449">
            <v>79.16</v>
          </cell>
          <cell r="F449">
            <v>79.16</v>
          </cell>
        </row>
        <row r="450">
          <cell r="A450" t="str">
            <v>140709</v>
          </cell>
          <cell r="B450" t="str">
            <v>Ponto para ralo seco, inclusive ralo pvc 10 cm com grelha em pvc</v>
          </cell>
          <cell r="C450" t="str">
            <v>pt</v>
          </cell>
          <cell r="D450">
            <v>1</v>
          </cell>
          <cell r="E450">
            <v>81.66</v>
          </cell>
          <cell r="F450">
            <v>81.66</v>
          </cell>
        </row>
        <row r="451">
          <cell r="A451" t="str">
            <v>140710</v>
          </cell>
          <cell r="B451" t="str">
            <v>Ponto para caixa sifonada, inclusive caixa sifonada pvc 150x150x50mm com grelha em aço inox</v>
          </cell>
          <cell r="C451" t="str">
            <v>und</v>
          </cell>
          <cell r="D451">
            <v>1</v>
          </cell>
          <cell r="E451">
            <v>202.13</v>
          </cell>
          <cell r="F451">
            <v>202.13</v>
          </cell>
        </row>
        <row r="452">
          <cell r="A452" t="str">
            <v>140711</v>
          </cell>
          <cell r="B452" t="str">
            <v>Ponto para ralo sifonado, inclusive ralo sifonado 100 x 40 mm c/ grelha em açõ inox</v>
          </cell>
          <cell r="C452" t="str">
            <v>und</v>
          </cell>
          <cell r="D452">
            <v>1</v>
          </cell>
          <cell r="E452">
            <v>91.23</v>
          </cell>
          <cell r="F452">
            <v>91.23</v>
          </cell>
        </row>
        <row r="453">
          <cell r="A453" t="str">
            <v>140712</v>
          </cell>
          <cell r="B453" t="str">
            <v>Ponto de válvula de descarga, inclusive válvula e acabamento anti-vandalismo cromado referência Docol, Fabrimar e Deca</v>
          </cell>
          <cell r="C453" t="str">
            <v>und</v>
          </cell>
          <cell r="D453">
            <v>1</v>
          </cell>
          <cell r="E453">
            <v>710.37</v>
          </cell>
          <cell r="F453">
            <v>710.37</v>
          </cell>
        </row>
        <row r="454">
          <cell r="A454" t="str">
            <v>140713</v>
          </cell>
          <cell r="B454" t="str">
            <v>Ponto de válvula de descarga, inclusive válvula de descarga de 50mm (1 1/2"), com acabamento para válvula de descarga Benefit, marca de referência Docol ou equivalente Mod. 00184906</v>
          </cell>
          <cell r="C454" t="str">
            <v>und</v>
          </cell>
          <cell r="D454">
            <v>1</v>
          </cell>
          <cell r="E454">
            <v>1199.33</v>
          </cell>
          <cell r="F454">
            <v>1199.33</v>
          </cell>
        </row>
        <row r="455">
          <cell r="A455" t="str">
            <v>140714</v>
          </cell>
          <cell r="B455" t="str">
            <v>Ponto p/ válvula (mictório) inclusive válvula com acabamento marca de referência Pressmatic Docol, Mod. 17015106 e tubo de ligação p/mictório antivandalismo Pressmatic Mod. 00132606 marca de ref. Docol ou equivalente</v>
          </cell>
          <cell r="C455" t="str">
            <v>und</v>
          </cell>
          <cell r="D455">
            <v>1</v>
          </cell>
          <cell r="E455">
            <v>1208.58</v>
          </cell>
          <cell r="F455">
            <v>1208.58</v>
          </cell>
        </row>
        <row r="456">
          <cell r="A456" t="str">
            <v>1409</v>
          </cell>
          <cell r="B456" t="str">
            <v>TUBULAÇÃO DE LIGAÇÃO DE CAIXAS</v>
          </cell>
          <cell r="C456"/>
          <cell r="D456"/>
          <cell r="E456"/>
          <cell r="F456"/>
        </row>
        <row r="457">
          <cell r="A457" t="str">
            <v>140901</v>
          </cell>
          <cell r="B457" t="str">
            <v>Tubos de concreto simples C1, diâmetro 200 mm, com rejuntamento de argamassa de cimento, cal hidratada e areia no traço 1:2:6, incluindo escavação e berço, conf. normas e especificações.</v>
          </cell>
          <cell r="C457" t="str">
            <v>m</v>
          </cell>
          <cell r="D457">
            <v>1</v>
          </cell>
          <cell r="E457">
            <v>102.88</v>
          </cell>
          <cell r="F457">
            <v>102.88</v>
          </cell>
        </row>
        <row r="458">
          <cell r="A458" t="str">
            <v>140902</v>
          </cell>
          <cell r="B458" t="str">
            <v>Tubos de concreto simples C1, diâmetro 300 mm, com rejuntamento de argamassa de cimento, cal hidratada e areia no traço 1:2:6, incluindo escavação e berço, conforme normas e especificações.</v>
          </cell>
          <cell r="C458" t="str">
            <v>m</v>
          </cell>
          <cell r="D458">
            <v>1</v>
          </cell>
          <cell r="E458">
            <v>129.71</v>
          </cell>
          <cell r="F458">
            <v>129.71</v>
          </cell>
        </row>
        <row r="459">
          <cell r="A459" t="str">
            <v>140903</v>
          </cell>
          <cell r="B459" t="str">
            <v>Tubo PVC rígido para esgoto no diâmetro de 100mm incluindo escavação e aterro com areia</v>
          </cell>
          <cell r="C459" t="str">
            <v>m</v>
          </cell>
          <cell r="D459">
            <v>1</v>
          </cell>
          <cell r="E459">
            <v>56.39</v>
          </cell>
          <cell r="F459">
            <v>56.39</v>
          </cell>
        </row>
        <row r="460">
          <cell r="A460" t="str">
            <v>140904</v>
          </cell>
          <cell r="B460" t="str">
            <v>Tubo PVC rígido para esgoto no diâmetro de 150mm incluindo escavação e aterro com areia</v>
          </cell>
          <cell r="C460" t="str">
            <v>m</v>
          </cell>
          <cell r="D460">
            <v>1</v>
          </cell>
          <cell r="E460">
            <v>93</v>
          </cell>
          <cell r="F460">
            <v>93</v>
          </cell>
        </row>
        <row r="461">
          <cell r="A461" t="str">
            <v>140905</v>
          </cell>
          <cell r="B461" t="str">
            <v>Tubo PVC rígido para esgoto no diâmetro de 200mm incluindo escavação e aterro com areia</v>
          </cell>
          <cell r="C461" t="str">
            <v>m</v>
          </cell>
          <cell r="D461">
            <v>1</v>
          </cell>
          <cell r="E461">
            <v>153</v>
          </cell>
          <cell r="F461">
            <v>153</v>
          </cell>
        </row>
        <row r="462">
          <cell r="A462" t="str">
            <v>140906</v>
          </cell>
          <cell r="B462" t="str">
            <v>Tubo PVC rígido para esgoto no diâmetro de 75 mm incluindo escavação e aterro com areia</v>
          </cell>
          <cell r="C462" t="str">
            <v>m</v>
          </cell>
          <cell r="D462">
            <v>1</v>
          </cell>
          <cell r="E462">
            <v>52.68</v>
          </cell>
          <cell r="F462">
            <v>52.68</v>
          </cell>
        </row>
        <row r="463">
          <cell r="A463" t="str">
            <v>1411</v>
          </cell>
          <cell r="B463" t="str">
            <v>CAIXAS EMPREGANDO ARGAMASSA DE CIMENTO, CAL E AREIA</v>
          </cell>
          <cell r="C463"/>
          <cell r="D463"/>
          <cell r="E463"/>
          <cell r="F463"/>
        </row>
        <row r="464">
          <cell r="A464" t="str">
            <v>141101</v>
          </cell>
          <cell r="B464" t="str">
            <v>Caixas de inspeção de alv. blocos concreto 9x19x39cm, dim, 60x60cm e Hmáx = 1m, com tampa de conc. esp. 5cm, lastro de conc. esp. 10cm, revest intern. c/ chapisco e reboco impermeabilizado, incl. escavação, reaterro e enchimento</v>
          </cell>
          <cell r="C464" t="str">
            <v>und</v>
          </cell>
          <cell r="D464">
            <v>1</v>
          </cell>
          <cell r="E464">
            <v>476.23</v>
          </cell>
          <cell r="F464">
            <v>476.23</v>
          </cell>
        </row>
        <row r="465">
          <cell r="A465" t="str">
            <v>141102</v>
          </cell>
          <cell r="B465" t="str">
            <v>Caixa de areia de alvenaria de blocos de concreto 9x19x39cm, dim. 60x60cm e Hmáx=1m, c/ tampa em concreto esp. 5cm, lastro concreto esp. 10cm, revestida intern. c/ chapisco e reboco impermeabilizante, incl. escavação e reaterro</v>
          </cell>
          <cell r="C465" t="str">
            <v>und</v>
          </cell>
          <cell r="D465">
            <v>1</v>
          </cell>
          <cell r="E465">
            <v>469.76</v>
          </cell>
          <cell r="F465">
            <v>469.76</v>
          </cell>
        </row>
        <row r="466">
          <cell r="A466" t="str">
            <v>141103</v>
          </cell>
          <cell r="B466" t="str">
            <v>Caixa sifonada especial de alv. bloco conc.9x19x39cm, dim 60x60cm e Hmáx=1m, c/ tampa em concreto esp.5cm, lastro conc.esp.10cm, revest. intern. c/chap. e reb. impermeab. escav, reaterro e curva curta c/ visita e plug em pvc 100mm</v>
          </cell>
          <cell r="C466" t="str">
            <v>und</v>
          </cell>
          <cell r="D466">
            <v>1</v>
          </cell>
          <cell r="E466">
            <v>549.21</v>
          </cell>
          <cell r="F466">
            <v>549.21</v>
          </cell>
        </row>
        <row r="467">
          <cell r="A467" t="str">
            <v>141104</v>
          </cell>
          <cell r="B467" t="str">
            <v>Caixa de gordura de alv. bloco concreto 9x19x39cm, dim.60x60cm e Hmáx=1m, com tampa em concreto esp.5cm, lastro concreto esp.10cm, revestida intern. c/ chapisco e reboco impermeab, escavação, reaterro e parede interna em concreto</v>
          </cell>
          <cell r="C467" t="str">
            <v>und</v>
          </cell>
          <cell r="D467">
            <v>1</v>
          </cell>
          <cell r="E467">
            <v>515.5</v>
          </cell>
          <cell r="F467">
            <v>515.5</v>
          </cell>
        </row>
        <row r="468">
          <cell r="A468" t="str">
            <v>141105</v>
          </cell>
          <cell r="B468" t="str">
            <v>Caixa retentora de matéria sólida de alv. bloco conc.9x19x39cm, dim 60x60cm e Hmáx=1m, c/ tampa conc. esp.5cm, lastro conc. esp.10cm, revest. internamente c/ chap, reb. impermeab., escavação, reaterro e parede int. em concreto</v>
          </cell>
          <cell r="C468" t="str">
            <v>und</v>
          </cell>
          <cell r="D468">
            <v>1</v>
          </cell>
          <cell r="E468">
            <v>507.64</v>
          </cell>
          <cell r="F468">
            <v>507.64</v>
          </cell>
        </row>
        <row r="469">
          <cell r="A469" t="str">
            <v>141106</v>
          </cell>
          <cell r="B469" t="str">
            <v>Caixas de inspeção de alv. blocos concreto 9x19x39cm, dim.100x60cm e Hmáx = 1m, com tampa de conc. esp. 5cm, lastro de conc. esp. 10cm, revest intern. c/ chapisco e reboco impermeabilizado, incl. escavação, reaterro e enchimento</v>
          </cell>
          <cell r="C469" t="str">
            <v>und</v>
          </cell>
          <cell r="D469">
            <v>1</v>
          </cell>
          <cell r="E469">
            <v>686</v>
          </cell>
          <cell r="F469">
            <v>686</v>
          </cell>
        </row>
        <row r="470">
          <cell r="A470" t="str">
            <v>141107</v>
          </cell>
          <cell r="B470" t="str">
            <v>Caixa de gordura simples de alv. bloco concr.9x19x39cm, dim.80x60cm e Hmáx=1m, com tampa em concr.esp.5cm, lastro concr.esp.10cm, revestida intern. c/ chapisco e reboco impermeab, escavação, reaterro e parede interna em concr.</v>
          </cell>
          <cell r="C470" t="str">
            <v>und</v>
          </cell>
          <cell r="D470">
            <v>1</v>
          </cell>
          <cell r="E470">
            <v>681.79</v>
          </cell>
          <cell r="F470">
            <v>681.79</v>
          </cell>
        </row>
        <row r="471">
          <cell r="A471" t="str">
            <v>141108</v>
          </cell>
          <cell r="B471" t="str">
            <v>Caixa de gordura especial de alv. bloco concr. 9x19x39cm, dim.60x60cm e Hmáx=1m, com tampa em concr.esp.5cm, lastro concr.esp.10cm, revestida intern. c/ chapisco e reboco impermeab, escavação, reaterro e parede interna em concr.</v>
          </cell>
          <cell r="C471" t="str">
            <v>und</v>
          </cell>
          <cell r="D471">
            <v>1</v>
          </cell>
          <cell r="E471">
            <v>985.25</v>
          </cell>
          <cell r="F471">
            <v>985.25</v>
          </cell>
        </row>
        <row r="472">
          <cell r="A472" t="str">
            <v>141109</v>
          </cell>
          <cell r="B472" t="str">
            <v>Grelha largura 20 cm de ferro redondo de 1/2" a cada 3 cm, contorno com barra de ferro de 3/4" x 1/8" e caixilho de cantoneira de 1" x 3/16"</v>
          </cell>
          <cell r="C472" t="str">
            <v>m</v>
          </cell>
          <cell r="D472">
            <v>1</v>
          </cell>
          <cell r="E472">
            <v>238.41</v>
          </cell>
          <cell r="F472">
            <v>238.41</v>
          </cell>
        </row>
        <row r="473">
          <cell r="A473" t="str">
            <v>141110</v>
          </cell>
          <cell r="B473" t="str">
            <v>Caixa de inspeção em alv. bloco concreto 9x19x39cm, dim. 60x60cm e Hmáx=1m, c/ tampa de ferro fundido 40x40cm, lastro de concreto esp.10cm, revest. interno c/ chapisco e reboco impermeabiliz, incl. escavação, reaterro e enchimento</v>
          </cell>
          <cell r="C473" t="str">
            <v>und</v>
          </cell>
          <cell r="D473">
            <v>1</v>
          </cell>
          <cell r="E473">
            <v>636.17999999999995</v>
          </cell>
          <cell r="F473">
            <v>636.17999999999995</v>
          </cell>
        </row>
        <row r="474">
          <cell r="A474" t="str">
            <v>141111</v>
          </cell>
          <cell r="B474" t="str">
            <v>Caixa de areia em alv. de bloco de concreto 9x19x39, dim. 60x60cm e Hmáx=1m, c/ tampa em ferro fundido, lastro de concreto esp. 10cm, revest. int. c/ chapisco e reboco impermeabilizado, incl. escavação e reaterro</v>
          </cell>
          <cell r="C474" t="str">
            <v>und</v>
          </cell>
          <cell r="D474">
            <v>1</v>
          </cell>
          <cell r="E474">
            <v>629.72</v>
          </cell>
          <cell r="F474">
            <v>629.72</v>
          </cell>
        </row>
        <row r="475">
          <cell r="A475" t="str">
            <v>141112</v>
          </cell>
          <cell r="B475" t="str">
            <v>Caixa sifonada especial em alv. bloco concr. 9x19x39cm, dim. 60x60cm e Hmáx=1m. c/ tampa em ferro fundido, lastro conc. esp.10cm, revest. int. c/ chap. e reboco imperm., incl. esc, reaterro e curva curta c/ visita e plug pvc 100mm</v>
          </cell>
          <cell r="C475" t="str">
            <v>und</v>
          </cell>
          <cell r="D475">
            <v>1</v>
          </cell>
          <cell r="E475">
            <v>709.15</v>
          </cell>
          <cell r="F475">
            <v>709.15</v>
          </cell>
        </row>
        <row r="476">
          <cell r="A476" t="str">
            <v>141113</v>
          </cell>
          <cell r="B476" t="str">
            <v>Caixa de gordura em alv. bloco 9x19x39cm, dim. 60x60cm e Hmáx=1.0m, c/ tampa de ferro fundido, lastro concr. esp. 10cm, revest. intern. c/ chapisco e reboco impermeab., escavação, reaterro e parede int. em concreto</v>
          </cell>
          <cell r="C476" t="str">
            <v>und</v>
          </cell>
          <cell r="D476">
            <v>1</v>
          </cell>
          <cell r="E476">
            <v>675.46</v>
          </cell>
          <cell r="F476">
            <v>675.46</v>
          </cell>
        </row>
        <row r="477">
          <cell r="A477" t="str">
            <v>141114</v>
          </cell>
          <cell r="B477" t="str">
            <v>Caixa retentora de mat. sólida em alv. bloco conc.9x19x39cm, dim.60x60cm e Hmáx=1m, c/ tampa de ferro fund., lastro conc. esp.10cm, revest. int. c/ chap. e reb. impermeab., esc. reaterro e parede int. em concreto</v>
          </cell>
          <cell r="C477" t="str">
            <v>und</v>
          </cell>
          <cell r="D477">
            <v>1</v>
          </cell>
          <cell r="E477">
            <v>652.47</v>
          </cell>
          <cell r="F477">
            <v>652.47</v>
          </cell>
        </row>
        <row r="478">
          <cell r="A478" t="str">
            <v>1412</v>
          </cell>
          <cell r="B478" t="str">
            <v>REDE DE ÁGUA FRIA - TUBOS METÁLICOS</v>
          </cell>
          <cell r="C478"/>
          <cell r="D478"/>
          <cell r="E478"/>
          <cell r="F478"/>
        </row>
        <row r="479">
          <cell r="A479" t="str">
            <v>141210</v>
          </cell>
          <cell r="B479" t="str">
            <v>Tubo de aço galvanizado, inclusive conexões, diâm. 15mm (1/2")</v>
          </cell>
          <cell r="C479" t="str">
            <v>m</v>
          </cell>
          <cell r="D479">
            <v>1</v>
          </cell>
          <cell r="E479">
            <v>62.95</v>
          </cell>
          <cell r="F479">
            <v>62.95</v>
          </cell>
        </row>
        <row r="480">
          <cell r="A480" t="str">
            <v>141211</v>
          </cell>
          <cell r="B480" t="str">
            <v>Tubo de aço galvanizado, inclusive conexões, diâm. 20mm (3/4")</v>
          </cell>
          <cell r="C480" t="str">
            <v>m</v>
          </cell>
          <cell r="D480">
            <v>1</v>
          </cell>
          <cell r="E480">
            <v>74.16</v>
          </cell>
          <cell r="F480">
            <v>74.16</v>
          </cell>
        </row>
        <row r="481">
          <cell r="A481" t="str">
            <v>141212</v>
          </cell>
          <cell r="B481" t="str">
            <v>Tubo de aço galvanizado, inclusive conexões, diâm. 25mm (1")</v>
          </cell>
          <cell r="C481" t="str">
            <v>m</v>
          </cell>
          <cell r="D481">
            <v>1</v>
          </cell>
          <cell r="E481">
            <v>100.49</v>
          </cell>
          <cell r="F481">
            <v>100.49</v>
          </cell>
        </row>
        <row r="482">
          <cell r="A482" t="str">
            <v>141213</v>
          </cell>
          <cell r="B482" t="str">
            <v>Tubo de aço galvanizado, inclusive conexões, diâm. 32mm (11/4")</v>
          </cell>
          <cell r="C482" t="str">
            <v>m</v>
          </cell>
          <cell r="D482">
            <v>1</v>
          </cell>
          <cell r="E482">
            <v>121.71</v>
          </cell>
          <cell r="F482">
            <v>121.71</v>
          </cell>
        </row>
        <row r="483">
          <cell r="A483" t="str">
            <v>141214</v>
          </cell>
          <cell r="B483" t="str">
            <v>Tubo de aço galvanizado, inclusive conexões, diâm. 40mm (11/2")</v>
          </cell>
          <cell r="C483" t="str">
            <v>m</v>
          </cell>
          <cell r="D483">
            <v>1</v>
          </cell>
          <cell r="E483">
            <v>143</v>
          </cell>
          <cell r="F483">
            <v>143</v>
          </cell>
        </row>
        <row r="484">
          <cell r="A484" t="str">
            <v>141215</v>
          </cell>
          <cell r="B484" t="str">
            <v>Tubo de aço galvanizado, inclusive conexões, diâm. 50mm (2")</v>
          </cell>
          <cell r="C484" t="str">
            <v>m</v>
          </cell>
          <cell r="D484">
            <v>1</v>
          </cell>
          <cell r="E484">
            <v>175.65</v>
          </cell>
          <cell r="F484">
            <v>175.65</v>
          </cell>
        </row>
        <row r="485">
          <cell r="A485" t="str">
            <v>141216</v>
          </cell>
          <cell r="B485" t="str">
            <v>Tubo de aço galvanizado, inclusive conexões, diâm. 65mm (21/2")</v>
          </cell>
          <cell r="C485" t="str">
            <v>m</v>
          </cell>
          <cell r="D485">
            <v>1</v>
          </cell>
          <cell r="E485">
            <v>239.23</v>
          </cell>
          <cell r="F485">
            <v>239.23</v>
          </cell>
        </row>
        <row r="486">
          <cell r="A486" t="str">
            <v>141217</v>
          </cell>
          <cell r="B486" t="str">
            <v>Tubo de aço galvanizado, inclusive conexões, diâm. 80mm (3")</v>
          </cell>
          <cell r="C486" t="str">
            <v>m</v>
          </cell>
          <cell r="D486">
            <v>1</v>
          </cell>
          <cell r="E486">
            <v>255.43</v>
          </cell>
          <cell r="F486">
            <v>255.43</v>
          </cell>
        </row>
        <row r="487">
          <cell r="A487" t="str">
            <v>141218</v>
          </cell>
          <cell r="B487" t="str">
            <v>Tubo de aço galvanizado, inclusive conexões, diâm. 100mm(4")</v>
          </cell>
          <cell r="C487" t="str">
            <v>m</v>
          </cell>
          <cell r="D487">
            <v>1</v>
          </cell>
          <cell r="E487">
            <v>358.62</v>
          </cell>
          <cell r="F487">
            <v>358.62</v>
          </cell>
        </row>
        <row r="488">
          <cell r="A488" t="str">
            <v>1414</v>
          </cell>
          <cell r="B488" t="str">
            <v>REDE DE ÁGUA FRIA - TUBOS SOLDÁVEIS DE PVC</v>
          </cell>
          <cell r="C488"/>
          <cell r="D488"/>
          <cell r="E488"/>
          <cell r="F488"/>
        </row>
        <row r="489">
          <cell r="A489" t="str">
            <v>141409</v>
          </cell>
          <cell r="B489" t="str">
            <v>Tubo de PVC rígido soldável marrom, diâm. 20mm (1/2"), inclusive conexões</v>
          </cell>
          <cell r="C489" t="str">
            <v>m</v>
          </cell>
          <cell r="D489">
            <v>1</v>
          </cell>
          <cell r="E489">
            <v>19.510000000000002</v>
          </cell>
          <cell r="F489">
            <v>19.510000000000002</v>
          </cell>
        </row>
        <row r="490">
          <cell r="A490" t="str">
            <v>141410</v>
          </cell>
          <cell r="B490" t="str">
            <v>Tubo de PVC rígido soldável marrom, diâm. 25mm (3/4"), inclusive conexões</v>
          </cell>
          <cell r="C490" t="str">
            <v>m</v>
          </cell>
          <cell r="D490">
            <v>1</v>
          </cell>
          <cell r="E490">
            <v>23.5</v>
          </cell>
          <cell r="F490">
            <v>23.5</v>
          </cell>
        </row>
        <row r="491">
          <cell r="A491" t="str">
            <v>141411</v>
          </cell>
          <cell r="B491" t="str">
            <v>Tubo de PVC rigido soldável marrom, diâm. 32mm (1"), inclusive conexões</v>
          </cell>
          <cell r="C491" t="str">
            <v>m</v>
          </cell>
          <cell r="D491">
            <v>1</v>
          </cell>
          <cell r="E491">
            <v>33.51</v>
          </cell>
          <cell r="F491">
            <v>33.51</v>
          </cell>
        </row>
        <row r="492">
          <cell r="A492" t="str">
            <v>141412</v>
          </cell>
          <cell r="B492" t="str">
            <v>Tubo de PVC rígido soldável marrom, diâm. 40mm (11/4"), inclusive conexões</v>
          </cell>
          <cell r="C492" t="str">
            <v>m</v>
          </cell>
          <cell r="D492">
            <v>1</v>
          </cell>
          <cell r="E492">
            <v>46.37</v>
          </cell>
          <cell r="F492">
            <v>46.37</v>
          </cell>
        </row>
        <row r="493">
          <cell r="A493" t="str">
            <v>141413</v>
          </cell>
          <cell r="B493" t="str">
            <v>Tubo de PVC rígido soldável marrom, diâm. 50mm (11/2"), inclusive conexões</v>
          </cell>
          <cell r="C493" t="str">
            <v>m</v>
          </cell>
          <cell r="D493">
            <v>1</v>
          </cell>
          <cell r="E493">
            <v>53.03</v>
          </cell>
          <cell r="F493">
            <v>53.03</v>
          </cell>
        </row>
        <row r="494">
          <cell r="A494" t="str">
            <v>141414</v>
          </cell>
          <cell r="B494" t="str">
            <v>Tubo de PVC rígido soldável marrom, diâm. 60mm (2"), inclusive conexões</v>
          </cell>
          <cell r="C494" t="str">
            <v>m</v>
          </cell>
          <cell r="D494">
            <v>1</v>
          </cell>
          <cell r="E494">
            <v>77.650000000000006</v>
          </cell>
          <cell r="F494">
            <v>77.650000000000006</v>
          </cell>
        </row>
        <row r="495">
          <cell r="A495" t="str">
            <v>141415</v>
          </cell>
          <cell r="B495" t="str">
            <v>Tubo de PVC rígido soldável marrom, diâm. 75mm (21/2"), inclusive conexões</v>
          </cell>
          <cell r="C495" t="str">
            <v>m</v>
          </cell>
          <cell r="D495">
            <v>1</v>
          </cell>
          <cell r="E495">
            <v>111.1</v>
          </cell>
          <cell r="F495">
            <v>111.1</v>
          </cell>
        </row>
        <row r="496">
          <cell r="A496" t="str">
            <v>141416</v>
          </cell>
          <cell r="B496" t="str">
            <v>Tubo de PVC rígido soldável marrom, diâm. 85mm (3"), inclusive conexões</v>
          </cell>
          <cell r="C496" t="str">
            <v>m</v>
          </cell>
          <cell r="D496">
            <v>1</v>
          </cell>
          <cell r="E496">
            <v>134.52000000000001</v>
          </cell>
          <cell r="F496">
            <v>134.52000000000001</v>
          </cell>
        </row>
        <row r="497">
          <cell r="A497" t="str">
            <v>1415</v>
          </cell>
          <cell r="B497" t="str">
            <v>REDE DE ÁGUA FRIA - CONEXÕES SOLDÁVEIS DE PVC</v>
          </cell>
          <cell r="C497"/>
          <cell r="D497"/>
          <cell r="E497"/>
          <cell r="F497"/>
        </row>
        <row r="498">
          <cell r="A498" t="str">
            <v>141522</v>
          </cell>
          <cell r="B498" t="str">
            <v>Adaptador de PVC soldável com flanges livres para caixa d'água, diâmetro 25mm (3/4")</v>
          </cell>
          <cell r="C498" t="str">
            <v>und</v>
          </cell>
          <cell r="D498">
            <v>1</v>
          </cell>
          <cell r="E498">
            <v>18.78</v>
          </cell>
          <cell r="F498">
            <v>18.78</v>
          </cell>
        </row>
        <row r="499">
          <cell r="A499" t="str">
            <v>141524</v>
          </cell>
          <cell r="B499" t="str">
            <v>Adaptador de PVC soldável com flanges livres para caixa d'água, diâmetro 40mm (1 1/4")</v>
          </cell>
          <cell r="C499" t="str">
            <v>und</v>
          </cell>
          <cell r="D499">
            <v>1</v>
          </cell>
          <cell r="E499">
            <v>32.26</v>
          </cell>
          <cell r="F499">
            <v>32.26</v>
          </cell>
        </row>
        <row r="500">
          <cell r="A500" t="str">
            <v>141525</v>
          </cell>
          <cell r="B500" t="str">
            <v>Adaptador de PVC soldável com flanges livres para caixa d'água, diâmetro 50mm (1 1/2")</v>
          </cell>
          <cell r="C500" t="str">
            <v>und</v>
          </cell>
          <cell r="D500">
            <v>1</v>
          </cell>
          <cell r="E500">
            <v>38.83</v>
          </cell>
          <cell r="F500">
            <v>38.83</v>
          </cell>
        </row>
        <row r="501">
          <cell r="A501" t="str">
            <v>141526</v>
          </cell>
          <cell r="B501" t="str">
            <v>Adaptador de PVC soldável com flanges livres para caixa d'água, diâmetro 60mm (2")</v>
          </cell>
          <cell r="C501" t="str">
            <v>und</v>
          </cell>
          <cell r="D501">
            <v>1</v>
          </cell>
          <cell r="E501">
            <v>60.91</v>
          </cell>
          <cell r="F501">
            <v>60.91</v>
          </cell>
        </row>
        <row r="502">
          <cell r="A502" t="str">
            <v>141527</v>
          </cell>
          <cell r="B502" t="str">
            <v>Adaptador de PVC soldável com flanges livres para caixa d'água, diâmetro 75mm (2 1/2")</v>
          </cell>
          <cell r="C502" t="str">
            <v>und</v>
          </cell>
          <cell r="D502">
            <v>1</v>
          </cell>
          <cell r="E502">
            <v>258.92</v>
          </cell>
          <cell r="F502">
            <v>258.92</v>
          </cell>
        </row>
        <row r="503">
          <cell r="A503" t="str">
            <v>141529</v>
          </cell>
          <cell r="B503" t="str">
            <v>Adaptador de PVC soldável para registro, diâmetro 32mm x 1"</v>
          </cell>
          <cell r="C503" t="str">
            <v>und</v>
          </cell>
          <cell r="D503">
            <v>1</v>
          </cell>
          <cell r="E503">
            <v>8.16</v>
          </cell>
          <cell r="F503">
            <v>8.16</v>
          </cell>
        </row>
        <row r="504">
          <cell r="A504" t="str">
            <v>1419</v>
          </cell>
          <cell r="B504" t="str">
            <v>REDE DE ESGOTO - TUBOS DE PVC</v>
          </cell>
          <cell r="C504"/>
          <cell r="D504"/>
          <cell r="E504"/>
          <cell r="F504"/>
        </row>
        <row r="505">
          <cell r="A505" t="str">
            <v>141906</v>
          </cell>
          <cell r="B505" t="str">
            <v>Tubo de PVC rígido soldável branco, para esgoto, diâmetro 40mm (1 1/2"), inclusive conexões</v>
          </cell>
          <cell r="C505" t="str">
            <v>m</v>
          </cell>
          <cell r="D505">
            <v>1</v>
          </cell>
          <cell r="E505">
            <v>32.979999999999997</v>
          </cell>
          <cell r="F505">
            <v>32.979999999999997</v>
          </cell>
        </row>
        <row r="506">
          <cell r="A506" t="str">
            <v>141907</v>
          </cell>
          <cell r="B506" t="str">
            <v>Tubo de PVC rígido soldável branco, para esgoto, diâmetro 50mm (2"), inclusive conexões</v>
          </cell>
          <cell r="C506" t="str">
            <v>m</v>
          </cell>
          <cell r="D506">
            <v>1</v>
          </cell>
          <cell r="E506">
            <v>43.39</v>
          </cell>
          <cell r="F506">
            <v>43.39</v>
          </cell>
        </row>
        <row r="507">
          <cell r="A507" t="str">
            <v>141908</v>
          </cell>
          <cell r="B507" t="str">
            <v>Tubo de PVC rígido soldável branco, para esgoto, diâmetro 75mm (3"), inclusive conexões</v>
          </cell>
          <cell r="C507" t="str">
            <v>m</v>
          </cell>
          <cell r="D507">
            <v>1</v>
          </cell>
          <cell r="E507">
            <v>62.83</v>
          </cell>
          <cell r="F507">
            <v>62.83</v>
          </cell>
        </row>
        <row r="508">
          <cell r="A508" t="str">
            <v>141909</v>
          </cell>
          <cell r="B508" t="str">
            <v>Tubo de PVC rígido soldável branco, para esgoto, diâmetro 100mm (4"), inclusive conexões</v>
          </cell>
          <cell r="C508" t="str">
            <v>m</v>
          </cell>
          <cell r="D508">
            <v>1</v>
          </cell>
          <cell r="E508">
            <v>69.3</v>
          </cell>
          <cell r="F508">
            <v>69.3</v>
          </cell>
        </row>
        <row r="509">
          <cell r="A509" t="str">
            <v>141910</v>
          </cell>
          <cell r="B509" t="str">
            <v>Tubo de PVC rígido soldável branco, para esgoto, diâmetro 150mm (6"), inclusive conexões</v>
          </cell>
          <cell r="C509" t="str">
            <v>m</v>
          </cell>
          <cell r="D509">
            <v>1</v>
          </cell>
          <cell r="E509">
            <v>106.54</v>
          </cell>
          <cell r="F509">
            <v>106.54</v>
          </cell>
        </row>
        <row r="510">
          <cell r="A510" t="str">
            <v>1421</v>
          </cell>
          <cell r="B510" t="str">
            <v>CAIXAS DE PVC / EQUIPAMENTOS</v>
          </cell>
          <cell r="C510"/>
          <cell r="D510"/>
          <cell r="E510"/>
          <cell r="F510"/>
        </row>
        <row r="511">
          <cell r="A511" t="str">
            <v>142103</v>
          </cell>
          <cell r="B511" t="str">
            <v>Reparo para válvula de descarga, completo</v>
          </cell>
          <cell r="C511" t="str">
            <v>und</v>
          </cell>
          <cell r="D511">
            <v>1</v>
          </cell>
          <cell r="E511">
            <v>71.7</v>
          </cell>
          <cell r="F511">
            <v>71.7</v>
          </cell>
        </row>
        <row r="512">
          <cell r="A512" t="str">
            <v>142104</v>
          </cell>
          <cell r="B512" t="str">
            <v>Sifão em PVC para pia de cozinha ou lavatório 1x11/2"</v>
          </cell>
          <cell r="C512" t="str">
            <v>und</v>
          </cell>
          <cell r="D512">
            <v>1</v>
          </cell>
          <cell r="E512">
            <v>33.159999999999997</v>
          </cell>
          <cell r="F512">
            <v>33.159999999999997</v>
          </cell>
        </row>
        <row r="513">
          <cell r="A513" t="str">
            <v>142106</v>
          </cell>
          <cell r="B513" t="str">
            <v>Sifão em PVC para tanque 2"</v>
          </cell>
          <cell r="C513" t="str">
            <v>und</v>
          </cell>
          <cell r="D513">
            <v>1</v>
          </cell>
          <cell r="E513">
            <v>33.28</v>
          </cell>
          <cell r="F513">
            <v>33.28</v>
          </cell>
        </row>
        <row r="514">
          <cell r="A514" t="str">
            <v>142107</v>
          </cell>
          <cell r="B514" t="str">
            <v>Ralo sifonado em PVC 100x100mm, com grelha PVC</v>
          </cell>
          <cell r="C514" t="str">
            <v>und</v>
          </cell>
          <cell r="D514">
            <v>1</v>
          </cell>
          <cell r="E514">
            <v>54.37</v>
          </cell>
          <cell r="F514">
            <v>54.37</v>
          </cell>
        </row>
        <row r="515">
          <cell r="A515" t="str">
            <v>142109</v>
          </cell>
          <cell r="B515" t="str">
            <v>Ralo seco em PVC 100x100mm, com grelha em PVC</v>
          </cell>
          <cell r="C515" t="str">
            <v>und</v>
          </cell>
          <cell r="D515">
            <v>1</v>
          </cell>
          <cell r="E515">
            <v>51.77</v>
          </cell>
          <cell r="F515">
            <v>51.77</v>
          </cell>
        </row>
        <row r="516">
          <cell r="A516" t="str">
            <v>142111</v>
          </cell>
          <cell r="B516" t="str">
            <v>Caixa sifonada em PVC, diâm. 150mm, com grelha e porta grelha quadrados, em aço inox</v>
          </cell>
          <cell r="C516" t="str">
            <v>und</v>
          </cell>
          <cell r="D516">
            <v>1</v>
          </cell>
          <cell r="E516">
            <v>122.24</v>
          </cell>
          <cell r="F516">
            <v>122.24</v>
          </cell>
        </row>
        <row r="517">
          <cell r="A517" t="str">
            <v>142112</v>
          </cell>
          <cell r="B517" t="str">
            <v>Caixa seca em PVC, diâm. 100mm, com grelha e porta grelha quadrados, em aço inox</v>
          </cell>
          <cell r="C517" t="str">
            <v>und</v>
          </cell>
          <cell r="D517">
            <v>1</v>
          </cell>
          <cell r="E517">
            <v>62.51</v>
          </cell>
          <cell r="F517">
            <v>62.51</v>
          </cell>
        </row>
        <row r="518">
          <cell r="A518" t="str">
            <v>142114</v>
          </cell>
          <cell r="B518" t="str">
            <v>Tampa para caixa sifonada, em PVC, de 150x150mm</v>
          </cell>
          <cell r="C518" t="str">
            <v>und</v>
          </cell>
          <cell r="D518">
            <v>1</v>
          </cell>
          <cell r="E518">
            <v>14.68</v>
          </cell>
          <cell r="F518">
            <v>14.68</v>
          </cell>
        </row>
        <row r="519">
          <cell r="A519" t="str">
            <v>142115</v>
          </cell>
          <cell r="B519" t="str">
            <v>Tampa para caixa sifonada, em aço inox, de 150x150mm</v>
          </cell>
          <cell r="C519" t="str">
            <v>und</v>
          </cell>
          <cell r="D519">
            <v>1</v>
          </cell>
          <cell r="E519">
            <v>46.12</v>
          </cell>
          <cell r="F519">
            <v>46.12</v>
          </cell>
        </row>
        <row r="520">
          <cell r="A520" t="str">
            <v>142116</v>
          </cell>
          <cell r="B520" t="str">
            <v>Tampa para ralo, em PVC, de 100x100mm</v>
          </cell>
          <cell r="C520" t="str">
            <v>und</v>
          </cell>
          <cell r="D520">
            <v>1</v>
          </cell>
          <cell r="E520">
            <v>9.1999999999999993</v>
          </cell>
          <cell r="F520">
            <v>9.1999999999999993</v>
          </cell>
        </row>
        <row r="521">
          <cell r="A521" t="str">
            <v>142117</v>
          </cell>
          <cell r="B521" t="str">
            <v>Tampa para ralo, em aço inox, de 100x100mm</v>
          </cell>
          <cell r="C521" t="str">
            <v>und</v>
          </cell>
          <cell r="D521">
            <v>1</v>
          </cell>
          <cell r="E521">
            <v>29.85</v>
          </cell>
          <cell r="F521">
            <v>29.85</v>
          </cell>
        </row>
        <row r="522">
          <cell r="A522" t="str">
            <v>142118</v>
          </cell>
          <cell r="B522" t="str">
            <v>Engate flexível de PVC para lavatório</v>
          </cell>
          <cell r="C522" t="str">
            <v>und</v>
          </cell>
          <cell r="D522">
            <v>1</v>
          </cell>
          <cell r="E522">
            <v>15.07</v>
          </cell>
          <cell r="F522">
            <v>15.07</v>
          </cell>
        </row>
        <row r="523">
          <cell r="A523" t="str">
            <v>142119</v>
          </cell>
          <cell r="B523" t="str">
            <v>Torneira de bóia de PVC, diâm. 3/4" (20mm)</v>
          </cell>
          <cell r="C523" t="str">
            <v>und</v>
          </cell>
          <cell r="D523">
            <v>1</v>
          </cell>
          <cell r="E523">
            <v>83.49</v>
          </cell>
          <cell r="F523">
            <v>83.49</v>
          </cell>
        </row>
        <row r="524">
          <cell r="A524" t="str">
            <v>142120</v>
          </cell>
          <cell r="B524" t="str">
            <v>Torneira de bóia de PVC, diâm. 1" (25mm)</v>
          </cell>
          <cell r="C524" t="str">
            <v>und</v>
          </cell>
          <cell r="D524">
            <v>1</v>
          </cell>
          <cell r="E524">
            <v>103.54</v>
          </cell>
          <cell r="F524">
            <v>103.54</v>
          </cell>
        </row>
        <row r="525">
          <cell r="A525" t="str">
            <v>142121</v>
          </cell>
          <cell r="B525" t="str">
            <v>Torneira de bóia de PVC, diâm. 11/4" (32mm)</v>
          </cell>
          <cell r="C525" t="str">
            <v>und</v>
          </cell>
          <cell r="D525">
            <v>1</v>
          </cell>
          <cell r="E525">
            <v>197.4</v>
          </cell>
          <cell r="F525">
            <v>197.4</v>
          </cell>
        </row>
        <row r="526">
          <cell r="A526" t="str">
            <v>142122</v>
          </cell>
          <cell r="B526" t="str">
            <v>Automático de bóia, duas funções 25A</v>
          </cell>
          <cell r="C526" t="str">
            <v>und</v>
          </cell>
          <cell r="D526">
            <v>1</v>
          </cell>
          <cell r="E526">
            <v>95.03</v>
          </cell>
          <cell r="F526">
            <v>95.03</v>
          </cell>
        </row>
        <row r="527">
          <cell r="A527" t="str">
            <v>142123</v>
          </cell>
          <cell r="B527" t="str">
            <v>Adaptador de PVC com flanges livres para caixa d'água de 20mmx1/2"</v>
          </cell>
          <cell r="C527" t="str">
            <v>und</v>
          </cell>
          <cell r="D527">
            <v>1</v>
          </cell>
          <cell r="E527">
            <v>17.170000000000002</v>
          </cell>
          <cell r="F527">
            <v>17.170000000000002</v>
          </cell>
        </row>
        <row r="528">
          <cell r="A528" t="str">
            <v>142124</v>
          </cell>
          <cell r="B528" t="str">
            <v>Adaptador de PVC com flanges livres para caixa d'água de 25mmx3/4"</v>
          </cell>
          <cell r="C528" t="str">
            <v>und</v>
          </cell>
          <cell r="D528">
            <v>1</v>
          </cell>
          <cell r="E528">
            <v>18.78</v>
          </cell>
          <cell r="F528">
            <v>18.78</v>
          </cell>
        </row>
        <row r="529">
          <cell r="A529" t="str">
            <v>142125</v>
          </cell>
          <cell r="B529" t="str">
            <v>Adaptador de PVC com flanges livres para caixa d'água de 32mmx1"</v>
          </cell>
          <cell r="C529" t="str">
            <v>und</v>
          </cell>
          <cell r="D529">
            <v>1</v>
          </cell>
          <cell r="E529">
            <v>24.9</v>
          </cell>
          <cell r="F529">
            <v>24.9</v>
          </cell>
        </row>
        <row r="530">
          <cell r="A530" t="str">
            <v>1422</v>
          </cell>
          <cell r="B530" t="str">
            <v>ABERTURA E FECHAMENTO DE RASGOS (inclusive preparo e aplicação de argamassa)</v>
          </cell>
          <cell r="C530"/>
          <cell r="D530"/>
          <cell r="E530"/>
          <cell r="F530"/>
        </row>
        <row r="531">
          <cell r="A531" t="str">
            <v>142201</v>
          </cell>
          <cell r="B531" t="str">
            <v>Abertura e fechamento de rasgos em alvenaria, para passagem de tubulações, diâm. 1/2" a 1"</v>
          </cell>
          <cell r="C531" t="str">
            <v>m</v>
          </cell>
          <cell r="D531">
            <v>1</v>
          </cell>
          <cell r="E531">
            <v>10.27</v>
          </cell>
          <cell r="F531">
            <v>10.27</v>
          </cell>
        </row>
        <row r="532">
          <cell r="A532" t="str">
            <v>142202</v>
          </cell>
          <cell r="B532" t="str">
            <v>Abertura e fechamento de rasgos em alvenaria, para passagem de tubulações, diâm. 11/4" a 2"</v>
          </cell>
          <cell r="C532" t="str">
            <v>m</v>
          </cell>
          <cell r="D532">
            <v>1</v>
          </cell>
          <cell r="E532">
            <v>15.38</v>
          </cell>
          <cell r="F532">
            <v>15.38</v>
          </cell>
        </row>
        <row r="533">
          <cell r="A533" t="str">
            <v>142203</v>
          </cell>
          <cell r="B533" t="str">
            <v>Abertura e fechamento de rasgos em alvenaria, para passagem de tubulações, diâm. 21/2 a 4"</v>
          </cell>
          <cell r="C533" t="str">
            <v>m</v>
          </cell>
          <cell r="D533">
            <v>1</v>
          </cell>
          <cell r="E533">
            <v>23.15</v>
          </cell>
          <cell r="F533">
            <v>23.15</v>
          </cell>
        </row>
        <row r="534">
          <cell r="A534" t="str">
            <v>142204</v>
          </cell>
          <cell r="B534" t="str">
            <v>Abertura e fechamento de rasgos em concreto, para passagem de tubulações, diâm. 1/2" a 1"</v>
          </cell>
          <cell r="C534" t="str">
            <v>m</v>
          </cell>
          <cell r="D534">
            <v>1</v>
          </cell>
          <cell r="E534">
            <v>19.59</v>
          </cell>
          <cell r="F534">
            <v>19.59</v>
          </cell>
        </row>
        <row r="535">
          <cell r="A535" t="str">
            <v>142205</v>
          </cell>
          <cell r="B535" t="str">
            <v>Abertura e fechamento de rasgos em concreto, para passagem de tubulações, diâm. 11/4" a 2"</v>
          </cell>
          <cell r="C535" t="str">
            <v>m</v>
          </cell>
          <cell r="D535">
            <v>1</v>
          </cell>
          <cell r="E535">
            <v>29.84</v>
          </cell>
          <cell r="F535">
            <v>29.84</v>
          </cell>
        </row>
        <row r="536">
          <cell r="A536" t="str">
            <v>142206</v>
          </cell>
          <cell r="B536" t="str">
            <v>Abertura e fechamento de rasgos em concreto, para passagem de tubulações, diâm. 2 1/2"a 4"</v>
          </cell>
          <cell r="C536" t="str">
            <v>m</v>
          </cell>
          <cell r="D536">
            <v>1</v>
          </cell>
          <cell r="E536">
            <v>43.41</v>
          </cell>
          <cell r="F536">
            <v>43.41</v>
          </cell>
        </row>
        <row r="537">
          <cell r="A537" t="str">
            <v>1423</v>
          </cell>
          <cell r="B537" t="str">
            <v>REVISÕES E REPAROS</v>
          </cell>
          <cell r="C537"/>
          <cell r="D537"/>
          <cell r="E537"/>
          <cell r="F537"/>
        </row>
        <row r="538">
          <cell r="A538" t="str">
            <v>142301</v>
          </cell>
          <cell r="B538" t="str">
            <v>Revisões e reparos em torneiras e registros</v>
          </cell>
          <cell r="C538" t="str">
            <v>und</v>
          </cell>
          <cell r="D538">
            <v>1</v>
          </cell>
          <cell r="E538">
            <v>17.63</v>
          </cell>
          <cell r="F538">
            <v>17.63</v>
          </cell>
        </row>
        <row r="539">
          <cell r="A539" t="str">
            <v>142302</v>
          </cell>
          <cell r="B539" t="str">
            <v>Revisões e reparos em caixas de descarga</v>
          </cell>
          <cell r="C539" t="str">
            <v>und</v>
          </cell>
          <cell r="D539">
            <v>1</v>
          </cell>
          <cell r="E539">
            <v>24.68</v>
          </cell>
          <cell r="F539">
            <v>24.68</v>
          </cell>
        </row>
        <row r="540">
          <cell r="A540" t="str">
            <v>142303</v>
          </cell>
          <cell r="B540" t="str">
            <v>Revisões e reparos em torneiras de bóia</v>
          </cell>
          <cell r="C540" t="str">
            <v>und</v>
          </cell>
          <cell r="D540">
            <v>1</v>
          </cell>
          <cell r="E540">
            <v>17.63</v>
          </cell>
          <cell r="F540">
            <v>17.63</v>
          </cell>
        </row>
        <row r="541">
          <cell r="A541" t="str">
            <v>142304</v>
          </cell>
          <cell r="B541" t="str">
            <v>Fornecimento de durepox para reparos (250g)</v>
          </cell>
          <cell r="C541" t="str">
            <v>und</v>
          </cell>
          <cell r="D541">
            <v>1</v>
          </cell>
          <cell r="E541">
            <v>20.75</v>
          </cell>
          <cell r="F541">
            <v>20.75</v>
          </cell>
        </row>
        <row r="542">
          <cell r="A542" t="str">
            <v>15</v>
          </cell>
          <cell r="B542" t="str">
            <v>INSTALAÇÕES ELÉTRICAS</v>
          </cell>
          <cell r="C542"/>
          <cell r="D542"/>
          <cell r="E542"/>
          <cell r="F542"/>
        </row>
        <row r="543">
          <cell r="A543" t="str">
            <v>1501</v>
          </cell>
          <cell r="B543" t="str">
            <v>PADRÃO DE ENTRADA</v>
          </cell>
          <cell r="C543"/>
          <cell r="D543"/>
          <cell r="E543"/>
          <cell r="F543"/>
        </row>
        <row r="544">
          <cell r="A544" t="str">
            <v>150122</v>
          </cell>
          <cell r="B544" t="str">
            <v>Mureta de medição utilizando arg. cimento, cal e areia, dimensões 1100x2000x200mm, com pilares e cintas, revestido com chapisco e reboco, inclusive pintura emassamento e pintura acrílica a três demãos, exclusive cobertura</v>
          </cell>
          <cell r="C544" t="str">
            <v>und</v>
          </cell>
          <cell r="D544">
            <v>1</v>
          </cell>
          <cell r="E544">
            <v>1310.5999999999999</v>
          </cell>
          <cell r="F544">
            <v>1310.5999999999999</v>
          </cell>
        </row>
        <row r="545">
          <cell r="A545" t="str">
            <v>150123</v>
          </cell>
          <cell r="B545" t="str">
            <v>Mureta de medição utilizando arg. cimento, cal e areia, dimensões 1500x2200x400mm, revestido com chapisco e reboco, inclusive pintura emassamento, pintura acrílica a três demãos e cobertura em telha cerâmica</v>
          </cell>
          <cell r="C545" t="str">
            <v>und</v>
          </cell>
          <cell r="D545">
            <v>1</v>
          </cell>
          <cell r="E545">
            <v>2365.62</v>
          </cell>
          <cell r="F545">
            <v>2365.62</v>
          </cell>
        </row>
        <row r="546">
          <cell r="A546" t="str">
            <v>1503</v>
          </cell>
          <cell r="B546" t="str">
            <v>QUADRO DE DISTRIBUIÇÃO</v>
          </cell>
          <cell r="C546"/>
          <cell r="D546"/>
          <cell r="E546"/>
          <cell r="F546"/>
        </row>
        <row r="547">
          <cell r="A547" t="str">
            <v>150302</v>
          </cell>
          <cell r="B547" t="str">
            <v>Quadro de distribuição em PVC para 06 circuitos, inclusive 4 disjuntores monopolares de 15A</v>
          </cell>
          <cell r="C547" t="str">
            <v>und</v>
          </cell>
          <cell r="D547">
            <v>1</v>
          </cell>
          <cell r="E547">
            <v>377.08</v>
          </cell>
          <cell r="F547">
            <v>377.08</v>
          </cell>
        </row>
        <row r="548">
          <cell r="A548" t="str">
            <v>150306</v>
          </cell>
          <cell r="B548" t="str">
            <v>Quadro de distribuição de energia em PVC, de embutir, com 12 divisões modulares com barramento</v>
          </cell>
          <cell r="C548" t="str">
            <v>und</v>
          </cell>
          <cell r="D548">
            <v>1</v>
          </cell>
          <cell r="E548">
            <v>338.51</v>
          </cell>
          <cell r="F548">
            <v>338.51</v>
          </cell>
        </row>
        <row r="549">
          <cell r="A549" t="str">
            <v>150307</v>
          </cell>
          <cell r="B549" t="str">
            <v>Quadro de distribuição de energia, de embutir, com 18 divisões modulares, com barramento</v>
          </cell>
          <cell r="C549" t="str">
            <v>und</v>
          </cell>
          <cell r="D549">
            <v>1</v>
          </cell>
          <cell r="E549">
            <v>627.26</v>
          </cell>
          <cell r="F549">
            <v>627.26</v>
          </cell>
        </row>
        <row r="550">
          <cell r="A550" t="str">
            <v>150308</v>
          </cell>
          <cell r="B550" t="str">
            <v>Quadro de distribuição de energia, de embutir, com 24 divisões modulares, com barramento</v>
          </cell>
          <cell r="C550" t="str">
            <v>und</v>
          </cell>
          <cell r="D550">
            <v>1</v>
          </cell>
          <cell r="E550">
            <v>675.2</v>
          </cell>
          <cell r="F550">
            <v>675.2</v>
          </cell>
        </row>
        <row r="551">
          <cell r="A551" t="str">
            <v>150309</v>
          </cell>
          <cell r="B551" t="str">
            <v>Quadro de distribuição de energia, de embutir, com 32 divisões modulares, com barramento</v>
          </cell>
          <cell r="C551" t="str">
            <v>und</v>
          </cell>
          <cell r="D551">
            <v>1</v>
          </cell>
          <cell r="E551">
            <v>805.83</v>
          </cell>
          <cell r="F551">
            <v>805.83</v>
          </cell>
        </row>
        <row r="552">
          <cell r="A552" t="str">
            <v>150310</v>
          </cell>
          <cell r="B552" t="str">
            <v>Caixa de distribuição 20x20x15 cm</v>
          </cell>
          <cell r="C552" t="str">
            <v>und</v>
          </cell>
          <cell r="D552">
            <v>1</v>
          </cell>
          <cell r="E552">
            <v>75.47</v>
          </cell>
          <cell r="F552">
            <v>75.47</v>
          </cell>
        </row>
        <row r="553">
          <cell r="A553" t="str">
            <v>150311</v>
          </cell>
          <cell r="B553" t="str">
            <v>Quadro de distribuição de energia, de embutir, com 12 divisões modulares, sem barramento</v>
          </cell>
          <cell r="C553" t="str">
            <v>und</v>
          </cell>
          <cell r="D553">
            <v>1</v>
          </cell>
          <cell r="E553">
            <v>142.53</v>
          </cell>
          <cell r="F553">
            <v>142.53</v>
          </cell>
        </row>
        <row r="554">
          <cell r="A554" t="str">
            <v>150312</v>
          </cell>
          <cell r="B554" t="str">
            <v>Quadro de distribuição de energia, de embutir, com 3 divisões modulares, sem barramento</v>
          </cell>
          <cell r="C554" t="str">
            <v>und</v>
          </cell>
          <cell r="D554">
            <v>1</v>
          </cell>
          <cell r="E554">
            <v>98.09</v>
          </cell>
          <cell r="F554">
            <v>98.09</v>
          </cell>
        </row>
        <row r="555">
          <cell r="A555" t="str">
            <v>150313</v>
          </cell>
          <cell r="B555" t="str">
            <v>Quadro de distribuição de energia, de embutir, com 6 divisões modulares, com barramento trifásico 100A</v>
          </cell>
          <cell r="C555" t="str">
            <v>und</v>
          </cell>
          <cell r="D555">
            <v>1</v>
          </cell>
          <cell r="E555">
            <v>188.66</v>
          </cell>
          <cell r="F555">
            <v>188.66</v>
          </cell>
        </row>
        <row r="556">
          <cell r="A556" t="str">
            <v>150315</v>
          </cell>
          <cell r="B556" t="str">
            <v>Quadro distrib. energia, embutido ou semi embutido, capac. p/ 34 disj. DIN, c/barram trif. 150A barra. neutro e terra, fab. em chapa de aço 12 USG com porta, espelho, trinco com fechad ch yale, Ref. QDETG II-34DIN-CEMAR ou equiv.</v>
          </cell>
          <cell r="C556" t="str">
            <v>und</v>
          </cell>
          <cell r="D556">
            <v>1</v>
          </cell>
          <cell r="E556">
            <v>1226.7</v>
          </cell>
          <cell r="F556">
            <v>1226.7</v>
          </cell>
        </row>
        <row r="557">
          <cell r="A557" t="str">
            <v>150316</v>
          </cell>
          <cell r="B557" t="str">
            <v>Quadro distrib. energia, embutido ou semi embutido, capac. p/ 44 disj. DIN, c/barram trif. 150A barra. neutro e terra, fab. em chapa de aço 12 USG com porta, espelho, trinco com fechad ch yale, Ref. QDETG II-44DIN-CEMAR ou equiv.</v>
          </cell>
          <cell r="C557" t="str">
            <v>und</v>
          </cell>
          <cell r="D557">
            <v>1</v>
          </cell>
          <cell r="E557">
            <v>1727.75</v>
          </cell>
          <cell r="F557">
            <v>1727.75</v>
          </cell>
        </row>
        <row r="558">
          <cell r="A558" t="str">
            <v>150317</v>
          </cell>
          <cell r="B558" t="str">
            <v>Quadro distrib. energia, embutido ou semi embutido, capac. p/ 56 disj. DIN, c/barram trif. 225A barra. neutro e terra, fab. em chapa de aço 12 USG com porta, espelho, trinco com fechad ch</v>
          </cell>
          <cell r="C558" t="str">
            <v>und</v>
          </cell>
          <cell r="D558">
            <v>1</v>
          </cell>
          <cell r="E558">
            <v>1926.07</v>
          </cell>
          <cell r="F558">
            <v>1926.07</v>
          </cell>
        </row>
        <row r="559">
          <cell r="A559" t="str">
            <v>1506</v>
          </cell>
          <cell r="B559" t="str">
            <v>CAIXAS DE PASSAGEM</v>
          </cell>
          <cell r="C559"/>
          <cell r="D559"/>
          <cell r="E559"/>
          <cell r="F559"/>
        </row>
        <row r="560">
          <cell r="A560" t="str">
            <v>150609</v>
          </cell>
          <cell r="B560" t="str">
            <v>Caixa para medidor polifásico carga até 41000W inclusive caixa para disjuntor polifásico até 100A</v>
          </cell>
          <cell r="C560" t="str">
            <v>und</v>
          </cell>
          <cell r="D560">
            <v>1</v>
          </cell>
          <cell r="E560">
            <v>220.3</v>
          </cell>
          <cell r="F560">
            <v>220.3</v>
          </cell>
        </row>
        <row r="561">
          <cell r="A561" t="str">
            <v>150610</v>
          </cell>
          <cell r="B561" t="str">
            <v>Caixa de aterramento de concreto simples, nas dimensões de 30x30x25cm, com revest. int. em chapisco e reboco, tampa de concreto esp.5cm e lastro de brita esp. 5 cm, incl. haste 5/8"x2400mm</v>
          </cell>
          <cell r="C561" t="str">
            <v>und</v>
          </cell>
          <cell r="D561">
            <v>1</v>
          </cell>
          <cell r="E561">
            <v>314.29000000000002</v>
          </cell>
          <cell r="F561">
            <v>314.29000000000002</v>
          </cell>
        </row>
        <row r="562">
          <cell r="A562" t="str">
            <v>150612</v>
          </cell>
          <cell r="B562" t="str">
            <v>Caixa de passagem 100x100x80mm, chapa 18, com tampa parafusada</v>
          </cell>
          <cell r="C562" t="str">
            <v>und</v>
          </cell>
          <cell r="D562">
            <v>1</v>
          </cell>
          <cell r="E562">
            <v>52.14</v>
          </cell>
          <cell r="F562">
            <v>52.14</v>
          </cell>
        </row>
        <row r="563">
          <cell r="A563" t="str">
            <v>150614</v>
          </cell>
          <cell r="B563" t="str">
            <v>Caixa de passagem de alvenaria de blocos de concreto 9x19x39cm, dimensões de 30x30x50cm, com revestimento interno em chapisco e reboco, tampa de concreto esp.5cm e lastro de brita 5 cm</v>
          </cell>
          <cell r="C563" t="str">
            <v>und</v>
          </cell>
          <cell r="D563">
            <v>1</v>
          </cell>
          <cell r="E563">
            <v>120.17</v>
          </cell>
          <cell r="F563">
            <v>120.17</v>
          </cell>
        </row>
        <row r="564">
          <cell r="A564" t="str">
            <v>150615</v>
          </cell>
          <cell r="B564" t="str">
            <v>Caixa de passagem de alvenaria de blocos de concreto 9x19x39cm, dimensões de 40x40x50cm, com revestimento interno em chapisco e reboco, tampa de concreto esp.5cm e lastro de brita 5 cm</v>
          </cell>
          <cell r="C564" t="str">
            <v>und</v>
          </cell>
          <cell r="D564">
            <v>1</v>
          </cell>
          <cell r="E564">
            <v>154.4</v>
          </cell>
          <cell r="F564">
            <v>154.4</v>
          </cell>
        </row>
        <row r="565">
          <cell r="A565" t="str">
            <v>150616</v>
          </cell>
          <cell r="B565" t="str">
            <v>Caixa de passagem de alvenaria de blocos de concreto 9x19x39cm, dimensões de 50x50x50cm, com revestimento interno em chapisco e reboco, tampa de concreto esp.5cm e lastro de brita 5 cm</v>
          </cell>
          <cell r="C565" t="str">
            <v>und</v>
          </cell>
          <cell r="D565">
            <v>1</v>
          </cell>
          <cell r="E565">
            <v>215.07</v>
          </cell>
          <cell r="F565">
            <v>215.07</v>
          </cell>
        </row>
        <row r="566">
          <cell r="A566" t="str">
            <v>150626</v>
          </cell>
          <cell r="B566" t="str">
            <v>Conjunto caixa termoplástica para Medidor Padrão ESCELSA Monofáfico com tampa transparente em policarbonato P-980-009 inclusive caixa para disjuntor monof P-940-003 Padrão Escelsa</v>
          </cell>
          <cell r="C566" t="str">
            <v>und</v>
          </cell>
          <cell r="D566">
            <v>1</v>
          </cell>
          <cell r="E566">
            <v>119.55</v>
          </cell>
          <cell r="F566">
            <v>119.55</v>
          </cell>
        </row>
        <row r="567">
          <cell r="A567" t="str">
            <v>150628</v>
          </cell>
          <cell r="B567" t="str">
            <v>Caixa de embutir marca de referência Tigreflex, 4x2"</v>
          </cell>
          <cell r="C567" t="str">
            <v>und</v>
          </cell>
          <cell r="D567">
            <v>1</v>
          </cell>
          <cell r="E567">
            <v>8.61</v>
          </cell>
          <cell r="F567">
            <v>8.61</v>
          </cell>
        </row>
        <row r="568">
          <cell r="A568" t="str">
            <v>150629</v>
          </cell>
          <cell r="B568" t="str">
            <v>Caixa de embutir marca de referência Tigreflex, 4x4"</v>
          </cell>
          <cell r="C568" t="str">
            <v>und</v>
          </cell>
          <cell r="D568">
            <v>1</v>
          </cell>
          <cell r="E568">
            <v>12.68</v>
          </cell>
          <cell r="F568">
            <v>12.68</v>
          </cell>
        </row>
        <row r="569">
          <cell r="A569" t="str">
            <v>150632</v>
          </cell>
          <cell r="B569" t="str">
            <v>Caixa de passagem 150x150x80mm, chapa 18, com tampa parafusada</v>
          </cell>
          <cell r="C569" t="str">
            <v>und</v>
          </cell>
          <cell r="D569">
            <v>1</v>
          </cell>
          <cell r="E569">
            <v>70.98</v>
          </cell>
          <cell r="F569">
            <v>70.98</v>
          </cell>
        </row>
        <row r="570">
          <cell r="A570" t="str">
            <v>150633</v>
          </cell>
          <cell r="B570" t="str">
            <v>Caixa de passagem 200x200x100mm, chapa 18, com tampa parafusada</v>
          </cell>
          <cell r="C570" t="str">
            <v>und</v>
          </cell>
          <cell r="D570">
            <v>1</v>
          </cell>
          <cell r="E570">
            <v>101.13</v>
          </cell>
          <cell r="F570">
            <v>101.13</v>
          </cell>
        </row>
        <row r="571">
          <cell r="A571" t="str">
            <v>150634</v>
          </cell>
          <cell r="B571" t="str">
            <v>Caixa de passagem 300x300x120mm, chapa 18, com tampa parafusada</v>
          </cell>
          <cell r="C571" t="str">
            <v>und</v>
          </cell>
          <cell r="D571">
            <v>1</v>
          </cell>
          <cell r="E571">
            <v>155.41</v>
          </cell>
          <cell r="F571">
            <v>155.41</v>
          </cell>
        </row>
        <row r="572">
          <cell r="A572" t="str">
            <v>150635</v>
          </cell>
          <cell r="B572" t="str">
            <v>Caixa de passagem 400x400x120mm, chapa 18, com tampa parafusada</v>
          </cell>
          <cell r="C572" t="str">
            <v>und</v>
          </cell>
          <cell r="D572">
            <v>1</v>
          </cell>
          <cell r="E572">
            <v>185.01</v>
          </cell>
          <cell r="F572">
            <v>185.01</v>
          </cell>
        </row>
        <row r="573">
          <cell r="A573" t="str">
            <v>150636</v>
          </cell>
          <cell r="B573" t="str">
            <v>Caixa sextavada em PVC de 3x3x1 1/2", marca de referência Tigreflex</v>
          </cell>
          <cell r="C573" t="str">
            <v>und</v>
          </cell>
          <cell r="D573">
            <v>1</v>
          </cell>
          <cell r="E573">
            <v>10.1</v>
          </cell>
          <cell r="F573">
            <v>10.1</v>
          </cell>
        </row>
        <row r="574">
          <cell r="A574" t="str">
            <v>1507</v>
          </cell>
          <cell r="B574" t="str">
            <v>ENVELOPAMENTO DE ELETRODUTOS</v>
          </cell>
          <cell r="C574"/>
          <cell r="D574"/>
          <cell r="E574"/>
          <cell r="F574"/>
        </row>
        <row r="575">
          <cell r="A575" t="str">
            <v>150701</v>
          </cell>
          <cell r="B575" t="str">
            <v>Envelopamento de concreto simples com consumo mínimo de cimento de 250kg/m3, inclusive escavação para profundidade mínima do eletroduto de 50 cm, de 25 x 25 cm, para 1 eletroduto</v>
          </cell>
          <cell r="C575" t="str">
            <v>m</v>
          </cell>
          <cell r="D575">
            <v>1</v>
          </cell>
          <cell r="E575">
            <v>46.42</v>
          </cell>
          <cell r="F575">
            <v>46.42</v>
          </cell>
        </row>
        <row r="576">
          <cell r="A576" t="str">
            <v>150702</v>
          </cell>
          <cell r="B576" t="str">
            <v>Envelopamento de concreto simples com consumo mínimo de cimento de 250kg/m3, inclusive escavação para profundidade mínima do eletroduto de 50 cm, de 25 x 30 cm, para 2 eletrodutos</v>
          </cell>
          <cell r="C576" t="str">
            <v>m</v>
          </cell>
          <cell r="D576">
            <v>1</v>
          </cell>
          <cell r="E576">
            <v>55.69</v>
          </cell>
          <cell r="F576">
            <v>55.69</v>
          </cell>
        </row>
        <row r="577">
          <cell r="A577" t="str">
            <v>150703</v>
          </cell>
          <cell r="B577" t="str">
            <v>Envelopamento de concreto simples com consumo mínimo de cimento de 250kg/m3, inclusive escavação para profundidade mínima do eletroduto de 50cm, de 60 x 30 cm, para 3 eletrodutos</v>
          </cell>
          <cell r="C577" t="str">
            <v>m</v>
          </cell>
          <cell r="D577">
            <v>1</v>
          </cell>
          <cell r="E577">
            <v>145.15</v>
          </cell>
          <cell r="F577">
            <v>145.15</v>
          </cell>
        </row>
        <row r="578">
          <cell r="A578" t="str">
            <v>150704</v>
          </cell>
          <cell r="B578" t="str">
            <v>Envelopamento de concreto simples com consumo mínimo de cimento de 250kg/m3, inclusive escavação para profundidade mínima do eletroduto de 50cm, de 45 x 45 cm, para 3 eletrodutos</v>
          </cell>
          <cell r="C578" t="str">
            <v>m</v>
          </cell>
          <cell r="D578">
            <v>1</v>
          </cell>
          <cell r="E578">
            <v>155.76</v>
          </cell>
          <cell r="F578">
            <v>155.76</v>
          </cell>
        </row>
        <row r="579">
          <cell r="A579" t="str">
            <v>1508</v>
          </cell>
          <cell r="B579" t="str">
            <v>INSTALAÇÕES APARENTES</v>
          </cell>
          <cell r="C579"/>
          <cell r="D579"/>
          <cell r="E579"/>
          <cell r="F579"/>
        </row>
        <row r="580">
          <cell r="A580" t="str">
            <v>150801</v>
          </cell>
          <cell r="B580" t="str">
            <v>Eletroduto aparente de PVC rígido roscável diâmetro 3/4", inclusive abraçadeira de fixação</v>
          </cell>
          <cell r="C580" t="str">
            <v>m</v>
          </cell>
          <cell r="D580">
            <v>1</v>
          </cell>
          <cell r="E580">
            <v>16.29</v>
          </cell>
          <cell r="F580">
            <v>16.29</v>
          </cell>
        </row>
        <row r="581">
          <cell r="A581" t="str">
            <v>150802</v>
          </cell>
          <cell r="B581" t="str">
            <v>Caixa de ligação de alumínio silício, tipo CONDULETES,sem rosca, no formato B, inclusive tampa com vedação, diâmetro 3/4"</v>
          </cell>
          <cell r="C581" t="str">
            <v>und</v>
          </cell>
          <cell r="D581">
            <v>1</v>
          </cell>
          <cell r="E581">
            <v>21.61</v>
          </cell>
          <cell r="F581">
            <v>21.61</v>
          </cell>
        </row>
        <row r="582">
          <cell r="A582" t="str">
            <v>150803</v>
          </cell>
          <cell r="B582" t="str">
            <v>Caixa de ligação de alumínio silício, tipo CONDULETES, sem rosca, no formato T, inclusive tampa com vedação, diâmetro 3/4"</v>
          </cell>
          <cell r="C582" t="str">
            <v>und</v>
          </cell>
          <cell r="D582">
            <v>1</v>
          </cell>
          <cell r="E582">
            <v>25.25</v>
          </cell>
          <cell r="F582">
            <v>25.25</v>
          </cell>
        </row>
        <row r="583">
          <cell r="A583" t="str">
            <v>150804</v>
          </cell>
          <cell r="B583" t="str">
            <v>Caixa de ligação de alumínio silício, tipo CONDULETES, sem rosca, no formato LR, inclusive tampa com vedação, diâmetro 3/4"</v>
          </cell>
          <cell r="C583" t="str">
            <v>und</v>
          </cell>
          <cell r="D583">
            <v>1</v>
          </cell>
          <cell r="E583">
            <v>23.28</v>
          </cell>
          <cell r="F583">
            <v>23.28</v>
          </cell>
        </row>
        <row r="584">
          <cell r="A584" t="str">
            <v>150805</v>
          </cell>
          <cell r="B584" t="str">
            <v>Caixa de ligação de alumínio silício, tipo CONDULETES, sem rosca, no formato X, inclusive tampa com vedação, diâmetro 3/4"</v>
          </cell>
          <cell r="C584" t="str">
            <v>und</v>
          </cell>
          <cell r="D584">
            <v>1</v>
          </cell>
          <cell r="E584">
            <v>25.22</v>
          </cell>
          <cell r="F584">
            <v>25.22</v>
          </cell>
        </row>
        <row r="585">
          <cell r="A585" t="str">
            <v>150806</v>
          </cell>
          <cell r="B585" t="str">
            <v>Eletroduto aparente de PVC rígido roscável diâmetro 1", inclusive abraçadeira de fixação</v>
          </cell>
          <cell r="C585" t="str">
            <v>m</v>
          </cell>
          <cell r="D585">
            <v>1</v>
          </cell>
          <cell r="E585">
            <v>26.27</v>
          </cell>
          <cell r="F585">
            <v>26.27</v>
          </cell>
        </row>
        <row r="586">
          <cell r="A586" t="str">
            <v>150807</v>
          </cell>
          <cell r="B586" t="str">
            <v>Canaleta sistema X da Pial ou equivalente, inclusive conexões</v>
          </cell>
          <cell r="C586" t="str">
            <v>m</v>
          </cell>
          <cell r="D586">
            <v>1</v>
          </cell>
          <cell r="E586">
            <v>13.24</v>
          </cell>
          <cell r="F586">
            <v>13.24</v>
          </cell>
        </row>
        <row r="587">
          <cell r="A587" t="str">
            <v>150835</v>
          </cell>
          <cell r="B587" t="str">
            <v>Eletrocalha perfurada em chapa de aço galvanizado nº16, 150x50mm, sem tampa</v>
          </cell>
          <cell r="C587" t="str">
            <v>m</v>
          </cell>
          <cell r="D587">
            <v>1</v>
          </cell>
          <cell r="E587">
            <v>91.55</v>
          </cell>
          <cell r="F587">
            <v>91.55</v>
          </cell>
        </row>
        <row r="588">
          <cell r="A588" t="str">
            <v>150836</v>
          </cell>
          <cell r="B588" t="str">
            <v>Eletrocalha perfurada em chapa de aço galvanizado nº16, 200x100mm, sem tampa</v>
          </cell>
          <cell r="C588" t="str">
            <v>m</v>
          </cell>
          <cell r="D588">
            <v>1</v>
          </cell>
          <cell r="E588">
            <v>136.11000000000001</v>
          </cell>
          <cell r="F588">
            <v>136.11000000000001</v>
          </cell>
        </row>
        <row r="589">
          <cell r="A589" t="str">
            <v>150837</v>
          </cell>
          <cell r="B589" t="str">
            <v>Eletrocalha perfurada em chapa de aço galvanizado nº16, 300x100mm, sem tampa</v>
          </cell>
          <cell r="C589" t="str">
            <v>m</v>
          </cell>
          <cell r="D589">
            <v>1</v>
          </cell>
          <cell r="E589">
            <v>176.92</v>
          </cell>
          <cell r="F589">
            <v>176.92</v>
          </cell>
        </row>
        <row r="590">
          <cell r="A590" t="str">
            <v>150838</v>
          </cell>
          <cell r="B590" t="str">
            <v>Eletrocalha perfurada em chapa de aço galvanizado nº16, 400x100mm, sem tampa</v>
          </cell>
          <cell r="C590" t="str">
            <v>m</v>
          </cell>
          <cell r="D590">
            <v>1</v>
          </cell>
          <cell r="E590">
            <v>207.92</v>
          </cell>
          <cell r="F590">
            <v>207.92</v>
          </cell>
        </row>
        <row r="591">
          <cell r="A591" t="str">
            <v>150843</v>
          </cell>
          <cell r="B591" t="str">
            <v>Redução concêntrica para eletrocalha perfurada, tipo "U", 200x150mm, aba 100</v>
          </cell>
          <cell r="C591" t="str">
            <v>und</v>
          </cell>
          <cell r="D591">
            <v>1</v>
          </cell>
          <cell r="E591">
            <v>78.599999999999994</v>
          </cell>
          <cell r="F591">
            <v>78.599999999999994</v>
          </cell>
        </row>
        <row r="592">
          <cell r="A592" t="str">
            <v>150844</v>
          </cell>
          <cell r="B592" t="str">
            <v>Redução concêntrica para eletrocalha perfurada, tipo "U", 300x150mm, aba 100</v>
          </cell>
          <cell r="C592" t="str">
            <v>und</v>
          </cell>
          <cell r="D592">
            <v>1</v>
          </cell>
          <cell r="E592">
            <v>100.48</v>
          </cell>
          <cell r="F592">
            <v>100.48</v>
          </cell>
        </row>
        <row r="593">
          <cell r="A593" t="str">
            <v>150845</v>
          </cell>
          <cell r="B593" t="str">
            <v>Redução concêntrica para eletrocalha perfurada, tipo "U", 400x150mm, aba 100</v>
          </cell>
          <cell r="C593" t="str">
            <v>und</v>
          </cell>
          <cell r="D593">
            <v>1</v>
          </cell>
          <cell r="E593">
            <v>121.44</v>
          </cell>
          <cell r="F593">
            <v>121.44</v>
          </cell>
        </row>
        <row r="594">
          <cell r="A594" t="str">
            <v>150850</v>
          </cell>
          <cell r="B594" t="str">
            <v>Saída horizontal para eletroduto de 3/4"</v>
          </cell>
          <cell r="C594" t="str">
            <v>und</v>
          </cell>
          <cell r="D594">
            <v>1</v>
          </cell>
          <cell r="E594">
            <v>10.06</v>
          </cell>
          <cell r="F594">
            <v>10.06</v>
          </cell>
        </row>
        <row r="595">
          <cell r="A595" t="str">
            <v>150851</v>
          </cell>
          <cell r="B595" t="str">
            <v>Saída horizontal para eletroduto de 1"</v>
          </cell>
          <cell r="C595" t="str">
            <v>und</v>
          </cell>
          <cell r="D595">
            <v>1</v>
          </cell>
          <cell r="E595">
            <v>10.47</v>
          </cell>
          <cell r="F595">
            <v>10.47</v>
          </cell>
        </row>
        <row r="596">
          <cell r="A596" t="str">
            <v>150852</v>
          </cell>
          <cell r="B596" t="str">
            <v>Saída horizontal para eletroduto de 2"</v>
          </cell>
          <cell r="C596" t="str">
            <v>und</v>
          </cell>
          <cell r="D596">
            <v>1</v>
          </cell>
          <cell r="E596">
            <v>12.63</v>
          </cell>
          <cell r="F596">
            <v>12.63</v>
          </cell>
        </row>
        <row r="597">
          <cell r="A597" t="str">
            <v>150860</v>
          </cell>
          <cell r="B597" t="str">
            <v>Tampa de encaixe para eletrocalha em chapa de aço galvanizada 18, dim. 150mm</v>
          </cell>
          <cell r="C597" t="str">
            <v>und</v>
          </cell>
          <cell r="D597">
            <v>1</v>
          </cell>
          <cell r="E597">
            <v>47.8</v>
          </cell>
          <cell r="F597">
            <v>47.8</v>
          </cell>
        </row>
        <row r="598">
          <cell r="A598" t="str">
            <v>150861</v>
          </cell>
          <cell r="B598" t="str">
            <v>Tampa de encaixe para eletrocalha em chapa de aço galvanizada 18, dim. 200mm</v>
          </cell>
          <cell r="C598" t="str">
            <v>und</v>
          </cell>
          <cell r="D598">
            <v>1</v>
          </cell>
          <cell r="E598">
            <v>60.79</v>
          </cell>
          <cell r="F598">
            <v>60.79</v>
          </cell>
        </row>
        <row r="599">
          <cell r="A599" t="str">
            <v>150862</v>
          </cell>
          <cell r="B599" t="str">
            <v>Tampa de encaixe para eletrocalha em chapa de aço galvanizada 18, dim. 300mm</v>
          </cell>
          <cell r="C599" t="str">
            <v>und</v>
          </cell>
          <cell r="D599">
            <v>1</v>
          </cell>
          <cell r="E599">
            <v>84.32</v>
          </cell>
          <cell r="F599">
            <v>84.32</v>
          </cell>
        </row>
        <row r="600">
          <cell r="A600" t="str">
            <v>150863</v>
          </cell>
          <cell r="B600" t="str">
            <v>Tampa de encaixe para eletrocalha em chapa de aço galvanizada 18, dim. 400mm</v>
          </cell>
          <cell r="C600" t="str">
            <v>und</v>
          </cell>
          <cell r="D600">
            <v>1</v>
          </cell>
          <cell r="E600">
            <v>108.29</v>
          </cell>
          <cell r="F600">
            <v>108.29</v>
          </cell>
        </row>
        <row r="601">
          <cell r="A601" t="str">
            <v>150866</v>
          </cell>
          <cell r="B601" t="str">
            <v>Junção simples para eletrocalha metálica 200x100mm, galvanizada, ref. Mega MG 2760 ou equivalente</v>
          </cell>
          <cell r="C601" t="str">
            <v>und</v>
          </cell>
          <cell r="D601">
            <v>1</v>
          </cell>
          <cell r="E601">
            <v>14.41</v>
          </cell>
          <cell r="F601">
            <v>14.41</v>
          </cell>
        </row>
        <row r="602">
          <cell r="A602" t="str">
            <v>150867</v>
          </cell>
          <cell r="B602" t="str">
            <v>Junção simples para eletrocalha metálica 300x100mm, galvanizada, ref. Mega MG 2760 ou equivalente</v>
          </cell>
          <cell r="C602" t="str">
            <v>und</v>
          </cell>
          <cell r="D602">
            <v>1</v>
          </cell>
          <cell r="E602">
            <v>17.309999999999999</v>
          </cell>
          <cell r="F602">
            <v>17.309999999999999</v>
          </cell>
        </row>
        <row r="603">
          <cell r="A603" t="str">
            <v>150870</v>
          </cell>
          <cell r="B603" t="str">
            <v>TÊ horizontal 90º para eletrocalha metálica 200x100mm, galvanizada, ref. MEGA MG 2570 ou equivalente</v>
          </cell>
          <cell r="C603" t="str">
            <v>und</v>
          </cell>
          <cell r="D603">
            <v>1</v>
          </cell>
          <cell r="E603">
            <v>146.32</v>
          </cell>
          <cell r="F603">
            <v>146.32</v>
          </cell>
        </row>
        <row r="604">
          <cell r="A604" t="str">
            <v>150871</v>
          </cell>
          <cell r="B604" t="str">
            <v>TÊ horizontal 90º para eletrocalha metálica 300x100mm, galvanizada, ref. MEGA MG 2570 ou equivalente</v>
          </cell>
          <cell r="C604" t="str">
            <v>und</v>
          </cell>
          <cell r="D604">
            <v>1</v>
          </cell>
          <cell r="E604">
            <v>193.75</v>
          </cell>
          <cell r="F604">
            <v>193.75</v>
          </cell>
        </row>
        <row r="605">
          <cell r="A605" t="str">
            <v>150875</v>
          </cell>
          <cell r="B605" t="str">
            <v>Curva horizontal 90º para eletrocalha metálica, 200x100mm, galvanizada, ref. MEGA MG 2510</v>
          </cell>
          <cell r="C605" t="str">
            <v>und</v>
          </cell>
          <cell r="D605">
            <v>1</v>
          </cell>
          <cell r="E605">
            <v>116.23</v>
          </cell>
          <cell r="F605">
            <v>116.23</v>
          </cell>
        </row>
        <row r="606">
          <cell r="A606" t="str">
            <v>150876</v>
          </cell>
          <cell r="B606" t="str">
            <v>Curva horizontal 90º para eletrocalha metálica, 300x100mm, galvanizada, ref. MEGA MG 2510</v>
          </cell>
          <cell r="C606" t="str">
            <v>und</v>
          </cell>
          <cell r="D606">
            <v>1</v>
          </cell>
          <cell r="E606">
            <v>168.46</v>
          </cell>
          <cell r="F606">
            <v>168.46</v>
          </cell>
        </row>
        <row r="607">
          <cell r="A607" t="str">
            <v>150880</v>
          </cell>
          <cell r="B607" t="str">
            <v>Suporte de fixação de eletroduto no teto, através de fita metálica perfurada (Walsiwa) ou equiv (1,30m), cursor (1 und), h=60cm, suporte "Y" (1 und), parafuso e bucha S8 (1 und)</v>
          </cell>
          <cell r="C607" t="str">
            <v>und</v>
          </cell>
          <cell r="D607">
            <v>1</v>
          </cell>
          <cell r="E607">
            <v>22.54</v>
          </cell>
          <cell r="F607">
            <v>22.54</v>
          </cell>
        </row>
        <row r="608">
          <cell r="A608" t="str">
            <v>150881</v>
          </cell>
          <cell r="B608" t="str">
            <v>Suporte de fixação de eletrocalha de 200x100mm, na parede, através de suporte tipo mão francesa simples (1 und), parafuso e bucha S8 (2und)</v>
          </cell>
          <cell r="C608" t="str">
            <v>und</v>
          </cell>
          <cell r="D608">
            <v>1</v>
          </cell>
          <cell r="E608">
            <v>30.69</v>
          </cell>
          <cell r="F608">
            <v>30.69</v>
          </cell>
        </row>
        <row r="609">
          <cell r="A609" t="str">
            <v>150882</v>
          </cell>
          <cell r="B609" t="str">
            <v>Suporte de fixação de eletrocalha de 300x100mm, na parede, através de suporte tipo mão francesa reforçada (1 und), parafuso e bucha S8 (2 und)</v>
          </cell>
          <cell r="C609" t="str">
            <v>und</v>
          </cell>
          <cell r="D609">
            <v>1</v>
          </cell>
          <cell r="E609">
            <v>67.41</v>
          </cell>
          <cell r="F609">
            <v>67.41</v>
          </cell>
        </row>
        <row r="610">
          <cell r="A610" t="str">
            <v>150883</v>
          </cell>
          <cell r="B610" t="str">
            <v>Suporte de fixação de eletrocalha de 400x100mm, na parede, através de suporte tipo mão francesa reforçada (1 und), parafuso e bucha S8 (2 und)</v>
          </cell>
          <cell r="C610" t="str">
            <v>und</v>
          </cell>
          <cell r="D610">
            <v>1</v>
          </cell>
          <cell r="E610">
            <v>76.88</v>
          </cell>
          <cell r="F610">
            <v>76.88</v>
          </cell>
        </row>
        <row r="611">
          <cell r="A611" t="str">
            <v>150884</v>
          </cell>
          <cell r="B611" t="str">
            <v>Suporte de fixação de eletrocalha de 200x100mm, no teto, através de gancho vertical (1 und), porca sextavada e arruela 1/4" (4 und), vergalhão rosca total 1/4" (h=60cm), cantoneira ZZ (1 und) e parafuso e bucha S8 (2 und)</v>
          </cell>
          <cell r="C611" t="str">
            <v>und</v>
          </cell>
          <cell r="D611">
            <v>1</v>
          </cell>
          <cell r="E611">
            <v>41.44</v>
          </cell>
          <cell r="F611">
            <v>41.44</v>
          </cell>
        </row>
        <row r="612">
          <cell r="A612" t="str">
            <v>150885</v>
          </cell>
          <cell r="B612" t="str">
            <v>Suporte de fixação de eletrocalha de 300x100mm, no teto, através de suporte angular (1 und), porca sextavada e arruela 1/4' (4 und) , vergalhão com rosca total 1/4" (h=60cm), cantoneira ZZ (2 und) e parafuso e bucha S8 (2 und)</v>
          </cell>
          <cell r="C612" t="str">
            <v>und</v>
          </cell>
          <cell r="D612">
            <v>1</v>
          </cell>
          <cell r="E612">
            <v>56.19</v>
          </cell>
          <cell r="F612">
            <v>56.19</v>
          </cell>
        </row>
        <row r="613">
          <cell r="A613" t="str">
            <v>150886</v>
          </cell>
          <cell r="B613" t="str">
            <v>Suporte de fixação de eletrocalha de 400x100mm, no teto, através de suporte angular (1 und), porca sextavada e arruela 1/4' (4 und), vergalhão rosca total 1/4" (h=60cm), cantoneira ZZ (2 und) e parafuso e bucha S8 (2 und)</v>
          </cell>
          <cell r="C613" t="str">
            <v>und</v>
          </cell>
          <cell r="D613">
            <v>1</v>
          </cell>
          <cell r="E613">
            <v>60.77</v>
          </cell>
          <cell r="F613">
            <v>60.77</v>
          </cell>
        </row>
        <row r="614">
          <cell r="A614" t="str">
            <v>1509</v>
          </cell>
          <cell r="B614" t="str">
            <v>COMPOSIÇÕES INTERMEDIÁRIAS P/ ELETRICA</v>
          </cell>
          <cell r="C614"/>
          <cell r="D614"/>
          <cell r="E614"/>
          <cell r="F614"/>
        </row>
        <row r="615">
          <cell r="A615" t="str">
            <v>150906</v>
          </cell>
          <cell r="B615" t="str">
            <v>Arame galvanizado 12 BWG (0.048 kg/m)</v>
          </cell>
          <cell r="C615" t="str">
            <v>m</v>
          </cell>
          <cell r="D615">
            <v>1</v>
          </cell>
          <cell r="E615">
            <v>1.87</v>
          </cell>
          <cell r="F615">
            <v>1.87</v>
          </cell>
        </row>
        <row r="616">
          <cell r="A616" t="str">
            <v>150910</v>
          </cell>
          <cell r="B616" t="str">
            <v>Cabeçote de alumínio de 3/4"</v>
          </cell>
          <cell r="C616" t="str">
            <v>und</v>
          </cell>
          <cell r="D616">
            <v>1</v>
          </cell>
          <cell r="E616">
            <v>10.81</v>
          </cell>
          <cell r="F616">
            <v>10.81</v>
          </cell>
        </row>
        <row r="617">
          <cell r="A617" t="str">
            <v>150916</v>
          </cell>
          <cell r="B617" t="str">
            <v>Canaleta sistema X Pial ou equivalente, inclusive conecções, 20x10x2200 mm, cod. 30801</v>
          </cell>
          <cell r="C617" t="str">
            <v>und</v>
          </cell>
          <cell r="D617">
            <v>1</v>
          </cell>
          <cell r="E617">
            <v>30.15</v>
          </cell>
          <cell r="F617">
            <v>30.15</v>
          </cell>
        </row>
        <row r="618">
          <cell r="A618" t="str">
            <v>150918</v>
          </cell>
          <cell r="B618" t="str">
            <v>Fita isolante em rolo de 19mm x 20 m, número 33 Scoth ou equivalente</v>
          </cell>
          <cell r="C618" t="str">
            <v>und</v>
          </cell>
          <cell r="D618">
            <v>1</v>
          </cell>
          <cell r="E618">
            <v>28.43</v>
          </cell>
          <cell r="F618">
            <v>28.43</v>
          </cell>
        </row>
        <row r="619">
          <cell r="A619" t="str">
            <v>150932</v>
          </cell>
          <cell r="B619" t="str">
            <v>Receptáculo (bocal) de louça para lâmpada incandescente</v>
          </cell>
          <cell r="C619" t="str">
            <v>und</v>
          </cell>
          <cell r="D619">
            <v>1</v>
          </cell>
          <cell r="E619">
            <v>7.41</v>
          </cell>
          <cell r="F619">
            <v>7.41</v>
          </cell>
        </row>
        <row r="620">
          <cell r="A620" t="str">
            <v>150934</v>
          </cell>
          <cell r="B620" t="str">
            <v>Lâmpada fluorescente 40 W</v>
          </cell>
          <cell r="C620" t="str">
            <v>und</v>
          </cell>
          <cell r="D620">
            <v>1</v>
          </cell>
          <cell r="E620">
            <v>19.489999999999998</v>
          </cell>
          <cell r="F620">
            <v>19.489999999999998</v>
          </cell>
        </row>
        <row r="621">
          <cell r="A621" t="str">
            <v>150937</v>
          </cell>
          <cell r="B621" t="str">
            <v>Arame de aço 14 BWG para guia</v>
          </cell>
          <cell r="C621" t="str">
            <v>m</v>
          </cell>
          <cell r="D621">
            <v>1</v>
          </cell>
          <cell r="E621">
            <v>4.04</v>
          </cell>
          <cell r="F621">
            <v>4.04</v>
          </cell>
        </row>
        <row r="622">
          <cell r="A622" t="str">
            <v>150964</v>
          </cell>
          <cell r="B622" t="str">
            <v>Lâmpada fluorescente de 20W</v>
          </cell>
          <cell r="C622" t="str">
            <v>und</v>
          </cell>
          <cell r="D622">
            <v>1</v>
          </cell>
          <cell r="E622">
            <v>19.489999999999998</v>
          </cell>
          <cell r="F622">
            <v>19.489999999999998</v>
          </cell>
        </row>
        <row r="623">
          <cell r="A623" t="str">
            <v>150967</v>
          </cell>
          <cell r="B623" t="str">
            <v>Soquete para lâmpada fluorescente</v>
          </cell>
          <cell r="C623" t="str">
            <v>und</v>
          </cell>
          <cell r="D623">
            <v>1</v>
          </cell>
          <cell r="E623">
            <v>6.95</v>
          </cell>
          <cell r="F623">
            <v>6.95</v>
          </cell>
        </row>
        <row r="624">
          <cell r="A624" t="str">
            <v>1510</v>
          </cell>
          <cell r="B624" t="str">
            <v>CAIXAS DE PASSAGEM EMPREGANDO ARGAMASSA DE CIMENTO, CAL E AREIA</v>
          </cell>
          <cell r="C624"/>
          <cell r="D624"/>
          <cell r="E624"/>
          <cell r="F624"/>
        </row>
        <row r="625">
          <cell r="A625" t="str">
            <v>151001</v>
          </cell>
          <cell r="B625" t="str">
            <v>Caixa de passagem de alvenaria de blocos cerâmicos 10 furos 10x20x20cm dimensões de 25x25x25cm, com revestimento interno em chapisco e reboco, tampa de concreto esp.5cm e lastro de brita 5 cm</v>
          </cell>
          <cell r="C625" t="str">
            <v>und</v>
          </cell>
          <cell r="D625">
            <v>1</v>
          </cell>
          <cell r="E625">
            <v>114.17</v>
          </cell>
          <cell r="F625">
            <v>114.17</v>
          </cell>
        </row>
        <row r="626">
          <cell r="A626" t="str">
            <v>151002</v>
          </cell>
          <cell r="B626" t="str">
            <v>Caixa de passagem de alvenaria de blocos cerâmicos 10 furos 10x20x20cm dimensões de 50x50x50cm, com revestimento interno em chapisco e reboco, tampa de concreto esp.5cm e lastro de brita 5 cm</v>
          </cell>
          <cell r="C626" t="str">
            <v>und</v>
          </cell>
          <cell r="D626">
            <v>1</v>
          </cell>
          <cell r="E626">
            <v>259.45999999999998</v>
          </cell>
          <cell r="F626">
            <v>259.45999999999998</v>
          </cell>
        </row>
        <row r="627">
          <cell r="A627" t="str">
            <v>151003</v>
          </cell>
          <cell r="B627" t="str">
            <v>Caixa de passagem de alvenaria de blocos cerâmicos 10 furos 10x20x20cm, dimensão de 30x30x30cm, com revestimento interno em chapisco e reboco, tampa de concreto esp. 5cm e lastro de brita 5cm</v>
          </cell>
          <cell r="C627" t="str">
            <v>und</v>
          </cell>
          <cell r="D627">
            <v>1</v>
          </cell>
          <cell r="E627">
            <v>113.14</v>
          </cell>
          <cell r="F627">
            <v>113.14</v>
          </cell>
        </row>
        <row r="628">
          <cell r="A628" t="str">
            <v>151004</v>
          </cell>
          <cell r="B628" t="str">
            <v>@(CANCELADA-UTILIZAR SERVIÇO 151002) - Caixa de passagem de alvenaria de blocos cerâmicos 10 furos 10x20x20cm, dimensão de 50x50x50cm, com revestimento interno em chapisco e reboco, tampa de concreto esp. 5cm e lastro de brita 5cm</v>
          </cell>
          <cell r="C628" t="str">
            <v>und</v>
          </cell>
          <cell r="D628">
            <v>1</v>
          </cell>
          <cell r="E628">
            <v>251.59</v>
          </cell>
          <cell r="F628">
            <v>251.59</v>
          </cell>
        </row>
        <row r="629">
          <cell r="A629" t="str">
            <v>151015</v>
          </cell>
          <cell r="B629" t="str">
            <v>Caixa de inspeção de alvenaria de blocos cerâmicos 10 furos 10x20x20cm dimensões de 30x30x60cm, com revestimento interno em chapisco e reboco, tampa de concreto esp.5cm e lastro de brita 5 cm</v>
          </cell>
          <cell r="C629" t="str">
            <v>und</v>
          </cell>
          <cell r="D629">
            <v>1</v>
          </cell>
          <cell r="E629">
            <v>196.91</v>
          </cell>
          <cell r="F629">
            <v>196.91</v>
          </cell>
        </row>
        <row r="630">
          <cell r="A630" t="str">
            <v>151016</v>
          </cell>
          <cell r="B630" t="str">
            <v>Caixa de passagem de alvenaria de blocos de concreto 9x19x39cm, dimensões de 80x80x80m, com revestimento interno em chapisco e reboco tampa de concreto esp. 5cm e lastro de brita 5cm</v>
          </cell>
          <cell r="C630" t="str">
            <v>und</v>
          </cell>
          <cell r="D630">
            <v>1</v>
          </cell>
          <cell r="E630">
            <v>576.16999999999996</v>
          </cell>
          <cell r="F630">
            <v>576.16999999999996</v>
          </cell>
        </row>
        <row r="631">
          <cell r="A631" t="str">
            <v>151017</v>
          </cell>
          <cell r="B631" t="str">
            <v>Caixa de passagem de alvenaria de blocos de concreto 9x19x39cm, dimensões de 1.00x1.00x1.00m, com revestimento interno em chapisco e reboco tampa de concreto esp. 5cm e lastro de brita 5cm</v>
          </cell>
          <cell r="C631" t="str">
            <v>und</v>
          </cell>
          <cell r="D631">
            <v>1</v>
          </cell>
          <cell r="E631">
            <v>873.49</v>
          </cell>
          <cell r="F631">
            <v>873.49</v>
          </cell>
        </row>
        <row r="632">
          <cell r="A632" t="str">
            <v>1511</v>
          </cell>
          <cell r="B632" t="str">
            <v>ELETRODUTOS E CONEXÕES</v>
          </cell>
          <cell r="C632"/>
          <cell r="D632"/>
          <cell r="E632"/>
          <cell r="F632"/>
        </row>
        <row r="633">
          <cell r="A633" t="str">
            <v>151125</v>
          </cell>
          <cell r="B633" t="str">
            <v>Eletroduto de PVC rígido roscável, diâm. 1/2" (20mm), inclusive conexões</v>
          </cell>
          <cell r="C633" t="str">
            <v>m</v>
          </cell>
          <cell r="D633">
            <v>1</v>
          </cell>
          <cell r="E633">
            <v>14.82</v>
          </cell>
          <cell r="F633">
            <v>14.82</v>
          </cell>
        </row>
        <row r="634">
          <cell r="A634" t="str">
            <v>151126</v>
          </cell>
          <cell r="B634" t="str">
            <v>Eletroduto de PVC rígido roscável, diâm. 3/4" (25mm), inclusive conexões</v>
          </cell>
          <cell r="C634" t="str">
            <v>m</v>
          </cell>
          <cell r="D634">
            <v>1</v>
          </cell>
          <cell r="E634">
            <v>16.149999999999999</v>
          </cell>
          <cell r="F634">
            <v>16.149999999999999</v>
          </cell>
        </row>
        <row r="635">
          <cell r="A635" t="str">
            <v>151127</v>
          </cell>
          <cell r="B635" t="str">
            <v>Eletroduto de PVC rígido roscável, diâm. 1" (32mm), inclusive conexões</v>
          </cell>
          <cell r="C635" t="str">
            <v>m</v>
          </cell>
          <cell r="D635">
            <v>1</v>
          </cell>
          <cell r="E635">
            <v>24.24</v>
          </cell>
          <cell r="F635">
            <v>24.24</v>
          </cell>
        </row>
        <row r="636">
          <cell r="A636" t="str">
            <v>151128</v>
          </cell>
          <cell r="B636" t="str">
            <v>Eletroduto de PVC rígido roscável, diâm. 1 1/4" (40mm), inclusive conexões</v>
          </cell>
          <cell r="C636" t="str">
            <v>m</v>
          </cell>
          <cell r="D636">
            <v>1</v>
          </cell>
          <cell r="E636">
            <v>29.95</v>
          </cell>
          <cell r="F636">
            <v>29.95</v>
          </cell>
        </row>
        <row r="637">
          <cell r="A637" t="str">
            <v>151129</v>
          </cell>
          <cell r="B637" t="str">
            <v>Eletroduto de PVC rígido roscável, diâm. 1 1/2" (50mm), inclusive conexões</v>
          </cell>
          <cell r="C637" t="str">
            <v>m</v>
          </cell>
          <cell r="D637">
            <v>1</v>
          </cell>
          <cell r="E637">
            <v>35.74</v>
          </cell>
          <cell r="F637">
            <v>35.74</v>
          </cell>
        </row>
        <row r="638">
          <cell r="A638" t="str">
            <v>151130</v>
          </cell>
          <cell r="B638" t="str">
            <v>Eletroduto de PVC rígido roscável, diâm. 2" (60mm), inclusive conexões</v>
          </cell>
          <cell r="C638" t="str">
            <v>m</v>
          </cell>
          <cell r="D638">
            <v>1</v>
          </cell>
          <cell r="E638">
            <v>44.88</v>
          </cell>
          <cell r="F638">
            <v>44.88</v>
          </cell>
        </row>
        <row r="639">
          <cell r="A639" t="str">
            <v>151131</v>
          </cell>
          <cell r="B639" t="str">
            <v>Eletroduto de PVC rígido roscável, diâm. 3" (85mm), inclusive conexões</v>
          </cell>
          <cell r="C639" t="str">
            <v>m</v>
          </cell>
          <cell r="D639">
            <v>1</v>
          </cell>
          <cell r="E639">
            <v>80.67</v>
          </cell>
          <cell r="F639">
            <v>80.67</v>
          </cell>
        </row>
        <row r="640">
          <cell r="A640" t="str">
            <v>151132</v>
          </cell>
          <cell r="B640" t="str">
            <v>Eletroduto flexível corrugado 3/4" , marca de referência TIGRE</v>
          </cell>
          <cell r="C640" t="str">
            <v>m</v>
          </cell>
          <cell r="D640">
            <v>1</v>
          </cell>
          <cell r="E640">
            <v>8.23</v>
          </cell>
          <cell r="F640">
            <v>8.23</v>
          </cell>
        </row>
        <row r="641">
          <cell r="A641" t="str">
            <v>151133</v>
          </cell>
          <cell r="B641" t="str">
            <v>Eletroduto flexível corrugado 1", marca de referência TIGRE</v>
          </cell>
          <cell r="C641" t="str">
            <v>m</v>
          </cell>
          <cell r="D641">
            <v>1</v>
          </cell>
          <cell r="E641">
            <v>9.68</v>
          </cell>
          <cell r="F641">
            <v>9.68</v>
          </cell>
        </row>
        <row r="642">
          <cell r="A642" t="str">
            <v>151135</v>
          </cell>
          <cell r="B642" t="str">
            <v>Eletroduto de PVC rígido roscável, diâm. 4" (110mm), inclusive conexões</v>
          </cell>
          <cell r="C642" t="str">
            <v>m</v>
          </cell>
          <cell r="D642">
            <v>1</v>
          </cell>
          <cell r="E642">
            <v>120.73</v>
          </cell>
          <cell r="F642">
            <v>120.73</v>
          </cell>
        </row>
        <row r="643">
          <cell r="A643" t="str">
            <v>151136</v>
          </cell>
          <cell r="B643" t="str">
            <v>Eletroduto de PVC rígido roscável, diâm. 6" (164mm), inclusive conexões</v>
          </cell>
          <cell r="C643" t="str">
            <v>m</v>
          </cell>
          <cell r="D643">
            <v>1</v>
          </cell>
          <cell r="E643">
            <v>269.22000000000003</v>
          </cell>
          <cell r="F643">
            <v>269.22000000000003</v>
          </cell>
        </row>
        <row r="644">
          <cell r="A644" t="str">
            <v>151137</v>
          </cell>
          <cell r="B644" t="str">
            <v>Eletroduto PEAD, cor preta, diam. 1.1/2", marca ref. Kanaflex ou equivalente</v>
          </cell>
          <cell r="C644" t="str">
            <v>m</v>
          </cell>
          <cell r="D644">
            <v>1</v>
          </cell>
          <cell r="E644">
            <v>21.93</v>
          </cell>
          <cell r="F644">
            <v>21.93</v>
          </cell>
        </row>
        <row r="645">
          <cell r="A645" t="str">
            <v>151138</v>
          </cell>
          <cell r="B645" t="str">
            <v>Eletroduto PEAD, cor preta, diam. 1.1/4", marca ref. Kanaflex ou equivalente</v>
          </cell>
          <cell r="C645" t="str">
            <v>m</v>
          </cell>
          <cell r="D645">
            <v>1</v>
          </cell>
          <cell r="E645">
            <v>18.95</v>
          </cell>
          <cell r="F645">
            <v>18.95</v>
          </cell>
        </row>
        <row r="646">
          <cell r="A646" t="str">
            <v>151139</v>
          </cell>
          <cell r="B646" t="str">
            <v>Eletroduto PEAD, cor preta, diam. 2", marca ref. Kanaflex ou equivalente</v>
          </cell>
          <cell r="C646" t="str">
            <v>m</v>
          </cell>
          <cell r="D646">
            <v>1</v>
          </cell>
          <cell r="E646">
            <v>22.68</v>
          </cell>
          <cell r="F646">
            <v>22.68</v>
          </cell>
        </row>
        <row r="647">
          <cell r="A647" t="str">
            <v>151140</v>
          </cell>
          <cell r="B647" t="str">
            <v>Eletroduto PEAD, cor preta, diam. 3", marca ref. Kanaflex ou equivalente</v>
          </cell>
          <cell r="C647" t="str">
            <v>m</v>
          </cell>
          <cell r="D647">
            <v>1</v>
          </cell>
          <cell r="E647">
            <v>37.14</v>
          </cell>
          <cell r="F647">
            <v>37.14</v>
          </cell>
        </row>
        <row r="648">
          <cell r="A648" t="str">
            <v>151141</v>
          </cell>
          <cell r="B648" t="str">
            <v>Eletroduto PEAD, cor preta, diam. 4", marca ref. Kanaflex ou equivalente</v>
          </cell>
          <cell r="C648" t="str">
            <v>m</v>
          </cell>
          <cell r="D648">
            <v>1</v>
          </cell>
          <cell r="E648">
            <v>50.72</v>
          </cell>
          <cell r="F648">
            <v>50.72</v>
          </cell>
        </row>
        <row r="649">
          <cell r="A649" t="str">
            <v>151142</v>
          </cell>
          <cell r="B649" t="str">
            <v>Eletroduto PEAD, cor preta, diam. 6", marca ref. Kanaflex ou equivalente</v>
          </cell>
          <cell r="C649" t="str">
            <v>m</v>
          </cell>
          <cell r="D649">
            <v>1</v>
          </cell>
          <cell r="E649">
            <v>89.44</v>
          </cell>
          <cell r="F649">
            <v>89.44</v>
          </cell>
        </row>
        <row r="650">
          <cell r="A650" t="str">
            <v>1513</v>
          </cell>
          <cell r="B650" t="str">
            <v>CHAVES, FUSIVEIS E DISJUNTORES</v>
          </cell>
          <cell r="C650"/>
          <cell r="D650"/>
          <cell r="E650"/>
          <cell r="F650"/>
        </row>
        <row r="651">
          <cell r="A651" t="str">
            <v xml:space="preserve">FALTA </v>
          </cell>
          <cell r="B651" t="str">
            <v>Mini-Disjuntor monopolar 16 A, curva C - 5KA 220/127VCA (NBR IEC 60947-2), Ref. Siemens, GE, Schneider ou equivalente</v>
          </cell>
          <cell r="C651" t="str">
            <v>und</v>
          </cell>
          <cell r="D651">
            <v>1</v>
          </cell>
          <cell r="E651">
            <v>21.2</v>
          </cell>
          <cell r="F651">
            <v>21.2</v>
          </cell>
        </row>
        <row r="652">
          <cell r="A652" t="str">
            <v>151302</v>
          </cell>
          <cell r="B652" t="str">
            <v>Mini-Disjuntor monopolar 20 A, curva C - 5KA 220/127VCA (NBR IEC 60947-2), Ref. Siemens, GE, Schneider ou equivalente</v>
          </cell>
          <cell r="C652" t="str">
            <v>und</v>
          </cell>
          <cell r="D652">
            <v>1</v>
          </cell>
          <cell r="E652">
            <v>21.2</v>
          </cell>
          <cell r="F652">
            <v>21.2</v>
          </cell>
        </row>
        <row r="653">
          <cell r="A653" t="str">
            <v>151303</v>
          </cell>
          <cell r="B653" t="str">
            <v>Mini-Disjuntor monopolar 25 A, curva C - 5KA 220/127VCA (NBR IEC 60947-2), Ref. Siemens, GE, Schneider ou equivalente</v>
          </cell>
          <cell r="C653" t="str">
            <v>und</v>
          </cell>
          <cell r="D653">
            <v>1</v>
          </cell>
          <cell r="E653">
            <v>21.2</v>
          </cell>
          <cell r="F653">
            <v>21.2</v>
          </cell>
        </row>
        <row r="654">
          <cell r="A654" t="str">
            <v>151304</v>
          </cell>
          <cell r="B654" t="str">
            <v>Mini-Disjuntor monopolar 32 A, curva C - 5KA 220/127VCA (NBR IEC 60947-2), Ref. Siemens, GE, Schneider ou equivalente</v>
          </cell>
          <cell r="C654" t="str">
            <v>und</v>
          </cell>
          <cell r="D654">
            <v>1</v>
          </cell>
          <cell r="E654">
            <v>21.2</v>
          </cell>
          <cell r="F654">
            <v>21.2</v>
          </cell>
        </row>
        <row r="655">
          <cell r="A655" t="str">
            <v>151305</v>
          </cell>
          <cell r="B655" t="str">
            <v>Mini-Disjuntor monopolar 40 A, curva C - 5KA 220/127VCA (NBR IEC 60947-2), Ref. Siemens, GE, Schneider ou equivalente</v>
          </cell>
          <cell r="C655" t="str">
            <v>und</v>
          </cell>
          <cell r="D655">
            <v>1</v>
          </cell>
          <cell r="E655">
            <v>23.62</v>
          </cell>
          <cell r="F655">
            <v>23.62</v>
          </cell>
        </row>
        <row r="656">
          <cell r="A656" t="str">
            <v>151306</v>
          </cell>
          <cell r="B656" t="str">
            <v>Mini-Disjuntor bipolar 16 A, curva C - 5KA 220/127VCA (NBR IEC 60947-2), Ref. Siemens, GE, Schneider ou equivalente</v>
          </cell>
          <cell r="C656" t="str">
            <v>und</v>
          </cell>
          <cell r="D656">
            <v>1</v>
          </cell>
          <cell r="E656">
            <v>58.12</v>
          </cell>
          <cell r="F656">
            <v>58.12</v>
          </cell>
        </row>
        <row r="657">
          <cell r="A657" t="str">
            <v>151307</v>
          </cell>
          <cell r="B657" t="str">
            <v>Mini-Disjuntor bipolar 20 A, curva C - 5KA 220/127VCA (NBR IEC 60947-2), Ref. Siemens, GE, Schneider ou equivalente</v>
          </cell>
          <cell r="C657" t="str">
            <v>und</v>
          </cell>
          <cell r="D657">
            <v>1</v>
          </cell>
          <cell r="E657">
            <v>58.12</v>
          </cell>
          <cell r="F657">
            <v>58.12</v>
          </cell>
        </row>
        <row r="658">
          <cell r="A658" t="str">
            <v>151308</v>
          </cell>
          <cell r="B658" t="str">
            <v>Mini-Disjuntor bipolar 50 A, curva C - 5KA 220/127VCA (NBR IEC 60947-2), Ref. Siemens, GE, Schneider ou equivalente</v>
          </cell>
          <cell r="C658" t="str">
            <v>und</v>
          </cell>
          <cell r="D658">
            <v>1</v>
          </cell>
          <cell r="E658">
            <v>70.37</v>
          </cell>
          <cell r="F658">
            <v>70.37</v>
          </cell>
        </row>
        <row r="659">
          <cell r="A659" t="str">
            <v>151309</v>
          </cell>
          <cell r="B659" t="str">
            <v>Mini-Disjuntor tripolar 16 A, curva C - 5KA 220/127VCA (NBR IEC 60947-2), Ref. Siemens, GE, Schneider ou equivalente</v>
          </cell>
          <cell r="C659" t="str">
            <v>und</v>
          </cell>
          <cell r="D659">
            <v>1</v>
          </cell>
          <cell r="E659">
            <v>80.62</v>
          </cell>
          <cell r="F659">
            <v>80.62</v>
          </cell>
        </row>
        <row r="660">
          <cell r="A660" t="str">
            <v>151310</v>
          </cell>
          <cell r="B660" t="str">
            <v>Mini-Disjuntor tripolar 40 A, curva C - 5KA 220/127VCA (NBR IEC 60947-2), Ref. Siemens, GE, Schneider ou equivalente</v>
          </cell>
          <cell r="C660" t="str">
            <v>und</v>
          </cell>
          <cell r="D660">
            <v>1</v>
          </cell>
          <cell r="E660">
            <v>89.8</v>
          </cell>
          <cell r="F660">
            <v>89.8</v>
          </cell>
        </row>
        <row r="661">
          <cell r="A661" t="str">
            <v>151311</v>
          </cell>
          <cell r="B661" t="str">
            <v>Mini-Disjuntor tripolar 50 A, curva C - 5KA 220/127VCA (NBR IEC 60947-2), Ref. Siemens, GE, Schneider ou equivalente</v>
          </cell>
          <cell r="C661" t="str">
            <v>und</v>
          </cell>
          <cell r="D661">
            <v>1</v>
          </cell>
          <cell r="E661">
            <v>90.09</v>
          </cell>
          <cell r="F661">
            <v>90.09</v>
          </cell>
        </row>
        <row r="662">
          <cell r="A662" t="str">
            <v>151313</v>
          </cell>
          <cell r="B662" t="str">
            <v>Mini-Disjuntor tripolar 90 A, curva C - 5KA 220/127VCA (NBR IEC 60947-2), Ref. Siemens, GE, Schneider ou equivalente</v>
          </cell>
          <cell r="C662" t="str">
            <v>und</v>
          </cell>
          <cell r="D662">
            <v>1</v>
          </cell>
          <cell r="E662">
            <v>172.13</v>
          </cell>
          <cell r="F662">
            <v>172.13</v>
          </cell>
        </row>
        <row r="663">
          <cell r="A663" t="str">
            <v>151314</v>
          </cell>
          <cell r="B663" t="str">
            <v>Disjuntor Compacto em caixa moldada tripolar 100 A, curva C - 15KA 240VCA (NBR IEC 60947-2), Ref. Siemens, GE, Schneider ou equivalente</v>
          </cell>
          <cell r="C663" t="str">
            <v>und</v>
          </cell>
          <cell r="D663">
            <v>1</v>
          </cell>
          <cell r="E663">
            <v>416.56</v>
          </cell>
          <cell r="F663">
            <v>416.56</v>
          </cell>
        </row>
        <row r="664">
          <cell r="A664" t="str">
            <v>151315</v>
          </cell>
          <cell r="B664" t="str">
            <v>Chave blindada 600V / 160A, com terminais para cabo 70 mm2</v>
          </cell>
          <cell r="C664" t="str">
            <v>und</v>
          </cell>
          <cell r="D664">
            <v>1</v>
          </cell>
          <cell r="E664">
            <v>3634.54</v>
          </cell>
          <cell r="F664">
            <v>3634.54</v>
          </cell>
        </row>
        <row r="665">
          <cell r="A665" t="str">
            <v>151316</v>
          </cell>
          <cell r="B665" t="str">
            <v>Mini-Disjuntor tripolar 70 A, curva C - 5KA 220/127VCA (NBR IEC 60947-2), Ref. Siemens, GE, Schneider ou equivalente</v>
          </cell>
          <cell r="C665" t="str">
            <v>und</v>
          </cell>
          <cell r="D665">
            <v>1</v>
          </cell>
          <cell r="E665">
            <v>148.07</v>
          </cell>
          <cell r="F665">
            <v>148.07</v>
          </cell>
        </row>
        <row r="666">
          <cell r="A666" t="str">
            <v>151317</v>
          </cell>
          <cell r="B666" t="str">
            <v>Mini-Disjuntor monopolar 50 A, curva C - 5KA 220/127VCA (NBR IEC 60947-2), Ref. Siemens, GE, Schneider ou equivalente</v>
          </cell>
          <cell r="C666" t="str">
            <v>und</v>
          </cell>
          <cell r="D666">
            <v>1</v>
          </cell>
          <cell r="E666">
            <v>23.84</v>
          </cell>
          <cell r="F666">
            <v>23.84</v>
          </cell>
        </row>
        <row r="667">
          <cell r="A667" t="str">
            <v>151318</v>
          </cell>
          <cell r="B667" t="str">
            <v>Mini-Disjuntor monopolar 63 A, curva C - 5KA 220/127VCA (NBR IEC 60947-2), Ref. Siemens, GE, Schneider ou equivalente</v>
          </cell>
          <cell r="C667" t="str">
            <v>und</v>
          </cell>
          <cell r="D667">
            <v>1</v>
          </cell>
          <cell r="E667">
            <v>27.15</v>
          </cell>
          <cell r="F667">
            <v>27.15</v>
          </cell>
        </row>
        <row r="668">
          <cell r="A668" t="str">
            <v>151319</v>
          </cell>
          <cell r="B668" t="str">
            <v>Mini-Disjuntor monopolar 70 A, curva C - 5KA 220/127VCA (NBR IEC 60947-2), Ref. Siemens, GE, Schneider ou equivalente</v>
          </cell>
          <cell r="C668" t="str">
            <v>und</v>
          </cell>
          <cell r="D668">
            <v>1</v>
          </cell>
          <cell r="E668">
            <v>27.15</v>
          </cell>
          <cell r="F668">
            <v>27.15</v>
          </cell>
        </row>
        <row r="669">
          <cell r="A669" t="str">
            <v>151320</v>
          </cell>
          <cell r="B669" t="str">
            <v>Mini-Disjuntor monopolar 80 A, curva C - 10KA 240VCA (NBR IEC 60947-2), Ref. Siemens, GE, Schneider ou equivalente</v>
          </cell>
          <cell r="C669" t="str">
            <v>und</v>
          </cell>
          <cell r="D669">
            <v>1</v>
          </cell>
          <cell r="E669">
            <v>40.98</v>
          </cell>
          <cell r="F669">
            <v>40.98</v>
          </cell>
        </row>
        <row r="670">
          <cell r="A670" t="str">
            <v>151321</v>
          </cell>
          <cell r="B670" t="str">
            <v>Mini-Disjuntor bipolar 25 A, curva C - 5KA 220/127VCA (NBR IEC 60947-2), Ref. Siemens, GE, Schneider ou equivalente</v>
          </cell>
          <cell r="C670" t="str">
            <v>und</v>
          </cell>
          <cell r="D670">
            <v>1</v>
          </cell>
          <cell r="E670">
            <v>58.12</v>
          </cell>
          <cell r="F670">
            <v>58.12</v>
          </cell>
        </row>
        <row r="671">
          <cell r="A671" t="str">
            <v>151322</v>
          </cell>
          <cell r="B671" t="str">
            <v>Mini-Disjuntor bipolar 32 A, curva C - 5KA 220/127VCA (NBR IEC 60947-2), Ref. Siemens, GE, Schneider ou equivalente</v>
          </cell>
          <cell r="C671" t="str">
            <v>und</v>
          </cell>
          <cell r="D671">
            <v>1</v>
          </cell>
          <cell r="E671">
            <v>58.12</v>
          </cell>
          <cell r="F671">
            <v>58.12</v>
          </cell>
        </row>
        <row r="672">
          <cell r="A672" t="str">
            <v>151323</v>
          </cell>
          <cell r="B672" t="str">
            <v>Mini-Disjuntor bipolar 40 A, curva C - 5KA 220/127VCA (NBR IEC 60947-2), Ref. Siemens, GE, Schneider ou equivalente</v>
          </cell>
          <cell r="C672" t="str">
            <v>und</v>
          </cell>
          <cell r="D672">
            <v>1</v>
          </cell>
          <cell r="E672">
            <v>69.47</v>
          </cell>
          <cell r="F672">
            <v>69.47</v>
          </cell>
        </row>
        <row r="673">
          <cell r="A673" t="str">
            <v>151324</v>
          </cell>
          <cell r="B673" t="str">
            <v>Mini-Disjuntor bipolar 63 A, curva C - 5KA 220/127VCA (NBR IEC 60947-2), Ref. Siemens, GE, Schneider ou equivalente</v>
          </cell>
          <cell r="C673" t="str">
            <v>und</v>
          </cell>
          <cell r="D673">
            <v>1</v>
          </cell>
          <cell r="E673">
            <v>90.57</v>
          </cell>
          <cell r="F673">
            <v>90.57</v>
          </cell>
        </row>
        <row r="674">
          <cell r="A674" t="str">
            <v>151325</v>
          </cell>
          <cell r="B674" t="str">
            <v>Mini-Disjuntor bipolar 70 A, curva C - 5KA 220/127VCA (NBR IEC 60947-2), Ref. Siemens, GE, Schneider ou equivalente</v>
          </cell>
          <cell r="C674" t="str">
            <v>und</v>
          </cell>
          <cell r="D674">
            <v>1</v>
          </cell>
          <cell r="E674">
            <v>93.19</v>
          </cell>
          <cell r="F674">
            <v>93.19</v>
          </cell>
        </row>
        <row r="675">
          <cell r="A675" t="str">
            <v>151326</v>
          </cell>
          <cell r="B675" t="str">
            <v>Mini-Disjuntor bipolar 80 A, curva C - 5KA 240VCA (NBR IEC 60947-2), Ref. Siemens, GE, Schneider ou equivalente</v>
          </cell>
          <cell r="C675" t="str">
            <v>und</v>
          </cell>
          <cell r="D675">
            <v>1</v>
          </cell>
          <cell r="E675">
            <v>149.37</v>
          </cell>
          <cell r="F675">
            <v>149.37</v>
          </cell>
        </row>
        <row r="676">
          <cell r="A676" t="str">
            <v>151327</v>
          </cell>
          <cell r="B676" t="str">
            <v>Mini-Disjuntor tripolar 20 A, curva C - 5KA 220/127VCA (NBR IEC 60947-2), Ref. Siemens, GE, Schneider ou equivalente</v>
          </cell>
          <cell r="C676" t="str">
            <v>und</v>
          </cell>
          <cell r="D676">
            <v>1</v>
          </cell>
          <cell r="E676">
            <v>80.62</v>
          </cell>
          <cell r="F676">
            <v>80.62</v>
          </cell>
        </row>
        <row r="677">
          <cell r="A677" t="str">
            <v>151328</v>
          </cell>
          <cell r="B677" t="str">
            <v>Mini-Disjuntor tripolar 25 A, curva C - 5KA 220/127VCA (NBR IEC 60947-2), Ref. Siemens, GE, Schneider ou equivalente</v>
          </cell>
          <cell r="C677" t="str">
            <v>und</v>
          </cell>
          <cell r="D677">
            <v>1</v>
          </cell>
          <cell r="E677">
            <v>80.62</v>
          </cell>
          <cell r="F677">
            <v>80.62</v>
          </cell>
        </row>
        <row r="678">
          <cell r="A678" t="str">
            <v>151329</v>
          </cell>
          <cell r="B678" t="str">
            <v>Mini-Disjuntor tripolar 32 A, curva C - 5KA 220/127VCA (NBR IEC 60947-2), Ref. Siemens, GE, Schneider ou equivalente</v>
          </cell>
          <cell r="C678" t="str">
            <v>und</v>
          </cell>
          <cell r="D678">
            <v>1</v>
          </cell>
          <cell r="E678">
            <v>80.62</v>
          </cell>
          <cell r="F678">
            <v>80.62</v>
          </cell>
        </row>
        <row r="679">
          <cell r="A679" t="str">
            <v>151330</v>
          </cell>
          <cell r="B679" t="str">
            <v>Mini-Disjuntor tripolar 63 A, curva C - 5KA 220/127VCA (NBR IEC 60947-2), Ref. Siemens, GE, Schneider ou equivalente</v>
          </cell>
          <cell r="C679" t="str">
            <v>und</v>
          </cell>
          <cell r="D679">
            <v>1</v>
          </cell>
          <cell r="E679">
            <v>147.38999999999999</v>
          </cell>
          <cell r="F679">
            <v>147.38999999999999</v>
          </cell>
        </row>
        <row r="680">
          <cell r="A680" t="str">
            <v>151331</v>
          </cell>
          <cell r="B680" t="str">
            <v>Mini-Disjuntor tripolar 80 A, curva C - 5KA 240VCA (NBR IEC 60947-2), Ref. Siemens, GE, Schneider ou equivalente</v>
          </cell>
          <cell r="C680" t="str">
            <v>und</v>
          </cell>
          <cell r="D680">
            <v>1</v>
          </cell>
          <cell r="E680">
            <v>172.13</v>
          </cell>
          <cell r="F680">
            <v>172.13</v>
          </cell>
        </row>
        <row r="681">
          <cell r="A681" t="str">
            <v>151332</v>
          </cell>
          <cell r="B681" t="str">
            <v>Disjuntor caixa moldada termomagnético tripolar 125 A</v>
          </cell>
          <cell r="C681" t="str">
            <v>und</v>
          </cell>
          <cell r="D681">
            <v>1</v>
          </cell>
          <cell r="E681">
            <v>431.8</v>
          </cell>
          <cell r="F681">
            <v>431.8</v>
          </cell>
        </row>
        <row r="682">
          <cell r="A682" t="str">
            <v>151333</v>
          </cell>
          <cell r="B682" t="str">
            <v>Disjuntor Compacto em caixa moldada tripolar 175 A, 50KA 220/240V / 25KA 380/415V (NBR IEC 60947-2), Ref. Siemens, GE, Schneider ou equivalente</v>
          </cell>
          <cell r="C682" t="str">
            <v>und</v>
          </cell>
          <cell r="D682">
            <v>1</v>
          </cell>
          <cell r="E682">
            <v>493.4</v>
          </cell>
          <cell r="F682">
            <v>493.4</v>
          </cell>
        </row>
        <row r="683">
          <cell r="A683" t="str">
            <v>151334</v>
          </cell>
          <cell r="B683" t="str">
            <v>Disjuntor Compacto em caixa moldada tripolar 200 A, 50KA 220/240V / 25KA 380/415V 20KA/440V (NBR IEC 60947-2), Ref. Siemens, GE, Schneider ou equivalente</v>
          </cell>
          <cell r="C683" t="str">
            <v>und</v>
          </cell>
          <cell r="D683">
            <v>1</v>
          </cell>
          <cell r="E683">
            <v>1064.6600000000001</v>
          </cell>
          <cell r="F683">
            <v>1064.6600000000001</v>
          </cell>
        </row>
        <row r="684">
          <cell r="A684" t="str">
            <v>151335</v>
          </cell>
          <cell r="B684" t="str">
            <v>Disjuntor Compacto em caixa moldada tripolar 400 A, 65KA 220/240V / 36KA 380/415V 35KA 440/460V 25KA 600V (NBR IEC 60947-2), Ref. Siemens, GE, Schneider ou equivalente</v>
          </cell>
          <cell r="C684" t="str">
            <v>und</v>
          </cell>
          <cell r="D684">
            <v>1</v>
          </cell>
          <cell r="E684">
            <v>1337.63</v>
          </cell>
          <cell r="F684">
            <v>1337.63</v>
          </cell>
        </row>
        <row r="685">
          <cell r="A685" t="str">
            <v>151336</v>
          </cell>
          <cell r="B685" t="str">
            <v>Disjuntor DR bipolar 16A a 25A, corrente nominal 30 mA</v>
          </cell>
          <cell r="C685" t="str">
            <v>und</v>
          </cell>
          <cell r="D685">
            <v>1</v>
          </cell>
          <cell r="E685">
            <v>143.83000000000001</v>
          </cell>
          <cell r="F685">
            <v>143.83000000000001</v>
          </cell>
        </row>
        <row r="686">
          <cell r="A686" t="str">
            <v>151337</v>
          </cell>
          <cell r="B686" t="str">
            <v>Dispositivo de proteção contra surto (DPS) bipolar, tensão nominal máxima 275VCA, corente de surto máxima 40KA.</v>
          </cell>
          <cell r="C686" t="str">
            <v>und</v>
          </cell>
          <cell r="D686">
            <v>1</v>
          </cell>
          <cell r="E686">
            <v>185.11</v>
          </cell>
          <cell r="F686">
            <v>185.11</v>
          </cell>
        </row>
        <row r="687">
          <cell r="A687" t="str">
            <v>151338</v>
          </cell>
          <cell r="B687" t="str">
            <v>Mini-Disjuntor monopolar 10 A, curva C - 5KA 220/127VCA (NBR IEC 60947-2), Ref. Siemens, GE, Schneider ou equivalente</v>
          </cell>
          <cell r="C687" t="str">
            <v>und</v>
          </cell>
          <cell r="D687">
            <v>1</v>
          </cell>
          <cell r="E687">
            <v>21.2</v>
          </cell>
          <cell r="F687">
            <v>21.2</v>
          </cell>
        </row>
        <row r="688">
          <cell r="A688" t="str">
            <v>151339</v>
          </cell>
          <cell r="B688" t="str">
            <v>Mini-Disjuntor tripolar 125 A, curva C - 15KA 240VCA (NBR IEC 60947-2), Ref. Siemens, GE, Schneider ou equivalente</v>
          </cell>
          <cell r="C688" t="str">
            <v>und</v>
          </cell>
          <cell r="D688">
            <v>1</v>
          </cell>
          <cell r="E688">
            <v>467.05</v>
          </cell>
          <cell r="F688">
            <v>467.05</v>
          </cell>
        </row>
        <row r="689">
          <cell r="A689" t="str">
            <v>151340</v>
          </cell>
          <cell r="B689" t="str">
            <v>Chave blindada tripolar 600V/125A</v>
          </cell>
          <cell r="C689" t="str">
            <v>und</v>
          </cell>
          <cell r="D689">
            <v>1</v>
          </cell>
          <cell r="E689">
            <v>2331.6</v>
          </cell>
          <cell r="F689">
            <v>2331.6</v>
          </cell>
        </row>
        <row r="690">
          <cell r="A690" t="str">
            <v>151341</v>
          </cell>
          <cell r="B690" t="str">
            <v>Chave blindada tripolar 600V/200A</v>
          </cell>
          <cell r="C690" t="str">
            <v>und</v>
          </cell>
          <cell r="D690">
            <v>1</v>
          </cell>
          <cell r="E690">
            <v>3492</v>
          </cell>
          <cell r="F690">
            <v>3492</v>
          </cell>
        </row>
        <row r="691">
          <cell r="A691" t="str">
            <v>151342</v>
          </cell>
          <cell r="B691" t="str">
            <v>Chave blindada tripolar 600V/400A</v>
          </cell>
          <cell r="C691" t="str">
            <v>und</v>
          </cell>
          <cell r="D691">
            <v>1</v>
          </cell>
          <cell r="E691">
            <v>4633.5600000000004</v>
          </cell>
          <cell r="F691">
            <v>4633.5600000000004</v>
          </cell>
        </row>
        <row r="692">
          <cell r="A692" t="str">
            <v>151343</v>
          </cell>
          <cell r="B692" t="str">
            <v>Chave blindada tripolar 600V/800A</v>
          </cell>
          <cell r="C692" t="str">
            <v>und</v>
          </cell>
          <cell r="D692">
            <v>1</v>
          </cell>
          <cell r="E692">
            <v>8822.15</v>
          </cell>
          <cell r="F692">
            <v>8822.15</v>
          </cell>
        </row>
        <row r="693">
          <cell r="A693" t="str">
            <v>151344</v>
          </cell>
          <cell r="B693" t="str">
            <v>Fusivel NH 100A, tamanho 01</v>
          </cell>
          <cell r="C693" t="str">
            <v>und</v>
          </cell>
          <cell r="D693">
            <v>1</v>
          </cell>
          <cell r="E693">
            <v>51.24</v>
          </cell>
          <cell r="F693">
            <v>51.24</v>
          </cell>
        </row>
        <row r="694">
          <cell r="A694" t="str">
            <v>151345</v>
          </cell>
          <cell r="B694" t="str">
            <v>Fusive NH 160A, tamanho 01</v>
          </cell>
          <cell r="C694" t="str">
            <v>und</v>
          </cell>
          <cell r="D694">
            <v>1</v>
          </cell>
          <cell r="E694">
            <v>51.24</v>
          </cell>
          <cell r="F694">
            <v>51.24</v>
          </cell>
        </row>
        <row r="695">
          <cell r="A695" t="str">
            <v>151346</v>
          </cell>
          <cell r="B695" t="str">
            <v>Fusive NH 250A, tamanho 02</v>
          </cell>
          <cell r="C695" t="str">
            <v>und</v>
          </cell>
          <cell r="D695">
            <v>1</v>
          </cell>
          <cell r="E695">
            <v>109.63</v>
          </cell>
          <cell r="F695">
            <v>109.63</v>
          </cell>
        </row>
        <row r="696">
          <cell r="A696" t="str">
            <v>151347</v>
          </cell>
          <cell r="B696" t="str">
            <v>Fusive NH 300A, tamanho 02</v>
          </cell>
          <cell r="C696" t="str">
            <v>und</v>
          </cell>
          <cell r="D696">
            <v>1</v>
          </cell>
          <cell r="E696">
            <v>109.63</v>
          </cell>
          <cell r="F696">
            <v>109.63</v>
          </cell>
        </row>
        <row r="697">
          <cell r="A697" t="str">
            <v>151348</v>
          </cell>
          <cell r="B697" t="str">
            <v>Fusive NH 355A, tamanho 02</v>
          </cell>
          <cell r="C697" t="str">
            <v>und</v>
          </cell>
          <cell r="D697">
            <v>1</v>
          </cell>
          <cell r="E697">
            <v>109.63</v>
          </cell>
          <cell r="F697">
            <v>109.63</v>
          </cell>
        </row>
        <row r="698">
          <cell r="A698" t="str">
            <v>151349</v>
          </cell>
          <cell r="B698" t="str">
            <v>Fusive NH 125A, tamanho 01</v>
          </cell>
          <cell r="C698" t="str">
            <v>und</v>
          </cell>
          <cell r="D698">
            <v>1</v>
          </cell>
          <cell r="E698">
            <v>51.24</v>
          </cell>
          <cell r="F698">
            <v>51.24</v>
          </cell>
        </row>
        <row r="699">
          <cell r="A699" t="str">
            <v>151350</v>
          </cell>
          <cell r="B699" t="str">
            <v>Interruptor Diferencial DR 16A a 25A, 30mA, 2 módulos</v>
          </cell>
          <cell r="C699" t="str">
            <v>und</v>
          </cell>
          <cell r="D699">
            <v>1</v>
          </cell>
          <cell r="E699">
            <v>131.13999999999999</v>
          </cell>
          <cell r="F699">
            <v>131.13999999999999</v>
          </cell>
        </row>
        <row r="700">
          <cell r="A700" t="str">
            <v>151351</v>
          </cell>
          <cell r="B700" t="str">
            <v>Interruptor Diferencial DR 30A a 40A, 30mA, 2 módulos</v>
          </cell>
          <cell r="C700" t="str">
            <v>und</v>
          </cell>
          <cell r="D700">
            <v>1</v>
          </cell>
          <cell r="E700">
            <v>143.83000000000001</v>
          </cell>
          <cell r="F700">
            <v>143.83000000000001</v>
          </cell>
        </row>
        <row r="701">
          <cell r="A701" t="str">
            <v>1514</v>
          </cell>
          <cell r="B701" t="str">
            <v>FIOS E CABOS</v>
          </cell>
          <cell r="C701"/>
          <cell r="D701"/>
          <cell r="E701"/>
          <cell r="F701"/>
        </row>
        <row r="702">
          <cell r="A702" t="str">
            <v>151401</v>
          </cell>
          <cell r="B702" t="str">
            <v>Fio de cobre termoplástico, com isolamento para 750V, seção de 1.5 mm2</v>
          </cell>
          <cell r="C702" t="str">
            <v>m</v>
          </cell>
          <cell r="D702">
            <v>1</v>
          </cell>
          <cell r="E702">
            <v>5.34</v>
          </cell>
          <cell r="F702">
            <v>5.34</v>
          </cell>
        </row>
        <row r="703">
          <cell r="A703" t="str">
            <v>151402</v>
          </cell>
          <cell r="B703" t="str">
            <v>Fio de cobre termoplástico, com isolamento para 750V, seção de 2.5 mm2</v>
          </cell>
          <cell r="C703" t="str">
            <v>m</v>
          </cell>
          <cell r="D703">
            <v>1</v>
          </cell>
          <cell r="E703">
            <v>6.65</v>
          </cell>
          <cell r="F703">
            <v>6.65</v>
          </cell>
        </row>
        <row r="704">
          <cell r="A704" t="str">
            <v>151403</v>
          </cell>
          <cell r="B704" t="str">
            <v>Fio ou cabo de cobre termoplástico, com isolamento para 750V, seção de 4.0 mm2</v>
          </cell>
          <cell r="C704" t="str">
            <v>m</v>
          </cell>
          <cell r="D704">
            <v>1</v>
          </cell>
          <cell r="E704">
            <v>9.17</v>
          </cell>
          <cell r="F704">
            <v>9.17</v>
          </cell>
        </row>
        <row r="705">
          <cell r="A705" t="str">
            <v>151404</v>
          </cell>
          <cell r="B705" t="str">
            <v>Fio ou cabo de cobre termoplástico, com isolamento para 750V, seção de 6.0 mm2</v>
          </cell>
          <cell r="C705" t="str">
            <v>m</v>
          </cell>
          <cell r="D705">
            <v>1</v>
          </cell>
          <cell r="E705">
            <v>11.89</v>
          </cell>
          <cell r="F705">
            <v>11.89</v>
          </cell>
        </row>
        <row r="706">
          <cell r="A706" t="str">
            <v>151405</v>
          </cell>
          <cell r="B706" t="str">
            <v>Fio ou cabo de cobre termoplástico, com isolamento para 750V, seção de 10.0 mm2</v>
          </cell>
          <cell r="C706" t="str">
            <v>m</v>
          </cell>
          <cell r="D706">
            <v>1</v>
          </cell>
          <cell r="E706">
            <v>16.7</v>
          </cell>
          <cell r="F706">
            <v>16.7</v>
          </cell>
        </row>
        <row r="707">
          <cell r="A707" t="str">
            <v>151406</v>
          </cell>
          <cell r="B707" t="str">
            <v>Fio ou cabo de cobre termoplástico, com isolamento para 750V, seção de 16.0 mm2</v>
          </cell>
          <cell r="C707" t="str">
            <v>m</v>
          </cell>
          <cell r="D707">
            <v>1</v>
          </cell>
          <cell r="E707">
            <v>25.61</v>
          </cell>
          <cell r="F707">
            <v>25.61</v>
          </cell>
        </row>
        <row r="708">
          <cell r="A708" t="str">
            <v>151407</v>
          </cell>
          <cell r="B708" t="str">
            <v>Cabo de cobre termoplástico, com isolamento para 750V, seção de 25.0 mm2</v>
          </cell>
          <cell r="C708" t="str">
            <v>m</v>
          </cell>
          <cell r="D708">
            <v>1</v>
          </cell>
          <cell r="E708">
            <v>35.67</v>
          </cell>
          <cell r="F708">
            <v>35.67</v>
          </cell>
        </row>
        <row r="709">
          <cell r="A709" t="str">
            <v>151413</v>
          </cell>
          <cell r="B709" t="str">
            <v>Cabo de cobre nú, seção de 25.0 mm2</v>
          </cell>
          <cell r="C709" t="str">
            <v>m</v>
          </cell>
          <cell r="D709">
            <v>1</v>
          </cell>
          <cell r="E709">
            <v>41.66</v>
          </cell>
          <cell r="F709">
            <v>41.66</v>
          </cell>
        </row>
        <row r="710">
          <cell r="A710" t="str">
            <v>151414</v>
          </cell>
          <cell r="B710" t="str">
            <v>Cabo de cobre nú, seção de 10.0 mm2</v>
          </cell>
          <cell r="C710" t="str">
            <v>m</v>
          </cell>
          <cell r="D710">
            <v>1</v>
          </cell>
          <cell r="E710">
            <v>18.87</v>
          </cell>
          <cell r="F710">
            <v>18.87</v>
          </cell>
        </row>
        <row r="711">
          <cell r="A711" t="str">
            <v>151417</v>
          </cell>
          <cell r="B711" t="str">
            <v>Cabo de cobre termoplástico, com isolamento para 1000V, seção de 2.5 mm2</v>
          </cell>
          <cell r="C711" t="str">
            <v>m</v>
          </cell>
          <cell r="D711">
            <v>1</v>
          </cell>
          <cell r="E711">
            <v>7.58</v>
          </cell>
          <cell r="F711">
            <v>7.58</v>
          </cell>
        </row>
        <row r="712">
          <cell r="A712" t="str">
            <v>151418</v>
          </cell>
          <cell r="B712" t="str">
            <v>Cabo de cobre termoplástico, com isolamento para 1000V, seção de 4.0 mm2</v>
          </cell>
          <cell r="C712" t="str">
            <v>m</v>
          </cell>
          <cell r="D712">
            <v>1</v>
          </cell>
          <cell r="E712">
            <v>9.9600000000000009</v>
          </cell>
          <cell r="F712">
            <v>9.9600000000000009</v>
          </cell>
        </row>
        <row r="713">
          <cell r="A713" t="str">
            <v>151419</v>
          </cell>
          <cell r="B713" t="str">
            <v>Cabo de cobre termoplástico, com isolamento para 1000V, seção de 6 mm2</v>
          </cell>
          <cell r="C713" t="str">
            <v>m</v>
          </cell>
          <cell r="D713">
            <v>1</v>
          </cell>
          <cell r="E713">
            <v>12.45</v>
          </cell>
          <cell r="F713">
            <v>12.45</v>
          </cell>
        </row>
        <row r="714">
          <cell r="A714" t="str">
            <v>151420</v>
          </cell>
          <cell r="B714" t="str">
            <v>Cabo de cobre termoplástico, com isolamento para 1000V, seção de 10 mm2</v>
          </cell>
          <cell r="C714" t="str">
            <v>m</v>
          </cell>
          <cell r="D714">
            <v>1</v>
          </cell>
          <cell r="E714">
            <v>17.63</v>
          </cell>
          <cell r="F714">
            <v>17.63</v>
          </cell>
        </row>
        <row r="715">
          <cell r="A715" t="str">
            <v>151421</v>
          </cell>
          <cell r="B715" t="str">
            <v>Cabo de cobre termoplástico, com isolamento para 1000V, seção de 16 mm2</v>
          </cell>
          <cell r="C715" t="str">
            <v>m</v>
          </cell>
          <cell r="D715">
            <v>1</v>
          </cell>
          <cell r="E715">
            <v>25.37</v>
          </cell>
          <cell r="F715">
            <v>25.37</v>
          </cell>
        </row>
        <row r="716">
          <cell r="A716" t="str">
            <v>151422</v>
          </cell>
          <cell r="B716" t="str">
            <v>Cabo de cobre termoplástico, com isolamento para 1000V, seção de 25.0 mm2</v>
          </cell>
          <cell r="C716" t="str">
            <v>m</v>
          </cell>
          <cell r="D716">
            <v>1</v>
          </cell>
          <cell r="E716">
            <v>35.79</v>
          </cell>
          <cell r="F716">
            <v>35.79</v>
          </cell>
        </row>
        <row r="717">
          <cell r="A717" t="str">
            <v>151423</v>
          </cell>
          <cell r="B717" t="str">
            <v>Cabo de cobre termoplástico, com isolamento para 1000V, seção de 35.0 mm2</v>
          </cell>
          <cell r="C717" t="str">
            <v>m</v>
          </cell>
          <cell r="D717">
            <v>1</v>
          </cell>
          <cell r="E717">
            <v>51.7</v>
          </cell>
          <cell r="F717">
            <v>51.7</v>
          </cell>
        </row>
        <row r="718">
          <cell r="A718" t="str">
            <v>151425</v>
          </cell>
          <cell r="B718" t="str">
            <v>Cabo de cobre termoplástico, com isolamento para 1000V, seção de 50 mm2</v>
          </cell>
          <cell r="C718" t="str">
            <v>m</v>
          </cell>
          <cell r="D718">
            <v>1</v>
          </cell>
          <cell r="E718">
            <v>72.099999999999994</v>
          </cell>
          <cell r="F718">
            <v>72.099999999999994</v>
          </cell>
        </row>
        <row r="719">
          <cell r="A719" t="str">
            <v>151426</v>
          </cell>
          <cell r="B719" t="str">
            <v>Cabo de cobre termoplástico, com isolamento para 1000V, seção de 95.0 mm2</v>
          </cell>
          <cell r="C719" t="str">
            <v>m</v>
          </cell>
          <cell r="D719">
            <v>1</v>
          </cell>
          <cell r="E719">
            <v>130.54</v>
          </cell>
          <cell r="F719">
            <v>130.54</v>
          </cell>
        </row>
        <row r="720">
          <cell r="A720" t="str">
            <v>151427</v>
          </cell>
          <cell r="B720" t="str">
            <v>Cabo de cobre termoplástico, com isolamento para 1000V, seção de 120.0 mm2</v>
          </cell>
          <cell r="C720" t="str">
            <v>m</v>
          </cell>
          <cell r="D720">
            <v>1</v>
          </cell>
          <cell r="E720">
            <v>165.05</v>
          </cell>
          <cell r="F720">
            <v>165.05</v>
          </cell>
        </row>
        <row r="721">
          <cell r="A721" t="str">
            <v>151428</v>
          </cell>
          <cell r="B721" t="str">
            <v>Cabo de cobre termoplástico, com isolamento para 1000V, seção de 300.0 mm2</v>
          </cell>
          <cell r="C721" t="str">
            <v>m</v>
          </cell>
          <cell r="D721">
            <v>1</v>
          </cell>
          <cell r="E721">
            <v>427.96</v>
          </cell>
          <cell r="F721">
            <v>427.96</v>
          </cell>
        </row>
        <row r="722">
          <cell r="A722" t="str">
            <v>151429</v>
          </cell>
          <cell r="B722" t="str">
            <v>Cabo de cobre termoplástico, com isolamento para 1000V, seção de 70,0mm2</v>
          </cell>
          <cell r="C722" t="str">
            <v>m</v>
          </cell>
          <cell r="D722">
            <v>1</v>
          </cell>
          <cell r="E722">
            <v>99.23</v>
          </cell>
          <cell r="F722">
            <v>99.23</v>
          </cell>
        </row>
        <row r="723">
          <cell r="A723" t="str">
            <v>151430</v>
          </cell>
          <cell r="B723" t="str">
            <v>Cabo de cobre termoplástico, com isolamento para 1000V, seção de 150,0mm2</v>
          </cell>
          <cell r="C723" t="str">
            <v>m</v>
          </cell>
          <cell r="D723">
            <v>1</v>
          </cell>
          <cell r="E723">
            <v>204.4</v>
          </cell>
          <cell r="F723">
            <v>204.4</v>
          </cell>
        </row>
        <row r="724">
          <cell r="A724" t="str">
            <v>151431</v>
          </cell>
          <cell r="B724" t="str">
            <v>Cabo de cobre termoplástico, com isolamento para 1000V, seção de 185,0mm2</v>
          </cell>
          <cell r="C724" t="str">
            <v>m</v>
          </cell>
          <cell r="D724">
            <v>1</v>
          </cell>
          <cell r="E724">
            <v>252.17</v>
          </cell>
          <cell r="F724">
            <v>252.17</v>
          </cell>
        </row>
        <row r="725">
          <cell r="A725" t="str">
            <v>151432</v>
          </cell>
          <cell r="B725" t="str">
            <v>Cabo de cobre termoplástico, com isolamento para 1000V, seção de 240,0mm2</v>
          </cell>
          <cell r="C725" t="str">
            <v>m</v>
          </cell>
          <cell r="D725">
            <v>1</v>
          </cell>
          <cell r="E725">
            <v>329.78</v>
          </cell>
          <cell r="F725">
            <v>329.78</v>
          </cell>
        </row>
        <row r="726">
          <cell r="A726" t="str">
            <v>151433</v>
          </cell>
          <cell r="B726" t="str">
            <v>Cabo de cobre termoplástico, com isolamento para 15KV, seção de 25,0mm2</v>
          </cell>
          <cell r="C726" t="str">
            <v>m</v>
          </cell>
          <cell r="D726">
            <v>1</v>
          </cell>
          <cell r="E726">
            <v>87.6</v>
          </cell>
          <cell r="F726">
            <v>87.6</v>
          </cell>
        </row>
        <row r="727">
          <cell r="A727" t="str">
            <v>151434</v>
          </cell>
          <cell r="B727" t="str">
            <v>Cabo de cobre termoplástico, com isolamento para 15KV, seção de 35,0mm2</v>
          </cell>
          <cell r="C727" t="str">
            <v>m</v>
          </cell>
          <cell r="D727">
            <v>1</v>
          </cell>
          <cell r="E727">
            <v>102.53</v>
          </cell>
          <cell r="F727">
            <v>102.53</v>
          </cell>
        </row>
        <row r="728">
          <cell r="A728" t="str">
            <v>151438</v>
          </cell>
          <cell r="B728" t="str">
            <v>Fio ou cabo paralelo de cobre, com isolamento para 1000V, seção de 2 x 2.5 mm2</v>
          </cell>
          <cell r="C728" t="str">
            <v>m</v>
          </cell>
          <cell r="D728">
            <v>1</v>
          </cell>
          <cell r="E728">
            <v>28.93</v>
          </cell>
          <cell r="F728">
            <v>28.93</v>
          </cell>
        </row>
        <row r="729">
          <cell r="A729" t="str">
            <v>151439</v>
          </cell>
          <cell r="B729" t="str">
            <v>Cabo paralelo PP de cobre, com isolamento para 1000V, seção 3x2,5mm2</v>
          </cell>
          <cell r="C729" t="str">
            <v>m</v>
          </cell>
          <cell r="D729">
            <v>1</v>
          </cell>
          <cell r="E729">
            <v>15.24</v>
          </cell>
          <cell r="F729">
            <v>15.24</v>
          </cell>
        </row>
        <row r="730">
          <cell r="A730" t="str">
            <v>151440</v>
          </cell>
          <cell r="B730" t="str">
            <v>Cabo paralelo PP de cobre, com isolamento para 1000V, seção 3x4,0mm2</v>
          </cell>
          <cell r="C730" t="str">
            <v>m</v>
          </cell>
          <cell r="D730">
            <v>1</v>
          </cell>
          <cell r="E730">
            <v>21.42</v>
          </cell>
          <cell r="F730">
            <v>21.42</v>
          </cell>
        </row>
        <row r="731">
          <cell r="A731" t="str">
            <v>1515</v>
          </cell>
          <cell r="B731" t="str">
            <v>SERVIÇOS DIVERSOS</v>
          </cell>
          <cell r="C731"/>
          <cell r="D731"/>
          <cell r="E731"/>
          <cell r="F731"/>
        </row>
        <row r="732">
          <cell r="A732" t="str">
            <v>151503</v>
          </cell>
          <cell r="B732" t="str">
            <v>Cabeçote de alumínio de 1 1/4"</v>
          </cell>
          <cell r="C732" t="str">
            <v>und</v>
          </cell>
          <cell r="D732">
            <v>1</v>
          </cell>
          <cell r="E732">
            <v>16.3</v>
          </cell>
          <cell r="F732">
            <v>16.3</v>
          </cell>
        </row>
        <row r="733">
          <cell r="A733" t="str">
            <v>151504</v>
          </cell>
          <cell r="B733" t="str">
            <v>Cabeçote de alumínio de 1 1/2"</v>
          </cell>
          <cell r="C733" t="str">
            <v>und</v>
          </cell>
          <cell r="D733">
            <v>1</v>
          </cell>
          <cell r="E733">
            <v>18.09</v>
          </cell>
          <cell r="F733">
            <v>18.09</v>
          </cell>
        </row>
        <row r="734">
          <cell r="A734" t="str">
            <v>151506</v>
          </cell>
          <cell r="B734" t="str">
            <v>Haste de terra tipo COPPERWELD - 5/8" x 2.40m</v>
          </cell>
          <cell r="C734" t="str">
            <v>und</v>
          </cell>
          <cell r="D734">
            <v>1</v>
          </cell>
          <cell r="E734">
            <v>232.79</v>
          </cell>
          <cell r="F734">
            <v>232.79</v>
          </cell>
        </row>
        <row r="735">
          <cell r="A735" t="str">
            <v>151507</v>
          </cell>
          <cell r="B735" t="str">
            <v>Sapatilha</v>
          </cell>
          <cell r="C735" t="str">
            <v>und</v>
          </cell>
          <cell r="D735">
            <v>1</v>
          </cell>
          <cell r="E735">
            <v>10.98</v>
          </cell>
          <cell r="F735">
            <v>10.98</v>
          </cell>
        </row>
        <row r="736">
          <cell r="A736" t="str">
            <v>151508</v>
          </cell>
          <cell r="B736" t="str">
            <v>Bucha e arruela de alumínio fundido diâmetro 20mm (3/4")</v>
          </cell>
          <cell r="C736" t="str">
            <v>und</v>
          </cell>
          <cell r="D736">
            <v>1</v>
          </cell>
          <cell r="E736">
            <v>2.1</v>
          </cell>
          <cell r="F736">
            <v>2.1</v>
          </cell>
        </row>
        <row r="737">
          <cell r="A737" t="str">
            <v>151509</v>
          </cell>
          <cell r="B737" t="str">
            <v>Bucha e arruela de alumínio fundido diâmetro 25mm (1")</v>
          </cell>
          <cell r="C737" t="str">
            <v>und</v>
          </cell>
          <cell r="D737">
            <v>1</v>
          </cell>
          <cell r="E737">
            <v>3.22</v>
          </cell>
          <cell r="F737">
            <v>3.22</v>
          </cell>
        </row>
        <row r="738">
          <cell r="A738" t="str">
            <v>151510</v>
          </cell>
          <cell r="B738" t="str">
            <v>Bucha e arruela de alumínio fundido diâmetro 40mm (1 1/2")</v>
          </cell>
          <cell r="C738" t="str">
            <v>und</v>
          </cell>
          <cell r="D738">
            <v>1</v>
          </cell>
          <cell r="E738">
            <v>6.54</v>
          </cell>
          <cell r="F738">
            <v>6.54</v>
          </cell>
        </row>
        <row r="739">
          <cell r="A739" t="str">
            <v>151511</v>
          </cell>
          <cell r="B739" t="str">
            <v>Bucha e arruela de alumínio fundido diâmetro 80mm (3")</v>
          </cell>
          <cell r="C739" t="str">
            <v>und</v>
          </cell>
          <cell r="D739">
            <v>1</v>
          </cell>
          <cell r="E739">
            <v>22.1</v>
          </cell>
          <cell r="F739">
            <v>22.1</v>
          </cell>
        </row>
        <row r="740">
          <cell r="A740" t="str">
            <v>151512</v>
          </cell>
          <cell r="B740" t="str">
            <v>Automático de bóia, 2 funções 25A</v>
          </cell>
          <cell r="C740" t="str">
            <v>und</v>
          </cell>
          <cell r="D740">
            <v>1</v>
          </cell>
          <cell r="E740">
            <v>95.03</v>
          </cell>
          <cell r="F740">
            <v>95.03</v>
          </cell>
        </row>
        <row r="741">
          <cell r="A741" t="str">
            <v>151513</v>
          </cell>
          <cell r="B741" t="str">
            <v>Parafuso de máquina de ferro galvanizado diâmetro 16mm</v>
          </cell>
          <cell r="C741" t="str">
            <v>und</v>
          </cell>
          <cell r="D741">
            <v>1</v>
          </cell>
          <cell r="E741">
            <v>13.11</v>
          </cell>
          <cell r="F741">
            <v>13.11</v>
          </cell>
        </row>
        <row r="742">
          <cell r="A742" t="str">
            <v>1516</v>
          </cell>
          <cell r="B742" t="str">
            <v>ABERTURA E FECHAMENTO DE RASGOS (inclusive preparo e aplicação de argamassa)</v>
          </cell>
          <cell r="C742"/>
          <cell r="D742"/>
          <cell r="E742"/>
          <cell r="F742"/>
        </row>
        <row r="743">
          <cell r="A743" t="str">
            <v>151601</v>
          </cell>
          <cell r="B743" t="str">
            <v>Abertura e fechamento de rasgos em alvenaria, para passagem de eletrodutos diâm. 1/2" a 1"</v>
          </cell>
          <cell r="C743" t="str">
            <v>m</v>
          </cell>
          <cell r="D743">
            <v>1</v>
          </cell>
          <cell r="E743">
            <v>10.28</v>
          </cell>
          <cell r="F743">
            <v>10.28</v>
          </cell>
        </row>
        <row r="744">
          <cell r="A744" t="str">
            <v>151602</v>
          </cell>
          <cell r="B744" t="str">
            <v>Abertura e fechamento de rasgos em alvenaria, para passagem de eletroduto diâm. 1 1/4"a 2"</v>
          </cell>
          <cell r="C744" t="str">
            <v>m</v>
          </cell>
          <cell r="D744">
            <v>1</v>
          </cell>
          <cell r="E744">
            <v>15.38</v>
          </cell>
          <cell r="F744">
            <v>15.38</v>
          </cell>
        </row>
        <row r="745">
          <cell r="A745" t="str">
            <v>151603</v>
          </cell>
          <cell r="B745" t="str">
            <v>Abertura e fechamento de rasgos em alvenaria, para passagem de eletroduto diâm. 2 1/2" a 4"</v>
          </cell>
          <cell r="C745" t="str">
            <v>m</v>
          </cell>
          <cell r="D745">
            <v>1</v>
          </cell>
          <cell r="E745">
            <v>23.15</v>
          </cell>
          <cell r="F745">
            <v>23.15</v>
          </cell>
        </row>
        <row r="746">
          <cell r="A746" t="str">
            <v>151604</v>
          </cell>
          <cell r="B746" t="str">
            <v>Abertura e fechamento de rasgos em concreto, para passagem de eletroduto diâm. 1/2" a 1"</v>
          </cell>
          <cell r="C746" t="str">
            <v>m</v>
          </cell>
          <cell r="D746">
            <v>1</v>
          </cell>
          <cell r="E746">
            <v>19.600000000000001</v>
          </cell>
          <cell r="F746">
            <v>19.600000000000001</v>
          </cell>
        </row>
        <row r="747">
          <cell r="A747" t="str">
            <v>151605</v>
          </cell>
          <cell r="B747" t="str">
            <v>Abertura e fechamento de rasgos em concreto, para passagem de eletroduto diâm. 1 1/4" a 2"</v>
          </cell>
          <cell r="C747" t="str">
            <v>m</v>
          </cell>
          <cell r="D747">
            <v>1</v>
          </cell>
          <cell r="E747">
            <v>29.84</v>
          </cell>
          <cell r="F747">
            <v>29.84</v>
          </cell>
        </row>
        <row r="748">
          <cell r="A748" t="str">
            <v>151606</v>
          </cell>
          <cell r="B748" t="str">
            <v>Abertura e fechamento de rasgos em concreto, para passagem de eletroduto diâm. 2 1/2" a 4"</v>
          </cell>
          <cell r="C748" t="str">
            <v>m</v>
          </cell>
          <cell r="D748">
            <v>1</v>
          </cell>
          <cell r="E748">
            <v>43.41</v>
          </cell>
          <cell r="F748">
            <v>43.41</v>
          </cell>
        </row>
        <row r="749">
          <cell r="A749" t="str">
            <v>1517</v>
          </cell>
          <cell r="B749" t="str">
            <v>PADRAO DE ENTRADA DE ENERGIA - NORTEC-01 - ESCELSA</v>
          </cell>
          <cell r="C749"/>
          <cell r="D749"/>
          <cell r="E749"/>
          <cell r="F749"/>
        </row>
        <row r="750">
          <cell r="A750" t="str">
            <v>151701</v>
          </cell>
          <cell r="B750" t="str">
            <v>Padrão de entrada de energia elétrica, monofásico, entrada aérea, a 2 fios, carga instalada em muro de 3500 até 9000W - 220/127V</v>
          </cell>
          <cell r="C750" t="str">
            <v>und</v>
          </cell>
          <cell r="D750">
            <v>1</v>
          </cell>
          <cell r="E750">
            <v>2175.67</v>
          </cell>
          <cell r="F750">
            <v>2175.67</v>
          </cell>
        </row>
        <row r="751">
          <cell r="A751" t="str">
            <v>151702</v>
          </cell>
          <cell r="B751" t="str">
            <v>Padrão de entrada de energia elétrica, bifásico, entrada aérea, a 3 fios, carga instalada em muro de 9001 até 15000W - 220/127V</v>
          </cell>
          <cell r="C751" t="str">
            <v>und</v>
          </cell>
          <cell r="D751">
            <v>1</v>
          </cell>
          <cell r="E751">
            <v>2961.76</v>
          </cell>
          <cell r="F751">
            <v>2961.76</v>
          </cell>
        </row>
        <row r="752">
          <cell r="A752" t="str">
            <v>151703</v>
          </cell>
          <cell r="B752" t="str">
            <v>Padrão de entrada de energia elétrica, trifásico, entrada aérea, a 4 fios, carga instalada em muro de 15001 até 26000W - 220/127V</v>
          </cell>
          <cell r="C752" t="str">
            <v>und</v>
          </cell>
          <cell r="D752">
            <v>1</v>
          </cell>
          <cell r="E752">
            <v>3239.97</v>
          </cell>
          <cell r="F752">
            <v>3239.97</v>
          </cell>
        </row>
        <row r="753">
          <cell r="A753" t="str">
            <v>151704</v>
          </cell>
          <cell r="B753" t="str">
            <v>Padrão de entrada de energia elétrica, trifásico, entrada aérea, a 4 fios, carga instalada em muro de 26001 até 34000W - 220/127V</v>
          </cell>
          <cell r="C753" t="str">
            <v>und</v>
          </cell>
          <cell r="D753">
            <v>1</v>
          </cell>
          <cell r="E753">
            <v>3586.05</v>
          </cell>
          <cell r="F753">
            <v>3586.05</v>
          </cell>
        </row>
        <row r="754">
          <cell r="A754" t="str">
            <v>151705</v>
          </cell>
          <cell r="B754" t="str">
            <v>Padrão de entrada de energia elétrica, trifásico, entrada aérea, a 4 fios, carga instalada em muro de 34001 até 41000W - 220/127V</v>
          </cell>
          <cell r="C754" t="str">
            <v>und</v>
          </cell>
          <cell r="D754">
            <v>1</v>
          </cell>
          <cell r="E754">
            <v>3945.86</v>
          </cell>
          <cell r="F754">
            <v>3945.86</v>
          </cell>
        </row>
        <row r="755">
          <cell r="A755" t="str">
            <v>151706</v>
          </cell>
          <cell r="B755" t="str">
            <v>Padrão de entrada de energia elétrica, trifásico, entrada aérea, a 4 fios, carga instalada em muro de 41001 até 47000W - 220/127V</v>
          </cell>
          <cell r="C755" t="str">
            <v>und</v>
          </cell>
          <cell r="D755">
            <v>1</v>
          </cell>
          <cell r="E755">
            <v>8754.7199999999993</v>
          </cell>
          <cell r="F755">
            <v>8754.7199999999993</v>
          </cell>
        </row>
        <row r="756">
          <cell r="A756" t="str">
            <v>151707</v>
          </cell>
          <cell r="B756" t="str">
            <v>Padrão de entrada de energia elétrica, trifásico, entrada subterrânea, a 4 fios, carga instalada em muro de 41001 até 47000W - 220/127V, exclusive derivação de ramal de entrada subterrânea</v>
          </cell>
          <cell r="C756" t="str">
            <v>und</v>
          </cell>
          <cell r="D756">
            <v>1</v>
          </cell>
          <cell r="E756">
            <v>6961.36</v>
          </cell>
          <cell r="F756">
            <v>6961.36</v>
          </cell>
        </row>
        <row r="757">
          <cell r="A757" t="str">
            <v>151708</v>
          </cell>
          <cell r="B757" t="str">
            <v>Padrão de entrada de energia elétrica, trifásico, entrada aérea, a 4 fios, carga instalada em muro de 47001 até 57000W - 220/127V</v>
          </cell>
          <cell r="C757" t="str">
            <v>und</v>
          </cell>
          <cell r="D757">
            <v>1</v>
          </cell>
          <cell r="E757">
            <v>10798.09</v>
          </cell>
          <cell r="F757">
            <v>10798.09</v>
          </cell>
        </row>
        <row r="758">
          <cell r="A758" t="str">
            <v>151709</v>
          </cell>
          <cell r="B758" t="str">
            <v>Padrão de entrada de energia elétrica, trifásico, entrada subterrânea, a 4 fios, carga instalada em muro de 47001 até 57000W - 220/127V, exclusive derivação de ramal de entrada subterrânea</v>
          </cell>
          <cell r="C758" t="str">
            <v>und</v>
          </cell>
          <cell r="D758">
            <v>1</v>
          </cell>
          <cell r="E758">
            <v>9303.76</v>
          </cell>
          <cell r="F758">
            <v>9303.76</v>
          </cell>
        </row>
        <row r="759">
          <cell r="A759" t="str">
            <v>151710</v>
          </cell>
          <cell r="B759" t="str">
            <v>Padrão de entrada de energia elétrica, trifásico, entrada aérea, a 4 fios, carga instalada em muro de 57001 até 75000W - 220/127V</v>
          </cell>
          <cell r="C759" t="str">
            <v>und</v>
          </cell>
          <cell r="D759">
            <v>1</v>
          </cell>
          <cell r="E759">
            <v>11657.64</v>
          </cell>
          <cell r="F759">
            <v>11657.64</v>
          </cell>
        </row>
        <row r="760">
          <cell r="A760" t="str">
            <v>151711</v>
          </cell>
          <cell r="B760" t="str">
            <v>Padrão de entrada de energia elétrica, trifásico, entrada subterrânea, a 4 fios, carga instalada em muro de 57001 até 75000W - 220/127V, exclusive derivação de ramal de entrada subterrânea</v>
          </cell>
          <cell r="C760" t="str">
            <v>und</v>
          </cell>
          <cell r="D760">
            <v>1</v>
          </cell>
          <cell r="E760">
            <v>10283.19</v>
          </cell>
          <cell r="F760">
            <v>10283.19</v>
          </cell>
        </row>
        <row r="761">
          <cell r="A761" t="str">
            <v>151712</v>
          </cell>
          <cell r="B761" t="str">
            <v>Subestação ext. aérea trifás. 75KVA, completa, c/ quadros de medição, transf. a óleo, chave geral tripolar, poste e acessórios, conf. NOR-TEC-01 da Escelsa, incl. mureta rev. c/ arg. cimento, cal hidrat. CH1 e areia traço 1:0.5:6</v>
          </cell>
          <cell r="C761" t="str">
            <v>und</v>
          </cell>
          <cell r="D761">
            <v>1</v>
          </cell>
          <cell r="E761">
            <v>36757.54</v>
          </cell>
          <cell r="F761">
            <v>36757.54</v>
          </cell>
        </row>
        <row r="762">
          <cell r="A762" t="str">
            <v>151713</v>
          </cell>
          <cell r="B762" t="str">
            <v>Subestação ext. aérea trifás. 112.5KVA, completa, c/ quadros de medição, transf. a óleo, chave geral trip., poste e acessórios, conf. NOR-TEC-01 da Escelsa, incl. mureta rev. c/ arg. cimento, cal hidrat. CH1 e areia traço 1:0.5:6</v>
          </cell>
          <cell r="C762" t="str">
            <v>und</v>
          </cell>
          <cell r="D762">
            <v>1</v>
          </cell>
          <cell r="E762">
            <v>46294.27</v>
          </cell>
          <cell r="F762">
            <v>46294.27</v>
          </cell>
        </row>
        <row r="763">
          <cell r="A763" t="str">
            <v>151714</v>
          </cell>
          <cell r="B763" t="str">
            <v>Subestação ext. aérea trifás. 150KVA, completa, c/ quadros de medição, transf. a óleo, chave geral trip., poste e acessórios, conf. NOR-TEC-01 da Escelsa, incl. mureta rev. c/ arg. cimento, cal hidrat. CH1 e areia traço 1:0.5:6</v>
          </cell>
          <cell r="C763" t="str">
            <v>und</v>
          </cell>
          <cell r="D763">
            <v>1</v>
          </cell>
          <cell r="E763">
            <v>68172.86</v>
          </cell>
          <cell r="F763">
            <v>68172.86</v>
          </cell>
        </row>
        <row r="764">
          <cell r="A764" t="str">
            <v>151715</v>
          </cell>
          <cell r="B764" t="str">
            <v>Subestação ext. aérea trifás. 225KVA, completa, c/ quadros de medição, transf. a óleo, chave geral trip., poste e acessórios, conf. NOR-TEC-01 da Escelsa, incl. mureta rev. c/ arg. cimento, cal hidrat. CH1 e areia traço 1:0.5:6</v>
          </cell>
          <cell r="C764" t="str">
            <v>und</v>
          </cell>
          <cell r="D764">
            <v>1</v>
          </cell>
          <cell r="E764">
            <v>90602.29</v>
          </cell>
          <cell r="F764">
            <v>90602.29</v>
          </cell>
        </row>
        <row r="765">
          <cell r="A765" t="str">
            <v>1518</v>
          </cell>
          <cell r="B765" t="str">
            <v>PONTOS ELETRICOS REVISAO NR-10</v>
          </cell>
          <cell r="C765"/>
          <cell r="D765"/>
          <cell r="E765"/>
          <cell r="F765"/>
        </row>
        <row r="766">
          <cell r="A766" t="str">
            <v>151801</v>
          </cell>
          <cell r="B766" t="str">
            <v>Ponto padrão de luz no teto - considerando eletroduto PVC rígido de 3/4" inclusive conexões (4.5m), fio isolado PVC de 2.5mm2 (16.2m) e caixa PVC 4x4" (1 und)</v>
          </cell>
          <cell r="C766" t="str">
            <v>und</v>
          </cell>
          <cell r="D766">
            <v>1</v>
          </cell>
          <cell r="E766">
            <v>199.48</v>
          </cell>
          <cell r="F766">
            <v>199.48</v>
          </cell>
        </row>
        <row r="767">
          <cell r="A767" t="str">
            <v>151802</v>
          </cell>
          <cell r="B767" t="str">
            <v>Ponto padrão de luz na parede - considerando eletroduto PVC rígido de 3/4" inclusive conexões (4.5m), fio isolado PVC de 2.5mm2 (16.2m) e caixa pvc 4x2" (1 und)</v>
          </cell>
          <cell r="C767" t="str">
            <v>und</v>
          </cell>
          <cell r="D767">
            <v>1</v>
          </cell>
          <cell r="E767">
            <v>177.36</v>
          </cell>
          <cell r="F767">
            <v>177.36</v>
          </cell>
        </row>
        <row r="768">
          <cell r="A768" t="str">
            <v>151803</v>
          </cell>
          <cell r="B768" t="str">
            <v>Ponto padrão de tomada 2 pólos mais terra - considerando eletroduto PVC rígido de 3/4" inclusive conexões (5.0m), fio isolado PVC de 2.5mm2 (16.5m) e caixa pvc 4x2" (1 und)</v>
          </cell>
          <cell r="C768" t="str">
            <v>und</v>
          </cell>
          <cell r="D768">
            <v>1</v>
          </cell>
          <cell r="E768">
            <v>203.28</v>
          </cell>
          <cell r="F768">
            <v>203.28</v>
          </cell>
        </row>
        <row r="769">
          <cell r="A769" t="str">
            <v>151805</v>
          </cell>
          <cell r="B769" t="str">
            <v>Ponto padrão de tomada para chuveiro elétrico - considerando eletroduto PVC rígido de 3/4" inclusive conexões (9.0m), fio isolado PVC de 6.0mm2 (32.5m) e caixa PVC 4x2" (1 und)</v>
          </cell>
          <cell r="C769" t="str">
            <v>und</v>
          </cell>
          <cell r="D769">
            <v>1</v>
          </cell>
          <cell r="E769">
            <v>544.70000000000005</v>
          </cell>
          <cell r="F769">
            <v>544.70000000000005</v>
          </cell>
        </row>
        <row r="770">
          <cell r="A770" t="str">
            <v>151806</v>
          </cell>
          <cell r="B770" t="str">
            <v>Ponto padrão de tomada para ar refrigerado - considerando eletroduto PVC rígido de 3/4" inclusive conexões (6.0m), fio isolado PVC de 4.0mm2 (21.6m) e caixa PVC 4x2" (1 und)</v>
          </cell>
          <cell r="C770" t="str">
            <v>und</v>
          </cell>
          <cell r="D770">
            <v>1</v>
          </cell>
          <cell r="E770">
            <v>304.33999999999997</v>
          </cell>
          <cell r="F770">
            <v>304.33999999999997</v>
          </cell>
        </row>
        <row r="771">
          <cell r="A771" t="str">
            <v>151807</v>
          </cell>
          <cell r="B771" t="str">
            <v>Ponto padrão de ventilador no teto - considerando eletroduto PVC rígido de 3/4" inclusive conexões (4.5m), fio isolado PVC de 2.5mm2 (21.6m) e caixa PVC 4x4" (1 und)</v>
          </cell>
          <cell r="C771" t="str">
            <v>und</v>
          </cell>
          <cell r="D771">
            <v>1</v>
          </cell>
          <cell r="E771">
            <v>235.4</v>
          </cell>
          <cell r="F771">
            <v>235.4</v>
          </cell>
        </row>
        <row r="772">
          <cell r="A772" t="str">
            <v>151809</v>
          </cell>
          <cell r="B772" t="str">
            <v>Ponto padrão de interruptor de 2 teclas simples - considerando eletroduto PVC rígido de 3/4" inclusive conexões (3.3m), fio isolado PVC de 2.5mm2 (17.2m) e caixa PVC 4x2" (1 und)</v>
          </cell>
          <cell r="C772" t="str">
            <v>und</v>
          </cell>
          <cell r="D772">
            <v>1</v>
          </cell>
          <cell r="E772">
            <v>180.49</v>
          </cell>
          <cell r="F772">
            <v>180.49</v>
          </cell>
        </row>
        <row r="773">
          <cell r="A773" t="str">
            <v>151810</v>
          </cell>
          <cell r="B773" t="str">
            <v>Ponto padrão de interruptor de 1 tecla paralelo - considerando eletroduto PVC rígido de 3/4" inclusive conexões (8.5m), fio isolado PVC de 2.5mm2 (28.8m) e caixa PVC 4x2" (1 und)</v>
          </cell>
          <cell r="C773" t="str">
            <v>und</v>
          </cell>
          <cell r="D773">
            <v>1</v>
          </cell>
          <cell r="E773">
            <v>341.58</v>
          </cell>
          <cell r="F773">
            <v>341.58</v>
          </cell>
        </row>
        <row r="774">
          <cell r="A774" t="str">
            <v>151811</v>
          </cell>
          <cell r="B774" t="str">
            <v>Ponto padrão de interruptor de 1 tecla simples e 1 tomada dois pólos mais terra 10A/250V - considerando eletroduto PVC rígido de 3/4" inclusive conexões (4.5m), fio isolado PVC de 2.5mm2 (19.4m) e caixa PVC 4x2" (1 und)</v>
          </cell>
          <cell r="C774" t="str">
            <v>und</v>
          </cell>
          <cell r="D774">
            <v>1</v>
          </cell>
          <cell r="E774">
            <v>214.16</v>
          </cell>
          <cell r="F774">
            <v>214.16</v>
          </cell>
        </row>
        <row r="775">
          <cell r="A775" t="str">
            <v>151812</v>
          </cell>
          <cell r="B775" t="str">
            <v>Ponto padrão de interruptor de 2 teclas simples e 1 tomada dois pólos mais terra 10A/250V - considerando eletroduto PVC rígido de 3/4" inclusive conexões (4.5m), fio isolado PVC de 2.5mm2 (22.9m) e caixa PVC 4x2" (1 und)</v>
          </cell>
          <cell r="C775" t="str">
            <v>und</v>
          </cell>
          <cell r="D775">
            <v>1</v>
          </cell>
          <cell r="E775">
            <v>237.44</v>
          </cell>
          <cell r="F775">
            <v>237.44</v>
          </cell>
        </row>
        <row r="776">
          <cell r="A776" t="str">
            <v>151813</v>
          </cell>
          <cell r="B776" t="str">
            <v>Ponto padrão de campainha - considerando eletroduto PVC rígido de 3/4" inclusive conexões (5.0m), fio isolado PVC de 2.5mm2 (12.0m) e caixa PVC 4x2" (1 und)</v>
          </cell>
          <cell r="C776" t="str">
            <v>und</v>
          </cell>
          <cell r="D776">
            <v>1</v>
          </cell>
          <cell r="E776">
            <v>182.15</v>
          </cell>
          <cell r="F776">
            <v>182.15</v>
          </cell>
        </row>
        <row r="777">
          <cell r="A777" t="str">
            <v>151814</v>
          </cell>
          <cell r="B777" t="str">
            <v>Ponto padrão de poste para iluminação externa - considerando eletroduto PVC rígido de 3/4" inclusive conexões (7.7m) e fio isolado PVC de 2.5mm2 (25.2.0m)</v>
          </cell>
          <cell r="C777" t="str">
            <v>und</v>
          </cell>
          <cell r="D777">
            <v>1</v>
          </cell>
          <cell r="E777">
            <v>296.89999999999998</v>
          </cell>
          <cell r="F777">
            <v>296.89999999999998</v>
          </cell>
        </row>
        <row r="778">
          <cell r="A778" t="str">
            <v>151815</v>
          </cell>
          <cell r="B778" t="str">
            <v>Ponto padrão de interruptor para ventilador - considerando eletroduto PVC rígido de 3/4" inclusive conexões (3.3m), fio isolado PVC de 2.5mm2 (12.0m) e caixa PVC 4x2" (1 und)</v>
          </cell>
          <cell r="C778" t="str">
            <v>und</v>
          </cell>
          <cell r="D778">
            <v>1</v>
          </cell>
          <cell r="E778">
            <v>145.9</v>
          </cell>
          <cell r="F778">
            <v>145.9</v>
          </cell>
        </row>
        <row r="779">
          <cell r="A779" t="str">
            <v>151816</v>
          </cell>
          <cell r="B779" t="str">
            <v>Ponto padrão de interruptor de 3 teclas simples - considerando eletroduto PVC rígido de 3/4" inclusive conexões (4.5m), fio isolado PVC de 2.5mm2 (25.8m) e caixa PVC 4x2" (1 und)</v>
          </cell>
          <cell r="C779" t="str">
            <v>und</v>
          </cell>
          <cell r="D779">
            <v>1</v>
          </cell>
          <cell r="E779">
            <v>257.07</v>
          </cell>
          <cell r="F779">
            <v>257.07</v>
          </cell>
        </row>
        <row r="780">
          <cell r="A780" t="str">
            <v>151817</v>
          </cell>
          <cell r="B780" t="str">
            <v>Ponto padrão de tomada de piso - considerando eletroduto PVC rígido de 3/4" inclusive conexões (5.0m), fio isolado PVC de 2.5mm2 (18.0m) e caixa alumínio silício 4x4" (1 und)</v>
          </cell>
          <cell r="C780" t="str">
            <v>und</v>
          </cell>
          <cell r="D780">
            <v>1</v>
          </cell>
          <cell r="E780">
            <v>238.47</v>
          </cell>
          <cell r="F780">
            <v>238.47</v>
          </cell>
        </row>
        <row r="781">
          <cell r="A781" t="str">
            <v>151819</v>
          </cell>
          <cell r="B781" t="str">
            <v>Ponto de antena de TV - considerando eletroduto PVC rígido de 3/4" inclusive conexões (3.0m), cabo coaxial 67 Ohms (4.5m) e caixa PVC 4x2" (1 und)</v>
          </cell>
          <cell r="C781" t="str">
            <v>und</v>
          </cell>
          <cell r="D781">
            <v>1</v>
          </cell>
          <cell r="E781">
            <v>93.22</v>
          </cell>
          <cell r="F781">
            <v>93.22</v>
          </cell>
        </row>
        <row r="782">
          <cell r="A782" t="str">
            <v>151820</v>
          </cell>
          <cell r="B782" t="str">
            <v>Ponto padrão de interruptor de 1 tecla intermediário - considerando eletroduto PVC rígido de 3/4" inclusive conexões (3.3m), fio isolado PVC de 2.5mm2 (15.8m) e caixa PVC 4x2" (1 und)</v>
          </cell>
          <cell r="C782" t="str">
            <v>und</v>
          </cell>
          <cell r="D782">
            <v>1</v>
          </cell>
          <cell r="E782">
            <v>171.18</v>
          </cell>
          <cell r="F782">
            <v>171.18</v>
          </cell>
        </row>
        <row r="783">
          <cell r="A783" t="str">
            <v>1519</v>
          </cell>
          <cell r="B783" t="str">
            <v>QUADROS DE DISTRIBUIÇÃO COM BARRAMENTO, TRINCO E FECHADURA</v>
          </cell>
          <cell r="C783"/>
          <cell r="D783"/>
          <cell r="E783"/>
          <cell r="F783"/>
        </row>
        <row r="784">
          <cell r="A784" t="str">
            <v>151901</v>
          </cell>
          <cell r="B784" t="str">
            <v>Quadro distrib. energia, embutido ou semi embutido, capac. p/ 16 disj. DIN, c/barram trif. 100A barra. neutro e terra, fab. em chapa de aço 12 USG com porta, espelho, trinco com fechad ch yale, Ref. QDTN II-16DIN-CEMAR ou equiv.</v>
          </cell>
          <cell r="C784" t="str">
            <v>und</v>
          </cell>
          <cell r="D784">
            <v>1</v>
          </cell>
          <cell r="E784">
            <v>598.02</v>
          </cell>
          <cell r="F784">
            <v>598.02</v>
          </cell>
        </row>
        <row r="785">
          <cell r="A785" t="str">
            <v>151902</v>
          </cell>
          <cell r="B785" t="str">
            <v>Quadro distrib. energia, embutido ou semi embutido, capac. p/ 28 disj. DIN, c/barram trif. 100A barra. neutro e terra, fab. em chapa de aço 12 USG com porta, espelho, trinco com fechad ch yale, Ref. QDTN II-28DIN-CEMAR ou equiv.</v>
          </cell>
          <cell r="C785" t="str">
            <v>und</v>
          </cell>
          <cell r="D785">
            <v>1</v>
          </cell>
          <cell r="E785">
            <v>688.09</v>
          </cell>
          <cell r="F785">
            <v>688.09</v>
          </cell>
        </row>
        <row r="786">
          <cell r="A786" t="str">
            <v>151903</v>
          </cell>
          <cell r="B786" t="str">
            <v>Quadro distrib. energia, embutido ou semi embutido, capac. p/ 34 disj. DIN, c/barram trif. 100A barra. neutro e terra, fab. em chapa de aço 12 USG com porta, espelho, trinco com fechad ch yale, Ref. QDTN II-34DIN-CEMAR ou equiv</v>
          </cell>
          <cell r="C786" t="str">
            <v>und</v>
          </cell>
          <cell r="D786">
            <v>1</v>
          </cell>
          <cell r="E786">
            <v>811.66</v>
          </cell>
          <cell r="F786">
            <v>811.66</v>
          </cell>
        </row>
        <row r="787">
          <cell r="A787" t="str">
            <v>151904</v>
          </cell>
          <cell r="B787" t="str">
            <v>Quadro distrib. energia, embutido ou semi embutido, capac. p/ 44 disj. DIN, c/barram trif. 100A barra. neutro e terra, fab. em chapa de aço 12 USG com porta, espelho, trinco com fechad ch yale, Ref. QDTN II-44DIN-CEMAR ou equiv</v>
          </cell>
          <cell r="C787" t="str">
            <v>und</v>
          </cell>
          <cell r="D787">
            <v>1</v>
          </cell>
          <cell r="E787">
            <v>876.2</v>
          </cell>
          <cell r="F787">
            <v>876.2</v>
          </cell>
        </row>
        <row r="788">
          <cell r="A788" t="str">
            <v>151905</v>
          </cell>
          <cell r="B788" t="str">
            <v>Quadro distrib. energia, embutido ou semi embutido, capac. p/ 54 disj. DIN, c/barram trif. 100A barra. neutro e terra, fab. em chapa de aço 12 USG com porta, espelho, trinco com fechad ch yale, Ref. QDTN II-54DIN-CEMAR</v>
          </cell>
          <cell r="C788" t="str">
            <v>und</v>
          </cell>
          <cell r="D788">
            <v>1</v>
          </cell>
          <cell r="E788">
            <v>1586.75</v>
          </cell>
          <cell r="F788">
            <v>1586.75</v>
          </cell>
        </row>
        <row r="789">
          <cell r="A789" t="str">
            <v>1520</v>
          </cell>
          <cell r="B789" t="str">
            <v>TERMINAIS, CONECTORES E ABRAÇADEIRAS</v>
          </cell>
          <cell r="C789"/>
          <cell r="D789"/>
          <cell r="E789"/>
          <cell r="F789"/>
        </row>
        <row r="790">
          <cell r="A790" t="str">
            <v>152001</v>
          </cell>
          <cell r="B790" t="str">
            <v>Terminal para ligação de cabo a barra até 4.0mm2</v>
          </cell>
          <cell r="C790" t="str">
            <v>und</v>
          </cell>
          <cell r="D790">
            <v>1</v>
          </cell>
          <cell r="E790">
            <v>11.65</v>
          </cell>
          <cell r="F790">
            <v>11.65</v>
          </cell>
        </row>
        <row r="791">
          <cell r="A791" t="str">
            <v>152002</v>
          </cell>
          <cell r="B791" t="str">
            <v>Terminal para ligação de cabo a barra de 6.0 mm2</v>
          </cell>
          <cell r="C791" t="str">
            <v>und</v>
          </cell>
          <cell r="D791">
            <v>1</v>
          </cell>
          <cell r="E791">
            <v>15.04</v>
          </cell>
          <cell r="F791">
            <v>15.04</v>
          </cell>
        </row>
        <row r="792">
          <cell r="A792" t="str">
            <v>152003</v>
          </cell>
          <cell r="B792" t="str">
            <v>Terminal para ligação de cabo a barra de 10.0 mm2</v>
          </cell>
          <cell r="C792" t="str">
            <v>und</v>
          </cell>
          <cell r="D792">
            <v>1</v>
          </cell>
          <cell r="E792">
            <v>23.8</v>
          </cell>
          <cell r="F792">
            <v>23.8</v>
          </cell>
        </row>
        <row r="793">
          <cell r="A793" t="str">
            <v>152004</v>
          </cell>
          <cell r="B793" t="str">
            <v>Terminal para ligação de cabo a barra de 16.0 mm2</v>
          </cell>
          <cell r="C793" t="str">
            <v>und</v>
          </cell>
          <cell r="D793">
            <v>1</v>
          </cell>
          <cell r="E793">
            <v>24.09</v>
          </cell>
          <cell r="F793">
            <v>24.09</v>
          </cell>
        </row>
        <row r="794">
          <cell r="A794" t="str">
            <v>152005</v>
          </cell>
          <cell r="B794" t="str">
            <v>Terminal para ligação de cabo a barra de 25.0 mm2</v>
          </cell>
          <cell r="C794" t="str">
            <v>und</v>
          </cell>
          <cell r="D794">
            <v>1</v>
          </cell>
          <cell r="E794">
            <v>25.51</v>
          </cell>
          <cell r="F794">
            <v>25.51</v>
          </cell>
        </row>
        <row r="795">
          <cell r="A795" t="str">
            <v>152006</v>
          </cell>
          <cell r="B795" t="str">
            <v>Terminal para ligação de cabo a barra de 35.0 mm2</v>
          </cell>
          <cell r="C795" t="str">
            <v>und</v>
          </cell>
          <cell r="D795">
            <v>1</v>
          </cell>
          <cell r="E795">
            <v>30.08</v>
          </cell>
          <cell r="F795">
            <v>30.08</v>
          </cell>
        </row>
        <row r="796">
          <cell r="A796" t="str">
            <v>152007</v>
          </cell>
          <cell r="B796" t="str">
            <v>Terminal para ligação de cabo a barra de 50.0 mm2</v>
          </cell>
          <cell r="C796" t="str">
            <v>und</v>
          </cell>
          <cell r="D796">
            <v>1</v>
          </cell>
          <cell r="E796">
            <v>38.909999999999997</v>
          </cell>
          <cell r="F796">
            <v>38.909999999999997</v>
          </cell>
        </row>
        <row r="797">
          <cell r="A797" t="str">
            <v>152010</v>
          </cell>
          <cell r="B797" t="str">
            <v>Terminal para ligação de cabo a barra de 70 mm2</v>
          </cell>
          <cell r="C797" t="str">
            <v>und</v>
          </cell>
          <cell r="D797">
            <v>1</v>
          </cell>
          <cell r="E797">
            <v>39.4</v>
          </cell>
          <cell r="F797">
            <v>39.4</v>
          </cell>
        </row>
        <row r="798">
          <cell r="A798" t="str">
            <v>152011</v>
          </cell>
          <cell r="B798" t="str">
            <v>Terminal para ligação de cabo a barra de 95 mm2</v>
          </cell>
          <cell r="C798" t="str">
            <v>und</v>
          </cell>
          <cell r="D798">
            <v>1</v>
          </cell>
          <cell r="E798">
            <v>48.94</v>
          </cell>
          <cell r="F798">
            <v>48.94</v>
          </cell>
        </row>
        <row r="799">
          <cell r="A799" t="str">
            <v>152012</v>
          </cell>
          <cell r="B799" t="str">
            <v>Terminal para ligação de cabo a barra de 120 mm2</v>
          </cell>
          <cell r="C799" t="str">
            <v>und</v>
          </cell>
          <cell r="D799">
            <v>1</v>
          </cell>
          <cell r="E799">
            <v>78.36</v>
          </cell>
          <cell r="F799">
            <v>78.36</v>
          </cell>
        </row>
        <row r="800">
          <cell r="A800" t="str">
            <v>152013</v>
          </cell>
          <cell r="B800" t="str">
            <v>Terminal para ligação de cabo a barra de 150 mm2</v>
          </cell>
          <cell r="C800" t="str">
            <v>und</v>
          </cell>
          <cell r="D800">
            <v>1</v>
          </cell>
          <cell r="E800">
            <v>81.400000000000006</v>
          </cell>
          <cell r="F800">
            <v>81.400000000000006</v>
          </cell>
        </row>
        <row r="801">
          <cell r="A801" t="str">
            <v>152014</v>
          </cell>
          <cell r="B801" t="str">
            <v>Terminal para ligação de cabo a barra de 185 mm2</v>
          </cell>
          <cell r="C801" t="str">
            <v>und</v>
          </cell>
          <cell r="D801">
            <v>1</v>
          </cell>
          <cell r="E801">
            <v>94.53</v>
          </cell>
          <cell r="F801">
            <v>94.53</v>
          </cell>
        </row>
        <row r="802">
          <cell r="A802" t="str">
            <v>152015</v>
          </cell>
          <cell r="B802" t="str">
            <v>Terminal para ligação de cabo a barra de 240 mm2</v>
          </cell>
          <cell r="C802" t="str">
            <v>und</v>
          </cell>
          <cell r="D802">
            <v>1</v>
          </cell>
          <cell r="E802">
            <v>100.77</v>
          </cell>
          <cell r="F802">
            <v>100.77</v>
          </cell>
        </row>
        <row r="803">
          <cell r="A803" t="str">
            <v>152016</v>
          </cell>
          <cell r="B803" t="str">
            <v>Terminal para ligação de cabo a barra de 300 mm2</v>
          </cell>
          <cell r="C803" t="str">
            <v>und</v>
          </cell>
          <cell r="D803">
            <v>1</v>
          </cell>
          <cell r="E803">
            <v>102.97</v>
          </cell>
          <cell r="F803">
            <v>102.97</v>
          </cell>
        </row>
        <row r="804">
          <cell r="A804" t="str">
            <v>152025</v>
          </cell>
          <cell r="B804" t="str">
            <v>Terminal para ligação de cabo a barra duplo de 185 mm2</v>
          </cell>
          <cell r="C804" t="str">
            <v>und</v>
          </cell>
          <cell r="D804">
            <v>1</v>
          </cell>
          <cell r="E804">
            <v>328.31</v>
          </cell>
          <cell r="F804">
            <v>328.31</v>
          </cell>
        </row>
        <row r="805">
          <cell r="A805" t="str">
            <v>152026</v>
          </cell>
          <cell r="B805" t="str">
            <v>Terminal para ligação de cabo a barra duplo de 240 mm2</v>
          </cell>
          <cell r="C805" t="str">
            <v>und</v>
          </cell>
          <cell r="D805">
            <v>1</v>
          </cell>
          <cell r="E805">
            <v>350.32</v>
          </cell>
          <cell r="F805">
            <v>350.32</v>
          </cell>
        </row>
        <row r="806">
          <cell r="A806" t="str">
            <v>152027</v>
          </cell>
          <cell r="B806" t="str">
            <v>Terminal para ligação de cabo a barra duplo de 300 mm2</v>
          </cell>
          <cell r="C806" t="str">
            <v>und</v>
          </cell>
          <cell r="D806">
            <v>1</v>
          </cell>
          <cell r="E806">
            <v>396.35</v>
          </cell>
          <cell r="F806">
            <v>396.35</v>
          </cell>
        </row>
        <row r="807">
          <cell r="A807" t="str">
            <v>152030</v>
          </cell>
          <cell r="B807" t="str">
            <v>Conector split bolt para cabo de 4.0 mm2</v>
          </cell>
          <cell r="C807" t="str">
            <v>und</v>
          </cell>
          <cell r="D807">
            <v>1</v>
          </cell>
          <cell r="E807">
            <v>13.86</v>
          </cell>
          <cell r="F807">
            <v>13.86</v>
          </cell>
        </row>
        <row r="808">
          <cell r="A808" t="str">
            <v>152031</v>
          </cell>
          <cell r="B808" t="str">
            <v>Conector split bolt para cabo de 35.0 mm2</v>
          </cell>
          <cell r="C808" t="str">
            <v>und</v>
          </cell>
          <cell r="D808">
            <v>1</v>
          </cell>
          <cell r="E808">
            <v>23.22</v>
          </cell>
          <cell r="F808">
            <v>23.22</v>
          </cell>
        </row>
        <row r="809">
          <cell r="A809" t="str">
            <v>152033</v>
          </cell>
          <cell r="B809" t="str">
            <v>Conector porcelana 3 polos para cabos de #4,0mm2</v>
          </cell>
          <cell r="C809" t="str">
            <v>und</v>
          </cell>
          <cell r="D809">
            <v>1</v>
          </cell>
          <cell r="E809">
            <v>12.88</v>
          </cell>
          <cell r="F809">
            <v>12.88</v>
          </cell>
        </row>
        <row r="810">
          <cell r="A810" t="str">
            <v>152034</v>
          </cell>
          <cell r="B810" t="str">
            <v>Conector porcelana 3 polos para cabo de #6,0mm2</v>
          </cell>
          <cell r="C810" t="str">
            <v>und</v>
          </cell>
          <cell r="D810">
            <v>1</v>
          </cell>
          <cell r="E810">
            <v>13.65</v>
          </cell>
          <cell r="F810">
            <v>13.65</v>
          </cell>
        </row>
        <row r="811">
          <cell r="A811" t="str">
            <v>152035</v>
          </cell>
          <cell r="B811" t="str">
            <v>Conector porcelana 3 polos para cabos de #10,0mm2</v>
          </cell>
          <cell r="C811" t="str">
            <v>und</v>
          </cell>
          <cell r="D811">
            <v>1</v>
          </cell>
          <cell r="E811">
            <v>17.53</v>
          </cell>
          <cell r="F811">
            <v>17.53</v>
          </cell>
        </row>
        <row r="812">
          <cell r="A812" t="str">
            <v>152040</v>
          </cell>
          <cell r="B812" t="str">
            <v>Prensa cabos para eletroduto 1/2"</v>
          </cell>
          <cell r="C812" t="str">
            <v>und</v>
          </cell>
          <cell r="D812">
            <v>1</v>
          </cell>
          <cell r="E812">
            <v>25.66</v>
          </cell>
          <cell r="F812">
            <v>25.66</v>
          </cell>
        </row>
        <row r="813">
          <cell r="A813" t="str">
            <v>152041</v>
          </cell>
          <cell r="B813" t="str">
            <v>Prensa cabos para eletroduto 3/4"</v>
          </cell>
          <cell r="C813" t="str">
            <v>und</v>
          </cell>
          <cell r="D813">
            <v>1</v>
          </cell>
          <cell r="E813">
            <v>27.65</v>
          </cell>
          <cell r="F813">
            <v>27.65</v>
          </cell>
        </row>
        <row r="814">
          <cell r="A814" t="str">
            <v>152042</v>
          </cell>
          <cell r="B814" t="str">
            <v>Prensa cabos para eletroduto de 1"</v>
          </cell>
          <cell r="C814" t="str">
            <v>und</v>
          </cell>
          <cell r="D814">
            <v>1</v>
          </cell>
          <cell r="E814">
            <v>33.46</v>
          </cell>
          <cell r="F814">
            <v>33.46</v>
          </cell>
        </row>
        <row r="815">
          <cell r="A815" t="str">
            <v>16</v>
          </cell>
          <cell r="B815" t="str">
            <v>OUTRAS INSTALAÇÕES</v>
          </cell>
          <cell r="C815"/>
          <cell r="D815"/>
          <cell r="E815"/>
          <cell r="F815"/>
        </row>
        <row r="816">
          <cell r="A816" t="str">
            <v>1601</v>
          </cell>
          <cell r="B816" t="str">
            <v>INSTALAÇÃO DE TELEFONE</v>
          </cell>
          <cell r="C816"/>
          <cell r="D816"/>
          <cell r="E816"/>
          <cell r="F816"/>
        </row>
        <row r="817">
          <cell r="A817" t="str">
            <v>160105</v>
          </cell>
          <cell r="B817" t="str">
            <v>Caixa de telefone em chapa de aço padrão TELEBRAS N. 6, 1200x1200x150 mm, com fundo de madeira</v>
          </cell>
          <cell r="C817" t="str">
            <v>und</v>
          </cell>
          <cell r="D817">
            <v>1</v>
          </cell>
          <cell r="E817">
            <v>1677.3</v>
          </cell>
          <cell r="F817">
            <v>1677.3</v>
          </cell>
        </row>
        <row r="818">
          <cell r="A818" t="str">
            <v>160106</v>
          </cell>
          <cell r="B818" t="str">
            <v>Aterramento com haste de terra 5/8"x2.40m, cabo de cobre nú 6mm2 em caixa de concreto de dimensões internas de 30x30x30cm</v>
          </cell>
          <cell r="C818" t="str">
            <v>und</v>
          </cell>
          <cell r="D818">
            <v>1</v>
          </cell>
          <cell r="E818">
            <v>506.77</v>
          </cell>
          <cell r="F818">
            <v>506.77</v>
          </cell>
        </row>
        <row r="819">
          <cell r="A819" t="str">
            <v>160108</v>
          </cell>
          <cell r="B819" t="str">
            <v>Caixa de telefone em chapa de aço padrão TELEBRAS do tipo CIE-2 200x200x120mm</v>
          </cell>
          <cell r="C819" t="str">
            <v>und</v>
          </cell>
          <cell r="D819">
            <v>1</v>
          </cell>
          <cell r="E819">
            <v>142.13999999999999</v>
          </cell>
          <cell r="F819">
            <v>142.13999999999999</v>
          </cell>
        </row>
        <row r="820">
          <cell r="A820" t="str">
            <v>160110</v>
          </cell>
          <cell r="B820" t="str">
            <v>Caixa de telefone em chapa de aço padrão TELEBRAS do tipo CIE-4 600x600x120 mm</v>
          </cell>
          <cell r="C820" t="str">
            <v>und</v>
          </cell>
          <cell r="D820">
            <v>1</v>
          </cell>
          <cell r="E820">
            <v>453.11</v>
          </cell>
          <cell r="F820">
            <v>453.11</v>
          </cell>
        </row>
        <row r="821">
          <cell r="A821" t="str">
            <v>160111</v>
          </cell>
          <cell r="B821" t="str">
            <v>Caixa para telefone padrão TELEMAR, dim. 1070 x 520 x 500 mm, com tampa de ferro tipo R2, assentada com argamassa de cimento, cal e areia</v>
          </cell>
          <cell r="C821" t="str">
            <v>und</v>
          </cell>
          <cell r="D821">
            <v>1</v>
          </cell>
          <cell r="E821">
            <v>994.92</v>
          </cell>
          <cell r="F821">
            <v>994.92</v>
          </cell>
        </row>
        <row r="822">
          <cell r="A822" t="str">
            <v>160115</v>
          </cell>
          <cell r="B822" t="str">
            <v>Cabo telefônico CI, diâmetro do condutor 50mm, 30 pares</v>
          </cell>
          <cell r="C822" t="str">
            <v>m</v>
          </cell>
          <cell r="D822">
            <v>1</v>
          </cell>
          <cell r="E822">
            <v>29.24</v>
          </cell>
          <cell r="F822">
            <v>29.24</v>
          </cell>
        </row>
        <row r="823">
          <cell r="A823" t="str">
            <v>160120</v>
          </cell>
          <cell r="B823" t="str">
            <v>Tomada para telefone com conector RJ 11</v>
          </cell>
          <cell r="C823" t="str">
            <v>und</v>
          </cell>
          <cell r="D823">
            <v>1</v>
          </cell>
          <cell r="E823">
            <v>45.22</v>
          </cell>
          <cell r="F823">
            <v>45.22</v>
          </cell>
        </row>
        <row r="824">
          <cell r="A824" t="str">
            <v>1602</v>
          </cell>
          <cell r="B824" t="str">
            <v>INSTALAÇÃO DE GÁS</v>
          </cell>
          <cell r="C824"/>
          <cell r="D824"/>
          <cell r="E824"/>
          <cell r="F824"/>
        </row>
        <row r="825">
          <cell r="A825" t="str">
            <v>160207</v>
          </cell>
          <cell r="B825" t="str">
            <v>Abrigo de gás para 2 cilindros 45 Kg, exec. em alv. bloco conc cheio,dim 1,50x0.85x2.10m, inclusive cilindros e rede interna do abrigo compreendendo tubos e válvulas de esfera que interligam os cilindros</v>
          </cell>
          <cell r="C825" t="str">
            <v>und</v>
          </cell>
          <cell r="D825">
            <v>1</v>
          </cell>
          <cell r="E825">
            <v>7632.13</v>
          </cell>
          <cell r="F825">
            <v>7632.13</v>
          </cell>
        </row>
        <row r="826">
          <cell r="A826" t="str">
            <v>160208</v>
          </cell>
          <cell r="B826" t="str">
            <v>Abrigo de gás para 4 cilindros 45Kg , exec. em alv bloco concreto, dim.4.05x0,85x2.10m, inclusive cilindros e rede interna do abrigo compreendendo tubos e válvulas de esfera que interligam os cilindros</v>
          </cell>
          <cell r="C826" t="str">
            <v>und</v>
          </cell>
          <cell r="D826">
            <v>1</v>
          </cell>
          <cell r="E826">
            <v>13514.79</v>
          </cell>
          <cell r="F826">
            <v>13514.79</v>
          </cell>
        </row>
        <row r="827">
          <cell r="A827" t="str">
            <v>1603</v>
          </cell>
          <cell r="B827" t="str">
            <v>INSTALAÇÃO DE PÁRA-RAIO</v>
          </cell>
          <cell r="C827"/>
          <cell r="D827"/>
          <cell r="E827"/>
          <cell r="F827"/>
        </row>
        <row r="828">
          <cell r="A828" t="str">
            <v>160303</v>
          </cell>
          <cell r="B828" t="str">
            <v>Aterramento com haste terra 5/8" x 2.40, cabo de cobre nu 6mm2, inclusive caixa de concreto 30 x 30 cm</v>
          </cell>
          <cell r="C828" t="str">
            <v>und</v>
          </cell>
          <cell r="D828">
            <v>1</v>
          </cell>
          <cell r="E828">
            <v>470.91</v>
          </cell>
          <cell r="F828">
            <v>470.91</v>
          </cell>
        </row>
        <row r="829">
          <cell r="A829" t="str">
            <v>160304</v>
          </cell>
          <cell r="B829" t="str">
            <v>Pára-raios tipo franklim incluindo base de fixação, conjunto de contraventagem c/abraçadeira p/3 estais em tubo e demais acessórios c/exceção do cabo de cobre de descida e suportes isoladores</v>
          </cell>
          <cell r="C829" t="str">
            <v>und</v>
          </cell>
          <cell r="D829">
            <v>1</v>
          </cell>
          <cell r="E829">
            <v>992.66</v>
          </cell>
          <cell r="F829">
            <v>992.66</v>
          </cell>
        </row>
        <row r="830">
          <cell r="A830" t="str">
            <v>160305</v>
          </cell>
          <cell r="B830" t="str">
            <v>Condutor de cobre nú, seção de 35mm2, inclusive suportes isoladores e acessórios de fixação, conforme projeto</v>
          </cell>
          <cell r="C830" t="str">
            <v>m</v>
          </cell>
          <cell r="D830">
            <v>1</v>
          </cell>
          <cell r="E830">
            <v>99.06</v>
          </cell>
          <cell r="F830">
            <v>99.06</v>
          </cell>
        </row>
        <row r="831">
          <cell r="A831" t="str">
            <v>160308</v>
          </cell>
          <cell r="B831" t="str">
            <v>Cabo condutor de cobre eletrolítico nu, tempera meio dura, encordoamento classe 2, para aterramento, diam. 50mm2</v>
          </cell>
          <cell r="C831" t="str">
            <v>m</v>
          </cell>
          <cell r="D831">
            <v>1</v>
          </cell>
          <cell r="E831">
            <v>79.72</v>
          </cell>
          <cell r="F831">
            <v>79.72</v>
          </cell>
        </row>
        <row r="832">
          <cell r="A832" t="str">
            <v>160309</v>
          </cell>
          <cell r="B832" t="str">
            <v>Terminal aéreo em latão (minicaptor), com conector e fixação horizontal 250mm x 10mm, ref. TEL-2024, inclusive vedação dos furos com poliuretano ref. TEL 5905, marca de ref. Termotécnica ou equivalente</v>
          </cell>
          <cell r="C832" t="str">
            <v>und</v>
          </cell>
          <cell r="D832">
            <v>1</v>
          </cell>
          <cell r="E832">
            <v>116.23</v>
          </cell>
          <cell r="F832">
            <v>116.23</v>
          </cell>
        </row>
        <row r="833">
          <cell r="A833" t="str">
            <v>160310</v>
          </cell>
          <cell r="B833" t="str">
            <v>Conector de medição em latão com 2 parafusos para cabos de 16 a 50 mm2, ref. TEL-562, Termotécnica ou equivalente</v>
          </cell>
          <cell r="C833" t="str">
            <v>und</v>
          </cell>
          <cell r="D833">
            <v>1</v>
          </cell>
          <cell r="E833">
            <v>56.1</v>
          </cell>
          <cell r="F833">
            <v>56.1</v>
          </cell>
        </row>
        <row r="834">
          <cell r="A834" t="str">
            <v>160311</v>
          </cell>
          <cell r="B834" t="str">
            <v>Haste de terra tipo COPPERWELD - 5/8" x 2.40m</v>
          </cell>
          <cell r="C834" t="str">
            <v>und</v>
          </cell>
          <cell r="D834">
            <v>1</v>
          </cell>
          <cell r="E834">
            <v>232.79</v>
          </cell>
          <cell r="F834">
            <v>232.79</v>
          </cell>
        </row>
        <row r="835">
          <cell r="A835" t="str">
            <v>160312</v>
          </cell>
          <cell r="B835" t="str">
            <v>Kit completo para solda Exotérmica (Molde HCL 5/8" Ref: TEL905611 / Cartucho n° 115 Ref: TEL 909115 / Alicate Z 201 Ref: TEL 998201), marca de referência Termotécnica ou equivalente</v>
          </cell>
          <cell r="C835" t="str">
            <v>und</v>
          </cell>
          <cell r="D835">
            <v>1</v>
          </cell>
          <cell r="E835">
            <v>49.24</v>
          </cell>
          <cell r="F835">
            <v>49.24</v>
          </cell>
        </row>
        <row r="836">
          <cell r="A836" t="str">
            <v>160313</v>
          </cell>
          <cell r="B836" t="str">
            <v>Fixador universal latão estanhado p/ cabos 16 a 70 mm2 ref. 5024, incl. parafuso sextavado M6x45mm, arruela lisa 1/4", bucha nº8, vedação dos furos c/ poliuretano ref. 5905, marca de ref. Termotécnica ou equivalente</v>
          </cell>
          <cell r="C836" t="str">
            <v>und</v>
          </cell>
          <cell r="D836">
            <v>1</v>
          </cell>
          <cell r="E836">
            <v>51.71</v>
          </cell>
          <cell r="F836">
            <v>51.71</v>
          </cell>
        </row>
        <row r="837">
          <cell r="A837" t="str">
            <v>160314</v>
          </cell>
          <cell r="B837" t="str">
            <v>Mastro simples 3mx1.1/2", uma descida, incl. base de fixação, captor, conj.de contraventagem c/abraçadeira p/3 estais em tubo e demais acessórios, excl. cabo de cobre de descida e suportes isoladores, ref.Termotécnica ou equiv.</v>
          </cell>
          <cell r="C837" t="str">
            <v>und</v>
          </cell>
          <cell r="D837">
            <v>1</v>
          </cell>
          <cell r="E837">
            <v>913.67</v>
          </cell>
          <cell r="F837">
            <v>913.67</v>
          </cell>
        </row>
        <row r="838">
          <cell r="A838" t="str">
            <v>160315</v>
          </cell>
          <cell r="B838" t="str">
            <v>Mastro telescópico 5mx2", uma descida, incl. base de fixação, captor, conj.de contraventagem c/abraçadeira p/3 estais em tubo e demais acessórios excl. cabo de cobre de descida e suportes isoladores, ref. Termotécnica ou equiv.</v>
          </cell>
          <cell r="C838" t="str">
            <v>und</v>
          </cell>
          <cell r="D838">
            <v>1</v>
          </cell>
          <cell r="E838">
            <v>1356.76</v>
          </cell>
          <cell r="F838">
            <v>1356.76</v>
          </cell>
        </row>
        <row r="839">
          <cell r="A839" t="str">
            <v>160316</v>
          </cell>
          <cell r="B839" t="str">
            <v>Caixa de inspeção em PVC, diâmetro 300 mm, ref TEL-552, marca de referência Termotécnica ou equivalente, inclusive escavação e reaterro</v>
          </cell>
          <cell r="C839" t="str">
            <v>und</v>
          </cell>
          <cell r="D839">
            <v>1</v>
          </cell>
          <cell r="E839">
            <v>80.849999999999994</v>
          </cell>
          <cell r="F839">
            <v>80.849999999999994</v>
          </cell>
        </row>
        <row r="840">
          <cell r="A840" t="str">
            <v>160317</v>
          </cell>
          <cell r="B840" t="str">
            <v>Cabo de cobre nú 50mm2, ref. TEL 5750, marca de referência Termotécnica ou equivalente</v>
          </cell>
          <cell r="C840" t="str">
            <v>m</v>
          </cell>
          <cell r="D840">
            <v>1</v>
          </cell>
          <cell r="E840">
            <v>79.72</v>
          </cell>
          <cell r="F840">
            <v>79.72</v>
          </cell>
        </row>
        <row r="841">
          <cell r="A841" t="str">
            <v>160318</v>
          </cell>
          <cell r="B841" t="str">
            <v>Cabo de cobre nú 35mm2, ref. TEL 5735, marca de referência Termotécnica ou equivalente</v>
          </cell>
          <cell r="C841" t="str">
            <v>m</v>
          </cell>
          <cell r="D841">
            <v>1</v>
          </cell>
          <cell r="E841">
            <v>55.86</v>
          </cell>
          <cell r="F841">
            <v>55.86</v>
          </cell>
        </row>
        <row r="842">
          <cell r="A842" t="str">
            <v>160319</v>
          </cell>
          <cell r="B842" t="str">
            <v>Presilha de latão ref. 744, inclusive parafuso fenda DN 4,2x32mm e bucha nylon DN 6mm e vedação dos furos com poliuretano ref. 5905, marca de ref. Termotécnica ou equivalente</v>
          </cell>
          <cell r="C842" t="str">
            <v>und</v>
          </cell>
          <cell r="D842">
            <v>1</v>
          </cell>
          <cell r="E842">
            <v>9.19</v>
          </cell>
          <cell r="F842">
            <v>9.19</v>
          </cell>
        </row>
        <row r="843">
          <cell r="A843" t="str">
            <v>160321</v>
          </cell>
          <cell r="B843" t="str">
            <v>Tampa reforçada em ferro fundido com escotilha TEL 536, inclusive assentamento, marca de referência Termotécnica ou equivalente</v>
          </cell>
          <cell r="C843" t="str">
            <v>und</v>
          </cell>
          <cell r="D843">
            <v>1</v>
          </cell>
          <cell r="E843">
            <v>114.28</v>
          </cell>
          <cell r="F843">
            <v>114.28</v>
          </cell>
        </row>
        <row r="844">
          <cell r="A844" t="str">
            <v>160322</v>
          </cell>
          <cell r="B844" t="str">
            <v>Abraçadeira tipo "D" com cunha, diâmetro 1", ref. TEL-095, marca de referência Termotécnica ou equivalente</v>
          </cell>
          <cell r="C844" t="str">
            <v>und</v>
          </cell>
          <cell r="D844">
            <v>1</v>
          </cell>
          <cell r="E844">
            <v>5.55</v>
          </cell>
          <cell r="F844">
            <v>5.55</v>
          </cell>
        </row>
        <row r="845">
          <cell r="A845" t="str">
            <v>160323</v>
          </cell>
          <cell r="B845" t="str">
            <v>Tampão para eletroduto 1", ref. TEL-5533, marca de referência Termotécnica ou equivalente</v>
          </cell>
          <cell r="C845" t="str">
            <v>und</v>
          </cell>
          <cell r="D845">
            <v>1</v>
          </cell>
          <cell r="E845">
            <v>12.9</v>
          </cell>
          <cell r="F845">
            <v>12.9</v>
          </cell>
        </row>
        <row r="846">
          <cell r="A846" t="str">
            <v>160324</v>
          </cell>
          <cell r="B846" t="str">
            <v>Caixa de equalização de potenciais para uso interno e externo com cinco (5) terminais para aterramento (BEP), em polipropileno, ref. TEL-902, marca de referência Termotécnica ou equivalente</v>
          </cell>
          <cell r="C846" t="str">
            <v>und</v>
          </cell>
          <cell r="D846">
            <v>1</v>
          </cell>
          <cell r="E846">
            <v>216.45</v>
          </cell>
          <cell r="F846">
            <v>216.45</v>
          </cell>
        </row>
        <row r="847">
          <cell r="A847" t="str">
            <v>160325</v>
          </cell>
          <cell r="B847" t="str">
            <v>Caixa de equalização de potenciais para uso interno e externo com nove (9) terminais para aterramento (BEP), em aço, com flange inferior e vedação na porta, ref. TEL-903, marca de referência Termotécnica ou equivalente</v>
          </cell>
          <cell r="C847" t="str">
            <v>und</v>
          </cell>
          <cell r="D847">
            <v>1</v>
          </cell>
          <cell r="E847">
            <v>588.79</v>
          </cell>
          <cell r="F847">
            <v>588.79</v>
          </cell>
        </row>
        <row r="848">
          <cell r="A848" t="str">
            <v>160326</v>
          </cell>
          <cell r="B848" t="str">
            <v>Barra chata em alumínio 7/8"x1/8" (70mm²), com furos diâmetro 7 mm ref. TEL-771, marca de referência Termotécnica ou equivalente</v>
          </cell>
          <cell r="C848" t="str">
            <v>m</v>
          </cell>
          <cell r="D848">
            <v>1</v>
          </cell>
          <cell r="E848">
            <v>35.86</v>
          </cell>
          <cell r="F848">
            <v>35.86</v>
          </cell>
        </row>
        <row r="849">
          <cell r="A849" t="str">
            <v>160327</v>
          </cell>
          <cell r="B849" t="str">
            <v>Barra chata em aço galvanizado a fogo 7/8"x1/8" (70mm²), com furos diâm. 7mm ref. TEL-761, marca de referência Termotécnica ou equivalente</v>
          </cell>
          <cell r="C849" t="str">
            <v>m</v>
          </cell>
          <cell r="D849">
            <v>1</v>
          </cell>
          <cell r="E849">
            <v>36.22</v>
          </cell>
          <cell r="F849">
            <v>36.22</v>
          </cell>
        </row>
        <row r="850">
          <cell r="A850" t="str">
            <v>160328</v>
          </cell>
          <cell r="B850" t="str">
            <v>Terminal estanhado de 1 compressão 1 furo, 35mm², ref. TEL-5135, marca de referência Termotécnica ou equivalente</v>
          </cell>
          <cell r="C850" t="str">
            <v>und</v>
          </cell>
          <cell r="D850">
            <v>1</v>
          </cell>
          <cell r="E850">
            <v>27.11</v>
          </cell>
          <cell r="F850">
            <v>27.11</v>
          </cell>
        </row>
        <row r="851">
          <cell r="A851" t="str">
            <v>160329</v>
          </cell>
          <cell r="B851" t="str">
            <v>Curva 90º de barra chata em alumínio 7/8"x1/8"x300mm, 70mm², ref. TEL-778, marca de referência Termotécnica ou equivalente</v>
          </cell>
          <cell r="C851" t="str">
            <v>und</v>
          </cell>
          <cell r="D851">
            <v>1</v>
          </cell>
          <cell r="E851">
            <v>17.29</v>
          </cell>
          <cell r="F851">
            <v>17.29</v>
          </cell>
        </row>
        <row r="852">
          <cell r="A852" t="str">
            <v>160330</v>
          </cell>
          <cell r="B852" t="str">
            <v>Fixador ômega em latão ref. 733, inclusive parafuso fenda DN 4,2x32mm, bucha nylon DN 6mm e vedação dos furos com poliuretano ref. 5905, marca de ref. Termotécnica ou equivalente</v>
          </cell>
          <cell r="C852" t="str">
            <v>und</v>
          </cell>
          <cell r="D852">
            <v>1</v>
          </cell>
          <cell r="E852">
            <v>10.89</v>
          </cell>
          <cell r="F852">
            <v>10.89</v>
          </cell>
        </row>
        <row r="853">
          <cell r="A853" t="str">
            <v>160331</v>
          </cell>
          <cell r="B853" t="str">
            <v>Cordoalha flexível 25x100 mm, com dois furos, diâmetro 11 mm, ref. TEL-5701, marca de referência Termotécnica ou equivalente</v>
          </cell>
          <cell r="C853" t="str">
            <v>und</v>
          </cell>
          <cell r="D853">
            <v>1</v>
          </cell>
          <cell r="E853">
            <v>35.590000000000003</v>
          </cell>
          <cell r="F853">
            <v>35.590000000000003</v>
          </cell>
        </row>
        <row r="854">
          <cell r="A854" t="str">
            <v>160332</v>
          </cell>
          <cell r="B854" t="str">
            <v>Fita perfurada em latão niquelado 20mm x 0,8mm, para equalização de potenciais, ref. TEL-750, marca de referência Termotécnica ou equivalente</v>
          </cell>
          <cell r="C854" t="str">
            <v>m</v>
          </cell>
          <cell r="D854">
            <v>1</v>
          </cell>
          <cell r="E854">
            <v>36.119999999999997</v>
          </cell>
          <cell r="F854">
            <v>36.119999999999997</v>
          </cell>
        </row>
        <row r="855">
          <cell r="A855" t="str">
            <v>160333</v>
          </cell>
          <cell r="B855" t="str">
            <v>Cabo de cobre nú 50 mm2, ref. TEL-5750, marca de referência Termotécnica ou equivalente, inclusive abertura e fechamento de vala para cabo dimensões 50x20cm</v>
          </cell>
          <cell r="C855" t="str">
            <v>m</v>
          </cell>
          <cell r="D855">
            <v>1</v>
          </cell>
          <cell r="E855">
            <v>90.48</v>
          </cell>
          <cell r="F855">
            <v>90.48</v>
          </cell>
        </row>
        <row r="856">
          <cell r="A856" t="str">
            <v>160334</v>
          </cell>
          <cell r="B856" t="str">
            <v>Terminal estanhado de 1 compressão 1 furo, 50mm², ref. TEL-5150, marca de referência Termotécnica ou equivalente</v>
          </cell>
          <cell r="C856" t="str">
            <v>und</v>
          </cell>
          <cell r="D856">
            <v>1</v>
          </cell>
          <cell r="E856">
            <v>37.28</v>
          </cell>
          <cell r="F856">
            <v>37.28</v>
          </cell>
        </row>
        <row r="857">
          <cell r="A857" t="str">
            <v>160335</v>
          </cell>
          <cell r="B857" t="str">
            <v>Chapa perfurada(tela casa da moeda) BELINOX, largura 245 mm, espessura 1.5mm, ref. TEL-754, marca de referência Termotécnica ou equivalente</v>
          </cell>
          <cell r="C857" t="str">
            <v>m</v>
          </cell>
          <cell r="D857">
            <v>1</v>
          </cell>
          <cell r="E857">
            <v>63.85</v>
          </cell>
          <cell r="F857">
            <v>63.85</v>
          </cell>
        </row>
        <row r="858">
          <cell r="A858" t="str">
            <v>1606</v>
          </cell>
          <cell r="B858" t="str">
            <v>INSTALAÇÃO DE INCÊNDIO</v>
          </cell>
          <cell r="C858"/>
          <cell r="D858"/>
          <cell r="E858"/>
          <cell r="F858"/>
        </row>
        <row r="859">
          <cell r="A859" t="str">
            <v>160602</v>
          </cell>
          <cell r="B859" t="str">
            <v>Hidrante de parede, com abrigo em chapa, 60x90x17cm, com suporte e mangueira 20m 63mm, adaptador rosca fêmea e engate rápido, esguicho em latão regulavel, registro globo angular 45º/ 63mm</v>
          </cell>
          <cell r="C859" t="str">
            <v>und</v>
          </cell>
          <cell r="D859">
            <v>1</v>
          </cell>
          <cell r="E859">
            <v>1741.9</v>
          </cell>
          <cell r="F859">
            <v>1741.9</v>
          </cell>
        </row>
        <row r="860">
          <cell r="A860" t="str">
            <v>160603</v>
          </cell>
          <cell r="B860" t="str">
            <v>Hidrante de recalque no passeio em caixa metálica de 40x60x40cm, incl. registro globo angular 90º de 63mm, adaptador p/ engate rápido e tampa c/ corrente</v>
          </cell>
          <cell r="C860" t="str">
            <v>und</v>
          </cell>
          <cell r="D860">
            <v>1</v>
          </cell>
          <cell r="E860">
            <v>886.16</v>
          </cell>
          <cell r="F860">
            <v>886.16</v>
          </cell>
        </row>
        <row r="861">
          <cell r="A861" t="str">
            <v>160604</v>
          </cell>
          <cell r="B861" t="str">
            <v>Extintor de incêndio de água pressurizada capacidade 2A (10L), inclusive suporte para fixação e EXCLUSIVE placa sinalizadora em PVC Fotoluminescente</v>
          </cell>
          <cell r="C861" t="str">
            <v>und</v>
          </cell>
          <cell r="D861">
            <v>1</v>
          </cell>
          <cell r="E861">
            <v>229.28</v>
          </cell>
          <cell r="F861">
            <v>229.28</v>
          </cell>
        </row>
        <row r="862">
          <cell r="A862" t="str">
            <v>160605</v>
          </cell>
          <cell r="B862" t="str">
            <v>Extintor de incêndio portátil de pó químico ABC com capacidade 2A-20B:C (6 kg), inclusive suporte para fixação, EXCLUSIVE placa sinalizadora em PVC fotoluminescente</v>
          </cell>
          <cell r="C862" t="str">
            <v>und</v>
          </cell>
          <cell r="D862">
            <v>1</v>
          </cell>
          <cell r="E862">
            <v>249.59</v>
          </cell>
          <cell r="F862">
            <v>249.59</v>
          </cell>
        </row>
        <row r="863">
          <cell r="A863" t="str">
            <v>160606</v>
          </cell>
          <cell r="B863" t="str">
            <v>Extintor de incêndio de gás carbônico CO2 5 B:C (6 Kg), inclusive suporte para fixação, EXCLUSIVE placa sinalizadora em PVC fotoluminescente</v>
          </cell>
          <cell r="C863" t="str">
            <v>und</v>
          </cell>
          <cell r="D863">
            <v>1</v>
          </cell>
          <cell r="E863">
            <v>593.22</v>
          </cell>
          <cell r="F863">
            <v>593.22</v>
          </cell>
        </row>
        <row r="864">
          <cell r="A864" t="str">
            <v>160607</v>
          </cell>
          <cell r="B864" t="str">
            <v>Extintor de incêndio portátil de pó químico ABC com capacidade 2A-20B:C (4 kg), inclusive suporte para fixação, EXCLUSIVE placa sinalizadora em PVC fotoluminescente</v>
          </cell>
          <cell r="C864" t="str">
            <v>und</v>
          </cell>
          <cell r="D864">
            <v>1</v>
          </cell>
          <cell r="E864">
            <v>221.4</v>
          </cell>
          <cell r="F864">
            <v>221.4</v>
          </cell>
        </row>
        <row r="865">
          <cell r="A865" t="str">
            <v>160608</v>
          </cell>
          <cell r="B865" t="str">
            <v>Ponto para seta indicativa de saída, incl. seta em acrílico, com fonte alimentadora própria que assegure um funcionamento mínimo de 1h, para quando ocorrer falta de energia elétrica na rede pública, conforme projeto</v>
          </cell>
          <cell r="C865" t="str">
            <v>und</v>
          </cell>
          <cell r="D865">
            <v>1</v>
          </cell>
          <cell r="E865">
            <v>326.42</v>
          </cell>
          <cell r="F865">
            <v>326.42</v>
          </cell>
        </row>
        <row r="866">
          <cell r="A866" t="str">
            <v>160612</v>
          </cell>
          <cell r="B866" t="str">
            <v>Placa de sinalização de segurança CODIGO 14 - 315/158(NBR 13.434); CÓDIGO S3(NT 14/2010-ES) ("SAIDA DE EMERGÊNCIA" - seta vertical)</v>
          </cell>
          <cell r="C866" t="str">
            <v>und</v>
          </cell>
          <cell r="D866">
            <v>1</v>
          </cell>
          <cell r="E866">
            <v>25.33</v>
          </cell>
          <cell r="F866">
            <v>25.33</v>
          </cell>
        </row>
        <row r="867">
          <cell r="A867" t="str">
            <v>160613</v>
          </cell>
          <cell r="B867" t="str">
            <v>Ponto para iluminação de emergência completo, inclusive bloco autônomo de iluminação 2x9W com tomada universal</v>
          </cell>
          <cell r="C867" t="str">
            <v>und</v>
          </cell>
          <cell r="D867">
            <v>1</v>
          </cell>
          <cell r="E867">
            <v>229.92</v>
          </cell>
          <cell r="F867">
            <v>229.92</v>
          </cell>
        </row>
        <row r="868">
          <cell r="A868" t="str">
            <v>160625</v>
          </cell>
          <cell r="B868" t="str">
            <v>Abrigo para hidrante de recalque no passeio em caixa de alvenaria 60x40cm em bloco de concreto inclusive registro de recalque ø 65 mm (2 1/2") e tampa de ferro fundido 40x40cm com inscrição incêndio</v>
          </cell>
          <cell r="C868" t="str">
            <v>und</v>
          </cell>
          <cell r="D868">
            <v>1</v>
          </cell>
          <cell r="E868">
            <v>719.48</v>
          </cell>
          <cell r="F868">
            <v>719.48</v>
          </cell>
        </row>
        <row r="869">
          <cell r="A869" t="str">
            <v>160663</v>
          </cell>
          <cell r="B869" t="str">
            <v>Fornecimento e instalação de Bateria selada 12V - 60 AH, para centrais de alarme / iluminação de emergência</v>
          </cell>
          <cell r="C869" t="str">
            <v>und</v>
          </cell>
          <cell r="D869">
            <v>1</v>
          </cell>
          <cell r="E869">
            <v>413.26</v>
          </cell>
          <cell r="F869">
            <v>413.26</v>
          </cell>
        </row>
        <row r="870">
          <cell r="A870" t="str">
            <v>160665</v>
          </cell>
          <cell r="B870" t="str">
            <v>Fornecimento e instalação de porta corta-fogo para saída de emergência Dim.: 100x210x5cm, conforme ABNT NBR 11742P, classe P-90, incl. marco, 3 pares de dobradiçaas c/mola, barra anti-panico, pintura esmalte sintetico cor vermelha</v>
          </cell>
          <cell r="C870" t="str">
            <v>und</v>
          </cell>
          <cell r="D870">
            <v>1</v>
          </cell>
          <cell r="E870">
            <v>2412.5500000000002</v>
          </cell>
          <cell r="F870">
            <v>2412.5500000000002</v>
          </cell>
        </row>
        <row r="871">
          <cell r="A871" t="str">
            <v>160671</v>
          </cell>
          <cell r="B871" t="str">
            <v>Hidrante de parede, com abrigo em chapa, 80x90x17cm, com suporte e mangueiras 2 x 15m 63mm, adaptador rosca fêmea e engate rápido, esguicho em latão regulavel, registro globo angular 45º/ 63mm</v>
          </cell>
          <cell r="C871" t="str">
            <v>und</v>
          </cell>
          <cell r="D871">
            <v>1</v>
          </cell>
          <cell r="E871">
            <v>2268.54</v>
          </cell>
          <cell r="F871">
            <v>2268.54</v>
          </cell>
        </row>
        <row r="872">
          <cell r="A872" t="str">
            <v>160673</v>
          </cell>
          <cell r="B872" t="str">
            <v>Fornecimento e instalação de Central de alarme de incêndio endereçável, capacidade até: 256 endereços, 4 laços com bateria Ref. Walmonof, Abafire, Deltafire ou equivalente</v>
          </cell>
          <cell r="C872" t="str">
            <v>und</v>
          </cell>
          <cell r="D872">
            <v>1</v>
          </cell>
          <cell r="E872">
            <v>2019.44</v>
          </cell>
          <cell r="F872">
            <v>2019.44</v>
          </cell>
        </row>
        <row r="873">
          <cell r="A873" t="str">
            <v>160674</v>
          </cell>
          <cell r="B873" t="str">
            <v>Fornecimento e instalação de Acionador manual de alarme de incêndio endereçavel, tipo quebra vidro</v>
          </cell>
          <cell r="C873" t="str">
            <v>und</v>
          </cell>
          <cell r="D873">
            <v>1</v>
          </cell>
          <cell r="E873">
            <v>107.98</v>
          </cell>
          <cell r="F873">
            <v>107.98</v>
          </cell>
        </row>
        <row r="874">
          <cell r="A874" t="str">
            <v>160675</v>
          </cell>
          <cell r="B874" t="str">
            <v>Fornecimento e instalação de Detector de fumaça óptico endereçavel Bivolt 12/24V para parede ou teto</v>
          </cell>
          <cell r="C874" t="str">
            <v>und</v>
          </cell>
          <cell r="D874">
            <v>1</v>
          </cell>
          <cell r="E874">
            <v>164.48</v>
          </cell>
          <cell r="F874">
            <v>164.48</v>
          </cell>
        </row>
        <row r="875">
          <cell r="A875" t="str">
            <v>160676</v>
          </cell>
          <cell r="B875" t="str">
            <v>Fornecimento e instalação de Sirene eletronica média tipo corneta</v>
          </cell>
          <cell r="C875" t="str">
            <v>und</v>
          </cell>
          <cell r="D875">
            <v>1</v>
          </cell>
          <cell r="E875">
            <v>151.87</v>
          </cell>
          <cell r="F875">
            <v>151.87</v>
          </cell>
        </row>
        <row r="876">
          <cell r="A876" t="str">
            <v>1607</v>
          </cell>
          <cell r="B876" t="str">
            <v>DEPÓSITO DE GÁS</v>
          </cell>
          <cell r="C876"/>
          <cell r="D876"/>
          <cell r="E876"/>
          <cell r="F876"/>
        </row>
        <row r="877">
          <cell r="A877" t="str">
            <v>160702</v>
          </cell>
          <cell r="B877" t="str">
            <v>Chapisco com argamassa de cimento e areia média ou grossa sem peneirar no traço 1:3, espessura 5 mm</v>
          </cell>
          <cell r="C877" t="str">
            <v>m2</v>
          </cell>
          <cell r="D877">
            <v>1</v>
          </cell>
          <cell r="E877">
            <v>5.69</v>
          </cell>
          <cell r="F877">
            <v>5.69</v>
          </cell>
        </row>
        <row r="878">
          <cell r="A878" t="str">
            <v>160704</v>
          </cell>
          <cell r="B878" t="str">
            <v>Fornecimento, preparo e aplicação de concreto armado Fck=15 MPa, inclusive forma, armação e desforma para lajes maciças</v>
          </cell>
          <cell r="C878" t="str">
            <v>m3</v>
          </cell>
          <cell r="D878">
            <v>1</v>
          </cell>
          <cell r="E878">
            <v>2648.84</v>
          </cell>
          <cell r="F878">
            <v>2648.84</v>
          </cell>
        </row>
        <row r="879">
          <cell r="A879" t="str">
            <v>160707</v>
          </cell>
          <cell r="B879" t="str">
            <v>Pintura com tinta látex PVA Suvinil, Coral ou Metalatex, inclusive selador em paredes internas e forros a três demãos</v>
          </cell>
          <cell r="C879" t="str">
            <v>m2</v>
          </cell>
          <cell r="D879">
            <v>1</v>
          </cell>
          <cell r="E879">
            <v>20.72</v>
          </cell>
          <cell r="F879">
            <v>20.72</v>
          </cell>
        </row>
        <row r="880">
          <cell r="A880" t="str">
            <v>160708</v>
          </cell>
          <cell r="B880" t="str">
            <v>Pintura com tinta acrílica Suvinil, Coral ou Metalatex, inclusive selador acrílico, em paredes externas a três demãos</v>
          </cell>
          <cell r="C880" t="str">
            <v>m2</v>
          </cell>
          <cell r="D880">
            <v>1</v>
          </cell>
          <cell r="E880">
            <v>21.09</v>
          </cell>
          <cell r="F880">
            <v>21.09</v>
          </cell>
        </row>
        <row r="881">
          <cell r="A881" t="str">
            <v>160709</v>
          </cell>
          <cell r="B881" t="str">
            <v>Estrado de madeira de lei tipo Paraju ou equivalente conforme detalhe em projeto</v>
          </cell>
          <cell r="C881" t="str">
            <v>m2</v>
          </cell>
          <cell r="D881">
            <v>1</v>
          </cell>
          <cell r="E881">
            <v>1380.18</v>
          </cell>
          <cell r="F881">
            <v>1380.18</v>
          </cell>
        </row>
        <row r="882">
          <cell r="A882" t="str">
            <v>160710</v>
          </cell>
          <cell r="B882" t="str">
            <v>Alvenaria de blocos de concreto 9x19x39 c/ resist. min comp. 2.5MPa, assentado c/ argamassa de cimento, cal hidratada CH1 e areia traço 1:0,5:8, esp.juntas 10mm e esp. paredes, sem revestimento, 9cm</v>
          </cell>
          <cell r="C882" t="str">
            <v>m2</v>
          </cell>
          <cell r="D882">
            <v>1</v>
          </cell>
          <cell r="E882">
            <v>54.08</v>
          </cell>
          <cell r="F882">
            <v>54.08</v>
          </cell>
        </row>
        <row r="883">
          <cell r="A883" t="str">
            <v>160711</v>
          </cell>
          <cell r="B883" t="str">
            <v>Reboco tipo paulista com argamassa de cimento, cal hidratada CH1 e areia no traço 1:0,5:6, espessura 25mm</v>
          </cell>
          <cell r="C883" t="str">
            <v>m2</v>
          </cell>
          <cell r="D883">
            <v>1</v>
          </cell>
          <cell r="E883">
            <v>47.53</v>
          </cell>
          <cell r="F883">
            <v>47.53</v>
          </cell>
        </row>
        <row r="884">
          <cell r="A884" t="str">
            <v>160712</v>
          </cell>
          <cell r="B884" t="str">
            <v>Tela em arame galvanizado de 1"e fio 10 para ventilação de casa de gás, chumbada com argamassa de cimento, cal e areia</v>
          </cell>
          <cell r="C884" t="str">
            <v>m2</v>
          </cell>
          <cell r="D884">
            <v>1</v>
          </cell>
          <cell r="E884">
            <v>233.27</v>
          </cell>
          <cell r="F884">
            <v>233.27</v>
          </cell>
        </row>
        <row r="885">
          <cell r="A885" t="str">
            <v>160713</v>
          </cell>
          <cell r="B885" t="str">
            <v>Porta de correr de chapa galvanizada nº 14 - pintura com esmalte sintetico acetinado sobre zarcão, com tela quebra chama em malha 2 a 5mm</v>
          </cell>
          <cell r="C885" t="str">
            <v>m2</v>
          </cell>
          <cell r="D885">
            <v>1</v>
          </cell>
          <cell r="E885">
            <v>654.09</v>
          </cell>
          <cell r="F885">
            <v>654.09</v>
          </cell>
        </row>
        <row r="886">
          <cell r="A886" t="str">
            <v>160714</v>
          </cell>
          <cell r="B886" t="str">
            <v>Lastro regularizado e impermeabilizado de concreto não estrutural, esp. de 8cm</v>
          </cell>
          <cell r="C886" t="str">
            <v>m2</v>
          </cell>
          <cell r="D886">
            <v>1</v>
          </cell>
          <cell r="E886">
            <v>66.37</v>
          </cell>
          <cell r="F886">
            <v>66.37</v>
          </cell>
        </row>
        <row r="887">
          <cell r="A887" t="str">
            <v>160715</v>
          </cell>
          <cell r="B887" t="str">
            <v>Indice de imperm.c/ manta asfáltica atendendo à norma 9952, asfalto polimerizado esp.3mm, reforçada com fio int. polietileno, reg. base com arg. 1:4 esp min 15mm, proteção mecânica arg. 1:4 esp. 20mm e juntas dilat.</v>
          </cell>
          <cell r="C887" t="str">
            <v>m2</v>
          </cell>
          <cell r="D887">
            <v>1</v>
          </cell>
          <cell r="E887">
            <v>232.27</v>
          </cell>
          <cell r="F887">
            <v>232.27</v>
          </cell>
        </row>
        <row r="888">
          <cell r="A888" t="str">
            <v>160716</v>
          </cell>
          <cell r="B888" t="str">
            <v>Fornecimento, preparo e aplicação de concreto Fck = 15MPa (brita 1 e 2) - (5% de perdas)</v>
          </cell>
          <cell r="C888" t="str">
            <v>m3</v>
          </cell>
          <cell r="D888">
            <v>1</v>
          </cell>
          <cell r="E888">
            <v>546.41999999999996</v>
          </cell>
          <cell r="F888">
            <v>546.41999999999996</v>
          </cell>
        </row>
        <row r="889">
          <cell r="A889" t="str">
            <v>160718</v>
          </cell>
          <cell r="B889" t="str">
            <v>Pintura com tinta esmalte sintético Suvinil, Coral ou Metalatex a duas demãos, inclusive fundo anti corrosivo a uma demão, em metal</v>
          </cell>
          <cell r="C889" t="str">
            <v>m2</v>
          </cell>
          <cell r="D889">
            <v>1</v>
          </cell>
          <cell r="E889">
            <v>20.010000000000002</v>
          </cell>
          <cell r="F889">
            <v>20.010000000000002</v>
          </cell>
        </row>
        <row r="890">
          <cell r="A890" t="str">
            <v>1608</v>
          </cell>
          <cell r="B890" t="str">
            <v>INSTALAÇÕES DE REDE LOGICA</v>
          </cell>
          <cell r="C890"/>
          <cell r="D890"/>
          <cell r="E890"/>
          <cell r="F890"/>
        </row>
        <row r="891">
          <cell r="A891" t="str">
            <v>160806</v>
          </cell>
          <cell r="B891" t="str">
            <v>Espelho 4" x 2" com conector RJ 45 fêmea CAT. 5e</v>
          </cell>
          <cell r="C891" t="str">
            <v>und</v>
          </cell>
          <cell r="D891">
            <v>1</v>
          </cell>
          <cell r="E891">
            <v>36.35</v>
          </cell>
          <cell r="F891">
            <v>36.35</v>
          </cell>
        </row>
        <row r="892">
          <cell r="A892" t="str">
            <v>160807</v>
          </cell>
          <cell r="B892" t="str">
            <v>Conector RJ 45 macho</v>
          </cell>
          <cell r="C892" t="str">
            <v>und</v>
          </cell>
          <cell r="D892">
            <v>1</v>
          </cell>
          <cell r="E892">
            <v>9.76</v>
          </cell>
          <cell r="F892">
            <v>9.76</v>
          </cell>
        </row>
        <row r="893">
          <cell r="A893" t="str">
            <v>160808</v>
          </cell>
          <cell r="B893" t="str">
            <v>Fornecimento e instalação de Cabo de rede par trançado 4 pares Categoria 5e</v>
          </cell>
          <cell r="C893" t="str">
            <v>m</v>
          </cell>
          <cell r="D893">
            <v>1</v>
          </cell>
          <cell r="E893">
            <v>3.73</v>
          </cell>
          <cell r="F893">
            <v>3.73</v>
          </cell>
        </row>
        <row r="894">
          <cell r="A894" t="str">
            <v>17</v>
          </cell>
          <cell r="B894" t="str">
            <v>APARELHOS HIDRO-SANITÁRIOS</v>
          </cell>
          <cell r="C894"/>
          <cell r="D894"/>
          <cell r="E894"/>
          <cell r="F894"/>
        </row>
        <row r="895">
          <cell r="A895" t="str">
            <v>1701</v>
          </cell>
          <cell r="B895" t="str">
            <v>LOUÇAS</v>
          </cell>
          <cell r="C895"/>
          <cell r="D895"/>
          <cell r="E895"/>
          <cell r="F895"/>
        </row>
        <row r="896">
          <cell r="A896" t="str">
            <v>170101</v>
          </cell>
          <cell r="B896" t="str">
            <v>Lavatório de louça branca com coluna, marcas de referência Deca, Celite ou Ideal Standard, inclusive sifão, válvula e engates cromados, exclusive torneira.</v>
          </cell>
          <cell r="C896" t="str">
            <v>und</v>
          </cell>
          <cell r="D896">
            <v>1</v>
          </cell>
          <cell r="E896">
            <v>574.79999999999995</v>
          </cell>
          <cell r="F896">
            <v>574.79999999999995</v>
          </cell>
        </row>
        <row r="897">
          <cell r="A897" t="str">
            <v>170107</v>
          </cell>
          <cell r="B897" t="str">
            <v>Mictório de louça branca, marcas de referência Deca, Celite ou Ideal Standard, inclusive engates cromados</v>
          </cell>
          <cell r="C897" t="str">
            <v>und</v>
          </cell>
          <cell r="D897">
            <v>1</v>
          </cell>
          <cell r="E897">
            <v>588.89</v>
          </cell>
          <cell r="F897">
            <v>588.89</v>
          </cell>
        </row>
        <row r="898">
          <cell r="A898" t="str">
            <v>170110</v>
          </cell>
          <cell r="B898" t="str">
            <v>Cabide de louça branca com 2 ganchos, marcas de referência Deca, Celite ou Ideal Standard</v>
          </cell>
          <cell r="C898" t="str">
            <v>und</v>
          </cell>
          <cell r="D898">
            <v>1</v>
          </cell>
          <cell r="E898">
            <v>70.25</v>
          </cell>
          <cell r="F898">
            <v>70.25</v>
          </cell>
        </row>
        <row r="899">
          <cell r="A899" t="str">
            <v>170114</v>
          </cell>
          <cell r="B899" t="str">
            <v>Bacia sifonada infantil de louça branca, marcas de referência Deca, Celite ou Ideal Standard, inclusive tampa e acessórios</v>
          </cell>
          <cell r="C899" t="str">
            <v>und</v>
          </cell>
          <cell r="D899">
            <v>1</v>
          </cell>
          <cell r="E899">
            <v>696.14</v>
          </cell>
          <cell r="F899">
            <v>696.14</v>
          </cell>
        </row>
        <row r="900">
          <cell r="A900" t="str">
            <v>170115</v>
          </cell>
          <cell r="B900" t="str">
            <v>Cuba louça de embutir redonda, 30cm, L-41, completa, marcas de referência Deca, Celite ou Ideal Standard, incl. válvula e sifão, exclusive torneira</v>
          </cell>
          <cell r="C900" t="str">
            <v>und</v>
          </cell>
          <cell r="D900">
            <v>1</v>
          </cell>
          <cell r="E900">
            <v>338.08</v>
          </cell>
          <cell r="F900">
            <v>338.08</v>
          </cell>
        </row>
        <row r="901">
          <cell r="A901" t="str">
            <v>170116</v>
          </cell>
          <cell r="B901" t="str">
            <v>Vaso sanitário padrão popular completo com acessórios para ligação, marcas de referência Deca, Celite ou Ideal Standard, inclusive assento plástico</v>
          </cell>
          <cell r="C901" t="str">
            <v>und</v>
          </cell>
          <cell r="D901">
            <v>1</v>
          </cell>
          <cell r="E901">
            <v>407.69</v>
          </cell>
          <cell r="F901">
            <v>407.69</v>
          </cell>
        </row>
        <row r="902">
          <cell r="A902" t="str">
            <v>170117</v>
          </cell>
          <cell r="B902" t="str">
            <v>Lavatório de louça branca, padrão popular, marcas de referência Deca, Celite ou Ideal Standard, inclusive acessórios em PVC, exceto torneira</v>
          </cell>
          <cell r="C902" t="str">
            <v>und</v>
          </cell>
          <cell r="D902">
            <v>1</v>
          </cell>
          <cell r="E902">
            <v>251.53</v>
          </cell>
          <cell r="F902">
            <v>251.53</v>
          </cell>
        </row>
        <row r="903">
          <cell r="A903" t="str">
            <v>170119</v>
          </cell>
          <cell r="B903" t="str">
            <v>Cabide de louça branca com um gancho, marcas de referência Deca, Celite ou Ideal Standard</v>
          </cell>
          <cell r="C903" t="str">
            <v>und</v>
          </cell>
          <cell r="D903">
            <v>1</v>
          </cell>
          <cell r="E903">
            <v>58.24</v>
          </cell>
          <cell r="F903">
            <v>58.24</v>
          </cell>
        </row>
        <row r="904">
          <cell r="A904" t="str">
            <v>170120</v>
          </cell>
          <cell r="B904" t="str">
            <v>Lavatório com coluna padrão popular, marcas de referência Deca, Celite ou Ideal Standard, inclusive acessórios em PVC, exceto aparelho misturador</v>
          </cell>
          <cell r="C904" t="str">
            <v>und</v>
          </cell>
          <cell r="D904">
            <v>1</v>
          </cell>
          <cell r="E904">
            <v>331.73</v>
          </cell>
          <cell r="F904">
            <v>331.73</v>
          </cell>
        </row>
        <row r="905">
          <cell r="A905" t="str">
            <v>170121</v>
          </cell>
          <cell r="B905" t="str">
            <v>Recolocação de vaso sanitário, inclusive fornecimento de acessórios (parafusos de fixação anel de vedação, bolsa e tubo de ligação, etc), exclusive fornecimento do vaso e tampa</v>
          </cell>
          <cell r="C905" t="str">
            <v>und</v>
          </cell>
          <cell r="D905">
            <v>1</v>
          </cell>
          <cell r="E905">
            <v>218.57</v>
          </cell>
          <cell r="F905">
            <v>218.57</v>
          </cell>
        </row>
        <row r="906">
          <cell r="A906" t="str">
            <v>170122</v>
          </cell>
          <cell r="B906" t="str">
            <v>Recolocação de lavatório sanitário, com acessórios em metal (engate, sifão, válvula), exclusive fornecimento do mesmo</v>
          </cell>
          <cell r="C906" t="str">
            <v>und</v>
          </cell>
          <cell r="D906">
            <v>1</v>
          </cell>
          <cell r="E906">
            <v>359.26</v>
          </cell>
          <cell r="F906">
            <v>359.26</v>
          </cell>
        </row>
        <row r="907">
          <cell r="A907" t="str">
            <v>170123</v>
          </cell>
          <cell r="B907" t="str">
            <v>Recolocação de lavatório sanitário, com acessórios em PVC (engate, sifão e válvula), exclusive fornecimento do mesmo</v>
          </cell>
          <cell r="C907" t="str">
            <v>und</v>
          </cell>
          <cell r="D907">
            <v>1</v>
          </cell>
          <cell r="E907">
            <v>139.87</v>
          </cell>
          <cell r="F907">
            <v>139.87</v>
          </cell>
        </row>
        <row r="908">
          <cell r="A908" t="str">
            <v>170124</v>
          </cell>
          <cell r="B908" t="str">
            <v>Lavatório de Canto ref. L101 DECA ou equivalente, inclusive válvula, sifão e engates cromados, exclusive torneira</v>
          </cell>
          <cell r="C908" t="str">
            <v>und</v>
          </cell>
          <cell r="D908">
            <v>1</v>
          </cell>
          <cell r="E908">
            <v>539.88</v>
          </cell>
          <cell r="F908">
            <v>539.88</v>
          </cell>
        </row>
        <row r="909">
          <cell r="A909" t="str">
            <v>170126</v>
          </cell>
          <cell r="B909" t="str">
            <v>Bacia sifonada de louça branca sem abertura frontal para portadores de necessidades especiais, Vogue Plus Conforto - Linha Conforto, mod P510, incl. assento poliester, ref.AP51,marca de ref. Deca ou equivalente, sem abertura frontal</v>
          </cell>
          <cell r="C909" t="str">
            <v>und</v>
          </cell>
          <cell r="D909">
            <v>1</v>
          </cell>
          <cell r="E909">
            <v>2126.41</v>
          </cell>
          <cell r="F909">
            <v>2126.41</v>
          </cell>
        </row>
        <row r="910">
          <cell r="A910" t="str">
            <v>170128</v>
          </cell>
          <cell r="B910" t="str">
            <v>Lavatório de louça branca com coluna suspensa, linha Vogue Plus Confort para portadores de necessidades especiais, marca de referencia DECA, Celite ou Ideal Standart, inclusive valvula, sifão e engates, exclusive torneira</v>
          </cell>
          <cell r="C910" t="str">
            <v>und</v>
          </cell>
          <cell r="D910">
            <v>1</v>
          </cell>
          <cell r="E910">
            <v>940.54</v>
          </cell>
          <cell r="F910">
            <v>940.54</v>
          </cell>
        </row>
        <row r="911">
          <cell r="A911" t="str">
            <v>170129</v>
          </cell>
          <cell r="B911" t="str">
            <v>Bacia sifonada de louça branca com caixa acoplada, inclusive acessórios</v>
          </cell>
          <cell r="C911" t="str">
            <v>und</v>
          </cell>
          <cell r="D911">
            <v>1</v>
          </cell>
          <cell r="E911">
            <v>559.05999999999995</v>
          </cell>
          <cell r="F911">
            <v>559.05999999999995</v>
          </cell>
        </row>
        <row r="912">
          <cell r="A912" t="str">
            <v>170130</v>
          </cell>
          <cell r="B912" t="str">
            <v>Lavatório de louça branca com coluna, Ravena L91 + C9 inclusive sifão, válvula e engates cromados, exclusive torneira</v>
          </cell>
          <cell r="C912" t="str">
            <v>und</v>
          </cell>
          <cell r="D912">
            <v>1</v>
          </cell>
          <cell r="E912">
            <v>668.06</v>
          </cell>
          <cell r="F912">
            <v>668.06</v>
          </cell>
        </row>
        <row r="913">
          <cell r="A913" t="str">
            <v>170131</v>
          </cell>
          <cell r="B913" t="str">
            <v>Lavatório de louça branca com coluna suspensa - ref L51 + CS 1v, cor branca, inclusive sifão, válvula e engates cromados, exclusive torneira, para PNE</v>
          </cell>
          <cell r="C913" t="str">
            <v>und</v>
          </cell>
          <cell r="D913">
            <v>1</v>
          </cell>
          <cell r="E913">
            <v>940.58</v>
          </cell>
          <cell r="F913">
            <v>940.58</v>
          </cell>
        </row>
        <row r="914">
          <cell r="A914" t="str">
            <v>170132</v>
          </cell>
          <cell r="B914" t="str">
            <v>Lavátorio de canto Coleção Master - ref. L76 marca de ref. Deca ou equivalente, inclusive válvula, sifão e engates cromados, exclusive torneira,para PNE</v>
          </cell>
          <cell r="C914" t="str">
            <v>und</v>
          </cell>
          <cell r="D914">
            <v>1</v>
          </cell>
          <cell r="E914">
            <v>1646.85</v>
          </cell>
          <cell r="F914">
            <v>1646.85</v>
          </cell>
        </row>
        <row r="915">
          <cell r="A915" t="str">
            <v>170133</v>
          </cell>
          <cell r="B915" t="str">
            <v>Cuba louça branca oval, de embutir, Mod. L37, marca de ref. Deca incl. válvula e sifão, exclusive torneira.</v>
          </cell>
          <cell r="C915" t="str">
            <v>und</v>
          </cell>
          <cell r="D915">
            <v>1</v>
          </cell>
          <cell r="E915">
            <v>347.14</v>
          </cell>
          <cell r="F915">
            <v>347.14</v>
          </cell>
        </row>
        <row r="916">
          <cell r="A916" t="str">
            <v>170134</v>
          </cell>
          <cell r="B916" t="str">
            <v>Bacia convencional em louça branca ref. Linha Ravena P9 Deca ou equiv., inclusive tubo de ligação, acessórios de fixação e assento plástico</v>
          </cell>
          <cell r="C916" t="str">
            <v>und</v>
          </cell>
          <cell r="D916">
            <v>1</v>
          </cell>
          <cell r="E916">
            <v>551.95000000000005</v>
          </cell>
          <cell r="F916">
            <v>551.95000000000005</v>
          </cell>
        </row>
        <row r="917">
          <cell r="A917" t="str">
            <v>170135</v>
          </cell>
          <cell r="B917" t="str">
            <v>Bacia sifonada de louça branca para portadores de necessidades especiais, Vogue Plus Conforto - Linha Conforto, mod P51, incl. assento com abertura frontal, ref.AP52,marca de ref. Deca ou equivalente</v>
          </cell>
          <cell r="C917" t="str">
            <v>und</v>
          </cell>
          <cell r="D917">
            <v>1</v>
          </cell>
          <cell r="E917">
            <v>2196.1</v>
          </cell>
          <cell r="F917">
            <v>2196.1</v>
          </cell>
        </row>
        <row r="918">
          <cell r="A918" t="str">
            <v>170136</v>
          </cell>
          <cell r="B918" t="str">
            <v>Bacia sanitária de louça branca, com caixa acoplada duplo acionamento, marca de ref. Deca Linha Ravena ou equivalente, inclusive assento plástico e acessórios de fixação</v>
          </cell>
          <cell r="C918" t="str">
            <v>und</v>
          </cell>
          <cell r="D918">
            <v>1</v>
          </cell>
          <cell r="E918">
            <v>958.83</v>
          </cell>
          <cell r="F918">
            <v>958.83</v>
          </cell>
        </row>
        <row r="919">
          <cell r="A919" t="str">
            <v>1702</v>
          </cell>
          <cell r="B919" t="str">
            <v>BANCADAS</v>
          </cell>
          <cell r="C919"/>
          <cell r="D919"/>
          <cell r="E919"/>
          <cell r="F919"/>
        </row>
        <row r="920">
          <cell r="A920" t="str">
            <v>170205</v>
          </cell>
          <cell r="B920" t="str">
            <v>Bancada de mármore esp. 3cm</v>
          </cell>
          <cell r="C920" t="str">
            <v>m2</v>
          </cell>
          <cell r="D920">
            <v>1</v>
          </cell>
          <cell r="E920">
            <v>448.59</v>
          </cell>
          <cell r="F920">
            <v>448.59</v>
          </cell>
        </row>
        <row r="921">
          <cell r="A921" t="str">
            <v>170220</v>
          </cell>
          <cell r="B921" t="str">
            <v>Bancada de granito com espessura de 2 cm</v>
          </cell>
          <cell r="C921" t="str">
            <v>m2</v>
          </cell>
          <cell r="D921">
            <v>1</v>
          </cell>
          <cell r="E921">
            <v>364.71</v>
          </cell>
          <cell r="F921">
            <v>364.71</v>
          </cell>
        </row>
        <row r="922">
          <cell r="A922" t="str">
            <v>170221</v>
          </cell>
          <cell r="B922" t="str">
            <v>Laje armada espessura de 3cm p/ enchimento de fundo de bancada inox</v>
          </cell>
          <cell r="C922" t="str">
            <v>m2</v>
          </cell>
          <cell r="D922">
            <v>1</v>
          </cell>
          <cell r="E922">
            <v>23.61</v>
          </cell>
          <cell r="F922">
            <v>23.61</v>
          </cell>
        </row>
        <row r="923">
          <cell r="A923" t="str">
            <v>170222</v>
          </cell>
          <cell r="B923" t="str">
            <v>Bancada e tanque para panelões em granito cinza andorinha, esp. 2cm, dim. 0.80x1.10m, base de concreto e apoio em alvenaria, frontão h=10cm, incl. válvula e sifão, exclusive torneira, conf. det. projeto</v>
          </cell>
          <cell r="C923" t="str">
            <v>und</v>
          </cell>
          <cell r="D923">
            <v>1</v>
          </cell>
          <cell r="E923">
            <v>1798.91</v>
          </cell>
          <cell r="F923">
            <v>1798.91</v>
          </cell>
        </row>
        <row r="924">
          <cell r="A924" t="str">
            <v>1703</v>
          </cell>
          <cell r="B924" t="str">
            <v>TORNEIRAS, REGISTROS, VÁLVULAS E METAIS</v>
          </cell>
          <cell r="C924"/>
          <cell r="D924"/>
          <cell r="E924"/>
          <cell r="F924"/>
        </row>
        <row r="925">
          <cell r="A925" t="str">
            <v>170304</v>
          </cell>
          <cell r="B925" t="str">
            <v>Torneira pressão cromada diâm. 1/2" para lavatório, marcas de referência Fabrimar, Deca ou Docol</v>
          </cell>
          <cell r="C925" t="str">
            <v>und</v>
          </cell>
          <cell r="D925">
            <v>1</v>
          </cell>
          <cell r="E925">
            <v>190.89</v>
          </cell>
          <cell r="F925">
            <v>190.89</v>
          </cell>
        </row>
        <row r="926">
          <cell r="A926" t="str">
            <v>170306</v>
          </cell>
          <cell r="B926" t="str">
            <v>Torneira para tanque, marcas de referência Fabrimar, Deca ou Docol.</v>
          </cell>
          <cell r="C926" t="str">
            <v>und</v>
          </cell>
          <cell r="D926">
            <v>1</v>
          </cell>
          <cell r="E926">
            <v>131.72</v>
          </cell>
          <cell r="F926">
            <v>131.72</v>
          </cell>
        </row>
        <row r="927">
          <cell r="A927" t="str">
            <v>170309</v>
          </cell>
          <cell r="B927" t="str">
            <v>Torneira para jardim de 3/4" marcas de referência Fabrimar, Deca ou Docol</v>
          </cell>
          <cell r="C927" t="str">
            <v>und</v>
          </cell>
          <cell r="D927">
            <v>1</v>
          </cell>
          <cell r="E927">
            <v>103.8</v>
          </cell>
          <cell r="F927">
            <v>103.8</v>
          </cell>
        </row>
        <row r="928">
          <cell r="A928" t="str">
            <v>170310</v>
          </cell>
          <cell r="B928" t="str">
            <v>Torneira pressão cromada diam. 3/4" para uso geral, marcas de referência Fabrimar, Deca ou Docol</v>
          </cell>
          <cell r="C928" t="str">
            <v>und</v>
          </cell>
          <cell r="D928">
            <v>1</v>
          </cell>
          <cell r="E928">
            <v>152.61000000000001</v>
          </cell>
          <cell r="F928">
            <v>152.61000000000001</v>
          </cell>
        </row>
        <row r="929">
          <cell r="A929" t="str">
            <v>170311</v>
          </cell>
          <cell r="B929" t="str">
            <v>Torneira pressão em PVC para pia diam. 1/2", marcas de referência Astra, Cipla ou Akros</v>
          </cell>
          <cell r="C929" t="str">
            <v>und</v>
          </cell>
          <cell r="D929">
            <v>1</v>
          </cell>
          <cell r="E929">
            <v>57.04</v>
          </cell>
          <cell r="F929">
            <v>57.04</v>
          </cell>
        </row>
        <row r="930">
          <cell r="A930" t="str">
            <v>170313</v>
          </cell>
          <cell r="B930" t="str">
            <v>Torneira pressão cromada, diam. 1/2" para tanque, marcas de referência Fabrimar, Deca ou Docol</v>
          </cell>
          <cell r="C930" t="str">
            <v>und</v>
          </cell>
          <cell r="D930">
            <v>1</v>
          </cell>
          <cell r="E930">
            <v>131.72</v>
          </cell>
          <cell r="F930">
            <v>131.72</v>
          </cell>
        </row>
        <row r="931">
          <cell r="A931" t="str">
            <v>170315</v>
          </cell>
          <cell r="B931" t="str">
            <v>Torneira pressão cromada diam. 1/2" para pia, marcas de referência Fabrimar, Deca ou Docol</v>
          </cell>
          <cell r="C931" t="str">
            <v>und</v>
          </cell>
          <cell r="D931">
            <v>1</v>
          </cell>
          <cell r="E931">
            <v>200.22</v>
          </cell>
          <cell r="F931">
            <v>200.22</v>
          </cell>
        </row>
        <row r="932">
          <cell r="A932" t="str">
            <v>170316</v>
          </cell>
          <cell r="B932" t="str">
            <v>Registro de pressão com canopla cromada diam. 15mm (1/2"), marcas de referência Fabrimar, Deca ou Docol</v>
          </cell>
          <cell r="C932" t="str">
            <v>und</v>
          </cell>
          <cell r="D932">
            <v>1</v>
          </cell>
          <cell r="E932">
            <v>112.14</v>
          </cell>
          <cell r="F932">
            <v>112.14</v>
          </cell>
        </row>
        <row r="933">
          <cell r="A933" t="str">
            <v>170317</v>
          </cell>
          <cell r="B933" t="str">
            <v>Registro de pressão com canopla cromada diam. 20mm (3/4"), marcas de referência Fabrimar, Deca ou Docol</v>
          </cell>
          <cell r="C933" t="str">
            <v>und</v>
          </cell>
          <cell r="D933">
            <v>1</v>
          </cell>
          <cell r="E933">
            <v>116.3</v>
          </cell>
          <cell r="F933">
            <v>116.3</v>
          </cell>
        </row>
        <row r="934">
          <cell r="A934" t="str">
            <v>170318</v>
          </cell>
          <cell r="B934" t="str">
            <v>Registro de pressão bruto, diam. 15mm (1/2")</v>
          </cell>
          <cell r="C934" t="str">
            <v>und</v>
          </cell>
          <cell r="D934">
            <v>1</v>
          </cell>
          <cell r="E934">
            <v>70.400000000000006</v>
          </cell>
          <cell r="F934">
            <v>70.400000000000006</v>
          </cell>
        </row>
        <row r="935">
          <cell r="A935" t="str">
            <v>170319</v>
          </cell>
          <cell r="B935" t="str">
            <v>Registro de gaveta bruto diam. 15mm (1/2")</v>
          </cell>
          <cell r="C935" t="str">
            <v>und</v>
          </cell>
          <cell r="D935">
            <v>1</v>
          </cell>
          <cell r="E935">
            <v>51.45</v>
          </cell>
          <cell r="F935">
            <v>51.45</v>
          </cell>
        </row>
        <row r="936">
          <cell r="A936" t="str">
            <v>170320</v>
          </cell>
          <cell r="B936" t="str">
            <v>Registro de gaveta bruto diam. 20mm (3/4")</v>
          </cell>
          <cell r="C936" t="str">
            <v>und</v>
          </cell>
          <cell r="D936">
            <v>1</v>
          </cell>
          <cell r="E936">
            <v>59.81</v>
          </cell>
          <cell r="F936">
            <v>59.81</v>
          </cell>
        </row>
        <row r="937">
          <cell r="A937" t="str">
            <v>170321</v>
          </cell>
          <cell r="B937" t="str">
            <v>Registro de gaveta bruto diam. 25mm (1")</v>
          </cell>
          <cell r="C937" t="str">
            <v>und</v>
          </cell>
          <cell r="D937">
            <v>1</v>
          </cell>
          <cell r="E937">
            <v>76</v>
          </cell>
          <cell r="F937">
            <v>76</v>
          </cell>
        </row>
        <row r="938">
          <cell r="A938" t="str">
            <v>170322</v>
          </cell>
          <cell r="B938" t="str">
            <v>Registro de gaveta bruto diam. 32mm (11/4")</v>
          </cell>
          <cell r="C938" t="str">
            <v>und</v>
          </cell>
          <cell r="D938">
            <v>1</v>
          </cell>
          <cell r="E938">
            <v>97.62</v>
          </cell>
          <cell r="F938">
            <v>97.62</v>
          </cell>
        </row>
        <row r="939">
          <cell r="A939" t="str">
            <v>170323</v>
          </cell>
          <cell r="B939" t="str">
            <v>Registro de gaveta bruto diam. 40mm (11/2")</v>
          </cell>
          <cell r="C939" t="str">
            <v>und</v>
          </cell>
          <cell r="D939">
            <v>1</v>
          </cell>
          <cell r="E939">
            <v>119.16</v>
          </cell>
          <cell r="F939">
            <v>119.16</v>
          </cell>
        </row>
        <row r="940">
          <cell r="A940" t="str">
            <v>170324</v>
          </cell>
          <cell r="B940" t="str">
            <v>Registro de gaveta bruto diam. 50mm (2")</v>
          </cell>
          <cell r="C940" t="str">
            <v>und</v>
          </cell>
          <cell r="D940">
            <v>1</v>
          </cell>
          <cell r="E940">
            <v>184.18</v>
          </cell>
          <cell r="F940">
            <v>184.18</v>
          </cell>
        </row>
        <row r="941">
          <cell r="A941" t="str">
            <v>170325</v>
          </cell>
          <cell r="B941" t="str">
            <v>Registro de gaveta bruto diam. 65mm (21/2")</v>
          </cell>
          <cell r="C941" t="str">
            <v>und</v>
          </cell>
          <cell r="D941">
            <v>1</v>
          </cell>
          <cell r="E941">
            <v>406.81</v>
          </cell>
          <cell r="F941">
            <v>406.81</v>
          </cell>
        </row>
        <row r="942">
          <cell r="A942" t="str">
            <v>170326</v>
          </cell>
          <cell r="B942" t="str">
            <v>Registro de gaveta bruto diam. 80mm (3")</v>
          </cell>
          <cell r="C942" t="str">
            <v>und</v>
          </cell>
          <cell r="D942">
            <v>1</v>
          </cell>
          <cell r="E942">
            <v>496.44</v>
          </cell>
          <cell r="F942">
            <v>496.44</v>
          </cell>
        </row>
        <row r="943">
          <cell r="A943" t="str">
            <v>170327</v>
          </cell>
          <cell r="B943" t="str">
            <v>Registro de gaveta com canopla cromada diam. 15mm (1/2"), marcas de referência Fabrimar, Deca ou Docol</v>
          </cell>
          <cell r="C943" t="str">
            <v>und</v>
          </cell>
          <cell r="D943">
            <v>1</v>
          </cell>
          <cell r="E943">
            <v>123.97</v>
          </cell>
          <cell r="F943">
            <v>123.97</v>
          </cell>
        </row>
        <row r="944">
          <cell r="A944" t="str">
            <v>170328</v>
          </cell>
          <cell r="B944" t="str">
            <v>Registro de gaveta com canopla cromada, diam. 20mm (3/4"), marcas de referência Fabrimar, Deca ou Docol</v>
          </cell>
          <cell r="C944" t="str">
            <v>und</v>
          </cell>
          <cell r="D944">
            <v>1</v>
          </cell>
          <cell r="E944">
            <v>124.84</v>
          </cell>
          <cell r="F944">
            <v>124.84</v>
          </cell>
        </row>
        <row r="945">
          <cell r="A945" t="str">
            <v>170329</v>
          </cell>
          <cell r="B945" t="str">
            <v>Registro de gaveta com canopla cromada diam. 25mm (1"), marcas de referência Fabrimar, Deca ou Docol</v>
          </cell>
          <cell r="C945" t="str">
            <v>und</v>
          </cell>
          <cell r="D945">
            <v>1</v>
          </cell>
          <cell r="E945">
            <v>166.26</v>
          </cell>
          <cell r="F945">
            <v>166.26</v>
          </cell>
        </row>
        <row r="946">
          <cell r="A946" t="str">
            <v>170330</v>
          </cell>
          <cell r="B946" t="str">
            <v>Registro de gaveta com canopla cromada diam 32mm (11/4"), marcas de referência Fabrimar, Deca ou Docol</v>
          </cell>
          <cell r="C946" t="str">
            <v>und</v>
          </cell>
          <cell r="D946">
            <v>1</v>
          </cell>
          <cell r="E946">
            <v>225.28</v>
          </cell>
          <cell r="F946">
            <v>225.28</v>
          </cell>
        </row>
        <row r="947">
          <cell r="A947" t="str">
            <v>170331</v>
          </cell>
          <cell r="B947" t="str">
            <v>Registro de gaveta com canopla cromada, diam. 40mm (11/2"), marcas de referência Fabrimar, Deca ou Docol</v>
          </cell>
          <cell r="C947" t="str">
            <v>und</v>
          </cell>
          <cell r="D947">
            <v>1</v>
          </cell>
          <cell r="E947">
            <v>237.21</v>
          </cell>
          <cell r="F947">
            <v>237.21</v>
          </cell>
        </row>
        <row r="948">
          <cell r="A948" t="str">
            <v>170332</v>
          </cell>
          <cell r="B948" t="str">
            <v>Válvula de retenção horizontal ou vertical diam. 15mm (1/2")</v>
          </cell>
          <cell r="C948" t="str">
            <v>und</v>
          </cell>
          <cell r="D948">
            <v>1</v>
          </cell>
          <cell r="E948">
            <v>83.09</v>
          </cell>
          <cell r="F948">
            <v>83.09</v>
          </cell>
        </row>
        <row r="949">
          <cell r="A949" t="str">
            <v>170333</v>
          </cell>
          <cell r="B949" t="str">
            <v>Válvula de retenção horizontal ou vertical diam. 20mm (3/4")</v>
          </cell>
          <cell r="C949" t="str">
            <v>und</v>
          </cell>
          <cell r="D949">
            <v>1</v>
          </cell>
          <cell r="E949">
            <v>97.24</v>
          </cell>
          <cell r="F949">
            <v>97.24</v>
          </cell>
        </row>
        <row r="950">
          <cell r="A950" t="str">
            <v>170334</v>
          </cell>
          <cell r="B950" t="str">
            <v>Válvula de retenção horizontal ou vertical diam. 25mm (1")</v>
          </cell>
          <cell r="C950" t="str">
            <v>und</v>
          </cell>
          <cell r="D950">
            <v>1</v>
          </cell>
          <cell r="E950">
            <v>110.64</v>
          </cell>
          <cell r="F950">
            <v>110.64</v>
          </cell>
        </row>
        <row r="951">
          <cell r="A951" t="str">
            <v>170335</v>
          </cell>
          <cell r="B951" t="str">
            <v>Válvula de retenção horizontal ou vertical, diam. 32mm (11/4")</v>
          </cell>
          <cell r="C951" t="str">
            <v>und</v>
          </cell>
          <cell r="D951">
            <v>1</v>
          </cell>
          <cell r="E951">
            <v>154.99</v>
          </cell>
          <cell r="F951">
            <v>154.99</v>
          </cell>
        </row>
        <row r="952">
          <cell r="A952" t="str">
            <v>170336</v>
          </cell>
          <cell r="B952" t="str">
            <v>Válvula de retenção horizontal ou vertical diam. 40mm (11/2")</v>
          </cell>
          <cell r="C952" t="str">
            <v>und</v>
          </cell>
          <cell r="D952">
            <v>1</v>
          </cell>
          <cell r="E952">
            <v>174.35</v>
          </cell>
          <cell r="F952">
            <v>174.35</v>
          </cell>
        </row>
        <row r="953">
          <cell r="A953" t="str">
            <v>170337</v>
          </cell>
          <cell r="B953" t="str">
            <v>Válvula de retenção horizontal ou vertical diam. 50mm (2")</v>
          </cell>
          <cell r="C953" t="str">
            <v>und</v>
          </cell>
          <cell r="D953">
            <v>1</v>
          </cell>
          <cell r="E953">
            <v>280.10000000000002</v>
          </cell>
          <cell r="F953">
            <v>280.10000000000002</v>
          </cell>
        </row>
        <row r="954">
          <cell r="A954" t="str">
            <v>170338</v>
          </cell>
          <cell r="B954" t="str">
            <v>Válvula de retenção horizontal ou vertical diam. 65mm (21/2")</v>
          </cell>
          <cell r="C954" t="str">
            <v>und</v>
          </cell>
          <cell r="D954">
            <v>1</v>
          </cell>
          <cell r="E954">
            <v>471.17</v>
          </cell>
          <cell r="F954">
            <v>471.17</v>
          </cell>
        </row>
        <row r="955">
          <cell r="A955" t="str">
            <v>170339</v>
          </cell>
          <cell r="B955" t="str">
            <v>Válvula de retenção horizontal ou vertical, diam. 80mm (3")</v>
          </cell>
          <cell r="C955" t="str">
            <v>und</v>
          </cell>
          <cell r="D955">
            <v>1</v>
          </cell>
          <cell r="E955">
            <v>611.11</v>
          </cell>
          <cell r="F955">
            <v>611.11</v>
          </cell>
        </row>
        <row r="956">
          <cell r="A956" t="str">
            <v>170345</v>
          </cell>
          <cell r="B956" t="str">
            <v>Válvula de descarga com canopla cromada de 32mm (11/4"), marcas de referência Fabrimar, Deca ou Docol</v>
          </cell>
          <cell r="C956" t="str">
            <v>und</v>
          </cell>
          <cell r="D956">
            <v>1</v>
          </cell>
          <cell r="E956">
            <v>355.21</v>
          </cell>
          <cell r="F956">
            <v>355.21</v>
          </cell>
        </row>
        <row r="957">
          <cell r="A957" t="str">
            <v>170346</v>
          </cell>
          <cell r="B957" t="str">
            <v>Válvula de descarga com canopla cromada de 40mm (11/2"), marcas de referência Fabrimar, Deca ou Docol</v>
          </cell>
          <cell r="C957" t="str">
            <v>und</v>
          </cell>
          <cell r="D957">
            <v>1</v>
          </cell>
          <cell r="E957">
            <v>384.17</v>
          </cell>
          <cell r="F957">
            <v>384.17</v>
          </cell>
        </row>
        <row r="958">
          <cell r="A958" t="str">
            <v>170347</v>
          </cell>
          <cell r="B958" t="str">
            <v>Válvula de PVC para lavatório, marcas de referência Astra, Cipla ou Akros</v>
          </cell>
          <cell r="C958" t="str">
            <v>und</v>
          </cell>
          <cell r="D958">
            <v>1</v>
          </cell>
          <cell r="E958">
            <v>9.32</v>
          </cell>
          <cell r="F958">
            <v>9.32</v>
          </cell>
        </row>
        <row r="959">
          <cell r="A959" t="str">
            <v>170348</v>
          </cell>
          <cell r="B959" t="str">
            <v>Válvula de PVC para tanque, marcas de referência Astra, Cipla ou Akros</v>
          </cell>
          <cell r="C959" t="str">
            <v>und</v>
          </cell>
          <cell r="D959">
            <v>1</v>
          </cell>
          <cell r="E959">
            <v>10.98</v>
          </cell>
          <cell r="F959">
            <v>10.98</v>
          </cell>
        </row>
        <row r="960">
          <cell r="A960" t="str">
            <v>170349</v>
          </cell>
          <cell r="B960" t="str">
            <v>Canopla para válvula de descarga, marcas de referência Fabrimar, Deca ou Docol</v>
          </cell>
          <cell r="C960" t="str">
            <v>und</v>
          </cell>
          <cell r="D960">
            <v>1</v>
          </cell>
          <cell r="E960">
            <v>96.03</v>
          </cell>
          <cell r="F960">
            <v>96.03</v>
          </cell>
        </row>
        <row r="961">
          <cell r="A961" t="str">
            <v>170350</v>
          </cell>
          <cell r="B961" t="str">
            <v>Parafuso de fixação para lavatório ou vaso, inclusive colocação</v>
          </cell>
          <cell r="C961" t="str">
            <v>und</v>
          </cell>
          <cell r="D961">
            <v>1</v>
          </cell>
          <cell r="E961">
            <v>24.85</v>
          </cell>
          <cell r="F961">
            <v>24.85</v>
          </cell>
        </row>
        <row r="962">
          <cell r="A962" t="str">
            <v>170351</v>
          </cell>
          <cell r="B962" t="str">
            <v>Torneira de parede cromada, marcas de referência Fabrimar (linha prática, ref.1157) , Deca ou Docol</v>
          </cell>
          <cell r="C962" t="str">
            <v>und</v>
          </cell>
          <cell r="D962">
            <v>1</v>
          </cell>
          <cell r="E962">
            <v>320.98</v>
          </cell>
          <cell r="F962">
            <v>320.98</v>
          </cell>
        </row>
        <row r="963">
          <cell r="A963" t="str">
            <v>170352</v>
          </cell>
          <cell r="B963" t="str">
            <v>Válvula de Descarga com acabamento anti-vandalismo, marcas de referência Fabrimar, Deca ou Docol</v>
          </cell>
          <cell r="C963" t="str">
            <v>und</v>
          </cell>
          <cell r="D963">
            <v>1</v>
          </cell>
          <cell r="E963">
            <v>551.70000000000005</v>
          </cell>
          <cell r="F963">
            <v>551.70000000000005</v>
          </cell>
        </row>
        <row r="964">
          <cell r="A964" t="str">
            <v>170353</v>
          </cell>
          <cell r="B964" t="str">
            <v>Torneira para lavatório linha anti-vandalismo, marcas de referência Fabrimar, Deca ou Docol</v>
          </cell>
          <cell r="C964" t="str">
            <v>und</v>
          </cell>
          <cell r="D964">
            <v>1</v>
          </cell>
          <cell r="E964">
            <v>856.92</v>
          </cell>
          <cell r="F964">
            <v>856.92</v>
          </cell>
        </row>
        <row r="965">
          <cell r="A965" t="str">
            <v>170354</v>
          </cell>
          <cell r="B965" t="str">
            <v>Chuveiro completo, linha anti-vandalismo, marcas de referência Fabrimar, Deca ou Docol</v>
          </cell>
          <cell r="C965" t="str">
            <v>und</v>
          </cell>
          <cell r="D965">
            <v>1</v>
          </cell>
          <cell r="E965">
            <v>811.94</v>
          </cell>
          <cell r="F965">
            <v>811.94</v>
          </cell>
        </row>
        <row r="966">
          <cell r="A966" t="str">
            <v>170357</v>
          </cell>
          <cell r="B966" t="str">
            <v>Chuveiro com desviador flexivel e ducha manual, mod. 1975C ref. Deca ou equivalente</v>
          </cell>
          <cell r="C966" t="str">
            <v>und</v>
          </cell>
          <cell r="D966">
            <v>1</v>
          </cell>
          <cell r="E966">
            <v>883.99</v>
          </cell>
          <cell r="F966">
            <v>883.99</v>
          </cell>
        </row>
        <row r="967">
          <cell r="A967" t="str">
            <v>1705</v>
          </cell>
          <cell r="B967" t="str">
            <v>OUTROS APARELHOS</v>
          </cell>
          <cell r="C967"/>
          <cell r="D967"/>
          <cell r="E967"/>
          <cell r="F967"/>
        </row>
        <row r="968">
          <cell r="A968" t="str">
            <v>170502</v>
          </cell>
          <cell r="B968" t="str">
            <v>Caixa de descarga plástica de sobrepor 6/9 litros, ref. ASTRA, AKROS ou equivalente</v>
          </cell>
          <cell r="C968" t="str">
            <v>und</v>
          </cell>
          <cell r="D968">
            <v>1</v>
          </cell>
          <cell r="E968">
            <v>170.7</v>
          </cell>
          <cell r="F968">
            <v>170.7</v>
          </cell>
        </row>
        <row r="969">
          <cell r="A969" t="str">
            <v>170506</v>
          </cell>
          <cell r="B969" t="str">
            <v>Reservatório de polietileno de 500 L, inclusive adaptadores com flanges de PVC e torneira de bóia de 3/4"</v>
          </cell>
          <cell r="C969" t="str">
            <v>und</v>
          </cell>
          <cell r="D969">
            <v>1</v>
          </cell>
          <cell r="E969">
            <v>614.11</v>
          </cell>
          <cell r="F969">
            <v>614.11</v>
          </cell>
        </row>
        <row r="970">
          <cell r="A970" t="str">
            <v>170507</v>
          </cell>
          <cell r="B970" t="str">
            <v>Lavatório de aço inox, liga AISI 304, N° 18, marcas de referência Fisher, Metalpress ou Mekal, inclusive apoio de concreto, argamassa de apoio e assentamento, válvula e sifão cromados, exclusive torneira, conf. projeto</v>
          </cell>
          <cell r="C970" t="str">
            <v>m</v>
          </cell>
          <cell r="D970">
            <v>1</v>
          </cell>
          <cell r="E970">
            <v>1442.45</v>
          </cell>
          <cell r="F970">
            <v>1442.45</v>
          </cell>
        </row>
        <row r="971">
          <cell r="A971" t="str">
            <v>170508</v>
          </cell>
          <cell r="B971" t="str">
            <v>Escovário de aço inox, liga AISI 304, N° 18, marcas de referência Fischer, Metalpress ou Mekal, inclusive apoio de concreto, argamassa de apoio e assentamento, válvula e sifão cromados, exclusive torneira, conf. projeto</v>
          </cell>
          <cell r="C971" t="str">
            <v>m</v>
          </cell>
          <cell r="D971">
            <v>1</v>
          </cell>
          <cell r="E971">
            <v>1442.45</v>
          </cell>
          <cell r="F971">
            <v>1442.45</v>
          </cell>
        </row>
        <row r="972">
          <cell r="A972" t="str">
            <v>170509</v>
          </cell>
          <cell r="B972" t="str">
            <v>Tanque de aço inox nº 2, marcas de referência Fisher, Metalpress ou Mekal, inclusive válvula de metal e sifão</v>
          </cell>
          <cell r="C972" t="str">
            <v>und</v>
          </cell>
          <cell r="D972">
            <v>1</v>
          </cell>
          <cell r="E972">
            <v>2149.96</v>
          </cell>
          <cell r="F972">
            <v>2149.96</v>
          </cell>
        </row>
        <row r="973">
          <cell r="A973" t="str">
            <v>170510</v>
          </cell>
          <cell r="B973" t="str">
            <v>Bebedouro de aço inox, marcas de referência Fisher, Metalpress ou Mekal, inclusive válvula, sifão cromado e torneiras, exclusive alvenaria, dim. 0.45x2.75 m, conforme detalhe em projeto</v>
          </cell>
          <cell r="C973" t="str">
            <v>und</v>
          </cell>
          <cell r="D973">
            <v>1</v>
          </cell>
          <cell r="E973">
            <v>4926.97</v>
          </cell>
          <cell r="F973">
            <v>4926.97</v>
          </cell>
        </row>
        <row r="974">
          <cell r="A974" t="str">
            <v>170511</v>
          </cell>
          <cell r="B974" t="str">
            <v>Mictório coletivo de aço inox, liga AISI-304 n.18, marcas de referência Fisher, Metalpress ou Mekal, dimensões 1.80x0.30m, com tubo espargidor</v>
          </cell>
          <cell r="C974" t="str">
            <v>und</v>
          </cell>
          <cell r="D974">
            <v>1</v>
          </cell>
          <cell r="E974">
            <v>2190.4299999999998</v>
          </cell>
          <cell r="F974">
            <v>2190.4299999999998</v>
          </cell>
        </row>
        <row r="975">
          <cell r="A975" t="str">
            <v>170512</v>
          </cell>
          <cell r="B975" t="str">
            <v>Cuba de aço inox n° 1(dim.460x300x150)mm, marcas de referência Franke, Strake, tramontina, inclusive válvula de metal 31/2" e sifão cromado 1 x 1/2", excl. torneira</v>
          </cell>
          <cell r="C975" t="str">
            <v>und</v>
          </cell>
          <cell r="D975">
            <v>1</v>
          </cell>
          <cell r="E975">
            <v>582.32000000000005</v>
          </cell>
          <cell r="F975">
            <v>582.32000000000005</v>
          </cell>
        </row>
        <row r="976">
          <cell r="A976" t="str">
            <v>170514</v>
          </cell>
          <cell r="B976" t="str">
            <v>Tanque simples de aço inox Fischer, mod. TQ1-S AISI 304, ou equivalente nas marcas Metalpress ou Mekal, inclusive válvula de metal 1 1/4" e sifão cromado 2", excl. torneira</v>
          </cell>
          <cell r="C976" t="str">
            <v>und</v>
          </cell>
          <cell r="D976">
            <v>1</v>
          </cell>
          <cell r="E976">
            <v>1637.64</v>
          </cell>
          <cell r="F976">
            <v>1637.64</v>
          </cell>
        </row>
        <row r="977">
          <cell r="A977" t="str">
            <v>170515</v>
          </cell>
          <cell r="B977" t="str">
            <v>Cuba p/ panelões de aço inox 80x60x40 cm, marcas de referência Fisher, Metalpress ou Mekal, inclusive válvula metal 1 1/4" e sifão cromado 1 x 1 1/2", excl. torneira</v>
          </cell>
          <cell r="C977" t="str">
            <v>und</v>
          </cell>
          <cell r="D977">
            <v>1</v>
          </cell>
          <cell r="E977">
            <v>1956.54</v>
          </cell>
          <cell r="F977">
            <v>1956.54</v>
          </cell>
        </row>
        <row r="978">
          <cell r="A978" t="str">
            <v>170516</v>
          </cell>
          <cell r="B978" t="str">
            <v>Tanque duplo de aço inox AISI 304, marcas de referência Fisher (mod TQI-D) Metalpress ou Mekal, inclusive válvulas de metal 1 1/4" e sifão cromado 2", excl. torneiras</v>
          </cell>
          <cell r="C978" t="str">
            <v>und</v>
          </cell>
          <cell r="D978">
            <v>1</v>
          </cell>
          <cell r="E978">
            <v>3113.31</v>
          </cell>
          <cell r="F978">
            <v>3113.31</v>
          </cell>
        </row>
        <row r="979">
          <cell r="A979" t="str">
            <v>170519</v>
          </cell>
          <cell r="B979" t="str">
            <v>Ducha manual Acqua jet , linha Aquarius, com registro ref.C 2195, marcas de referência Fabrimar, Deca ou Docol</v>
          </cell>
          <cell r="C979" t="str">
            <v>und</v>
          </cell>
          <cell r="D979">
            <v>1</v>
          </cell>
          <cell r="E979">
            <v>295.45999999999998</v>
          </cell>
          <cell r="F979">
            <v>295.45999999999998</v>
          </cell>
        </row>
        <row r="980">
          <cell r="A980" t="str">
            <v>170524</v>
          </cell>
          <cell r="B980" t="str">
            <v>Cabide simples de um gancho, linha Versailles, ref. 08, acabamento cromado, da Moldenox, Docol ou Deca</v>
          </cell>
          <cell r="C980" t="str">
            <v>und</v>
          </cell>
          <cell r="D980">
            <v>1</v>
          </cell>
          <cell r="E980">
            <v>71.900000000000006</v>
          </cell>
          <cell r="F980">
            <v>71.900000000000006</v>
          </cell>
        </row>
        <row r="981">
          <cell r="A981" t="str">
            <v>170528</v>
          </cell>
          <cell r="B981" t="str">
            <v>Reservatório de polietileno de 5.000 L, inclusive peça de madeira 6 x 16 cm para apoio, exclusive flanges e torneira de bóia</v>
          </cell>
          <cell r="C981" t="str">
            <v>und</v>
          </cell>
          <cell r="D981">
            <v>1</v>
          </cell>
          <cell r="E981">
            <v>4113.49</v>
          </cell>
          <cell r="F981">
            <v>4113.49</v>
          </cell>
        </row>
        <row r="982">
          <cell r="A982" t="str">
            <v>170530</v>
          </cell>
          <cell r="B982" t="str">
            <v>Cuba em aço inox nº 02(dim.560x340x150)mm, marcas de referência Franke, Strake, tramontina, inclusive válvula de metal 31/2" e sifão cromado 1 x 1/2", excl. torneira</v>
          </cell>
          <cell r="C982" t="str">
            <v>und</v>
          </cell>
          <cell r="D982">
            <v>1</v>
          </cell>
          <cell r="E982">
            <v>486.34</v>
          </cell>
          <cell r="F982">
            <v>486.34</v>
          </cell>
        </row>
        <row r="983">
          <cell r="A983" t="str">
            <v>170533</v>
          </cell>
          <cell r="B983" t="str">
            <v>Pia em aço inox com 01 cuba nº 1, dimensões de 0.60 x 1.50m, inclusive válvula tipo americana, exclusive sifão</v>
          </cell>
          <cell r="C983" t="str">
            <v>und</v>
          </cell>
          <cell r="D983">
            <v>1</v>
          </cell>
          <cell r="E983">
            <v>1692.02</v>
          </cell>
          <cell r="F983">
            <v>1692.02</v>
          </cell>
        </row>
        <row r="984">
          <cell r="A984" t="str">
            <v>170534</v>
          </cell>
          <cell r="B984" t="str">
            <v>Pia em aço inox com 02 cubas nº 1, dimensões 0.60 x 2.50, inclusive válvula tipo americana, exclusive sifão</v>
          </cell>
          <cell r="C984" t="str">
            <v>und</v>
          </cell>
          <cell r="D984">
            <v>1</v>
          </cell>
          <cell r="E984">
            <v>2909.38</v>
          </cell>
          <cell r="F984">
            <v>2909.38</v>
          </cell>
        </row>
        <row r="985">
          <cell r="A985" t="str">
            <v>170535</v>
          </cell>
          <cell r="B985" t="str">
            <v>Pia em aço inox com 01 cuba nº 1, dimensões de 0.60 x 1.80m, inclusive válvula americana, exclusive sifão</v>
          </cell>
          <cell r="C985" t="str">
            <v>und</v>
          </cell>
          <cell r="D985">
            <v>1</v>
          </cell>
          <cell r="E985">
            <v>1894.47</v>
          </cell>
          <cell r="F985">
            <v>1894.47</v>
          </cell>
        </row>
        <row r="986">
          <cell r="A986" t="str">
            <v>170536</v>
          </cell>
          <cell r="B986" t="str">
            <v>Pia em aço inox com 02 cubas nº 2, dimensões de 0.60 x 2.10m, inclusive válvula americana, exclusive sifão</v>
          </cell>
          <cell r="C986" t="str">
            <v>und</v>
          </cell>
          <cell r="D986">
            <v>1</v>
          </cell>
          <cell r="E986">
            <v>2515.23</v>
          </cell>
          <cell r="F986">
            <v>2515.23</v>
          </cell>
        </row>
        <row r="987">
          <cell r="A987" t="str">
            <v>170537</v>
          </cell>
          <cell r="B987" t="str">
            <v>Assento plástico para vaso sanitário, marcas de referência Deca, Celite ou Ideal Standard</v>
          </cell>
          <cell r="C987" t="str">
            <v>und</v>
          </cell>
          <cell r="D987">
            <v>1</v>
          </cell>
          <cell r="E987">
            <v>36.15</v>
          </cell>
          <cell r="F987">
            <v>36.15</v>
          </cell>
        </row>
        <row r="988">
          <cell r="A988" t="str">
            <v>170538</v>
          </cell>
          <cell r="B988" t="str">
            <v>Chuveiro frio de PVC, marcas de referência Atlas, Cipla ou Akros</v>
          </cell>
          <cell r="C988" t="str">
            <v>und</v>
          </cell>
          <cell r="D988">
            <v>1</v>
          </cell>
          <cell r="E988">
            <v>32.85</v>
          </cell>
          <cell r="F988">
            <v>32.85</v>
          </cell>
        </row>
        <row r="989">
          <cell r="A989" t="str">
            <v>170539</v>
          </cell>
          <cell r="B989" t="str">
            <v>Reservatório de polietileno de 500l, inclusive peça de madeira 6x16cm para apoio, exclusive flanges e torneira de bóia</v>
          </cell>
          <cell r="C989" t="str">
            <v>und</v>
          </cell>
          <cell r="D989">
            <v>1</v>
          </cell>
          <cell r="E989">
            <v>712</v>
          </cell>
          <cell r="F989">
            <v>712</v>
          </cell>
        </row>
        <row r="990">
          <cell r="A990" t="str">
            <v>170540</v>
          </cell>
          <cell r="B990" t="str">
            <v>Reservatório de polietileno de 1000l, inclusive peça de madeira 6x16cm para apoio, exclusive flanges e torneira de bóia</v>
          </cell>
          <cell r="C990" t="str">
            <v>und</v>
          </cell>
          <cell r="D990">
            <v>1</v>
          </cell>
          <cell r="E990">
            <v>888.87</v>
          </cell>
          <cell r="F990">
            <v>888.87</v>
          </cell>
        </row>
        <row r="991">
          <cell r="A991" t="str">
            <v>170541</v>
          </cell>
          <cell r="B991" t="str">
            <v>Filtro curto AP200, marca de referência Aqualar, inclusive refil(vela)</v>
          </cell>
          <cell r="C991" t="str">
            <v>und</v>
          </cell>
          <cell r="D991">
            <v>1</v>
          </cell>
          <cell r="E991">
            <v>164.12</v>
          </cell>
          <cell r="F991">
            <v>164.12</v>
          </cell>
        </row>
        <row r="992">
          <cell r="A992" t="str">
            <v>170545</v>
          </cell>
          <cell r="B992" t="str">
            <v>Mictório de aço inox, marcas de referência Fisher, Metalpress ou Mekal, com 30 cm de largura e comp. variável, inclusive válvula tipo americana, engate flexível cromado, válvula de descarga, sifão cromado e conjunto de fixação</v>
          </cell>
          <cell r="C992" t="str">
            <v>m</v>
          </cell>
          <cell r="D992">
            <v>1</v>
          </cell>
          <cell r="E992">
            <v>1440.45</v>
          </cell>
          <cell r="F992">
            <v>1440.45</v>
          </cell>
        </row>
        <row r="993">
          <cell r="A993" t="str">
            <v>170546</v>
          </cell>
          <cell r="B993" t="str">
            <v>Tanque em mármore sintético com 2 bojos, inclusive válvula e sifão em PVC</v>
          </cell>
          <cell r="C993" t="str">
            <v>und</v>
          </cell>
          <cell r="D993">
            <v>1</v>
          </cell>
          <cell r="E993">
            <v>376.82</v>
          </cell>
          <cell r="F993">
            <v>376.82</v>
          </cell>
        </row>
        <row r="994">
          <cell r="A994" t="str">
            <v>170547</v>
          </cell>
          <cell r="B994" t="str">
            <v>Reservatório de polietileno de 310l, inclusive peça de madeira 6 x 16 cm p/ apoio, exclusive flange e torneira de bóia</v>
          </cell>
          <cell r="C994" t="str">
            <v>und</v>
          </cell>
          <cell r="D994">
            <v>1</v>
          </cell>
          <cell r="E994">
            <v>696</v>
          </cell>
          <cell r="F994">
            <v>696</v>
          </cell>
        </row>
        <row r="995">
          <cell r="A995" t="str">
            <v>170548</v>
          </cell>
          <cell r="B995" t="str">
            <v>Reservatório de polietileno de 1500l, inclusive peça 6x16cm para apoio, exclusive flanges e torneira de bóia</v>
          </cell>
          <cell r="C995" t="str">
            <v>und</v>
          </cell>
          <cell r="D995">
            <v>1</v>
          </cell>
          <cell r="E995">
            <v>1562.2</v>
          </cell>
          <cell r="F995">
            <v>1562.2</v>
          </cell>
        </row>
        <row r="996">
          <cell r="A996" t="str">
            <v>170549</v>
          </cell>
          <cell r="B996" t="str">
            <v>Reservatório de polietileno de 3000 litros, inclusive peça de apoio de 6x16 cm, exclusive flanges e torneira de bóia</v>
          </cell>
          <cell r="C996" t="str">
            <v>und</v>
          </cell>
          <cell r="D996">
            <v>1</v>
          </cell>
          <cell r="E996">
            <v>2583.09</v>
          </cell>
          <cell r="F996">
            <v>2583.09</v>
          </cell>
        </row>
        <row r="997">
          <cell r="A997" t="str">
            <v>170550</v>
          </cell>
          <cell r="B997" t="str">
            <v>Reservatório de polietileno de 2000L, inclusive peça de apoio 6x16 cm, exclusive flanges e torneira de bóia</v>
          </cell>
          <cell r="C997" t="str">
            <v>und</v>
          </cell>
          <cell r="D997">
            <v>1</v>
          </cell>
          <cell r="E997">
            <v>1711.34</v>
          </cell>
          <cell r="F997">
            <v>1711.34</v>
          </cell>
        </row>
        <row r="998">
          <cell r="A998" t="str">
            <v>170555</v>
          </cell>
          <cell r="B998" t="str">
            <v>Tanque de mármore sintético com um bojo, inclusive válvula e sifão em PVC</v>
          </cell>
          <cell r="C998" t="str">
            <v>und</v>
          </cell>
          <cell r="D998">
            <v>1</v>
          </cell>
          <cell r="E998">
            <v>242.62</v>
          </cell>
          <cell r="F998">
            <v>242.62</v>
          </cell>
        </row>
        <row r="999">
          <cell r="A999" t="str">
            <v>170557</v>
          </cell>
          <cell r="B999" t="str">
            <v>Bebedouro em aço inox coletivo, marcas de referência Fisher, Metalpress ou Mekal, inclusive base de apoio em concreto e fechamento em alvenaria revestida com azulejo, inclusive válvula e sifão, exclusive torneiras</v>
          </cell>
          <cell r="C999" t="str">
            <v>m</v>
          </cell>
          <cell r="D999">
            <v>1</v>
          </cell>
          <cell r="E999">
            <v>1776.54</v>
          </cell>
          <cell r="F999">
            <v>1776.54</v>
          </cell>
        </row>
        <row r="1000">
          <cell r="A1000" t="str">
            <v>170561</v>
          </cell>
          <cell r="B1000" t="str">
            <v>Reservatório de polietileno de 15.000l, inclusive peça de madeira 5 x 16cm para apoio, exclusive flanges e torneiras de boia</v>
          </cell>
          <cell r="C1000" t="str">
            <v>und</v>
          </cell>
          <cell r="D1000">
            <v>1</v>
          </cell>
          <cell r="E1000">
            <v>12441.42</v>
          </cell>
          <cell r="F1000">
            <v>12441.42</v>
          </cell>
        </row>
        <row r="1001">
          <cell r="A1001" t="str">
            <v>170562</v>
          </cell>
          <cell r="B1001" t="str">
            <v>Bebebedouro elétrico de pressão para portadores de necessidades especiais IBBL BDF300 ou equivalente</v>
          </cell>
          <cell r="C1001" t="str">
            <v>und</v>
          </cell>
          <cell r="D1001">
            <v>1</v>
          </cell>
          <cell r="E1001">
            <v>3585.02</v>
          </cell>
          <cell r="F1001">
            <v>3585.02</v>
          </cell>
        </row>
        <row r="1002">
          <cell r="A1002" t="str">
            <v>18</v>
          </cell>
          <cell r="B1002" t="str">
            <v>APARELHOS ELÉTRICOS</v>
          </cell>
          <cell r="C1002"/>
          <cell r="D1002"/>
          <cell r="E1002"/>
          <cell r="F1002"/>
        </row>
        <row r="1003">
          <cell r="A1003" t="str">
            <v>1801</v>
          </cell>
          <cell r="B1003" t="str">
            <v>LUMINÁRIAS</v>
          </cell>
          <cell r="C1003"/>
          <cell r="D1003"/>
          <cell r="E1003"/>
          <cell r="F1003"/>
        </row>
        <row r="1004">
          <cell r="A1004" t="str">
            <v>180101</v>
          </cell>
          <cell r="B1004" t="str">
            <v>Luminária p/ duas lâmpadas fluorescentes 20W, completa, c/ reator duplo-127V partida rápida e alto fator de potência, soquete antivibratório e lâmpada fluorescente 20W-127V</v>
          </cell>
          <cell r="C1004" t="str">
            <v>und</v>
          </cell>
          <cell r="D1004">
            <v>1</v>
          </cell>
          <cell r="E1004">
            <v>158.5</v>
          </cell>
          <cell r="F1004">
            <v>158.5</v>
          </cell>
        </row>
        <row r="1005">
          <cell r="A1005" t="str">
            <v>180102</v>
          </cell>
          <cell r="B1005" t="str">
            <v>Luminária p/ duas lâmpadas fluorescentes 40W, completa, c/ reator duplo-127V partida rápida e alto fator de potência, soquete antivibratório e lâmpada fluorescente 40W-127V</v>
          </cell>
          <cell r="C1005" t="str">
            <v>und</v>
          </cell>
          <cell r="D1005">
            <v>1</v>
          </cell>
          <cell r="E1005">
            <v>180.46</v>
          </cell>
          <cell r="F1005">
            <v>180.46</v>
          </cell>
        </row>
        <row r="1006">
          <cell r="A1006" t="str">
            <v>180107</v>
          </cell>
          <cell r="B1006" t="str">
            <v>Luminária industrial a prova de tempo, 45 graus, wetzel ou equivalente, inclusive lampada mista 160W</v>
          </cell>
          <cell r="C1006" t="str">
            <v>und</v>
          </cell>
          <cell r="D1006">
            <v>1</v>
          </cell>
          <cell r="E1006">
            <v>600.65</v>
          </cell>
          <cell r="F1006">
            <v>600.65</v>
          </cell>
        </row>
        <row r="1007">
          <cell r="A1007" t="str">
            <v>180108</v>
          </cell>
          <cell r="B1007" t="str">
            <v>Luminária para uma lâmpada fluorescente 20W, completa, c/ reator simples-127V partida rápida alto fator de potência, soquete antivibratório e lâmpada fluorescente 20W-127V</v>
          </cell>
          <cell r="C1007" t="str">
            <v>und</v>
          </cell>
          <cell r="D1007">
            <v>1</v>
          </cell>
          <cell r="E1007">
            <v>118.67</v>
          </cell>
          <cell r="F1007">
            <v>118.67</v>
          </cell>
        </row>
        <row r="1008">
          <cell r="A1008" t="str">
            <v>180109</v>
          </cell>
          <cell r="B1008" t="str">
            <v>Luminária para uma lâmpada fluorescente 40W, completa, c/ reator simples-127V partida rápida alto fator de potência, soquete antivibratório e lâmpada fluorescente 40W-127V</v>
          </cell>
          <cell r="C1008" t="str">
            <v>und</v>
          </cell>
          <cell r="D1008">
            <v>1</v>
          </cell>
          <cell r="E1008">
            <v>126.2</v>
          </cell>
          <cell r="F1008">
            <v>126.2</v>
          </cell>
        </row>
        <row r="1009">
          <cell r="A1009" t="str">
            <v>180110</v>
          </cell>
          <cell r="B1009" t="str">
            <v>Arandela com lâmpada incandescente de 100W</v>
          </cell>
          <cell r="C1009" t="str">
            <v>und</v>
          </cell>
          <cell r="D1009">
            <v>1</v>
          </cell>
          <cell r="E1009">
            <v>95.75</v>
          </cell>
          <cell r="F1009">
            <v>95.75</v>
          </cell>
        </row>
        <row r="1010">
          <cell r="A1010" t="str">
            <v>180115</v>
          </cell>
          <cell r="B1010" t="str">
            <v>Luminária tipo globo de plástico 9x4", inclusive plafonier</v>
          </cell>
          <cell r="C1010" t="str">
            <v>und</v>
          </cell>
          <cell r="D1010">
            <v>1</v>
          </cell>
          <cell r="E1010">
            <v>70.069999999999993</v>
          </cell>
          <cell r="F1010">
            <v>70.069999999999993</v>
          </cell>
        </row>
        <row r="1011">
          <cell r="A1011" t="str">
            <v>1802</v>
          </cell>
          <cell r="B1011" t="str">
            <v>INTERRUPTORES E TOMADAS</v>
          </cell>
          <cell r="C1011"/>
          <cell r="D1011"/>
          <cell r="E1011"/>
          <cell r="F1011"/>
        </row>
        <row r="1012">
          <cell r="A1012" t="str">
            <v>180201</v>
          </cell>
          <cell r="B1012" t="str">
            <v>Tomada padrão brasileiro linha branca, NBR 14136 2 polos + terra 10A/250V, com placa 4x2"</v>
          </cell>
          <cell r="C1012" t="str">
            <v>und</v>
          </cell>
          <cell r="D1012">
            <v>1</v>
          </cell>
          <cell r="E1012">
            <v>38.229999999999997</v>
          </cell>
          <cell r="F1012">
            <v>38.229999999999997</v>
          </cell>
        </row>
        <row r="1013">
          <cell r="A1013" t="str">
            <v>180202</v>
          </cell>
          <cell r="B1013" t="str">
            <v>Tomada padrão brasileiro linha branca, NBR 14136 2 polos + terra 20A/250V, com placa 4x2"</v>
          </cell>
          <cell r="C1013" t="str">
            <v>und</v>
          </cell>
          <cell r="D1013">
            <v>1</v>
          </cell>
          <cell r="E1013">
            <v>44.93</v>
          </cell>
          <cell r="F1013">
            <v>44.93</v>
          </cell>
        </row>
        <row r="1014">
          <cell r="A1014" t="str">
            <v>180204</v>
          </cell>
          <cell r="B1014" t="str">
            <v>Interruptor de uma tecla simples 10A/250V, com placa 4x2"</v>
          </cell>
          <cell r="C1014" t="str">
            <v>und</v>
          </cell>
          <cell r="D1014">
            <v>1</v>
          </cell>
          <cell r="E1014">
            <v>33.869999999999997</v>
          </cell>
          <cell r="F1014">
            <v>33.869999999999997</v>
          </cell>
        </row>
        <row r="1015">
          <cell r="A1015" t="str">
            <v>180205</v>
          </cell>
          <cell r="B1015" t="str">
            <v>Interruptor de duas teclas simples 10A/250V, com placa 4x2"</v>
          </cell>
          <cell r="C1015" t="str">
            <v>und</v>
          </cell>
          <cell r="D1015">
            <v>1</v>
          </cell>
          <cell r="E1015">
            <v>57.76</v>
          </cell>
          <cell r="F1015">
            <v>57.76</v>
          </cell>
        </row>
        <row r="1016">
          <cell r="A1016" t="str">
            <v>180206</v>
          </cell>
          <cell r="B1016" t="str">
            <v>Interruptor de uma tecla paralelo 10A/250V, com placa 4x2"</v>
          </cell>
          <cell r="C1016" t="str">
            <v>und</v>
          </cell>
          <cell r="D1016">
            <v>1</v>
          </cell>
          <cell r="E1016">
            <v>41.24</v>
          </cell>
          <cell r="F1016">
            <v>41.24</v>
          </cell>
        </row>
        <row r="1017">
          <cell r="A1017" t="str">
            <v>180207</v>
          </cell>
          <cell r="B1017" t="str">
            <v>Interruptor de uma tecla simples 10A/250V e uma tomada 3 polos 10A/250V, padrão brasileiro, NBR 14136, linha branca, com placa 4x2"</v>
          </cell>
          <cell r="C1017" t="str">
            <v>und</v>
          </cell>
          <cell r="D1017">
            <v>1</v>
          </cell>
          <cell r="E1017">
            <v>62.12</v>
          </cell>
          <cell r="F1017">
            <v>62.12</v>
          </cell>
        </row>
        <row r="1018">
          <cell r="A1018" t="str">
            <v>180208</v>
          </cell>
          <cell r="B1018" t="str">
            <v>Interruptor de duas teclas simples 10A/250V e uma tomada 3 polos universal 10A/250V, com placa 4x2"</v>
          </cell>
          <cell r="C1018" t="str">
            <v>und</v>
          </cell>
          <cell r="D1018">
            <v>1</v>
          </cell>
          <cell r="E1018">
            <v>86.01</v>
          </cell>
          <cell r="F1018">
            <v>86.01</v>
          </cell>
        </row>
        <row r="1019">
          <cell r="A1019" t="str">
            <v>180209</v>
          </cell>
          <cell r="B1019" t="str">
            <v>Interruptor pulsador de campainha 10A/250V, com placa 4x2"</v>
          </cell>
          <cell r="C1019" t="str">
            <v>und</v>
          </cell>
          <cell r="D1019">
            <v>1</v>
          </cell>
          <cell r="E1019">
            <v>33.03</v>
          </cell>
          <cell r="F1019">
            <v>33.03</v>
          </cell>
        </row>
        <row r="1020">
          <cell r="A1020" t="str">
            <v>180210</v>
          </cell>
          <cell r="B1020" t="str">
            <v>Tomada de 3 polos 20A/250V, com placa 4x2"</v>
          </cell>
          <cell r="C1020" t="str">
            <v>und</v>
          </cell>
          <cell r="D1020">
            <v>1</v>
          </cell>
          <cell r="E1020">
            <v>44.63</v>
          </cell>
          <cell r="F1020">
            <v>44.63</v>
          </cell>
        </row>
        <row r="1021">
          <cell r="A1021" t="str">
            <v>180211</v>
          </cell>
          <cell r="B1021" t="str">
            <v>Interruptor de três teclas simples 10 A/250 V e duas teclas simples 10A/250V, com placa 4x4"</v>
          </cell>
          <cell r="C1021" t="str">
            <v>und</v>
          </cell>
          <cell r="D1021">
            <v>1</v>
          </cell>
          <cell r="E1021">
            <v>142.97999999999999</v>
          </cell>
          <cell r="F1021">
            <v>142.97999999999999</v>
          </cell>
        </row>
        <row r="1022">
          <cell r="A1022" t="str">
            <v>180212</v>
          </cell>
          <cell r="B1022" t="str">
            <v>Interruptor de três teclas simples 10A/250V, c/ placa 4x2"</v>
          </cell>
          <cell r="C1022" t="str">
            <v>und</v>
          </cell>
          <cell r="D1022">
            <v>1</v>
          </cell>
          <cell r="E1022">
            <v>81.650000000000006</v>
          </cell>
          <cell r="F1022">
            <v>81.650000000000006</v>
          </cell>
        </row>
        <row r="1023">
          <cell r="A1023" t="str">
            <v>180217</v>
          </cell>
          <cell r="B1023" t="str">
            <v>Espelho para caixa estampada 4 x 2"</v>
          </cell>
          <cell r="C1023" t="str">
            <v>und</v>
          </cell>
          <cell r="D1023">
            <v>1</v>
          </cell>
          <cell r="E1023">
            <v>8.2100000000000009</v>
          </cell>
          <cell r="F1023">
            <v>8.2100000000000009</v>
          </cell>
        </row>
        <row r="1024">
          <cell r="A1024" t="str">
            <v>180218</v>
          </cell>
          <cell r="B1024" t="str">
            <v>Espelho para caixa estampada 4 x 4"</v>
          </cell>
          <cell r="C1024" t="str">
            <v>und</v>
          </cell>
          <cell r="D1024">
            <v>1</v>
          </cell>
          <cell r="E1024">
            <v>20.010000000000002</v>
          </cell>
          <cell r="F1024">
            <v>20.010000000000002</v>
          </cell>
        </row>
        <row r="1025">
          <cell r="A1025" t="str">
            <v>180220</v>
          </cell>
          <cell r="B1025" t="str">
            <v>Tomada coaxial 75 ohms para TV</v>
          </cell>
          <cell r="C1025" t="str">
            <v>und</v>
          </cell>
          <cell r="D1025">
            <v>1</v>
          </cell>
          <cell r="E1025">
            <v>39.51</v>
          </cell>
          <cell r="F1025">
            <v>39.51</v>
          </cell>
        </row>
        <row r="1026">
          <cell r="A1026" t="str">
            <v>1803</v>
          </cell>
          <cell r="B1026" t="str">
            <v>BOMBAS</v>
          </cell>
          <cell r="C1026"/>
          <cell r="D1026"/>
          <cell r="E1026"/>
          <cell r="F1026"/>
        </row>
        <row r="1027">
          <cell r="A1027" t="str">
            <v>180301</v>
          </cell>
          <cell r="B1027" t="str">
            <v>Bomba centrífuga trifásica 5CV, modelo 620 Dancor, ou equivalente</v>
          </cell>
          <cell r="C1027" t="str">
            <v>und</v>
          </cell>
          <cell r="D1027">
            <v>1</v>
          </cell>
          <cell r="E1027">
            <v>4028.78</v>
          </cell>
          <cell r="F1027">
            <v>4028.78</v>
          </cell>
        </row>
        <row r="1028">
          <cell r="A1028" t="str">
            <v>180302</v>
          </cell>
          <cell r="B1028" t="str">
            <v>Bomba centrífuga monofásica 1/2 CV</v>
          </cell>
          <cell r="C1028" t="str">
            <v>und</v>
          </cell>
          <cell r="D1028">
            <v>1</v>
          </cell>
          <cell r="E1028">
            <v>999.77</v>
          </cell>
          <cell r="F1028">
            <v>999.77</v>
          </cell>
        </row>
        <row r="1029">
          <cell r="A1029" t="str">
            <v>180303</v>
          </cell>
          <cell r="B1029" t="str">
            <v>Bomba centrífuga monofásica 3/4 CV</v>
          </cell>
          <cell r="C1029" t="str">
            <v>und</v>
          </cell>
          <cell r="D1029">
            <v>1</v>
          </cell>
          <cell r="E1029">
            <v>1434.44</v>
          </cell>
          <cell r="F1029">
            <v>1434.44</v>
          </cell>
        </row>
        <row r="1030">
          <cell r="A1030" t="str">
            <v>180304</v>
          </cell>
          <cell r="B1030" t="str">
            <v>Bomba centrifuga trifásica 2CV</v>
          </cell>
          <cell r="C1030" t="str">
            <v>und</v>
          </cell>
          <cell r="D1030">
            <v>1</v>
          </cell>
          <cell r="E1030">
            <v>1591.51</v>
          </cell>
          <cell r="F1030">
            <v>1591.51</v>
          </cell>
        </row>
        <row r="1031">
          <cell r="A1031" t="str">
            <v>180305</v>
          </cell>
          <cell r="B1031" t="str">
            <v>Bomba elétrica centrífuga monofásica 1 CV</v>
          </cell>
          <cell r="C1031" t="str">
            <v>und</v>
          </cell>
          <cell r="D1031">
            <v>1</v>
          </cell>
          <cell r="E1031">
            <v>1614.15</v>
          </cell>
          <cell r="F1031">
            <v>1614.15</v>
          </cell>
        </row>
        <row r="1032">
          <cell r="A1032" t="str">
            <v>1804</v>
          </cell>
          <cell r="B1032" t="str">
            <v>POSTES</v>
          </cell>
          <cell r="C1032"/>
          <cell r="D1032"/>
          <cell r="E1032"/>
          <cell r="F1032"/>
        </row>
        <row r="1033">
          <cell r="A1033" t="str">
            <v>180405</v>
          </cell>
          <cell r="B1033" t="str">
            <v>Poste circular de concreto 11 m padrão ESCELSA, incl. luminária tipo 1 pétala mod. BETA II c/1 lâmpada VS 400W, reator alto fator de potência 400W/220V e relé fotoelétrico, Tecnowatt ou equivalente</v>
          </cell>
          <cell r="C1033" t="str">
            <v>und</v>
          </cell>
          <cell r="D1033">
            <v>1</v>
          </cell>
          <cell r="E1033">
            <v>3762.83</v>
          </cell>
          <cell r="F1033">
            <v>3762.83</v>
          </cell>
        </row>
        <row r="1034">
          <cell r="A1034" t="str">
            <v>180408</v>
          </cell>
          <cell r="B1034" t="str">
            <v>Poste circular de concreto 11m padrão ESCELSA, incl. 3 projetores PL 400 MA c/ lâmpada VM 400W, reator tipo externo 400 W /220V alto fator de potência, Tecnowatt ou equivalente.</v>
          </cell>
          <cell r="C1034" t="str">
            <v>und</v>
          </cell>
          <cell r="D1034">
            <v>1</v>
          </cell>
          <cell r="E1034">
            <v>4652.83</v>
          </cell>
          <cell r="F1034">
            <v>4652.83</v>
          </cell>
        </row>
        <row r="1035">
          <cell r="A1035" t="str">
            <v>1807</v>
          </cell>
          <cell r="B1035" t="str">
            <v>VENTILADORES</v>
          </cell>
          <cell r="C1035"/>
          <cell r="D1035"/>
          <cell r="E1035"/>
          <cell r="F1035"/>
        </row>
        <row r="1036">
          <cell r="A1036" t="str">
            <v>180702</v>
          </cell>
          <cell r="B1036" t="str">
            <v>Ventilador de teto base madeira sem alojamento para luminária, ref. Tron ou equivalente, com comando de interruptor simples, sem dimer para regulagem de velocidade</v>
          </cell>
          <cell r="C1036" t="str">
            <v>und</v>
          </cell>
          <cell r="D1036">
            <v>1</v>
          </cell>
          <cell r="E1036">
            <v>284.02999999999997</v>
          </cell>
          <cell r="F1036">
            <v>284.02999999999997</v>
          </cell>
        </row>
        <row r="1037">
          <cell r="A1037" t="str">
            <v>1808</v>
          </cell>
          <cell r="B1037" t="str">
            <v>OUTROS APARELHOS</v>
          </cell>
          <cell r="C1037"/>
          <cell r="D1037"/>
          <cell r="E1037"/>
          <cell r="F1037"/>
        </row>
        <row r="1038">
          <cell r="A1038" t="str">
            <v>180803</v>
          </cell>
          <cell r="B1038" t="str">
            <v>Campainha tipo timbre Pial, cod. 412.77 ou equivalente</v>
          </cell>
          <cell r="C1038" t="str">
            <v>und</v>
          </cell>
          <cell r="D1038">
            <v>1</v>
          </cell>
          <cell r="E1038">
            <v>163.02000000000001</v>
          </cell>
          <cell r="F1038">
            <v>163.02000000000001</v>
          </cell>
        </row>
        <row r="1039">
          <cell r="A1039" t="str">
            <v>180804</v>
          </cell>
          <cell r="B1039" t="str">
            <v>Campainha tipo prato Pial, cod. 414.18</v>
          </cell>
          <cell r="C1039" t="str">
            <v>und</v>
          </cell>
          <cell r="D1039">
            <v>1</v>
          </cell>
          <cell r="E1039">
            <v>928.79</v>
          </cell>
          <cell r="F1039">
            <v>928.79</v>
          </cell>
        </row>
        <row r="1040">
          <cell r="A1040" t="str">
            <v>180809</v>
          </cell>
          <cell r="B1040" t="str">
            <v>Chuveiro elétrico tipo ducha Lorenzet ou Corona</v>
          </cell>
          <cell r="C1040" t="str">
            <v>und</v>
          </cell>
          <cell r="D1040">
            <v>1</v>
          </cell>
          <cell r="E1040">
            <v>104.13</v>
          </cell>
          <cell r="F1040">
            <v>104.13</v>
          </cell>
        </row>
        <row r="1041">
          <cell r="A1041" t="str">
            <v>1810</v>
          </cell>
          <cell r="B1041" t="str">
            <v>LUMINARIAS PARA LÂMPADAS LED</v>
          </cell>
          <cell r="C1041"/>
          <cell r="D1041"/>
          <cell r="E1041"/>
          <cell r="F1041"/>
        </row>
        <row r="1042">
          <cell r="A1042" t="str">
            <v>181001</v>
          </cell>
          <cell r="B1042" t="str">
            <v>Luminaria sobrepor compl., corpo ch. aço pintada branca, refletor, aletas parabólicas alum.alta pureza e refletância inclusive 2 lâmpadas LED T8 9W temp. de cor 5000k c/ 60cm - Ref. CS216AL-N - AMES, 663 - LUMAVI OU EQUIVALENTE</v>
          </cell>
          <cell r="C1042" t="str">
            <v>und</v>
          </cell>
          <cell r="D1042">
            <v>1</v>
          </cell>
          <cell r="E1042">
            <v>149.33000000000001</v>
          </cell>
          <cell r="F1042">
            <v>149.33000000000001</v>
          </cell>
        </row>
        <row r="1043">
          <cell r="A1043" t="str">
            <v>181002</v>
          </cell>
          <cell r="B1043" t="str">
            <v>Luminaria sobrepor compl., corpo ch. aço pintada branca, refletor aletas parabólicas alum.alta pureza e refletância inclusive 2 lâmpadas LED T8 20W temp. de cor 5000k bivolt c/ 1,20m - Ref. CS232AL-N - AMES, 664 - LUMAVI OU EQUIVALENTE</v>
          </cell>
          <cell r="C1043" t="str">
            <v>und</v>
          </cell>
          <cell r="D1043">
            <v>1</v>
          </cell>
          <cell r="E1043">
            <v>198.91</v>
          </cell>
          <cell r="F1043">
            <v>198.91</v>
          </cell>
        </row>
        <row r="1044">
          <cell r="A1044" t="str">
            <v>181003</v>
          </cell>
          <cell r="B1044" t="str">
            <v>Luminaria embutir compl., corpo ch. aço pintada branca, refletor aletas parabólicas alum.alta pureza e refletância inclusive 2 lâmpadas LED T8 9W temp. de cor 5000k c/ 60cm - REF. CE216AL-N - AMES, 901 - LUMAVI OU EQUIVALENTE</v>
          </cell>
          <cell r="C1044" t="str">
            <v>und</v>
          </cell>
          <cell r="D1044">
            <v>1</v>
          </cell>
          <cell r="E1044">
            <v>149.11000000000001</v>
          </cell>
          <cell r="F1044">
            <v>149.11000000000001</v>
          </cell>
        </row>
        <row r="1045">
          <cell r="A1045" t="str">
            <v>181004</v>
          </cell>
          <cell r="B1045" t="str">
            <v>Luminaria embutir compl., corpo ch. aço pintada branca, refletor, aletas parabólicas alum.alta pureza e refletância inclusive 2 lâmpadas LED T8 18W temp. de cor 5000k c/ 1,20m - Ref. CE232AL-N - AMES, 900 - LUMAVI -LDEF 2X32W - LUMILUZ OU EQUIVALENTE</v>
          </cell>
          <cell r="C1045" t="str">
            <v>und</v>
          </cell>
          <cell r="D1045">
            <v>1</v>
          </cell>
          <cell r="E1045">
            <v>193.69</v>
          </cell>
          <cell r="F1045">
            <v>193.69</v>
          </cell>
        </row>
        <row r="1046">
          <cell r="A1046" t="str">
            <v>181005</v>
          </cell>
          <cell r="B1046" t="str">
            <v>Luminária sobrepor compl., corpo ch. aço pintada branca, refletor,aletas parabólicas alum.alta pureza e refletância inclusive 4 lâmpadas LED T8 9W temp. de cor 5000k bivolt c/ 60cm - CS416AL-N - AMES, 665 - LUMAVI OU EQUIVALENTE</v>
          </cell>
          <cell r="C1046" t="str">
            <v>und</v>
          </cell>
          <cell r="D1046">
            <v>1</v>
          </cell>
          <cell r="E1046">
            <v>282.35000000000002</v>
          </cell>
          <cell r="F1046">
            <v>282.35000000000002</v>
          </cell>
        </row>
        <row r="1047">
          <cell r="A1047" t="str">
            <v>181007</v>
          </cell>
          <cell r="B1047" t="str">
            <v>Luminária embutir compl., corpo ch. aço pintada branca, refletor,aletas parabólicas alum.alta pureza e refletância nclusive 4 lâmpadas LED T8 9W temp. de cor 5000k - Ref.CE416AL-N - AMES, 6026 - LUMAVI OU EQUIVALENTE</v>
          </cell>
          <cell r="C1047" t="str">
            <v>und</v>
          </cell>
          <cell r="D1047">
            <v>1</v>
          </cell>
          <cell r="E1047">
            <v>269.02</v>
          </cell>
          <cell r="F1047">
            <v>269.02</v>
          </cell>
        </row>
        <row r="1048">
          <cell r="A1048" t="str">
            <v>19</v>
          </cell>
          <cell r="B1048" t="str">
            <v>PINTURA</v>
          </cell>
          <cell r="C1048"/>
          <cell r="D1048"/>
          <cell r="E1048"/>
          <cell r="F1048"/>
        </row>
        <row r="1049">
          <cell r="A1049" t="str">
            <v>1901</v>
          </cell>
          <cell r="B1049" t="str">
            <v>SOBRE PAREDES E FORROS</v>
          </cell>
          <cell r="C1049"/>
          <cell r="D1049"/>
          <cell r="E1049"/>
          <cell r="F1049"/>
        </row>
        <row r="1050">
          <cell r="A1050" t="str">
            <v>190101</v>
          </cell>
          <cell r="B1050" t="str">
            <v>Emassamento de paredes e forros, com duas demãos de massa à base de PVA, marcas de referência Suvinil, Coral ou Metalatex</v>
          </cell>
          <cell r="C1050" t="str">
            <v>m2</v>
          </cell>
          <cell r="D1050">
            <v>1</v>
          </cell>
          <cell r="E1050">
            <v>11.43</v>
          </cell>
          <cell r="F1050">
            <v>11.43</v>
          </cell>
        </row>
        <row r="1051">
          <cell r="A1051" t="str">
            <v>190102</v>
          </cell>
          <cell r="B1051" t="str">
            <v>Emassamento de paredes e forros, com duas demãos de massa à base de óleo, marcas de referência Suvinil, Coral ou Metalatex</v>
          </cell>
          <cell r="C1051" t="str">
            <v>m2</v>
          </cell>
          <cell r="D1051">
            <v>1</v>
          </cell>
          <cell r="E1051">
            <v>20.11</v>
          </cell>
          <cell r="F1051">
            <v>20.11</v>
          </cell>
        </row>
        <row r="1052">
          <cell r="A1052" t="str">
            <v>190103</v>
          </cell>
          <cell r="B1052" t="str">
            <v>Emassamento de paredes e forros, com duas demãos de massa acrílica, marcas de referência Suvinil, Coral ou Metalatex</v>
          </cell>
          <cell r="C1052" t="str">
            <v>m2</v>
          </cell>
          <cell r="D1052">
            <v>1</v>
          </cell>
          <cell r="E1052">
            <v>15.85</v>
          </cell>
          <cell r="F1052">
            <v>15.85</v>
          </cell>
        </row>
        <row r="1053">
          <cell r="A1053" t="str">
            <v>190104</v>
          </cell>
          <cell r="B1053" t="str">
            <v>Pintura com tinta látex PVA, marcas de referência Suvinil, Coral ou Metalatex, inclusive selador em paredes e forros, a três demãos</v>
          </cell>
          <cell r="C1053" t="str">
            <v>m2</v>
          </cell>
          <cell r="D1053">
            <v>1</v>
          </cell>
          <cell r="E1053">
            <v>20.72</v>
          </cell>
          <cell r="F1053">
            <v>20.72</v>
          </cell>
        </row>
        <row r="1054">
          <cell r="A1054" t="str">
            <v>190105</v>
          </cell>
          <cell r="B1054" t="str">
            <v>Pintura com tinta esmalte sintético, marcas de referência Suvinil, Coral ou Metalatex, inclusive selador acrílico, em paredes a três demãos</v>
          </cell>
          <cell r="C1054" t="str">
            <v>m2</v>
          </cell>
          <cell r="D1054">
            <v>1</v>
          </cell>
          <cell r="E1054">
            <v>25.13</v>
          </cell>
          <cell r="F1054">
            <v>25.13</v>
          </cell>
        </row>
        <row r="1055">
          <cell r="A1055" t="str">
            <v>190106</v>
          </cell>
          <cell r="B1055" t="str">
            <v>Pintura com tinta acrílica, marcas de referência Suvinil, Coral ou Metalatex, inclusive selador acrílico, em paredes e forros, a três demãos</v>
          </cell>
          <cell r="C1055" t="str">
            <v>m2</v>
          </cell>
          <cell r="D1055">
            <v>1</v>
          </cell>
          <cell r="E1055">
            <v>21.09</v>
          </cell>
          <cell r="F1055">
            <v>21.09</v>
          </cell>
        </row>
        <row r="1056">
          <cell r="A1056" t="str">
            <v>190107</v>
          </cell>
          <cell r="B1056" t="str">
            <v>Pintura com nata de cimento sobre superfície áspera a três demãos</v>
          </cell>
          <cell r="C1056" t="str">
            <v>m2</v>
          </cell>
          <cell r="D1056">
            <v>1</v>
          </cell>
          <cell r="E1056">
            <v>3.27</v>
          </cell>
          <cell r="F1056">
            <v>3.27</v>
          </cell>
        </row>
        <row r="1057">
          <cell r="A1057" t="str">
            <v>190108</v>
          </cell>
          <cell r="B1057" t="str">
            <v>Pintura a cal a três demãos, em paredes internas ou externas</v>
          </cell>
          <cell r="C1057" t="str">
            <v>m2</v>
          </cell>
          <cell r="D1057">
            <v>1</v>
          </cell>
          <cell r="E1057">
            <v>11.69</v>
          </cell>
          <cell r="F1057">
            <v>11.69</v>
          </cell>
        </row>
        <row r="1058">
          <cell r="A1058" t="str">
            <v>190109</v>
          </cell>
          <cell r="B1058" t="str">
            <v>Pintura de letra em parede dim. 20x30cm com tinta látex acrílica, marcas de referência Suvinil, Coral ou Metalatex</v>
          </cell>
          <cell r="C1058" t="str">
            <v>und</v>
          </cell>
          <cell r="D1058">
            <v>1</v>
          </cell>
          <cell r="E1058">
            <v>67.37</v>
          </cell>
          <cell r="F1058">
            <v>67.37</v>
          </cell>
        </row>
        <row r="1059">
          <cell r="A1059" t="str">
            <v>190114</v>
          </cell>
          <cell r="B1059" t="str">
            <v>Selador acrílico a uma demão, marcas de referência Suvinil, Coral ou Metalatex</v>
          </cell>
          <cell r="C1059" t="str">
            <v>m2</v>
          </cell>
          <cell r="D1059">
            <v>1</v>
          </cell>
          <cell r="E1059">
            <v>4.76</v>
          </cell>
          <cell r="F1059">
            <v>4.76</v>
          </cell>
        </row>
        <row r="1060">
          <cell r="A1060" t="str">
            <v>190115</v>
          </cell>
          <cell r="B1060" t="str">
            <v>Pintura com tinta látex PVA, marcas de referência Suvinil, Coral ou Metalatex, inclusive selador, em paredes e forros, a duas demãos</v>
          </cell>
          <cell r="C1060" t="str">
            <v>m2</v>
          </cell>
          <cell r="D1060">
            <v>1</v>
          </cell>
          <cell r="E1060">
            <v>16.87</v>
          </cell>
          <cell r="F1060">
            <v>16.87</v>
          </cell>
        </row>
        <row r="1061">
          <cell r="A1061" t="str">
            <v>190116</v>
          </cell>
          <cell r="B1061" t="str">
            <v>Pintura com tinta esmalte sintético, marcas de referência Suvinil, Coral e Metalatex, inclusive selador acrílico, em paredes, a duas demãos</v>
          </cell>
          <cell r="C1061" t="str">
            <v>m2</v>
          </cell>
          <cell r="D1061">
            <v>1</v>
          </cell>
          <cell r="E1061">
            <v>20.2</v>
          </cell>
          <cell r="F1061">
            <v>20.2</v>
          </cell>
        </row>
        <row r="1062">
          <cell r="A1062" t="str">
            <v>190117</v>
          </cell>
          <cell r="B1062" t="str">
            <v>Pintura com tinta acrílica, marcas de referência Suvinil, Coral e Metalatex, inclusive selador acrílico, em paredes e forros, a duas demãos</v>
          </cell>
          <cell r="C1062" t="str">
            <v>m2</v>
          </cell>
          <cell r="D1062">
            <v>1</v>
          </cell>
          <cell r="E1062">
            <v>17.13</v>
          </cell>
          <cell r="F1062">
            <v>17.13</v>
          </cell>
        </row>
        <row r="1063">
          <cell r="A1063" t="str">
            <v>190121</v>
          </cell>
          <cell r="B1063" t="str">
            <v>Liquido selador para tinta PVA, a uma demão, marcas de referência Suvinil, Coral ou Metalatex</v>
          </cell>
          <cell r="C1063" t="str">
            <v>m2</v>
          </cell>
          <cell r="D1063">
            <v>1</v>
          </cell>
          <cell r="E1063">
            <v>2.06</v>
          </cell>
          <cell r="F1063">
            <v>2.06</v>
          </cell>
        </row>
        <row r="1064">
          <cell r="A1064" t="str">
            <v>1902</v>
          </cell>
          <cell r="B1064" t="str">
            <v>SOBRE CONCRETO OU BLOCOS CERÂMICOS APARENTES</v>
          </cell>
          <cell r="C1064"/>
          <cell r="D1064"/>
          <cell r="E1064"/>
          <cell r="F1064"/>
        </row>
        <row r="1065">
          <cell r="A1065" t="str">
            <v>190201</v>
          </cell>
          <cell r="B1065" t="str">
            <v>Pintura com verniz acrílico, marcas de referência Suvinil, Coral ou Metalatex, sobre concreto ou blocos aparentes, a duas demãos</v>
          </cell>
          <cell r="C1065" t="str">
            <v>m2</v>
          </cell>
          <cell r="D1065">
            <v>1</v>
          </cell>
          <cell r="E1065">
            <v>8.9499999999999993</v>
          </cell>
          <cell r="F1065">
            <v>8.9499999999999993</v>
          </cell>
        </row>
        <row r="1066">
          <cell r="A1066" t="str">
            <v>190202</v>
          </cell>
          <cell r="B1066" t="str">
            <v>Pintura à base de silicone, marcas de referência Suvinil, Coral ou Metalatex, sobre paredes de blocos cerâmicos ou concreto, a uma demão</v>
          </cell>
          <cell r="C1066" t="str">
            <v>m2</v>
          </cell>
          <cell r="D1066">
            <v>1</v>
          </cell>
          <cell r="E1066">
            <v>18.079999999999998</v>
          </cell>
          <cell r="F1066">
            <v>18.079999999999998</v>
          </cell>
        </row>
        <row r="1067">
          <cell r="A1067" t="str">
            <v>190203</v>
          </cell>
          <cell r="B1067" t="str">
            <v>Pintura com tinta acrílica, marcas de referência Suvinil, Coral ou Metalatex, inclusive selador acrílico, sobre concreto ou blocos de concreto, a três demãos</v>
          </cell>
          <cell r="C1067" t="str">
            <v>m2</v>
          </cell>
          <cell r="D1067">
            <v>1</v>
          </cell>
          <cell r="E1067">
            <v>19.690000000000001</v>
          </cell>
          <cell r="F1067">
            <v>19.690000000000001</v>
          </cell>
        </row>
        <row r="1068">
          <cell r="A1068" t="str">
            <v>190204</v>
          </cell>
          <cell r="B1068" t="str">
            <v>Pintura com tinta acrílica, marcas de referência Suvinil, Coral ou Metalatex, inclusive selador acrílico, em cobogós de concreto, a duas demãos</v>
          </cell>
          <cell r="C1068" t="str">
            <v>m2</v>
          </cell>
          <cell r="D1068">
            <v>1</v>
          </cell>
          <cell r="E1068">
            <v>25.95</v>
          </cell>
          <cell r="F1068">
            <v>25.95</v>
          </cell>
        </row>
        <row r="1069">
          <cell r="A1069" t="str">
            <v>190205</v>
          </cell>
          <cell r="B1069" t="str">
            <v>Caiação de meio-fio, a três demãos</v>
          </cell>
          <cell r="C1069" t="str">
            <v>m2</v>
          </cell>
          <cell r="D1069">
            <v>1</v>
          </cell>
          <cell r="E1069">
            <v>9.31</v>
          </cell>
          <cell r="F1069">
            <v>9.31</v>
          </cell>
        </row>
        <row r="1070">
          <cell r="A1070" t="str">
            <v>190211</v>
          </cell>
          <cell r="B1070" t="str">
            <v>Pintura com tinta PVA, sobre concreto ou bloco de concreto, a duas demãos, marcas de referência Suvinil, Coral ou Metalatex</v>
          </cell>
          <cell r="C1070" t="str">
            <v>m2</v>
          </cell>
          <cell r="D1070">
            <v>1</v>
          </cell>
          <cell r="E1070">
            <v>16.87</v>
          </cell>
          <cell r="F1070">
            <v>16.87</v>
          </cell>
        </row>
        <row r="1071">
          <cell r="A1071" t="str">
            <v>1903</v>
          </cell>
          <cell r="B1071" t="str">
            <v>SOBRE MADEIRA</v>
          </cell>
          <cell r="C1071"/>
          <cell r="D1071"/>
          <cell r="E1071"/>
          <cell r="F1071"/>
        </row>
        <row r="1072">
          <cell r="A1072" t="str">
            <v>190301</v>
          </cell>
          <cell r="B1072" t="str">
            <v>Emassamento de esquadrias de madeira, com duas demãos de massa à base de óleo, marcas de referência Suvinil, Coral ou Metalatex</v>
          </cell>
          <cell r="C1072" t="str">
            <v>m2</v>
          </cell>
          <cell r="D1072">
            <v>1</v>
          </cell>
          <cell r="E1072">
            <v>18.899999999999999</v>
          </cell>
          <cell r="F1072">
            <v>18.899999999999999</v>
          </cell>
        </row>
        <row r="1073">
          <cell r="A1073" t="str">
            <v>190302</v>
          </cell>
          <cell r="B1073" t="str">
            <v>Pintura com tinta esmalte sintético, marcas de referência Suvinil, Coral ou Metalatex, inclusive fundo branco nivelador, em madeira, a duas demãos</v>
          </cell>
          <cell r="C1073" t="str">
            <v>m2</v>
          </cell>
          <cell r="D1073">
            <v>1</v>
          </cell>
          <cell r="E1073">
            <v>22.64</v>
          </cell>
          <cell r="F1073">
            <v>22.64</v>
          </cell>
        </row>
        <row r="1074">
          <cell r="A1074" t="str">
            <v>190303</v>
          </cell>
          <cell r="B1074" t="str">
            <v>Pintura com verniz brilhante, linha Premium, marcas de referência Suvinil, Coral ou Metalatex, em madeira, a três demãos</v>
          </cell>
          <cell r="C1074" t="str">
            <v>m2</v>
          </cell>
          <cell r="D1074">
            <v>1</v>
          </cell>
          <cell r="E1074">
            <v>29.6</v>
          </cell>
          <cell r="F1074">
            <v>29.6</v>
          </cell>
        </row>
        <row r="1075">
          <cell r="A1075" t="str">
            <v>190306</v>
          </cell>
          <cell r="B1075" t="str">
            <v>Pintura com verniz filtro solar fosco, linha Premium, em madeira, a três demãos, marcas de referência Suvinil, Coral ou Metalatex</v>
          </cell>
          <cell r="C1075" t="str">
            <v>m2</v>
          </cell>
          <cell r="D1075">
            <v>1</v>
          </cell>
          <cell r="E1075">
            <v>21.39</v>
          </cell>
          <cell r="F1075">
            <v>21.39</v>
          </cell>
        </row>
        <row r="1076">
          <cell r="A1076" t="str">
            <v>1904</v>
          </cell>
          <cell r="B1076" t="str">
            <v>SOBRE METAL</v>
          </cell>
          <cell r="C1076"/>
          <cell r="D1076"/>
          <cell r="E1076"/>
          <cell r="F1076"/>
        </row>
        <row r="1077">
          <cell r="A1077" t="str">
            <v>190417</v>
          </cell>
          <cell r="B1077" t="str">
            <v>Pintura com tinta esmalte sintético, marcas de referência Suvinil, Coral ou Metalatex, a duas demãos, inclusive fundo anticorrosivo a uma demão, em metal</v>
          </cell>
          <cell r="C1077" t="str">
            <v>m2</v>
          </cell>
          <cell r="D1077">
            <v>1</v>
          </cell>
          <cell r="E1077">
            <v>20.010000000000002</v>
          </cell>
          <cell r="F1077">
            <v>20.010000000000002</v>
          </cell>
        </row>
        <row r="1078">
          <cell r="A1078" t="str">
            <v>190418</v>
          </cell>
          <cell r="B1078" t="str">
            <v>Pintura de superfície metálica com uma demão de primer Epoxi e duas demãos de tinta à base de Epoxi</v>
          </cell>
          <cell r="C1078" t="str">
            <v>m2</v>
          </cell>
          <cell r="D1078">
            <v>1</v>
          </cell>
          <cell r="E1078">
            <v>38.35</v>
          </cell>
          <cell r="F1078">
            <v>38.35</v>
          </cell>
        </row>
        <row r="1079">
          <cell r="A1079" t="str">
            <v>1905</v>
          </cell>
          <cell r="B1079" t="str">
            <v>SOBRE ELEMENTOS ESPECIAIS</v>
          </cell>
          <cell r="C1079"/>
          <cell r="D1079"/>
          <cell r="E1079"/>
          <cell r="F1079"/>
        </row>
        <row r="1080">
          <cell r="A1080" t="str">
            <v>190501</v>
          </cell>
          <cell r="B1080" t="str">
            <v>Pintura de letras em chapas de ferro, dimensões 20x30cm, com tinta óleo ou esmalte, a duas demãos, marcas de referência Suvinil, Coral ou Metalatex</v>
          </cell>
          <cell r="C1080" t="str">
            <v>und</v>
          </cell>
          <cell r="D1080">
            <v>1</v>
          </cell>
          <cell r="E1080">
            <v>4.72</v>
          </cell>
          <cell r="F1080">
            <v>4.72</v>
          </cell>
        </row>
        <row r="1081">
          <cell r="A1081" t="str">
            <v>1906</v>
          </cell>
          <cell r="B1081" t="str">
            <v>SOBRE PISOS</v>
          </cell>
          <cell r="C1081"/>
          <cell r="D1081"/>
          <cell r="E1081"/>
          <cell r="F1081"/>
        </row>
        <row r="1082">
          <cell r="A1082" t="str">
            <v>190601</v>
          </cell>
          <cell r="B1082" t="str">
            <v>Pintura à base de epoxi, marcas de referência Suvinil, Coral ou Metalatex, em faixas com largura de 5 cm, para demarcação de quadra de esportes</v>
          </cell>
          <cell r="C1082" t="str">
            <v>m</v>
          </cell>
          <cell r="D1082">
            <v>1</v>
          </cell>
          <cell r="E1082">
            <v>30.04</v>
          </cell>
          <cell r="F1082">
            <v>30.04</v>
          </cell>
        </row>
        <row r="1083">
          <cell r="A1083" t="str">
            <v>190602</v>
          </cell>
          <cell r="B1083" t="str">
            <v>Pintura com tinta à base de resinas acrílicas, marcas de referência Suvinil, Coral ou Metalatex, sobre piso de concreto, a duas demãos</v>
          </cell>
          <cell r="C1083" t="str">
            <v>m2</v>
          </cell>
          <cell r="D1083">
            <v>1</v>
          </cell>
          <cell r="E1083">
            <v>32.75</v>
          </cell>
          <cell r="F1083">
            <v>32.75</v>
          </cell>
        </row>
        <row r="1084">
          <cell r="A1084" t="str">
            <v>190603</v>
          </cell>
          <cell r="B1084" t="str">
            <v>Pintura sobre pisos, marcas de referência Novacor, Coral ou Suvinil, a duas demãos, Linha Premium</v>
          </cell>
          <cell r="C1084" t="str">
            <v>m2</v>
          </cell>
          <cell r="D1084">
            <v>1</v>
          </cell>
          <cell r="E1084">
            <v>18.04</v>
          </cell>
          <cell r="F1084">
            <v>18.04</v>
          </cell>
        </row>
        <row r="1085">
          <cell r="A1085" t="str">
            <v>190604</v>
          </cell>
          <cell r="B1085" t="str">
            <v>Pintura à base de epoxi, marcas de referência Suvinil, Coral ou Metalatex, em faixas com largura de 8 cm, para demarcação de quadra de esportes</v>
          </cell>
          <cell r="C1085" t="str">
            <v>m</v>
          </cell>
          <cell r="D1085">
            <v>1</v>
          </cell>
          <cell r="E1085">
            <v>48.05</v>
          </cell>
          <cell r="F1085">
            <v>48.05</v>
          </cell>
        </row>
        <row r="1086">
          <cell r="A1086" t="str">
            <v>190605</v>
          </cell>
          <cell r="B1086" t="str">
            <v>Aplicação de tinta epóxi de alta espessura semibrilhante sobre piso de concreto a três demãos, inclusive selador epóxi a uma demão - Ref. Intergard 2005 e 2001 - Internacional ou equivalente</v>
          </cell>
          <cell r="C1086" t="str">
            <v>m2</v>
          </cell>
          <cell r="D1086">
            <v>1</v>
          </cell>
          <cell r="E1086">
            <v>49.16</v>
          </cell>
          <cell r="F1086">
            <v>49.16</v>
          </cell>
        </row>
        <row r="1087">
          <cell r="A1087" t="str">
            <v>20</v>
          </cell>
          <cell r="B1087" t="str">
            <v>SERVIÇOS COMPLEMENTARES EXTERNOS</v>
          </cell>
          <cell r="C1087"/>
          <cell r="D1087"/>
          <cell r="E1087"/>
          <cell r="F1087"/>
        </row>
        <row r="1088">
          <cell r="A1088" t="str">
            <v>2001</v>
          </cell>
          <cell r="B1088" t="str">
            <v>MUROS E FECHAMENTOS</v>
          </cell>
          <cell r="C1088"/>
          <cell r="D1088"/>
          <cell r="E1088"/>
          <cell r="F1088"/>
        </row>
        <row r="1089">
          <cell r="A1089" t="str">
            <v>200101</v>
          </cell>
          <cell r="B1089" t="str">
            <v>Alambrado c/ tela losangular de arame fio 12 malha 2" revest. em PVC com tubo de ferro galvanizado vertical de 2 1/2" e horizontal de 1" incl. portão, pintados com esmalte sobre fundo anticorrosivo</v>
          </cell>
          <cell r="C1089" t="str">
            <v>m2</v>
          </cell>
          <cell r="D1089">
            <v>1</v>
          </cell>
          <cell r="E1089">
            <v>280.45999999999998</v>
          </cell>
          <cell r="F1089">
            <v>280.45999999999998</v>
          </cell>
        </row>
        <row r="1090">
          <cell r="A1090" t="str">
            <v>200104</v>
          </cell>
          <cell r="B1090" t="str">
            <v>Cerca de madeira com ripas de 7 x 2 cm, altura de 1.50 m e caibro de 8 x 8 cm em madeira de lei espaçados a cada 2.0 m</v>
          </cell>
          <cell r="C1090" t="str">
            <v>m</v>
          </cell>
          <cell r="D1090">
            <v>1</v>
          </cell>
          <cell r="E1090">
            <v>305.29000000000002</v>
          </cell>
          <cell r="F1090">
            <v>305.29000000000002</v>
          </cell>
        </row>
        <row r="1091">
          <cell r="A1091" t="str">
            <v>200105</v>
          </cell>
          <cell r="B1091" t="str">
            <v>Cerca com tela fio 16 malha losangular de 2", fixadas c/ grampos em pontaletes de madeira de lei 8x8cm espaçados de 1.5m, com bases concretadas e com três fios tensores de arame galvanizado n.12</v>
          </cell>
          <cell r="C1091" t="str">
            <v>m</v>
          </cell>
          <cell r="D1091">
            <v>1</v>
          </cell>
          <cell r="E1091">
            <v>208.9</v>
          </cell>
          <cell r="F1091">
            <v>208.9</v>
          </cell>
        </row>
        <row r="1092">
          <cell r="A1092" t="str">
            <v>200107</v>
          </cell>
          <cell r="B1092" t="str">
            <v>Cerca com cinco fios de arame liso n. 12 fixados com grampos em pontaletes de madeira de lei de 8 x 8cm a cada 2.0 m e altura livre de 1.6 m</v>
          </cell>
          <cell r="C1092" t="str">
            <v>m</v>
          </cell>
          <cell r="D1092">
            <v>1</v>
          </cell>
          <cell r="E1092">
            <v>120.06</v>
          </cell>
          <cell r="F1092">
            <v>120.06</v>
          </cell>
        </row>
        <row r="1093">
          <cell r="A1093" t="str">
            <v>200108</v>
          </cell>
          <cell r="B1093" t="str">
            <v>Muro de arrimo de concreto ciclópico com aterro na parte posterior, inclusive forma de madeira e dreno de brita</v>
          </cell>
          <cell r="C1093" t="str">
            <v>m3</v>
          </cell>
          <cell r="D1093">
            <v>1</v>
          </cell>
          <cell r="E1093">
            <v>959.79</v>
          </cell>
          <cell r="F1093">
            <v>959.79</v>
          </cell>
        </row>
        <row r="1094">
          <cell r="A1094" t="str">
            <v>200120</v>
          </cell>
          <cell r="B1094" t="str">
            <v>Cerca H=2.30cm, c/tela losang. arame fio 12 malha 2" revest. em PVC com mourão curvo de concreto H=3,20m, secção T, fixado emsolo, a cada 3m, c/3 fios de arame farpado na parte curva, incl 3 fios tensores, chumbadores e sapata de 40x40x50cm</v>
          </cell>
          <cell r="C1094" t="str">
            <v>m</v>
          </cell>
          <cell r="D1094">
            <v>1</v>
          </cell>
          <cell r="E1094">
            <v>248.91</v>
          </cell>
          <cell r="F1094">
            <v>248.91</v>
          </cell>
        </row>
        <row r="1095">
          <cell r="A1095" t="str">
            <v>200124</v>
          </cell>
          <cell r="B1095" t="str">
            <v>Muro de alvenaria de blocos cerâmicos 10x20x20cm, c/ pilares a cada 2 m, esp. 10cm e h=2.5m, revestido com chapisco, reboco e pintura acrílica a 2 demãos, incl. pilares, cintas e sapatas, empregando arg. cimento cal e areia</v>
          </cell>
          <cell r="C1095" t="str">
            <v>m</v>
          </cell>
          <cell r="D1095">
            <v>1</v>
          </cell>
          <cell r="E1095">
            <v>822.28</v>
          </cell>
          <cell r="F1095">
            <v>822.28</v>
          </cell>
        </row>
        <row r="1096">
          <cell r="A1096" t="str">
            <v>200128</v>
          </cell>
          <cell r="B1096" t="str">
            <v>Alambrado sobre muro existente, executado em tela fio 12 malha 3", com 02 fios tensores, fixados em tubos de FG 11/2" colocados a cada 3m (h do alambrado =1,5m), inlcusive chumbamento no muro</v>
          </cell>
          <cell r="C1096" t="str">
            <v>m2</v>
          </cell>
          <cell r="D1096">
            <v>1</v>
          </cell>
          <cell r="E1096">
            <v>291.5</v>
          </cell>
          <cell r="F1096">
            <v>291.5</v>
          </cell>
        </row>
        <row r="1097">
          <cell r="A1097" t="str">
            <v>200129</v>
          </cell>
          <cell r="B1097" t="str">
            <v>Cerca com mourão de concreto reto H=2.5, base quadrada 10x10cm, fixado em solo a cada 3.0m, com 10 fios de arame galvanizado liso nº 10</v>
          </cell>
          <cell r="C1097" t="str">
            <v>m</v>
          </cell>
          <cell r="D1097">
            <v>1</v>
          </cell>
          <cell r="E1097">
            <v>108.12</v>
          </cell>
          <cell r="F1097">
            <v>108.12</v>
          </cell>
        </row>
        <row r="1098">
          <cell r="A1098" t="str">
            <v>200130</v>
          </cell>
          <cell r="B1098" t="str">
            <v>Gradil H = 1.90m padrão SEDU em tudo de FG 2" e barra chata de 11/2"x1/4", para fixação sobre mureta conforme projeto, exclusive a mureta.</v>
          </cell>
          <cell r="C1098" t="str">
            <v>m</v>
          </cell>
          <cell r="D1098">
            <v>1</v>
          </cell>
          <cell r="E1098">
            <v>1139.93</v>
          </cell>
          <cell r="F1098">
            <v>1139.93</v>
          </cell>
        </row>
        <row r="1099">
          <cell r="A1099" t="str">
            <v>200131</v>
          </cell>
          <cell r="B1099" t="str">
            <v>Gradil H = 1.90m padrão SEDU em tubo de FG 31/2" e barra chata de 2"x1/4" para fixação sobre mureta conforme projeto, exclusive a mureta.</v>
          </cell>
          <cell r="C1099" t="str">
            <v>m</v>
          </cell>
          <cell r="D1099">
            <v>1</v>
          </cell>
          <cell r="E1099">
            <v>2058.75</v>
          </cell>
          <cell r="F1099">
            <v>2058.75</v>
          </cell>
        </row>
        <row r="1100">
          <cell r="A1100" t="str">
            <v>2002</v>
          </cell>
          <cell r="B1100" t="str">
            <v>PAVIMENTAÇÃO</v>
          </cell>
          <cell r="C1100"/>
          <cell r="D1100"/>
          <cell r="E1100"/>
          <cell r="F1100"/>
        </row>
        <row r="1101">
          <cell r="A1101" t="str">
            <v>200202</v>
          </cell>
          <cell r="B1101" t="str">
            <v>Meio-fio de concreto pré-moldado com dimensões de 15x12x30x100 cm , rejuntados com argamassa de cimento e areia no traço 1:3</v>
          </cell>
          <cell r="C1101" t="str">
            <v>m</v>
          </cell>
          <cell r="D1101">
            <v>1</v>
          </cell>
          <cell r="E1101">
            <v>50.02</v>
          </cell>
          <cell r="F1101">
            <v>50.02</v>
          </cell>
        </row>
        <row r="1102">
          <cell r="A1102" t="str">
            <v>200206</v>
          </cell>
          <cell r="B1102" t="str">
            <v>Blocos pré-moldados de concreto tipo pavi-s ou equivalente, espessura de 8 cm e resistência a compressão mínima de 35MPa, assentados sobre colchão de pó de pedra na espessura de 10 cm</v>
          </cell>
          <cell r="C1102" t="str">
            <v>m2</v>
          </cell>
          <cell r="D1102">
            <v>1</v>
          </cell>
          <cell r="E1102">
            <v>76.86</v>
          </cell>
          <cell r="F1102">
            <v>76.86</v>
          </cell>
        </row>
        <row r="1103">
          <cell r="A1103" t="str">
            <v>200209</v>
          </cell>
          <cell r="B1103" t="str">
            <v>Passeio de cimentado camurçado com argamassa de cimento e areia no traço 1:3 esp. 1.5cm, e lastro de concreto com 8cm de espessura, inclusive preparo de caixa</v>
          </cell>
          <cell r="C1103" t="str">
            <v>m2</v>
          </cell>
          <cell r="D1103">
            <v>1</v>
          </cell>
          <cell r="E1103">
            <v>133.05000000000001</v>
          </cell>
          <cell r="F1103">
            <v>133.05000000000001</v>
          </cell>
        </row>
        <row r="1104">
          <cell r="A1104" t="str">
            <v>200214</v>
          </cell>
          <cell r="B1104" t="str">
            <v>Blocos pré-moldados de concreto tipo pavi-s ou equivalente, espessura 10 cm e resistência a compressão mínima de 35MPa, assentados sobre colchão de pó de pedra na espessura de 10 cm</v>
          </cell>
          <cell r="C1104" t="str">
            <v>m2</v>
          </cell>
          <cell r="D1104">
            <v>1</v>
          </cell>
          <cell r="E1104">
            <v>95.1</v>
          </cell>
          <cell r="F1104">
            <v>95.1</v>
          </cell>
        </row>
        <row r="1105">
          <cell r="A1105" t="str">
            <v>200223</v>
          </cell>
          <cell r="B1105" t="str">
            <v>Execução de lastro de brita nº 02 sob passeios e ciclovias, incl. escavação</v>
          </cell>
          <cell r="C1105" t="str">
            <v>m3</v>
          </cell>
          <cell r="D1105">
            <v>1</v>
          </cell>
          <cell r="E1105">
            <v>197.83</v>
          </cell>
          <cell r="F1105">
            <v>197.83</v>
          </cell>
        </row>
        <row r="1106">
          <cell r="A1106" t="str">
            <v>200229</v>
          </cell>
          <cell r="B1106" t="str">
            <v>Meio-fio de concreto moldado in-loco com formas de chapa compensada resinada 6mm, nas dimensões 10 x 30 cm, incl. escavação, reaterro e bota-fora</v>
          </cell>
          <cell r="C1106" t="str">
            <v>m</v>
          </cell>
          <cell r="D1106">
            <v>1</v>
          </cell>
          <cell r="E1106">
            <v>72.55</v>
          </cell>
          <cell r="F1106">
            <v>72.55</v>
          </cell>
        </row>
        <row r="1107">
          <cell r="A1107" t="str">
            <v>200237</v>
          </cell>
          <cell r="B1107" t="str">
            <v>Blocos pré-moldados de concreto tipo pavi-s ou equivalente, espessura de 6 cm e resistência a compressão mínima de 35MPa, assentados sobre colchão de pó de pedra na espessura de 10 cm</v>
          </cell>
          <cell r="C1107" t="str">
            <v>m2</v>
          </cell>
          <cell r="D1107">
            <v>1</v>
          </cell>
          <cell r="E1107">
            <v>66.3</v>
          </cell>
          <cell r="F1107">
            <v>66.3</v>
          </cell>
        </row>
        <row r="1108">
          <cell r="A1108" t="str">
            <v>200243</v>
          </cell>
          <cell r="B1108" t="str">
            <v>Canaleta no piso em concreto simples com dimensões internas de 20 x 10 cm e grelha em ferro diam. 1/2" a cada 3 cm fixados em cantoneira de 3/4" x 1/8" apoiada sobre requadro em cantoneira de 1" x 3/16"</v>
          </cell>
          <cell r="C1108" t="str">
            <v>m</v>
          </cell>
          <cell r="D1108">
            <v>1</v>
          </cell>
          <cell r="E1108">
            <v>304.64999999999998</v>
          </cell>
          <cell r="F1108">
            <v>304.64999999999998</v>
          </cell>
        </row>
        <row r="1109">
          <cell r="A1109" t="str">
            <v>200253</v>
          </cell>
          <cell r="B1109" t="str">
            <v>Fornecimento e assentamento de ladrilho hidráulico pastilhado, vermelho, dim. 20x20 cm, esp. 1.5cm, assentado com pasta de cimento colante, exclusive regularização e lastro</v>
          </cell>
          <cell r="C1109" t="str">
            <v>m2</v>
          </cell>
          <cell r="D1109">
            <v>1</v>
          </cell>
          <cell r="E1109">
            <v>68.349999999999994</v>
          </cell>
          <cell r="F1109">
            <v>68.349999999999994</v>
          </cell>
        </row>
        <row r="1110">
          <cell r="A1110" t="str">
            <v>200254</v>
          </cell>
          <cell r="B1110" t="str">
            <v>Fornecimento e assentamento de ladrilho hidráulico ranhurado, vermelho, dim. 20x20 cm, esp. 1.5cm, assentado com pasta de cimento colante, exclusive regularização e lastro</v>
          </cell>
          <cell r="C1110" t="str">
            <v>m2</v>
          </cell>
          <cell r="D1110">
            <v>1</v>
          </cell>
          <cell r="E1110">
            <v>68.349999999999994</v>
          </cell>
          <cell r="F1110">
            <v>68.349999999999994</v>
          </cell>
        </row>
        <row r="1111">
          <cell r="A1111" t="str">
            <v>2003</v>
          </cell>
          <cell r="B1111" t="str">
            <v>PAISAGISMO</v>
          </cell>
          <cell r="C1111"/>
          <cell r="D1111"/>
          <cell r="E1111"/>
          <cell r="F1111"/>
        </row>
        <row r="1112">
          <cell r="A1112" t="str">
            <v>200303</v>
          </cell>
          <cell r="B1112" t="str">
            <v>Fornecimento de grama tipo esmeralda em placas com espessura de 0.06 m, exclusive plantio</v>
          </cell>
          <cell r="C1112" t="str">
            <v>m2</v>
          </cell>
          <cell r="D1112">
            <v>1</v>
          </cell>
          <cell r="E1112">
            <v>13.13</v>
          </cell>
          <cell r="F1112">
            <v>13.13</v>
          </cell>
        </row>
        <row r="1113">
          <cell r="A1113" t="str">
            <v>200305</v>
          </cell>
          <cell r="B1113" t="str">
            <v>Fornecimento e espalhamento de areia média lavada</v>
          </cell>
          <cell r="C1113" t="str">
            <v>m3</v>
          </cell>
          <cell r="D1113">
            <v>1</v>
          </cell>
          <cell r="E1113">
            <v>152.68</v>
          </cell>
          <cell r="F1113">
            <v>152.68</v>
          </cell>
        </row>
        <row r="1114">
          <cell r="A1114" t="str">
            <v>200306</v>
          </cell>
          <cell r="B1114" t="str">
            <v>Fornecimento e espalhamento de brita 1 ou 2</v>
          </cell>
          <cell r="C1114" t="str">
            <v>m3</v>
          </cell>
          <cell r="D1114">
            <v>1</v>
          </cell>
          <cell r="E1114">
            <v>160.91999999999999</v>
          </cell>
          <cell r="F1114">
            <v>160.91999999999999</v>
          </cell>
        </row>
        <row r="1115">
          <cell r="A1115" t="str">
            <v>200307</v>
          </cell>
          <cell r="B1115" t="str">
            <v>Fornecimento e espalhamento de terra vegetal</v>
          </cell>
          <cell r="C1115" t="str">
            <v>m3</v>
          </cell>
          <cell r="D1115">
            <v>1</v>
          </cell>
          <cell r="E1115">
            <v>202.07</v>
          </cell>
          <cell r="F1115">
            <v>202.07</v>
          </cell>
        </row>
        <row r="1116">
          <cell r="A1116" t="str">
            <v>200323</v>
          </cell>
          <cell r="B1116" t="str">
            <v>Fornecimento e espalhamento de pó de pedra</v>
          </cell>
          <cell r="C1116" t="str">
            <v>m3</v>
          </cell>
          <cell r="D1116">
            <v>1</v>
          </cell>
          <cell r="E1116">
            <v>128.15</v>
          </cell>
          <cell r="F1116">
            <v>128.15</v>
          </cell>
        </row>
        <row r="1117">
          <cell r="A1117" t="str">
            <v>200326</v>
          </cell>
          <cell r="B1117" t="str">
            <v>Fornecimento e plantio de grama em placas tipo esmeralda, inclusive fornecimento de terra vegetal</v>
          </cell>
          <cell r="C1117" t="str">
            <v>m2</v>
          </cell>
          <cell r="D1117">
            <v>1</v>
          </cell>
          <cell r="E1117">
            <v>26.2</v>
          </cell>
          <cell r="F1117">
            <v>26.2</v>
          </cell>
        </row>
        <row r="1118">
          <cell r="A1118" t="str">
            <v>2004</v>
          </cell>
          <cell r="B1118" t="str">
            <v>TRATAMENTO, CONSERVAÇÃO E LIMPEZA</v>
          </cell>
          <cell r="C1118"/>
          <cell r="D1118"/>
          <cell r="E1118"/>
          <cell r="F1118"/>
        </row>
        <row r="1119">
          <cell r="A1119" t="str">
            <v>200401</v>
          </cell>
          <cell r="B1119" t="str">
            <v>Limpeza geral da obra (edificação)</v>
          </cell>
          <cell r="C1119" t="str">
            <v>m2</v>
          </cell>
          <cell r="D1119">
            <v>1</v>
          </cell>
          <cell r="E1119">
            <v>9.84</v>
          </cell>
          <cell r="F1119">
            <v>9.84</v>
          </cell>
        </row>
        <row r="1120">
          <cell r="A1120" t="str">
            <v>200402</v>
          </cell>
          <cell r="B1120" t="str">
            <v>Limpeza geral de obras (quadras, praças e jardins)</v>
          </cell>
          <cell r="C1120" t="str">
            <v>m2</v>
          </cell>
          <cell r="D1120">
            <v>1</v>
          </cell>
          <cell r="E1120">
            <v>0.98</v>
          </cell>
          <cell r="F1120">
            <v>0.98</v>
          </cell>
        </row>
        <row r="1121">
          <cell r="A1121" t="str">
            <v>200404</v>
          </cell>
          <cell r="B1121" t="str">
            <v>Limpeza de pisos e revestimentos cerâmicos</v>
          </cell>
          <cell r="C1121" t="str">
            <v>m2</v>
          </cell>
          <cell r="D1121">
            <v>1</v>
          </cell>
          <cell r="E1121">
            <v>19.13</v>
          </cell>
          <cell r="F1121">
            <v>19.13</v>
          </cell>
        </row>
        <row r="1122">
          <cell r="A1122" t="str">
            <v>2005</v>
          </cell>
          <cell r="B1122" t="str">
            <v>DIVERSOS EXTERNOS</v>
          </cell>
          <cell r="C1122"/>
          <cell r="D1122"/>
          <cell r="E1122"/>
          <cell r="F1122"/>
        </row>
        <row r="1123">
          <cell r="A1123" t="str">
            <v>200511</v>
          </cell>
          <cell r="B1123" t="str">
            <v>Banco de concreto aparente com tampo de 40x40x5 cm e base de 20x20x36 cm para mesa de jogos, conforme detalhe em projeto</v>
          </cell>
          <cell r="C1123" t="str">
            <v>und</v>
          </cell>
          <cell r="D1123">
            <v>1</v>
          </cell>
          <cell r="E1123">
            <v>167.36</v>
          </cell>
          <cell r="F1123">
            <v>167.36</v>
          </cell>
        </row>
        <row r="1124">
          <cell r="A1124" t="str">
            <v>200512</v>
          </cell>
          <cell r="B1124" t="str">
            <v>Mesa de concreto aparente com tampo de 60x60x5 cm, base de 30x30x75 cm e tabuleiro 40x40cm embutido no concreto, feito com pastilhas de mármore branco e granito preto de 5x5x2cm conf. projeto</v>
          </cell>
          <cell r="C1124" t="str">
            <v>und</v>
          </cell>
          <cell r="D1124">
            <v>1</v>
          </cell>
          <cell r="E1124">
            <v>462.38</v>
          </cell>
          <cell r="F1124">
            <v>462.38</v>
          </cell>
        </row>
        <row r="1125">
          <cell r="A1125" t="str">
            <v>200513</v>
          </cell>
          <cell r="B1125" t="str">
            <v>Escada tipo marinheiro de tubo de ferro 1" e 3/4", com h=4.20m, para acesso a caixa d'água, inclusive pintura em esmalte sintético, conforme detalhe em projeto</v>
          </cell>
          <cell r="C1125" t="str">
            <v>und</v>
          </cell>
          <cell r="D1125">
            <v>1</v>
          </cell>
          <cell r="E1125">
            <v>1831.89</v>
          </cell>
          <cell r="F1125">
            <v>1831.89</v>
          </cell>
        </row>
        <row r="1126">
          <cell r="A1126" t="str">
            <v>200562</v>
          </cell>
          <cell r="B1126" t="str">
            <v>Caixa pré-moldada de concreto para aparelho de ar condicionado de 18.000 BTU</v>
          </cell>
          <cell r="C1126" t="str">
            <v>und</v>
          </cell>
          <cell r="D1126">
            <v>1</v>
          </cell>
          <cell r="E1126">
            <v>376.67</v>
          </cell>
          <cell r="F1126">
            <v>376.67</v>
          </cell>
        </row>
        <row r="1127">
          <cell r="A1127" t="str">
            <v>200563</v>
          </cell>
          <cell r="B1127" t="str">
            <v>Banco de concreto armado aparente com apoios de alvenaria assentada com argamassa de cimento, cal e areia, largura de 0,50m e espessura de 0,05m</v>
          </cell>
          <cell r="C1127" t="str">
            <v>m</v>
          </cell>
          <cell r="D1127">
            <v>1</v>
          </cell>
          <cell r="E1127">
            <v>165.65</v>
          </cell>
          <cell r="F1127">
            <v>165.65</v>
          </cell>
        </row>
        <row r="1128">
          <cell r="A1128" t="str">
            <v>200572</v>
          </cell>
          <cell r="B1128" t="str">
            <v>Poço c/ anéis pré-moldados diam. 1.5m e profundidade de 7m, inclusive fornecimento</v>
          </cell>
          <cell r="C1128" t="str">
            <v>und</v>
          </cell>
          <cell r="D1128">
            <v>1</v>
          </cell>
          <cell r="E1128">
            <v>2604.7199999999998</v>
          </cell>
          <cell r="F1128">
            <v>2604.7199999999998</v>
          </cell>
        </row>
        <row r="1129">
          <cell r="A1129" t="str">
            <v>200573</v>
          </cell>
          <cell r="B1129" t="str">
            <v>Bicicletário em tubo de ferro galvanizado 1" e ferro liso 1/2", inclusive pintura, conforme projeto padrão SEDU</v>
          </cell>
          <cell r="C1129" t="str">
            <v>m</v>
          </cell>
          <cell r="D1129">
            <v>1</v>
          </cell>
          <cell r="E1129">
            <v>262.58999999999997</v>
          </cell>
          <cell r="F1129">
            <v>262.58999999999997</v>
          </cell>
        </row>
        <row r="1130">
          <cell r="A1130" t="str">
            <v>200576</v>
          </cell>
          <cell r="B1130" t="str">
            <v>Placa para inauguração de obra em alumínio polido e=4mm, dimensões 40 x 50 cm, gravação em baixo relevo, inclusive pintura e fixação</v>
          </cell>
          <cell r="C1130" t="str">
            <v>und</v>
          </cell>
          <cell r="D1130">
            <v>1</v>
          </cell>
          <cell r="E1130">
            <v>768.47</v>
          </cell>
          <cell r="F1130">
            <v>768.47</v>
          </cell>
        </row>
        <row r="1131">
          <cell r="A1131" t="str">
            <v>2007</v>
          </cell>
          <cell r="B1131" t="str">
            <v>QUADRA DE ESPORTES (Ver nota 9 da planilha)</v>
          </cell>
          <cell r="C1131"/>
          <cell r="D1131"/>
          <cell r="E1131"/>
          <cell r="F1131"/>
        </row>
        <row r="1132">
          <cell r="A1132" t="str">
            <v>200702</v>
          </cell>
          <cell r="B1132" t="str">
            <v>Piso quadra poliesp. fck=25MPa, esp.=10 cm, armado c/ tela Q138, concret camada única bombeável c/ brita n. 1, acab. sup. c/ rotoalisador, juntas c/ corte serra diamant. preench. c/ mastique, base 5cm solo brita 30% e resina endur</v>
          </cell>
          <cell r="C1132" t="str">
            <v>m2</v>
          </cell>
          <cell r="D1132">
            <v>1</v>
          </cell>
          <cell r="E1132">
            <v>119.5</v>
          </cell>
          <cell r="F1132">
            <v>119.5</v>
          </cell>
        </row>
        <row r="1133">
          <cell r="A1133" t="str">
            <v>200703</v>
          </cell>
          <cell r="B1133" t="str">
            <v>Pintura à base de epoxi, marcas de referência Suvinil, Coral ou Novacor, em faixas com largura de 5cm, para demarcação de quadras de esportes</v>
          </cell>
          <cell r="C1133" t="str">
            <v>m</v>
          </cell>
          <cell r="D1133">
            <v>1</v>
          </cell>
          <cell r="E1133">
            <v>30.04</v>
          </cell>
          <cell r="F1133">
            <v>30.04</v>
          </cell>
        </row>
        <row r="1134">
          <cell r="A1134" t="str">
            <v>200704</v>
          </cell>
          <cell r="B1134" t="str">
            <v>Pintura com tinta à base de resinas acrílicas, marcas de referencia Suvinil, Coral ou Novacor, sobre piso de concreto a duas demãos</v>
          </cell>
          <cell r="C1134" t="str">
            <v>m2</v>
          </cell>
          <cell r="D1134">
            <v>1</v>
          </cell>
          <cell r="E1134">
            <v>32.75</v>
          </cell>
          <cell r="F1134">
            <v>32.75</v>
          </cell>
        </row>
        <row r="1135">
          <cell r="A1135" t="str">
            <v>200705</v>
          </cell>
          <cell r="B1135" t="str">
            <v>Rede para voleibol com malha grossa, faixas de lona superior e inferior</v>
          </cell>
          <cell r="C1135" t="str">
            <v>und</v>
          </cell>
          <cell r="D1135">
            <v>1</v>
          </cell>
          <cell r="E1135">
            <v>178.33</v>
          </cell>
          <cell r="F1135">
            <v>178.33</v>
          </cell>
        </row>
        <row r="1136">
          <cell r="A1136" t="str">
            <v>200706</v>
          </cell>
          <cell r="B1136" t="str">
            <v>Suporte para tabela de basquete de concreto armado Fck = 15MPa, inclusive forma, armação, lançamento e desforma</v>
          </cell>
          <cell r="C1136" t="str">
            <v>und</v>
          </cell>
          <cell r="D1136">
            <v>1</v>
          </cell>
          <cell r="E1136">
            <v>3831.08</v>
          </cell>
          <cell r="F1136">
            <v>3831.08</v>
          </cell>
        </row>
        <row r="1137">
          <cell r="A1137" t="str">
            <v>200707</v>
          </cell>
          <cell r="B1137" t="str">
            <v>Trave para futebol de salão de tubo de ferro galvanizado 3", com recuo, removível, dimensões oficiais 3x2m</v>
          </cell>
          <cell r="C1137" t="str">
            <v>und</v>
          </cell>
          <cell r="D1137">
            <v>1</v>
          </cell>
          <cell r="E1137">
            <v>1830.45</v>
          </cell>
          <cell r="F1137">
            <v>1830.45</v>
          </cell>
        </row>
        <row r="1138">
          <cell r="A1138" t="str">
            <v>200708</v>
          </cell>
          <cell r="B1138" t="str">
            <v>Conjunto de poste de voleibol de tubo de ferro galvanizado 3"e parte móvel de 21/2", inclusive carretilha, furo com tubo de ferro galvanizado de 31/2"e tampão de furo</v>
          </cell>
          <cell r="C1138" t="str">
            <v>und</v>
          </cell>
          <cell r="D1138">
            <v>1</v>
          </cell>
          <cell r="E1138">
            <v>1768.42</v>
          </cell>
          <cell r="F1138">
            <v>1768.42</v>
          </cell>
        </row>
        <row r="1139">
          <cell r="A1139" t="str">
            <v>200709</v>
          </cell>
          <cell r="B1139" t="str">
            <v>Tabela de basquete de madeira, com aro, inclusive colocação</v>
          </cell>
          <cell r="C1139" t="str">
            <v>und</v>
          </cell>
          <cell r="D1139">
            <v>1</v>
          </cell>
          <cell r="E1139">
            <v>948.77</v>
          </cell>
          <cell r="F1139">
            <v>948.77</v>
          </cell>
        </row>
        <row r="1140">
          <cell r="A1140" t="str">
            <v>200711</v>
          </cell>
          <cell r="B1140" t="str">
            <v>Alambrado com tela fio 12, malha de 1", tubos de ferro galvanizado verticais de 2" e tubos de ferro galvanizado horizontais de 1" soldados nas partes superior e inferior, inclusive portão</v>
          </cell>
          <cell r="C1140" t="str">
            <v>m2</v>
          </cell>
          <cell r="D1140">
            <v>1</v>
          </cell>
          <cell r="E1140">
            <v>335.31</v>
          </cell>
          <cell r="F1140">
            <v>335.31</v>
          </cell>
        </row>
        <row r="1141">
          <cell r="A1141" t="str">
            <v>200713</v>
          </cell>
          <cell r="B1141" t="str">
            <v>Rede para futebol de salão</v>
          </cell>
          <cell r="C1141" t="str">
            <v>und</v>
          </cell>
          <cell r="D1141">
            <v>1</v>
          </cell>
          <cell r="E1141">
            <v>225.78</v>
          </cell>
          <cell r="F1141">
            <v>225.78</v>
          </cell>
        </row>
        <row r="1142">
          <cell r="A1142" t="str">
            <v>200714</v>
          </cell>
          <cell r="B1142" t="str">
            <v>Preparo, regularização e compactação do terreno (compactador manual) para execução de piso de quadra</v>
          </cell>
          <cell r="C1142" t="str">
            <v>m2</v>
          </cell>
          <cell r="D1142">
            <v>1</v>
          </cell>
          <cell r="E1142">
            <v>13.06</v>
          </cell>
          <cell r="F1142">
            <v>13.06</v>
          </cell>
        </row>
        <row r="1143">
          <cell r="A1143" t="str">
            <v>200715</v>
          </cell>
          <cell r="B1143" t="str">
            <v>Mureta em alvenaria de blocos cerâmicos 10x20x20cmm, h=0.60cm, para fechamento de quadra, com pilaretes de travamento em concreto armado a cada 3m, inclusive chapisco</v>
          </cell>
          <cell r="C1143" t="str">
            <v>m2</v>
          </cell>
          <cell r="D1143">
            <v>1</v>
          </cell>
          <cell r="E1143">
            <v>165.4</v>
          </cell>
          <cell r="F1143">
            <v>165.4</v>
          </cell>
        </row>
        <row r="1144">
          <cell r="A1144" t="str">
            <v>200716</v>
          </cell>
          <cell r="B1144" t="str">
            <v>Parede em alvenaria de bloco cerâmico 10x20x20cm, h=2m, para proteção de fundo de gol (quadra poliesportiva), com pilares em concreto armado a cada 3m para travamento, inclusive chapisco</v>
          </cell>
          <cell r="C1144" t="str">
            <v>m2</v>
          </cell>
          <cell r="D1144">
            <v>1</v>
          </cell>
          <cell r="E1144">
            <v>140.71</v>
          </cell>
          <cell r="F1144">
            <v>140.71</v>
          </cell>
        </row>
        <row r="1145">
          <cell r="A1145" t="str">
            <v>200717</v>
          </cell>
          <cell r="B1145" t="str">
            <v>Goivete nas dimensões 2x1 executado sobre alvenaria chapiscada e rebocada</v>
          </cell>
          <cell r="C1145" t="str">
            <v>m</v>
          </cell>
          <cell r="D1145">
            <v>1</v>
          </cell>
          <cell r="E1145">
            <v>5.0199999999999996</v>
          </cell>
          <cell r="F1145">
            <v>5.0199999999999996</v>
          </cell>
        </row>
        <row r="1146">
          <cell r="A1146" t="str">
            <v>200720</v>
          </cell>
          <cell r="B1146" t="str">
            <v>Forn e assent de telhas de liga de alumínio e zinco (galvalume), ondulada, esp. mínima 0.43mm, alt. mínima de onda 17mm, sobrep. lateral de uma onda e longit. 200mm c/ mínimo de 3 apoios, assent. c/ utiliz. de fitas anti-corrosiva</v>
          </cell>
          <cell r="C1146" t="str">
            <v>m2</v>
          </cell>
          <cell r="D1146">
            <v>1</v>
          </cell>
          <cell r="E1146">
            <v>70.040000000000006</v>
          </cell>
          <cell r="F1146">
            <v>70.040000000000006</v>
          </cell>
        </row>
        <row r="1147">
          <cell r="A1147" t="str">
            <v>200721</v>
          </cell>
          <cell r="B1147" t="str">
            <v>Rede de proteção em nylon malha 10x10 cm para proteção de quadra de esportes</v>
          </cell>
          <cell r="C1147" t="str">
            <v>m2</v>
          </cell>
          <cell r="D1147">
            <v>1</v>
          </cell>
          <cell r="E1147">
            <v>15.76</v>
          </cell>
          <cell r="F1147">
            <v>15.76</v>
          </cell>
        </row>
        <row r="1148">
          <cell r="A1148" t="str">
            <v>200722</v>
          </cell>
          <cell r="B1148" t="str">
            <v>Projetor marca de referência tecnowatt PL 400MA com lâmpada Vapor de Mercúrio 400W</v>
          </cell>
          <cell r="C1148" t="str">
            <v>und</v>
          </cell>
          <cell r="D1148">
            <v>1</v>
          </cell>
          <cell r="E1148">
            <v>462.66</v>
          </cell>
          <cell r="F1148">
            <v>462.66</v>
          </cell>
        </row>
        <row r="1149">
          <cell r="A1149" t="str">
            <v>200725</v>
          </cell>
          <cell r="B1149" t="str">
            <v>Pintura a base de epoxi, marcas de referência Suvinil, Coral ou Novacor, em faixas largura de 8cm para demarcação de quadra de esportes</v>
          </cell>
          <cell r="C1149" t="str">
            <v>m</v>
          </cell>
          <cell r="D1149">
            <v>1</v>
          </cell>
          <cell r="E1149">
            <v>48.05</v>
          </cell>
          <cell r="F1149">
            <v>48.05</v>
          </cell>
        </row>
        <row r="1150">
          <cell r="A1150" t="str">
            <v>200726</v>
          </cell>
          <cell r="B1150" t="str">
            <v>Recuperação de piso de quadra com demolição parcial do concreto e aplicação de granilite, inclusive regularização</v>
          </cell>
          <cell r="C1150" t="str">
            <v>m2</v>
          </cell>
          <cell r="D1150">
            <v>1</v>
          </cell>
          <cell r="E1150">
            <v>133.69999999999999</v>
          </cell>
          <cell r="F1150">
            <v>133.69999999999999</v>
          </cell>
        </row>
        <row r="1151">
          <cell r="A1151" t="str">
            <v>200728</v>
          </cell>
          <cell r="B1151" t="str">
            <v>Alambrado com tela losangular de arame fio 12, malha 2" revestido em PVC com tubo de ferro galvanizado vertical de 21/2" e horizontal de 1", inclusive portão, pintados com esmalte sobre fundo anti corrosivo</v>
          </cell>
          <cell r="C1151" t="str">
            <v>m2</v>
          </cell>
          <cell r="D1151">
            <v>1</v>
          </cell>
          <cell r="E1151">
            <v>251.91</v>
          </cell>
          <cell r="F1151">
            <v>251.91</v>
          </cell>
        </row>
        <row r="1152">
          <cell r="A1152" t="str">
            <v>200738</v>
          </cell>
          <cell r="B1152" t="str">
            <v>Estrut. metálica p/ quadra poliesp. coberta constituída por perfis formados a frio, aço estrutural ASTM A-570 G33 (terças) ASTM A-36 (demais perfis) c/ o sistema de trat. e pint conf descrito em notas da planilha</v>
          </cell>
          <cell r="C1152" t="str">
            <v>kg</v>
          </cell>
          <cell r="D1152">
            <v>1</v>
          </cell>
          <cell r="E1152">
            <v>37.69</v>
          </cell>
          <cell r="F1152">
            <v>37.69</v>
          </cell>
        </row>
        <row r="1153">
          <cell r="A1153" t="str">
            <v>21</v>
          </cell>
          <cell r="B1153" t="str">
            <v>SERVIÇOS COMPLEMENTARES INTERNOS</v>
          </cell>
          <cell r="C1153"/>
          <cell r="D1153"/>
          <cell r="E1153"/>
          <cell r="F1153"/>
        </row>
        <row r="1154">
          <cell r="A1154" t="str">
            <v>2101</v>
          </cell>
          <cell r="B1154" t="str">
            <v>QUADROS DE GIZ / AVISO</v>
          </cell>
          <cell r="C1154"/>
          <cell r="D1154"/>
          <cell r="E1154"/>
          <cell r="F1154"/>
        </row>
        <row r="1155">
          <cell r="A1155" t="str">
            <v>210105</v>
          </cell>
          <cell r="B1155" t="str">
            <v>Quadro de avisos de fórmica lisa brilhante</v>
          </cell>
          <cell r="C1155" t="str">
            <v>m2</v>
          </cell>
          <cell r="D1155">
            <v>1</v>
          </cell>
          <cell r="E1155">
            <v>111.98</v>
          </cell>
          <cell r="F1155">
            <v>111.98</v>
          </cell>
        </row>
        <row r="1156">
          <cell r="A1156" t="str">
            <v>210109</v>
          </cell>
          <cell r="B1156" t="str">
            <v>Quadro mural de azulejo extra 15 x 15 cm e moldura de madeira de lei de 7.0 x 2.5 cm nas dimensões de 2.09 x 1.04 m</v>
          </cell>
          <cell r="C1156" t="str">
            <v>und</v>
          </cell>
          <cell r="D1156">
            <v>1</v>
          </cell>
          <cell r="E1156">
            <v>744.84</v>
          </cell>
          <cell r="F1156">
            <v>744.84</v>
          </cell>
        </row>
        <row r="1157">
          <cell r="A1157" t="str">
            <v>210114</v>
          </cell>
          <cell r="B1157" t="str">
            <v>Quadro pincel novo, completo, de laminado melamínico alta pressão, "LOUSA" quadriculado, cor branco brilhante, linha Lousas, padrão F608 Brancoline, esp. 1mm, incl. requadro madeira 2.5 x 5.0 cm e porta pincel, dim. 3.95 x 1.29 m</v>
          </cell>
          <cell r="C1157" t="str">
            <v>und</v>
          </cell>
          <cell r="D1157">
            <v>1</v>
          </cell>
          <cell r="E1157">
            <v>3856.96</v>
          </cell>
          <cell r="F1157">
            <v>3856.96</v>
          </cell>
        </row>
        <row r="1158">
          <cell r="A1158" t="str">
            <v>2102</v>
          </cell>
          <cell r="B1158" t="str">
            <v>ARMÁRIOS E PRATELEIRAS</v>
          </cell>
          <cell r="C1158"/>
          <cell r="D1158"/>
          <cell r="E1158"/>
          <cell r="F1158"/>
        </row>
        <row r="1159">
          <cell r="A1159" t="str">
            <v>210210</v>
          </cell>
          <cell r="B1159" t="str">
            <v>Prateleiras em granito cinza andorinha, esp. 2cm</v>
          </cell>
          <cell r="C1159" t="str">
            <v>m2</v>
          </cell>
          <cell r="D1159">
            <v>1</v>
          </cell>
          <cell r="E1159">
            <v>321.22000000000003</v>
          </cell>
          <cell r="F1159">
            <v>321.22000000000003</v>
          </cell>
        </row>
        <row r="1160">
          <cell r="A1160" t="str">
            <v>2103</v>
          </cell>
          <cell r="B1160" t="str">
            <v>DIVERSOS INTERNOS</v>
          </cell>
          <cell r="C1160"/>
          <cell r="D1160"/>
          <cell r="E1160"/>
          <cell r="F1160"/>
        </row>
        <row r="1161">
          <cell r="A1161" t="str">
            <v>210301</v>
          </cell>
          <cell r="B1161" t="str">
            <v>Guarda corpo de tubo de ferro galvanizado, diâm. 3" e 2", h=0.8 m inclusive pintura a óleo ou esmalte</v>
          </cell>
          <cell r="C1161" t="str">
            <v>m</v>
          </cell>
          <cell r="D1161">
            <v>1</v>
          </cell>
          <cell r="E1161">
            <v>423.15</v>
          </cell>
          <cell r="F1161">
            <v>423.15</v>
          </cell>
        </row>
        <row r="1162">
          <cell r="A1162" t="str">
            <v>210302</v>
          </cell>
          <cell r="B1162" t="str">
            <v>Corrimão de tubo de ferro galvanizado diâmetro 3" fixado na parede a cada 1.50m, inclusive pintura a óleo ou esmalte</v>
          </cell>
          <cell r="C1162" t="str">
            <v>m</v>
          </cell>
          <cell r="D1162">
            <v>1</v>
          </cell>
          <cell r="E1162">
            <v>326.61</v>
          </cell>
          <cell r="F1162">
            <v>326.61</v>
          </cell>
        </row>
        <row r="1163">
          <cell r="A1163" t="str">
            <v>210304</v>
          </cell>
          <cell r="B1163" t="str">
            <v>Banco de concreto armado aparente Fck=15 MPa, com apoios de concreto, largura de 45cm, espessura de 7cm e altura de 45cm</v>
          </cell>
          <cell r="C1163" t="str">
            <v>m</v>
          </cell>
          <cell r="D1163">
            <v>1</v>
          </cell>
          <cell r="E1163">
            <v>228.01</v>
          </cell>
          <cell r="F1163">
            <v>228.01</v>
          </cell>
        </row>
        <row r="1164">
          <cell r="A1164" t="str">
            <v>210316</v>
          </cell>
          <cell r="B1164" t="str">
            <v>Alçapão de visita ao barrilete de chapa de madeira de lei medindo 60x60cm, inclusive dobradiça, marco, alizar e fechadura, emassamento e pintura</v>
          </cell>
          <cell r="C1164" t="str">
            <v>und</v>
          </cell>
          <cell r="D1164">
            <v>1</v>
          </cell>
          <cell r="E1164">
            <v>652.02</v>
          </cell>
          <cell r="F1164">
            <v>652.02</v>
          </cell>
        </row>
        <row r="1165">
          <cell r="A1165" t="str">
            <v>210321</v>
          </cell>
          <cell r="B1165" t="str">
            <v>Proteção para caixa de descarga em malha de ferro 3/4" fio 12, perfil "L" 1" e barra chata 3/4" x 1/8", conf. detalhe</v>
          </cell>
          <cell r="C1165" t="str">
            <v>und</v>
          </cell>
          <cell r="D1165">
            <v>1</v>
          </cell>
          <cell r="E1165">
            <v>199.42</v>
          </cell>
          <cell r="F1165">
            <v>199.42</v>
          </cell>
        </row>
        <row r="1166">
          <cell r="A1166" t="str">
            <v>210322</v>
          </cell>
          <cell r="B1166" t="str">
            <v>Corrimão em tubo de ferro galvanizado diam. 2" com chumbadores a cada 1.5m</v>
          </cell>
          <cell r="C1166" t="str">
            <v>m</v>
          </cell>
          <cell r="D1166">
            <v>1</v>
          </cell>
          <cell r="E1166">
            <v>160.47</v>
          </cell>
          <cell r="F1166">
            <v>160.47</v>
          </cell>
        </row>
        <row r="1167">
          <cell r="A1167" t="str">
            <v>22</v>
          </cell>
          <cell r="B1167" t="str">
            <v>APOIO</v>
          </cell>
          <cell r="C1167"/>
          <cell r="D1167"/>
          <cell r="E1167"/>
          <cell r="F1167"/>
        </row>
        <row r="1168">
          <cell r="A1168" t="str">
            <v>2208</v>
          </cell>
          <cell r="B1168" t="str">
            <v>Locação de veículo tipo Gol 1.000 a gasolina ou equivalente, com até 1 (um) ano de uso, em bom estado de conservação com:</v>
          </cell>
          <cell r="C1168"/>
          <cell r="D1168"/>
          <cell r="E1168"/>
          <cell r="F1168"/>
        </row>
        <row r="1169">
          <cell r="A1169" t="str">
            <v>220803</v>
          </cell>
          <cell r="B1169" t="str">
            <v>(Gol 1.000 4P- gasolina - preço LABOR) Seguro total, manutenção, combustível, eventuais taxas e emolumentos, bem como eventual substituição do veículo (se necessário), sem motorista, utilização até 2.000 (dois mil) km/mês</v>
          </cell>
          <cell r="C1169" t="str">
            <v>mês</v>
          </cell>
          <cell r="D1169">
            <v>1</v>
          </cell>
          <cell r="E1169">
            <v>4080.06</v>
          </cell>
          <cell r="F1169">
            <v>4080.06</v>
          </cell>
        </row>
        <row r="1170">
          <cell r="A1170" t="str">
            <v>31</v>
          </cell>
          <cell r="B1170" t="str">
            <v>SERVIÇOS GERAIS</v>
          </cell>
          <cell r="C1170"/>
          <cell r="D1170"/>
          <cell r="E1170"/>
          <cell r="F1170"/>
        </row>
        <row r="1171">
          <cell r="A1171" t="str">
            <v>3106</v>
          </cell>
          <cell r="B1171" t="str">
            <v>MÃO DE OBRA - (MENSALISTAS - LEIS SOCIAIS = 5%)</v>
          </cell>
          <cell r="C1171"/>
          <cell r="D1171"/>
          <cell r="E1171"/>
          <cell r="F1171"/>
        </row>
        <row r="1172">
          <cell r="A1172" t="str">
            <v>310601</v>
          </cell>
          <cell r="B1172" t="str">
            <v>Estagiário 4 horas - UFES (Leis Sociais = 5%)</v>
          </cell>
          <cell r="C1172" t="str">
            <v>MS</v>
          </cell>
          <cell r="D1172">
            <v>1</v>
          </cell>
          <cell r="E1172">
            <v>1155</v>
          </cell>
          <cell r="F1172">
            <v>1155</v>
          </cell>
        </row>
        <row r="1173">
          <cell r="A1173" t="str">
            <v>3108</v>
          </cell>
          <cell r="B1173" t="str">
            <v>ENCARGOS COMPLEMENTARES - EQUIPAMENTOS DE PROTEÇÃO INDIVIDUAL</v>
          </cell>
          <cell r="C1173"/>
          <cell r="D1173"/>
          <cell r="E1173"/>
          <cell r="F1173"/>
        </row>
        <row r="1174">
          <cell r="A1174" t="str">
            <v>310801</v>
          </cell>
          <cell r="B1174" t="str">
            <v>Capacete de obra</v>
          </cell>
          <cell r="C1174" t="str">
            <v>und</v>
          </cell>
          <cell r="D1174">
            <v>1</v>
          </cell>
          <cell r="E1174">
            <v>14.28</v>
          </cell>
          <cell r="F1174">
            <v>14.28</v>
          </cell>
        </row>
        <row r="1175">
          <cell r="A1175" t="str">
            <v>310802</v>
          </cell>
          <cell r="B1175" t="str">
            <v>Uniforme de obra (Calça e camisa)</v>
          </cell>
          <cell r="C1175" t="str">
            <v>und</v>
          </cell>
          <cell r="D1175">
            <v>1</v>
          </cell>
          <cell r="E1175">
            <v>109.6</v>
          </cell>
          <cell r="F1175">
            <v>109.6</v>
          </cell>
        </row>
        <row r="1176">
          <cell r="A1176" t="str">
            <v>310803</v>
          </cell>
          <cell r="B1176" t="str">
            <v>Veste de segurança</v>
          </cell>
          <cell r="C1176" t="str">
            <v>und</v>
          </cell>
          <cell r="D1176">
            <v>1</v>
          </cell>
          <cell r="E1176">
            <v>30.37</v>
          </cell>
          <cell r="F1176">
            <v>30.37</v>
          </cell>
        </row>
        <row r="1177">
          <cell r="A1177" t="str">
            <v>310804</v>
          </cell>
          <cell r="B1177" t="str">
            <v>Bota de segurança (par)</v>
          </cell>
          <cell r="C1177" t="str">
            <v>und</v>
          </cell>
          <cell r="D1177">
            <v>1</v>
          </cell>
          <cell r="E1177">
            <v>62.07</v>
          </cell>
          <cell r="F1177">
            <v>62.07</v>
          </cell>
        </row>
        <row r="1178">
          <cell r="A1178" t="str">
            <v>310805</v>
          </cell>
          <cell r="B1178" t="str">
            <v>Óculos de proteção</v>
          </cell>
          <cell r="C1178" t="str">
            <v>und</v>
          </cell>
          <cell r="D1178">
            <v>1</v>
          </cell>
          <cell r="E1178">
            <v>3.92</v>
          </cell>
          <cell r="F1178">
            <v>3.92</v>
          </cell>
        </row>
        <row r="1179">
          <cell r="A1179" t="str">
            <v>310806</v>
          </cell>
          <cell r="B1179" t="str">
            <v>Luva de raspa (par)</v>
          </cell>
          <cell r="C1179" t="str">
            <v>und</v>
          </cell>
          <cell r="D1179">
            <v>1</v>
          </cell>
          <cell r="E1179">
            <v>11.39</v>
          </cell>
          <cell r="F1179">
            <v>11.39</v>
          </cell>
        </row>
        <row r="1180">
          <cell r="A1180" t="str">
            <v>310807</v>
          </cell>
          <cell r="B1180" t="str">
            <v>Capa de chuva</v>
          </cell>
          <cell r="C1180" t="str">
            <v>und</v>
          </cell>
          <cell r="D1180">
            <v>1</v>
          </cell>
          <cell r="E1180">
            <v>20.51</v>
          </cell>
          <cell r="F1180">
            <v>20.51</v>
          </cell>
        </row>
        <row r="1181">
          <cell r="A1181" t="str">
            <v>310808</v>
          </cell>
          <cell r="B1181" t="str">
            <v>Máscara de ar</v>
          </cell>
          <cell r="C1181" t="str">
            <v>und</v>
          </cell>
          <cell r="D1181">
            <v>1</v>
          </cell>
          <cell r="E1181">
            <v>2.93</v>
          </cell>
          <cell r="F1181">
            <v>2.93</v>
          </cell>
        </row>
        <row r="1182">
          <cell r="A1182" t="str">
            <v>310809</v>
          </cell>
          <cell r="B1182" t="str">
            <v>Cinto de segurança</v>
          </cell>
          <cell r="C1182" t="str">
            <v>und</v>
          </cell>
          <cell r="D1182">
            <v>1</v>
          </cell>
          <cell r="E1182">
            <v>124.13</v>
          </cell>
          <cell r="F1182">
            <v>124.13</v>
          </cell>
        </row>
        <row r="1183">
          <cell r="A1183" t="str">
            <v>3109</v>
          </cell>
          <cell r="B1183" t="str">
            <v>ENCARGOS COMPLEMENTARES - FERRAMENTAS MANUAIS</v>
          </cell>
          <cell r="C1183"/>
          <cell r="D1183"/>
          <cell r="E1183"/>
          <cell r="F1183"/>
        </row>
        <row r="1184">
          <cell r="A1184" t="str">
            <v>310901</v>
          </cell>
          <cell r="B1184" t="str">
            <v>Picareta com cabo</v>
          </cell>
          <cell r="C1184" t="str">
            <v>und</v>
          </cell>
          <cell r="D1184">
            <v>1</v>
          </cell>
          <cell r="E1184">
            <v>88.62</v>
          </cell>
          <cell r="F1184">
            <v>88.62</v>
          </cell>
        </row>
        <row r="1185">
          <cell r="A1185" t="str">
            <v>310902</v>
          </cell>
          <cell r="B1185" t="str">
            <v>Pá de pedreiro com cabo</v>
          </cell>
          <cell r="C1185" t="str">
            <v>und</v>
          </cell>
          <cell r="D1185">
            <v>1</v>
          </cell>
          <cell r="E1185">
            <v>40.72</v>
          </cell>
          <cell r="F1185">
            <v>40.72</v>
          </cell>
        </row>
        <row r="1186">
          <cell r="A1186" t="str">
            <v>310903</v>
          </cell>
          <cell r="B1186" t="str">
            <v>Enxada com cabo</v>
          </cell>
          <cell r="C1186" t="str">
            <v>und</v>
          </cell>
          <cell r="D1186">
            <v>1</v>
          </cell>
          <cell r="E1186">
            <v>49.09</v>
          </cell>
          <cell r="F1186">
            <v>49.09</v>
          </cell>
        </row>
        <row r="1187">
          <cell r="A1187" t="str">
            <v>310904</v>
          </cell>
          <cell r="B1187" t="str">
            <v>Serrote 26"</v>
          </cell>
          <cell r="C1187" t="str">
            <v>und</v>
          </cell>
          <cell r="D1187">
            <v>1</v>
          </cell>
          <cell r="E1187">
            <v>64.63</v>
          </cell>
          <cell r="F1187">
            <v>64.63</v>
          </cell>
        </row>
        <row r="1188">
          <cell r="A1188" t="str">
            <v>310905</v>
          </cell>
          <cell r="B1188" t="str">
            <v>Martelo com cabo</v>
          </cell>
          <cell r="C1188" t="str">
            <v>und</v>
          </cell>
          <cell r="D1188">
            <v>1</v>
          </cell>
          <cell r="E1188">
            <v>30.28</v>
          </cell>
          <cell r="F1188">
            <v>30.28</v>
          </cell>
        </row>
        <row r="1189">
          <cell r="A1189" t="str">
            <v>310906</v>
          </cell>
          <cell r="B1189" t="str">
            <v>Nivel de pedreiro</v>
          </cell>
          <cell r="C1189" t="str">
            <v>und</v>
          </cell>
          <cell r="D1189">
            <v>1</v>
          </cell>
          <cell r="E1189">
            <v>24.08</v>
          </cell>
          <cell r="F1189">
            <v>24.08</v>
          </cell>
        </row>
        <row r="1190">
          <cell r="A1190" t="str">
            <v>310907</v>
          </cell>
          <cell r="B1190" t="str">
            <v>Alicate universal</v>
          </cell>
          <cell r="C1190" t="str">
            <v>und</v>
          </cell>
          <cell r="D1190">
            <v>1</v>
          </cell>
          <cell r="E1190">
            <v>29.78</v>
          </cell>
          <cell r="F1190">
            <v>29.78</v>
          </cell>
        </row>
        <row r="1191">
          <cell r="A1191" t="str">
            <v>310908</v>
          </cell>
          <cell r="B1191" t="str">
            <v>Marreta 5 Kg com cabo</v>
          </cell>
          <cell r="C1191" t="str">
            <v>und</v>
          </cell>
          <cell r="D1191">
            <v>1</v>
          </cell>
          <cell r="E1191">
            <v>130.77000000000001</v>
          </cell>
          <cell r="F1191">
            <v>130.77000000000001</v>
          </cell>
        </row>
        <row r="1192">
          <cell r="A1192" t="str">
            <v>310909</v>
          </cell>
          <cell r="B1192" t="str">
            <v>Chave de grifo 10"</v>
          </cell>
          <cell r="C1192" t="str">
            <v>und</v>
          </cell>
          <cell r="D1192">
            <v>1</v>
          </cell>
          <cell r="E1192">
            <v>44.77</v>
          </cell>
          <cell r="F1192">
            <v>44.77</v>
          </cell>
        </row>
        <row r="1193">
          <cell r="A1193" t="str">
            <v>310910</v>
          </cell>
          <cell r="B1193" t="str">
            <v>Jogo de chave de fenda</v>
          </cell>
          <cell r="C1193" t="str">
            <v>und</v>
          </cell>
          <cell r="D1193">
            <v>1</v>
          </cell>
          <cell r="E1193">
            <v>48.95</v>
          </cell>
          <cell r="F1193">
            <v>48.95</v>
          </cell>
        </row>
        <row r="1194">
          <cell r="A1194" t="str">
            <v>310911</v>
          </cell>
          <cell r="B1194" t="str">
            <v>Cavadeira de braço</v>
          </cell>
          <cell r="C1194" t="str">
            <v>und</v>
          </cell>
          <cell r="D1194">
            <v>1</v>
          </cell>
          <cell r="E1194">
            <v>46.9</v>
          </cell>
          <cell r="F1194">
            <v>46.9</v>
          </cell>
        </row>
        <row r="1195">
          <cell r="A1195" t="str">
            <v>310912</v>
          </cell>
          <cell r="B1195" t="str">
            <v>Serra Tico-tico</v>
          </cell>
          <cell r="C1195" t="str">
            <v>und</v>
          </cell>
          <cell r="D1195">
            <v>1</v>
          </cell>
          <cell r="E1195">
            <v>460.71</v>
          </cell>
          <cell r="F1195">
            <v>460.71</v>
          </cell>
        </row>
        <row r="1196">
          <cell r="A1196" t="str">
            <v>310913</v>
          </cell>
          <cell r="B1196" t="str">
            <v>Serra de disco (circular)</v>
          </cell>
          <cell r="C1196" t="str">
            <v>und</v>
          </cell>
          <cell r="D1196">
            <v>1</v>
          </cell>
          <cell r="E1196">
            <v>654.73</v>
          </cell>
          <cell r="F1196">
            <v>654.73</v>
          </cell>
        </row>
        <row r="1197">
          <cell r="A1197" t="str">
            <v>310914</v>
          </cell>
          <cell r="B1197" t="str">
            <v>Carrinho de mão</v>
          </cell>
          <cell r="C1197" t="str">
            <v>und</v>
          </cell>
          <cell r="D1197">
            <v>1</v>
          </cell>
          <cell r="E1197">
            <v>276.82</v>
          </cell>
          <cell r="F1197">
            <v>276.82</v>
          </cell>
        </row>
        <row r="1198">
          <cell r="A1198" t="str">
            <v>3125</v>
          </cell>
          <cell r="B1198" t="str">
            <v>MÃO DE OBRA (MENSALISTAS - COM DESONERAÇÃO - LEIS SOCIAIS=49,11%)</v>
          </cell>
          <cell r="C1198"/>
          <cell r="D1198"/>
          <cell r="E1198"/>
          <cell r="F1198"/>
        </row>
        <row r="1199">
          <cell r="A1199" t="str">
            <v>312501</v>
          </cell>
          <cell r="B1199" t="str">
            <v>Tecnico Segundo Grau -A-(Leis Sociais = 49,11%)</v>
          </cell>
          <cell r="C1199" t="str">
            <v>mês</v>
          </cell>
          <cell r="D1199">
            <v>1</v>
          </cell>
          <cell r="E1199">
            <v>5495.45</v>
          </cell>
          <cell r="F1199">
            <v>5495.45</v>
          </cell>
        </row>
        <row r="1200">
          <cell r="A1200" t="str">
            <v>312502</v>
          </cell>
          <cell r="B1200" t="str">
            <v>Engenheiro Senior(Leis Sociais = 49,11%)</v>
          </cell>
          <cell r="C1200" t="str">
            <v>mês</v>
          </cell>
          <cell r="D1200">
            <v>1</v>
          </cell>
          <cell r="E1200">
            <v>20666.650000000001</v>
          </cell>
          <cell r="F1200">
            <v>20666.650000000001</v>
          </cell>
        </row>
        <row r="1201">
          <cell r="A1201" t="str">
            <v>312503</v>
          </cell>
          <cell r="B1201" t="str">
            <v>Programador (Leis Sociais = 49,11%)</v>
          </cell>
          <cell r="C1201" t="str">
            <v>mês</v>
          </cell>
          <cell r="D1201">
            <v>1</v>
          </cell>
          <cell r="E1201">
            <v>8603.65</v>
          </cell>
          <cell r="F1201">
            <v>8603.65</v>
          </cell>
        </row>
        <row r="1202">
          <cell r="A1202" t="str">
            <v>312504</v>
          </cell>
          <cell r="B1202" t="str">
            <v>Digitador - 6 Horas(Leis Sociais = 49,11%)</v>
          </cell>
          <cell r="C1202" t="str">
            <v>mês</v>
          </cell>
          <cell r="D1202">
            <v>1</v>
          </cell>
          <cell r="E1202">
            <v>2633.28</v>
          </cell>
          <cell r="F1202">
            <v>2633.28</v>
          </cell>
        </row>
        <row r="1203">
          <cell r="A1203" t="str">
            <v>312505</v>
          </cell>
          <cell r="B1203" t="str">
            <v>Engenheiro Junior (Leis Sociais = 49,11%)</v>
          </cell>
          <cell r="C1203" t="str">
            <v>mês</v>
          </cell>
          <cell r="D1203">
            <v>1</v>
          </cell>
          <cell r="E1203">
            <v>14761.89</v>
          </cell>
          <cell r="F1203">
            <v>14761.89</v>
          </cell>
        </row>
        <row r="1204">
          <cell r="A1204" t="str">
            <v>312506</v>
          </cell>
          <cell r="B1204" t="str">
            <v>Tecnico Segundo Grau -B (Leis Sociais = 49,11%)</v>
          </cell>
          <cell r="C1204" t="str">
            <v>mês</v>
          </cell>
          <cell r="D1204">
            <v>1</v>
          </cell>
          <cell r="E1204">
            <v>4391.29</v>
          </cell>
          <cell r="F1204">
            <v>4391.29</v>
          </cell>
        </row>
        <row r="1205">
          <cell r="A1205" t="str">
            <v>312507</v>
          </cell>
          <cell r="B1205" t="str">
            <v>Tecnico Segundo Grau-C - (Leis Sociais = 49,11%)</v>
          </cell>
          <cell r="C1205" t="str">
            <v>mês</v>
          </cell>
          <cell r="D1205">
            <v>1</v>
          </cell>
          <cell r="E1205">
            <v>3976.76</v>
          </cell>
          <cell r="F1205">
            <v>3976.76</v>
          </cell>
        </row>
        <row r="1206">
          <cell r="A1206" t="str">
            <v>312508</v>
          </cell>
          <cell r="B1206" t="str">
            <v>Gerente de Projeto (Leis Sociais = 49,11%)</v>
          </cell>
          <cell r="C1206" t="str">
            <v>mês</v>
          </cell>
          <cell r="D1206">
            <v>1</v>
          </cell>
          <cell r="E1206">
            <v>11779.69</v>
          </cell>
          <cell r="F1206">
            <v>11779.69</v>
          </cell>
        </row>
        <row r="1207">
          <cell r="A1207" t="str">
            <v>312509</v>
          </cell>
          <cell r="B1207" t="str">
            <v>Analista de Sistemas (Leis Sociais = 49,11%)</v>
          </cell>
          <cell r="C1207" t="str">
            <v>mês</v>
          </cell>
          <cell r="D1207">
            <v>1</v>
          </cell>
          <cell r="E1207">
            <v>9781.6200000000008</v>
          </cell>
          <cell r="F1207">
            <v>9781.6200000000008</v>
          </cell>
        </row>
        <row r="1208">
          <cell r="A1208" t="str">
            <v>312510</v>
          </cell>
          <cell r="B1208" t="str">
            <v>Analista de Desenvolvimento (Leis Sociais = 49,11%)</v>
          </cell>
          <cell r="C1208" t="str">
            <v>mês</v>
          </cell>
          <cell r="D1208">
            <v>1</v>
          </cell>
          <cell r="E1208">
            <v>9781.6200000000008</v>
          </cell>
          <cell r="F1208">
            <v>9781.6200000000008</v>
          </cell>
        </row>
        <row r="1209">
          <cell r="A1209" t="str">
            <v>312511</v>
          </cell>
          <cell r="B1209" t="str">
            <v>Gerente Bd/Servidores/Redes (Leis Sociais = 49,11%)</v>
          </cell>
          <cell r="C1209" t="str">
            <v>mês</v>
          </cell>
          <cell r="D1209">
            <v>1</v>
          </cell>
          <cell r="E1209">
            <v>9990.3700000000008</v>
          </cell>
          <cell r="F1209">
            <v>9990.3700000000008</v>
          </cell>
        </row>
        <row r="1210">
          <cell r="A1210" t="str">
            <v>312512</v>
          </cell>
          <cell r="B1210" t="str">
            <v>Designer Gráfico (Leis Sociais = 49,11%)</v>
          </cell>
          <cell r="C1210" t="str">
            <v>mês</v>
          </cell>
          <cell r="D1210">
            <v>1</v>
          </cell>
          <cell r="E1210">
            <v>9155.35</v>
          </cell>
          <cell r="F1210">
            <v>9155.35</v>
          </cell>
        </row>
        <row r="1211">
          <cell r="A1211" t="str">
            <v>312513</v>
          </cell>
          <cell r="B1211" t="str">
            <v>Analista Sistemas/Suporte(Leis Sociais = 49,11%)</v>
          </cell>
          <cell r="C1211" t="str">
            <v>mês</v>
          </cell>
          <cell r="D1211">
            <v>1</v>
          </cell>
          <cell r="E1211">
            <v>9785.34</v>
          </cell>
          <cell r="F1211">
            <v>9785.34</v>
          </cell>
        </row>
        <row r="1212">
          <cell r="A1212" t="str">
            <v>312514</v>
          </cell>
          <cell r="B1212" t="str">
            <v>Coordenador Tecnico Especialista(Leis Sociais = 49,11%)</v>
          </cell>
          <cell r="C1212" t="str">
            <v>mês</v>
          </cell>
          <cell r="D1212">
            <v>1</v>
          </cell>
          <cell r="E1212">
            <v>21173.62</v>
          </cell>
          <cell r="F1212">
            <v>21173.62</v>
          </cell>
        </row>
        <row r="1213">
          <cell r="A1213" t="str">
            <v>312515</v>
          </cell>
          <cell r="B1213" t="str">
            <v>Cotador(Leis Sociais = 49,11%)</v>
          </cell>
          <cell r="C1213" t="str">
            <v>mês</v>
          </cell>
          <cell r="D1213">
            <v>1</v>
          </cell>
          <cell r="E1213">
            <v>5487.25</v>
          </cell>
          <cell r="F1213">
            <v>5487.25</v>
          </cell>
        </row>
        <row r="1214">
          <cell r="A1214" t="str">
            <v>312516</v>
          </cell>
          <cell r="B1214" t="str">
            <v>Tecnico Nivel Superior (Leis Sociais = 49,11%)</v>
          </cell>
          <cell r="C1214" t="str">
            <v>mês</v>
          </cell>
          <cell r="D1214">
            <v>1</v>
          </cell>
          <cell r="E1214">
            <v>11846.79</v>
          </cell>
          <cell r="F1214">
            <v>11846.79</v>
          </cell>
        </row>
        <row r="1215">
          <cell r="A1215" t="str">
            <v>312517</v>
          </cell>
          <cell r="B1215" t="str">
            <v>Engenheiro Pleno(Leis Sociais = 49,11%)</v>
          </cell>
          <cell r="C1215" t="str">
            <v>mês</v>
          </cell>
          <cell r="D1215">
            <v>1</v>
          </cell>
          <cell r="E1215">
            <v>17714.27</v>
          </cell>
          <cell r="F1215">
            <v>17714.27</v>
          </cell>
        </row>
        <row r="1216">
          <cell r="A1216" t="str">
            <v>312518</v>
          </cell>
          <cell r="B1216" t="str">
            <v>Almoxarife(Leis Sociais = 49,11%)</v>
          </cell>
          <cell r="C1216" t="str">
            <v>mês</v>
          </cell>
          <cell r="D1216">
            <v>1</v>
          </cell>
          <cell r="E1216">
            <v>2450.77</v>
          </cell>
          <cell r="F1216">
            <v>2450.77</v>
          </cell>
        </row>
        <row r="1217">
          <cell r="A1217" t="str">
            <v>312519</v>
          </cell>
          <cell r="B1217" t="str">
            <v>Mestre Obras Senior (Leis Sociais = 49,11%)</v>
          </cell>
          <cell r="C1217" t="str">
            <v>mês</v>
          </cell>
          <cell r="D1217">
            <v>1</v>
          </cell>
          <cell r="E1217">
            <v>4409.62</v>
          </cell>
          <cell r="F1217">
            <v>4409.62</v>
          </cell>
        </row>
        <row r="1218">
          <cell r="A1218" t="str">
            <v>312520</v>
          </cell>
          <cell r="B1218" t="str">
            <v>Vigia (Leis Sociais = 49,11%)</v>
          </cell>
          <cell r="C1218" t="str">
            <v>mês</v>
          </cell>
          <cell r="D1218">
            <v>1</v>
          </cell>
          <cell r="E1218">
            <v>1791.11</v>
          </cell>
          <cell r="F1218">
            <v>1791.11</v>
          </cell>
        </row>
        <row r="1219">
          <cell r="A1219" t="str">
            <v>312522</v>
          </cell>
          <cell r="B1219" t="str">
            <v>Encarregado de Turma (Leis Sociais = 49,11%)</v>
          </cell>
          <cell r="C1219" t="str">
            <v>mês</v>
          </cell>
          <cell r="D1219">
            <v>1</v>
          </cell>
          <cell r="E1219">
            <v>3391.95</v>
          </cell>
          <cell r="F1219">
            <v>3391.95</v>
          </cell>
        </row>
        <row r="1220">
          <cell r="A1220" t="str">
            <v>3126</v>
          </cell>
          <cell r="B1220" t="str">
            <v>MÃO DE OBRA (MENSALISTAS - SEM DESONERAÇÃO - LEIS SOCIAIS=72,68%)</v>
          </cell>
          <cell r="C1220"/>
          <cell r="D1220"/>
          <cell r="E1220"/>
          <cell r="F1220"/>
        </row>
        <row r="1221">
          <cell r="A1221" t="str">
            <v>312601</v>
          </cell>
          <cell r="B1221" t="str">
            <v>Tecnico Segundo Grau -A-(Leis Sociais = 72,68%)</v>
          </cell>
          <cell r="C1221" t="str">
            <v>mês</v>
          </cell>
          <cell r="D1221">
            <v>1</v>
          </cell>
          <cell r="E1221">
            <v>6364.12</v>
          </cell>
          <cell r="F1221">
            <v>6364.12</v>
          </cell>
        </row>
        <row r="1222">
          <cell r="A1222" t="str">
            <v>312602</v>
          </cell>
          <cell r="B1222" t="str">
            <v>Engenheiro Senior (Leis Sociais = 72,68%)</v>
          </cell>
          <cell r="C1222" t="str">
            <v>mês</v>
          </cell>
          <cell r="D1222">
            <v>1</v>
          </cell>
          <cell r="E1222">
            <v>23933.45</v>
          </cell>
          <cell r="F1222">
            <v>23933.45</v>
          </cell>
        </row>
        <row r="1223">
          <cell r="A1223" t="str">
            <v>312603</v>
          </cell>
          <cell r="B1223" t="str">
            <v>Programador (Leis Sociais = 72,68%)</v>
          </cell>
          <cell r="C1223" t="str">
            <v>mês</v>
          </cell>
          <cell r="D1223">
            <v>1</v>
          </cell>
          <cell r="E1223">
            <v>9963.64</v>
          </cell>
          <cell r="F1223">
            <v>9963.64</v>
          </cell>
        </row>
        <row r="1224">
          <cell r="A1224" t="str">
            <v>312604</v>
          </cell>
          <cell r="B1224" t="str">
            <v>Digitador - 6 Horas (Leis Sociais = 72,68%)</v>
          </cell>
          <cell r="C1224" t="str">
            <v>mês</v>
          </cell>
          <cell r="D1224">
            <v>1</v>
          </cell>
          <cell r="E1224">
            <v>3049.53</v>
          </cell>
          <cell r="F1224">
            <v>3049.53</v>
          </cell>
        </row>
        <row r="1225">
          <cell r="A1225" t="str">
            <v>312605</v>
          </cell>
          <cell r="B1225" t="str">
            <v>Engenheiro Junior (Leis Sociais = 72,68%)</v>
          </cell>
          <cell r="C1225" t="str">
            <v>mês</v>
          </cell>
          <cell r="D1225">
            <v>1</v>
          </cell>
          <cell r="E1225">
            <v>17095.32</v>
          </cell>
          <cell r="F1225">
            <v>17095.32</v>
          </cell>
        </row>
        <row r="1226">
          <cell r="A1226" t="str">
            <v>312606</v>
          </cell>
          <cell r="B1226" t="str">
            <v>Tecnico Segundo Grau -B (Leis Sociais = 72,68%)</v>
          </cell>
          <cell r="C1226" t="str">
            <v>mês</v>
          </cell>
          <cell r="D1226">
            <v>1</v>
          </cell>
          <cell r="E1226">
            <v>5085.43</v>
          </cell>
          <cell r="F1226">
            <v>5085.43</v>
          </cell>
        </row>
        <row r="1227">
          <cell r="A1227" t="str">
            <v>312607</v>
          </cell>
          <cell r="B1227" t="str">
            <v>Tecnico Segundo Grau-C - (Leis Sociais = 72,68%)</v>
          </cell>
          <cell r="C1227" t="str">
            <v>mês</v>
          </cell>
          <cell r="D1227">
            <v>1</v>
          </cell>
          <cell r="E1227">
            <v>4605.38</v>
          </cell>
          <cell r="F1227">
            <v>4605.38</v>
          </cell>
        </row>
        <row r="1228">
          <cell r="A1228" t="str">
            <v>312608</v>
          </cell>
          <cell r="B1228" t="str">
            <v>Gerente de Projeto (Leis Sociais = 72,68%)</v>
          </cell>
          <cell r="C1228" t="str">
            <v>mês</v>
          </cell>
          <cell r="D1228">
            <v>1</v>
          </cell>
          <cell r="E1228">
            <v>13641.72</v>
          </cell>
          <cell r="F1228">
            <v>13641.72</v>
          </cell>
        </row>
        <row r="1229">
          <cell r="A1229" t="str">
            <v>312609</v>
          </cell>
          <cell r="B1229" t="str">
            <v>Analista de Sistemas (Leis Sociais = 72,68%)</v>
          </cell>
          <cell r="C1229" t="str">
            <v>mês</v>
          </cell>
          <cell r="D1229">
            <v>1</v>
          </cell>
          <cell r="E1229">
            <v>11327.81</v>
          </cell>
          <cell r="F1229">
            <v>11327.81</v>
          </cell>
        </row>
        <row r="1230">
          <cell r="A1230" t="str">
            <v>312610</v>
          </cell>
          <cell r="B1230" t="str">
            <v>Analista de Desenvolvimento (Leis Sociais = 72,68%)</v>
          </cell>
          <cell r="C1230" t="str">
            <v>mês</v>
          </cell>
          <cell r="D1230">
            <v>1</v>
          </cell>
          <cell r="E1230">
            <v>11327.81</v>
          </cell>
          <cell r="F1230">
            <v>11327.81</v>
          </cell>
        </row>
        <row r="1231">
          <cell r="A1231" t="str">
            <v>312611</v>
          </cell>
          <cell r="B1231" t="str">
            <v>Gerente Bd/Servidores/Redes (Leis Sociais = 72,68%)</v>
          </cell>
          <cell r="C1231" t="str">
            <v>mês</v>
          </cell>
          <cell r="D1231">
            <v>1</v>
          </cell>
          <cell r="E1231">
            <v>11569.56</v>
          </cell>
          <cell r="F1231">
            <v>11569.56</v>
          </cell>
        </row>
        <row r="1232">
          <cell r="A1232" t="str">
            <v>312612</v>
          </cell>
          <cell r="B1232" t="str">
            <v>Designer Gráfico (Leis Sociais = 72,68%)</v>
          </cell>
          <cell r="C1232" t="str">
            <v>mês</v>
          </cell>
          <cell r="D1232">
            <v>1</v>
          </cell>
          <cell r="E1232">
            <v>10602.55</v>
          </cell>
          <cell r="F1232">
            <v>10602.55</v>
          </cell>
        </row>
        <row r="1233">
          <cell r="A1233" t="str">
            <v>312613</v>
          </cell>
          <cell r="B1233" t="str">
            <v>Analista Sistemas/Suporte (Leis Sociais = 72,68%)</v>
          </cell>
          <cell r="C1233" t="str">
            <v>mês</v>
          </cell>
          <cell r="D1233">
            <v>1</v>
          </cell>
          <cell r="E1233">
            <v>11332.13</v>
          </cell>
          <cell r="F1233">
            <v>11332.13</v>
          </cell>
        </row>
        <row r="1234">
          <cell r="A1234" t="str">
            <v>312614</v>
          </cell>
          <cell r="B1234" t="str">
            <v>Coordenador Tecnico Especialista (Leis Sociais = 72,68%)</v>
          </cell>
          <cell r="C1234" t="str">
            <v>mês</v>
          </cell>
          <cell r="D1234">
            <v>1</v>
          </cell>
          <cell r="E1234">
            <v>24520.560000000001</v>
          </cell>
          <cell r="F1234">
            <v>24520.560000000001</v>
          </cell>
        </row>
        <row r="1235">
          <cell r="A1235" t="str">
            <v>312615</v>
          </cell>
          <cell r="B1235" t="str">
            <v>Cotador (Leis Sociais = 72,68%)</v>
          </cell>
          <cell r="C1235" t="str">
            <v>mês</v>
          </cell>
          <cell r="D1235">
            <v>1</v>
          </cell>
          <cell r="E1235">
            <v>6354.62</v>
          </cell>
          <cell r="F1235">
            <v>6354.62</v>
          </cell>
        </row>
        <row r="1236">
          <cell r="A1236" t="str">
            <v>312616</v>
          </cell>
          <cell r="B1236" t="str">
            <v>Tecnico Nivel Superior (Leis Sociais = 72,68%)</v>
          </cell>
          <cell r="C1236" t="str">
            <v>mês</v>
          </cell>
          <cell r="D1236">
            <v>1</v>
          </cell>
          <cell r="E1236">
            <v>13719.43</v>
          </cell>
          <cell r="F1236">
            <v>13719.43</v>
          </cell>
        </row>
        <row r="1237">
          <cell r="A1237" t="str">
            <v>312617</v>
          </cell>
          <cell r="B1237" t="str">
            <v>Engenheiro Pleno (Leis Sociais = 72,68%)</v>
          </cell>
          <cell r="C1237" t="str">
            <v>mês</v>
          </cell>
          <cell r="D1237">
            <v>1</v>
          </cell>
          <cell r="E1237">
            <v>20514.38</v>
          </cell>
          <cell r="F1237">
            <v>20514.38</v>
          </cell>
        </row>
        <row r="1238">
          <cell r="A1238" t="str">
            <v>312618</v>
          </cell>
          <cell r="B1238" t="str">
            <v>Almoxarife (Leis Sociais = 72,68%)</v>
          </cell>
          <cell r="C1238" t="str">
            <v>mês</v>
          </cell>
          <cell r="D1238">
            <v>1</v>
          </cell>
          <cell r="E1238">
            <v>2838.17</v>
          </cell>
          <cell r="F1238">
            <v>2838.17</v>
          </cell>
        </row>
        <row r="1239">
          <cell r="A1239" t="str">
            <v>312619</v>
          </cell>
          <cell r="B1239" t="str">
            <v>Mestre Obras Senior (Leis Sociais = 72,68%)</v>
          </cell>
          <cell r="C1239" t="str">
            <v>mês</v>
          </cell>
          <cell r="D1239">
            <v>1</v>
          </cell>
          <cell r="E1239">
            <v>5106.6499999999996</v>
          </cell>
          <cell r="F1239">
            <v>5106.6499999999996</v>
          </cell>
        </row>
        <row r="1240">
          <cell r="A1240" t="str">
            <v>312620</v>
          </cell>
          <cell r="B1240" t="str">
            <v>Vigia (Leis Sociais = 72,68%)</v>
          </cell>
          <cell r="C1240" t="str">
            <v>mês</v>
          </cell>
          <cell r="D1240">
            <v>1</v>
          </cell>
          <cell r="E1240">
            <v>2074.23</v>
          </cell>
          <cell r="F1240">
            <v>2074.23</v>
          </cell>
        </row>
        <row r="1241">
          <cell r="A1241" t="str">
            <v>312621</v>
          </cell>
          <cell r="B1241" t="str">
            <v>Aux Almoxarife (Leis Sociais = 72,68%)</v>
          </cell>
          <cell r="C1241" t="str">
            <v>mês</v>
          </cell>
          <cell r="D1241">
            <v>1</v>
          </cell>
          <cell r="E1241">
            <v>2074.23</v>
          </cell>
          <cell r="F1241">
            <v>2074.23</v>
          </cell>
        </row>
        <row r="1242">
          <cell r="A1242" t="str">
            <v>312622</v>
          </cell>
          <cell r="B1242" t="str">
            <v>Encarregado de Turma (Leis Sociais = 72,68%)</v>
          </cell>
          <cell r="C1242" t="str">
            <v>mês</v>
          </cell>
          <cell r="D1242">
            <v>1</v>
          </cell>
          <cell r="E1242">
            <v>3928.12</v>
          </cell>
          <cell r="F1242">
            <v>3928.12</v>
          </cell>
        </row>
        <row r="1243">
          <cell r="A1243" t="str">
            <v>3127</v>
          </cell>
          <cell r="B1243" t="str">
            <v>MÃO DE OBRA (MENSALISTAS - COM DESONERAÇÃO - LEIS SOCIAIS=48,84%)</v>
          </cell>
          <cell r="C1243"/>
          <cell r="D1243"/>
          <cell r="E1243"/>
          <cell r="F1243"/>
        </row>
        <row r="1244">
          <cell r="A1244" t="str">
            <v>312701</v>
          </cell>
          <cell r="B1244" t="str">
            <v>Tecnico Segundo Grau -A-(Leis Sociais = 48,84%)</v>
          </cell>
          <cell r="C1244" t="str">
            <v>mês</v>
          </cell>
          <cell r="D1244">
            <v>1</v>
          </cell>
          <cell r="E1244">
            <v>5485.5</v>
          </cell>
          <cell r="F1244">
            <v>5485.5</v>
          </cell>
        </row>
        <row r="1245">
          <cell r="A1245" t="str">
            <v>312702</v>
          </cell>
          <cell r="B1245" t="str">
            <v>Engenheiro Senior(Leis Sociais = 48,84%)</v>
          </cell>
          <cell r="C1245" t="str">
            <v>mês</v>
          </cell>
          <cell r="D1245">
            <v>1</v>
          </cell>
          <cell r="E1245">
            <v>20629.22</v>
          </cell>
          <cell r="F1245">
            <v>20629.22</v>
          </cell>
        </row>
        <row r="1246">
          <cell r="A1246" t="str">
            <v>312703</v>
          </cell>
          <cell r="B1246" t="str">
            <v>Programador (Leis Sociais = 48,84%)</v>
          </cell>
          <cell r="C1246" t="str">
            <v>mês</v>
          </cell>
          <cell r="D1246">
            <v>1</v>
          </cell>
          <cell r="E1246">
            <v>8588.07</v>
          </cell>
          <cell r="F1246">
            <v>8588.07</v>
          </cell>
        </row>
        <row r="1247">
          <cell r="A1247" t="str">
            <v>312704</v>
          </cell>
          <cell r="B1247" t="str">
            <v>Digitador - 6 Horas(Leis Sociais = 48,84%)</v>
          </cell>
          <cell r="C1247" t="str">
            <v>mês</v>
          </cell>
          <cell r="D1247">
            <v>1</v>
          </cell>
          <cell r="E1247">
            <v>2628.51</v>
          </cell>
          <cell r="F1247">
            <v>2628.51</v>
          </cell>
        </row>
        <row r="1248">
          <cell r="A1248" t="str">
            <v>312705</v>
          </cell>
          <cell r="B1248" t="str">
            <v>Engenheiro Junior (Leis Sociais = 48,84%)</v>
          </cell>
          <cell r="C1248" t="str">
            <v>mês</v>
          </cell>
          <cell r="D1248">
            <v>1</v>
          </cell>
          <cell r="E1248">
            <v>14735.16</v>
          </cell>
          <cell r="F1248">
            <v>14735.16</v>
          </cell>
        </row>
        <row r="1249">
          <cell r="A1249" t="str">
            <v>312706</v>
          </cell>
          <cell r="B1249" t="str">
            <v>Tecnico Segundo Grau -B (Leis Sociais = 48,84%)</v>
          </cell>
          <cell r="C1249" t="str">
            <v>mês</v>
          </cell>
          <cell r="D1249">
            <v>1</v>
          </cell>
          <cell r="E1249">
            <v>4383.34</v>
          </cell>
          <cell r="F1249">
            <v>4383.34</v>
          </cell>
        </row>
        <row r="1250">
          <cell r="A1250" t="str">
            <v>312707</v>
          </cell>
          <cell r="B1250" t="str">
            <v>Tecnico Segundo Grau-C - (Leis Sociais = 48,84%)</v>
          </cell>
          <cell r="C1250" t="str">
            <v>mês</v>
          </cell>
          <cell r="D1250">
            <v>1</v>
          </cell>
          <cell r="E1250">
            <v>3969.56</v>
          </cell>
          <cell r="F1250">
            <v>3969.56</v>
          </cell>
        </row>
        <row r="1251">
          <cell r="A1251" t="str">
            <v>312708</v>
          </cell>
          <cell r="B1251" t="str">
            <v>Gerente de Projeto (Leis Sociais = 48,84%)</v>
          </cell>
          <cell r="C1251" t="str">
            <v>mês</v>
          </cell>
          <cell r="D1251">
            <v>1</v>
          </cell>
          <cell r="E1251">
            <v>11758.36</v>
          </cell>
          <cell r="F1251">
            <v>11758.36</v>
          </cell>
        </row>
        <row r="1252">
          <cell r="A1252" t="str">
            <v>312709</v>
          </cell>
          <cell r="B1252" t="str">
            <v>Analista de Sistemas (Leis Sociais = 48,84%)</v>
          </cell>
          <cell r="C1252" t="str">
            <v>mês</v>
          </cell>
          <cell r="D1252">
            <v>1</v>
          </cell>
          <cell r="E1252">
            <v>9763.9</v>
          </cell>
          <cell r="F1252">
            <v>9763.9</v>
          </cell>
        </row>
        <row r="1253">
          <cell r="A1253" t="str">
            <v>312710</v>
          </cell>
          <cell r="B1253" t="str">
            <v>Analista de Desenvolvimento (Leis Sociais = 48,84%)</v>
          </cell>
          <cell r="C1253" t="str">
            <v>mês</v>
          </cell>
          <cell r="D1253">
            <v>1</v>
          </cell>
          <cell r="E1253">
            <v>9763.9</v>
          </cell>
          <cell r="F1253">
            <v>9763.9</v>
          </cell>
        </row>
        <row r="1254">
          <cell r="A1254" t="str">
            <v>312711</v>
          </cell>
          <cell r="B1254" t="str">
            <v>Gerente Bd/Servidores/Redes (Leis Sociais = 48,84%)</v>
          </cell>
          <cell r="C1254" t="str">
            <v>mês</v>
          </cell>
          <cell r="D1254">
            <v>1</v>
          </cell>
          <cell r="E1254">
            <v>9972.2800000000007</v>
          </cell>
          <cell r="F1254">
            <v>9972.2800000000007</v>
          </cell>
        </row>
        <row r="1255">
          <cell r="A1255" t="str">
            <v>312712</v>
          </cell>
          <cell r="B1255" t="str">
            <v>Designer Gráfico (Leis Sociais = 48,84%)</v>
          </cell>
          <cell r="C1255" t="str">
            <v>mês</v>
          </cell>
          <cell r="D1255">
            <v>1</v>
          </cell>
          <cell r="E1255">
            <v>9138.7800000000007</v>
          </cell>
          <cell r="F1255">
            <v>9138.7800000000007</v>
          </cell>
        </row>
        <row r="1256">
          <cell r="A1256" t="str">
            <v>312713</v>
          </cell>
          <cell r="B1256" t="str">
            <v>Analista Sistemas/Suporte(Leis Sociais = 48,84%)</v>
          </cell>
          <cell r="C1256" t="str">
            <v>mês</v>
          </cell>
          <cell r="D1256">
            <v>1</v>
          </cell>
          <cell r="E1256">
            <v>9767.6299999999992</v>
          </cell>
          <cell r="F1256">
            <v>9767.6299999999992</v>
          </cell>
        </row>
        <row r="1257">
          <cell r="A1257" t="str">
            <v>312714</v>
          </cell>
          <cell r="B1257" t="str">
            <v>Coordenador Tecnico Especialista(Leis Sociais = 48,84%)</v>
          </cell>
          <cell r="C1257" t="str">
            <v>mês</v>
          </cell>
          <cell r="D1257">
            <v>1</v>
          </cell>
          <cell r="E1257">
            <v>21135.279999999999</v>
          </cell>
          <cell r="F1257">
            <v>21135.279999999999</v>
          </cell>
        </row>
        <row r="1258">
          <cell r="A1258" t="str">
            <v>312715</v>
          </cell>
          <cell r="B1258" t="str">
            <v>Cotador(Leis Sociais = 48,84%)</v>
          </cell>
          <cell r="C1258" t="str">
            <v>mês</v>
          </cell>
          <cell r="D1258">
            <v>1</v>
          </cell>
          <cell r="E1258">
            <v>5477.31</v>
          </cell>
          <cell r="F1258">
            <v>5477.31</v>
          </cell>
        </row>
        <row r="1259">
          <cell r="A1259" t="str">
            <v>312716</v>
          </cell>
          <cell r="B1259" t="str">
            <v>Tecnico Nivel Superior (Leis Sociais = 48,84%)</v>
          </cell>
          <cell r="C1259" t="str">
            <v>mês</v>
          </cell>
          <cell r="D1259">
            <v>1</v>
          </cell>
          <cell r="E1259">
            <v>11825.34</v>
          </cell>
          <cell r="F1259">
            <v>11825.34</v>
          </cell>
        </row>
        <row r="1260">
          <cell r="A1260" t="str">
            <v>312717</v>
          </cell>
          <cell r="B1260" t="str">
            <v>Engenheiro Pleno(Leis Sociais = 48,84%)</v>
          </cell>
          <cell r="C1260" t="str">
            <v>mês</v>
          </cell>
          <cell r="D1260">
            <v>1</v>
          </cell>
          <cell r="E1260">
            <v>17682.189999999999</v>
          </cell>
          <cell r="F1260">
            <v>17682.189999999999</v>
          </cell>
        </row>
        <row r="1261">
          <cell r="A1261" t="str">
            <v>312718</v>
          </cell>
          <cell r="B1261" t="str">
            <v>Almoxarife(Leis Sociais = 48,84%)</v>
          </cell>
          <cell r="C1261" t="str">
            <v>mês</v>
          </cell>
          <cell r="D1261">
            <v>1</v>
          </cell>
          <cell r="E1261">
            <v>2446.33</v>
          </cell>
          <cell r="F1261">
            <v>2446.33</v>
          </cell>
        </row>
        <row r="1262">
          <cell r="A1262" t="str">
            <v>312719</v>
          </cell>
          <cell r="B1262" t="str">
            <v>Mestre Obras Senior (Leis Sociais = 48,84%)</v>
          </cell>
          <cell r="C1262" t="str">
            <v>mês</v>
          </cell>
          <cell r="D1262">
            <v>1</v>
          </cell>
          <cell r="E1262">
            <v>4401.63</v>
          </cell>
          <cell r="F1262">
            <v>4401.63</v>
          </cell>
        </row>
        <row r="1263">
          <cell r="A1263" t="str">
            <v>312720</v>
          </cell>
          <cell r="B1263" t="str">
            <v>Vigia (Leis Sociais = 48,84%)</v>
          </cell>
          <cell r="C1263" t="str">
            <v>mês</v>
          </cell>
          <cell r="D1263">
            <v>1</v>
          </cell>
          <cell r="E1263">
            <v>1787.87</v>
          </cell>
          <cell r="F1263">
            <v>1787.87</v>
          </cell>
        </row>
        <row r="1264">
          <cell r="A1264" t="str">
            <v>312721</v>
          </cell>
          <cell r="B1264" t="str">
            <v>Auxiliar de Almoxarife (Leis Sociais = 48,84%)</v>
          </cell>
          <cell r="C1264" t="str">
            <v>mês</v>
          </cell>
          <cell r="D1264">
            <v>1</v>
          </cell>
          <cell r="E1264">
            <v>1787.87</v>
          </cell>
          <cell r="F1264">
            <v>1787.87</v>
          </cell>
        </row>
        <row r="1265">
          <cell r="A1265" t="str">
            <v>312722</v>
          </cell>
          <cell r="B1265" t="str">
            <v>Encarregado de Turma (Leis Sociais = 48,84%)</v>
          </cell>
          <cell r="C1265" t="str">
            <v>mês</v>
          </cell>
          <cell r="D1265">
            <v>1</v>
          </cell>
          <cell r="E1265">
            <v>3385.81</v>
          </cell>
          <cell r="F1265">
            <v>3385.81</v>
          </cell>
        </row>
        <row r="1266">
          <cell r="A1266" t="str">
            <v>3128</v>
          </cell>
          <cell r="B1266" t="str">
            <v>MÃO DE OBRA (MENSALISTAS - NÃO DESONERADO - LEIS SOCIAIS=72,36%)</v>
          </cell>
          <cell r="C1266"/>
          <cell r="D1266"/>
          <cell r="E1266"/>
          <cell r="F1266"/>
        </row>
        <row r="1267">
          <cell r="A1267" t="str">
            <v>312801</v>
          </cell>
          <cell r="B1267" t="str">
            <v>Tecnico Segundo Grau -A-(Leis Sociais = 72,36%)</v>
          </cell>
          <cell r="C1267" t="str">
            <v>mês</v>
          </cell>
          <cell r="D1267">
            <v>1</v>
          </cell>
          <cell r="E1267">
            <v>6352.33</v>
          </cell>
          <cell r="F1267">
            <v>6352.33</v>
          </cell>
        </row>
        <row r="1268">
          <cell r="A1268" t="str">
            <v>312802</v>
          </cell>
          <cell r="B1268" t="str">
            <v>Engenheiro Senior(Leis Sociais = 72,36%)</v>
          </cell>
          <cell r="C1268" t="str">
            <v>mês</v>
          </cell>
          <cell r="D1268">
            <v>1</v>
          </cell>
          <cell r="E1268">
            <v>23889.1</v>
          </cell>
          <cell r="F1268">
            <v>23889.1</v>
          </cell>
        </row>
        <row r="1269">
          <cell r="A1269" t="str">
            <v>312803</v>
          </cell>
          <cell r="B1269" t="str">
            <v>Programador (Leis Sociais = 72,36%)</v>
          </cell>
          <cell r="C1269" t="str">
            <v>mês</v>
          </cell>
          <cell r="D1269">
            <v>1</v>
          </cell>
          <cell r="E1269">
            <v>9945.17</v>
          </cell>
          <cell r="F1269">
            <v>9945.17</v>
          </cell>
        </row>
        <row r="1270">
          <cell r="A1270" t="str">
            <v>312804</v>
          </cell>
          <cell r="B1270" t="str">
            <v>Digitador - 6 Horas(Leis Sociais = 72,36%)</v>
          </cell>
          <cell r="C1270" t="str">
            <v>mês</v>
          </cell>
          <cell r="D1270">
            <v>1</v>
          </cell>
          <cell r="E1270">
            <v>3043.88</v>
          </cell>
          <cell r="F1270">
            <v>3043.88</v>
          </cell>
        </row>
        <row r="1271">
          <cell r="A1271" t="str">
            <v>312805</v>
          </cell>
          <cell r="B1271" t="str">
            <v>Engenheiro Junior (Leis Sociais = 72,36%)</v>
          </cell>
          <cell r="C1271" t="str">
            <v>mês</v>
          </cell>
          <cell r="D1271">
            <v>1</v>
          </cell>
          <cell r="E1271">
            <v>17063.64</v>
          </cell>
          <cell r="F1271">
            <v>17063.64</v>
          </cell>
        </row>
        <row r="1272">
          <cell r="A1272" t="str">
            <v>312806</v>
          </cell>
          <cell r="B1272" t="str">
            <v>Tecnico Segundo Grau -B (Leis Sociais = 72,36%)</v>
          </cell>
          <cell r="C1272" t="str">
            <v>mês</v>
          </cell>
          <cell r="D1272">
            <v>1</v>
          </cell>
          <cell r="E1272">
            <v>5076</v>
          </cell>
          <cell r="F1272">
            <v>5076</v>
          </cell>
        </row>
        <row r="1273">
          <cell r="A1273" t="str">
            <v>312807</v>
          </cell>
          <cell r="B1273" t="str">
            <v>Tecnico Segundo Grau-C - (Leis Sociais = 72,36%)</v>
          </cell>
          <cell r="C1273" t="str">
            <v>mês</v>
          </cell>
          <cell r="D1273">
            <v>1</v>
          </cell>
          <cell r="E1273">
            <v>4596.84</v>
          </cell>
          <cell r="F1273">
            <v>4596.84</v>
          </cell>
        </row>
        <row r="1274">
          <cell r="A1274" t="str">
            <v>312808</v>
          </cell>
          <cell r="B1274" t="str">
            <v>Gerente de Projeto (Leis Sociais = 72,36%)</v>
          </cell>
          <cell r="C1274" t="str">
            <v>mês</v>
          </cell>
          <cell r="D1274">
            <v>1</v>
          </cell>
          <cell r="E1274">
            <v>13616.44</v>
          </cell>
          <cell r="F1274">
            <v>13616.44</v>
          </cell>
        </row>
        <row r="1275">
          <cell r="A1275" t="str">
            <v>312809</v>
          </cell>
          <cell r="B1275" t="str">
            <v>Analista de Sistemas (Leis Sociais = 72,36%)</v>
          </cell>
          <cell r="C1275" t="str">
            <v>mês</v>
          </cell>
          <cell r="D1275">
            <v>1</v>
          </cell>
          <cell r="E1275">
            <v>11306.82</v>
          </cell>
          <cell r="F1275">
            <v>11306.82</v>
          </cell>
        </row>
        <row r="1276">
          <cell r="A1276" t="str">
            <v>312810</v>
          </cell>
          <cell r="B1276" t="str">
            <v>Analista de Desenvolvimento (Leis Sociais = 72,36%)</v>
          </cell>
          <cell r="C1276" t="str">
            <v>mês</v>
          </cell>
          <cell r="D1276">
            <v>1</v>
          </cell>
          <cell r="E1276">
            <v>11306.82</v>
          </cell>
          <cell r="F1276">
            <v>11306.82</v>
          </cell>
        </row>
        <row r="1277">
          <cell r="A1277" t="str">
            <v>312811</v>
          </cell>
          <cell r="B1277" t="str">
            <v>Gerente Bd/Servidores/Redes (Leis Sociais = 72,36%)</v>
          </cell>
          <cell r="C1277" t="str">
            <v>mês</v>
          </cell>
          <cell r="D1277">
            <v>1</v>
          </cell>
          <cell r="E1277">
            <v>11548.12</v>
          </cell>
          <cell r="F1277">
            <v>11548.12</v>
          </cell>
        </row>
        <row r="1278">
          <cell r="A1278" t="str">
            <v>312812</v>
          </cell>
          <cell r="B1278" t="str">
            <v>Designer Gráfico (Leis Sociais = 72,36%)</v>
          </cell>
          <cell r="C1278" t="str">
            <v>mês</v>
          </cell>
          <cell r="D1278">
            <v>1</v>
          </cell>
          <cell r="E1278">
            <v>10582.9</v>
          </cell>
          <cell r="F1278">
            <v>10582.9</v>
          </cell>
        </row>
        <row r="1279">
          <cell r="A1279" t="str">
            <v>312813</v>
          </cell>
          <cell r="B1279" t="str">
            <v>Analista Sistemas/Suporte(Leis Sociais = 72,36%)</v>
          </cell>
          <cell r="C1279" t="str">
            <v>mês</v>
          </cell>
          <cell r="D1279">
            <v>1</v>
          </cell>
          <cell r="E1279">
            <v>11311.13</v>
          </cell>
          <cell r="F1279">
            <v>11311.13</v>
          </cell>
        </row>
        <row r="1280">
          <cell r="A1280" t="str">
            <v>312814</v>
          </cell>
          <cell r="B1280" t="str">
            <v>Coordenador Tecnico Especialista(Leis Sociais = 72,36%)</v>
          </cell>
          <cell r="C1280" t="str">
            <v>mês</v>
          </cell>
          <cell r="D1280">
            <v>1</v>
          </cell>
          <cell r="E1280">
            <v>24475.119999999999</v>
          </cell>
          <cell r="F1280">
            <v>24475.119999999999</v>
          </cell>
        </row>
        <row r="1281">
          <cell r="A1281" t="str">
            <v>312815</v>
          </cell>
          <cell r="B1281" t="str">
            <v>Cotador(Leis Sociais = 72,36%)</v>
          </cell>
          <cell r="C1281" t="str">
            <v>mês</v>
          </cell>
          <cell r="D1281">
            <v>1</v>
          </cell>
          <cell r="E1281">
            <v>6342.85</v>
          </cell>
          <cell r="F1281">
            <v>6342.85</v>
          </cell>
        </row>
        <row r="1282">
          <cell r="A1282" t="str">
            <v>312816</v>
          </cell>
          <cell r="B1282" t="str">
            <v>Tecnico Nivel Superior (Leis Sociais = 72,36%)</v>
          </cell>
          <cell r="C1282" t="str">
            <v>mês</v>
          </cell>
          <cell r="D1282">
            <v>1</v>
          </cell>
          <cell r="E1282">
            <v>13694</v>
          </cell>
          <cell r="F1282">
            <v>13694</v>
          </cell>
        </row>
        <row r="1283">
          <cell r="A1283" t="str">
            <v>312817</v>
          </cell>
          <cell r="B1283" t="str">
            <v>Engenheiro Pleno(Leis Sociais = 72,36%)</v>
          </cell>
          <cell r="C1283" t="str">
            <v>mês</v>
          </cell>
          <cell r="D1283">
            <v>1</v>
          </cell>
          <cell r="E1283">
            <v>20476.37</v>
          </cell>
          <cell r="F1283">
            <v>20476.37</v>
          </cell>
        </row>
        <row r="1284">
          <cell r="A1284" t="str">
            <v>312818</v>
          </cell>
          <cell r="B1284" t="str">
            <v>Almoxarife(Leis Sociais = 72,36%)</v>
          </cell>
          <cell r="C1284" t="str">
            <v>mês</v>
          </cell>
          <cell r="D1284">
            <v>1</v>
          </cell>
          <cell r="E1284">
            <v>2832.91</v>
          </cell>
          <cell r="F1284">
            <v>2832.91</v>
          </cell>
        </row>
        <row r="1285">
          <cell r="A1285" t="str">
            <v>312819</v>
          </cell>
          <cell r="B1285" t="str">
            <v>Mestre Obras Senior (Leis Sociais = 72,36%)</v>
          </cell>
          <cell r="C1285" t="str">
            <v>mês</v>
          </cell>
          <cell r="D1285">
            <v>1</v>
          </cell>
          <cell r="E1285">
            <v>5097.1899999999996</v>
          </cell>
          <cell r="F1285">
            <v>5097.1899999999996</v>
          </cell>
        </row>
        <row r="1286">
          <cell r="A1286" t="str">
            <v>312820</v>
          </cell>
          <cell r="B1286" t="str">
            <v>Vigia (Leis Sociais = 72,36%)</v>
          </cell>
          <cell r="C1286" t="str">
            <v>mês</v>
          </cell>
          <cell r="D1286">
            <v>1</v>
          </cell>
          <cell r="E1286">
            <v>2070.39</v>
          </cell>
          <cell r="F1286">
            <v>2070.39</v>
          </cell>
        </row>
        <row r="1287">
          <cell r="A1287" t="str">
            <v>312821</v>
          </cell>
          <cell r="B1287" t="str">
            <v>Auxiliar de Almoxarife (Leis Sociais = 72,36%)</v>
          </cell>
          <cell r="C1287" t="str">
            <v>mês</v>
          </cell>
          <cell r="D1287">
            <v>1</v>
          </cell>
          <cell r="E1287">
            <v>2070.39</v>
          </cell>
          <cell r="F1287">
            <v>2070.39</v>
          </cell>
        </row>
        <row r="1288">
          <cell r="A1288" t="str">
            <v>312822</v>
          </cell>
          <cell r="B1288" t="str">
            <v>Encarregado de Turma (Leis Sociais = 72,36%)</v>
          </cell>
          <cell r="C1288" t="str">
            <v>mês</v>
          </cell>
          <cell r="D1288">
            <v>1</v>
          </cell>
          <cell r="E1288">
            <v>3920.85</v>
          </cell>
          <cell r="F1288">
            <v>3920.85</v>
          </cell>
        </row>
        <row r="1289">
          <cell r="A1289"/>
        </row>
        <row r="1290">
          <cell r="A1290"/>
        </row>
        <row r="1291">
          <cell r="A1291"/>
        </row>
        <row r="1292">
          <cell r="A1292"/>
        </row>
        <row r="1293">
          <cell r="A1293"/>
        </row>
        <row r="1294">
          <cell r="A1294"/>
        </row>
        <row r="1295">
          <cell r="A1295"/>
        </row>
        <row r="1296">
          <cell r="A1296"/>
        </row>
        <row r="1297">
          <cell r="A1297"/>
        </row>
        <row r="1298">
          <cell r="A1298"/>
        </row>
        <row r="1299">
          <cell r="A1299"/>
        </row>
        <row r="1300">
          <cell r="A1300"/>
        </row>
        <row r="1301">
          <cell r="A1301"/>
        </row>
        <row r="1302">
          <cell r="A1302"/>
        </row>
        <row r="1303">
          <cell r="A1303"/>
        </row>
        <row r="1304">
          <cell r="A1304"/>
        </row>
        <row r="1305">
          <cell r="A1305"/>
        </row>
        <row r="1306">
          <cell r="A1306"/>
        </row>
        <row r="1307">
          <cell r="A1307"/>
        </row>
        <row r="1308">
          <cell r="A1308"/>
        </row>
        <row r="1309">
          <cell r="A1309"/>
        </row>
        <row r="1310">
          <cell r="A1310"/>
        </row>
        <row r="1311">
          <cell r="A1311"/>
        </row>
        <row r="1312">
          <cell r="A1312"/>
        </row>
        <row r="1313">
          <cell r="A1313"/>
        </row>
        <row r="1314">
          <cell r="A1314"/>
        </row>
        <row r="1315">
          <cell r="A1315"/>
        </row>
        <row r="1316">
          <cell r="A1316"/>
        </row>
        <row r="1317">
          <cell r="A1317"/>
        </row>
        <row r="1318">
          <cell r="A1318"/>
        </row>
      </sheetData>
      <sheetData sheetId="3"/>
      <sheetData sheetId="4">
        <row r="1">
          <cell r="C1" t="str">
            <v>UNIDADE</v>
          </cell>
        </row>
        <row r="2">
          <cell r="A2" t="str">
            <v>CODIGO  DA COMPOSICAO</v>
          </cell>
          <cell r="B2" t="str">
            <v>DESCRICAO DA COMPOSICAO</v>
          </cell>
          <cell r="C2"/>
          <cell r="D2" t="str">
            <v>CUSTO TOTAL</v>
          </cell>
        </row>
        <row r="3">
          <cell r="C3" t="str">
            <v>M</v>
          </cell>
        </row>
        <row r="4">
          <cell r="A4">
            <v>97141</v>
          </cell>
          <cell r="B4" t="str">
            <v>ASSENTAMENTO DE TUBO DE FERRO FUNDIDO PARA REDE DE ÁGUA, DN 80 MM, JUNTA ELÁSTICA, INSTALADO EM LOCAL COM NÍVEL ALTO DE INTERFERÊNCIAS (NÃO INCLUI FORNECIMENTO). AF_11/2017</v>
          </cell>
          <cell r="C4" t="str">
            <v>M</v>
          </cell>
          <cell r="D4">
            <v>8.3699999999999992</v>
          </cell>
        </row>
        <row r="5">
          <cell r="A5" t="str">
            <v>97142</v>
          </cell>
          <cell r="B5" t="str">
            <v>ASSENTAMENTO DE TUBO DE FERRO FUNDIDO PARA REDE DE ÁGUA, DN 100 MM, JUNTA ELÁSTICA, INSTALADO EM LOCAL COM NÍVEL ALTO DE INTERFERÊNCIAS (NÃO INCLUI FORNECIMENTO). AF_11/2017</v>
          </cell>
          <cell r="C5" t="str">
            <v>M</v>
          </cell>
          <cell r="D5">
            <v>9.33</v>
          </cell>
        </row>
        <row r="6">
          <cell r="A6" t="str">
            <v>97143</v>
          </cell>
          <cell r="B6" t="str">
            <v>ASSENTAMENTO DE TUBO DE FERRO FUNDIDO PARA REDE DE ÁGUA, DN 150 MM, JUNTA ELÁSTICA, INSTALADO EM LOCAL COM NÍVEL ALTO DE INTERFERÊNCIAS (NÃO INCLUI FORNECIMENTO). AF_11/2017</v>
          </cell>
          <cell r="C6" t="str">
            <v>M</v>
          </cell>
          <cell r="D6">
            <v>11.73</v>
          </cell>
        </row>
        <row r="7">
          <cell r="A7" t="str">
            <v>97144</v>
          </cell>
          <cell r="B7" t="str">
            <v>ASSENTAMENTO DE TUBO DE FERRO FUNDIDO PARA REDE DE ÁGUA, DN 200 MM, JUNTA ELÁSTICA, INSTALADO EM LOCAL COM NÍVEL ALTO DE INTERFERÊNCIAS (NÃO INCLUI FORNECIMENTO). AF_11/2017</v>
          </cell>
          <cell r="C7" t="str">
            <v>M</v>
          </cell>
          <cell r="D7">
            <v>14.11</v>
          </cell>
        </row>
        <row r="8">
          <cell r="A8" t="str">
            <v>97145</v>
          </cell>
          <cell r="B8" t="str">
            <v>ASSENTAMENTO DE TUBO DE FERRO FUNDIDO PARA REDE DE ÁGUA, DN 250 MM, JUNTA ELÁSTICA, INSTALADO EM LOCAL COM NÍVEL ALTO DE INTERFERÊNCIAS (NÃO INCLUI FORNECIMENTO). AF_11/2017</v>
          </cell>
          <cell r="C8" t="str">
            <v>M</v>
          </cell>
          <cell r="D8">
            <v>16.52</v>
          </cell>
        </row>
        <row r="9">
          <cell r="A9" t="str">
            <v>97146</v>
          </cell>
          <cell r="B9" t="str">
            <v>ASSENTAMENTO DE TUBO DE FERRO FUNDIDO PARA REDE DE ÁGUA, DN 300 MM, JUNTA ELÁSTICA, INSTALADO EM LOCAL COM NÍVEL ALTO DE INTERFERÊNCIAS (NÃO INCLUI FORNECIMENTO). AF_11/2017</v>
          </cell>
          <cell r="C9" t="str">
            <v>M</v>
          </cell>
          <cell r="D9">
            <v>18.93</v>
          </cell>
        </row>
        <row r="10">
          <cell r="A10" t="str">
            <v>97147</v>
          </cell>
          <cell r="B10" t="str">
            <v>ASSENTAMENTO DE TUBO DE FERRO FUNDIDO PARA REDE DE ÁGUA, DN 350 MM, JUNTA ELÁSTICA, INSTALADO EM LOCAL COM NÍVEL ALTO DE INTERFERÊNCIAS (NÃO INCLUI FORNECIMENTO). AF_11/2017</v>
          </cell>
          <cell r="C10" t="str">
            <v>M</v>
          </cell>
          <cell r="D10">
            <v>21.36</v>
          </cell>
        </row>
        <row r="11">
          <cell r="A11" t="str">
            <v>97148</v>
          </cell>
          <cell r="B11" t="str">
            <v>ASSENTAMENTO DE TUBO DE FERRO FUNDIDO PARA REDE DE ÁGUA, DN 400 MM, JUNTA ELÁSTICA, INSTALADO EM LOCAL COM NÍVEL ALTO DE INTERFERÊNCIAS (NÃO INCLUI FORNECIMENTO). AF_11/2017</v>
          </cell>
          <cell r="C11" t="str">
            <v>M</v>
          </cell>
          <cell r="D11">
            <v>23.76</v>
          </cell>
        </row>
        <row r="12">
          <cell r="A12" t="str">
            <v>97149</v>
          </cell>
          <cell r="B12" t="str">
            <v>ASSENTAMENTO DE TUBO DE FERRO FUNDIDO PARA REDE DE ÁGUA, DN 450 MM, JUNTA ELÁSTICA, INSTALADO EM LOCAL COM NÍVEL ALTO DE INTERFERÊNCIAS (NÃO INCLUI FORNECIMENTO). AF_11/2017</v>
          </cell>
          <cell r="C12" t="str">
            <v>M</v>
          </cell>
          <cell r="D12">
            <v>26.21</v>
          </cell>
        </row>
        <row r="13">
          <cell r="A13" t="str">
            <v>97150</v>
          </cell>
          <cell r="B13" t="str">
            <v>ASSENTAMENTO DE TUBO DE FERRO FUNDIDO PARA REDE DE ÁGUA, DN 500 MM, JUNTA ELÁSTICA, INSTALADO EM LOCAL COM NÍVEL ALTO DE INTERFERÊNCIAS (NÃO INCLUI FORNECIMENTO). AF_11/2017</v>
          </cell>
          <cell r="C13" t="str">
            <v>M</v>
          </cell>
          <cell r="D13">
            <v>33.22</v>
          </cell>
        </row>
        <row r="14">
          <cell r="A14" t="str">
            <v>97151</v>
          </cell>
          <cell r="B14" t="str">
            <v>ASSENTAMENTO DE TUBO DE FERRO FUNDIDO PARA REDE DE ÁGUA, DN 600 MM, JUNTA ELÁSTICA, INSTALADO EM LOCAL COM NÍVEL ALTO DE INTERFERÊNCIAS (NÃO INCLUI FORNECIMENTO). AF_11/2017</v>
          </cell>
          <cell r="C14" t="str">
            <v>M</v>
          </cell>
          <cell r="D14">
            <v>38.729999999999997</v>
          </cell>
        </row>
        <row r="15">
          <cell r="A15" t="str">
            <v>97152</v>
          </cell>
          <cell r="B15" t="str">
            <v>ASSENTAMENTO DE TUBO DE FERRO FUNDIDO PARA REDE DE ÁGUA, DN 700 MM, JUNTA ELÁSTICA, INSTALADO EM LOCAL COM NÍVEL ALTO DE INTERFERÊNCIAS (NÃO INCLUI FORNECIMENTO). AF_11/2017</v>
          </cell>
          <cell r="C15" t="str">
            <v>M</v>
          </cell>
          <cell r="D15">
            <v>43.99</v>
          </cell>
        </row>
        <row r="16">
          <cell r="A16" t="str">
            <v>97153</v>
          </cell>
          <cell r="B16" t="str">
            <v>ASSENTAMENTO DE TUBO DE FERRO FUNDIDO PARA REDE DE ÁGUA, DN 800 MM, JUNTA ELÁSTICA, INSTALADO EM LOCAL COM NÍVEL ALTO DE INTERFERÊNCIAS (NÃO INCLUI FORNECIMENTO). AF_11/2017</v>
          </cell>
          <cell r="C16" t="str">
            <v>M</v>
          </cell>
          <cell r="D16">
            <v>49.42</v>
          </cell>
        </row>
        <row r="17">
          <cell r="A17" t="str">
            <v>97154</v>
          </cell>
          <cell r="B17" t="str">
            <v>ASSENTAMENTO DE TUBO DE FERRO FUNDIDO PARA REDE DE ÁGUA, DN 900 MM, JUNTA ELÁSTICA, INSTALADO EM LOCAL COM NÍVEL ALTO DE INTERFERÊNCIAS (NÃO INCLUI FORNECIMENTO). AF_11/2017</v>
          </cell>
          <cell r="C17" t="str">
            <v>M</v>
          </cell>
          <cell r="D17">
            <v>54.88</v>
          </cell>
        </row>
        <row r="18">
          <cell r="A18" t="str">
            <v>97155</v>
          </cell>
          <cell r="B18" t="str">
            <v>ASSENTAMENTO DE TUBO DE FERRO FUNDIDO PARA REDE DE ÁGUA, DN 1000 MM, JUNTA ELÁSTICA, INSTALADO EM LOCAL COM NÍVEL ALTO DE INTERFERÊNCIAS (NÃO INCLUI FORNECIMENTO). AF_11/2017</v>
          </cell>
          <cell r="C18" t="str">
            <v>M</v>
          </cell>
          <cell r="D18">
            <v>60.34</v>
          </cell>
        </row>
        <row r="19">
          <cell r="A19" t="str">
            <v>97156</v>
          </cell>
          <cell r="B19" t="str">
            <v>ASSENTAMENTO DE TUBO DE FERRO FUNDIDO PARA REDE DE ÁGUA, DN 1200 MM, JUNTA ELÁSTICA, INSTALADO EM LOCAL COM NÍVEL ALTO DE INTERFERÊNCIAS (NÃO INCLUI FORNECIMENTO). AF_11/2017</v>
          </cell>
          <cell r="C19" t="str">
            <v>M</v>
          </cell>
          <cell r="D19">
            <v>71.680000000000007</v>
          </cell>
        </row>
        <row r="20">
          <cell r="A20" t="str">
            <v>97157</v>
          </cell>
          <cell r="B20" t="str">
            <v>ASSENTAMENTO DE TUBO DE FERRO FUNDIDO PARA REDE DE ÁGUA, DN 80 MM, JUNTA ELÁSTICA, INSTALADO EM LOCAL COM NÍVEL BAIXO DE INTERFERÊNCIAS (NÃO INCLUI FORNECIMENTO). AF_11/2017</v>
          </cell>
          <cell r="C20" t="str">
            <v>M</v>
          </cell>
          <cell r="D20">
            <v>5.07</v>
          </cell>
        </row>
        <row r="21">
          <cell r="A21" t="str">
            <v>97158</v>
          </cell>
          <cell r="B21" t="str">
            <v>ASSENTAMENTO DE TUBO DE FERRO FUNDIDO PARA REDE DE ÁGUA, DN 100 MM, JUNTA ELÁSTICA, INSTALADO EM LOCAL COM NÍVEL BAIXO DE INTERFERÊNCIAS (NÃO INCLUI FORNECIMENTO). AF_11/2017</v>
          </cell>
          <cell r="C21" t="str">
            <v>M</v>
          </cell>
          <cell r="D21">
            <v>5.65</v>
          </cell>
        </row>
        <row r="22">
          <cell r="A22" t="str">
            <v>97159</v>
          </cell>
          <cell r="B22" t="str">
            <v>ASSENTAMENTO DE TUBO DE FERRO FUNDIDO PARA REDE DE ÁGUA, DN 150 MM, JUNTA ELÁSTICA, INSTALADO EM LOCAL COM NÍVEL BAIXO DE INTERFERÊNCIAS (NÃO INCLUI FORNECIMENTO). AF_11/2017</v>
          </cell>
          <cell r="C22" t="str">
            <v>M</v>
          </cell>
          <cell r="D22">
            <v>7.12</v>
          </cell>
        </row>
        <row r="23">
          <cell r="A23" t="str">
            <v>97160</v>
          </cell>
          <cell r="B23" t="str">
            <v>ASSENTAMENTO DE TUBO DE FERRO FUNDIDO PARA REDE DE ÁGUA, DN 200 MM, JUNTA ELÁSTICA, INSTALADO EM LOCAL COM NÍVEL BAIXO DE INTERFERÊNCIAS (NÃO INCLUI FORNECIMENTO). AF_11/2017</v>
          </cell>
          <cell r="C23" t="str">
            <v>M</v>
          </cell>
          <cell r="D23">
            <v>8.56</v>
          </cell>
        </row>
        <row r="24">
          <cell r="A24" t="str">
            <v>97161</v>
          </cell>
          <cell r="B24" t="str">
            <v>ASSENTAMENTO DE TUBO DE FERRO FUNDIDO PARA REDE DE ÁGUA, DN 250 MM, JUNTA ELÁSTICA, INSTALADO EM LOCAL COM NÍVEL BAIXO DE INTERFERÊNCIAS (NÃO INCLUI FORNECIMENTO). AF_11/2017</v>
          </cell>
          <cell r="C24" t="str">
            <v>M</v>
          </cell>
          <cell r="D24">
            <v>10.039999999999999</v>
          </cell>
        </row>
        <row r="25">
          <cell r="A25" t="str">
            <v>97162</v>
          </cell>
          <cell r="B25" t="str">
            <v>ASSENTAMENTO DE TUBO DE FERRO FUNDIDO PARA REDE DE ÁGUA, DN 300 MM, JUNTA ELÁSTICA, INSTALADO EM LOCAL COM NÍVEL BAIXO DE INTERFERÊNCIAS (NÃO INCLUI FORNECIMENTO). AF_11/2017</v>
          </cell>
          <cell r="C25" t="str">
            <v>M</v>
          </cell>
          <cell r="D25">
            <v>11.52</v>
          </cell>
        </row>
        <row r="26">
          <cell r="A26" t="str">
            <v>97163</v>
          </cell>
          <cell r="B26" t="str">
            <v>ASSENTAMENTO DE TUBO DE FERRO FUNDIDO PARA REDE DE ÁGUA, DN 350 MM, JUNTA ELÁSTICA, INSTALADO EM LOCAL COM NÍVEL BAIXO DE INTERFERÊNCIAS (NÃO INCLUI FORNECIMENTO). AF_11/2017</v>
          </cell>
          <cell r="C26" t="str">
            <v>M</v>
          </cell>
          <cell r="D26">
            <v>13.02</v>
          </cell>
        </row>
        <row r="27">
          <cell r="A27" t="str">
            <v>97164</v>
          </cell>
          <cell r="B27" t="str">
            <v>ASSENTAMENTO DE TUBO DE FERRO FUNDIDO PARA REDE DE ÁGUA, DN 400 MM, JUNTA ELÁSTICA, INSTALADO EM LOCAL COM NÍVEL BAIXO DE INTERFERÊNCIAS (NÃO INCLUI FORNECIMENTO). AF_11/2017</v>
          </cell>
          <cell r="C27" t="str">
            <v>M</v>
          </cell>
          <cell r="D27">
            <v>14.48</v>
          </cell>
        </row>
        <row r="28">
          <cell r="A28" t="str">
            <v>97165</v>
          </cell>
          <cell r="B28" t="str">
            <v>ASSENTAMENTO DE TUBO DE FERRO FUNDIDO PARA REDE DE ÁGUA, DN 450 MM, JUNTA ELÁSTICA, INSTALADO EM LOCAL COM NÍVEL BAIXO DE INTERFERÊNCIAS (NÃO INCLUI FORNECIMENTO). AF_11/2017</v>
          </cell>
          <cell r="C28" t="str">
            <v>M</v>
          </cell>
          <cell r="D28">
            <v>15.99</v>
          </cell>
        </row>
        <row r="29">
          <cell r="A29" t="str">
            <v>97166</v>
          </cell>
          <cell r="B29" t="str">
            <v>ASSENTAMENTO DE TUBO DE FERRO FUNDIDO PARA REDE DE ÁGUA, DN 500 MM, JUNTA ELÁSTICA, INSTALADO EM LOCAL COM NÍVEL BAIXO DE INTERFERÊNCIAS (NÃO INCLUI FORNECIMENTO). AF_11/2017</v>
          </cell>
          <cell r="C29" t="str">
            <v>M</v>
          </cell>
          <cell r="D29">
            <v>20.25</v>
          </cell>
        </row>
        <row r="30">
          <cell r="A30" t="str">
            <v>97167</v>
          </cell>
          <cell r="B30" t="str">
            <v>ASSENTAMENTO DE TUBO DE FERRO FUNDIDO PARA REDE DE ÁGUA, DN 600 MM, JUNTA ELÁSTICA, INSTALADO EM LOCAL COM NÍVEL BAIXO DE INTERFERÊNCIAS (NÃO INCLUI FORNECIMENTO). AF_11/2017</v>
          </cell>
          <cell r="C30" t="str">
            <v>M</v>
          </cell>
          <cell r="D30">
            <v>23.64</v>
          </cell>
        </row>
        <row r="31">
          <cell r="A31" t="str">
            <v>97168</v>
          </cell>
          <cell r="B31" t="str">
            <v>ASSENTAMENTO DE TUBO DE FERRO FUNDIDO PARA REDE DE ÁGUA, DN 700 MM, JUNTA ELÁSTICA, INSTALADO EM LOCAL COM NÍVEL BAIXO DE INTERFERÊNCIAS (NÃO INCLUI FORNECIMENTO). AF_11/2017</v>
          </cell>
          <cell r="C31" t="str">
            <v>M</v>
          </cell>
          <cell r="D31">
            <v>26.78</v>
          </cell>
        </row>
        <row r="32">
          <cell r="A32" t="str">
            <v>97169</v>
          </cell>
          <cell r="B32" t="str">
            <v>ASSENTAMENTO DE TUBO DE FERRO FUNDIDO PARA REDE DE ÁGUA, DN 800 MM, JUNTA ELÁSTICA, INSTALADO EM LOCAL COM NÍVEL BAIXO DE INTERFERÊNCIAS (NÃO INCLUI FORNECIMENTO). AF_11/2017</v>
          </cell>
          <cell r="C32" t="str">
            <v>M</v>
          </cell>
          <cell r="D32">
            <v>30.07</v>
          </cell>
        </row>
        <row r="33">
          <cell r="A33" t="str">
            <v>97170</v>
          </cell>
          <cell r="B33" t="str">
            <v>ASSENTAMENTO DE TUBO DE FERRO FUNDIDO PARA REDE DE ÁGUA, DN 900 MM, JUNTA ELÁSTICA, INSTALADO EM LOCAL COM NÍVEL BAIXO DE INTERFERÊNCIAS (NÃO INCLUI FORNECIMENTO). AF_11/2017</v>
          </cell>
          <cell r="C33" t="str">
            <v>M</v>
          </cell>
          <cell r="D33">
            <v>33.409999999999997</v>
          </cell>
        </row>
        <row r="34">
          <cell r="A34" t="str">
            <v>97171</v>
          </cell>
          <cell r="B34" t="str">
            <v>ASSENTAMENTO DE TUBO DE FERRO FUNDIDO PARA REDE DE ÁGUA, DN 1000 MM, JUNTA ELÁSTICA, INSTALADO EM LOCAL COM NÍVEL BAIXO DE INTERFERÊNCIAS (NÃO INCLUI FORNECIMENTO). AF_11/2017</v>
          </cell>
          <cell r="C34" t="str">
            <v>M</v>
          </cell>
          <cell r="D34">
            <v>36.75</v>
          </cell>
        </row>
        <row r="35">
          <cell r="A35" t="str">
            <v>97172</v>
          </cell>
          <cell r="B35" t="str">
            <v>ASSENTAMENTO DE TUBO DE FERRO FUNDIDO PARA REDE DE ÁGUA, DN 1200 MM, JUNTA ELÁSTICA, INSTALADO EM LOCAL COM NÍVEL BAIXO DE INTERFERÊNCIAS (NÃO INCLUI FORNECIMENTO). AF_11/2017</v>
          </cell>
          <cell r="C35" t="str">
            <v>M</v>
          </cell>
          <cell r="D35">
            <v>43.85</v>
          </cell>
        </row>
        <row r="36">
          <cell r="A36" t="str">
            <v>97173</v>
          </cell>
          <cell r="B36" t="str">
            <v>ASSENTAMENTO DE TUBO DE AÇO CARBONO PARA REDE DE ÁGUA, DN 600 MM (24), JUNTA SOLDADA, INSTALADO EM LOCAL COM NÍVEL ALTO DE INTERFERÊNCIAS (NÃO INCLUI FORNECIMENTO). AF_11/2017</v>
          </cell>
          <cell r="C36" t="str">
            <v>M</v>
          </cell>
          <cell r="D36">
            <v>37.090000000000003</v>
          </cell>
        </row>
        <row r="37">
          <cell r="A37" t="str">
            <v>97174</v>
          </cell>
          <cell r="B37" t="str">
            <v>ASSENTAMENTO DE TUBO DE AÇO CARBONO PARA REDE DE ÁGUA, DN 700 MM (28), JUNTA SOLDADA, INSTALADO EM LOCAL COM NÍVEL ALTO DE INTERFERÊNCIAS (NÃO INCLUI FORNECIMENTO). AF_11/2017</v>
          </cell>
          <cell r="C37" t="str">
            <v>M</v>
          </cell>
          <cell r="D37">
            <v>42.91</v>
          </cell>
        </row>
        <row r="38">
          <cell r="A38" t="str">
            <v>97175</v>
          </cell>
          <cell r="B38" t="str">
            <v>ASSENTAMENTO DE TUBO DE AÇO CARBONO PARA REDE DE ÁGUA, DN 800 MM (32), JUNTA SOLDADA, INSTALADO EM LOCAL COM NÍVEL ALTO DE INTERFERÊNCIAS (NÃO INCLUI FORNECIMENTO). AF_11/2017</v>
          </cell>
          <cell r="C38" t="str">
            <v>M</v>
          </cell>
          <cell r="D38">
            <v>48.75</v>
          </cell>
        </row>
        <row r="39">
          <cell r="A39" t="str">
            <v>97176</v>
          </cell>
          <cell r="B39" t="str">
            <v>ASSENTAMENTO DE TUBO DE AÇO CARBONO PARA REDE DE ÁGUA, DN 900 MM (36), JUNTA SOLDADA, INSTALADO EM LOCAL COM NÍVEL ALTO DE INTERFERÊNCIAS (NÃO INCLUI FORNECIMENTO). AF_11/2017</v>
          </cell>
          <cell r="C39" t="str">
            <v>M</v>
          </cell>
          <cell r="D39">
            <v>54.56</v>
          </cell>
        </row>
        <row r="40">
          <cell r="A40" t="str">
            <v>97177</v>
          </cell>
          <cell r="B40" t="str">
            <v>ASSENTAMENTO DE TUBO DE AÇO CARBONO PARA REDE DE ÁGUA, DN 1000 MM (40) OU DN 1100 MM (44), JUNTA SOLDADA, INSTALADO EM LOCAL COM NÍVEL ALTO DE INTERFERÊNCIAS (NÃO INCLUI FORNECIMENTO). AF_11/2017</v>
          </cell>
          <cell r="C40" t="str">
            <v>M</v>
          </cell>
          <cell r="D40">
            <v>66.239999999999995</v>
          </cell>
        </row>
        <row r="41">
          <cell r="A41" t="str">
            <v>97178</v>
          </cell>
          <cell r="B41" t="str">
            <v>ASSENTAMENTO DE TUBO DE AÇO CARBONO PARA REDE DE ÁGUA, DN 1200 MM (48) OU DN 1300 MM (52), JUNTA SOLDADA, INSTALADO EM LOCAL COM NÍVEL ALTO DE INTERFERÊNCIAS (NÃO INCLUI FORNECIMENTO). AF_11/2017</v>
          </cell>
          <cell r="C41" t="str">
            <v>M</v>
          </cell>
          <cell r="D41">
            <v>77.91</v>
          </cell>
        </row>
        <row r="42">
          <cell r="A42" t="str">
            <v>97179</v>
          </cell>
          <cell r="B42" t="str">
            <v>ASSENTAMENTO DE TUBO DE AÇO CARBONO PARA REDE DE ÁGUA, DN 1400 MM (56'') OU DN 1500 MM (60), JUNTA SOLDADA, INSTALADO EM LOCAL COM NÍVEL ALTO DE INTERFERÊNCIAS (NÃO INCLUI FORNECIMENTO). AF_11/2017</v>
          </cell>
          <cell r="C42" t="str">
            <v>M</v>
          </cell>
          <cell r="D42">
            <v>89.56</v>
          </cell>
        </row>
        <row r="43">
          <cell r="A43" t="str">
            <v>97180</v>
          </cell>
          <cell r="B43" t="str">
            <v>ASSENTAMENTO DE TUBO DE AÇO CARBONO PARA REDE DE ÁGUA, DN 1600 MM (64) OU DN 1700 MM (68), JUNTA SOLDADA, INSTALADO EM LOCAL COM NÍVEL ALTO DE INTERFERÊNCIAS (NÃO INCLUI FORNECIMENTO). AF_11/2017</v>
          </cell>
          <cell r="C43" t="str">
            <v>M</v>
          </cell>
          <cell r="D43">
            <v>101.24</v>
          </cell>
        </row>
        <row r="44">
          <cell r="A44" t="str">
            <v>97181</v>
          </cell>
          <cell r="B44" t="str">
            <v>ASSENTAMENTO DE TUBO DE AÇO CARBONO PARA REDE DE ÁGUA, DN 1800 MM (72) OU DN 1900 MM (76), JUNTA SOLDADA, INSTALADO EM LOCAL COM NÍVEL ALTO DE INTERFERÊNCIAS (NÃO INCLUI FORNECIMENTO). AF_11/2017</v>
          </cell>
          <cell r="C44" t="str">
            <v>M</v>
          </cell>
          <cell r="D44">
            <v>117.11</v>
          </cell>
        </row>
        <row r="45">
          <cell r="A45" t="str">
            <v>97182</v>
          </cell>
          <cell r="B45" t="str">
            <v>ASSENTAMENTO DE TUBO DE AÇO CARBONO PARA REDE DE ÁGUA, DN 2000 MM (80) OU DN 2100 MM (84), JUNTA SOLDADA, INSTALADO EM LOCAL COM NÍVEL ALTO DE INTERFERÊNCIAS (NÃO INCLUI FORNECIMENTO). AF_11/2017</v>
          </cell>
          <cell r="C45" t="str">
            <v>M</v>
          </cell>
          <cell r="D45">
            <v>129.22</v>
          </cell>
        </row>
        <row r="46">
          <cell r="A46" t="str">
            <v>97183</v>
          </cell>
          <cell r="B46" t="str">
            <v>ASSENTAMENTO DE TUBO DE AÇO CARBONO PARA REDE DE ÁGUA, DN 600 MM (24), JUNTA SOLDADA, INSTALADO EM LOCAL COM NÍVEL BAIXO DE INTERFERÊNCIAS (NÃO INCLUI FORNECIMENTO). AF_11/2017</v>
          </cell>
          <cell r="C46" t="str">
            <v>M</v>
          </cell>
          <cell r="D46">
            <v>30.02</v>
          </cell>
        </row>
        <row r="47">
          <cell r="A47" t="str">
            <v>97184</v>
          </cell>
          <cell r="B47" t="str">
            <v>ASSENTAMENTO DE TUBO DE AÇO CARBONO PARA REDE DE ÁGUA, DN 700 MM (28), JUNTA SOLDADA, INSTALADO EM LOCAL COM NÍVEL BAIXO DE INTERFERÊNCIAS (NÃO INCLUI FORNECIMENTO). AF_11/2017</v>
          </cell>
          <cell r="C47" t="str">
            <v>M</v>
          </cell>
          <cell r="D47">
            <v>34.82</v>
          </cell>
        </row>
        <row r="48">
          <cell r="A48" t="str">
            <v>97185</v>
          </cell>
          <cell r="B48" t="str">
            <v>ASSENTAMENTO DE TUBO DE AÇO CARBONO PARA REDE DE ÁGUA, DN 800 MM (32), JUNTA SOLDADA, INSTALADO EM LOCAL COM NÍVEL BAIXO DE INTERFERÊNCIAS (NÃO INCLUI FORNECIMENTO). AF_11/2017</v>
          </cell>
          <cell r="C48" t="str">
            <v>M</v>
          </cell>
          <cell r="D48">
            <v>39.61</v>
          </cell>
        </row>
        <row r="49">
          <cell r="A49" t="str">
            <v>97186</v>
          </cell>
          <cell r="B49" t="str">
            <v>ASSENTAMENTO DE TUBO DE AÇO CARBONO PARA REDE DE ÁGUA, DN 900 MM (36), JUNTA SOLDADA, INSTALADO EM LOCAL COM NÍVEL BAIXO DE INTERFERÊNCIAS (NÃO INCLUI FORNECIMENTO). AF_11/2017</v>
          </cell>
          <cell r="C49" t="str">
            <v>M</v>
          </cell>
          <cell r="D49">
            <v>44.4</v>
          </cell>
        </row>
        <row r="50">
          <cell r="A50" t="str">
            <v>97187</v>
          </cell>
          <cell r="B50" t="str">
            <v>ASSENTAMENTO DE TUBO DE AÇO CARBONO PARA REDE DE ÁGUA, DN 1000 MM (40  ) OU DN 1100 MM (44  ), JUNTA SOLDADA, INSTALADO EM LOCAL COM NÍVEL BAIXO DE INTERFERÊNCIAS (NÃO INCLUI FORNECIMENTO). AF_11/2017</v>
          </cell>
          <cell r="C50" t="str">
            <v>M</v>
          </cell>
          <cell r="D50">
            <v>53.99</v>
          </cell>
        </row>
        <row r="51">
          <cell r="A51" t="str">
            <v>97188</v>
          </cell>
          <cell r="B51" t="str">
            <v>ASSENTAMENTO DE TUBO DE AÇO CARBONO PARA REDE DE ÁGUA, DN 1200 MM (48) OU DN 1300 MM (52), JUNTA SOLDADA, INSTALADO EM LOCAL COM NÍVEL BAIXO DE INTERFERÊNCIAS (NÃO INCLUI FORNECIMENTO). AF_11/2017</v>
          </cell>
          <cell r="C51" t="str">
            <v>M</v>
          </cell>
          <cell r="D51">
            <v>63.59</v>
          </cell>
        </row>
        <row r="52">
          <cell r="A52" t="str">
            <v>97189</v>
          </cell>
          <cell r="B52" t="str">
            <v>ASSENTAMENTO DE TUBO DE AÇO CARBONO PARA REDE DE ÁGUA, DN 1400 MM (56'') OU DN 1500 MM (60), JUNTA SOLDADA, INSTALADO EM LOCAL COM NÍVEL BAIXO DE INTERFERÊNCIAS (NÃO INCLUI FORNECIMENTO). AF_11/2017</v>
          </cell>
          <cell r="C52" t="str">
            <v>M</v>
          </cell>
          <cell r="D52">
            <v>73.180000000000007</v>
          </cell>
        </row>
        <row r="53">
          <cell r="A53" t="str">
            <v>97190</v>
          </cell>
          <cell r="B53" t="str">
            <v>ASSENTAMENTO DE TUBO DE AÇO CARBONO PARA REDE DE ÁGUA, DN 1600 MM (64) OU DN 1700 MM (68), JUNTA SOLDADA, INSTALADO EM LOCAL COM NÍVEL BAIXO DE INTERFERÊNCIAS (NÃO INCLUI FORNECIMENTO). AF_11/2017</v>
          </cell>
          <cell r="C53" t="str">
            <v>M</v>
          </cell>
          <cell r="D53">
            <v>82.77</v>
          </cell>
        </row>
        <row r="54">
          <cell r="A54" t="str">
            <v>97191</v>
          </cell>
          <cell r="B54" t="str">
            <v>ASSENTAMENTO DE TUBO DE AÇO CARBONO PARA REDE DE ÁGUA, DN 1800 MM (72) OU DN 1900 MM (76), JUNTA SOLDADA, INSTALADO EM LOCAL COM NÍVEL BAIXO DE INTERFERÊNCIAS (NÃO INCLUI FORNECIMENTO). AF_11/2017</v>
          </cell>
          <cell r="C54" t="str">
            <v>M</v>
          </cell>
          <cell r="D54">
            <v>95.42</v>
          </cell>
        </row>
        <row r="55">
          <cell r="A55" t="str">
            <v>97192</v>
          </cell>
          <cell r="B55" t="str">
            <v>ASSENTAMENTO DE TUBO DE AÇO CARBONO PARA REDE DE ÁGUA, DN 2000 MM (80) OU DN 2100 MM (84), JUNTA SOLDADA, INSTALADO EM LOCAL COM NÍVEL BAIXO DE INTERFERÊNCIAS (NÃO INCLUI FORNECIMENTO). AF_11/2017</v>
          </cell>
          <cell r="C55" t="str">
            <v>M</v>
          </cell>
          <cell r="D55">
            <v>105.33</v>
          </cell>
        </row>
        <row r="56">
          <cell r="A56" t="str">
            <v>90694</v>
          </cell>
          <cell r="B56" t="str">
            <v>TUBO DE PVC PARA REDE COLETORA DE ESGOTO DE PAREDE MACIÇA, DN 100 MM, JUNTA ELÁSTICA - FORNECIMENTO E ASSENTAMENTO. AF_01/2021</v>
          </cell>
          <cell r="C56" t="str">
            <v>M</v>
          </cell>
          <cell r="D56">
            <v>48.86</v>
          </cell>
        </row>
        <row r="57">
          <cell r="A57" t="str">
            <v>90695</v>
          </cell>
          <cell r="B57" t="str">
            <v>TUBO DE PVC PARA REDE COLETORA DE ESGOTO DE PAREDE MACIÇA, DN 150 MM, JUNTA ELÁSTICA  - FORNECIMENTO E ASSENTAMENTO. AF_01/2021</v>
          </cell>
          <cell r="C57" t="str">
            <v>M</v>
          </cell>
          <cell r="D57">
            <v>101.78</v>
          </cell>
        </row>
        <row r="58">
          <cell r="A58" t="str">
            <v>90696</v>
          </cell>
          <cell r="B58" t="str">
            <v>TUBO DE PVC PARA REDE COLETORA DE ESGOTO DE PAREDE MACIÇA, DN 200 MM, JUNTA ELÁSTICA - FORNECIMENTO E ASSENTAMENTO. AF_01/2021</v>
          </cell>
          <cell r="C58" t="str">
            <v>M</v>
          </cell>
          <cell r="D58">
            <v>151.22999999999999</v>
          </cell>
        </row>
        <row r="59">
          <cell r="A59" t="str">
            <v>90697</v>
          </cell>
          <cell r="B59" t="str">
            <v>TUBO DE PVC PARA REDE COLETORA DE ESGOTO DE PAREDE MACIÇA, DN 250 MM, JUNTA ELÁSTICA  - FORNECIMENTO E ASSENTAMENTO. AF_01/2021</v>
          </cell>
          <cell r="C59" t="str">
            <v>M</v>
          </cell>
          <cell r="D59">
            <v>254.95</v>
          </cell>
        </row>
        <row r="60">
          <cell r="A60" t="str">
            <v>90698</v>
          </cell>
          <cell r="B60" t="str">
            <v>TUBO DE PVC PARA REDE COLETORA DE ESGOTO DE PAREDE MACIÇA, DN 300 MM, JUNTA ELÁSTICA,  FORNECIMENTO E ASSENTAMENTO. AF_01/2021</v>
          </cell>
          <cell r="C60" t="str">
            <v>M</v>
          </cell>
          <cell r="D60">
            <v>408.89</v>
          </cell>
        </row>
        <row r="61">
          <cell r="A61" t="str">
            <v>90699</v>
          </cell>
          <cell r="B61" t="str">
            <v>TUBO DE PVC PARA REDE COLETORA DE ESGOTO DE PAREDE MACIÇA, DN 350 MM, JUNTA ELÁSTICA  - FORNECIMENTO E ASSENTAMENTO. AF_01/2021</v>
          </cell>
          <cell r="C61" t="str">
            <v>M</v>
          </cell>
          <cell r="D61">
            <v>505.56</v>
          </cell>
        </row>
        <row r="62">
          <cell r="A62" t="str">
            <v>90700</v>
          </cell>
          <cell r="B62" t="str">
            <v>TUBO DE PVC PARA REDE COLETORA DE ESGOTO DE PAREDE MACIÇA, DN 400 MM, JUNTA ELÁSTICA  FORNECIMENTO E ASSENTAMENTO. AF_01/2021</v>
          </cell>
          <cell r="C62" t="str">
            <v>M</v>
          </cell>
          <cell r="D62">
            <v>654.89</v>
          </cell>
        </row>
        <row r="63">
          <cell r="A63" t="str">
            <v>90701</v>
          </cell>
          <cell r="B63" t="str">
            <v>TUBO DE PVC CORRUGADO DE DUPLA PAREDE PARA REDE COLETORA DE ESGOTO, DN 150 MM, JUNTA ELÁSTICA - FORNECIMENTO E ASSENTAMENTO. AF_01/2021</v>
          </cell>
          <cell r="C63" t="str">
            <v>M</v>
          </cell>
          <cell r="D63">
            <v>82.42</v>
          </cell>
        </row>
        <row r="64">
          <cell r="A64" t="str">
            <v>90702</v>
          </cell>
          <cell r="B64" t="str">
            <v>TUBO DE PVC CORRUGADO DE DUPLA PAREDE PARA REDE COLETORA DE ESGOTO, DN 200 MM, JUNTA ELÁSTICA - FORNECIMENTO E ASSENTAMENTO. AF_01/2021</v>
          </cell>
          <cell r="C64" t="str">
            <v>M</v>
          </cell>
          <cell r="D64">
            <v>132.16999999999999</v>
          </cell>
        </row>
        <row r="65">
          <cell r="A65" t="str">
            <v>90703</v>
          </cell>
          <cell r="B65" t="str">
            <v>TUBO DE PVC CORRUGADO DE DUPLA PAREDE PARA REDE COLETORA DE ESGOTO, DN 250 MM, JUNTA ELÁSTICA - FORNECIMENTO E ASSENTAMENTO. AF_01/2021</v>
          </cell>
          <cell r="C65" t="str">
            <v>M</v>
          </cell>
          <cell r="D65">
            <v>218.32</v>
          </cell>
        </row>
        <row r="66">
          <cell r="A66" t="str">
            <v>90704</v>
          </cell>
          <cell r="B66" t="str">
            <v>TUBO DE PVC CORRUGADO DE DUPLA PAREDE PARA REDE COLETORA DE ESGOTO, DN 300 MM, JUNTA ELÁSTICA - FORNECIMENTO E ASSENTAMENTO. AF_01/2021</v>
          </cell>
          <cell r="C66" t="str">
            <v>M</v>
          </cell>
          <cell r="D66">
            <v>308.95</v>
          </cell>
        </row>
        <row r="67">
          <cell r="A67" t="str">
            <v>90705</v>
          </cell>
          <cell r="B67" t="str">
            <v>TUBO DE PVC CORRUGADO DE DUPLA PAREDE PARA REDE COLETORA DE ESGOTO, DN 350 MM, JUNTA ELÁSTICA - FORNECIMENTO E ASSENTAMENTO. AF_01/2021</v>
          </cell>
          <cell r="C67" t="str">
            <v>M</v>
          </cell>
          <cell r="D67">
            <v>421.96</v>
          </cell>
        </row>
        <row r="68">
          <cell r="A68" t="str">
            <v>90706</v>
          </cell>
          <cell r="B68" t="str">
            <v>TUBO DE PVC CORRUGADO DE DUPLA PAREDE PARA REDE COLETORA DE ESGOTO, DN 400 MM, JUNTA ELÁSTICA - FORNECIMENTO E ASSENTAMENTO. AF_01/2021</v>
          </cell>
          <cell r="C68" t="str">
            <v>M</v>
          </cell>
          <cell r="D68">
            <v>493.69</v>
          </cell>
        </row>
        <row r="69">
          <cell r="A69" t="str">
            <v>90708</v>
          </cell>
          <cell r="B69" t="str">
            <v>TUBO DE PEAD CORRUGADO DE DUPLA PAREDE PARA REDE COLETORA DE ESGOTO, DN 600 MM, JUNTA ELÁSTICA INTEGRADA - FORNECIMENTO E ASSENTAMENTO. AF_01/2021</v>
          </cell>
          <cell r="C69" t="str">
            <v>UN</v>
          </cell>
          <cell r="D69">
            <v>1389.51</v>
          </cell>
        </row>
        <row r="70">
          <cell r="A70" t="str">
            <v>90724</v>
          </cell>
          <cell r="B70" t="str">
            <v>JUNTA ARGAMASSADA ENTRE TUBO DN 100 MM E O POÇO DE VISITA/ CAIXA DE CONCRETO OU ALVENARIA EM REDES DE ESGOTO. AF_01/2021</v>
          </cell>
          <cell r="C70" t="str">
            <v>UN</v>
          </cell>
          <cell r="D70">
            <v>24.39</v>
          </cell>
        </row>
        <row r="71">
          <cell r="A71" t="str">
            <v>90725</v>
          </cell>
          <cell r="B71" t="str">
            <v>JUNTA ARGAMASSADA ENTRE TUBO DN 150 MM E O POÇO DE VISITA/ CAIXA DE CONCRETO OU ALVENARIA EM REDES DE ESGOTO. AF_01/2021</v>
          </cell>
          <cell r="C71" t="str">
            <v>UN</v>
          </cell>
          <cell r="D71">
            <v>29.95</v>
          </cell>
        </row>
        <row r="72">
          <cell r="A72" t="str">
            <v>90726</v>
          </cell>
          <cell r="B72" t="str">
            <v>JUNTA ARGAMASSADA ENTRE TUBO DN 200 MM E O POÇO/ CAIXA DE CONCRETO OU ALVENARIA EM REDES DE ESGOTO. AF_01/2021</v>
          </cell>
          <cell r="C72" t="str">
            <v>UN</v>
          </cell>
          <cell r="D72">
            <v>35.56</v>
          </cell>
        </row>
        <row r="73">
          <cell r="A73" t="str">
            <v>90727</v>
          </cell>
          <cell r="B73" t="str">
            <v>JUNTA ARGAMASSADA ENTRE TUBO DN 250 MM E O POÇO DE VISITA/ CAIXA DE CONCRETO OU ALVENARIA EM REDES DE ESGOTO. AF_01/2021</v>
          </cell>
          <cell r="C73" t="str">
            <v>UN</v>
          </cell>
          <cell r="D73">
            <v>41.14</v>
          </cell>
        </row>
        <row r="74">
          <cell r="A74" t="str">
            <v>90728</v>
          </cell>
          <cell r="B74" t="str">
            <v>JUNTA ARGAMASSADA ENTRE TUBO DN 300 MM E O POÇO DE VISITA/ CAIXA DE CONCRETO OU ALVENARIA EM REDES DE ESGOTO. AF_01/2021</v>
          </cell>
          <cell r="C74" t="str">
            <v>UN</v>
          </cell>
          <cell r="D74">
            <v>46.71</v>
          </cell>
        </row>
        <row r="75">
          <cell r="A75" t="str">
            <v>90729</v>
          </cell>
          <cell r="B75" t="str">
            <v>JUNTA ARGAMASSADA ENTRE TUBO DN 350 MM E O POÇO DE VISITA/ CAIXA DE CONCRETO OU ALVENARIA EM REDES DE ESGOTO. AF_01/2021</v>
          </cell>
          <cell r="C75" t="str">
            <v>UN</v>
          </cell>
          <cell r="D75">
            <v>52.28</v>
          </cell>
        </row>
        <row r="76">
          <cell r="A76" t="str">
            <v>90730</v>
          </cell>
          <cell r="B76" t="str">
            <v>JUNTA ARGAMASSADA ENTRE TUBO DN 400 MM E O POÇO DE VISITA/ CAIXA DE CONCRETO OU ALVENARIA EM REDES DE ESGOTO. AF_01/2021</v>
          </cell>
          <cell r="C76" t="str">
            <v>UN</v>
          </cell>
          <cell r="D76">
            <v>57.85</v>
          </cell>
        </row>
        <row r="77">
          <cell r="A77" t="str">
            <v>90731</v>
          </cell>
          <cell r="B77" t="str">
            <v>JUNTA ARGAMASSADA ENTRE TUBO DN 450 MM E O POÇO DE VISITA/ CAIXA DE CONCRETO OU ALVENARIA EM REDES DE ESGOTO. AF_01/2021</v>
          </cell>
          <cell r="C77" t="str">
            <v>UN</v>
          </cell>
          <cell r="D77">
            <v>63.41</v>
          </cell>
        </row>
        <row r="78">
          <cell r="A78" t="str">
            <v>90732</v>
          </cell>
          <cell r="B78" t="str">
            <v>JUNTA ARGAMASSADA ENTRE TUBO DN 600 MM E O POÇO DE VISITA/ CAIXA DE CONCRETO OU ALVENARIA EM REDES DE ESGOTO. AF_01/2021</v>
          </cell>
          <cell r="C78" t="str">
            <v>M</v>
          </cell>
          <cell r="D78">
            <v>80.12</v>
          </cell>
        </row>
        <row r="79">
          <cell r="A79" t="str">
            <v>90733</v>
          </cell>
          <cell r="B79" t="str">
            <v>ASSENTAMENTO DE TUBO DE PVC PARA REDE COLETORA DE ESGOTO DE PAREDE MACIÇA, DN 100 MM, JUNTA ELÁSTICA (NÃO INCLUI FORNECIMENTO). AF_01/2021</v>
          </cell>
          <cell r="C79" t="str">
            <v>M</v>
          </cell>
          <cell r="D79">
            <v>3.48</v>
          </cell>
        </row>
        <row r="80">
          <cell r="A80" t="str">
            <v>90734</v>
          </cell>
          <cell r="B80" t="str">
            <v>ASSENTAMENTO DE TUBO DE PVC PARA REDE COLETORA DE ESGOTO DE PAREDE MACIÇA, DN 150 MM, JUNTA ELÁSTICA,  (NÃO INCLUI FORNECIMENTO). AF_01/2021</v>
          </cell>
          <cell r="C80" t="str">
            <v>M</v>
          </cell>
          <cell r="D80">
            <v>4.12</v>
          </cell>
        </row>
        <row r="81">
          <cell r="A81" t="str">
            <v>90735</v>
          </cell>
          <cell r="B81" t="str">
            <v>ASSENTAMENTO DE TUBO DE PVC PARA REDE COLETORA DE ESGOTO DE PAREDE MACIÇA, DN 200 MM, JUNTA ELÁSTICA (NÃO INCLUI FORNECIMENTO). AF_01/2021</v>
          </cell>
          <cell r="C81" t="str">
            <v>M</v>
          </cell>
          <cell r="D81">
            <v>4.76</v>
          </cell>
        </row>
        <row r="82">
          <cell r="A82" t="str">
            <v>90736</v>
          </cell>
          <cell r="B82" t="str">
            <v>ASSENTAMENTO DE TUBO DE PVC PARA REDE COLETORA DE ESGOTO DE PAREDE MACIÇA, DN 250 MM, JUNTA ELÁSTICA (NÃO INCLUI FORNECIMENTO). AF_01/2021</v>
          </cell>
          <cell r="C82" t="str">
            <v>M</v>
          </cell>
          <cell r="D82">
            <v>5.4</v>
          </cell>
        </row>
        <row r="83">
          <cell r="A83" t="str">
            <v>90737</v>
          </cell>
          <cell r="B83" t="str">
            <v>ASSENTAMENTO DE TUBO DE PVC PARA REDE COLETORA DE ESGOTO DE PAREDE MACIÇA, DN 300 MM, JUNTA ELÁSTICA  (NÃO INCLUI FORNECIMENTO). AF_01/2021</v>
          </cell>
          <cell r="C83" t="str">
            <v>M</v>
          </cell>
          <cell r="D83">
            <v>6.04</v>
          </cell>
        </row>
        <row r="84">
          <cell r="A84" t="str">
            <v>90738</v>
          </cell>
          <cell r="B84" t="str">
            <v>ASSENTAMENTO DE TUBO DE PVC PARA REDE COLETORA DE ESGOTO DE PAREDE MACIÇA, DN 350 MM, JUNTA ELÁSTICA (NÃO INCLUI FORNECIMENTO). AF_01/2021</v>
          </cell>
          <cell r="C84" t="str">
            <v>M</v>
          </cell>
          <cell r="D84">
            <v>6.69</v>
          </cell>
        </row>
        <row r="85">
          <cell r="A85" t="str">
            <v>90739</v>
          </cell>
          <cell r="B85" t="str">
            <v>ASSENTAMENTO DE TUBO DE PVC PARA REDE COLETORA DE ESGOTO DE PAREDE MACIÇA, DN 400 MM, JUNTA ELÁSTICA (NÃO INCLUI FORNECIMENTO). AF_01/2021</v>
          </cell>
          <cell r="C85" t="str">
            <v>M</v>
          </cell>
          <cell r="D85">
            <v>8.84</v>
          </cell>
        </row>
        <row r="86">
          <cell r="A86" t="str">
            <v>90740</v>
          </cell>
          <cell r="B86" t="str">
            <v>ASSENTAMENTO DE TUBO DE PVC CORRUGADO DE DUPLA PAREDE PARA REDE COLETORA DE ESGOTO, DN 150 MM, JUNTA ELÁSTICA (NÃO INCLUI FORNECIMENTO). AF_01/2021</v>
          </cell>
          <cell r="C86" t="str">
            <v>M</v>
          </cell>
          <cell r="D86">
            <v>4.58</v>
          </cell>
        </row>
        <row r="87">
          <cell r="A87" t="str">
            <v>90741</v>
          </cell>
          <cell r="B87" t="str">
            <v>ASSENTAMENTO DE TUBO DE PVC CORRUGADO DE DUPLA PAREDE PARA REDE COLETORA DE ESGOTO, DN 200 MM, JUNTA ELÁSTICA (NÃO INCLUI FORNECIMENTO). AF_01/2021</v>
          </cell>
          <cell r="C87" t="str">
            <v>M</v>
          </cell>
          <cell r="D87">
            <v>5.23</v>
          </cell>
        </row>
        <row r="88">
          <cell r="A88" t="str">
            <v>90742</v>
          </cell>
          <cell r="B88" t="str">
            <v>ASSENTAMENTO DE TUBO DE PVC CORRUGADO DE DUPLA PAREDE PARA REDE COLETORA DE ESGOTO, DN 250 MM, JUNTA ELÁSTICA (NÃO INCLUI FORNECIMENTO). AF_01/2021</v>
          </cell>
          <cell r="C88" t="str">
            <v>M</v>
          </cell>
          <cell r="D88">
            <v>5.88</v>
          </cell>
        </row>
        <row r="89">
          <cell r="A89" t="str">
            <v>90743</v>
          </cell>
          <cell r="B89" t="str">
            <v>ASSENTAMENTO DE TUBO DE PVC CORRUGADO DE DUPLA PAREDE PARA REDE COLETORA DE ESGOTO, DN 300 MM, JUNTA ELÁSTICA (NÃO INCLUI FORNECIMENTO). AF_01/2021</v>
          </cell>
          <cell r="C89" t="str">
            <v>M</v>
          </cell>
          <cell r="D89">
            <v>6.52</v>
          </cell>
        </row>
        <row r="90">
          <cell r="A90" t="str">
            <v>90744</v>
          </cell>
          <cell r="B90" t="str">
            <v>ASSENTAMENTO DE TUBO DE PVC CORRUGADO DE DUPLA PAREDE PARA REDE COLETORA DE ESGOTO, DN 350 MM, JUNTA ELÁSTICA (NÃO INCLUI FORNECIMENTO). AF_01/2021</v>
          </cell>
          <cell r="C90" t="str">
            <v>M</v>
          </cell>
          <cell r="D90">
            <v>7.16</v>
          </cell>
        </row>
        <row r="91">
          <cell r="A91" t="str">
            <v>90745</v>
          </cell>
          <cell r="B91" t="str">
            <v>ASSENTAMENTO DE TUBO DE PVC CORRUGADO DE DUPLA PAREDE PARA REDE COLETORA DE ESGOTO, DN 400 MM, JUNTA ELÁSTICA  (NÃO INCLUI FORNECIMENTO). AF_01/2021</v>
          </cell>
          <cell r="C91" t="str">
            <v>M</v>
          </cell>
          <cell r="D91">
            <v>9.8800000000000008</v>
          </cell>
        </row>
        <row r="92">
          <cell r="A92" t="str">
            <v>90746</v>
          </cell>
          <cell r="B92" t="str">
            <v>ASSENTAMENTO DE TUBO DE PEAD CORRUGADO DE DUPLA PAREDE PARA REDE COLETORA DE ESGOTO, DN 450 MM, JUNTA ELÁSTICA INTEGRADA (NÃO INCLUI FORNECIMENTO). AF_01/2021</v>
          </cell>
          <cell r="C92" t="str">
            <v>M</v>
          </cell>
          <cell r="D92">
            <v>3.76</v>
          </cell>
        </row>
        <row r="93">
          <cell r="A93" t="str">
            <v>90747</v>
          </cell>
          <cell r="B93" t="str">
            <v>ASSENTAMENTO DE TUBO DE PEAD CORRUGADO DE DUPLA PAREDE PARA REDE COLETORA DE ESGOTO, DN 600 MM, JUNTA ELÁSTICA INTEGRADA (NÃO INCLUI FORNECIMENTO). AF_01/2021</v>
          </cell>
          <cell r="C93" t="str">
            <v>M</v>
          </cell>
          <cell r="D93">
            <v>16.54</v>
          </cell>
        </row>
        <row r="94">
          <cell r="A94" t="str">
            <v>94869</v>
          </cell>
          <cell r="B94" t="str">
            <v>TUBO DE PEAD CORRUGADO DE DUPLA PAREDE PARA REDE COLETORA DE ESGOTO, DN 250 MM, JUNTA ELÁSTICA INTEGRADA - FORNECIMENTO E ASSENTAMENTO. AF_01/2021</v>
          </cell>
          <cell r="C94" t="str">
            <v>M</v>
          </cell>
          <cell r="D94">
            <v>283.16000000000003</v>
          </cell>
        </row>
        <row r="95">
          <cell r="A95" t="str">
            <v>94870</v>
          </cell>
          <cell r="B95" t="str">
            <v>ASSENTAMENTO DE TUBO DE PEAD CORRUGADO DE DUPLA PAREDE PARA REDE COLETORA DE ESGOTO, DN 250 MM, JUNTA ELÁSTICA INTEGRADA (NÃO INCLUI FORNECIMENTO). AF_01/2021</v>
          </cell>
          <cell r="C95" t="str">
            <v>M</v>
          </cell>
          <cell r="D95">
            <v>1.94</v>
          </cell>
        </row>
        <row r="96">
          <cell r="A96" t="str">
            <v>94871</v>
          </cell>
          <cell r="B96" t="str">
            <v>TUBO DE PEAD CORRUGADO DE DUPLA PAREDE PARA REDE COLETORA DE ESGOTO, DN 300 MM, JUNTA ELÁSTICA INTEGRADA - FORNECIMENTO E ASSENTAMENTO. AF_01/2021</v>
          </cell>
          <cell r="C96" t="str">
            <v>M</v>
          </cell>
          <cell r="D96">
            <v>335.33</v>
          </cell>
        </row>
        <row r="97">
          <cell r="A97" t="str">
            <v>94872</v>
          </cell>
          <cell r="B97" t="str">
            <v>ASSENTAMENTO DE TUBO DE PEAD CORRUGADO DE DUPLA PAREDE PARA REDE COLETORA DE ESGOTO, DN 300 MM, JUNTA ELÁSTICA INTEGRADA  (NÃO INCLUI FORNECIMENTO). AF_01/2021</v>
          </cell>
          <cell r="C97" t="str">
            <v>M</v>
          </cell>
          <cell r="D97">
            <v>2.73</v>
          </cell>
        </row>
        <row r="98">
          <cell r="A98" t="str">
            <v>94875</v>
          </cell>
          <cell r="B98" t="str">
            <v>TUBO DE PEAD CORRUGADO DE DUPLA PAREDE PARA REDE COLETORA DE ESGOTO, DN 800 MM, JUNTA ELÁSTICA INTEGRADA - FORNECIMENTO E ASSENTAMENTO. AF_01/2021</v>
          </cell>
          <cell r="C98" t="str">
            <v>M</v>
          </cell>
          <cell r="D98">
            <v>1962.73</v>
          </cell>
        </row>
        <row r="99">
          <cell r="A99" t="str">
            <v>94876</v>
          </cell>
          <cell r="B99" t="str">
            <v>ASSENTAMENTO DE TUBO DE PEAD CORRUGADO DE DUPLA PAREDE PARA REDE COLETORA DE ESGOTO, DN 800 MM, JUNTA ELÁSTICA INTEGRADA  (NÃO INCLUI FORNECIMENTO). AF_01/2021</v>
          </cell>
          <cell r="C99" t="str">
            <v>M</v>
          </cell>
          <cell r="D99">
            <v>27.85</v>
          </cell>
        </row>
        <row r="100">
          <cell r="A100" t="str">
            <v>94878</v>
          </cell>
          <cell r="B100" t="str">
            <v>ASSENTAMENTO DE TUBO DE PEAD CORRUGADO DE DUPLA PAREDE PARA REDE COLETORA DE ESGOTO, DN 900 MM, JUNTA ELÁSTICA INTEGRADA (NÃO INCLUI FORNECIMENTO). AF_01/2021</v>
          </cell>
          <cell r="C100" t="str">
            <v>M</v>
          </cell>
          <cell r="D100">
            <v>32.22</v>
          </cell>
        </row>
        <row r="101">
          <cell r="A101" t="str">
            <v>94879</v>
          </cell>
          <cell r="B101" t="str">
            <v>TUBO DE PEAD CORRUGADO DE DUPLA PAREDE PARA REDE COLETORA DE ESGOTO, DN 1000 MM, JUNTA ELÁSTICA INTEGRADA - FORNECIMENTO E ASSENTAMENTO. AF_01/2021</v>
          </cell>
          <cell r="C101" t="str">
            <v>M</v>
          </cell>
          <cell r="D101">
            <v>2613.42</v>
          </cell>
        </row>
        <row r="102">
          <cell r="A102" t="str">
            <v>94880</v>
          </cell>
          <cell r="B102" t="str">
            <v>ASSENTAMENTO DE TUBO DE PEAD CORRUGADO DE DUPLA PAREDE PARA REDE COLETORA DE ESGOTO, DN 1000 MM, JUNTA ELÁSTICA INTEGRADA (NÃO INCLUI FORNECIMENTO). AF_01/2021</v>
          </cell>
          <cell r="C102" t="str">
            <v>M</v>
          </cell>
          <cell r="D102">
            <v>41.64</v>
          </cell>
        </row>
        <row r="103">
          <cell r="A103" t="str">
            <v>94881</v>
          </cell>
          <cell r="B103" t="str">
            <v>TUBO DE PEAD CORRUGADO DE DUPLA PAREDE PARA REDE COLETORA DE ESGOTO, DN 1200 MM, JUNTA ELÁSTICA INTEGRADA - FORNECIMENTO E ASSENTAMENTO. AF_01/2021</v>
          </cell>
          <cell r="C103" t="str">
            <v>M</v>
          </cell>
          <cell r="D103">
            <v>4084.72</v>
          </cell>
        </row>
        <row r="104">
          <cell r="A104" t="str">
            <v>94882</v>
          </cell>
          <cell r="B104" t="str">
            <v>ASSENTAMENTO DE TUBO DE PEAD CORRUGADO DE DUPLA PAREDE PARA REDE COLETORA DE ESGOTO, DN 1200 MM, JUNTA ELÁSTICA INTEGRADA (NÃO INCLUI FORNECIMENTO). AF_01/2021</v>
          </cell>
          <cell r="C104" t="str">
            <v>M</v>
          </cell>
          <cell r="D104">
            <v>48.33</v>
          </cell>
        </row>
        <row r="105">
          <cell r="A105" t="str">
            <v>94884</v>
          </cell>
          <cell r="B105" t="str">
            <v>ASSENTAMENTO DE TUBO DE PEAD CORRUGADO DE DUPLA PAREDE PARA REDE COLETORA DE ESGOTO, DN 1500 MM, JUNTA ELÁSTICA INTEGRADA (NÃO INCLUI FORNECIMENTO). AF_01/2021</v>
          </cell>
          <cell r="C105" t="str">
            <v>M</v>
          </cell>
          <cell r="D105">
            <v>61.94</v>
          </cell>
        </row>
        <row r="106">
          <cell r="A106" t="str">
            <v>97121</v>
          </cell>
          <cell r="B106" t="str">
            <v>ASSENTAMENTO DE TUBO DE PVC PBA PARA REDE DE ÁGUA, DN 50 MM, JUNTA ELÁSTICA INTEGRADA, INSTALADO EM LOCAL COM NÍVEL ALTO DE INTERFERÊNCIAS (NÃO INCLUI FORNECIMENTO). AF_11/2017</v>
          </cell>
          <cell r="C106" t="str">
            <v>M</v>
          </cell>
          <cell r="D106">
            <v>2.08</v>
          </cell>
        </row>
        <row r="107">
          <cell r="A107" t="str">
            <v>97122</v>
          </cell>
          <cell r="B107" t="str">
            <v>ASSENTAMENTO DE TUBO DE PVC PBA PARA REDE DE ÁGUA, DN 75 MM, JUNTA ELÁSTICA INTEGRADA, INSTALADO EM LOCAL COM NÍVEL ALTO DE INTERFERÊNCIAS (NÃO INCLUI FORNECIMENTO). AF_11/2017</v>
          </cell>
          <cell r="C107" t="str">
            <v>M</v>
          </cell>
          <cell r="D107">
            <v>2.88</v>
          </cell>
        </row>
        <row r="108">
          <cell r="A108" t="str">
            <v>97123</v>
          </cell>
          <cell r="B108" t="str">
            <v>ASSENTAMENTO DE TUBO DE PVC PBA PARA REDE DE ÁGUA, DN 100 MM, JUNTA ELÁSTICA INTEGRADA, INSTALADO EM LOCAL COM NÍVEL ALTO DE INTERFERÊNCIAS (NÃO INCLUI FORNECIMENTO). AF_11/2017</v>
          </cell>
          <cell r="C108" t="str">
            <v>M</v>
          </cell>
          <cell r="D108">
            <v>3.65</v>
          </cell>
        </row>
        <row r="109">
          <cell r="A109" t="str">
            <v>97124</v>
          </cell>
          <cell r="B109" t="str">
            <v>ASSENTAMENTO DE TUBO DE PVC PBA PARA REDE DE ÁGUA, DN 50 MM, JUNTA ELÁSTICA INTEGRADA, INSTALADO EM LOCAL COM NÍVEL BAIXO DE INTERFERÊNCIAS (NÃO INCLUI FORNECIMENTO). AF_11/2017</v>
          </cell>
          <cell r="C109" t="str">
            <v>M</v>
          </cell>
          <cell r="D109">
            <v>0.91</v>
          </cell>
        </row>
        <row r="110">
          <cell r="A110" t="str">
            <v>97125</v>
          </cell>
          <cell r="B110" t="str">
            <v>ASSENTAMENTO DE TUBO DE PVC PBA PARA REDE DE ÁGUA, DN 75 MM, JUNTA ELÁSTICA INTEGRADA, INSTALADO EM LOCAL COM NÍVEL BAIXO DE INTERFERÊNCIAS (NÃO INCLUI FORNECIMENTO). AF_11/2017</v>
          </cell>
          <cell r="C110" t="str">
            <v>M</v>
          </cell>
          <cell r="D110">
            <v>1.3</v>
          </cell>
        </row>
        <row r="111">
          <cell r="A111" t="str">
            <v>97126</v>
          </cell>
          <cell r="B111" t="str">
            <v>ASSENTAMENTO DE TUBO DE PVC PBA PARA REDE DE ÁGUA, DN 100 MM, JUNTA ELÁSTICA INTEGRADA, INSTALADO EM LOCAL COM NÍVEL BAIXO DE INTERFERÊNCIAS (NÃO INCLUI FORNECIMENTO). AF_11/2017</v>
          </cell>
          <cell r="C111" t="str">
            <v>M</v>
          </cell>
          <cell r="D111">
            <v>1.65</v>
          </cell>
        </row>
        <row r="112">
          <cell r="A112" t="str">
            <v>102264</v>
          </cell>
          <cell r="B112" t="str">
            <v>TUBO DE PVC BRANCO PARA REDE COLETORA DE ESGOTO CONDOMINIAL DE PAREDE MACIÇA, DN 100 MM, JUNTA ELÁSTICA - FORNECIMENTO E ASSENTAMENTO. AF_01/2021</v>
          </cell>
          <cell r="C112" t="str">
            <v>UN</v>
          </cell>
          <cell r="D112">
            <v>26.97</v>
          </cell>
        </row>
        <row r="113">
          <cell r="A113" t="str">
            <v>102265</v>
          </cell>
          <cell r="B113" t="str">
            <v>JUNTA ARGAMASSADA ENTRE TUBO DN 800 MM E O POÇO DE VISITA/ CAIXA DE CONCRETO OU ALVENARIA EM REDES DE ESGOTO. AF_01/2021</v>
          </cell>
          <cell r="C113" t="str">
            <v>UN</v>
          </cell>
          <cell r="D113">
            <v>102.4</v>
          </cell>
        </row>
        <row r="114">
          <cell r="A114" t="str">
            <v>102266</v>
          </cell>
          <cell r="B114" t="str">
            <v>JUNTA ARGAMASSADA ENTRE TUBO DN 900 MM E O POÇO DE VISITA/ CAIXA DE CONCRETO OU ALVENARIA EM REDES DE ESGOTO. AF_01/2021</v>
          </cell>
          <cell r="C114" t="str">
            <v>UN</v>
          </cell>
          <cell r="D114">
            <v>113.55</v>
          </cell>
        </row>
        <row r="115">
          <cell r="A115" t="str">
            <v>102267</v>
          </cell>
          <cell r="B115" t="str">
            <v>JUNTA ARGAMASSADA ENTRE TUBO DN 1000 MM E O POÇO DE VISITA/ CAIXA DE CONCRETO OU ALVENARIA EM REDES DE ESGOTO. AF_01/2021</v>
          </cell>
          <cell r="C115" t="str">
            <v>UN</v>
          </cell>
          <cell r="D115">
            <v>130.30000000000001</v>
          </cell>
        </row>
        <row r="116">
          <cell r="A116" t="str">
            <v>102268</v>
          </cell>
          <cell r="B116" t="str">
            <v>JUNTA ARGAMASSADA ENTRE TUBO DN 1200 MM E O POÇO DE VISITA/ CAIXA DE CONCRETO OU ALVENARIA EM REDES DE ESGOTO. AF_01/2021</v>
          </cell>
          <cell r="C116" t="str">
            <v>UN</v>
          </cell>
          <cell r="D116">
            <v>147</v>
          </cell>
        </row>
        <row r="117">
          <cell r="A117" t="str">
            <v>102269</v>
          </cell>
          <cell r="B117" t="str">
            <v>JUNTA ARGAMASSADA ENTRE TUBO DN 1500 MM E O POÇO DE VISITA/ CAIXA DE CONCRETO OU ALVENARIA EM REDES DE ESGOTO. AF_01/2021</v>
          </cell>
          <cell r="C117" t="str">
            <v>M</v>
          </cell>
          <cell r="D117">
            <v>180.42</v>
          </cell>
        </row>
        <row r="118">
          <cell r="A118" t="str">
            <v>92833</v>
          </cell>
          <cell r="B118" t="str">
            <v>TUBO DE CONCRETO PARA REDES COLETORAS DE ESGOTO SANITÁRIO, DIÂMETRO DE 300 MM, JUNTA ELÁSTICA, INSTALADO EM LOCAL COM BAIXO NÍVEL DE INTERFERÊNCIAS - FORNECIMENTO E ASSENTAMENTO. AF_12/2015</v>
          </cell>
          <cell r="C118" t="str">
            <v>M</v>
          </cell>
          <cell r="D118">
            <v>148.11000000000001</v>
          </cell>
        </row>
        <row r="119">
          <cell r="A119" t="str">
            <v>92834</v>
          </cell>
          <cell r="B119" t="str">
            <v>ASSENTAMENTO DE TUBO DE CONCRETO PARA REDES COLETORAS DE ESGOTO SANITÁRIO, DIÂMETRO DE 300 MM, JUNTA ELÁSTICA, INSTALADO EM LOCAL COM BAIXO NÍVEL DE INTERFERÊNCIAS (NÃO INCLUI FORNECIMENTO). AF_12/2015</v>
          </cell>
          <cell r="C119" t="str">
            <v>M</v>
          </cell>
          <cell r="D119">
            <v>8.83</v>
          </cell>
        </row>
        <row r="120">
          <cell r="A120" t="str">
            <v>92835</v>
          </cell>
          <cell r="B120" t="str">
            <v>TUBO DE CONCRETO PARA REDES COLETORAS DE ESGOTO SANITÁRIO, DIÂMETRO DE 400 MM, JUNTA ELÁSTICA, INSTALADO EM LOCAL COM BAIXO NÍVEL DE INTERFERÊNCIAS - FORNECIMENTO E ASSENTAMENTO. AF_12/2015</v>
          </cell>
          <cell r="C120" t="str">
            <v>M</v>
          </cell>
          <cell r="D120">
            <v>156.27000000000001</v>
          </cell>
        </row>
        <row r="121">
          <cell r="A121" t="str">
            <v>92836</v>
          </cell>
          <cell r="B121" t="str">
            <v>ASSENTAMENTO DE TUBO DE CONCRETO PARA REDES COLETORAS DE ESGOTO SANITÁRIO, DIÂMETRO DE 400 MM, JUNTA ELÁSTICA, INSTALADO EM LOCAL COM BAIXO NÍVEL DE INTERFERÊNCIAS (NÃO INCLUI FORNECIMENTO). AF_12/2015</v>
          </cell>
          <cell r="C121" t="str">
            <v>M</v>
          </cell>
          <cell r="D121">
            <v>11.29</v>
          </cell>
        </row>
        <row r="122">
          <cell r="A122" t="str">
            <v>92837</v>
          </cell>
          <cell r="B122" t="str">
            <v>TUBO DE CONCRETO PARA REDES COLETORAS DE ESGOTO SANITÁRIO, DIÂMETRO DE 500 MM, JUNTA ELÁSTICA, INSTALADO EM LOCAL COM BAIXO NÍVEL DE INTERFERÊNCIAS - FORNECIMENTO E ASSENTAMENTO. AF_12/2015</v>
          </cell>
          <cell r="C122" t="str">
            <v>M</v>
          </cell>
          <cell r="D122">
            <v>271.79000000000002</v>
          </cell>
        </row>
        <row r="123">
          <cell r="A123" t="str">
            <v>92838</v>
          </cell>
          <cell r="B123" t="str">
            <v>ASSENTAMENTO DE TUBO DE CONCRETO PARA REDES COLETORAS DE ESGOTO SANITÁRIO, DIÂMETRO DE 500 MM, JUNTA ELÁSTICA, INSTALADO EM LOCAL COM BAIXO NÍVEL DE INTERFERÊNCIAS (NÃO INCLUI FORNECIMENTO). AF_12/2015</v>
          </cell>
          <cell r="C123" t="str">
            <v>M</v>
          </cell>
          <cell r="D123">
            <v>13.55</v>
          </cell>
        </row>
        <row r="124">
          <cell r="A124" t="str">
            <v>92839</v>
          </cell>
          <cell r="B124" t="str">
            <v>TUBO DE CONCRETO PARA REDES COLETORAS DE ESGOTO SANITÁRIO, DIÂMETRO DE 600 MM, JUNTA ELÁSTICA, INSTALADO EM LOCAL COM BAIXO NÍVEL DE INTERFERÊNCIAS - FORNECIMENTO E ASSENTAMENTO. AF_12/2015</v>
          </cell>
          <cell r="C124" t="str">
            <v>M</v>
          </cell>
          <cell r="D124">
            <v>332.2</v>
          </cell>
        </row>
        <row r="125">
          <cell r="A125" t="str">
            <v>92840</v>
          </cell>
          <cell r="B125" t="str">
            <v>ASSENTAMENTO DE TUBO DE CONCRETO PARA REDES COLETORAS DE ESGOTO SANITÁRIO, DIÂMETRO DE 600 MM, JUNTA ELÁSTICA, INSTALADO EM LOCAL COM BAIXO NÍVEL DE INTERFERÊNCIAS (NÃO INCLUI FORNECIMENTO). AF_12/2015</v>
          </cell>
          <cell r="C125" t="str">
            <v>M</v>
          </cell>
          <cell r="D125">
            <v>16.059999999999999</v>
          </cell>
        </row>
        <row r="126">
          <cell r="A126" t="str">
            <v>92841</v>
          </cell>
          <cell r="B126" t="str">
            <v>TUBO DE CONCRETO PARA REDES COLETORAS DE ESGOTO SANITÁRIO, DIÂMETRO DE 700 MM, JUNTA ELÁSTICA, INSTALADO EM LOCAL COM BAIXO NÍVEL DE INTERFERÊNCIAS - FORNECIMENTO E ASSENTAMENTO. AF_12/2015</v>
          </cell>
          <cell r="C126" t="str">
            <v>M</v>
          </cell>
          <cell r="D126">
            <v>432.56</v>
          </cell>
        </row>
        <row r="127">
          <cell r="A127" t="str">
            <v>92842</v>
          </cell>
          <cell r="B127" t="str">
            <v>ASSENTAMENTO DE TUBO DE CONCRETO PARA REDES COLETORAS DE ESGOTO SANITÁRIO, DIÂMETRO DE 700 MM, JUNTA ELÁSTICA, INSTALADO EM LOCAL COM BAIXO NÍVEL DE INTERFERÊNCIAS (NÃO INCLUI FORNECIMENTO). AF_12/2015</v>
          </cell>
          <cell r="C127" t="str">
            <v>M</v>
          </cell>
          <cell r="D127">
            <v>18.329999999999998</v>
          </cell>
        </row>
        <row r="128">
          <cell r="A128" t="str">
            <v>92843</v>
          </cell>
          <cell r="B128" t="str">
            <v>TUBO DE CONCRETO PARA REDES COLETORAS DE ESGOTO SANITÁRIO, DIÂMETRO DE 800 MM, JUNTA ELÁSTICA, INSTALADO EM LOCAL COM BAIXO NÍVEL DE INTERFERÊNCIAS - FORNECIMENTO E ASSENTAMENTO. AF_12/2015</v>
          </cell>
          <cell r="C128" t="str">
            <v>M</v>
          </cell>
          <cell r="D128">
            <v>450.77</v>
          </cell>
        </row>
        <row r="129">
          <cell r="A129" t="str">
            <v>92844</v>
          </cell>
          <cell r="B129" t="str">
            <v>ASSENTAMENTO DE TUBO DE CONCRETO PARA REDES COLETORAS DE ESGOTO SANITÁRIO, DIÂMETRO DE 800 MM, JUNTA ELÁSTICA, INSTALADO EM LOCAL COM BAIXO NÍVEL DE INTERFERÊNCIAS (NÃO INCLUI FORNECIMENTO). AF_12/2015</v>
          </cell>
          <cell r="C129" t="str">
            <v>M</v>
          </cell>
          <cell r="D129">
            <v>20.83</v>
          </cell>
        </row>
        <row r="130">
          <cell r="A130" t="str">
            <v>92845</v>
          </cell>
          <cell r="B130" t="str">
            <v>TUBO DE CONCRETO PARA REDES COLETORAS DE ESGOTO SANITÁRIO, DIÂMETRO DE 900 MM, JUNTA ELÁSTICA, INSTALADO EM LOCAL COM BAIXO NÍVEL DE INTERFERÊNCIAS - FORNECIMENTO E ASSENTAMENTO. AF_12/2015</v>
          </cell>
          <cell r="C130" t="str">
            <v>M</v>
          </cell>
          <cell r="D130">
            <v>662.02</v>
          </cell>
        </row>
        <row r="131">
          <cell r="A131" t="str">
            <v>92846</v>
          </cell>
          <cell r="B131" t="str">
            <v>ASSENTAMENTO DE TUBO DE CONCRETO PARA REDES COLETORAS DE ESGOTO SANITÁRIO, DIÂMETRO DE 900 MM, JUNTA ELÁSTICA, INSTALADO EM LOCAL COM BAIXO NÍVEL DE INTERFERÊNCIAS (NÃO INCLUI FORNECIMENTO). AF_12/2015</v>
          </cell>
          <cell r="C131" t="str">
            <v>M</v>
          </cell>
          <cell r="D131">
            <v>23.1</v>
          </cell>
        </row>
        <row r="132">
          <cell r="A132" t="str">
            <v>92847</v>
          </cell>
          <cell r="B132" t="str">
            <v>TUBO DE CONCRETO PARA REDES COLETORAS DE ESGOTO SANITÁRIO, DIÂMETRO DE 1000 MM, JUNTA ELÁSTICA, INSTALADO EM LOCAL COM BAIXO NÍVEL DE INTERFERÊNCIAS - FORNECIMENTO E ASSENTAMENTO. AF_12/2015</v>
          </cell>
          <cell r="C132" t="str">
            <v>M</v>
          </cell>
          <cell r="D132">
            <v>683.37</v>
          </cell>
        </row>
        <row r="133">
          <cell r="A133" t="str">
            <v>92848</v>
          </cell>
          <cell r="B133" t="str">
            <v>ASSENTAMENTO DE TUBO DE CONCRETO PARA REDES COLETORAS DE ESGOTO SANITÁRIO, DIÂMETRO DE 1000 MM, JUNTA ELÁSTICA, INSTALADO EM LOCAL COM BAIXO NÍVEL DE INTERFERÊNCIAS (NÃO INCLUI FORNECIMENTO). AF_12/2015</v>
          </cell>
          <cell r="C133" t="str">
            <v>M</v>
          </cell>
          <cell r="D133">
            <v>25.63</v>
          </cell>
        </row>
        <row r="134">
          <cell r="A134" t="str">
            <v>92849</v>
          </cell>
          <cell r="B134" t="str">
            <v>TUBO DE CONCRETO PARA REDES COLETORAS DE ESGOTO SANITÁRIO, DIÂMETRO DE 300 MM, JUNTA ELÁSTICA, INSTALADO EM LOCAL COM ALTO NÍVEL DE INTERFERÊNCIAS - FORNECIMENTO E ASSENTAMENTO. AF_12/2015</v>
          </cell>
          <cell r="C134" t="str">
            <v>M</v>
          </cell>
          <cell r="D134">
            <v>155.86000000000001</v>
          </cell>
        </row>
        <row r="135">
          <cell r="A135" t="str">
            <v>92850</v>
          </cell>
          <cell r="B135" t="str">
            <v>ASSENTAMENTO DE TUBO DE CONCRETO PARA REDES COLETORAS DE ESGOTO SANITÁRIO, DIÂMETRO DE 300 MM, JUNTA ELÁSTICA, INSTALADO EM LOCAL COM ALTO NÍVEL DE INTERFERÊNCIAS (NÃO INCLUI FORNECIMENTO). AF_12/2015</v>
          </cell>
          <cell r="C135" t="str">
            <v>M</v>
          </cell>
          <cell r="D135">
            <v>16.73</v>
          </cell>
        </row>
        <row r="136">
          <cell r="A136" t="str">
            <v>92851</v>
          </cell>
          <cell r="B136" t="str">
            <v>TUBO DE CONCRETO PARA REDES COLETORAS DE ESGOTO SANITÁRIO, DIÂMETRO DE 400 MM, JUNTA ELÁSTICA, INSTALADO EM LOCAL COM ALTO NÍVEL DE INTERFERÊNCIAS - FORNECIMENTO E ASSENTAMENTO. AF_12/2015</v>
          </cell>
          <cell r="C136" t="str">
            <v>M</v>
          </cell>
          <cell r="D136">
            <v>165.91</v>
          </cell>
        </row>
        <row r="137">
          <cell r="A137" t="str">
            <v>92852</v>
          </cell>
          <cell r="B137" t="str">
            <v>ASSENTAMENTO DE TUBO DE CONCRETO PARA REDES COLETORAS DE ESGOTO SANITÁRIO, DIÂMETRO DE 400 MM, JUNTA ELÁSTICA, INSTALADO EM LOCAL COM ALTO NÍVEL DE INTERFERÊNCIAS (NÃO INCLUI FORNECIMENTO). AF_12/2015</v>
          </cell>
          <cell r="C137" t="str">
            <v>M</v>
          </cell>
          <cell r="D137">
            <v>21.12</v>
          </cell>
        </row>
        <row r="138">
          <cell r="A138" t="str">
            <v>92853</v>
          </cell>
          <cell r="B138" t="str">
            <v>TUBO DE CONCRETO PARA REDES COLETORAS DE ESGOTO SANITÁRIO, DIÂMETRO DE 500 MM, JUNTA ELÁSTICA, INSTALADO EM LOCAL COM ALTO NÍVEL DE INTERFERÊNCIAS - FORNECIMENTO E ASSENTAMENTO. AF_12/2015</v>
          </cell>
          <cell r="C138" t="str">
            <v>M</v>
          </cell>
          <cell r="D138">
            <v>283.73</v>
          </cell>
        </row>
        <row r="139">
          <cell r="A139" t="str">
            <v>92854</v>
          </cell>
          <cell r="B139" t="str">
            <v>ASSENTAMENTO DE TUBO DE CONCRETO PARA REDES COLETORAS DE ESGOTO SANITÁRIO, DIÂMETRO DE 500 MM, JUNTA ELÁSTICA, INSTALADO EM LOCAL COM ALTO NÍVEL DE INTERFERÊNCIAS (NÃO INCLUI FORNECIMENTO). AF_12/2015</v>
          </cell>
          <cell r="C139" t="str">
            <v>M</v>
          </cell>
          <cell r="D139">
            <v>25.72</v>
          </cell>
        </row>
        <row r="140">
          <cell r="A140" t="str">
            <v>92855</v>
          </cell>
          <cell r="B140" t="str">
            <v>TUBO DE CONCRETO PARA REDES COLETORAS DE ESGOTO SANITÁRIO, DIÂMETRO DE 600 MM, JUNTA ELÁSTICA, INSTALADO EM LOCAL COM ALTO NÍVEL DE INTERFERÊNCIAS - FORNECIMENTO E ASSENTAMENTO. AF_12/2015</v>
          </cell>
          <cell r="C140" t="str">
            <v>M</v>
          </cell>
          <cell r="D140">
            <v>346.19</v>
          </cell>
        </row>
        <row r="141">
          <cell r="A141" t="str">
            <v>92856</v>
          </cell>
          <cell r="B141" t="str">
            <v>ASSENTAMENTO DE TUBO DE CONCRETO PARA REDES COLETORAS DE ESGOTO SANITÁRIO, DIÂMETRO DE 600 MM, JUNTA ELÁSTICA, INSTALADO EM LOCAL COM ALTO NÍVEL DE INTERFERÊNCIAS (NÃO INCLUI FORNECIMENTO). AF_12/2015</v>
          </cell>
          <cell r="C141" t="str">
            <v>M</v>
          </cell>
          <cell r="D141">
            <v>30.32</v>
          </cell>
        </row>
        <row r="142">
          <cell r="A142" t="str">
            <v>92857</v>
          </cell>
          <cell r="B142" t="str">
            <v>TUBO DE CONCRETO PARA REDES COLETORAS DE ESGOTO SANITÁRIO, DIÂMETRO DE 700 MM, JUNTA ELÁSTICA, INSTALADO EM LOCAL COM ALTO NÍVEL DE INTERFERÊNCIAS - FORNECIMENTO E ASSENTAMENTO. AF_12/2015</v>
          </cell>
          <cell r="C142" t="str">
            <v>M</v>
          </cell>
          <cell r="D142">
            <v>448.61</v>
          </cell>
        </row>
        <row r="143">
          <cell r="A143" t="str">
            <v>92858</v>
          </cell>
          <cell r="B143" t="str">
            <v>ASSENTAMENTO DE TUBO DE CONCRETO PARA REDES COLETORAS DE ESGOTO SANITÁRIO, DIÂMETRO DE 700 MM, JUNTA ELÁSTICA, INSTALADO EM LOCAL COM ALTO NÍVEL DE INTERFERÊNCIAS (NÃO INCLUI FORNECIMENTO). AF_12/2015</v>
          </cell>
          <cell r="C143" t="str">
            <v>M</v>
          </cell>
          <cell r="D143">
            <v>34.69</v>
          </cell>
        </row>
        <row r="144">
          <cell r="A144" t="str">
            <v>92859</v>
          </cell>
          <cell r="B144" t="str">
            <v>TUBO DE CONCRETO PARA REDES COLETORAS DE ESGOTO SANITÁRIO, DIÂMETRO DE 800 MM, JUNTA ELÁSTICA, INSTALADO EM LOCAL COM ALTO NÍVEL DE INTERFERÊNCIAS - FORNECIMENTO E ASSENTAMENTO. AF_12/2015</v>
          </cell>
          <cell r="C144" t="str">
            <v>M</v>
          </cell>
          <cell r="D144">
            <v>469.32</v>
          </cell>
        </row>
        <row r="145">
          <cell r="A145" t="str">
            <v>92860</v>
          </cell>
          <cell r="B145" t="str">
            <v>ASSENTAMENTO DE TUBO DE CONCRETO PARA REDES COLETORAS DE ESGOTO SANITÁRIO, DIÂMETRO DE 800 MM, JUNTA ELÁSTICA, INSTALADO EM LOCAL COM ALTO NÍVEL DE INTERFERÊNCIAS (NÃO INCLUI FORNECIMENTO). AF_12/2015</v>
          </cell>
          <cell r="C145" t="str">
            <v>M</v>
          </cell>
          <cell r="D145">
            <v>39.380000000000003</v>
          </cell>
        </row>
        <row r="146">
          <cell r="A146" t="str">
            <v>92861</v>
          </cell>
          <cell r="B146" t="str">
            <v>TUBO DE CONCRETO PARA REDES COLETORAS DE ESGOTO SANITÁRIO, DIÂMETRO DE 900 MM, JUNTA ELÁSTICA, INSTALADO EM LOCAL COM ALTO NÍVEL DE INTERFERÊNCIAS - FORNECIMENTO E ASSENTAMENTO. AF_12/2015</v>
          </cell>
          <cell r="C146" t="str">
            <v>M</v>
          </cell>
          <cell r="D146">
            <v>682.88</v>
          </cell>
        </row>
        <row r="147">
          <cell r="A147" t="str">
            <v>92862</v>
          </cell>
          <cell r="B147" t="str">
            <v>ASSENTAMENTO DE TUBO DE CONCRETO PARA REDES COLETORAS DE ESGOTO SANITÁRIO, DIÂMETRO DE 900 MM, JUNTA ELÁSTICA, INSTALADO EM LOCAL COM ALTO NÍVEL DE INTERFERÊNCIAS (NÃO INCLUI FORNECIMENTO). AF_12/2015</v>
          </cell>
          <cell r="C147" t="str">
            <v>M</v>
          </cell>
          <cell r="D147">
            <v>43.96</v>
          </cell>
        </row>
        <row r="148">
          <cell r="A148" t="str">
            <v>92863</v>
          </cell>
          <cell r="B148" t="str">
            <v>TUBO DE CONCRETO PARA REDES COLETORAS DE ESGOTO SANITÁRIO, DIÂMETRO DE 1000 MM, JUNTA ELÁSTICA, INSTALADO EM LOCAL COM ALTO NÍVEL DE INTERFERÊNCIAS - FORNECIMENTO E ASSENTAMENTO. AF_12/2015</v>
          </cell>
          <cell r="C148" t="str">
            <v>M</v>
          </cell>
          <cell r="D148">
            <v>705.86</v>
          </cell>
        </row>
        <row r="149">
          <cell r="A149" t="str">
            <v>92864</v>
          </cell>
          <cell r="B149" t="str">
            <v>ASSENTAMENTO DE TUBO DE CONCRETO PARA REDES COLETORAS DE ESGOTO SANITÁRIO, DIÂMETRO DE 1000 MM, JUNTA ELÁSTICA, INSTALADO EM LOCAL COM ALTO NÍVEL DE INTERFERÊNCIAS (NÃO INCLUI FORNECIMENTO). AF_12/2015</v>
          </cell>
          <cell r="C149" t="str">
            <v>M</v>
          </cell>
          <cell r="D149">
            <v>48.55</v>
          </cell>
        </row>
        <row r="150">
          <cell r="A150" t="str">
            <v>92210</v>
          </cell>
          <cell r="B150" t="str">
            <v>TUBO DE CONCRETO PARA REDES COLETORAS DE ÁGUAS PLUVIAIS, DIÂMETRO DE 400 MM, JUNTA RÍGIDA, INSTALADO EM LOCAL COM BAIXO NÍVEL DE INTERFERÊNCIAS - FORNECIMENTO E ASSENTAMENTO. AF_12/2015</v>
          </cell>
          <cell r="C150" t="str">
            <v>M</v>
          </cell>
          <cell r="D150">
            <v>130.65</v>
          </cell>
        </row>
        <row r="151">
          <cell r="A151" t="str">
            <v>92211</v>
          </cell>
          <cell r="B151" t="str">
            <v>TUBO DE CONCRETO PARA REDES COLETORAS DE ÁGUAS PLUVIAIS, DIÂMETRO DE 500 MM, JUNTA RÍGIDA, INSTALADO EM LOCAL COM BAIXO NÍVEL DE INTERFERÊNCIAS - FORNECIMENTO E ASSENTAMENTO. AF_12/2015</v>
          </cell>
          <cell r="C151" t="str">
            <v>M</v>
          </cell>
          <cell r="D151">
            <v>157.18</v>
          </cell>
        </row>
        <row r="152">
          <cell r="A152" t="str">
            <v>92212</v>
          </cell>
          <cell r="B152" t="str">
            <v>TUBO DE CONCRETO PARA REDES COLETORAS DE ÁGUAS PLUVIAIS, DIÂMETRO DE 600 MM, JUNTA RÍGIDA, INSTALADO EM LOCAL COM BAIXO NÍVEL DE INTERFERÊNCIAS - FORNECIMENTO E ASSENTAMENTO. AF_12/2015</v>
          </cell>
          <cell r="C152" t="str">
            <v>M</v>
          </cell>
          <cell r="D152">
            <v>227.86</v>
          </cell>
        </row>
        <row r="153">
          <cell r="A153" t="str">
            <v>92213</v>
          </cell>
          <cell r="B153" t="str">
            <v>TUBO DE CONCRETO PARA REDES COLETORAS DE ÁGUAS PLUVIAIS, DIÂMETRO DE 700 MM, JUNTA RÍGIDA, INSTALADO EM LOCAL COM BAIXO NÍVEL DE INTERFERÊNCIAS - FORNECIMENTO E ASSENTAMENTO. AF_12/2015</v>
          </cell>
          <cell r="C153" t="str">
            <v>M</v>
          </cell>
          <cell r="D153">
            <v>295.38</v>
          </cell>
        </row>
        <row r="154">
          <cell r="A154" t="str">
            <v>92214</v>
          </cell>
          <cell r="B154" t="str">
            <v>TUBO DE CONCRETO PARA REDES COLETORAS DE ÁGUAS PLUVIAIS, DIÂMETRO DE 800 MM, JUNTA RÍGIDA, INSTALADO EM LOCAL COM BAIXO NÍVEL DE INTERFERÊNCIAS - FORNECIMENTO E ASSENTAMENTO. AF_12/2015</v>
          </cell>
          <cell r="C154" t="str">
            <v>M</v>
          </cell>
          <cell r="D154">
            <v>354.89</v>
          </cell>
        </row>
        <row r="155">
          <cell r="A155" t="str">
            <v>92215</v>
          </cell>
          <cell r="B155" t="str">
            <v>TUBO DE CONCRETO PARA REDES COLETORAS DE ÁGUAS PLUVIAIS, DIÂMETRO DE 900 MM, JUNTA RÍGIDA, INSTALADO EM LOCAL COM BAIXO NÍVEL DE INTERFERÊNCIAS - FORNECIMENTO E ASSENTAMENTO. AF_12/2015</v>
          </cell>
          <cell r="C155" t="str">
            <v>M</v>
          </cell>
          <cell r="D155">
            <v>406.74</v>
          </cell>
        </row>
        <row r="156">
          <cell r="A156" t="str">
            <v>92216</v>
          </cell>
          <cell r="B156" t="str">
            <v>TUBO DE CONCRETO PARA REDES COLETORAS DE ÁGUAS PLUVIAIS, DIÂMETRO DE 1000 MM, JUNTA RÍGIDA, INSTALADO EM LOCAL COM BAIXO NÍVEL DE INTERFERÊNCIAS - FORNECIMENTO E ASSENTAMENTO. AF_12/2015</v>
          </cell>
          <cell r="C156" t="str">
            <v>M</v>
          </cell>
          <cell r="D156">
            <v>427.72</v>
          </cell>
        </row>
        <row r="157">
          <cell r="A157" t="str">
            <v>92219</v>
          </cell>
          <cell r="B157" t="str">
            <v>TUBO DE CONCRETO PARA REDES COLETORAS DE ÁGUAS PLUVIAIS, DIÂMETRO DE 400 MM, JUNTA RÍGIDA, INSTALADO EM LOCAL COM ALTO NÍVEL DE INTERFERÊNCIAS - FORNECIMENTO E ASSENTAMENTO. AF_12/2015</v>
          </cell>
          <cell r="C157" t="str">
            <v>M</v>
          </cell>
          <cell r="D157">
            <v>140.47</v>
          </cell>
        </row>
        <row r="158">
          <cell r="A158" t="str">
            <v>92220</v>
          </cell>
          <cell r="B158" t="str">
            <v>TUBO DE CONCRETO PARA REDES COLETORAS DE ÁGUAS PLUVIAIS, DIÂMETRO DE 500 MM, JUNTA RÍGIDA, INSTALADO EM LOCAL COM ALTO NÍVEL DE INTERFERÊNCIAS - FORNECIMENTO E ASSENTAMENTO. AF_12/2015</v>
          </cell>
          <cell r="C158" t="str">
            <v>M</v>
          </cell>
          <cell r="D158">
            <v>169.34</v>
          </cell>
        </row>
        <row r="159">
          <cell r="A159" t="str">
            <v>92221</v>
          </cell>
          <cell r="B159" t="str">
            <v>TUBO DE CONCRETO PARA REDES COLETORAS DE ÁGUAS PLUVIAIS, DIÂMETRO DE 600 MM, JUNTA RÍGIDA, INSTALADO EM LOCAL COM ALTO NÍVEL DE INTERFERÊNCIAS - FORNECIMENTO E ASSENTAMENTO. AF_12/2015</v>
          </cell>
          <cell r="C159" t="str">
            <v>M</v>
          </cell>
          <cell r="D159">
            <v>242.13</v>
          </cell>
        </row>
        <row r="160">
          <cell r="A160" t="str">
            <v>92222</v>
          </cell>
          <cell r="B160" t="str">
            <v>TUBO DE CONCRETO PARA REDES COLETORAS DE ÁGUAS PLUVIAIS, DIÂMETRO DE 700 MM, JUNTA RÍGIDA, INSTALADO EM LOCAL COM ALTO NÍVEL DE INTERFERÊNCIAS - FORNECIMENTO E ASSENTAMENTO. AF_12/2015</v>
          </cell>
          <cell r="C160" t="str">
            <v>M</v>
          </cell>
          <cell r="D160">
            <v>311.95</v>
          </cell>
        </row>
        <row r="161">
          <cell r="A161" t="str">
            <v>92223</v>
          </cell>
          <cell r="B161" t="str">
            <v>TUBO DE CONCRETO PARA REDES COLETORAS DE ÁGUAS PLUVIAIS, DIÂMETRO DE 800 MM, JUNTA RÍGIDA, INSTALADO EM LOCAL COM ALTO NÍVEL DE INTERFERÊNCIAS - FORNECIMENTO E ASSENTAMENTO. AF_12/2015</v>
          </cell>
          <cell r="C161" t="str">
            <v>M</v>
          </cell>
          <cell r="D161">
            <v>373.44</v>
          </cell>
        </row>
        <row r="162">
          <cell r="A162" t="str">
            <v>92224</v>
          </cell>
          <cell r="B162" t="str">
            <v>TUBO DE CONCRETO PARA REDES COLETORAS DE ÁGUAS PLUVIAIS, DIÂMETRO DE 900 MM, JUNTA RÍGIDA, INSTALADO EM LOCAL COM ALTO NÍVEL DE INTERFERÊNCIAS - FORNECIMENTO E ASSENTAMENTO. AF_12/2015</v>
          </cell>
          <cell r="C162" t="str">
            <v>M</v>
          </cell>
          <cell r="D162">
            <v>427.31</v>
          </cell>
        </row>
        <row r="163">
          <cell r="A163" t="str">
            <v>92226</v>
          </cell>
          <cell r="B163" t="str">
            <v>TUBO DE CONCRETO PARA REDES COLETORAS DE ÁGUAS PLUVIAIS, DIÂMETRO DE 1000 MM, JUNTA RÍGIDA, INSTALADO EM LOCAL COM ALTO NÍVEL DE INTERFERÊNCIAS - FORNECIMENTO E ASSENTAMENTO. AF_12/2015</v>
          </cell>
          <cell r="C163" t="str">
            <v>M</v>
          </cell>
          <cell r="D163">
            <v>450.76</v>
          </cell>
        </row>
        <row r="164">
          <cell r="A164" t="str">
            <v>92808</v>
          </cell>
          <cell r="B164" t="str">
            <v>ASSENTAMENTO DE TUBO DE CONCRETO PARA REDES COLETORAS DE ÁGUAS PLUVIAIS, DIÂMETRO DE 300 MM, JUNTA RÍGIDA, INSTALADO EM LOCAL COM BAIXO NÍVEL DE INTERFERÊNCIAS (NÃO INCLUI FORNECIMENTO). AF_12/2015</v>
          </cell>
          <cell r="C164" t="str">
            <v>M</v>
          </cell>
          <cell r="D164">
            <v>39.68</v>
          </cell>
        </row>
        <row r="165">
          <cell r="A165" t="str">
            <v>92809</v>
          </cell>
          <cell r="B165" t="str">
            <v>ASSENTAMENTO DE TUBO DE CONCRETO PARA REDES COLETORAS DE ÁGUAS PLUVIAIS, DIÂMETRO DE 400 MM, JUNTA RÍGIDA, INSTALADO EM LOCAL COM BAIXO NÍVEL DE INTERFERÊNCIAS (NÃO INCLUI FORNECIMENTO). AF_12/2015</v>
          </cell>
          <cell r="C165" t="str">
            <v>M</v>
          </cell>
          <cell r="D165">
            <v>50.81</v>
          </cell>
        </row>
        <row r="166">
          <cell r="A166" t="str">
            <v>92810</v>
          </cell>
          <cell r="B166" t="str">
            <v>ASSENTAMENTO DE TUBO DE CONCRETO PARA REDES COLETORAS DE ÁGUAS PLUVIAIS, DIÂMETRO DE 500 MM, JUNTA RÍGIDA, INSTALADO EM LOCAL COM BAIXO NÍVEL DE INTERFERÊNCIAS (NÃO INCLUI FORNECIMENTO). AF_12/2015</v>
          </cell>
          <cell r="C166" t="str">
            <v>M</v>
          </cell>
          <cell r="D166">
            <v>61.77</v>
          </cell>
        </row>
        <row r="167">
          <cell r="A167" t="str">
            <v>92811</v>
          </cell>
          <cell r="B167" t="str">
            <v>ASSENTAMENTO DE TUBO DE CONCRETO PARA REDES COLETORAS DE ÁGUAS PLUVIAIS, DIÂMETRO DE 600 MM, JUNTA RÍGIDA, INSTALADO EM LOCAL COM BAIXO NÍVEL DE INTERFERÊNCIAS (NÃO INCLUI FORNECIMENTO). AF_12/2015</v>
          </cell>
          <cell r="C167" t="str">
            <v>M</v>
          </cell>
          <cell r="D167">
            <v>73.36</v>
          </cell>
        </row>
        <row r="168">
          <cell r="A168" t="str">
            <v>92812</v>
          </cell>
          <cell r="B168" t="str">
            <v>ASSENTAMENTO DE TUBO DE CONCRETO PARA REDES COLETORAS DE ÁGUAS PLUVIAIS, DIÂMETRO DE 700 MM, JUNTA RÍGIDA, INSTALADO EM LOCAL COM BAIXO NÍVEL DE INTERFERÊNCIAS (NÃO INCLUI FORNECIMENTO). AF_12/2015</v>
          </cell>
          <cell r="C168" t="str">
            <v>M</v>
          </cell>
          <cell r="D168">
            <v>84.8</v>
          </cell>
        </row>
        <row r="169">
          <cell r="A169" t="str">
            <v>92813</v>
          </cell>
          <cell r="B169" t="str">
            <v>ASSENTAMENTO DE TUBO DE CONCRETO PARA REDES COLETORAS DE ÁGUAS PLUVIAIS, DIÂMETRO DE 800 MM, JUNTA RÍGIDA, INSTALADO EM LOCAL COM BAIXO NÍVEL DE INTERFERÊNCIAS (NÃO INCLUI FORNECIMENTO). AF_12/2015</v>
          </cell>
          <cell r="C169" t="str">
            <v>M</v>
          </cell>
          <cell r="D169">
            <v>97.84</v>
          </cell>
        </row>
        <row r="170">
          <cell r="A170" t="str">
            <v>92814</v>
          </cell>
          <cell r="B170" t="str">
            <v>ASSENTAMENTO DE TUBO DE CONCRETO PARA REDES COLETORAS DE ÁGUAS PLUVIAIS, DIÂMETRO DE 900 MM, JUNTA RÍGIDA, INSTALADO EM LOCAL COM BAIXO NÍVEL DE INTERFERÊNCIAS (NÃO INCLUI FORNECIMENTO). AF_12/2015</v>
          </cell>
          <cell r="C170" t="str">
            <v>M</v>
          </cell>
          <cell r="D170">
            <v>111.38</v>
          </cell>
        </row>
        <row r="171">
          <cell r="A171" t="str">
            <v>92815</v>
          </cell>
          <cell r="B171" t="str">
            <v>ASSENTAMENTO DE TUBO DE CONCRETO PARA REDES COLETORAS DE ÁGUAS PLUVIAIS, DIÂMETRO DE 1000 MM, JUNTA RÍGIDA, INSTALADO EM LOCAL COM BAIXO NÍVEL DE INTERFERÊNCIAS (NÃO INCLUI FORNECIMENTO). AF_12/2015</v>
          </cell>
          <cell r="C171" t="str">
            <v>M</v>
          </cell>
          <cell r="D171">
            <v>126.52</v>
          </cell>
        </row>
        <row r="172">
          <cell r="A172" t="str">
            <v>92816</v>
          </cell>
          <cell r="B172" t="str">
            <v>TUBO DE CONCRETO PARA REDES COLETORAS DE ÁGUAS PLUVIAIS, DIÂMETRO DE 1200 MM, JUNTA RÍGIDA, INSTALADO EM LOCAL COM BAIXO NÍVEL DE INTERFERÊNCIAS - FORNECIMENTO E ASSENTAMENTO. AF_12/2015</v>
          </cell>
          <cell r="C172" t="str">
            <v>M</v>
          </cell>
          <cell r="D172">
            <v>608.20000000000005</v>
          </cell>
        </row>
        <row r="173">
          <cell r="A173" t="str">
            <v>92817</v>
          </cell>
          <cell r="B173" t="str">
            <v>ASSENTAMENTO DE TUBO DE CONCRETO PARA REDES COLETORAS DE ÁGUAS PLUVIAIS, DIÂMETRO DE 1200 MM, JUNTA RÍGIDA, INSTALADO EM LOCAL COM BAIXO NÍVEL DE INTERFERÊNCIAS (NÃO INCLUI FORNECIMENTO). AF_12/2015</v>
          </cell>
          <cell r="C173" t="str">
            <v>M</v>
          </cell>
          <cell r="D173">
            <v>158.34</v>
          </cell>
        </row>
        <row r="174">
          <cell r="A174" t="str">
            <v>92818</v>
          </cell>
          <cell r="B174" t="str">
            <v>TUBO DE CONCRETO PARA REDES COLETORAS DE ÁGUAS PLUVIAIS, DIÂMETRO DE 1500 MM, JUNTA RÍGIDA, INSTALADO EM LOCAL COM BAIXO NÍVEL DE INTERFERÊNCIAS - FORNECIMENTO E ASSENTAMENTO. AF_12/2015</v>
          </cell>
          <cell r="C174" t="str">
            <v>M</v>
          </cell>
          <cell r="D174">
            <v>864.87</v>
          </cell>
        </row>
        <row r="175">
          <cell r="A175" t="str">
            <v>92819</v>
          </cell>
          <cell r="B175" t="str">
            <v>ASSENTAMENTO DE TUBO DE CONCRETO PARA REDES COLETORAS DE ÁGUAS PLUVIAIS, DIÂMETRO DE 1500 MM, JUNTA RÍGIDA, INSTALADO EM LOCAL COM BAIXO NÍVEL DE INTERFERÊNCIAS (NÃO INCLUI FORNECIMENTO). AF_12/2015</v>
          </cell>
          <cell r="C175" t="str">
            <v>M</v>
          </cell>
          <cell r="D175">
            <v>213.12</v>
          </cell>
        </row>
        <row r="176">
          <cell r="A176" t="str">
            <v>92820</v>
          </cell>
          <cell r="B176" t="str">
            <v>ASSENTAMENTO DE TUBO DE CONCRETO PARA REDES COLETORAS DE ÁGUAS PLUVIAIS, DIÂMETRO DE 300 MM, JUNTA RÍGIDA, INSTALADO EM LOCAL COM ALTO NÍVEL DE INTERFERÊNCIAS (NÃO INCLUI FORNECIMENTO). AF_12/2015</v>
          </cell>
          <cell r="C176" t="str">
            <v>M</v>
          </cell>
          <cell r="D176">
            <v>47.37</v>
          </cell>
        </row>
        <row r="177">
          <cell r="A177" t="str">
            <v>92821</v>
          </cell>
          <cell r="B177" t="str">
            <v>ASSENTAMENTO DE TUBO DE CONCRETO PARA REDES COLETORAS DE ÁGUAS PLUVIAIS, DIÂMETRO DE 400 MM, JUNTA RÍGIDA, INSTALADO EM LOCAL COM ALTO NÍVEL DE INTERFERÊNCIAS (NÃO INCLUI FORNECIMENTO). AF_12/2015</v>
          </cell>
          <cell r="C177" t="str">
            <v>M</v>
          </cell>
          <cell r="D177">
            <v>60.63</v>
          </cell>
        </row>
        <row r="178">
          <cell r="A178" t="str">
            <v>92822</v>
          </cell>
          <cell r="B178" t="str">
            <v>ASSENTAMENTO DE TUBO DE CONCRETO PARA REDES COLETORAS DE ÁGUAS PLUVIAIS, DIÂMETRO DE 500 MM, JUNTA RÍGIDA, INSTALADO EM LOCAL COM ALTO NÍVEL DE INTERFERÊNCIAS (NÃO INCLUI FORNECIMENTO). AF_12/2015</v>
          </cell>
          <cell r="C178" t="str">
            <v>M</v>
          </cell>
          <cell r="D178">
            <v>73.930000000000007</v>
          </cell>
        </row>
        <row r="179">
          <cell r="A179" t="str">
            <v>92824</v>
          </cell>
          <cell r="B179" t="str">
            <v>ASSENTAMENTO DE TUBO DE CONCRETO PARA REDES COLETORAS DE ÁGUAS PLUVIAIS, DIÂMETRO DE 600 MM, JUNTA RÍGIDA, INSTALADO EM LOCAL COM ALTO NÍVEL DE INTERFERÊNCIAS (NÃO INCLUI FORNECIMENTO). AF_12/2015</v>
          </cell>
          <cell r="C179" t="str">
            <v>M</v>
          </cell>
          <cell r="D179">
            <v>87.63</v>
          </cell>
        </row>
        <row r="180">
          <cell r="A180" t="str">
            <v>92825</v>
          </cell>
          <cell r="B180" t="str">
            <v>ASSENTAMENTO DE TUBO DE CONCRETO PARA REDES COLETORAS DE ÁGUAS PLUVIAIS, DIÂMETRO DE 700 MM, JUNTA RÍGIDA, INSTALADO EM LOCAL COM ALTO NÍVEL DE INTERFERÊNCIAS (NÃO INCLUI FORNECIMENTO). AF_12/2015</v>
          </cell>
          <cell r="C180" t="str">
            <v>M</v>
          </cell>
          <cell r="D180">
            <v>101.37</v>
          </cell>
        </row>
        <row r="181">
          <cell r="A181" t="str">
            <v>92826</v>
          </cell>
          <cell r="B181" t="str">
            <v>ASSENTAMENTO DE TUBO DE CONCRETO PARA REDES COLETORAS DE ÁGUAS PLUVIAIS, DIÂMETRO DE 800 MM, JUNTA RÍGIDA, INSTALADO EM LOCAL COM ALTO NÍVEL DE INTERFERÊNCIAS (NÃO INCLUI FORNECIMENTO). AF_12/2015</v>
          </cell>
          <cell r="C181" t="str">
            <v>M</v>
          </cell>
          <cell r="D181">
            <v>116.39</v>
          </cell>
        </row>
        <row r="182">
          <cell r="A182" t="str">
            <v>92827</v>
          </cell>
          <cell r="B182" t="str">
            <v>ASSENTAMENTO DE TUBO DE CONCRETO PARA REDES COLETORAS DE ÁGUAS PLUVIAIS, DIÂMETRO DE 900 MM, JUNTA RÍGIDA, INSTALADO EM LOCAL COM ALTO NÍVEL DE INTERFERÊNCIAS (NÃO INCLUI FORNECIMENTO). AF_12/2015</v>
          </cell>
          <cell r="C182" t="str">
            <v>M</v>
          </cell>
          <cell r="D182">
            <v>131.94999999999999</v>
          </cell>
        </row>
        <row r="183">
          <cell r="A183" t="str">
            <v>92828</v>
          </cell>
          <cell r="B183" t="str">
            <v>ASSENTAMENTO DE TUBO DE CONCRETO PARA REDES COLETORAS DE ÁGUAS PLUVIAIS, DIÂMETRO DE 1000 MM, JUNTA RÍGIDA, INSTALADO EM LOCAL COM ALTO NÍVEL DE INTERFERÊNCIAS (NÃO INCLUI FORNECIMENTO). AF_12/2015</v>
          </cell>
          <cell r="C183" t="str">
            <v>M</v>
          </cell>
          <cell r="D183">
            <v>149.56</v>
          </cell>
        </row>
        <row r="184">
          <cell r="A184" t="str">
            <v>92829</v>
          </cell>
          <cell r="B184" t="str">
            <v>TUBO DE CONCRETO PARA REDES COLETORAS DE ÁGUAS PLUVIAIS, DIÂMETRO DE 1200 MM, JUNTA RÍGIDA, INSTALADO EM LOCAL COM ALTO NÍVEL DE INTERFERÊNCIAS - FORNECIMENTO E ASSENTAMENTO. AF_12/2015</v>
          </cell>
          <cell r="C184" t="str">
            <v>M</v>
          </cell>
          <cell r="D184">
            <v>635.39</v>
          </cell>
        </row>
        <row r="185">
          <cell r="A185" t="str">
            <v>92830</v>
          </cell>
          <cell r="B185" t="str">
            <v>ASSENTAMENTO DE TUBO DE CONCRETO PARA REDES COLETORAS DE ÁGUAS PLUVIAIS, DIÂMETRO DE 1200 MM, JUNTA RÍGIDA, INSTALADO EM LOCAL COM ALTO NÍVEL DE INTERFERÊNCIAS (NÃO INCLUI FORNECIMENTO). AF_12/2015</v>
          </cell>
          <cell r="C185" t="str">
            <v>M</v>
          </cell>
          <cell r="D185">
            <v>185.53</v>
          </cell>
        </row>
        <row r="186">
          <cell r="A186" t="str">
            <v>92831</v>
          </cell>
          <cell r="B186" t="str">
            <v>TUBO DE CONCRETO PARA REDES COLETORAS DE ÁGUAS PLUVIAIS, DIÂMETRO DE 1500 MM, JUNTA RÍGIDA, INSTALADO EM LOCAL COM ALTO NÍVEL DE INTERFERÊNCIAS - FORNECIMENTO E ASSENTAMENTO. AF_12/2015</v>
          </cell>
          <cell r="C186" t="str">
            <v>M</v>
          </cell>
          <cell r="D186">
            <v>898.37</v>
          </cell>
        </row>
        <row r="187">
          <cell r="A187" t="str">
            <v>92832</v>
          </cell>
          <cell r="B187" t="str">
            <v>ASSENTAMENTO DE TUBO DE CONCRETO PARA REDES COLETORAS DE ÁGUAS PLUVIAIS, DIÂMETRO DE 1500 MM, JUNTA RÍGIDA, INSTALADO EM LOCAL COM ALTO NÍVEL DE INTERFERÊNCIAS (NÃO INCLUI FORNECIMENTO). AF_12/2015</v>
          </cell>
          <cell r="C187" t="str">
            <v>M</v>
          </cell>
          <cell r="D187">
            <v>246.62</v>
          </cell>
        </row>
        <row r="188">
          <cell r="A188" t="str">
            <v>95565</v>
          </cell>
          <cell r="B188" t="str">
            <v>TUBO DE CONCRETO PARA REDES COLETORAS DE ÁGUAS PLUVIAIS, DIÂMETRO DE 300MM, JUNTA RÍGIDA, INSTALADO EM LOCAL COM BAIXO NÍVEL DE INTERFERÊNCIAS - FORNECIMENTO E ASSENTAMENTO. AF_12/2015</v>
          </cell>
          <cell r="C188" t="str">
            <v>M</v>
          </cell>
          <cell r="D188">
            <v>109.69</v>
          </cell>
        </row>
        <row r="189">
          <cell r="A189" t="str">
            <v>95566</v>
          </cell>
          <cell r="B189" t="str">
            <v>TUBO DE CONCRETO PARA REDES COLETORAS DE ÁGUAS PLUVIAIS, DIÂMETRO DE 300MM, JUNTA RÍGIDA, INSTALADO EM LOCAL COM ALTO NÍVEL DE INTERFERÊNCIAS - FORNECIMENTO E ASSENTAMENTO. AF_12/2015</v>
          </cell>
          <cell r="C189" t="str">
            <v>M</v>
          </cell>
          <cell r="D189">
            <v>117.23</v>
          </cell>
        </row>
        <row r="190">
          <cell r="A190" t="str">
            <v>95567</v>
          </cell>
          <cell r="B190" t="str">
            <v>TUBO DE CONCRETO (SIMPLES) PARA REDES COLETORAS DE ÁGUAS PLUVIAIS, DIÂMETRO DE 300 MM, JUNTA RÍGIDA, INSTALADO EM LOCAL COM BAIXO NÍVEL DE INTERFERÊNCIAS - FORNECIMENTO E ASSENTAMENTO. AF_12/2015</v>
          </cell>
          <cell r="C190" t="str">
            <v>M</v>
          </cell>
          <cell r="D190">
            <v>82.18</v>
          </cell>
        </row>
        <row r="191">
          <cell r="A191" t="str">
            <v>95568</v>
          </cell>
          <cell r="B191" t="str">
            <v>TUBO DE CONCRETO (SIMPLES) PARA REDES COLETORAS DE ÁGUAS PLUVIAIS, DIÂMETRO DE 400 MM, JUNTA RÍGIDA, INSTALADO EM LOCAL COM BAIXO NÍVEL DE INTERFERÊNCIAS - FORNECIMENTO E ASSENTAMENTO. AF_12/2015</v>
          </cell>
          <cell r="C191" t="str">
            <v>M</v>
          </cell>
          <cell r="D191">
            <v>100.98</v>
          </cell>
        </row>
        <row r="192">
          <cell r="A192" t="str">
            <v>95569</v>
          </cell>
          <cell r="B192" t="str">
            <v>TUBO DE CONCRETO (SIMPLES) PARA REDES COLETORAS DE ÁGUAS PLUVIAIS, DIÂMETRO DE 500 MM, JUNTA RÍGIDA, INSTALADO EM LOCAL COM BAIXO NÍVEL DE INTERFERÊNCIAS - FORNECIMENTO E ASSENTAMENTO. AF_12/2015</v>
          </cell>
          <cell r="C192" t="str">
            <v>M</v>
          </cell>
          <cell r="D192">
            <v>136.69</v>
          </cell>
        </row>
        <row r="193">
          <cell r="A193" t="str">
            <v>95570</v>
          </cell>
          <cell r="B193" t="str">
            <v>TUBO DE CONCRETO (SIMPLES) PARA REDES COLETORAS DE ÁGUAS PLUVIAIS, DIÂMETRO DE 300 MM, JUNTA RÍGIDA, INSTALADO EM LOCAL COM ALTO NÍVEL DE INTERFERÊNCIAS - FORNECIMENTO E ASSENTAMENTO. AF_12/2015</v>
          </cell>
          <cell r="C193" t="str">
            <v>M</v>
          </cell>
          <cell r="D193">
            <v>89.72</v>
          </cell>
        </row>
        <row r="194">
          <cell r="A194" t="str">
            <v>95571</v>
          </cell>
          <cell r="B194" t="str">
            <v>TUBO DE CONCRETO (SIMPLES) PARA REDES COLETORAS DE ÁGUAS PLUVIAIS, DIÂMETRO DE 400 MM, JUNTA RÍGIDA, INSTALADO EM LOCAL COM ALTO NÍVEL DE INTERFERÊNCIAS - FORNECIMENTO E ASSENTAMENTO. AF_12/2015</v>
          </cell>
          <cell r="C194" t="str">
            <v>M</v>
          </cell>
          <cell r="D194">
            <v>110.61</v>
          </cell>
        </row>
        <row r="195">
          <cell r="A195" t="str">
            <v>95572</v>
          </cell>
          <cell r="B195" t="str">
            <v>TUBO DE CONCRETO (SIMPLES) PARA REDES COLETORAS DE ÁGUAS PLUVIAIS, DIÂMETRO DE 500 MM, JUNTA RÍGIDA, INSTALADO EM LOCAL COM ALTO NÍVEL DE INTERFERÊNCIAS - FORNECIMENTO E ASSENTAMENTO. AF_12/2015</v>
          </cell>
          <cell r="C195" t="str">
            <v>M</v>
          </cell>
          <cell r="D195">
            <v>148.63</v>
          </cell>
        </row>
        <row r="196">
          <cell r="A196" t="str">
            <v>97127</v>
          </cell>
          <cell r="B196" t="str">
            <v>ASSENTAMENTO DE TUBO DE PVC DEFOFO OU PRFV OU RPVC PARA REDE DE ÁGUA, DN 150 MM, JUNTA ELÁSTICA INTEGRADA, INSTALADO EM LOCAL COM NÍVEL ALTO DE INTERFERÊNCIAS (NÃO INCLUI FORNECIMENTO). AF_11/2017</v>
          </cell>
          <cell r="C196" t="str">
            <v>M</v>
          </cell>
          <cell r="D196">
            <v>5.24</v>
          </cell>
        </row>
        <row r="197">
          <cell r="A197" t="str">
            <v>97128</v>
          </cell>
          <cell r="B197" t="str">
            <v>ASSENTAMENTO DE TUBO DE PVC DEFOFO OU PRFV OU RPVC PARA REDE DE ÁGUA, DN 200 MM, JUNTA ELÁSTICA INTEGRADA, INSTALADO EM LOCAL COM NÍVEL ALTO DE INTERFERÊNCIAS (NÃO INCLUI FORNECIMENTO). AF_11/2017</v>
          </cell>
          <cell r="C197" t="str">
            <v>M</v>
          </cell>
          <cell r="D197">
            <v>10.34</v>
          </cell>
        </row>
        <row r="198">
          <cell r="A198" t="str">
            <v>97129</v>
          </cell>
          <cell r="B198" t="str">
            <v>ASSENTAMENTO DE TUBO DE PVC DEFOFO OU PRFV OU RPVC PARA REDE DE ÁGUA, DN 250 MM, JUNTA ELÁSTICA INTEGRADA, INSTALADO EM LOCAL COM NÍVEL ALTO DE INTERFERÊNCIAS (NÃO INCLUI FORNECIMENTO). AF_11/2017</v>
          </cell>
          <cell r="C198" t="str">
            <v>M</v>
          </cell>
          <cell r="D198">
            <v>12.72</v>
          </cell>
        </row>
        <row r="199">
          <cell r="A199" t="str">
            <v>97130</v>
          </cell>
          <cell r="B199" t="str">
            <v>ASSENTAMENTO DE TUBO DE PVC DEFOFO OU PRFV OU RPVC PARA REDE DE ÁGUA, DN 300 MM, JUNTA ELÁSTICA INTEGRADA, INSTALADO EM LOCAL COM NÍVEL ALTO DE INTERFERÊNCIAS (NÃO INCLUI FORNECIMENTO). AF_11/2017</v>
          </cell>
          <cell r="C199" t="str">
            <v>M</v>
          </cell>
          <cell r="D199">
            <v>15.1</v>
          </cell>
        </row>
        <row r="200">
          <cell r="A200" t="str">
            <v>97131</v>
          </cell>
          <cell r="B200" t="str">
            <v>ASSENTAMENTO DE TUBO DE PVC DEFOFO OU PRFV OU RPVC PARA REDE DE ÁGUA, DN 350 MM, JUNTA ELÁSTICA INTEGRADA, INSTALADO EM LOCAL COM NÍVEL ALTO DE INTERFERÊNCIAS (NÃO INCLUI FORNECIMENTO). AF_11/2017</v>
          </cell>
          <cell r="C200" t="str">
            <v>M</v>
          </cell>
          <cell r="D200">
            <v>17.46</v>
          </cell>
        </row>
        <row r="201">
          <cell r="A201" t="str">
            <v>97132</v>
          </cell>
          <cell r="B201" t="str">
            <v>ASSENTAMENTO DE TUBO DE PVC DEFOFO OU PRFV OU RPVC PARA REDE DE ÁGUA, DN 400 MM, JUNTA ELÁSTICA INTEGRADA, INSTALADO EM LOCAL COM NÍVEL ALTO DE INTERFERÊNCIAS (NÃO INCLUI FORNECIMENTO). AF_11/2017</v>
          </cell>
          <cell r="C201" t="str">
            <v>M</v>
          </cell>
          <cell r="D201">
            <v>19.829999999999998</v>
          </cell>
        </row>
        <row r="202">
          <cell r="A202" t="str">
            <v>97133</v>
          </cell>
          <cell r="B202" t="str">
            <v>ASSENTAMENTO DE TUBO DE PVC DEFOFO OU PRFV OU RPVC PARA REDE DE ÁGUA, DN 500 MM, JUNTA ELÁSTICA INTEGRADA, INSTALADO EM LOCAL COM NÍVEL ALTO DE INTERFERÊNCIAS (NÃO INCLUI FORNECIMENTO). AF_11/2017</v>
          </cell>
          <cell r="C202" t="str">
            <v>M</v>
          </cell>
          <cell r="D202">
            <v>24.58</v>
          </cell>
        </row>
        <row r="203">
          <cell r="A203" t="str">
            <v>97134</v>
          </cell>
          <cell r="B203" t="str">
            <v>ASSENTAMENTO DE TUBO DE PVC DEFOFO OU PRFV OU RPVC PARA REDE DE ÁGUA, DN 150 MM, JUNTA ELÁSTICA INTEGRADA, INSTALADO EM LOCAL COM NÍVEL BAIXO DE INTERFERÊNCIAS (NÃO INCLUI FORNECIMENTO). AF_11/2017</v>
          </cell>
          <cell r="C203" t="str">
            <v>M</v>
          </cell>
          <cell r="D203">
            <v>2.39</v>
          </cell>
        </row>
        <row r="204">
          <cell r="A204" t="str">
            <v>97135</v>
          </cell>
          <cell r="B204" t="str">
            <v>ASSENTAMENTO DE TUBO DE PVC DEFOFO OU PRFV OU RPVC PARA REDE DE ÁGUA, DN 200 MM, JUNTA ELÁSTICA INTEGRADA, INSTALADO EM LOCAL COM NÍVEL BAIXO DE INTERFERÊNCIAS (NÃO INCLUI FORNECIMENTO). AF_11/2017</v>
          </cell>
          <cell r="C204" t="str">
            <v>M</v>
          </cell>
          <cell r="D204">
            <v>5.21</v>
          </cell>
        </row>
        <row r="205">
          <cell r="A205" t="str">
            <v>97136</v>
          </cell>
          <cell r="B205" t="str">
            <v>ASSENTAMENTO DE TUBO DE PVC DEFOFO OU PRFV OU RPVC PARA REDE DE ÁGUA, DN 250 MM, JUNTA ELÁSTICA INTEGRADA, INSTALADO EM LOCAL COM NÍVEL BAIXO DE INTERFERÊNCIAS (NÃO INCLUI FORNECIMENTO). AF_11/2017</v>
          </cell>
          <cell r="C205" t="str">
            <v>M</v>
          </cell>
          <cell r="D205">
            <v>6.41</v>
          </cell>
        </row>
        <row r="206">
          <cell r="A206" t="str">
            <v>97137</v>
          </cell>
          <cell r="B206" t="str">
            <v>ASSENTAMENTO DE TUBO DE PVC DEFOFO OU PRFV OU RPVC PARA REDE DE ÁGUA, DN 300 MM, JUNTA ELÁSTICA INTEGRADA, INSTALADO EM LOCAL COM NÍVEL BAIXO DE INTERFERÊNCIAS (NÃO INCLUI FORNECIMENTO). AF_11/2017</v>
          </cell>
          <cell r="C206" t="str">
            <v>M</v>
          </cell>
          <cell r="D206">
            <v>7.62</v>
          </cell>
        </row>
        <row r="207">
          <cell r="A207" t="str">
            <v>97138</v>
          </cell>
          <cell r="B207" t="str">
            <v>ASSENTAMENTO DE TUBO DE PVC DEFOFO OU PRFV OU RPVC PARA REDE DE ÁGUA, DN 350 MM, JUNTA ELÁSTICA INTEGRADA, INSTALADO EM LOCAL COM NÍVEL BAIXO DE INTERFERÊNCIAS (NÃO INCLUI FORNECIMENTO). AF_11/2017</v>
          </cell>
          <cell r="C207" t="str">
            <v>M</v>
          </cell>
          <cell r="D207">
            <v>8.81</v>
          </cell>
        </row>
        <row r="208">
          <cell r="A208" t="str">
            <v>97139</v>
          </cell>
          <cell r="B208" t="str">
            <v>ASSENTAMENTO DE TUBO DE PVC DEFOFO OU PRFV OU RPVC PARA REDE DE ÁGUA, DN 400 MM, JUNTA ELÁSTICA INTEGRADA, INSTALADO EM LOCAL COM NÍVEL BAIXO DE INTERFERÊNCIAS (NÃO INCLUI FORNECIMENTO). AF_11/2017</v>
          </cell>
          <cell r="C208" t="str">
            <v>M</v>
          </cell>
          <cell r="D208">
            <v>10.01</v>
          </cell>
        </row>
        <row r="209">
          <cell r="A209" t="str">
            <v>97140</v>
          </cell>
          <cell r="B209" t="str">
            <v>ASSENTAMENTO DE TUBO DE PVC DEFOFO OU PRFV OU RPVC PARA REDE DE ÁGUA, DN 500 MM, JUNTA ELÁSTICA INTEGRADA, INSTALADO EM LOCAL COM NÍVEL BAIXO DE INTERFERÊNCIAS (NÃO INCLUI FORNECIMENTO). AF_11/2017</v>
          </cell>
          <cell r="C209" t="str">
            <v>M</v>
          </cell>
          <cell r="D209">
            <v>12.41</v>
          </cell>
        </row>
        <row r="210">
          <cell r="A210" t="str">
            <v>103089</v>
          </cell>
          <cell r="B210" t="str">
            <v>ASSENTAMENTO DE TUBO DE FERRO FUNDIDO PARA REDE DE ÁGUA, DN 80 MM, JUNTA FLANGEADA (NÃO INCLUI O FORNECIMENTO). AF_09/2021</v>
          </cell>
          <cell r="C210" t="str">
            <v>M</v>
          </cell>
          <cell r="D210">
            <v>8.74</v>
          </cell>
        </row>
        <row r="211">
          <cell r="A211" t="str">
            <v>103090</v>
          </cell>
          <cell r="B211" t="str">
            <v>ASSENTAMENTO DE TUBO DE FERRO FUNDIDO PARA REDE DE ÁGUA, DN 100 MM, JUNTA FLANGEADA (NÃO INCLUI O FORNECIMENTO). AF_09/2021</v>
          </cell>
          <cell r="C211" t="str">
            <v>M</v>
          </cell>
          <cell r="D211">
            <v>10.46</v>
          </cell>
        </row>
        <row r="212">
          <cell r="A212" t="str">
            <v>103091</v>
          </cell>
          <cell r="B212" t="str">
            <v>ASSENTAMENTO DE TUBO DE FERRO FUNDIDO PARA REDE DE ÁGUA, DN 150 MM, JUNTA FLANGEADA (NÃO INCLUI O FORNECIMENTO). AF_09/2021</v>
          </cell>
          <cell r="C212" t="str">
            <v>M</v>
          </cell>
          <cell r="D212">
            <v>14.73</v>
          </cell>
        </row>
        <row r="213">
          <cell r="A213" t="str">
            <v>103092</v>
          </cell>
          <cell r="B213" t="str">
            <v>ASSENTAMENTO DE TUBO DE FERRO FUNDIDO PARA REDE DE ÁGUA, DN 200 MM, JUNTA FLANGEADA (NÃO INCLUI O FORNECIMENTO). AF_09/2021</v>
          </cell>
          <cell r="C213" t="str">
            <v>M</v>
          </cell>
          <cell r="D213">
            <v>19</v>
          </cell>
        </row>
        <row r="214">
          <cell r="A214" t="str">
            <v>103093</v>
          </cell>
          <cell r="B214" t="str">
            <v>ASSENTAMENTO DE TUBO DE FERRO FUNDIDO PARA REDE DE ÁGUA, DN 250 MM, JUNTA FLANGEADA (NÃO INCLUI O FORNECIMENTO). AF_09/2021</v>
          </cell>
          <cell r="C214" t="str">
            <v>M</v>
          </cell>
          <cell r="D214">
            <v>29.06</v>
          </cell>
        </row>
        <row r="215">
          <cell r="A215" t="str">
            <v>103094</v>
          </cell>
          <cell r="B215" t="str">
            <v>ASSENTAMENTO DE TUBO DE FERRO FUNDIDO PARA REDE DE ÁGUA, DN 300 MM, JUNTA FLANGEADA (NÃO INCLUI O FORNECIMENTO). AF_09/2021</v>
          </cell>
          <cell r="C215" t="str">
            <v>M</v>
          </cell>
          <cell r="D215">
            <v>33.36</v>
          </cell>
        </row>
        <row r="216">
          <cell r="A216" t="str">
            <v>103095</v>
          </cell>
          <cell r="B216" t="str">
            <v>ASSENTAMENTO DE TUBO DE FERRO FUNDIDO PARA REDE DE ÁGUA, DN 350 MM, JUNTA FLANGEADA (NÃO INCLUI O FORNECIMENTO). AF_09/2021</v>
          </cell>
          <cell r="C216" t="str">
            <v>M</v>
          </cell>
          <cell r="D216">
            <v>43.41</v>
          </cell>
        </row>
        <row r="217">
          <cell r="A217" t="str">
            <v>103096</v>
          </cell>
          <cell r="B217" t="str">
            <v>ASSENTAMENTO DE TUBO DE FERRO FUNDIDO PARA REDE DE ÁGUA, DN 400 MM, JUNTA FLANGEADA (NÃO INCLUI O FORNECIMENTO). AF_09/2021</v>
          </cell>
          <cell r="C217" t="str">
            <v>M</v>
          </cell>
          <cell r="D217">
            <v>47.68</v>
          </cell>
        </row>
        <row r="218">
          <cell r="A218" t="str">
            <v>103097</v>
          </cell>
          <cell r="B218" t="str">
            <v>ASSENTAMENTO DE TUBO DE FERRO FUNDIDO PARA REDE DE ÁGUA, DN 450 MM, JUNTA FLANGEADA (NÃO INCLUI O FORNECIMENTO). AF_09/2021</v>
          </cell>
          <cell r="C218" t="str">
            <v>M</v>
          </cell>
          <cell r="D218">
            <v>57.73</v>
          </cell>
        </row>
        <row r="219">
          <cell r="A219" t="str">
            <v>103098</v>
          </cell>
          <cell r="B219" t="str">
            <v>ASSENTAMENTO DE TUBO DE FERRO FUNDIDO PARA REDE DE ÁGUA, DN 500 MM, JUNTA FLANGEADA (NÃO INCLUI O FORNECIMENTO). AF_09/2021</v>
          </cell>
          <cell r="C219" t="str">
            <v>M</v>
          </cell>
          <cell r="D219">
            <v>62.03</v>
          </cell>
        </row>
        <row r="220">
          <cell r="A220" t="str">
            <v>103099</v>
          </cell>
          <cell r="B220" t="str">
            <v>ASSENTAMENTO DE TUBO DE FERRO FUNDIDO PARA REDE DE ÁGUA, DN 600 MM, JUNTA FLANGEADA (NÃO INCLUI O FORNECIMENTO). AF_09/2021</v>
          </cell>
          <cell r="C220" t="str">
            <v>M</v>
          </cell>
          <cell r="D220">
            <v>70.569999999999993</v>
          </cell>
        </row>
        <row r="221">
          <cell r="A221" t="str">
            <v>103100</v>
          </cell>
          <cell r="B221" t="str">
            <v>ASSENTAMENTO DE TUBO DE FERRO FUNDIDO PARA REDE DE ÁGUA, DN 700 MM, JUNTA FLANGEADA (NÃO INCLUI O FORNECIMENTO). AF_09/2021</v>
          </cell>
          <cell r="C221" t="str">
            <v>M</v>
          </cell>
          <cell r="D221">
            <v>75.33</v>
          </cell>
        </row>
        <row r="222">
          <cell r="A222" t="str">
            <v>103101</v>
          </cell>
          <cell r="B222" t="str">
            <v>ASSENTAMENTO DE TUBO DE FERRO FUNDIDO PARA REDE DE ÁGUA, DN 800 MM, JUNTA FLANGEADA (NÃO INCLUI O FORNECIMENTO). AF_09/2021</v>
          </cell>
          <cell r="C222" t="str">
            <v>M</v>
          </cell>
          <cell r="D222">
            <v>82.99</v>
          </cell>
        </row>
        <row r="223">
          <cell r="A223" t="str">
            <v>103102</v>
          </cell>
          <cell r="B223" t="str">
            <v>ASSENTAMENTO DE TUBO DE FERRO FUNDIDO PARA REDE DE ÁGUA, DN 900 MM, JUNTA FLANGEADA (NÃO INCLUI O FORNECIMENTO). AF_09/2021</v>
          </cell>
          <cell r="C223" t="str">
            <v>M</v>
          </cell>
          <cell r="D223">
            <v>95.58</v>
          </cell>
        </row>
        <row r="224">
          <cell r="A224" t="str">
            <v>103103</v>
          </cell>
          <cell r="B224" t="str">
            <v>ASSENTAMENTO DE TUBO DE FERRO FUNDIDO PARA REDE DE ÁGUA, DN 1000 MM, JUNTA FLANGEADA (NÃO INCLUI O FORNECIMENTO). AF_09/2021</v>
          </cell>
          <cell r="C224" t="str">
            <v>M</v>
          </cell>
          <cell r="D224">
            <v>103.22</v>
          </cell>
        </row>
        <row r="225">
          <cell r="A225" t="str">
            <v>103104</v>
          </cell>
          <cell r="B225" t="str">
            <v>ASSENTAMENTO DE TUBO DE FERRO FUNDIDO PARA REDE DE ÁGUA, DN 1200 MM, JUNTA FLANGEADA (NÃO INCLUI O FORNECIMENTO). AF_09/2021</v>
          </cell>
          <cell r="C225" t="str">
            <v>UN</v>
          </cell>
          <cell r="D225">
            <v>123.47</v>
          </cell>
        </row>
        <row r="226">
          <cell r="A226" t="str">
            <v>103105</v>
          </cell>
          <cell r="B226" t="str">
            <v>ASSENTAMENTO DE CONEXÃO COM 2 ACESSOS, FERRO FUNDIDO PARA REDE DE ÁGUA, DN  80 MM, JUNTA FLANGEADA (NÃO INCLUI O FORNECIMENTO). AF_09/2021</v>
          </cell>
          <cell r="C226" t="str">
            <v>UN</v>
          </cell>
          <cell r="D226">
            <v>36.36</v>
          </cell>
        </row>
        <row r="227">
          <cell r="A227" t="str">
            <v>103106</v>
          </cell>
          <cell r="B227" t="str">
            <v>ASSENTAMENTO DE CONEXÃO COM 2 ACESSOS, FERRO FUNDIDO PARA REDE DE ÁGUA, DN  100 MM, JUNTA FLANGEADA (NÃO INCLUI O FORNECIMENTO). AF_09/2021</v>
          </cell>
          <cell r="C227" t="str">
            <v>UN</v>
          </cell>
          <cell r="D227">
            <v>43.5</v>
          </cell>
        </row>
        <row r="228">
          <cell r="A228" t="str">
            <v>103107</v>
          </cell>
          <cell r="B228" t="str">
            <v>ASSENTAMENTO DE CONEXÃO COM 2 ACESSOS, FERRO FUNDIDO PARA REDE DE ÁGUA, DN  150 MM, JUNTA FLANGEADA (NÃO INCLUI O FORNECIMENTO). AF_09/2021</v>
          </cell>
          <cell r="C228" t="str">
            <v>UN</v>
          </cell>
          <cell r="D228">
            <v>61.32</v>
          </cell>
        </row>
        <row r="229">
          <cell r="A229" t="str">
            <v>103108</v>
          </cell>
          <cell r="B229" t="str">
            <v>ASSENTAMENTO DE CONEXÃO COM 2 ACESSOS, FERRO FUNDIDO PARA REDE DE ÁGUA, DN  200 MM, JUNTA FLANGEADA (NÃO INCLUI O FORNECIMENTO). AF_09/2021</v>
          </cell>
          <cell r="C229" t="str">
            <v>UN</v>
          </cell>
          <cell r="D229">
            <v>79.150000000000006</v>
          </cell>
        </row>
        <row r="230">
          <cell r="A230" t="str">
            <v>103109</v>
          </cell>
          <cell r="B230" t="str">
            <v>ASSENTAMENTO DE CONEXÃO COM 2 ACESSOS, FERRO FUNDIDO PARA REDE DE ÁGUA, DN  250 MM, JUNTA FLANGEADA (NÃO INCLUI O FORNECIMENTO). AF_09/2021</v>
          </cell>
          <cell r="C230" t="str">
            <v>UN</v>
          </cell>
          <cell r="D230">
            <v>130.5</v>
          </cell>
        </row>
        <row r="231">
          <cell r="A231" t="str">
            <v>103110</v>
          </cell>
          <cell r="B231" t="str">
            <v>ASSENTAMENTO DE CONEXÃO COM 2 ACESSOS, FERRO FUNDIDO PARA REDE DE ÁGUA, DN  300 MM, JUNTA FLANGEADA (NÃO INCLUI O FORNECIMENTO). AF_09/2021</v>
          </cell>
          <cell r="C231" t="str">
            <v>UN</v>
          </cell>
          <cell r="D231">
            <v>148.33000000000001</v>
          </cell>
        </row>
        <row r="232">
          <cell r="A232" t="str">
            <v>103111</v>
          </cell>
          <cell r="B232" t="str">
            <v>ASSENTAMENTO DE CONEXÃO COM 2 ACESSOS, FERRO FUNDIDO PARA REDE DE ÁGUA, DN  350 MM, JUNTA FLANGEADA (NÃO INCLUI O FORNECIMENTO). AF_09/2021</v>
          </cell>
          <cell r="C232" t="str">
            <v>UN</v>
          </cell>
          <cell r="D232">
            <v>199.67</v>
          </cell>
        </row>
        <row r="233">
          <cell r="A233" t="str">
            <v>103112</v>
          </cell>
          <cell r="B233" t="str">
            <v>ASSENTAMENTO DE CONEXÃO COM 2 ACESSOS, FERRO FUNDIDO PARA REDE DE ÁGUA, DN  400 MM, JUNTA FLANGEADA (NÃO INCLUI O FORNECIMENTO). AF_09/2021</v>
          </cell>
          <cell r="C233" t="str">
            <v>UN</v>
          </cell>
          <cell r="D233">
            <v>217.5</v>
          </cell>
        </row>
        <row r="234">
          <cell r="A234" t="str">
            <v>103113</v>
          </cell>
          <cell r="B234" t="str">
            <v>ASSENTAMENTO DE CONEXÃO COM 2 ACESSOS, FERRO FUNDIDO PARA REDE DE ÁGUA, DN  450 MM, JUNTA FLANGEADA (NÃO INCLUI O FORNECIMENTO). AF_09/2021</v>
          </cell>
          <cell r="C234" t="str">
            <v>UN</v>
          </cell>
          <cell r="D234">
            <v>268.83999999999997</v>
          </cell>
        </row>
        <row r="235">
          <cell r="A235" t="str">
            <v>103114</v>
          </cell>
          <cell r="B235" t="str">
            <v>ASSENTAMENTO DE CONEXÃO COM 2 ACESSOS, FERRO FUNDIDO PARA REDE DE ÁGUA, DN  500 MM, JUNTA FLANGEADA (NÃO INCLUI O FORNECIMENTO). AF_09/2021</v>
          </cell>
          <cell r="C235" t="str">
            <v>UN</v>
          </cell>
          <cell r="D235">
            <v>286.67</v>
          </cell>
        </row>
        <row r="236">
          <cell r="A236" t="str">
            <v>103115</v>
          </cell>
          <cell r="B236" t="str">
            <v>ASSENTAMENTO DE CONEXÃO COM 2 ACESSOS, FERRO FUNDIDO PARA REDE DE ÁGUA, DN  600 MM, JUNTA FLANGEADA (NÃO INCLUI O FORNECIMENTO). AF_09/2021</v>
          </cell>
          <cell r="C236" t="str">
            <v>UN</v>
          </cell>
          <cell r="D236">
            <v>322.33</v>
          </cell>
        </row>
        <row r="237">
          <cell r="A237" t="str">
            <v>103116</v>
          </cell>
          <cell r="B237" t="str">
            <v>ASSENTAMENTO DE CONEXÃO COM 2 ACESSOS, FERRO FUNDIDO PARA REDE DE ÁGUA, DN  700 MM, JUNTA FLANGEADA (NÃO INCLUI O FORNECIMENTO). AF_09/2021</v>
          </cell>
          <cell r="C237" t="str">
            <v>UN</v>
          </cell>
          <cell r="D237">
            <v>391.5</v>
          </cell>
        </row>
        <row r="238">
          <cell r="A238" t="str">
            <v>103117</v>
          </cell>
          <cell r="B238" t="str">
            <v>ASSENTAMENTO DE CONEXÃO COM 2 ACESSOS, FERRO FUNDIDO PARA REDE DE ÁGUA, DN  800 MM, JUNTA FLANGEADA (NÃO INCLUI O FORNECIMENTO). AF_09/2021</v>
          </cell>
          <cell r="C238" t="str">
            <v>UN</v>
          </cell>
          <cell r="D238">
            <v>427.17</v>
          </cell>
        </row>
        <row r="239">
          <cell r="A239" t="str">
            <v>103118</v>
          </cell>
          <cell r="B239" t="str">
            <v>ASSENTAMENTO DE CONEXÃO COM 2 ACESSOS, FERRO FUNDIDO PARA REDE DE ÁGUA, DN  900 MM, JUNTA FLANGEADA (NÃO INCLUI O FORNECIMENTO). AF_09/2021</v>
          </cell>
          <cell r="C239" t="str">
            <v>UN</v>
          </cell>
          <cell r="D239">
            <v>496.33</v>
          </cell>
        </row>
        <row r="240">
          <cell r="A240" t="str">
            <v>103119</v>
          </cell>
          <cell r="B240" t="str">
            <v>ASSENTAMENTO DE CONEXÃO COM 2 ACESSOS, FERRO FUNDIDO PARA REDE DE ÁGUA, DN  1000 MM, JUNTA FLANGEADA (NÃO INCLUI O FORNECIMENTO). AF_09/2021</v>
          </cell>
          <cell r="C240" t="str">
            <v>UN</v>
          </cell>
          <cell r="D240">
            <v>531.99</v>
          </cell>
        </row>
        <row r="241">
          <cell r="A241" t="str">
            <v>103120</v>
          </cell>
          <cell r="B241" t="str">
            <v>ASSENTAMENTO DE CONEXÃO COM 2 ACESSOS, FERRO FUNDIDO PARA REDE DE ÁGUA, DN  1200 MM, JUNTA FLANGEADA (NÃO INCLUI O FORNECIMENTO). AF_09/2021</v>
          </cell>
          <cell r="C241" t="str">
            <v>UN</v>
          </cell>
          <cell r="D241">
            <v>636.82000000000005</v>
          </cell>
        </row>
        <row r="242">
          <cell r="A242" t="str">
            <v>103121</v>
          </cell>
          <cell r="B242" t="str">
            <v>ASSENTAMENTO DE CONEXÃO COM 3 ACESSOS, FERRO FUNDIDO PARA REDE DE ÁGUA, DN  80 MM, JUNTA FLANGEADA (NÃO INCLUI O FORNECIMENTO). AF_09/2021</v>
          </cell>
          <cell r="C242" t="str">
            <v>UN</v>
          </cell>
          <cell r="D242">
            <v>47.91</v>
          </cell>
        </row>
        <row r="243">
          <cell r="A243" t="str">
            <v>103122</v>
          </cell>
          <cell r="B243" t="str">
            <v>ASSENTAMENTO DE CONEXÃO COM 3 ACESSOS, FERRO FUNDIDO PARA REDE DE ÁGUA, DN  100 MM, JUNTA FLANGEADA (NÃO INCLUI O FORNECIMENTO). AF_09/2021</v>
          </cell>
          <cell r="C243" t="str">
            <v>UN</v>
          </cell>
          <cell r="D243">
            <v>58.61</v>
          </cell>
        </row>
        <row r="244">
          <cell r="A244" t="str">
            <v>103123</v>
          </cell>
          <cell r="B244" t="str">
            <v>ASSENTAMENTO DE CONEXÃO COM 3 ACESSOS, FERRO FUNDIDO PARA REDE DE ÁGUA, DN  150 MM, JUNTA FLANGEADA (NÃO INCLUI O FORNECIMENTO). AF_09/2021</v>
          </cell>
          <cell r="C244" t="str">
            <v>UN</v>
          </cell>
          <cell r="D244">
            <v>85.36</v>
          </cell>
        </row>
        <row r="245">
          <cell r="A245" t="str">
            <v>103124</v>
          </cell>
          <cell r="B245" t="str">
            <v>ASSENTAMENTO DE CONEXÃO COM 3 ACESSOS, FERRO FUNDIDO PARA REDE DE ÁGUA, DN  200 MM, JUNTA FLANGEADA (NÃO INCLUI O FORNECIMENTO). AF_09/2021</v>
          </cell>
          <cell r="C245" t="str">
            <v>UN</v>
          </cell>
          <cell r="D245">
            <v>112.1</v>
          </cell>
        </row>
        <row r="246">
          <cell r="A246" t="str">
            <v>103125</v>
          </cell>
          <cell r="B246" t="str">
            <v>ASSENTAMENTO DE CONEXÃO COM 3 ACESSOS, FERRO FUNDIDO PARA REDE DE ÁGUA, DN  250 MM, JUNTA FLANGEADA (NÃO INCLUI O FORNECIMENTO). AF_09/2021</v>
          </cell>
          <cell r="C246" t="str">
            <v>UN</v>
          </cell>
          <cell r="D246">
            <v>189.12</v>
          </cell>
        </row>
        <row r="247">
          <cell r="A247" t="str">
            <v>103126</v>
          </cell>
          <cell r="B247" t="str">
            <v>ASSENTAMENTO DE CONEXÃO COM 3 ACESSOS, FERRO FUNDIDO PARA REDE DE ÁGUA, DN  300 MM, JUNTA FLANGEADA (NÃO INCLUI O FORNECIMENTO). AF_09/2021</v>
          </cell>
          <cell r="C247" t="str">
            <v>UN</v>
          </cell>
          <cell r="D247">
            <v>215.86</v>
          </cell>
        </row>
        <row r="248">
          <cell r="A248" t="str">
            <v>103127</v>
          </cell>
          <cell r="B248" t="str">
            <v>ASSENTAMENTO DE CONEXÃO COM 3 ACESSOS, FERRO FUNDIDO PARA REDE DE ÁGUA, DN  350 MM, JUNTA FLANGEADA (NÃO INCLUI O FORNECIMENTO). AF_09/2021</v>
          </cell>
          <cell r="C248" t="str">
            <v>UN</v>
          </cell>
          <cell r="D248">
            <v>292.87</v>
          </cell>
        </row>
        <row r="249">
          <cell r="A249" t="str">
            <v>103128</v>
          </cell>
          <cell r="B249" t="str">
            <v>ASSENTAMENTO DE CONEXÃO COM 3 ACESSOS, FERRO FUNDIDO PARA REDE DE ÁGUA, DN  400 MM, JUNTA FLANGEADA (NÃO INCLUI O FORNECIMENTO). AF_09/2021</v>
          </cell>
          <cell r="C249" t="str">
            <v>UN</v>
          </cell>
          <cell r="D249">
            <v>319.61</v>
          </cell>
        </row>
        <row r="250">
          <cell r="A250" t="str">
            <v>103129</v>
          </cell>
          <cell r="B250" t="str">
            <v>ASSENTAMENTO DE CONEXÃO COM 3 ACESSOS, FERRO FUNDIDO PARA REDE DE ÁGUA, DN  450 MM, JUNTA FLANGEADA (NÃO INCLUI O FORNECIMENTO). AF_09/2021</v>
          </cell>
          <cell r="C250" t="str">
            <v>UN</v>
          </cell>
          <cell r="D250">
            <v>396.62</v>
          </cell>
        </row>
        <row r="251">
          <cell r="A251" t="str">
            <v>103130</v>
          </cell>
          <cell r="B251" t="str">
            <v>ASSENTAMENTO DE CONEXÃO COM 3 ACESSOS, FERRO FUNDIDO PARA REDE DE ÁGUA, DN  500 MM, JUNTA FLANGEADA (NÃO INCLUI O FORNECIMENTO). AF_09/2021</v>
          </cell>
          <cell r="C251" t="str">
            <v>UN</v>
          </cell>
          <cell r="D251">
            <v>423.36</v>
          </cell>
        </row>
        <row r="252">
          <cell r="A252" t="str">
            <v>103131</v>
          </cell>
          <cell r="B252" t="str">
            <v>ASSENTAMENTO DE CONEXÃO COM 3 ACESSOS, FERRO FUNDIDO PARA REDE DE ÁGUA, DN  600 MM, JUNTA FLANGEADA (NÃO INCLUI O FORNECIMENTO). AF_09/2021</v>
          </cell>
          <cell r="C252" t="str">
            <v>UN</v>
          </cell>
          <cell r="D252">
            <v>476.85</v>
          </cell>
        </row>
        <row r="253">
          <cell r="A253" t="str">
            <v>103132</v>
          </cell>
          <cell r="B253" t="str">
            <v>ASSENTAMENTO DE CONEXÃO COM 3 ACESSOS, FERRO FUNDIDO PARA REDE DE ÁGUA, DN  700 MM, JUNTA FLANGEADA (NÃO INCLUI O FORNECIMENTO). AF_09/2021</v>
          </cell>
          <cell r="C253" t="str">
            <v>UN</v>
          </cell>
          <cell r="D253">
            <v>580.6</v>
          </cell>
        </row>
        <row r="254">
          <cell r="A254" t="str">
            <v>103133</v>
          </cell>
          <cell r="B254" t="str">
            <v>ASSENTAMENTO DE CONEXÃO COM 3 ACESSOS, FERRO FUNDIDO PARA REDE DE ÁGUA, DN  800 MM, JUNTA FLANGEADA (NÃO INCLUI O FORNECIMENTO). AF_09/2021</v>
          </cell>
          <cell r="C254" t="str">
            <v>UN</v>
          </cell>
          <cell r="D254">
            <v>634.1</v>
          </cell>
        </row>
        <row r="255">
          <cell r="A255" t="str">
            <v>103134</v>
          </cell>
          <cell r="B255" t="str">
            <v>ASSENTAMENTO DE CONEXÃO COM 3 ACESSOS, FERRO FUNDIDO PARA REDE DE ÁGUA, DN  900 MM, JUNTA FLANGEADA (NÃO INCLUI O FORNECIMENTO). AF_09/2021</v>
          </cell>
          <cell r="C255" t="str">
            <v>UN</v>
          </cell>
          <cell r="D255">
            <v>737.85</v>
          </cell>
        </row>
        <row r="256">
          <cell r="A256" t="str">
            <v>103135</v>
          </cell>
          <cell r="B256" t="str">
            <v>ASSENTAMENTO DE CONEXÃO COM 3 ACESSOS, FERRO FUNDIDO PARA REDE DE ÁGUA, DN  1000 MM, JUNTA FLANGEADA (NÃO INCLUI O FORNECIMENTO). AF_09/2021</v>
          </cell>
          <cell r="C256" t="str">
            <v>UN</v>
          </cell>
          <cell r="D256">
            <v>791.35</v>
          </cell>
        </row>
        <row r="257">
          <cell r="A257" t="str">
            <v>103136</v>
          </cell>
          <cell r="B257" t="str">
            <v>ASSENTAMENTO DE CONEXÃO COM 3 ACESSOS, FERRO FUNDIDO PARA REDE DE ÁGUA, DN  1200 MM, JUNTA FLANGEADA (NÃO INCLUI O FORNECIMENTO). AF_09/2021</v>
          </cell>
          <cell r="C257" t="str">
            <v>UN</v>
          </cell>
          <cell r="D257">
            <v>948.59</v>
          </cell>
        </row>
        <row r="258">
          <cell r="A258" t="str">
            <v>103137</v>
          </cell>
          <cell r="B258" t="str">
            <v>ASSENTAMENTO DE CONEXÃO COM 1 ACESSO, FERRO FUNDIDO PARA REDE DE ÁGUA, DN  80 MM, JUNTA FLANGEADA (NÃO INCLUI O FORNECIMENTO). AF_09/2021</v>
          </cell>
          <cell r="C258" t="str">
            <v>UN</v>
          </cell>
          <cell r="D258">
            <v>24.83</v>
          </cell>
        </row>
        <row r="259">
          <cell r="A259" t="str">
            <v>103138</v>
          </cell>
          <cell r="B259" t="str">
            <v>ASSENTAMENTO DE CONEXÃO COM 1 ACESSO, FERRO FUNDIDO PARA REDE DE ÁGUA, DN  100 MM, JUNTA FLANGEADA (NÃO INCLUI O FORNECIMENTO). AF_09/2021</v>
          </cell>
          <cell r="C259" t="str">
            <v>UN</v>
          </cell>
          <cell r="D259">
            <v>28.4</v>
          </cell>
        </row>
        <row r="260">
          <cell r="A260" t="str">
            <v>103139</v>
          </cell>
          <cell r="B260" t="str">
            <v>ASSENTAMENTO DE CONEXÃO COM 1 ACESSO, FERRO FUNDIDO PARA REDE DE ÁGUA, DN  150 MM, JUNTA FLANGEADA (NÃO INCLUI O FORNECIMENTO). AF_09/2021</v>
          </cell>
          <cell r="C260" t="str">
            <v>UN</v>
          </cell>
          <cell r="D260">
            <v>37.32</v>
          </cell>
        </row>
        <row r="261">
          <cell r="A261" t="str">
            <v>103140</v>
          </cell>
          <cell r="B261" t="str">
            <v>ASSENTAMENTO DE CONEXÃO COM 1 ACESSO, FERRO FUNDIDO PARA REDE DE ÁGUA, DN  200 MM, JUNTA FLANGEADA (NÃO INCLUI O FORNECIMENTO). AF_09/2021</v>
          </cell>
          <cell r="C261" t="str">
            <v>UN</v>
          </cell>
          <cell r="D261">
            <v>46.22</v>
          </cell>
        </row>
        <row r="262">
          <cell r="A262" t="str">
            <v>103141</v>
          </cell>
          <cell r="B262" t="str">
            <v>ASSENTAMENTO DE CONEXÃO COM 1 ACESSO, FERRO FUNDIDO PARA REDE DE ÁGUA, DN  250 MM, JUNTA FLANGEADA (NÃO INCLUI O FORNECIMENTO). AF_09/2021</v>
          </cell>
          <cell r="C262" t="str">
            <v>UN</v>
          </cell>
          <cell r="D262">
            <v>71.900000000000006</v>
          </cell>
        </row>
        <row r="263">
          <cell r="A263" t="str">
            <v>103142</v>
          </cell>
          <cell r="B263" t="str">
            <v>ASSENTAMENTO DE CONEXÃO COM 1 ACESSO, FERRO FUNDIDO PARA REDE DE ÁGUA, DN  300 MM, JUNTA FLANGEADA (NÃO INCLUI O FORNECIMENTO). AF_09/2021</v>
          </cell>
          <cell r="C263" t="str">
            <v>UN</v>
          </cell>
          <cell r="D263">
            <v>80.81</v>
          </cell>
        </row>
        <row r="264">
          <cell r="A264" t="str">
            <v>103143</v>
          </cell>
          <cell r="B264" t="str">
            <v>ASSENTAMENTO DE CONEXÃO COM 1 ACESSO, FERRO FUNDIDO PARA REDE DE ÁGUA, DN  350 MM, JUNTA FLANGEADA (NÃO INCLUI O FORNECIMENTO). AF_09/2021</v>
          </cell>
          <cell r="C264" t="str">
            <v>UN</v>
          </cell>
          <cell r="D264">
            <v>106.49</v>
          </cell>
        </row>
        <row r="265">
          <cell r="A265" t="str">
            <v>103144</v>
          </cell>
          <cell r="B265" t="str">
            <v>ASSENTAMENTO DE CONEXÃO COM 1 ACESSO, FERRO FUNDIDO PARA REDE DE ÁGUA, DN  400 MM, JUNTA FLANGEADA (NÃO INCLUI O FORNECIMENTO). AF_09/2021</v>
          </cell>
          <cell r="C265" t="str">
            <v>UN</v>
          </cell>
          <cell r="D265">
            <v>115.38</v>
          </cell>
        </row>
        <row r="266">
          <cell r="A266" t="str">
            <v>103145</v>
          </cell>
          <cell r="B266" t="str">
            <v>ASSENTAMENTO DE CONEXÃO COM 1 ACESSO, FERRO FUNDIDO PARA REDE DE ÁGUA, DN  450 MM, JUNTA FLANGEADA (NÃO INCLUI O FORNECIMENTO). AF_09/2021</v>
          </cell>
          <cell r="C266" t="str">
            <v>UN</v>
          </cell>
          <cell r="D266">
            <v>141.07</v>
          </cell>
        </row>
        <row r="267">
          <cell r="A267" t="str">
            <v>103146</v>
          </cell>
          <cell r="B267" t="str">
            <v>ASSENTAMENTO DE CONEXÃO COM 1 ACESSO, FERRO FUNDIDO PARA REDE DE ÁGUA, DN  500 MM, JUNTA FLANGEADA (NÃO INCLUI O FORNECIMENTO). AF_09/2021</v>
          </cell>
          <cell r="C267" t="str">
            <v>UN</v>
          </cell>
          <cell r="D267">
            <v>149.97999999999999</v>
          </cell>
        </row>
        <row r="268">
          <cell r="A268" t="str">
            <v>103147</v>
          </cell>
          <cell r="B268" t="str">
            <v>ASSENTAMENTO DE CONEXÃO COM 1 ACESSO, FERRO FUNDIDO PARA REDE DE ÁGUA, DN  600 MM, JUNTA FLANGEADA (NÃO INCLUI O FORNECIMENTO). AF_09/2021</v>
          </cell>
          <cell r="C268" t="str">
            <v>UN</v>
          </cell>
          <cell r="D268">
            <v>167.8</v>
          </cell>
        </row>
        <row r="269">
          <cell r="A269" t="str">
            <v>103148</v>
          </cell>
          <cell r="B269" t="str">
            <v>ASSENTAMENTO DE CONEXÃO COM 1 ACESSO, FERRO FUNDIDO PARA REDE DE ÁGUA, DN  700 MM, JUNTA FLANGEADA (NÃO INCLUI O FORNECIMENTO). AF_09/2021</v>
          </cell>
          <cell r="C269" t="str">
            <v>UN</v>
          </cell>
          <cell r="D269">
            <v>202.39</v>
          </cell>
        </row>
        <row r="270">
          <cell r="A270" t="str">
            <v>103149</v>
          </cell>
          <cell r="B270" t="str">
            <v>ASSENTAMENTO DE CONEXÃO COM 1 ACESSO, FERRO FUNDIDO PARA REDE DE ÁGUA, DN  800 MM, JUNTA FLANGEADA (NÃO INCLUI O FORNECIMENTO). AF_09/2021</v>
          </cell>
          <cell r="C270" t="str">
            <v>UN</v>
          </cell>
          <cell r="D270">
            <v>220.22</v>
          </cell>
        </row>
        <row r="271">
          <cell r="A271" t="str">
            <v>103150</v>
          </cell>
          <cell r="B271" t="str">
            <v>ASSENTAMENTO DE CONEXÃO COM 1 ACESSO, FERRO FUNDIDO PARA REDE DE ÁGUA, DN  900 MM, JUNTA FLANGEADA (NÃO INCLUI O FORNECIMENTO). AF_09/2021</v>
          </cell>
          <cell r="C271" t="str">
            <v>UN</v>
          </cell>
          <cell r="D271">
            <v>254.77</v>
          </cell>
        </row>
        <row r="272">
          <cell r="A272" t="str">
            <v>103151</v>
          </cell>
          <cell r="B272" t="str">
            <v>ASSENTAMENTO DE CONEXÃO COM 1 ACESSO, FERRO FUNDIDO PARA REDE DE ÁGUA, DN  1000 MM, JUNTA FLANGEADA (NÃO INCLUI O FORNECIMENTO). AF_09/2021</v>
          </cell>
          <cell r="C272" t="str">
            <v>UN</v>
          </cell>
          <cell r="D272">
            <v>272.64</v>
          </cell>
        </row>
        <row r="273">
          <cell r="A273" t="str">
            <v>103152</v>
          </cell>
          <cell r="B273" t="str">
            <v>ASSENTAMENTO DE CONEXÃO COM 1 ACESSO, FERRO FUNDIDO PARA REDE DE ÁGUA, DN  1200 MM, JUNTA FLANGEADA (NÃO INCLUI O FORNECIMENTO). AF_09/2021</v>
          </cell>
          <cell r="C273" t="str">
            <v>M2</v>
          </cell>
          <cell r="D273">
            <v>325.05</v>
          </cell>
        </row>
        <row r="274">
          <cell r="A274" t="str">
            <v>93206</v>
          </cell>
          <cell r="B274" t="str">
            <v>EXECUÇÃO DE ESCRITÓRIO EM CANTEIRO DE OBRA EM ALVENARIA, NÃO INCLUSO MOBILIÁRIO E EQUIPAMENTOS. AF_02/2016</v>
          </cell>
          <cell r="C274" t="str">
            <v>M2</v>
          </cell>
          <cell r="D274">
            <v>1062.5999999999999</v>
          </cell>
        </row>
        <row r="275">
          <cell r="A275" t="str">
            <v>93207</v>
          </cell>
          <cell r="B275" t="str">
            <v>EXECUÇÃO DE ESCRITÓRIO EM CANTEIRO DE OBRA EM CHAPA DE MADEIRA COMPENSADA, NÃO INCLUSO MOBILIÁRIO E EQUIPAMENTOS. AF_02/2016</v>
          </cell>
          <cell r="C275" t="str">
            <v>M2</v>
          </cell>
          <cell r="D275">
            <v>1104.5999999999999</v>
          </cell>
        </row>
        <row r="276">
          <cell r="A276" t="str">
            <v>93208</v>
          </cell>
          <cell r="B276" t="str">
            <v>EXECUÇÃO DE ALMOXARIFADO EM CANTEIRO DE OBRA EM CHAPA DE MADEIRA COMPENSADA, INCLUSO PRATELEIRAS. AF_02/2016</v>
          </cell>
          <cell r="C276" t="str">
            <v>M2</v>
          </cell>
          <cell r="D276">
            <v>916.32</v>
          </cell>
        </row>
        <row r="277">
          <cell r="A277" t="str">
            <v>93209</v>
          </cell>
          <cell r="B277" t="str">
            <v>EXECUÇÃO DE ALMOXARIFADO EM CANTEIRO DE OBRA EM ALVENARIA, INCLUSO PRATELEIRAS. AF_02/2016</v>
          </cell>
          <cell r="C277" t="str">
            <v>M2</v>
          </cell>
          <cell r="D277">
            <v>899.96</v>
          </cell>
        </row>
        <row r="278">
          <cell r="A278" t="str">
            <v>93210</v>
          </cell>
          <cell r="B278" t="str">
            <v>EXECUÇÃO DE REFEITÓRIO EM CANTEIRO DE OBRA EM CHAPA DE MADEIRA COMPENSADA, NÃO INCLUSO MOBILIÁRIO E EQUIPAMENTOS. AF_02/2016</v>
          </cell>
          <cell r="C278" t="str">
            <v>M2</v>
          </cell>
          <cell r="D278">
            <v>575.89</v>
          </cell>
        </row>
        <row r="279">
          <cell r="A279" t="str">
            <v>93211</v>
          </cell>
          <cell r="B279" t="str">
            <v>EXECUÇÃO DE REFEITÓRIO EM CANTEIRO DE OBRA EM ALVENARIA, NÃO INCLUSO MOBILIÁRIO E EQUIPAMENTOS. AF_02/2016</v>
          </cell>
          <cell r="C279" t="str">
            <v>M2</v>
          </cell>
          <cell r="D279">
            <v>553.23</v>
          </cell>
        </row>
        <row r="280">
          <cell r="A280" t="str">
            <v>93212</v>
          </cell>
          <cell r="B280" t="str">
            <v>EXECUÇÃO DE SANITÁRIO E VESTIÁRIO EM CANTEIRO DE OBRA EM CHAPA DE MADEIRA COMPENSADA, NÃO INCLUSO MOBILIÁRIO. AF_02/2016</v>
          </cell>
          <cell r="C280" t="str">
            <v>M2</v>
          </cell>
          <cell r="D280">
            <v>968.24</v>
          </cell>
        </row>
        <row r="281">
          <cell r="A281" t="str">
            <v>93213</v>
          </cell>
          <cell r="B281" t="str">
            <v>EXECUÇÃO DE SANITÁRIO E VESTIÁRIO EM CANTEIRO DE OBRA EM ALVENARIA, NÃO INCLUSO MOBILIÁRIO. AF_02/2016</v>
          </cell>
          <cell r="C281" t="str">
            <v>UN</v>
          </cell>
          <cell r="D281">
            <v>943.19</v>
          </cell>
        </row>
        <row r="282">
          <cell r="A282" t="str">
            <v>93214</v>
          </cell>
          <cell r="B282" t="str">
            <v>EXECUÇÃO DE RESERVATÓRIO ELEVADO DE ÁGUA (1000 LITROS) EM CANTEIRO DE OBRA, APOIADO EM ESTRUTURA DE MADEIRA. AF_02/2016</v>
          </cell>
          <cell r="C282" t="str">
            <v>UN</v>
          </cell>
          <cell r="D282">
            <v>6024.36</v>
          </cell>
        </row>
        <row r="283">
          <cell r="A283" t="str">
            <v>93243</v>
          </cell>
          <cell r="B283" t="str">
            <v>EXECUÇÃO DE RESERVATÓRIO ELEVADO DE ÁGUA (2000 LITROS) EM CANTEIRO DE OBRA, APOIADO EM ESTRUTURA DE MADEIRA. AF_02/2016</v>
          </cell>
          <cell r="C283" t="str">
            <v>M2</v>
          </cell>
          <cell r="D283">
            <v>9341.4599999999991</v>
          </cell>
        </row>
        <row r="284">
          <cell r="A284" t="str">
            <v>93582</v>
          </cell>
          <cell r="B284" t="str">
            <v>EXECUÇÃO DE CENTRAL DE ARMADURA EM CANTEIRO DE OBRA, NÃO INCLUSO MOBILIÁRIO E EQUIPAMENTOS. AF_04/2016</v>
          </cell>
          <cell r="C284" t="str">
            <v>M2</v>
          </cell>
          <cell r="D284">
            <v>277.27999999999997</v>
          </cell>
        </row>
        <row r="285">
          <cell r="A285" t="str">
            <v>93583</v>
          </cell>
          <cell r="B285" t="str">
            <v>EXECUÇÃO DE CENTRAL DE FÔRMAS, PRODUÇÃO DE ARGAMASSA OU CONCRETO EM CANTEIRO DE OBRA, NÃO INCLUSO MOBILIÁRIO E EQUIPAMENTOS. AF_04/2016</v>
          </cell>
          <cell r="C285" t="str">
            <v>M2</v>
          </cell>
          <cell r="D285">
            <v>443.7</v>
          </cell>
        </row>
        <row r="286">
          <cell r="A286" t="str">
            <v>93584</v>
          </cell>
          <cell r="B286" t="str">
            <v>EXECUÇÃO DE DEPÓSITO EM CANTEIRO DE OBRA EM CHAPA DE MADEIRA COMPENSADA, NÃO INCLUSO MOBILIÁRIO. AF_04/2016</v>
          </cell>
          <cell r="C286" t="str">
            <v>M2</v>
          </cell>
          <cell r="D286">
            <v>929.57</v>
          </cell>
        </row>
        <row r="287">
          <cell r="A287" t="str">
            <v>93585</v>
          </cell>
          <cell r="B287" t="str">
            <v>EXECUÇÃO DE GUARITA EM CANTEIRO DE OBRA EM CHAPA DE MADEIRA COMPENSADA, NÃO INCLUSO MOBILIÁRIO. AF_04/2016</v>
          </cell>
          <cell r="C287" t="str">
            <v>M2</v>
          </cell>
          <cell r="D287">
            <v>1181.3800000000001</v>
          </cell>
        </row>
        <row r="288">
          <cell r="A288" t="str">
            <v>98441</v>
          </cell>
          <cell r="B288" t="str">
            <v>PAREDE DE MADEIRA COMPENSADA PARA CONSTRUÇÃO TEMPORÁRIA EM CHAPA SIMPLES, EXTERNA, COM ÁREA LÍQUIDA MAIOR OU IGUAL A 6 M², SEM VÃO. AF_05/2018</v>
          </cell>
          <cell r="C288" t="str">
            <v>M2</v>
          </cell>
          <cell r="D288">
            <v>151.19</v>
          </cell>
        </row>
        <row r="289">
          <cell r="A289" t="str">
            <v>98442</v>
          </cell>
          <cell r="B289" t="str">
            <v>PAREDE DE MADEIRA COMPENSADA PARA CONSTRUÇÃO TEMPORÁRIA EM CHAPA SIMPLES, EXTERNA, COM ÁREA LÍQUIDA MENOR QUE 6 M², SEM VÃO. AF_05/2018</v>
          </cell>
          <cell r="C289" t="str">
            <v>M2</v>
          </cell>
          <cell r="D289">
            <v>154.30000000000001</v>
          </cell>
        </row>
        <row r="290">
          <cell r="A290" t="str">
            <v>98443</v>
          </cell>
          <cell r="B290" t="str">
            <v>PAREDE DE MADEIRA COMPENSADA PARA CONSTRUÇÃO TEMPORÁRIA EM CHAPA SIMPLES, INTERNA, COM ÁREA LÍQUIDA MAIOR OU IGUAL A 6 M², SEM VÃO. AF_05/2018</v>
          </cell>
          <cell r="C290" t="str">
            <v>M2</v>
          </cell>
          <cell r="D290">
            <v>132.94</v>
          </cell>
        </row>
        <row r="291">
          <cell r="A291" t="str">
            <v>98444</v>
          </cell>
          <cell r="B291" t="str">
            <v>PAREDE DE MADEIRA COMPENSADA PARA CONSTRUÇÃO TEMPORÁRIA EM CHAPA SIMPLES, INTERNA, COM ÁREA LÍQUIDA MENOR QUE 6 M², SEM VÃO. AF_05/2018</v>
          </cell>
          <cell r="C291" t="str">
            <v>M2</v>
          </cell>
          <cell r="D291">
            <v>135.16</v>
          </cell>
        </row>
        <row r="292">
          <cell r="A292" t="str">
            <v>98445</v>
          </cell>
          <cell r="B292" t="str">
            <v>PAREDE DE MADEIRA COMPENSADA PARA CONSTRUÇÃO TEMPORÁRIA EM CHAPA SIMPLES, EXTERNA, COM ÁREA LÍQUIDA MAIOR OU IGUAL A 6 M², COM VÃO. AF_05/2018</v>
          </cell>
          <cell r="C292" t="str">
            <v>M2</v>
          </cell>
          <cell r="D292">
            <v>181.95</v>
          </cell>
        </row>
        <row r="293">
          <cell r="A293" t="str">
            <v>98446</v>
          </cell>
          <cell r="B293" t="str">
            <v>PAREDE DE MADEIRA COMPENSADA PARA CONSTRUÇÃO TEMPORÁRIA EM CHAPA SIMPLES, EXTERNA, COM ÁREA LÍQUIDA MENOR QUE 6 M², COM VÃO. AF_05/2018</v>
          </cell>
          <cell r="C293" t="str">
            <v>M2</v>
          </cell>
          <cell r="D293">
            <v>232.94</v>
          </cell>
        </row>
        <row r="294">
          <cell r="A294" t="str">
            <v>98447</v>
          </cell>
          <cell r="B294" t="str">
            <v>PAREDE DE MADEIRA COMPENSADA PARA CONSTRUÇÃO TEMPORÁRIA EM CHAPA SIMPLES, INTERNA, COM ÁREA LÍQUIDA MAIOR OU IGUAL A 6 M², COM VÃO. AF_05/2018</v>
          </cell>
          <cell r="C294" t="str">
            <v>M2</v>
          </cell>
          <cell r="D294">
            <v>156.5</v>
          </cell>
        </row>
        <row r="295">
          <cell r="A295" t="str">
            <v>98448</v>
          </cell>
          <cell r="B295" t="str">
            <v>PAREDE DE MADEIRA COMPENSADA PARA CONSTRUÇÃO TEMPORÁRIA EM CHAPA SIMPLES, INTERNA, COM ÁREA LÍQUIDA MENOR QUE 6 M², COM VÃO. AF_05/2018</v>
          </cell>
          <cell r="C295" t="str">
            <v>M2</v>
          </cell>
          <cell r="D295">
            <v>196.34</v>
          </cell>
        </row>
        <row r="296">
          <cell r="A296" t="str">
            <v>98449</v>
          </cell>
          <cell r="B296" t="str">
            <v>PAREDE DE MADEIRA COMPENSADA PARA CONSTRUÇÃO TEMPORÁRIA EM CHAPA DUPLA, EXTERNA, COM ÁREA LÍQUIDA MAIOR OU IGUAL A 6 M², SEM VÃO. AF_05/2018</v>
          </cell>
          <cell r="C296" t="str">
            <v>M2</v>
          </cell>
          <cell r="D296">
            <v>194.88</v>
          </cell>
        </row>
        <row r="297">
          <cell r="A297" t="str">
            <v>98450</v>
          </cell>
          <cell r="B297" t="str">
            <v>PAREDE DE MADEIRA COMPENSADA PARA CONSTRUÇÃO TEMPORÁRIA EM CHAPA DUPLA, EXTERNA, COM ÁREA LÍQUIDA MENOR QUE 6 M², SEM VÃO. AF_05/2018</v>
          </cell>
          <cell r="C297" t="str">
            <v>M2</v>
          </cell>
          <cell r="D297">
            <v>199.43</v>
          </cell>
        </row>
        <row r="298">
          <cell r="A298" t="str">
            <v>98451</v>
          </cell>
          <cell r="B298" t="str">
            <v>PAREDE DE MADEIRA COMPENSADA PARA CONSTRUÇÃO TEMPORÁRIA EM CHAPA DUPLA, INTERNA, COM ÁREA LÍQUIDA MAIOR OU IGUAL A 6 M², SEM VÃO. AF_05/2018</v>
          </cell>
          <cell r="C298" t="str">
            <v>M2</v>
          </cell>
          <cell r="D298">
            <v>173.94</v>
          </cell>
        </row>
        <row r="299">
          <cell r="A299" t="str">
            <v>98452</v>
          </cell>
          <cell r="B299" t="str">
            <v>PAREDE DE MADEIRA COMPENSADA PARA CONSTRUÇÃO TEMPORÁRIA EM CHAPA DUPLA, INTERNA, COM ÁREA LÍQUIDA MENOR QUE 6 M², SEM VÃO. AF_05/2018</v>
          </cell>
          <cell r="C299" t="str">
            <v>M2</v>
          </cell>
          <cell r="D299">
            <v>176.69</v>
          </cell>
        </row>
        <row r="300">
          <cell r="A300" t="str">
            <v>98453</v>
          </cell>
          <cell r="B300" t="str">
            <v>PAREDE DE MADEIRA COMPENSADA PARA CONSTRUÇÃO TEMPORÁRIA EM CHAPA DUPLA, EXTERNA, COM ÁREA LÍQUIDA MAIOR OU IGUAL A QUE 6 M², COM VÃO. AF_05/2018</v>
          </cell>
          <cell r="C300" t="str">
            <v>M2</v>
          </cell>
          <cell r="D300">
            <v>231.15</v>
          </cell>
        </row>
        <row r="301">
          <cell r="A301" t="str">
            <v>98454</v>
          </cell>
          <cell r="B301" t="str">
            <v>PAREDE DE MADEIRA COMPENSADA PARA CONSTRUÇÃO TEMPORÁRIA EM CHAPA DUPLA, EXTERNA, COM ÁREA LÍQUIDA MENOR QUE 6 M², COM VÃO. AF_05/2018</v>
          </cell>
          <cell r="C301" t="str">
            <v>M2</v>
          </cell>
          <cell r="D301">
            <v>295.39</v>
          </cell>
        </row>
        <row r="302">
          <cell r="A302" t="str">
            <v>98455</v>
          </cell>
          <cell r="B302" t="str">
            <v>PAREDE DE MADEIRA COMPENSADA PARA CONSTRUÇÃO TEMPORÁRIA EM CHAPA DUPLA, INTERNA, COM ÁREA LÍQUIDA MAIOR OU IGUAL A 6 M², COM VÃO. AF_05/2018</v>
          </cell>
          <cell r="C302" t="str">
            <v>M2</v>
          </cell>
          <cell r="D302">
            <v>203</v>
          </cell>
        </row>
        <row r="303">
          <cell r="A303" t="str">
            <v>98456</v>
          </cell>
          <cell r="B303" t="str">
            <v>PAREDE DE MADEIRA COMPENSADA PARA CONSTRUÇÃO TEMPORÁRIA EM CHAPA DUPLA, INTERNA, COM ÁREA LÍQUIDA MENOR QUE 6 M², COM VÃO. AF_05/2018</v>
          </cell>
          <cell r="C303" t="str">
            <v>M2</v>
          </cell>
          <cell r="D303">
            <v>255.2</v>
          </cell>
        </row>
        <row r="304">
          <cell r="A304" t="str">
            <v>98458</v>
          </cell>
          <cell r="B304" t="str">
            <v>TAPUME COM COMPENSADO DE MADEIRA. AF_05/2018</v>
          </cell>
          <cell r="C304" t="str">
            <v>M2</v>
          </cell>
          <cell r="D304">
            <v>145.72999999999999</v>
          </cell>
        </row>
        <row r="305">
          <cell r="A305" t="str">
            <v>98459</v>
          </cell>
          <cell r="B305" t="str">
            <v>TAPUME COM TELHA METÁLICA. AF_05/2018</v>
          </cell>
          <cell r="C305" t="str">
            <v>M2</v>
          </cell>
          <cell r="D305">
            <v>126.93</v>
          </cell>
        </row>
        <row r="306">
          <cell r="A306" t="str">
            <v>98460</v>
          </cell>
          <cell r="B306" t="str">
            <v>PISO PARA CONSTRUÇÃO TEMPORÁRIA EM MADEIRA, SEM REAPROVEITAMENTO. AF_05/2018</v>
          </cell>
          <cell r="C306" t="str">
            <v>UN</v>
          </cell>
          <cell r="D306">
            <v>181.37</v>
          </cell>
        </row>
        <row r="307">
          <cell r="A307" t="str">
            <v>98461</v>
          </cell>
          <cell r="B307" t="str">
            <v>ESTRUTURA DE MADEIRA PROVISÓRIA PARA SUPORTE DE CAIXA D ÁGUA ELEVADA DE 1000 LITROS. AF_05/2018_P</v>
          </cell>
          <cell r="C307" t="str">
            <v>UN</v>
          </cell>
          <cell r="D307">
            <v>5185.7700000000004</v>
          </cell>
        </row>
        <row r="308">
          <cell r="A308" t="str">
            <v>98462</v>
          </cell>
          <cell r="B308" t="str">
            <v>ESTRUTURA DE MADEIRA PROVISÓRIA PARA SUPORTE DE CAIXA D ÁGUA ELEVADA DE 3000 LITROS. AF_05/2018_P</v>
          </cell>
          <cell r="C308" t="str">
            <v>CHP</v>
          </cell>
          <cell r="D308">
            <v>7885.54</v>
          </cell>
        </row>
        <row r="309">
          <cell r="A309" t="str">
            <v>5631</v>
          </cell>
          <cell r="B309" t="str">
            <v>ESCAVADEIRA HIDRÁULICA SOBRE ESTEIRAS, CAÇAMBA 0,80 M3, PESO OPERACIONAL 17 T, POTENCIA BRUTA 111 HP - CHP DIURNO. AF_06/2014</v>
          </cell>
          <cell r="C309" t="str">
            <v>CHP</v>
          </cell>
          <cell r="D309">
            <v>198.05</v>
          </cell>
        </row>
        <row r="310">
          <cell r="A310" t="str">
            <v>5678</v>
          </cell>
          <cell r="B310" t="str">
            <v>RETROESCAVADEIRA SOBRE RODAS COM CARREGADEIRA, TRAÇÃO 4X4, POTÊNCIA LÍQ. 88 HP, CAÇAMBA CARREG. CAP. MÍN. 1 M3, CAÇAMBA RETRO CAP. 0,26 M3, PESO OPERACIONAL MÍN. 6.674 KG, PROFUNDIDADE ESCAVAÇÃO MÁX. 4,37 M - CHP DIURNO. AF_06/2014</v>
          </cell>
          <cell r="C310" t="str">
            <v>CHP</v>
          </cell>
          <cell r="D310">
            <v>134.58000000000001</v>
          </cell>
        </row>
        <row r="311">
          <cell r="A311" t="str">
            <v>5680</v>
          </cell>
          <cell r="B311" t="str">
            <v>RETROESCAVADEIRA SOBRE RODAS COM CARREGADEIRA, TRAÇÃO 4X2, POTÊNCIA LÍQ. 79 HP, CAÇAMBA CARREG. CAP. MÍN. 1 M3, CAÇAMBA RETRO CAP. 0,20 M3, PESO OPERACIONAL MÍN. 6.570 KG, PROFUNDIDADE ESCAVAÇÃO MÁX. 4,37 M - CHP DIURNO. AF_06/2014</v>
          </cell>
          <cell r="C311" t="str">
            <v>CHP</v>
          </cell>
          <cell r="D311">
            <v>124.52</v>
          </cell>
        </row>
        <row r="312">
          <cell r="A312" t="str">
            <v>5684</v>
          </cell>
          <cell r="B312" t="str">
            <v>ROLO COMPACTADOR VIBRATÓRIO DE UM CILINDRO AÇO LISO, POTÊNCIA 80 HP, PESO OPERACIONAL MÁXIMO 8,1 T, IMPACTO DINÂMICO 16,15 / 9,5 T, LARGURA DE TRABALHO 1,68 M - CHP DIURNO. AF_06/2014</v>
          </cell>
          <cell r="C312" t="str">
            <v>CHP</v>
          </cell>
          <cell r="D312">
            <v>138.29</v>
          </cell>
        </row>
        <row r="313">
          <cell r="A313" t="str">
            <v>5689</v>
          </cell>
          <cell r="B313" t="str">
            <v>GRADE DE DISCO CONTROLE REMOTO REBOCÁVEL, COM 24 DISCOS 24 X 6 MM COM PNEUS PARA TRANSPORTE - CHP DIURNO. AF_06/2014</v>
          </cell>
          <cell r="C313" t="str">
            <v>CHP</v>
          </cell>
          <cell r="D313">
            <v>7.55</v>
          </cell>
        </row>
        <row r="314">
          <cell r="A314" t="str">
            <v>5795</v>
          </cell>
          <cell r="B314" t="str">
            <v>MARTELETE OU ROMPEDOR PNEUMÁTICO MANUAL, 28 KG, COM SILENCIADOR - CHP DIURNO. AF_07/2016</v>
          </cell>
          <cell r="C314" t="str">
            <v>CHP</v>
          </cell>
          <cell r="D314">
            <v>19.16</v>
          </cell>
        </row>
        <row r="315">
          <cell r="A315" t="str">
            <v>5811</v>
          </cell>
          <cell r="B315" t="str">
            <v>CAMINHÃO BASCULANTE 6 M3, PESO BRUTO TOTAL 16.000 KG, CARGA ÚTIL MÁXIMA 13.071 KG, DISTÂNCIA ENTRE EIXOS 4,80 M, POTÊNCIA 230 CV INCLUSIVE CAÇAMBA METÁLICA - CHP DIURNO. AF_06/2014</v>
          </cell>
          <cell r="C315" t="str">
            <v>CHP</v>
          </cell>
          <cell r="D315">
            <v>170.93</v>
          </cell>
        </row>
        <row r="316">
          <cell r="A316" t="str">
            <v>5823</v>
          </cell>
          <cell r="B316" t="str">
            <v>USINA DE CONCRETO FIXA, CAPACIDADE NOMINAL DE 90 A 120 M3/H, SEM SILO - CHP DIURNO. AF_07/2016</v>
          </cell>
          <cell r="C316" t="str">
            <v>CHP</v>
          </cell>
          <cell r="D316">
            <v>191.94</v>
          </cell>
        </row>
        <row r="317">
          <cell r="A317" t="str">
            <v>5824</v>
          </cell>
          <cell r="B317" t="str">
            <v>CAMINHÃO TOCO, PBT 16.000 KG, CARGA ÚTIL MÁX. 10.685 KG, DIST. ENTRE EIXOS 4,8 M, POTÊNCIA 189 CV, INCLUSIVE CARROCERIA FIXA ABERTA DE MADEIRA P/ TRANSPORTE GERAL DE CARGA SECA, DIMEN. APROX. 2,5 X 7,00 X 0,50 M - CHP DIURNO. AF_06/2014</v>
          </cell>
          <cell r="C317" t="str">
            <v>CHP</v>
          </cell>
          <cell r="D317">
            <v>162.56</v>
          </cell>
        </row>
        <row r="318">
          <cell r="A318" t="str">
            <v>5835</v>
          </cell>
          <cell r="B318" t="str">
            <v>VIBROACABADORA DE ASFALTO SOBRE ESTEIRAS, LARGURA DE PAVIMENTAÇÃO 1,90 M A 5,30 M, POTÊNCIA 105 HP CAPACIDADE 450 T/H - CHP DIURNO. AF_11/2014</v>
          </cell>
          <cell r="C318" t="str">
            <v>CHP</v>
          </cell>
          <cell r="D318">
            <v>412.14</v>
          </cell>
        </row>
        <row r="319">
          <cell r="A319" t="str">
            <v>5839</v>
          </cell>
          <cell r="B319" t="str">
            <v>VASSOURA MECÂNICA REBOCÁVEL COM ESCOVA CILÍNDRICA, LARGURA ÚTIL DE VARRIMENTO DE 2,44 M - CHP DIURNO. AF_06/2014</v>
          </cell>
          <cell r="C319" t="str">
            <v>CHP</v>
          </cell>
          <cell r="D319">
            <v>11.36</v>
          </cell>
        </row>
        <row r="320">
          <cell r="A320" t="str">
            <v>5843</v>
          </cell>
          <cell r="B320" t="str">
            <v>TRATOR DE PNEUS, POTÊNCIA 122 CV, TRAÇÃO 4X4, PESO COM LASTRO DE 4.510 KG - CHP DIURNO. AF_06/2014</v>
          </cell>
          <cell r="C320" t="str">
            <v>CHP</v>
          </cell>
          <cell r="D320">
            <v>213.05</v>
          </cell>
        </row>
        <row r="321">
          <cell r="A321" t="str">
            <v>5847</v>
          </cell>
          <cell r="B321" t="str">
            <v>TRATOR DE ESTEIRAS, POTÊNCIA 170 HP, PESO OPERACIONAL 19 T, CAÇAMBA 5,2 M3 - CHP DIURNO. AF_06/2014</v>
          </cell>
          <cell r="C321" t="str">
            <v>CHP</v>
          </cell>
          <cell r="D321">
            <v>224.27</v>
          </cell>
        </row>
        <row r="322">
          <cell r="A322" t="str">
            <v>5851</v>
          </cell>
          <cell r="B322" t="str">
            <v>TRATOR DE ESTEIRAS, POTÊNCIA 150 HP, PESO OPERACIONAL 16,7 T, COM RODA MOTRIZ ELEVADA E LÂMINA 3,18 M3 - CHP DIURNO. AF_06/2014</v>
          </cell>
          <cell r="C322" t="str">
            <v>CHP</v>
          </cell>
          <cell r="D322">
            <v>214.22</v>
          </cell>
        </row>
        <row r="323">
          <cell r="A323" t="str">
            <v>5855</v>
          </cell>
          <cell r="B323" t="str">
            <v>TRATOR DE ESTEIRAS, POTÊNCIA 347 HP, PESO OPERACIONAL 38,5 T, COM LÂMINA 8,70 M3 - CHP DIURNO. AF_06/2014</v>
          </cell>
          <cell r="C323" t="str">
            <v>CHP</v>
          </cell>
          <cell r="D323">
            <v>555.16999999999996</v>
          </cell>
        </row>
        <row r="324">
          <cell r="A324" t="str">
            <v>5863</v>
          </cell>
          <cell r="B324" t="str">
            <v>ROLO COMPACTADOR VIBRATÓRIO REBOCÁVEL, CILINDRO DE AÇO LISO, POTÊNCIA DE TRAÇÃO DE 65 CV, PESO 4,7 T, IMPACTO DINÂMICO 18,3 T, LARGURA DE TRABALHO 1,67 M - CHP DIURNO. AF_02/2016</v>
          </cell>
          <cell r="C324" t="str">
            <v>CHP</v>
          </cell>
          <cell r="D324">
            <v>20.170000000000002</v>
          </cell>
        </row>
        <row r="325">
          <cell r="A325" t="str">
            <v>5867</v>
          </cell>
          <cell r="B325" t="str">
            <v>ROLO COMPACTADOR VIBRATÓRIO TANDEM AÇO LISO, POTÊNCIA 58 HP, PESO SEM/COM LASTRO 6,5 / 9,4 T, LARGURA DE TRABALHO 1,2 M - CHP DIURNO. AF_06/2014</v>
          </cell>
          <cell r="C325" t="str">
            <v>CHP</v>
          </cell>
          <cell r="D325">
            <v>140.09</v>
          </cell>
        </row>
        <row r="326">
          <cell r="A326" t="str">
            <v>5875</v>
          </cell>
          <cell r="B326" t="str">
            <v>RETROESCAVADEIRA SOBRE RODAS COM CARREGADEIRA, TRAÇÃO 4X4, POTÊNCIA LÍQ. 72 HP, CAÇAMBA CARREG. CAP. MÍN. 0,79 M3, CAÇAMBA RETRO CAP. 0,18 M3, PESO OPERACIONAL MÍN. 7.140 KG, PROFUNDIDADE ESCAVAÇÃO MÁX. 4,50 M - CHP DIURNO. AF_06/2014</v>
          </cell>
          <cell r="C326" t="str">
            <v>CHP</v>
          </cell>
          <cell r="D326">
            <v>125.53</v>
          </cell>
        </row>
        <row r="327">
          <cell r="A327" t="str">
            <v>5879</v>
          </cell>
          <cell r="B327" t="str">
            <v>ROLO COMPACTADOR VIBRATÓRIO PÉ DE CARNEIRO, OPERADO POR CONTROLE REMOTO, POTÊNCIA 12,5 KW, PESO OPERACIONAL 1,675 T, LARGURA DE TRABALHO 0,85 M - CHP DIURNO. AF_02/2016</v>
          </cell>
          <cell r="C327" t="str">
            <v>CHP</v>
          </cell>
          <cell r="D327">
            <v>124.21</v>
          </cell>
        </row>
        <row r="328">
          <cell r="A328" t="str">
            <v>5882</v>
          </cell>
          <cell r="B328" t="str">
            <v>USINA DE LAMA ASFÁLTICA, PROD 30 A 50 T/H, SILO DE AGREGADO 7 M3, RESERVATÓRIOS PARA EMULSÃO E ÁGUA DE 2,3 M3 CADA, MISTURADOR TIPO PUG MILL A SER MONTADO SOBRE CAMINHÃO - CHP DIURNO. AF_10/2014</v>
          </cell>
          <cell r="C328" t="str">
            <v>CHP</v>
          </cell>
          <cell r="D328">
            <v>105.84</v>
          </cell>
        </row>
        <row r="329">
          <cell r="A329" t="str">
            <v>5890</v>
          </cell>
          <cell r="B329" t="str">
            <v>CAMINHÃO TOCO, PESO BRUTO TOTAL 14.300 KG, CARGA ÚTIL MÁXIMA 9590 KG, DISTÂNCIA ENTRE EIXOS 4,76 M, POTÊNCIA 185 CV (NÃO INCLUI CARROCERIA) - CHP DIURNO. AF_06/2014</v>
          </cell>
          <cell r="C329" t="str">
            <v>CHP</v>
          </cell>
          <cell r="D329">
            <v>164.13</v>
          </cell>
        </row>
        <row r="330">
          <cell r="A330" t="str">
            <v>5894</v>
          </cell>
          <cell r="B330" t="str">
            <v>CAMINHÃO TOCO, PESO BRUTO TOTAL 16.000 KG, CARGA ÚTIL MÁXIMA DE 10.685 KG, DISTÂNCIA ENTRE EIXOS 4,80 M, POTÊNCIA 189 CV EXCLUSIVE CARROCERIA - CHP DIURNO. AF_06/2014</v>
          </cell>
          <cell r="C330" t="str">
            <v>CHP</v>
          </cell>
          <cell r="D330">
            <v>159.63999999999999</v>
          </cell>
        </row>
        <row r="331">
          <cell r="A331" t="str">
            <v>5901</v>
          </cell>
          <cell r="B331" t="str">
            <v>CAMINHÃO PIPA 10.000 L TRUCADO, PESO BRUTO TOTAL 23.000 KG, CARGA ÚTIL MÁXIMA 15.935 KG, DISTÂNCIA ENTRE EIXOS 4,8 M, POTÊNCIA 230 CV, INCLUSIVE TANQUE DE AÇO PARA TRANSPORTE DE ÁGUA - CHP DIURNO. AF_06/2014</v>
          </cell>
          <cell r="C331" t="str">
            <v>CHP</v>
          </cell>
          <cell r="D331">
            <v>250.22</v>
          </cell>
        </row>
        <row r="332">
          <cell r="A332" t="str">
            <v>5909</v>
          </cell>
          <cell r="B332" t="str">
            <v>ESPARGIDOR DE ASFALTO PRESSURIZADO COM TANQUE DE 2500 L, REBOCÁVEL COM MOTOR A GASOLINA POTÊNCIA 3,4 HP - CHP DIURNO. AF_07/2014</v>
          </cell>
          <cell r="C332" t="str">
            <v>CHP</v>
          </cell>
          <cell r="D332">
            <v>29.92</v>
          </cell>
        </row>
        <row r="333">
          <cell r="A333" t="str">
            <v>5921</v>
          </cell>
          <cell r="B333" t="str">
            <v>GRADE DE DISCO REBOCÁVEL COM 20 DISCOS 24" X 6 MM COM PNEUS PARA TRANSPORTE - CHP DIURNO. AF_06/2014</v>
          </cell>
          <cell r="C333" t="str">
            <v>CHP</v>
          </cell>
          <cell r="D333">
            <v>5.92</v>
          </cell>
        </row>
        <row r="334">
          <cell r="A334" t="str">
            <v>5928</v>
          </cell>
          <cell r="B334" t="str">
            <v>GUINDAUTO HIDRÁULICO, CAPACIDADE MÁXIMA DE CARGA 6200 KG, MOMENTO MÁXIMO DE CARGA 11,7 TM, ALCANCE MÁXIMO HORIZONTAL 9,70 M, INCLUSIVE CAMINHÃO TOCO PBT 16.000 KG, POTÊNCIA DE 189 CV - CHP DIURNO. AF_06/2014</v>
          </cell>
          <cell r="C334" t="str">
            <v>CHP</v>
          </cell>
          <cell r="D334">
            <v>211.36</v>
          </cell>
        </row>
        <row r="335">
          <cell r="A335" t="str">
            <v>5932</v>
          </cell>
          <cell r="B335" t="str">
            <v>MOTONIVELADORA POTÊNCIA BÁSICA LÍQUIDA (PRIMEIRA MARCHA) 125 HP, PESO BRUTO 13032 KG, LARGURA DA LÂMINA DE 3,7 M - CHP DIURNO. AF_06/2014</v>
          </cell>
          <cell r="C335" t="str">
            <v>CHP</v>
          </cell>
          <cell r="D335">
            <v>217.94</v>
          </cell>
        </row>
        <row r="336">
          <cell r="A336" t="str">
            <v>5940</v>
          </cell>
          <cell r="B336" t="str">
            <v>PÁ CARREGADEIRA SOBRE RODAS, POTÊNCIA LÍQUIDA 128 HP, CAPACIDADE DA CAÇAMBA 1,7 A 2,8 M3, PESO OPERACIONAL 11632 KG - CHP DIURNO. AF_06/2014</v>
          </cell>
          <cell r="C336" t="str">
            <v>CHP</v>
          </cell>
          <cell r="D336">
            <v>179.34</v>
          </cell>
        </row>
        <row r="337">
          <cell r="A337" t="str">
            <v>5944</v>
          </cell>
          <cell r="B337" t="str">
            <v>PÁ CARREGADEIRA SOBRE RODAS, POTÊNCIA 197 HP, CAPACIDADE DA CAÇAMBA 2,5 A 3,5 M3, PESO OPERACIONAL 18338 KG - CHP DIURNO. AF_06/2014</v>
          </cell>
          <cell r="C337" t="str">
            <v>CHP</v>
          </cell>
          <cell r="D337">
            <v>203.65</v>
          </cell>
        </row>
        <row r="338">
          <cell r="A338" t="str">
            <v>5953</v>
          </cell>
          <cell r="B338" t="str">
            <v>COMPRESSOR DE AR REBOCÁVEL, VAZÃO 189 PCM, PRESSÃO EFETIVA DE TRABALHO 102 PSI, MOTOR DIESEL, POTÊNCIA 63 CV - CHP DIURNO. AF_06/2015</v>
          </cell>
          <cell r="C338" t="str">
            <v>CHP</v>
          </cell>
          <cell r="D338">
            <v>48.5</v>
          </cell>
        </row>
        <row r="339">
          <cell r="A339" t="str">
            <v>6259</v>
          </cell>
          <cell r="B339" t="str">
            <v>CAMINHÃO PIPA 6.000 L, PESO BRUTO TOTAL 13.000 KG, DISTÂNCIA ENTRE EIXOS 4,80 M, POTÊNCIA 189 CV INCLUSIVE TANQUE DE AÇO PARA TRANSPORTE DE ÁGUA, CAPACIDADE 6 M3 - CHP DIURNO. AF_06/2014</v>
          </cell>
          <cell r="C339" t="str">
            <v>CHP</v>
          </cell>
          <cell r="D339">
            <v>207.54</v>
          </cell>
        </row>
        <row r="340">
          <cell r="A340" t="str">
            <v>6879</v>
          </cell>
          <cell r="B340" t="str">
            <v>ROLO COMPACTADOR DE PNEUS ESTÁTICO, PRESSÃO VARIÁVEL, POTÊNCIA 111 HP, PESO SEM/COM LASTRO 9,5 / 26 T, LARGURA DE TRABALHO 1,90 M - CHP DIURNO. AF_07/2014</v>
          </cell>
          <cell r="C340" t="str">
            <v>CHP</v>
          </cell>
          <cell r="D340">
            <v>182.17</v>
          </cell>
        </row>
        <row r="341">
          <cell r="A341" t="str">
            <v>7030</v>
          </cell>
          <cell r="B341" t="str">
            <v>TANQUE DE ASFALTO ESTACIONÁRIO COM SERPENTINA, CAPACIDADE 30.000 L - CHP DIURNO. AF_06/2014</v>
          </cell>
          <cell r="C341" t="str">
            <v>CHP</v>
          </cell>
          <cell r="D341">
            <v>197.36</v>
          </cell>
        </row>
        <row r="342">
          <cell r="A342" t="str">
            <v>7042</v>
          </cell>
          <cell r="B342" t="str">
            <v>MOTOBOMBA TRASH (PARA ÁGUA SUJA) AUTO ESCORVANTE, MOTOR GASOLINA DE 6,41 HP, DIÂMETROS DE SUCÇÃO X RECALQUE: 3" X 3", HM/Q = 10 MCA / 60 M3/H A 23 MCA / 0 M3/H - CHP DIURNO. AF_10/2014</v>
          </cell>
          <cell r="C342" t="str">
            <v>CHP</v>
          </cell>
          <cell r="D342">
            <v>11.83</v>
          </cell>
        </row>
        <row r="343">
          <cell r="A343" t="str">
            <v>7049</v>
          </cell>
          <cell r="B343" t="str">
            <v>ROLO COMPACTADOR PE DE CARNEIRO VIBRATORIO, POTENCIA 125 HP, PESO OPERACIONAL SEM/COM LASTRO 11,95 / 13,30 T, IMPACTO DINAMICO 38,5 / 22,5 T, LARGURA DE TRABALHO 2,15 M - CHP DIURNO. AF_06/2014</v>
          </cell>
          <cell r="C343" t="str">
            <v>CHP</v>
          </cell>
          <cell r="D343">
            <v>191.57</v>
          </cell>
        </row>
        <row r="344">
          <cell r="A344" t="str">
            <v>67826</v>
          </cell>
          <cell r="B344" t="str">
            <v>CAMINHÃO BASCULANTE 6 M3 TOCO, PESO BRUTO TOTAL 16.000 KG, CARGA ÚTIL MÁXIMA 11.130 KG, DISTÂNCIA ENTRE EIXOS 5,36 M, POTÊNCIA 185 CV, INCLUSIVE CAÇAMBA METÁLICA - CHP DIURNO. AF_06/2014</v>
          </cell>
          <cell r="C344" t="str">
            <v>CHP</v>
          </cell>
          <cell r="D344">
            <v>151.28</v>
          </cell>
        </row>
        <row r="345">
          <cell r="A345" t="str">
            <v>73417</v>
          </cell>
          <cell r="B345" t="str">
            <v>GRUPO GERADOR ESTACIONÁRIO, MOTOR DIESEL POTÊNCIA 170 KVA - CHP DIURNO. AF_02/2016</v>
          </cell>
          <cell r="C345" t="str">
            <v>CHP</v>
          </cell>
          <cell r="D345">
            <v>161.43</v>
          </cell>
        </row>
        <row r="346">
          <cell r="A346" t="str">
            <v>73436</v>
          </cell>
          <cell r="B346" t="str">
            <v>ROLO COMPACTADOR VIBRATÓRIO PÉ DE CARNEIRO PARA SOLOS, POTÊNCIA 80 HP, PESO OPERACIONAL SEM/COM LASTRO 7,4 / 8,8 T, LARGURA DE TRABALHO 1,68 M - CHP DIURNO. AF_02/2016</v>
          </cell>
          <cell r="C346" t="str">
            <v>CHP</v>
          </cell>
          <cell r="D346">
            <v>186.22</v>
          </cell>
        </row>
        <row r="347">
          <cell r="A347" t="str">
            <v>73467</v>
          </cell>
          <cell r="B347" t="str">
            <v>CAMINHÃO TOCO, PBT 14.300 KG, CARGA ÚTIL MÁX. 9.710 KG, DIST. ENTRE EIXOS 3,56 M, POTÊNCIA 185 CV, INCLUSIVE CARROCERIA FIXA ABERTA DE MADEIRA P/ TRANSPORTE GERAL DE CARGA SECA, DIMEN. APROX. 2,50 X 6,50 X 0,50 M - CHP DIURNO. AF_06/2014</v>
          </cell>
          <cell r="C347" t="str">
            <v>CHP</v>
          </cell>
          <cell r="D347">
            <v>139.80000000000001</v>
          </cell>
        </row>
        <row r="348">
          <cell r="A348" t="str">
            <v>73536</v>
          </cell>
          <cell r="B348" t="str">
            <v>MOTOBOMBA CENTRÍFUGA, MOTOR A GASOLINA, POTÊNCIA 5,42 HP, BOCAIS 1 1/2" X 1", DIÂMETRO ROTOR 143 MM HM/Q = 6 MCA / 16,8 M3/H A 38 MCA / 6,6 M3/H - CHP DIURNO. AF_06/2014</v>
          </cell>
          <cell r="C348" t="str">
            <v>CHP</v>
          </cell>
          <cell r="D348">
            <v>10.029999999999999</v>
          </cell>
        </row>
        <row r="349">
          <cell r="A349" t="str">
            <v>83362</v>
          </cell>
          <cell r="B349" t="str">
            <v>ESPARGIDOR DE ASFALTO PRESSURIZADO, TANQUE 6 M3 COM ISOLAÇÃO TÉRMICA, AQUECIDO COM 2 MAÇARICOS, COM BARRA ESPARGIDORA 3,60 M, MONTADO SOBRE CAMINHÃO  TOCO, PBT 14.300 KG, POTÊNCIA 185 CV - CHP DIURNO. AF_08/2015</v>
          </cell>
          <cell r="C349" t="str">
            <v>CHP</v>
          </cell>
          <cell r="D349">
            <v>250.16</v>
          </cell>
        </row>
        <row r="350">
          <cell r="A350" t="str">
            <v>83765</v>
          </cell>
          <cell r="B350" t="str">
            <v>GRUPO DE SOLDAGEM COM GERADOR A DIESEL 60 CV PARA SOLDA ELÉTRICA, SOBRE 04 RODAS, COM MOTOR 4 CILINDROS 600 A - CHP DIURNO. AF_02/2016</v>
          </cell>
          <cell r="C350" t="str">
            <v>CHP</v>
          </cell>
          <cell r="D350">
            <v>96.28</v>
          </cell>
        </row>
        <row r="351">
          <cell r="A351" t="str">
            <v>87445</v>
          </cell>
          <cell r="B351" t="str">
            <v>BETONEIRA CAPACIDADE NOMINAL 400 L, CAPACIDADE DE MISTURA 310 L, MOTOR A DIESEL POTÊNCIA 5,0 HP, SEM CARREGADOR - CHP DIURNO. AF_06/2014</v>
          </cell>
          <cell r="C351" t="str">
            <v>CHP</v>
          </cell>
          <cell r="D351">
            <v>4.5</v>
          </cell>
        </row>
        <row r="352">
          <cell r="A352" t="str">
            <v>88386</v>
          </cell>
          <cell r="B352" t="str">
            <v>MISTURADOR DE ARGAMASSA, EIXO HORIZONTAL, CAPACIDADE DE MISTURA 300 KG, MOTOR ELÉTRICO POTÊNCIA 5 CV - CHP DIURNO. AF_06/2014</v>
          </cell>
          <cell r="C352" t="str">
            <v>CHP</v>
          </cell>
          <cell r="D352">
            <v>4.9400000000000004</v>
          </cell>
        </row>
        <row r="353">
          <cell r="A353" t="str">
            <v>88393</v>
          </cell>
          <cell r="B353" t="str">
            <v>MISTURADOR DE ARGAMASSA, EIXO HORIZONTAL, CAPACIDADE DE MISTURA 600 KG, MOTOR ELÉTRICO POTÊNCIA 7,5 CV - CHP DIURNO. AF_06/2014</v>
          </cell>
          <cell r="C353" t="str">
            <v>CHP</v>
          </cell>
          <cell r="D353">
            <v>6.77</v>
          </cell>
        </row>
        <row r="354">
          <cell r="A354" t="str">
            <v>88399</v>
          </cell>
          <cell r="B354" t="str">
            <v>MISTURADOR DE ARGAMASSA, EIXO HORIZONTAL, CAPACIDADE DE MISTURA 160 KG, MOTOR ELÉTRICO POTÊNCIA 3 CV - CHP DIURNO. AF_06/2014</v>
          </cell>
          <cell r="C354" t="str">
            <v>CHP</v>
          </cell>
          <cell r="D354">
            <v>3.65</v>
          </cell>
        </row>
        <row r="355">
          <cell r="A355" t="str">
            <v>88418</v>
          </cell>
          <cell r="B355" t="str">
            <v>PROJETOR DE ARGAMASSA, CAPACIDADE DE PROJEÇÃO 1,5 M3/H, ALCANCE DE 30 ATÉ 60 M, MOTOR ELÉTRICO POTÊNCIA 7,5 HP - CHP DIURNO. AF_06/2014</v>
          </cell>
          <cell r="C355" t="str">
            <v>CHP</v>
          </cell>
          <cell r="D355">
            <v>15.99</v>
          </cell>
        </row>
        <row r="356">
          <cell r="A356" t="str">
            <v>88433</v>
          </cell>
          <cell r="B356" t="str">
            <v>PROJETOR DE ARGAMASSA, CAPACIDADE DE PROJEÇÃO 2 M3/H, ALCANCE ATÉ 50 M, MOTOR ELÉTRICO POTÊNCIA 7,5 HP - CHP DIURNO. AF_06/2014</v>
          </cell>
          <cell r="C356" t="str">
            <v>CHP</v>
          </cell>
          <cell r="D356">
            <v>19.760000000000002</v>
          </cell>
        </row>
        <row r="357">
          <cell r="A357" t="str">
            <v>88830</v>
          </cell>
          <cell r="B357" t="str">
            <v>BETONEIRA CAPACIDADE NOMINAL DE 400 L, CAPACIDADE DE MISTURA 280 L, MOTOR ELÉTRICO TRIFÁSICO POTÊNCIA DE 2 CV, SEM CARREGADOR - CHP DIURNO. AF_10/2014</v>
          </cell>
          <cell r="C357" t="str">
            <v>CHP</v>
          </cell>
          <cell r="D357">
            <v>1.82</v>
          </cell>
        </row>
        <row r="358">
          <cell r="A358" t="str">
            <v>88843</v>
          </cell>
          <cell r="B358" t="str">
            <v>TRATOR DE ESTEIRAS, POTÊNCIA 125 HP, PESO OPERACIONAL 12,9 T, COM LÂMINA 2,7 M3 - CHP DIURNO. AF_10/2014</v>
          </cell>
          <cell r="C358" t="str">
            <v>CHP</v>
          </cell>
          <cell r="D358">
            <v>180.92</v>
          </cell>
        </row>
        <row r="359">
          <cell r="A359" t="str">
            <v>88907</v>
          </cell>
          <cell r="B359" t="str">
            <v>ESCAVADEIRA HIDRÁULICA SOBRE ESTEIRAS, CAÇAMBA 1,20 M3, PESO OPERACIONAL 21 T, POTÊNCIA BRUTA 155 HP - CHP DIURNO. AF_06/2014</v>
          </cell>
          <cell r="C359" t="str">
            <v>CHP</v>
          </cell>
          <cell r="D359">
            <v>232.58</v>
          </cell>
        </row>
        <row r="360">
          <cell r="A360" t="str">
            <v>89021</v>
          </cell>
          <cell r="B360" t="str">
            <v>BOMBA SUBMERSÍVEL ELÉTRICA TRIFÁSICA, POTÊNCIA 2,96 HP, Ø ROTOR 144 MM SEMI-ABERTO, BOCAL DE SAÍDA Ø 2, HM/Q = 2 MCA / 38,8 M3/H A 28 MCA / 5 M3/H - CHP DIURNO. AF_06/2014</v>
          </cell>
          <cell r="C360" t="str">
            <v>CHP</v>
          </cell>
          <cell r="D360">
            <v>2.41</v>
          </cell>
        </row>
        <row r="361">
          <cell r="A361" t="str">
            <v>89028</v>
          </cell>
          <cell r="B361" t="str">
            <v>TANQUE DE ASFALTO ESTACIONÁRIO COM MAÇARICO, CAPACIDADE 20.000 L - CHP DIURNO. AF_06/2014</v>
          </cell>
          <cell r="C361" t="str">
            <v>CHP</v>
          </cell>
          <cell r="D361">
            <v>182.13</v>
          </cell>
        </row>
        <row r="362">
          <cell r="A362" t="str">
            <v>89032</v>
          </cell>
          <cell r="B362" t="str">
            <v>TRATOR DE ESTEIRAS, POTÊNCIA 100 HP, PESO OPERACIONAL 9,4 T, COM LÂMINA 2,19 M3 - CHP DIURNO. AF_06/2014</v>
          </cell>
          <cell r="C362" t="str">
            <v>CHP</v>
          </cell>
          <cell r="D362">
            <v>163.80000000000001</v>
          </cell>
        </row>
        <row r="363">
          <cell r="A363" t="str">
            <v>89035</v>
          </cell>
          <cell r="B363" t="str">
            <v>TRATOR DE PNEUS, POTÊNCIA 85 CV, TRAÇÃO 4X4, PESO COM LASTRO DE 4.675 KG - CHP DIURNO. AF_06/2014</v>
          </cell>
          <cell r="C363" t="str">
            <v>CHP</v>
          </cell>
          <cell r="D363">
            <v>158.99</v>
          </cell>
        </row>
        <row r="364">
          <cell r="A364" t="str">
            <v>89225</v>
          </cell>
          <cell r="B364" t="str">
            <v>BETONEIRA CAPACIDADE NOMINAL DE 600 L, CAPACIDADE DE MISTURA 360 L, MOTOR ELÉTRICO TRIFÁSICO POTÊNCIA DE 4 CV, SEM CARREGADOR - CHP DIURNO. AF_11/2014</v>
          </cell>
          <cell r="C364" t="str">
            <v>CHP</v>
          </cell>
          <cell r="D364">
            <v>5.0199999999999996</v>
          </cell>
        </row>
        <row r="365">
          <cell r="A365" t="str">
            <v>89234</v>
          </cell>
          <cell r="B365" t="str">
            <v>FRESADORA DE ASFALTO A FRIO SOBRE RODAS, LARGURA FRESAGEM DE 1,0 M, POTÊNCIA 208 HP - CHP DIURNO. AF_11/2014</v>
          </cell>
          <cell r="C365" t="str">
            <v>CHP</v>
          </cell>
          <cell r="D365">
            <v>624.16999999999996</v>
          </cell>
        </row>
        <row r="366">
          <cell r="A366" t="str">
            <v>89242</v>
          </cell>
          <cell r="B366" t="str">
            <v>FRESADORA DE ASFALTO A FRIO SOBRE RODAS, LARGURA FRESAGEM DE 2,0 M, POTÊNCIA 550 HP - CHP DIURNO. AF_11/2014</v>
          </cell>
          <cell r="C366" t="str">
            <v>CHP</v>
          </cell>
          <cell r="D366">
            <v>1464.19</v>
          </cell>
        </row>
        <row r="367">
          <cell r="A367" t="str">
            <v>89250</v>
          </cell>
          <cell r="B367" t="str">
            <v>RECICLADORA DE ASFALTO A FRIO SOBRE RODAS, LARGURA FRESAGEM DE 2,0 M, POTÊNCIA 422 HP - CHP DIURNO. AF_11/2014</v>
          </cell>
          <cell r="C367" t="str">
            <v>CHP</v>
          </cell>
          <cell r="D367">
            <v>1269.77</v>
          </cell>
        </row>
        <row r="368">
          <cell r="A368" t="str">
            <v>89257</v>
          </cell>
          <cell r="B368" t="str">
            <v>VIBROACABADORA DE ASFALTO SOBRE ESTEIRAS, LARGURA DE PAVIMENTAÇÃO 2,13 M A 4,55 M, POTÊNCIA 100 HP CAPACIDADE 400 T/H - CHP DIURNO. AF_11/2014</v>
          </cell>
          <cell r="C368" t="str">
            <v>CHP</v>
          </cell>
          <cell r="D368">
            <v>352.96</v>
          </cell>
        </row>
        <row r="369">
          <cell r="A369" t="str">
            <v>89272</v>
          </cell>
          <cell r="B369" t="str">
            <v>GUINDASTE HIDRÁULICO AUTOPROPELIDO, COM LANÇA TELESCÓPICA 28,80 M, CAPACIDADE MÁXIMA 30 T, POTÊNCIA 97 KW, TRAÇÃO 4 X 4 - CHP DIURNO. AF_11/2014</v>
          </cell>
          <cell r="C369" t="str">
            <v>CHP</v>
          </cell>
          <cell r="D369">
            <v>187.32</v>
          </cell>
        </row>
        <row r="370">
          <cell r="A370" t="str">
            <v>89278</v>
          </cell>
          <cell r="B370" t="str">
            <v>BETONEIRA CAPACIDADE NOMINAL DE 600 L, CAPACIDADE DE MISTURA 440 L, MOTOR A DIESEL POTÊNCIA 10 HP, COM CARREGADOR - CHP DIURNO. AF_11/2014</v>
          </cell>
          <cell r="C370" t="str">
            <v>CHP</v>
          </cell>
          <cell r="D370">
            <v>10.49</v>
          </cell>
        </row>
        <row r="371">
          <cell r="A371" t="str">
            <v>89843</v>
          </cell>
          <cell r="B371" t="str">
            <v>BATE-ESTACAS POR GRAVIDADE, POTÊNCIA DE 160 HP, PESO DO MARTELO ATÉ 3 TONELADAS - CHP DIURNO. AF_11/2014</v>
          </cell>
          <cell r="C371" t="str">
            <v>CHP</v>
          </cell>
          <cell r="D371">
            <v>189.52</v>
          </cell>
        </row>
        <row r="372">
          <cell r="A372" t="str">
            <v>89876</v>
          </cell>
          <cell r="B372" t="str">
            <v>CAMINHÃO BASCULANTE 14 M3, COM CAVALO MECÂNICO DE CAPACIDADE MÁXIMA DE TRAÇÃO COMBINADO DE 36000 KG, POTÊNCIA 286 CV, INCLUSIVE SEMIREBOQUE COM CAÇAMBA METÁLICA - CHP DIURNO. AF_12/2014</v>
          </cell>
          <cell r="C372" t="str">
            <v>CHP</v>
          </cell>
          <cell r="D372">
            <v>267.87</v>
          </cell>
        </row>
        <row r="373">
          <cell r="A373" t="str">
            <v>89883</v>
          </cell>
          <cell r="B373" t="str">
            <v>CAMINHÃO BASCULANTE 18 M3, COM CAVALO MECÂNICO DE CAPACIDADE MÁXIMA DE TRAÇÃO COMBINADO DE 45000 KG, POTÊNCIA 330 CV, INCLUSIVE SEMIREBOQUE COM CAÇAMBA METÁLICA - CHP DIURNO. AF_12/2014</v>
          </cell>
          <cell r="C373" t="str">
            <v>CHP</v>
          </cell>
          <cell r="D373">
            <v>296.27</v>
          </cell>
        </row>
        <row r="374">
          <cell r="A374" t="str">
            <v>90586</v>
          </cell>
          <cell r="B374" t="str">
            <v>VIBRADOR DE IMERSÃO, DIÂMETRO DE PONTEIRA 45MM, MOTOR ELÉTRICO TRIFÁSICO POTÊNCIA DE 2 CV - CHP DIURNO. AF_06/2015</v>
          </cell>
          <cell r="C374" t="str">
            <v>CHP</v>
          </cell>
          <cell r="D374">
            <v>1.9</v>
          </cell>
        </row>
        <row r="375">
          <cell r="A375" t="str">
            <v>90625</v>
          </cell>
          <cell r="B375" t="str">
            <v>PERFURATRIZ MANUAL, TORQUE MÁXIMO 83 N.M, POTÊNCIA 5 CV, COM DIÂMETRO MÁXIMO 4" - CHP DIURNO. AF_06/2015</v>
          </cell>
          <cell r="C375" t="str">
            <v>CHP</v>
          </cell>
          <cell r="D375">
            <v>6.52</v>
          </cell>
        </row>
        <row r="376">
          <cell r="A376" t="str">
            <v>90631</v>
          </cell>
          <cell r="B376" t="str">
            <v>PERFURATRIZ SOBRE ESTEIRA, TORQUE MÁXIMO 600 KGF, PESO MÉDIO 1000 KG, POTÊNCIA 20 HP, DIÂMETRO MÁXIMO 10" - CHP DIURNO. AF_06/2015</v>
          </cell>
          <cell r="C376" t="str">
            <v>CHP</v>
          </cell>
          <cell r="D376">
            <v>156.03</v>
          </cell>
        </row>
        <row r="377">
          <cell r="A377" t="str">
            <v>90637</v>
          </cell>
          <cell r="B377" t="str">
            <v>MISTURADOR DUPLO HORIZONTAL DE ALTA TURBULÊNCIA, CAPACIDADE / VOLUME 2 X 500 LITROS, MOTORES ELÉTRICOS MÍNIMO 5 CV CADA, PARA NATA CIMENTO, ARGAMASSA E OUTROS - CHP DIURNO. AF_06/2015</v>
          </cell>
          <cell r="C377" t="str">
            <v>CHP</v>
          </cell>
          <cell r="D377">
            <v>14.75</v>
          </cell>
        </row>
        <row r="378">
          <cell r="A378" t="str">
            <v>90643</v>
          </cell>
          <cell r="B378" t="str">
            <v>BOMBA TRIPLEX, PARA INJEÇÃO DE NATA DE CIMENTO, VAZÃO MÁXIMA DE 100 LITROS/MINUTO, PRESSÃO MÁXIMA DE 70 BAR - CHP DIURNO. AF_06/2015</v>
          </cell>
          <cell r="C378" t="str">
            <v>CHP</v>
          </cell>
          <cell r="D378">
            <v>21.11</v>
          </cell>
        </row>
        <row r="379">
          <cell r="A379" t="str">
            <v>90650</v>
          </cell>
          <cell r="B379" t="str">
            <v>BOMBA CENTRÍFUGA MONOESTÁGIO COM MOTOR ELÉTRICO MONOFÁSICO, POTÊNCIA 15 HP, DIÂMETRO DO ROTOR 173 MM, HM/Q = 30 MCA / 90 M3/H A 45 MCA / 55 M3/H - CHP DIURNO. AF_06/2015</v>
          </cell>
          <cell r="C379" t="str">
            <v>CHP</v>
          </cell>
          <cell r="D379">
            <v>10.77</v>
          </cell>
        </row>
        <row r="380">
          <cell r="A380" t="str">
            <v>90656</v>
          </cell>
          <cell r="B380" t="str">
            <v>BOMBA DE PROJEÇÃO DE CONCRETO SECO, POTÊNCIA 10 CV, VAZÃO 3 M3/H - CHP DIURNO. AF_06/2015</v>
          </cell>
          <cell r="C380" t="str">
            <v>CHP</v>
          </cell>
          <cell r="D380">
            <v>14.62</v>
          </cell>
        </row>
        <row r="381">
          <cell r="A381" t="str">
            <v>90662</v>
          </cell>
          <cell r="B381" t="str">
            <v>BOMBA DE PROJEÇÃO DE CONCRETO SECO, POTÊNCIA 10 CV, VAZÃO 6 M3/H - CHP DIURNO. AF_06/2015</v>
          </cell>
          <cell r="C381" t="str">
            <v>CHP</v>
          </cell>
          <cell r="D381">
            <v>15.23</v>
          </cell>
        </row>
        <row r="382">
          <cell r="A382" t="str">
            <v>90668</v>
          </cell>
          <cell r="B382" t="str">
            <v>PROJETOR PNEUMÁTICO DE ARGAMASSA PARA CHAPISCO E REBOCO COM RECIPIENTE ACOPLADO, TIPO CANEQUINHA, COM COMPRESSOR DE AR REBOCÁVEL VAZÃO 89 PCM E MOTOR DIESEL DE 20 CV - CHP DIURNO. AF_06/2015</v>
          </cell>
          <cell r="C382" t="str">
            <v>CHP</v>
          </cell>
          <cell r="D382">
            <v>25.08</v>
          </cell>
        </row>
        <row r="383">
          <cell r="A383" t="str">
            <v>90674</v>
          </cell>
          <cell r="B383" t="str">
            <v>PERFURATRIZ COM TORRE METÁLICA PARA EXECUÇÃO DE ESTACA HÉLICE CONTÍNUA, PROFUNDIDADE MÁXIMA DE 30 M, DIÂMETRO MÁXIMO DE 800 MM, POTÊNCIA INSTALADA DE 268 HP, MESA ROTATIVA COM TORQUE MÁXIMO DE 170 KNM - CHP DIURNO. AF_06/2015</v>
          </cell>
          <cell r="C383" t="str">
            <v>CHP</v>
          </cell>
          <cell r="D383">
            <v>661.81</v>
          </cell>
        </row>
        <row r="384">
          <cell r="A384" t="str">
            <v>90680</v>
          </cell>
          <cell r="B384" t="str">
            <v>PERFURATRIZ HIDRÁULICA SOBRE CAMINHÃO COM TRADO CURTO ACOPLADO, PROFUNDIDADE MÁXIMA DE 20 M, DIÂMETRO MÁXIMO DE 1500 MM, POTÊNCIA INSTALADA DE 137 HP, MESA ROTATIVA COM TORQUE MÁXIMO DE 30 KNM - CHP DIURNO. AF_06/2015</v>
          </cell>
          <cell r="C384" t="str">
            <v>CHP</v>
          </cell>
          <cell r="D384">
            <v>374.62</v>
          </cell>
        </row>
        <row r="385">
          <cell r="A385" t="str">
            <v>90686</v>
          </cell>
          <cell r="B385" t="str">
            <v>MANIPULADOR TELESCÓPICO, POTÊNCIA DE 85 HP, CAPACIDADE DE CARGA DE 3.500 KG, ALTURA MÁXIMA DE ELEVAÇÃO DE 12,3 M - CHP DIURNO. AF_06/2015</v>
          </cell>
          <cell r="C385" t="str">
            <v>CHP</v>
          </cell>
          <cell r="D385">
            <v>140.78</v>
          </cell>
        </row>
        <row r="386">
          <cell r="A386" t="str">
            <v>90692</v>
          </cell>
          <cell r="B386" t="str">
            <v>MINICARREGADEIRA SOBRE RODAS, POTÊNCIA LÍQUIDA DE 47 HP, CAPACIDADE NOMINAL DE OPERAÇÃO DE 646 KG - CHP DIURNO. AF_06/2015</v>
          </cell>
          <cell r="C386" t="str">
            <v>CHP</v>
          </cell>
          <cell r="D386">
            <v>107.3</v>
          </cell>
        </row>
        <row r="387">
          <cell r="A387" t="str">
            <v>90964</v>
          </cell>
          <cell r="B387" t="str">
            <v>COMPRESSOR DE AR REBOCÁVEL, VAZÃO 89 PCM, PRESSÃO EFETIVA DE TRABALHO 102 PSI, MOTOR DIESEL, POTÊNCIA 20 CV - CHP DIURNO. AF_06/2015</v>
          </cell>
          <cell r="C387" t="str">
            <v>CHP</v>
          </cell>
          <cell r="D387">
            <v>23.79</v>
          </cell>
        </row>
        <row r="388">
          <cell r="A388" t="str">
            <v>90972</v>
          </cell>
          <cell r="B388" t="str">
            <v>COMPRESSOR DE AR REBOCAVEL, VAZÃO 250 PCM, PRESSAO DE TRABALHO 102 PSI, MOTOR A DIESEL POTÊNCIA 81 CV - CHP DIURNO. AF_06/2015</v>
          </cell>
          <cell r="C388" t="str">
            <v>CHP</v>
          </cell>
          <cell r="D388">
            <v>62.81</v>
          </cell>
        </row>
        <row r="389">
          <cell r="A389" t="str">
            <v>90979</v>
          </cell>
          <cell r="B389" t="str">
            <v>COMPRESSOR DE AR REBOCÁVEL, VAZÃO 748 PCM, PRESSÃO EFETIVA DE TRABALHO 102 PSI, MOTOR DIESEL, POTÊNCIA 210 CV - CHP DIURNO. AF_06/2015</v>
          </cell>
          <cell r="C389" t="str">
            <v>CHP</v>
          </cell>
          <cell r="D389">
            <v>162.36000000000001</v>
          </cell>
        </row>
        <row r="390">
          <cell r="A390" t="str">
            <v>90991</v>
          </cell>
          <cell r="B390" t="str">
            <v>ESCAVADEIRA HIDRÁULICA SOBRE ESTEIRAS, CAÇAMBA 0,80 M3, PESO OPERACIONAL 17,8 T, POTÊNCIA LÍQUIDA 110 HP - CHP DIURNO. AF_10/2014</v>
          </cell>
          <cell r="C390" t="str">
            <v>CHP</v>
          </cell>
          <cell r="D390">
            <v>192.32</v>
          </cell>
        </row>
        <row r="391">
          <cell r="A391" t="str">
            <v>90999</v>
          </cell>
          <cell r="B391" t="str">
            <v>COMPRESSOR DE AR REBOCAVEL, VAZÃO 400 PCM, PRESSAO DE TRABALHO 102 PSI, MOTOR A DIESEL POTÊNCIA 110 CV - CHP DIURNO. AF_06/2015</v>
          </cell>
          <cell r="C391" t="str">
            <v>CHP</v>
          </cell>
          <cell r="D391">
            <v>83.41</v>
          </cell>
        </row>
        <row r="392">
          <cell r="A392" t="str">
            <v>91031</v>
          </cell>
          <cell r="B392" t="str">
            <v>CAMINHÃO TRUCADO (C/ TERCEIRO EIXO) ELETRÔNICO - POTÊNCIA 231CV - PBT = 22000KG - DIST. ENTRE EIXOS 5170 MM - INCLUI CARROCERIA FIXA ABERTA DE MADEIRA - CHP DIURNO. AF_06/2015</v>
          </cell>
          <cell r="C392" t="str">
            <v>CHP</v>
          </cell>
          <cell r="D392">
            <v>200.42</v>
          </cell>
        </row>
        <row r="393">
          <cell r="A393" t="str">
            <v>91277</v>
          </cell>
          <cell r="B393" t="str">
            <v>PLACA VIBRATÓRIA REVERSÍVEL COM MOTOR 4 TEMPOS A GASOLINA, FORÇA CENTRÍFUGA DE 25 KN (2500 KGF), POTÊNCIA 5,5 CV - CHP DIURNO. AF_08/2015</v>
          </cell>
          <cell r="C393" t="str">
            <v>CHP</v>
          </cell>
          <cell r="D393">
            <v>10.71</v>
          </cell>
        </row>
        <row r="394">
          <cell r="A394" t="str">
            <v>91283</v>
          </cell>
          <cell r="B394" t="str">
            <v>CORTADORA DE PISO COM MOTOR 4 TEMPOS A GASOLINA, POTÊNCIA DE 13 HP, COM DISCO DE CORTE DIAMANTADO SEGMENTADO PARA CONCRETO, DIÂMETRO DE 350 MM, FURO DE 1" (14 X 1") - CHP DIURNO. AF_08/2015</v>
          </cell>
          <cell r="C394" t="str">
            <v>CHP</v>
          </cell>
          <cell r="D394">
            <v>25.44</v>
          </cell>
        </row>
        <row r="395">
          <cell r="A395" t="str">
            <v>91386</v>
          </cell>
          <cell r="B395" t="str">
            <v>CAMINHÃO BASCULANTE 10 M3, TRUCADO CABINE SIMPLES, PESO BRUTO TOTAL 23.000 KG, CARGA ÚTIL MÁXIMA 15.935 KG, DISTÂNCIA ENTRE EIXOS 4,80 M, POTÊNCIA 230 CV INCLUSIVE CAÇAMBA METÁLICA - CHP DIURNO. AF_06/2014</v>
          </cell>
          <cell r="C395" t="str">
            <v>CHP</v>
          </cell>
          <cell r="D395">
            <v>213.39</v>
          </cell>
        </row>
        <row r="396">
          <cell r="A396" t="str">
            <v>91533</v>
          </cell>
          <cell r="B396" t="str">
            <v>COMPACTADOR DE SOLOS DE PERCUSSÃO (SOQUETE) COM MOTOR A GASOLINA 4 TEMPOS, POTÊNCIA 4 CV - CHP DIURNO. AF_08/2015</v>
          </cell>
          <cell r="C396" t="str">
            <v>CHP</v>
          </cell>
          <cell r="D396">
            <v>36.78</v>
          </cell>
        </row>
        <row r="397">
          <cell r="A397" t="str">
            <v>91634</v>
          </cell>
          <cell r="B397" t="str">
            <v>GUINDAUTO HIDRÁULICO, CAPACIDADE MÁXIMA DE CARGA 6500 KG, MOMENTO MÁXIMO DE CARGA 5,8 TM, ALCANCE MÁXIMO HORIZONTAL 7,60 M, INCLUSIVE CAMINHÃO TOCO PBT 9.700 KG, POTÊNCIA DE 160 CV - CHP DIURNO. AF_08/2015</v>
          </cell>
          <cell r="C397" t="str">
            <v>CHP</v>
          </cell>
          <cell r="D397">
            <v>186.93</v>
          </cell>
        </row>
        <row r="398">
          <cell r="A398" t="str">
            <v>91645</v>
          </cell>
          <cell r="B398" t="str">
            <v>CAMINHÃO DE TRANSPORTE DE MATERIAL ASFÁLTICO 30.000 L, COM CAVALO MECÂNICO DE CAPACIDADE MÁXIMA DE TRAÇÃO COMBINADO DE 66.000 KG, POTÊNCIA 360 CV, INCLUSIVE TANQUE DE ASFALTO COM SERPENTINA - CHP DIURNO. AF_08/2015</v>
          </cell>
          <cell r="C398" t="str">
            <v>CHP</v>
          </cell>
          <cell r="D398">
            <v>387.98</v>
          </cell>
        </row>
        <row r="399">
          <cell r="A399" t="str">
            <v>91692</v>
          </cell>
          <cell r="B399" t="str">
            <v>SERRA CIRCULAR DE BANCADA COM MOTOR ELÉTRICO POTÊNCIA DE 5HP, COM COIFA PARA DISCO 10" - CHP DIURNO. AF_08/2015</v>
          </cell>
          <cell r="C399" t="str">
            <v>CHP</v>
          </cell>
          <cell r="D399">
            <v>31.35</v>
          </cell>
        </row>
        <row r="400">
          <cell r="A400" t="str">
            <v>92043</v>
          </cell>
          <cell r="B400" t="str">
            <v>DISTRIBUIDOR DE AGREGADOS REBOCAVEL, CAPACIDADE 1,9 M³, LARGURA DE TRABALHO 3,66 M - CHP DIURNO. AF_11/2015</v>
          </cell>
          <cell r="C400" t="str">
            <v>CHP</v>
          </cell>
          <cell r="D400">
            <v>11.44</v>
          </cell>
        </row>
        <row r="401">
          <cell r="A401" t="str">
            <v>92106</v>
          </cell>
          <cell r="B401" t="str">
            <v>CAMINHÃO PARA EQUIPAMENTO DE LIMPEZA A SUCÇÃO, COM CAMINHÃO TRUCADO DE PESO BRUTO TOTAL 23000 KG, CARGA ÚTIL MÁXIMA 15935 KG, DISTÂNCIA ENTRE EIXOS 4,80 M, POTÊNCIA 230 CV, INCLUSIVE LIMPADORA A SUCÇÃO, TANQUE 12000 L - CHP DIURNO. AF_11/2015</v>
          </cell>
          <cell r="C401" t="str">
            <v>CHP</v>
          </cell>
          <cell r="D401">
            <v>258.55</v>
          </cell>
        </row>
        <row r="402">
          <cell r="A402" t="str">
            <v>92112</v>
          </cell>
          <cell r="B402" t="str">
            <v>PENEIRA ROTATIVA COM MOTOR ELÉTRICO TRIFÁSICO DE 2 CV, CILINDRO DE 1 M X 0,60 M, COM FUROS DE 3,17 MM - CHP DIURNO. AF_11/2015</v>
          </cell>
          <cell r="C402" t="str">
            <v>CHP</v>
          </cell>
          <cell r="D402">
            <v>2.94</v>
          </cell>
        </row>
        <row r="403">
          <cell r="A403" t="str">
            <v>92118</v>
          </cell>
          <cell r="B403" t="str">
            <v>DOSADOR DE AREIA, CAPACIDADE DE 26 LITROS - CHP DIURNO. AF_11/2015</v>
          </cell>
          <cell r="C403" t="str">
            <v>CHP</v>
          </cell>
          <cell r="D403">
            <v>0.24</v>
          </cell>
        </row>
        <row r="404">
          <cell r="A404" t="str">
            <v>92138</v>
          </cell>
          <cell r="B404" t="str">
            <v>CAMINHONETE COM MOTOR A DIESEL, POTÊNCIA 180 CV, CABINE DUPLA, 4X4 - CHP DIURNO. AF_11/2015</v>
          </cell>
          <cell r="C404" t="str">
            <v>CHP</v>
          </cell>
          <cell r="D404">
            <v>85.69</v>
          </cell>
        </row>
        <row r="405">
          <cell r="A405" t="str">
            <v>92145</v>
          </cell>
          <cell r="B405" t="str">
            <v>CAMINHONETE CABINE SIMPLES COM MOTOR 1.6 FLEX, CÂMBIO MANUAL, POTÊNCIA 101/104 CV, 2 PORTAS - CHP DIURNO. AF_11/2015</v>
          </cell>
          <cell r="C405" t="str">
            <v>CHP</v>
          </cell>
          <cell r="D405">
            <v>77.81</v>
          </cell>
        </row>
        <row r="406">
          <cell r="A406" t="str">
            <v>92242</v>
          </cell>
          <cell r="B406" t="str">
            <v>CAMINHÃO DE TRANSPORTE DE MATERIAL ASFÁLTICO 20.000 L, COM CAVALO MECÂNICO DE CAPACIDADE MÁXIMA DE TRAÇÃO COMBINADO DE 45.000 KG, POTÊNCIA 330 CV, INCLUSIVE TANQUE DE ASFALTO COM MAÇARICO - CHP DIURNO. AF_12/2015</v>
          </cell>
          <cell r="C406" t="str">
            <v>CHP</v>
          </cell>
          <cell r="D406">
            <v>340.03</v>
          </cell>
        </row>
        <row r="407">
          <cell r="A407" t="str">
            <v>92716</v>
          </cell>
          <cell r="B407" t="str">
            <v>APARELHO PARA CORTE E SOLDA OXI-ACETILENO SOBRE RODAS, INCLUSIVE CILINDROS E MAÇARICOS - CHP DIURNO. AF_12/2015</v>
          </cell>
          <cell r="C407" t="str">
            <v>CHP</v>
          </cell>
          <cell r="D407">
            <v>23.68</v>
          </cell>
        </row>
        <row r="408">
          <cell r="A408" t="str">
            <v>92960</v>
          </cell>
          <cell r="B408" t="str">
            <v>MÁQUINA EXTRUSORA DE CONCRETO PARA GUIAS E SARJETAS, MOTOR A DIESEL, POTÊNCIA 14 CV - CHP DIURNO. AF_12/2015</v>
          </cell>
          <cell r="C408" t="str">
            <v>CHP</v>
          </cell>
          <cell r="D408">
            <v>17.89</v>
          </cell>
        </row>
        <row r="409">
          <cell r="A409" t="str">
            <v>92966</v>
          </cell>
          <cell r="B409" t="str">
            <v>MARTELO PERFURADOR PNEUMÁTICO MANUAL, HASTE 25 X 75 MM, 21 KG - CHP DIURNO. AF_12/2015</v>
          </cell>
          <cell r="C409" t="str">
            <v>CHP</v>
          </cell>
          <cell r="D409">
            <v>19.239999999999998</v>
          </cell>
        </row>
        <row r="410">
          <cell r="A410" t="str">
            <v>93224</v>
          </cell>
          <cell r="B410" t="str">
            <v>PERFURATRIZ COM TORRE METÁLICA PARA EXECUÇÃO DE ESTACA HÉLICE CONTÍNUA, PROFUNDIDADE MÁXIMA DE 32 M, DIÂMETRO MÁXIMO DE 1000 MM, POTÊNCIA INSTALADA DE 350 HP, MESA ROTATIVA COM TORQUE MÁXIMO DE 263 KNM - CHP DIURNO. AF_01/2016</v>
          </cell>
          <cell r="C410" t="str">
            <v>CHP</v>
          </cell>
          <cell r="D410">
            <v>988.02</v>
          </cell>
        </row>
        <row r="411">
          <cell r="A411" t="str">
            <v>93233</v>
          </cell>
          <cell r="B411" t="str">
            <v>BETONEIRA CAPACIDADE NOMINAL 400 L, CAPACIDADE DE MISTURA 310 L, MOTOR A GASOLINA POTÊNCIA 5,5 HP, SEM CARREGADOR - CHP DIURNO. AF_02/2016</v>
          </cell>
          <cell r="C411" t="str">
            <v>CHP</v>
          </cell>
          <cell r="D411">
            <v>10.51</v>
          </cell>
        </row>
        <row r="412">
          <cell r="A412" t="str">
            <v>93272</v>
          </cell>
          <cell r="B412" t="str">
            <v>GRUA ASCENSIONAL, LANCA DE 30 M, CAPACIDADE DE 1,0 T A 30 M, ALTURA ATE 39 M - CHP DIURNO. AF_03/2016</v>
          </cell>
          <cell r="C412" t="str">
            <v>CHP</v>
          </cell>
          <cell r="D412">
            <v>135.96</v>
          </cell>
        </row>
        <row r="413">
          <cell r="A413" t="str">
            <v>93281</v>
          </cell>
          <cell r="B413" t="str">
            <v>GUINCHO ELÉTRICO DE COLUNA, CAPACIDADE 400 KG, COM MOTO FREIO, MOTOR TRIFÁSICO DE 1,25 CV - CHP DIURNO. AF_03/2016</v>
          </cell>
          <cell r="C413" t="str">
            <v>CHP</v>
          </cell>
          <cell r="D413">
            <v>25.85</v>
          </cell>
        </row>
        <row r="414">
          <cell r="A414" t="str">
            <v>93287</v>
          </cell>
          <cell r="B414" t="str">
            <v>GUINDASTE HIDRÁULICO AUTOPROPELIDO, COM LANÇA TELESCÓPICA 40 M, CAPACIDADE MÁXIMA 60 T, POTÊNCIA 260 KW - CHP DIURNO. AF_03/2016</v>
          </cell>
          <cell r="C414" t="str">
            <v>CHP</v>
          </cell>
          <cell r="D414">
            <v>483.09</v>
          </cell>
        </row>
        <row r="415">
          <cell r="A415" t="str">
            <v>93402</v>
          </cell>
          <cell r="B415" t="str">
            <v>GUINDAUTO HIDRÁULICO, CAPACIDADE MÁXIMA DE CARGA 3300 KG, MOMENTO MÁXIMO DE CARGA 5,8 TM, ALCANCE MÁXIMO HORIZONTAL 7,60 M, INCLUSIVE CAMINHÃO TOCO PBT 16.000 KG, POTÊNCIA DE 189 CV - CHP DIURNO. AF_03/2016</v>
          </cell>
          <cell r="C415" t="str">
            <v>CHP</v>
          </cell>
          <cell r="D415">
            <v>207.67</v>
          </cell>
        </row>
        <row r="416">
          <cell r="A416" t="str">
            <v>93408</v>
          </cell>
          <cell r="B416" t="str">
            <v>MÁQUINA JATO DE PRESSAO PORTÁTIL, CAMARA DE 1 SAIDA, CAPACIDADE 280 L, DIAMETRO 670 MM, BICO DE JATO CURTO VENTURI DE 5/16'' , MANGUEIRA DE 1'' COM COMPRESSOR DE AR REBOCÁVEL 189 PCM E MOTOR DIESEL 63 CV - CHP DIURNO. AF_03/2016</v>
          </cell>
          <cell r="C416" t="str">
            <v>CHP</v>
          </cell>
          <cell r="D416">
            <v>82.46</v>
          </cell>
        </row>
        <row r="417">
          <cell r="A417" t="str">
            <v>93415</v>
          </cell>
          <cell r="B417" t="str">
            <v>GERADOR PORTÁTIL MONOFÁSICO, POTÊNCIA 5500 VA, MOTOR A GASOLINA, POTÊNCIA DO MOTOR 13 CV - CHP DIURNO. AF_03/2016</v>
          </cell>
          <cell r="C417" t="str">
            <v>CHP</v>
          </cell>
          <cell r="D417">
            <v>17.21</v>
          </cell>
        </row>
        <row r="418">
          <cell r="A418" t="str">
            <v>93421</v>
          </cell>
          <cell r="B418" t="str">
            <v>GRUPO GERADOR REBOCÁVEL, POTÊNCIA 66 KVA, MOTOR A DIESEL - CHP DIURNO. AF_03/2016</v>
          </cell>
          <cell r="C418" t="str">
            <v>CHP</v>
          </cell>
          <cell r="D418">
            <v>63.69</v>
          </cell>
        </row>
        <row r="419">
          <cell r="A419" t="str">
            <v>93427</v>
          </cell>
          <cell r="B419" t="str">
            <v>GRUPO GERADOR ESTACIONÁRIO, POTÊNCIA 150 KVA, MOTOR A DIESEL- CHP DIURNO. AF_03/2016</v>
          </cell>
          <cell r="C419" t="str">
            <v>CHP</v>
          </cell>
          <cell r="D419">
            <v>145.96</v>
          </cell>
        </row>
        <row r="420">
          <cell r="A420" t="str">
            <v>93433</v>
          </cell>
          <cell r="B420" t="str">
            <v>USINA DE MISTURA ASFÁLTICA À QUENTE, TIPO CONTRA FLUXO, PROD 40 A 80 TON/HORA - CHP DIURNO. AF_03/2016</v>
          </cell>
          <cell r="C420" t="str">
            <v>CHP</v>
          </cell>
          <cell r="D420">
            <v>2844.95</v>
          </cell>
        </row>
        <row r="421">
          <cell r="A421" t="str">
            <v>93439</v>
          </cell>
          <cell r="B421" t="str">
            <v>USINA DE ASFALTO À FRIO, CAPACIDADE DE 40 A 60 TON/HORA, ELÉTRICA POTÊNCIA 30 CV - CHP DIURNO. AF_03/2016</v>
          </cell>
          <cell r="C421" t="str">
            <v>CHP</v>
          </cell>
          <cell r="D421">
            <v>140.53</v>
          </cell>
        </row>
        <row r="422">
          <cell r="A422" t="str">
            <v>95121</v>
          </cell>
          <cell r="B422" t="str">
            <v>USINA MISTURADORA DE SOLOS, CAPACIDADE DE 200 A 500 TON/H, POTENCIA 75KW - CHP DIURNO. AF_07/2016</v>
          </cell>
          <cell r="C422" t="str">
            <v>CHP</v>
          </cell>
          <cell r="D422">
            <v>289.94</v>
          </cell>
        </row>
        <row r="423">
          <cell r="A423" t="str">
            <v>95127</v>
          </cell>
          <cell r="B423" t="str">
            <v>DISTRIBUIDOR DE AGREGADOS AUTOPROPELIDO, CAP 3 M3, A DIESEL, POTÊNCIA 176CV - CHP DIURNO. AF_07/2016</v>
          </cell>
          <cell r="C423" t="str">
            <v>CHP</v>
          </cell>
          <cell r="D423">
            <v>190.59</v>
          </cell>
        </row>
        <row r="424">
          <cell r="A424" t="str">
            <v>95133</v>
          </cell>
          <cell r="B424" t="str">
            <v>MÁQUINA DEMARCADORA DE FAIXA DE TRÁFEGO À FRIO, AUTOPROPELIDA, POTÊNCIA 38 HP - CHP DIURNO. AF_07/2016</v>
          </cell>
          <cell r="C424" t="str">
            <v>CHP</v>
          </cell>
          <cell r="D424">
            <v>143.19</v>
          </cell>
        </row>
        <row r="425">
          <cell r="A425" t="str">
            <v>95139</v>
          </cell>
          <cell r="B425" t="str">
            <v>TALHA MANUAL DE CORRENTE, CAPACIDADE DE 2 TON. COM ELEVAÇÃO DE 3 M - CHP DIURNO. AF_07/2016</v>
          </cell>
          <cell r="C425" t="str">
            <v>CHP</v>
          </cell>
          <cell r="D425">
            <v>0.06</v>
          </cell>
        </row>
        <row r="426">
          <cell r="A426" t="str">
            <v>95212</v>
          </cell>
          <cell r="B426" t="str">
            <v>GRUA ASCENCIONAL, LANCA DE 42 M, CAPACIDADE DE 1,5 T A 30 M, ALTURA ATE 39 M - CHP DIURNO. AF_08/2016</v>
          </cell>
          <cell r="C426" t="str">
            <v>CHP</v>
          </cell>
          <cell r="D426">
            <v>147.38</v>
          </cell>
        </row>
        <row r="427">
          <cell r="A427" t="str">
            <v>95258</v>
          </cell>
          <cell r="B427" t="str">
            <v>MARTELO DEMOLIDOR PNEUMÁTICO MANUAL, 32 KG - CHP DIURNO. AF_09/2016</v>
          </cell>
          <cell r="C427" t="str">
            <v>CHP</v>
          </cell>
          <cell r="D427">
            <v>18.87</v>
          </cell>
        </row>
        <row r="428">
          <cell r="A428" t="str">
            <v>95264</v>
          </cell>
          <cell r="B428" t="str">
            <v>COMPACTADOR DE SOLOS DE PERCUSÃO (SOQUETE) COM MOTOR A GASOLINA, POTÊNCIA 3 CV - CHP DIURNO. AF_09/2016</v>
          </cell>
          <cell r="C428" t="str">
            <v>CHP</v>
          </cell>
          <cell r="D428">
            <v>6.92</v>
          </cell>
        </row>
        <row r="429">
          <cell r="A429" t="str">
            <v>95270</v>
          </cell>
          <cell r="B429" t="str">
            <v>RÉGUA VIBRATÓRIA DUPLA PARA CONCRETO, PESO DE 60KG, COMPRIMENTO 4 M, COM MOTOR A GASOLINA, POTÊNCIA 5,5 HP - CHP DIURNO. AF_09/2016</v>
          </cell>
          <cell r="C429" t="str">
            <v>CHP</v>
          </cell>
          <cell r="D429">
            <v>10.59</v>
          </cell>
        </row>
        <row r="430">
          <cell r="A430" t="str">
            <v>95276</v>
          </cell>
          <cell r="B430" t="str">
            <v>POLIDORA DE PISO (POLITRIZ), PESO DE 100KG, DIÂMETRO 450 MM, MOTOR ELÉTRICO, POTÊNCIA 4 HP - CHP DIURNO. AF_09/2016</v>
          </cell>
          <cell r="C430" t="str">
            <v>CHP</v>
          </cell>
          <cell r="D430">
            <v>3.18</v>
          </cell>
        </row>
        <row r="431">
          <cell r="A431" t="str">
            <v>95282</v>
          </cell>
          <cell r="B431" t="str">
            <v>DESEMPENADEIRA DE CONCRETO, PESO DE 75KG, 4 PÁS, MOTOR A GASOLINA, POTÊNCIA 5,5 HP - CHP DIURNO. AF_09/2016</v>
          </cell>
          <cell r="C431" t="str">
            <v>CHP</v>
          </cell>
          <cell r="D431">
            <v>10.57</v>
          </cell>
        </row>
        <row r="432">
          <cell r="A432" t="str">
            <v>95620</v>
          </cell>
          <cell r="B432" t="str">
            <v>PERFURATRIZ PNEUMATICA MANUAL DE PESO MEDIO, MARTELETE, 18KG, COMPRIMENTO MÁXIMO DE CURSO DE 6 M, DIAMETRO DO PISTAO DE 5,5 CM - CHP DIURNO. AF_11/2016</v>
          </cell>
          <cell r="C432" t="str">
            <v>CHP</v>
          </cell>
          <cell r="D432">
            <v>18.420000000000002</v>
          </cell>
        </row>
        <row r="433">
          <cell r="A433" t="str">
            <v>95631</v>
          </cell>
          <cell r="B433" t="str">
            <v>ROLO COMPACTADOR VIBRATORIO TANDEM, ACO LISO, POTENCIA 125 HP, PESO SEM/COM LASTRO 10,20/11,65 T, LARGURA DE TRABALHO 1,73 M - CHP DIURNO. AF_11/2016</v>
          </cell>
          <cell r="C433" t="str">
            <v>CHP</v>
          </cell>
          <cell r="D433">
            <v>198.89</v>
          </cell>
        </row>
        <row r="434">
          <cell r="A434" t="str">
            <v>95702</v>
          </cell>
          <cell r="B434" t="str">
            <v>PERFURATRIZ MANUAL, TORQUE MAXIMO 55 KGF.M, POTENCIA 5 CV, COM DIAMETRO MAXIMO 8 1/2" - CHP DIURNO. AF_11/2016</v>
          </cell>
          <cell r="C434" t="str">
            <v>CHP</v>
          </cell>
          <cell r="D434">
            <v>39.03</v>
          </cell>
        </row>
        <row r="435">
          <cell r="A435" t="str">
            <v>95708</v>
          </cell>
          <cell r="B435" t="str">
            <v>PERFURATRIZ SOBRE ESTEIRA, TORQUE MÁXIMO 600 KGF, POTÊNCIA ENTRE 50 E 60 HP, DIÂMETRO MÁXIMO 10 - CHP DIURNO. AF_11/2016</v>
          </cell>
          <cell r="C435" t="str">
            <v>CHP</v>
          </cell>
          <cell r="D435">
            <v>172.08</v>
          </cell>
        </row>
        <row r="436">
          <cell r="A436" t="str">
            <v>95714</v>
          </cell>
          <cell r="B436" t="str">
            <v>ESCAVADEIRA HIDRAULICA SOBRE ESTEIRA, COM GARRA GIRATORIA DE MANDIBULAS, PESO OPERACIONAL ENTRE 22,00 E 25,50 TON, POTENCIA LIQUIDA ENTRE 150 E 160 HP - CHP DIURNO. AF_11/2016</v>
          </cell>
          <cell r="C436" t="str">
            <v>CHP</v>
          </cell>
          <cell r="D436">
            <v>239.4</v>
          </cell>
        </row>
        <row r="437">
          <cell r="A437" t="str">
            <v>95720</v>
          </cell>
          <cell r="B437" t="str">
            <v>ESCAVADEIRA HIDRAULICA SOBRE ESTEIRA, EQUIPADA COM CLAMSHELL, COM CAPACIDADE DA CAÇAMBA ENTRE 1,20 E 1,50 M3, PESO OPERACIONAL ENTRE 20,00 E 22,00 TON, POTENCIA LIQUIDA ENTRE 150 E 160 HP - CHP DIURNO. AF_11/2016</v>
          </cell>
          <cell r="C437" t="str">
            <v>CHP</v>
          </cell>
          <cell r="D437">
            <v>234.43</v>
          </cell>
        </row>
        <row r="438">
          <cell r="A438" t="str">
            <v>95872</v>
          </cell>
          <cell r="B438" t="str">
            <v>GRUPO GERADOR COM CARENAGEM, MOTOR DIESEL POTÊNCIA STANDART ENTRE 250 E 260 KVA - CHP DIURNO. AF_12/2016</v>
          </cell>
          <cell r="C438" t="str">
            <v>CHP</v>
          </cell>
          <cell r="D438">
            <v>247.74</v>
          </cell>
        </row>
        <row r="439">
          <cell r="A439" t="str">
            <v>96013</v>
          </cell>
          <cell r="B439" t="str">
            <v>TRATOR DE PNEUS COM POTÊNCIA DE 122 CV, TRAÇÃO 4X4, COM VASSOURA MECÂNICA ACOPLADA - CHP DIURNO. AF_02/2017</v>
          </cell>
          <cell r="C439" t="str">
            <v>CHP</v>
          </cell>
          <cell r="D439">
            <v>223.17</v>
          </cell>
        </row>
        <row r="440">
          <cell r="A440" t="str">
            <v>96020</v>
          </cell>
          <cell r="B440" t="str">
            <v>TRATOR DE PNEUS COM POTÊNCIA DE 122 CV, TRAÇÃO 4X4, COM GRADE DE DISCOS ACOPLADA - CHP DIURNO. AF_02/2017</v>
          </cell>
          <cell r="C440" t="str">
            <v>CHP</v>
          </cell>
          <cell r="D440">
            <v>222.6</v>
          </cell>
        </row>
        <row r="441">
          <cell r="A441" t="str">
            <v>96028</v>
          </cell>
          <cell r="B441" t="str">
            <v>TRATOR DE PNEUS COM POTÊNCIA DE 85 CV, TRAÇÃO 4X4, COM GRADE DE DISCOS ACOPLADA - CHP DIURNO. AF_02/2017</v>
          </cell>
          <cell r="C441" t="str">
            <v>CHP</v>
          </cell>
          <cell r="D441">
            <v>168.54</v>
          </cell>
        </row>
        <row r="442">
          <cell r="A442" t="str">
            <v>96035</v>
          </cell>
          <cell r="B442" t="str">
            <v>CAMINHÃO BASCULANTE 10 M3, TRUCADO, POTÊNCIA 230 CV, INCLUSIVE CAÇAMBA METÁLICA, COM DISTRIBUIDOR DE AGREGADOS ACOPLADO - CHP DIURNO. AF_02/2017</v>
          </cell>
          <cell r="C442" t="str">
            <v>CHP</v>
          </cell>
          <cell r="D442">
            <v>223.65</v>
          </cell>
        </row>
        <row r="443">
          <cell r="A443" t="str">
            <v>96157</v>
          </cell>
          <cell r="B443" t="str">
            <v>TRATOR DE PNEUS COM POTÊNCIA DE 85 CV, TRAÇÃO 4X4, COM VASSOURA MECÂNICA ACOPLADA - CHP DIURNO. AF_03/2017</v>
          </cell>
          <cell r="C443" t="str">
            <v>CHP</v>
          </cell>
          <cell r="D443">
            <v>169.11</v>
          </cell>
        </row>
        <row r="444">
          <cell r="A444" t="str">
            <v>96158</v>
          </cell>
          <cell r="B444" t="str">
            <v>MINICARREGADEIRA SOBRE RODAS POTENCIA 47HP CAPACIDADE OPERACAO 646 KG, COM VASSOURA MECÂNICA ACOPLADA - CHP DIURNO. AF_03/2017</v>
          </cell>
          <cell r="C444" t="str">
            <v>CHP</v>
          </cell>
          <cell r="D444">
            <v>123.3</v>
          </cell>
        </row>
        <row r="445">
          <cell r="A445" t="str">
            <v>96245</v>
          </cell>
          <cell r="B445" t="str">
            <v>MINIESCAVADEIRA SOBRE ESTEIRAS, POTENCIA LIQUIDA DE *30* HP, PESO OPERACIONAL DE *3.500* KG - CHP DIURNO. AF_04/2017</v>
          </cell>
          <cell r="C445" t="str">
            <v>CHP</v>
          </cell>
          <cell r="D445">
            <v>82.8</v>
          </cell>
        </row>
        <row r="446">
          <cell r="A446" t="str">
            <v>96463</v>
          </cell>
          <cell r="B446" t="str">
            <v>ROLO COMPACTADOR DE PNEUS, ESTATICO, PRESSAO VARIAVEL, POTENCIA 110 HP, PESO SEM/COM LASTRO 10,8/27 T, LARGURA DE ROLAGEM 2,30 M - CHP DIURNO. AF_06/2017</v>
          </cell>
          <cell r="C446" t="str">
            <v>CHP</v>
          </cell>
          <cell r="D446">
            <v>188.08</v>
          </cell>
        </row>
        <row r="447">
          <cell r="A447" t="str">
            <v>98764</v>
          </cell>
          <cell r="B447" t="str">
            <v>INVERSOR DE SOLDA MONOFÁSICO DE 160 A, POTÊNCIA DE 5400 W, TENSÃO DE 220 V, PARA SOLDA COM ELETRODOS DE 2,0 A 4,0 MM E PROCESSO TIG - CHP DIURNO. AF_06/2018</v>
          </cell>
          <cell r="C447" t="str">
            <v>CHP</v>
          </cell>
          <cell r="D447">
            <v>4.53</v>
          </cell>
        </row>
        <row r="448">
          <cell r="A448" t="str">
            <v>99833</v>
          </cell>
          <cell r="B448" t="str">
            <v>LAVADORA DE ALTA PRESSAO (LAVA-JATO) PARA AGUA FRIA, PRESSAO DE OPERACAO ENTRE 1400 E 1900 LIB/POL2, VAZAO MAXIMA ENTRE 400 E 700 L/H - CHP DIURNO. AF_04/2019</v>
          </cell>
          <cell r="C448" t="str">
            <v>CHP</v>
          </cell>
          <cell r="D448">
            <v>1.48</v>
          </cell>
        </row>
        <row r="449">
          <cell r="A449" t="str">
            <v>100641</v>
          </cell>
          <cell r="B449" t="str">
            <v>USINA DE MISTURA ASFÁLTICA À QUENTE, TIPO CONTRA FLUXO, PROD 100 A 140 TON/HORA - CHP DIURNO. AF_12/2019</v>
          </cell>
          <cell r="C449" t="str">
            <v>CHP</v>
          </cell>
          <cell r="D449">
            <v>610.71</v>
          </cell>
        </row>
        <row r="450">
          <cell r="A450" t="str">
            <v>100647</v>
          </cell>
          <cell r="B450" t="str">
            <v>USINA DE ASFALTO, TIPO GRAVIMÉTRICA, PROD 150 TON/HORA - CHP DIURNO. AF_12/2019</v>
          </cell>
          <cell r="C450" t="str">
            <v>CHP</v>
          </cell>
          <cell r="D450">
            <v>1297.56</v>
          </cell>
        </row>
        <row r="451">
          <cell r="A451" t="str">
            <v>102275</v>
          </cell>
          <cell r="B451" t="str">
            <v>MARTELO DEMOLIDOR ELÉTRICO, COM POTÊNCIA DE 2.000 W, 1.000 IMPACTOS POR MINUTO, PESO DE 30 KG - CHP DIURNO. AF_01/2021</v>
          </cell>
          <cell r="C451" t="str">
            <v>CHI</v>
          </cell>
          <cell r="D451">
            <v>19.21</v>
          </cell>
        </row>
        <row r="452">
          <cell r="A452" t="str">
            <v>5632</v>
          </cell>
          <cell r="B452" t="str">
            <v>ESCAVADEIRA HIDRÁULICA SOBRE ESTEIRAS, CAÇAMBA 0,80 M3, PESO OPERACIONAL 17 T, POTENCIA BRUTA 111 HP - CHI DIURNO. AF_06/2014</v>
          </cell>
          <cell r="C452" t="str">
            <v>CHI</v>
          </cell>
          <cell r="D452">
            <v>83.52</v>
          </cell>
        </row>
        <row r="453">
          <cell r="A453" t="str">
            <v>5679</v>
          </cell>
          <cell r="B453" t="str">
            <v>RETROESCAVADEIRA SOBRE RODAS COM CARREGADEIRA, TRAÇÃO 4X4, POTÊNCIA LÍQ. 88 HP, CAÇAMBA CARREG. CAP. MÍN. 1 M3, CAÇAMBA RETRO CAP. 0,26 M3, PESO OPERACIONAL MÍN. 6.674 KG, PROFUNDIDADE ESCAVAÇÃO MÁX. 4,37 M - CHI DIURNO. AF_06/2014</v>
          </cell>
          <cell r="C453" t="str">
            <v>CHI</v>
          </cell>
          <cell r="D453">
            <v>57.8</v>
          </cell>
        </row>
        <row r="454">
          <cell r="A454" t="str">
            <v>5681</v>
          </cell>
          <cell r="B454" t="str">
            <v>RETROESCAVADEIRA SOBRE RODAS COM CARREGADEIRA, TRAÇÃO 4X2, POTÊNCIA LÍQ. 79 HP, CAÇAMBA CARREG. CAP. MÍN. 1 M3, CAÇAMBA RETRO CAP. 0,20 M3, PESO OPERACIONAL MÍN. 6.570 KG, PROFUNDIDADE ESCAVAÇÃO MÁX. 4,37 M - CHI DIURNO. AF_06/2014</v>
          </cell>
          <cell r="C454" t="str">
            <v>CHI</v>
          </cell>
          <cell r="D454">
            <v>54.67</v>
          </cell>
        </row>
        <row r="455">
          <cell r="A455" t="str">
            <v>5685</v>
          </cell>
          <cell r="B455" t="str">
            <v>ROLO COMPACTADOR VIBRATÓRIO DE UM CILINDRO AÇO LISO, POTÊNCIA 80 HP, PESO OPERACIONAL MÁXIMO 8,1 T, IMPACTO DINÂMICO 16,15 / 9,5 T, LARGURA DE TRABALHO 1,68 M - CHI DIURNO. AF_06/2014</v>
          </cell>
          <cell r="C455" t="str">
            <v>CHI</v>
          </cell>
          <cell r="D455">
            <v>54.49</v>
          </cell>
        </row>
        <row r="456">
          <cell r="A456" t="str">
            <v>5690</v>
          </cell>
          <cell r="B456" t="str">
            <v>GRADE DE DISCO CONTROLE REMOTO REBOCÁVEL, COM 24 DISCOS 24 X 6 MM COM PNEUS PARA TRANSPORTE - CHI DIURNO. AF_06/2014</v>
          </cell>
          <cell r="C456" t="str">
            <v>CHI</v>
          </cell>
          <cell r="D456">
            <v>4.6900000000000004</v>
          </cell>
        </row>
        <row r="457">
          <cell r="A457" t="str">
            <v>5806</v>
          </cell>
          <cell r="B457" t="str">
            <v>MOTOBOMBA CENTRÍFUGA, MOTOR A GASOLINA, POTÊNCIA 5,42 HP, BOCAIS 1 1/2" X 1", DIÂMETRO ROTOR 143 MM HM/Q = 6 MCA / 16,8 M3/H A 38 MCA / 6,6 M3/H - CHI DIURNO. AF_06/2014</v>
          </cell>
          <cell r="C457" t="str">
            <v>CHI</v>
          </cell>
          <cell r="D457">
            <v>0.23</v>
          </cell>
        </row>
        <row r="458">
          <cell r="A458" t="str">
            <v>5826</v>
          </cell>
          <cell r="B458" t="str">
            <v>CAMINHÃO TOCO, PBT 16.000 KG, CARGA ÚTIL MÁX. 10.685 KG, DIST. ENTRE EIXOS 4,8 M, POTÊNCIA 189 CV, INCLUSIVE CARROCERIA FIXA ABERTA DE MADEIRA P/ TRANSPORTE GERAL DE CARGA SECA, DIMEN. APROX. 2,5 X 7,00 X 0,50 M - CHI DIURNO. AF_06/2014</v>
          </cell>
          <cell r="C458" t="str">
            <v>CHI</v>
          </cell>
          <cell r="D458">
            <v>40.54</v>
          </cell>
        </row>
        <row r="459">
          <cell r="A459" t="str">
            <v>5829</v>
          </cell>
          <cell r="B459" t="str">
            <v>USINA DE CONCRETO FIXA, CAPACIDADE NOMINAL DE 90 A 120 M3/H, SEM SILO - CHI DIURNO. AF_07/2016</v>
          </cell>
          <cell r="C459" t="str">
            <v>CHI</v>
          </cell>
          <cell r="D459">
            <v>134.57</v>
          </cell>
        </row>
        <row r="460">
          <cell r="A460" t="str">
            <v>5837</v>
          </cell>
          <cell r="B460" t="str">
            <v>VIBROACABADORA DE ASFALTO SOBRE ESTEIRAS, LARGURA DE PAVIMENTAÇÃO 1,90 M A 5,30 M, POTÊNCIA 105 HP CAPACIDADE 450 T/H - CHI DIURNO. AF_11/2014</v>
          </cell>
          <cell r="C460" t="str">
            <v>CHI</v>
          </cell>
          <cell r="D460">
            <v>158.65</v>
          </cell>
        </row>
        <row r="461">
          <cell r="A461" t="str">
            <v>5841</v>
          </cell>
          <cell r="B461" t="str">
            <v>VASSOURA MECÂNICA REBOCÁVEL COM ESCOVA CILÍNDRICA, LARGURA ÚTIL DE VARRIMENTO DE 2,44 M - CHI DIURNO. AF_06/2014</v>
          </cell>
          <cell r="C461" t="str">
            <v>CHI</v>
          </cell>
          <cell r="D461">
            <v>5.4</v>
          </cell>
        </row>
        <row r="462">
          <cell r="A462" t="str">
            <v>5845</v>
          </cell>
          <cell r="B462" t="str">
            <v>TRATOR DE PNEUS, POTÊNCIA 122 CV, TRAÇÃO 4X4, PESO COM LASTRO DE 4.510 KG - CHI DIURNO. AF_06/2014</v>
          </cell>
          <cell r="C462" t="str">
            <v>CHI</v>
          </cell>
          <cell r="D462">
            <v>48.74</v>
          </cell>
        </row>
        <row r="463">
          <cell r="A463" t="str">
            <v>5849</v>
          </cell>
          <cell r="B463" t="str">
            <v>TRATOR DE ESTEIRAS, POTÊNCIA 170 HP, PESO OPERACIONAL 19 T, CAÇAMBA 5,2 M3 - CHI DIURNO. AF_06/2014</v>
          </cell>
          <cell r="C463" t="str">
            <v>CHI</v>
          </cell>
          <cell r="D463">
            <v>72.400000000000006</v>
          </cell>
        </row>
        <row r="464">
          <cell r="A464" t="str">
            <v>5853</v>
          </cell>
          <cell r="B464" t="str">
            <v>TRATOR DE ESTEIRAS, POTÊNCIA 150 HP, PESO OPERACIONAL 16,7 T, COM RODA MOTRIZ ELEVADA E LÂMINA 3,18 M3 - CHI DIURNO. AF_06/2014</v>
          </cell>
          <cell r="C464" t="str">
            <v>CHI</v>
          </cell>
          <cell r="D464">
            <v>72.66</v>
          </cell>
        </row>
        <row r="465">
          <cell r="A465" t="str">
            <v>5857</v>
          </cell>
          <cell r="B465" t="str">
            <v>TRATOR DE ESTEIRAS, POTÊNCIA 347 HP, PESO OPERACIONAL 38,5 T, COM LÂMINA 8,70 M3 - CHI DIURNO. AF_06/2014</v>
          </cell>
          <cell r="C465" t="str">
            <v>CHI</v>
          </cell>
          <cell r="D465">
            <v>168.56</v>
          </cell>
        </row>
        <row r="466">
          <cell r="A466" t="str">
            <v>5865</v>
          </cell>
          <cell r="B466" t="str">
            <v>ROLO COMPACTADOR VIBRATÓRIO REBOCÁVEL, CILINDRO DE AÇO LISO, POTÊNCIA DE TRAÇÃO DE 65 CV, PESO 4,7 T, IMPACTO DINÂMICO 18,3 T, LARGURA DE TRABALHO 1,67 M - CHI DIURNO. AF_02/2016</v>
          </cell>
          <cell r="C466" t="str">
            <v>CHI</v>
          </cell>
          <cell r="D466">
            <v>9.61</v>
          </cell>
        </row>
        <row r="467">
          <cell r="A467" t="str">
            <v>5869</v>
          </cell>
          <cell r="B467" t="str">
            <v>ROLO COMPACTADOR VIBRATÓRIO TANDEM AÇO LISO, POTÊNCIA 58 HP, PESO SEM/COM LASTRO 6,5 / 9,4 T, LARGURA DE TRABALHO 1,2 M - CHI DIURNO. AF_06/2014</v>
          </cell>
          <cell r="C467" t="str">
            <v>CHI</v>
          </cell>
          <cell r="D467">
            <v>61.75</v>
          </cell>
        </row>
        <row r="468">
          <cell r="A468" t="str">
            <v>5877</v>
          </cell>
          <cell r="B468" t="str">
            <v>RETROESCAVADEIRA SOBRE RODAS COM CARREGADEIRA, TRAÇÃO 4X4, POTÊNCIA LÍQ. 72 HP, CAÇAMBA CARREG. CAP. MÍN. 0,79 M3, CAÇAMBA RETRO CAP. 0,18 M3, PESO OPERACIONAL MÍN. 7.140 KG, PROFUNDIDADE ESCAVAÇÃO MÁX. 4,50 M - CHI DIURNO. AF_06/2014</v>
          </cell>
          <cell r="C468" t="str">
            <v>CHI</v>
          </cell>
          <cell r="D468">
            <v>56.8</v>
          </cell>
        </row>
        <row r="469">
          <cell r="A469" t="str">
            <v>5881</v>
          </cell>
          <cell r="B469" t="str">
            <v>ROLO COMPACTADOR VIBRATÓRIO PÉ DE CARNEIRO, OPERADO POR CONTROLE REMOTO, POTÊNCIA 12,5 KW, PESO OPERACIONAL 1,675 T, LARGURA DE TRABALHO 0,85 M - CHI DIURNO. AF_02/2016</v>
          </cell>
          <cell r="C469" t="str">
            <v>CHI</v>
          </cell>
          <cell r="D469">
            <v>66.16</v>
          </cell>
        </row>
        <row r="470">
          <cell r="A470" t="str">
            <v>5884</v>
          </cell>
          <cell r="B470" t="str">
            <v>USINA DE LAMA ASFÁLTICA, PROD 30 A 50 T/H, SILO DE AGREGADO 7 M3, RESERVATÓRIOS PARA EMULSÃO E ÁGUA DE 2,3 M3 CADA, MISTURADOR TIPO PUG MILL A SER MONTADO SOBRE CAMINHÃO - CHI DIURNO. AF_10/2014</v>
          </cell>
          <cell r="C470" t="str">
            <v>CHI</v>
          </cell>
          <cell r="D470">
            <v>43.28</v>
          </cell>
        </row>
        <row r="471">
          <cell r="A471" t="str">
            <v>5892</v>
          </cell>
          <cell r="B471" t="str">
            <v>CAMINHÃO TOCO, PESO BRUTO TOTAL 14.300 KG, CARGA ÚTIL MÁXIMA 9590 KG, DISTÂNCIA ENTRE EIXOS 4,76 M, POTÊNCIA 185 CV (NÃO INCLUI CARROCERIA) - CHI DIURNO. AF_06/2014</v>
          </cell>
          <cell r="C471" t="str">
            <v>CHI</v>
          </cell>
          <cell r="D471">
            <v>42.05</v>
          </cell>
        </row>
        <row r="472">
          <cell r="A472" t="str">
            <v>5896</v>
          </cell>
          <cell r="B472" t="str">
            <v>CAMINHÃO TOCO, PESO BRUTO TOTAL 16.000 KG, CARGA ÚTIL MÁXIMA DE 10.685 KG, DISTÂNCIA ENTRE EIXOS 4,80 M, POTÊNCIA 189 CV EXCLUSIVE CARROCERIA - CHI DIURNO. AF_06/2014</v>
          </cell>
          <cell r="C472" t="str">
            <v>CHI</v>
          </cell>
          <cell r="D472">
            <v>39.36</v>
          </cell>
        </row>
        <row r="473">
          <cell r="A473" t="str">
            <v>5903</v>
          </cell>
          <cell r="B473" t="str">
            <v>CAMINHÃO PIPA 10.000 L TRUCADO, PESO BRUTO TOTAL 23.000 KG, CARGA ÚTIL MÁXIMA 15.935 KG, DISTÂNCIA ENTRE EIXOS 4,8 M, POTÊNCIA 230 CV, INCLUSIVE TANQUE DE AÇO PARA TRANSPORTE DE ÁGUA - CHI DIURNO. AF_06/2014</v>
          </cell>
          <cell r="C473" t="str">
            <v>CHI</v>
          </cell>
          <cell r="D473">
            <v>49.85</v>
          </cell>
        </row>
        <row r="474">
          <cell r="A474" t="str">
            <v>5911</v>
          </cell>
          <cell r="B474" t="str">
            <v>ESPARGIDOR DE ASFALTO PRESSURIZADO COM TANQUE DE 2500 L, REBOCÁVEL COM MOTOR A GASOLINA POTÊNCIA 3,4 HP - CHI DIURNO. AF_07/2014</v>
          </cell>
          <cell r="C474" t="str">
            <v>CHI</v>
          </cell>
          <cell r="D474">
            <v>22.39</v>
          </cell>
        </row>
        <row r="475">
          <cell r="A475" t="str">
            <v>5923</v>
          </cell>
          <cell r="B475" t="str">
            <v>GRADE DE DISCO REBOCÁVEL COM 20 DISCOS 24" X 6 MM COM PNEUS PARA TRANSPORTE - CHI DIURNO. AF_06/2014</v>
          </cell>
          <cell r="C475" t="str">
            <v>CHI</v>
          </cell>
          <cell r="D475">
            <v>3.68</v>
          </cell>
        </row>
        <row r="476">
          <cell r="A476" t="str">
            <v>5930</v>
          </cell>
          <cell r="B476" t="str">
            <v>GUINDAUTO HIDRÁULICO, CAPACIDADE MÁXIMA DE CARGA 6200 KG, MOMENTO MÁXIMO DE CARGA 11,7 TM, ALCANCE MÁXIMO HORIZONTAL 9,70 M, INCLUSIVE CAMINHÃO TOCO PBT 16.000 KG, POTÊNCIA DE 189 CV - CHI DIURNO. AF_06/2014</v>
          </cell>
          <cell r="C476" t="str">
            <v>CHI</v>
          </cell>
          <cell r="D476">
            <v>47.95</v>
          </cell>
        </row>
        <row r="477">
          <cell r="A477" t="str">
            <v>5934</v>
          </cell>
          <cell r="B477" t="str">
            <v>MOTONIVELADORA POTÊNCIA BÁSICA LÍQUIDA (PRIMEIRA MARCHA) 125 HP, PESO BRUTO 13032 KG, LARGURA DA LÂMINA DE 3,7 M - CHI DIURNO. AF_06/2014</v>
          </cell>
          <cell r="C477" t="str">
            <v>CHI</v>
          </cell>
          <cell r="D477">
            <v>80.88</v>
          </cell>
        </row>
        <row r="478">
          <cell r="A478" t="str">
            <v>5942</v>
          </cell>
          <cell r="B478" t="str">
            <v>PÁ CARREGADEIRA SOBRE RODAS, POTÊNCIA LÍQUIDA 128 HP, CAPACIDADE DA CAÇAMBA 1,7 A 2,8 M3, PESO OPERACIONAL 11632 KG - CHI DIURNO. AF_06/2014</v>
          </cell>
          <cell r="C478" t="str">
            <v>CHI</v>
          </cell>
          <cell r="D478">
            <v>66.92</v>
          </cell>
        </row>
        <row r="479">
          <cell r="A479" t="str">
            <v>5946</v>
          </cell>
          <cell r="B479" t="str">
            <v>PÁ CARREGADEIRA SOBRE RODAS, POTÊNCIA 197 HP, CAPACIDADE DA CAÇAMBA 2,5 A 3,5 M3, PESO OPERACIONAL 18338 KG - CHI DIURNO. AF_06/2014</v>
          </cell>
          <cell r="C479" t="str">
            <v>CHI</v>
          </cell>
          <cell r="D479">
            <v>82.41</v>
          </cell>
        </row>
        <row r="480">
          <cell r="A480" t="str">
            <v>5952</v>
          </cell>
          <cell r="B480" t="str">
            <v>MARTELETE OU ROMPEDOR PNEUMÁTICO MANUAL, 28 KG, COM SILENCIADOR - CHI DIURNO. AF_07/2016</v>
          </cell>
          <cell r="C480" t="str">
            <v>CHI</v>
          </cell>
          <cell r="D480">
            <v>17.739999999999998</v>
          </cell>
        </row>
        <row r="481">
          <cell r="A481" t="str">
            <v>5954</v>
          </cell>
          <cell r="B481" t="str">
            <v>COMPRESSOR DE AR REBOCÁVEL, VAZÃO 189 PCM, PRESSÃO EFETIVA DE TRABALHO 102 PSI, MOTOR DIESEL, POTÊNCIA 63 CV - CHI DIURNO. AF_06/2015</v>
          </cell>
          <cell r="C481" t="str">
            <v>CHI</v>
          </cell>
          <cell r="D481">
            <v>3.92</v>
          </cell>
        </row>
        <row r="482">
          <cell r="A482" t="str">
            <v>5961</v>
          </cell>
          <cell r="B482" t="str">
            <v>CAMINHÃO BASCULANTE 6 M3, PESO BRUTO TOTAL 16.000 KG, CARGA ÚTIL MÁXIMA 13.071 KG, DISTÂNCIA ENTRE EIXOS 4,80 M, POTÊNCIA 230 CV INCLUSIVE CAÇAMBA METÁLICA - CHI DIURNO. AF_06/2014</v>
          </cell>
          <cell r="C482" t="str">
            <v>CHI</v>
          </cell>
          <cell r="D482">
            <v>48.19</v>
          </cell>
        </row>
        <row r="483">
          <cell r="A483" t="str">
            <v>6260</v>
          </cell>
          <cell r="B483" t="str">
            <v>CAMINHÃO PIPA 6.000 L, PESO BRUTO TOTAL 13.000 KG, DISTÂNCIA ENTRE EIXOS 4,80 M, POTÊNCIA 189 CV INCLUSIVE TANQUE DE AÇO PARA TRANSPORTE DE ÁGUA, CAPACIDADE 6 M3 - CHI DIURNO. AF_06/2014</v>
          </cell>
          <cell r="C483" t="str">
            <v>CHI</v>
          </cell>
          <cell r="D483">
            <v>44.39</v>
          </cell>
        </row>
        <row r="484">
          <cell r="A484" t="str">
            <v>6880</v>
          </cell>
          <cell r="B484" t="str">
            <v>ROLO COMPACTADOR DE PNEUS ESTÁTICO, PRESSÃO VARIÁVEL, POTÊNCIA 111 HP, PESO SEM/COM LASTRO 9,5 / 26 T, LARGURA DE TRABALHO 1,90 M - CHI DIURNO. AF_07/2014</v>
          </cell>
          <cell r="C484" t="str">
            <v>CHI</v>
          </cell>
          <cell r="D484">
            <v>72.430000000000007</v>
          </cell>
        </row>
        <row r="485">
          <cell r="A485" t="str">
            <v>7031</v>
          </cell>
          <cell r="B485" t="str">
            <v>TANQUE DE ASFALTO ESTACIONÁRIO COM SERPENTINA, CAPACIDADE 30.000 L - CHI DIURNO. AF_06/2014</v>
          </cell>
          <cell r="C485" t="str">
            <v>CHI</v>
          </cell>
          <cell r="D485">
            <v>5.69</v>
          </cell>
        </row>
        <row r="486">
          <cell r="A486" t="str">
            <v>7043</v>
          </cell>
          <cell r="B486" t="str">
            <v>MOTOBOMBA TRASH (PARA ÁGUA SUJA) AUTO ESCORVANTE, MOTOR GASOLINA DE 6,41 HP, DIÂMETROS DE SUCÇÃO X RECALQUE: 3" X 3", HM/Q = 10 MCA / 60 M3/H A 23 MCA / 0 M3/H - CHI DIURNO. AF_10/2014</v>
          </cell>
          <cell r="C486" t="str">
            <v>CHI</v>
          </cell>
          <cell r="D486">
            <v>0.28999999999999998</v>
          </cell>
        </row>
        <row r="487">
          <cell r="A487" t="str">
            <v>7050</v>
          </cell>
          <cell r="B487" t="str">
            <v>ROLO COMPACTADOR PE DE CARNEIRO VIBRATORIO, POTENCIA 125 HP, PESO OPERACIONAL SEM/COM LASTRO 11,95 / 13,30 T, IMPACTO DINAMICO 38,5 / 22,5 T, LARGURA DE TRABALHO 2,15 M - CHI DIURNO. AF_06/2014</v>
          </cell>
          <cell r="C487" t="str">
            <v>CHI</v>
          </cell>
          <cell r="D487">
            <v>66.8</v>
          </cell>
        </row>
        <row r="488">
          <cell r="A488" t="str">
            <v>67827</v>
          </cell>
          <cell r="B488" t="str">
            <v>CAMINHÃO BASCULANTE 6 M3 TOCO, PESO BRUTO TOTAL 16.000 KG, CARGA ÚTIL MÁXIMA 11.130 KG, DISTÂNCIA ENTRE EIXOS 5,36 M, POTÊNCIA 185 CV, INCLUSIVE CAÇAMBA METÁLICA - CHI DIURNO. AF_06/2014</v>
          </cell>
          <cell r="C488" t="str">
            <v>CHI</v>
          </cell>
          <cell r="D488">
            <v>47.09</v>
          </cell>
        </row>
        <row r="489">
          <cell r="A489" t="str">
            <v>73395</v>
          </cell>
          <cell r="B489" t="str">
            <v>GRUPO GERADOR ESTACIONÁRIO, MOTOR DIESEL POTÊNCIA 170 KVA - CHI DIURNO. AF_02/2016</v>
          </cell>
          <cell r="C489" t="str">
            <v>CHI</v>
          </cell>
          <cell r="D489">
            <v>5.8</v>
          </cell>
        </row>
        <row r="490">
          <cell r="A490" t="str">
            <v>83766</v>
          </cell>
          <cell r="B490" t="str">
            <v>GRUPO DE SOLDAGEM COM GERADOR A DIESEL 60 CV PARA SOLDA ELÉTRICA, SOBRE 04 RODAS, COM MOTOR 4 CILINDROS 600 A - CHI DIURNO. AF_02/2016</v>
          </cell>
          <cell r="C490" t="str">
            <v>CHI</v>
          </cell>
          <cell r="D490">
            <v>40.28</v>
          </cell>
        </row>
        <row r="491">
          <cell r="A491" t="str">
            <v>84013</v>
          </cell>
          <cell r="B491" t="str">
            <v>ESCAVADEIRA HIDRÁULICA SOBRE ESTEIRAS, CAÇAMBA 0,80 M3, PESO OPERACIONAL 17,8 T, POTÊNCIA LÍQUIDA 110 HP - CHI DIURNO. AF_10/2014</v>
          </cell>
          <cell r="C491" t="str">
            <v>CHI</v>
          </cell>
          <cell r="D491">
            <v>81.03</v>
          </cell>
        </row>
        <row r="492">
          <cell r="A492" t="str">
            <v>87446</v>
          </cell>
          <cell r="B492" t="str">
            <v>BETONEIRA CAPACIDADE NOMINAL 400 L, CAPACIDADE DE MISTURA 310 L, MOTOR A DIESEL POTÊNCIA 5,0 HP, SEM CARREGADOR - CHI DIURNO. AF_06/2014</v>
          </cell>
          <cell r="C492" t="str">
            <v>CHI</v>
          </cell>
          <cell r="D492">
            <v>0.48</v>
          </cell>
        </row>
        <row r="493">
          <cell r="A493" t="str">
            <v>88392</v>
          </cell>
          <cell r="B493" t="str">
            <v>MISTURADOR DE ARGAMASSA, EIXO HORIZONTAL, CAPACIDADE DE MISTURA 300 KG, MOTOR ELÉTRICO POTÊNCIA 5 CV - CHI DIURNO. AF_06/2014</v>
          </cell>
          <cell r="C493" t="str">
            <v>CHI</v>
          </cell>
          <cell r="D493">
            <v>0.94</v>
          </cell>
        </row>
        <row r="494">
          <cell r="A494" t="str">
            <v>88398</v>
          </cell>
          <cell r="B494" t="str">
            <v>MISTURADOR DE ARGAMASSA, EIXO HORIZONTAL, CAPACIDADE DE MISTURA 600 KG, MOTOR ELÉTRICO POTÊNCIA 7,5 CV - CHI DIURNO. AF_06/2014</v>
          </cell>
          <cell r="C494" t="str">
            <v>CHI</v>
          </cell>
          <cell r="D494">
            <v>1.1100000000000001</v>
          </cell>
        </row>
        <row r="495">
          <cell r="A495" t="str">
            <v>88404</v>
          </cell>
          <cell r="B495" t="str">
            <v>MISTURADOR DE ARGAMASSA, EIXO HORIZONTAL, CAPACIDADE DE MISTURA 160 KG, MOTOR ELÉTRICO POTÊNCIA 3 CV - CHI DIURNO. AF_06/2014</v>
          </cell>
          <cell r="C495" t="str">
            <v>CHI</v>
          </cell>
          <cell r="D495">
            <v>0.89</v>
          </cell>
        </row>
        <row r="496">
          <cell r="A496" t="str">
            <v>88430</v>
          </cell>
          <cell r="B496" t="str">
            <v>PROJETOR DE ARGAMASSA, CAPACIDADE DE PROJEÇÃO 1,5 M3/H, ALCANCE DE 30 ATÉ 60 M, MOTOR ELÉTRICO POTÊNCIA 7,5 HP - CHI DIURNO. AF_06/2014</v>
          </cell>
          <cell r="C496" t="str">
            <v>CHI</v>
          </cell>
          <cell r="D496">
            <v>5.82</v>
          </cell>
        </row>
        <row r="497">
          <cell r="A497" t="str">
            <v>88438</v>
          </cell>
          <cell r="B497" t="str">
            <v>PROJETOR DE ARGAMASSA, CAPACIDADE DE PROJEÇÃO 2 M3/H, ALCANCE ATÉ 50 M, MOTOR ELÉTRICO POTÊNCIA 7,5 HP - CHI DIURNO. AF_06/2014</v>
          </cell>
          <cell r="C497" t="str">
            <v>CHI</v>
          </cell>
          <cell r="D497">
            <v>7.73</v>
          </cell>
        </row>
        <row r="498">
          <cell r="A498" t="str">
            <v>88831</v>
          </cell>
          <cell r="B498" t="str">
            <v>BETONEIRA CAPACIDADE NOMINAL DE 400 L, CAPACIDADE DE MISTURA 280 L, MOTOR ELÉTRICO TRIFÁSICO POTÊNCIA DE 2 CV, SEM CARREGADOR - CHI DIURNO. AF_10/2014</v>
          </cell>
          <cell r="C498" t="str">
            <v>CHI</v>
          </cell>
          <cell r="D498">
            <v>0.35</v>
          </cell>
        </row>
        <row r="499">
          <cell r="A499" t="str">
            <v>88844</v>
          </cell>
          <cell r="B499" t="str">
            <v>TRATOR DE ESTEIRAS, POTÊNCIA 125 HP, PESO OPERACIONAL 12,9 T, COM LÂMINA 2,7 M3 - CHI DIURNO. AF_10/2014</v>
          </cell>
          <cell r="C499" t="str">
            <v>CHI</v>
          </cell>
          <cell r="D499">
            <v>64.55</v>
          </cell>
        </row>
        <row r="500">
          <cell r="A500" t="str">
            <v>88908</v>
          </cell>
          <cell r="B500" t="str">
            <v>ESCAVADEIRA HIDRÁULICA SOBRE ESTEIRAS, CAÇAMBA 1,20 M3, PESO OPERACIONAL 21 T, POTÊNCIA BRUTA 155 HP - CHI DIURNO. AF_06/2014</v>
          </cell>
          <cell r="C500" t="str">
            <v>CHI</v>
          </cell>
          <cell r="D500">
            <v>89.59</v>
          </cell>
        </row>
        <row r="501">
          <cell r="A501" t="str">
            <v>89022</v>
          </cell>
          <cell r="B501" t="str">
            <v>BOMBA SUBMERSÍVEL ELÉTRICA TRIFÁSICA, POTÊNCIA 2,96 HP, Ø ROTOR 144 MM SEMI-ABERTO, BOCAL DE SAÍDA Ø 2, HM/Q = 2 MCA / 38,8 M3/H A 28 MCA / 5 M3/H - CHI DIURNO. AF_06/2014</v>
          </cell>
          <cell r="C501" t="str">
            <v>CHI</v>
          </cell>
          <cell r="D501">
            <v>0.31</v>
          </cell>
        </row>
        <row r="502">
          <cell r="A502" t="str">
            <v>89027</v>
          </cell>
          <cell r="B502" t="str">
            <v>TANQUE DE ASFALTO ESTACIONÁRIO COM MAÇARICO, CAPACIDADE 20.000 L - CHI DIURNO. AF_06/2014</v>
          </cell>
          <cell r="C502" t="str">
            <v>CHI</v>
          </cell>
          <cell r="D502">
            <v>4.63</v>
          </cell>
        </row>
        <row r="503">
          <cell r="A503" t="str">
            <v>89031</v>
          </cell>
          <cell r="B503" t="str">
            <v>TRATOR DE ESTEIRAS, POTÊNCIA 100 HP, PESO OPERACIONAL 9,4 T, COM LÂMINA 2,19 M3 - CHI DIURNO. AF_06/2014</v>
          </cell>
          <cell r="C503" t="str">
            <v>CHI</v>
          </cell>
          <cell r="D503">
            <v>63.03</v>
          </cell>
        </row>
        <row r="504">
          <cell r="A504" t="str">
            <v>89036</v>
          </cell>
          <cell r="B504" t="str">
            <v>TRATOR DE PNEUS, POTÊNCIA 85 CV, TRAÇÃO 4X4, PESO COM LASTRO DE 4.675 KG - CHI DIURNO. AF_06/2014</v>
          </cell>
          <cell r="C504" t="str">
            <v>CHI</v>
          </cell>
          <cell r="D504">
            <v>43.87</v>
          </cell>
        </row>
        <row r="505">
          <cell r="A505" t="str">
            <v>89218</v>
          </cell>
          <cell r="B505" t="str">
            <v>BATE-ESTACAS POR GRAVIDADE, POTÊNCIA DE 160 HP, PESO DO MARTELO ATÉ 3 TONELADAS - CHI DIURNO. AF_11/2014</v>
          </cell>
          <cell r="C505" t="str">
            <v>CHI</v>
          </cell>
          <cell r="D505">
            <v>87.33</v>
          </cell>
        </row>
        <row r="506">
          <cell r="A506" t="str">
            <v>89226</v>
          </cell>
          <cell r="B506" t="str">
            <v>BETONEIRA CAPACIDADE NOMINAL DE 600 L, CAPACIDADE DE MISTURA 360 L, MOTOR ELÉTRICO TRIFÁSICO POTÊNCIA DE 4 CV, SEM CARREGADOR - CHI DIURNO. AF_11/2014</v>
          </cell>
          <cell r="C506" t="str">
            <v>CHI</v>
          </cell>
          <cell r="D506">
            <v>1.45</v>
          </cell>
        </row>
        <row r="507">
          <cell r="A507" t="str">
            <v>89235</v>
          </cell>
          <cell r="B507" t="str">
            <v>FRESADORA DE ASFALTO A FRIO SOBRE RODAS, LARGURA FRESAGEM DE 1,0 M, POTÊNCIA 208 HP - CHI DIURNO. AF_11/2014</v>
          </cell>
          <cell r="C507" t="str">
            <v>CHI</v>
          </cell>
          <cell r="D507">
            <v>206.77</v>
          </cell>
        </row>
        <row r="508">
          <cell r="A508" t="str">
            <v>89243</v>
          </cell>
          <cell r="B508" t="str">
            <v>FRESADORA DE ASFALTO A FRIO SOBRE RODAS, LARGURA FRESAGEM DE 2,0 M, POTÊNCIA 550 HP - CHI DIURNO. AF_11/2014</v>
          </cell>
          <cell r="C508" t="str">
            <v>CHI</v>
          </cell>
          <cell r="D508">
            <v>445.11</v>
          </cell>
        </row>
        <row r="509">
          <cell r="A509" t="str">
            <v>89251</v>
          </cell>
          <cell r="B509" t="str">
            <v>RECICLADORA DE ASFALTO A FRIO SOBRE RODAS, LARGURA FRESAGEM DE 2,0 M, POTÊNCIA 422 HP - CHI DIURNO. AF_11/2014</v>
          </cell>
          <cell r="C509" t="str">
            <v>CHI</v>
          </cell>
          <cell r="D509">
            <v>390.49</v>
          </cell>
        </row>
        <row r="510">
          <cell r="A510" t="str">
            <v>89258</v>
          </cell>
          <cell r="B510" t="str">
            <v>VIBROACABADORA DE ASFALTO SOBRE ESTEIRAS, LARGURA DE PAVIMENTAÇÃO 2,13 M A 4,55 M, POTÊNCIA 100 HP, CAPACIDADE 400 T/H - CHI DIURNO. AF_11/2014</v>
          </cell>
          <cell r="C510" t="str">
            <v>CHI</v>
          </cell>
          <cell r="D510">
            <v>135.13</v>
          </cell>
        </row>
        <row r="511">
          <cell r="A511" t="str">
            <v>89273</v>
          </cell>
          <cell r="B511" t="str">
            <v>GUINDASTE HIDRÁULICO AUTOPROPELIDO, COM LANÇA TELESCÓPICA 28,80 M, CAPACIDADE MÁXIMA 30 T, POTÊNCIA 97 KW, TRAÇÃO 4 X 4 - CHI DIURNO. AF_11/2014</v>
          </cell>
          <cell r="C511" t="str">
            <v>CHI</v>
          </cell>
          <cell r="D511">
            <v>94.29</v>
          </cell>
        </row>
        <row r="512">
          <cell r="A512" t="str">
            <v>89279</v>
          </cell>
          <cell r="B512" t="str">
            <v>BETONEIRA CAPACIDADE NOMINAL DE 600 L, CAPACIDADE DE MISTURA 440 L, MOTOR A DIESEL POTÊNCIA 10 HP, COM CARREGADOR - CHI DIURNO. AF_11/2014</v>
          </cell>
          <cell r="C512" t="str">
            <v>CHI</v>
          </cell>
          <cell r="D512">
            <v>1.76</v>
          </cell>
        </row>
        <row r="513">
          <cell r="A513" t="str">
            <v>89877</v>
          </cell>
          <cell r="B513" t="str">
            <v>CAMINHÃO BASCULANTE 14 M3, COM CAVALO MECÂNICO DE CAPACIDADE MÁXIMA DE TRAÇÃO COMBINADO DE 36000 KG, POTÊNCIA 286 CV, INCLUSIVE SEMIREBOQUE COM CAÇAMBA METÁLICA - CHI DIURNO. AF_12/2014</v>
          </cell>
          <cell r="C513" t="str">
            <v>CHI</v>
          </cell>
          <cell r="D513">
            <v>61.38</v>
          </cell>
        </row>
        <row r="514">
          <cell r="A514" t="str">
            <v>89884</v>
          </cell>
          <cell r="B514" t="str">
            <v>CAMINHÃO BASCULANTE 18 M3, COM CAVALO MECÂNICO DE CAPACIDADE MÁXIMA DE TRAÇÃO COMBINADO DE 45000 KG, POTÊNCIA 330 CV, INCLUSIVE SEMIREBOQUE COM CAÇAMBA METÁLICA - CHI DIURNO. AF_12/2014</v>
          </cell>
          <cell r="C514" t="str">
            <v>CHI</v>
          </cell>
          <cell r="D514">
            <v>63.49</v>
          </cell>
        </row>
        <row r="515">
          <cell r="A515" t="str">
            <v>90587</v>
          </cell>
          <cell r="B515" t="str">
            <v>VIBRADOR DE IMERSÃO, DIÂMETRO DE PONTEIRA 45MM, MOTOR ELÉTRICO TRIFÁSICO POTÊNCIA DE 2 CV - CHI DIURNO. AF_06/2015</v>
          </cell>
          <cell r="C515" t="str">
            <v>CHI</v>
          </cell>
          <cell r="D515">
            <v>0.43</v>
          </cell>
        </row>
        <row r="516">
          <cell r="A516" t="str">
            <v>90626</v>
          </cell>
          <cell r="B516" t="str">
            <v>PERFURATRIZ MANUAL, TORQUE MÁXIMO 83 N.M, POTÊNCIA 5 CV, COM DIÂMETRO MÁXIMO 4" - CHI DIURNO. AF_06/2015</v>
          </cell>
          <cell r="C516" t="str">
            <v>CHI</v>
          </cell>
          <cell r="D516">
            <v>1.69</v>
          </cell>
        </row>
        <row r="517">
          <cell r="A517" t="str">
            <v>90632</v>
          </cell>
          <cell r="B517" t="str">
            <v>PERFURATRIZ SOBRE ESTEIRA, TORQUE MÁXIMO 600 KGF, PESO MÉDIO 1000 KG, POTÊNCIA 20 HP, DIÂMETRO MÁXIMO 10" - CHI DIURNO. AF_06/2015</v>
          </cell>
          <cell r="C517" t="str">
            <v>CHI</v>
          </cell>
          <cell r="D517">
            <v>83.49</v>
          </cell>
        </row>
        <row r="518">
          <cell r="A518" t="str">
            <v>90638</v>
          </cell>
          <cell r="B518" t="str">
            <v>MISTURADOR DUPLO HORIZONTAL DE ALTA TURBULÊNCIA, CAPACIDADE / VOLUME 2 X 500 LITROS, MOTORES ELÉTRICOS MÍNIMO 5 CV CADA, PARA NATA CIMENTO, ARGAMASSA E OUTROS - CHI DIURNO. AF_06/2015</v>
          </cell>
          <cell r="C518" t="str">
            <v>CHI</v>
          </cell>
          <cell r="D518">
            <v>4.4800000000000004</v>
          </cell>
        </row>
        <row r="519">
          <cell r="A519" t="str">
            <v>90644</v>
          </cell>
          <cell r="B519" t="str">
            <v>BOMBA TRIPLEX, PARA INJEÇÃO DE NATA DE CIMENTO, VAZÃO MÁXIMA DE 100 LITROS/MINUTO, PRESSÃO MÁXIMA DE 70 BAR - CHI DIURNO. AF_06/2015</v>
          </cell>
          <cell r="C519" t="str">
            <v>CHI</v>
          </cell>
          <cell r="D519">
            <v>6.7</v>
          </cell>
        </row>
        <row r="520">
          <cell r="A520" t="str">
            <v>90651</v>
          </cell>
          <cell r="B520" t="str">
            <v>BOMBA CENTRÍFUGA MONOESTÁGIO COM MOTOR ELÉTRICO MONOFÁSICO, POTÊNCIA 15 HP, DIÂMETRO DO ROTOR 173 MM, HM/Q = 30 MCA / 90 M3/H A 45 MCA / 55 M3/H - CHI DIURNO. AF_06/2015</v>
          </cell>
          <cell r="C520" t="str">
            <v>CHI</v>
          </cell>
          <cell r="D520">
            <v>0.83</v>
          </cell>
        </row>
        <row r="521">
          <cell r="A521" t="str">
            <v>90657</v>
          </cell>
          <cell r="B521" t="str">
            <v>BOMBA DE PROJEÇÃO DE CONCRETO SECO, POTÊNCIA 10 CV, VAZÃO 3 M3/H - CHI DIURNO. AF_06/2015</v>
          </cell>
          <cell r="C521" t="str">
            <v>CHI</v>
          </cell>
          <cell r="D521">
            <v>4.3600000000000003</v>
          </cell>
        </row>
        <row r="522">
          <cell r="A522" t="str">
            <v>90663</v>
          </cell>
          <cell r="B522" t="str">
            <v>BOMBA DE PROJEÇÃO DE CONCRETO SECO, POTÊNCIA 10 CV, VAZÃO 6 M3/H - CHI DIURNO. AF_06/2015</v>
          </cell>
          <cell r="C522" t="str">
            <v>CHI</v>
          </cell>
          <cell r="D522">
            <v>4.66</v>
          </cell>
        </row>
        <row r="523">
          <cell r="A523" t="str">
            <v>90669</v>
          </cell>
          <cell r="B523" t="str">
            <v>PROJETOR PNEUMÁTICO DE ARGAMASSA PARA CHAPISCO E REBOCO COM RECIPIENTE ACOPLADO, TIPO CANEQUINHA, COM COMPRESSOR DE AR REBOCÁVEL VAZÃO 89 PCM E MOTOR DIESEL DE 20 CV - CHI DIURNO. AF_06/2015</v>
          </cell>
          <cell r="C523" t="str">
            <v>CHI</v>
          </cell>
          <cell r="D523">
            <v>6.22</v>
          </cell>
        </row>
        <row r="524">
          <cell r="A524" t="str">
            <v>90675</v>
          </cell>
          <cell r="B524" t="str">
            <v>PERFURATRIZ COM TORRE METÁLICA PARA EXECUÇÃO DE ESTACA HÉLICE CONTÍNUA, PROFUNDIDADE MÁXIMA DE 30 M, DIÂMETRO MÁXIMO DE 800 MM, POTÊNCIA INSTALADA DE 268 HP, MESA ROTATIVA COM TORQUE MÁXIMO DE 170 KNM - CHI DIURNO. AF_06/2015</v>
          </cell>
          <cell r="C524" t="str">
            <v>CHI</v>
          </cell>
          <cell r="D524">
            <v>281.36</v>
          </cell>
        </row>
        <row r="525">
          <cell r="A525" t="str">
            <v>90681</v>
          </cell>
          <cell r="B525" t="str">
            <v>PERFURATRIZ HIDRÁULICA SOBRE CAMINHÃO COM TRADO CURTO ACOPLADO, PROFUNDIDADE MÁXIMA DE 20 M, DIÂMETRO MÁXIMO DE 1500 MM, POTÊNCIA INSTALADA DE 137 HP, MESA ROTATIVA COM TORQUE MÁXIMO DE 30 KNM - CHI DIURNO. AF_06/2015</v>
          </cell>
          <cell r="C525" t="str">
            <v>CHI</v>
          </cell>
          <cell r="D525">
            <v>159.01</v>
          </cell>
        </row>
        <row r="526">
          <cell r="A526" t="str">
            <v>90687</v>
          </cell>
          <cell r="B526" t="str">
            <v>MANIPULADOR TELESCÓPICO, POTÊNCIA DE 85 HP, CAPACIDADE DE CARGA DE 3.500 KG, ALTURA MÁXIMA DE ELEVAÇÃO DE 12,3 M - CHI DIURNO. AF_06/2015</v>
          </cell>
          <cell r="C526" t="str">
            <v>CHI</v>
          </cell>
          <cell r="D526">
            <v>59.89</v>
          </cell>
        </row>
        <row r="527">
          <cell r="A527" t="str">
            <v>90693</v>
          </cell>
          <cell r="B527" t="str">
            <v>MINICARREGADEIRA SOBRE RODAS, POTÊNCIA LÍQUIDA DE 47 HP, CAPACIDADE NOMINAL DE OPERAÇÃO DE 646 KG - CHI DIURNO. AF_06/2015</v>
          </cell>
          <cell r="C527" t="str">
            <v>CHI</v>
          </cell>
          <cell r="D527">
            <v>43.57</v>
          </cell>
        </row>
        <row r="528">
          <cell r="A528" t="str">
            <v>90965</v>
          </cell>
          <cell r="B528" t="str">
            <v>COMPRESSOR DE AR REBOCÁVEL, VAZÃO 89 PCM, PRESSÃO EFETIVA DE TRABALHO 102 PSI, MOTOR DIESEL, POTÊNCIA 20 CV - CHI DIURNO. AF_06/2015</v>
          </cell>
          <cell r="C528" t="str">
            <v>CHI</v>
          </cell>
          <cell r="D528">
            <v>5.25</v>
          </cell>
        </row>
        <row r="529">
          <cell r="A529" t="str">
            <v>90973</v>
          </cell>
          <cell r="B529" t="str">
            <v>COMPRESSOR DE AR REBOCAVEL, VAZÃO 250 PCM, PRESSAO DE TRABALHO 102 PSI, MOTOR A DIESEL POTÊNCIA 81 CV - CHI DIURNO. AF_06/2015</v>
          </cell>
          <cell r="C529" t="str">
            <v>CHI</v>
          </cell>
          <cell r="D529">
            <v>5.26</v>
          </cell>
        </row>
        <row r="530">
          <cell r="A530" t="str">
            <v>90982</v>
          </cell>
          <cell r="B530" t="str">
            <v>COMPRESSOR DE AR REBOCÁVEL, VAZÃO 748 PCM, PRESSÃO EFETIVA DE TRABALHO 102 PSI, MOTOR DIESEL, POTÊNCIA 210 CV - CHI DIURNO. AF_06/2015</v>
          </cell>
          <cell r="C530" t="str">
            <v>CHI</v>
          </cell>
          <cell r="D530">
            <v>13.37</v>
          </cell>
        </row>
        <row r="531">
          <cell r="A531" t="str">
            <v>91001</v>
          </cell>
          <cell r="B531" t="str">
            <v>COMPRESSOR DE AR REBOCAVEL, VAZÃO 400 PCM, PRESSAO DE TRABALHO 102 PSI, MOTOR A DIESEL POTÊNCIA 110 CV - CHI DIURNO. AF_06/2015</v>
          </cell>
          <cell r="C531" t="str">
            <v>CHI</v>
          </cell>
          <cell r="D531">
            <v>6.24</v>
          </cell>
        </row>
        <row r="532">
          <cell r="A532" t="str">
            <v>91032</v>
          </cell>
          <cell r="B532" t="str">
            <v>CAMINHÃO TRUCADO (C/ TERCEIRO EIXO) ELETRÔNICO - POTÊNCIA 231CV - PBT = 22000KG - DIST. ENTRE EIXOS 5170 MM - INCLUI CARROCERIA FIXA ABERTA DE MADEIRA - CHI DIURNO. AF_06/2015</v>
          </cell>
          <cell r="C532" t="str">
            <v>CHI</v>
          </cell>
          <cell r="D532">
            <v>46.97</v>
          </cell>
        </row>
        <row r="533">
          <cell r="A533" t="str">
            <v>91278</v>
          </cell>
          <cell r="B533" t="str">
            <v>PLACA VIBRATÓRIA REVERSÍVEL COM MOTOR 4 TEMPOS A GASOLINA, FORÇA CENTRÍFUGA DE 25 KN (2500 KGF), POTÊNCIA 5,5 CV - CHI DIURNO. AF_08/2015</v>
          </cell>
          <cell r="C533" t="str">
            <v>CHI</v>
          </cell>
          <cell r="D533">
            <v>0.54</v>
          </cell>
        </row>
        <row r="534">
          <cell r="A534" t="str">
            <v>91285</v>
          </cell>
          <cell r="B534" t="str">
            <v>CORTADORA DE PISO COM MOTOR 4 TEMPOS A GASOLINA, POTÊNCIA DE 13 HP, COM DISCO DE CORTE DIAMANTADO SEGMENTADO PARA CONCRETO, DIÂMETRO DE 350 MM, FURO DE 1" (14 X 1") - CHI DIURNO. AF_08/2015</v>
          </cell>
          <cell r="C534" t="str">
            <v>CHI</v>
          </cell>
          <cell r="D534">
            <v>1.2</v>
          </cell>
        </row>
        <row r="535">
          <cell r="A535" t="str">
            <v>91387</v>
          </cell>
          <cell r="B535" t="str">
            <v>CAMINHÃO BASCULANTE 10 M3, TRUCADO CABINE SIMPLES, PESO BRUTO TOTAL 23.000 KG, CARGA ÚTIL MÁXIMA 15.935 KG, DISTÂNCIA ENTRE EIXOS 4,80 M, POTÊNCIA 230 CV INCLUSIVE CAÇAMBA METÁLICA - CHI DIURNO. AF_06/2014</v>
          </cell>
          <cell r="C535" t="str">
            <v>CHI</v>
          </cell>
          <cell r="D535">
            <v>51.35</v>
          </cell>
        </row>
        <row r="536">
          <cell r="A536" t="str">
            <v>91395</v>
          </cell>
          <cell r="B536" t="str">
            <v>CAMINHÃO TOCO, PBT 14.300 KG, CARGA ÚTIL MÁX. 9.710 KG, DIST. ENTRE EIXOS 3,56 M, POTÊNCIA 185 CV, INCLUSIVE CARROCERIA FIXA ABERTA DE MADEIRA P/ TRANSPORTE GERAL DE CARGA SECA, DIMEN. APROX. 2,50 X 6,50 X 0,50 M - CHI DIURNO. AF_06/2014</v>
          </cell>
          <cell r="C536" t="str">
            <v>CHI</v>
          </cell>
          <cell r="D536">
            <v>43.46</v>
          </cell>
        </row>
        <row r="537">
          <cell r="A537" t="str">
            <v>91486</v>
          </cell>
          <cell r="B537" t="str">
            <v>ESPARGIDOR DE ASFALTO PRESSURIZADO, TANQUE 6 M3 COM ISOLAÇÃO TÉRMICA, AQUECIDO COM 2 MAÇARICOS, COM BARRA ESPARGIDORA 3,60 M, MONTADO SOBRE CAMINHÃO  TOCO, PBT 14.300 KG, POTÊNCIA 185 CV - CHI DIURNO. AF_08/2015</v>
          </cell>
          <cell r="C537" t="str">
            <v>CHI</v>
          </cell>
          <cell r="D537">
            <v>51.06</v>
          </cell>
        </row>
        <row r="538">
          <cell r="A538" t="str">
            <v>91534</v>
          </cell>
          <cell r="B538" t="str">
            <v>COMPACTADOR DE SOLOS DE PERCUSSÃO (SOQUETE) COM MOTOR A GASOLINA 4 TEMPOS, POTÊNCIA 4 CV - CHI DIURNO. AF_08/2015</v>
          </cell>
          <cell r="C538" t="str">
            <v>CHI</v>
          </cell>
          <cell r="D538">
            <v>28.94</v>
          </cell>
        </row>
        <row r="539">
          <cell r="A539" t="str">
            <v>91635</v>
          </cell>
          <cell r="B539" t="str">
            <v>GUINDAUTO HIDRÁULICO, CAPACIDADE MÁXIMA DE CARGA 6500 KG, MOMENTO MÁXIMO DE CARGA 5,8 TM, ALCANCE MÁXIMO HORIZONTAL 7,60 M, INCLUSIVE CAMINHÃO TOCO PBT 9.700 KG, POTÊNCIA DE 160 CV - CHI DIURNO. AF_08/2015</v>
          </cell>
          <cell r="C539" t="str">
            <v>CHI</v>
          </cell>
          <cell r="D539">
            <v>46.45</v>
          </cell>
        </row>
        <row r="540">
          <cell r="A540" t="str">
            <v>91646</v>
          </cell>
          <cell r="B540" t="str">
            <v>CAMINHÃO DE TRANSPORTE DE MATERIAL ASFÁLTICO 30.000 L, COM CAVALO MECÂNICO DE CAPACIDADE MÁXIMA DE TRAÇÃO COMBINADO DE 66.000 KG, POTÊNCIA 360 CV, INCLUSIVE TANQUE DE ASFALTO COM SERPENTINA - CHI DIURNO. AF_08/2015</v>
          </cell>
          <cell r="C540" t="str">
            <v>CHI</v>
          </cell>
          <cell r="D540">
            <v>72.08</v>
          </cell>
        </row>
        <row r="541">
          <cell r="A541" t="str">
            <v>91693</v>
          </cell>
          <cell r="B541" t="str">
            <v>SERRA CIRCULAR DE BANCADA COM MOTOR ELÉTRICO POTÊNCIA DE 5HP, COM COIFA PARA DISCO 10" - CHI DIURNO. AF_08/2015</v>
          </cell>
          <cell r="C541" t="str">
            <v>CHI</v>
          </cell>
          <cell r="D541">
            <v>28.29</v>
          </cell>
        </row>
        <row r="542">
          <cell r="A542" t="str">
            <v>92044</v>
          </cell>
          <cell r="B542" t="str">
            <v>DISTRIBUIDOR DE AGREGADOS REBOCAVEL, CAPACIDADE 1,9 M³, LARGURA DE TRABALHO 3,66 M - CHI DIURNO. AF_11/2015</v>
          </cell>
          <cell r="C542" t="str">
            <v>CHI</v>
          </cell>
          <cell r="D542">
            <v>6.52</v>
          </cell>
        </row>
        <row r="543">
          <cell r="A543" t="str">
            <v>92107</v>
          </cell>
          <cell r="B543" t="str">
            <v>CAMINHÃO PARA EQUIPAMENTO DE LIMPEZA A SUCÇÃO COM CAMINHÃO TRUCADO DE PESO BRUTO TOTAL 23000 KG, CARGA ÚTIL MÁXIMA 15935 KG, DISTÂNCIA ENTRE EIXOS 4,80 M, POTÊNCIA 230 CV, INCLUSIVE LIMPADORA A SUCÇÃO, TANQUE 12000 L - CHI DIURNO. AF_11/2015</v>
          </cell>
          <cell r="C543" t="str">
            <v>CHI</v>
          </cell>
          <cell r="D543">
            <v>53.25</v>
          </cell>
        </row>
        <row r="544">
          <cell r="A544" t="str">
            <v>92113</v>
          </cell>
          <cell r="B544" t="str">
            <v>PENEIRA ROTATIVA COM MOTOR ELÉTRICO TRIFÁSICO DE 2 CV, CILINDRO DE 1 M X 0,60 M, COM FUROS DE 3,17 MM - CHI DIURNO. AF_11/2015</v>
          </cell>
          <cell r="C544" t="str">
            <v>CHI</v>
          </cell>
          <cell r="D544">
            <v>1.04</v>
          </cell>
        </row>
        <row r="545">
          <cell r="A545" t="str">
            <v>92119</v>
          </cell>
          <cell r="B545" t="str">
            <v>DOSADOR DE AREIA, CAPACIDADE DE 26 LITROS - CHI DIURNO. AF_11/2015</v>
          </cell>
          <cell r="C545" t="str">
            <v>CHI</v>
          </cell>
          <cell r="D545">
            <v>0.11</v>
          </cell>
        </row>
        <row r="546">
          <cell r="A546" t="str">
            <v>92139</v>
          </cell>
          <cell r="B546" t="str">
            <v>CAMINHONETE COM MOTOR A DIESEL, POTÊNCIA 180 CV, CABINE DUPLA, 4X4 - CHI DIURNO. AF_11/2015</v>
          </cell>
          <cell r="C546" t="str">
            <v>CHI</v>
          </cell>
          <cell r="D546">
            <v>37.93</v>
          </cell>
        </row>
        <row r="547">
          <cell r="A547" t="str">
            <v>92146</v>
          </cell>
          <cell r="B547" t="str">
            <v>CAMINHONETE CABINE SIMPLES COM MOTOR 1.6 FLEX, CÂMBIO MANUAL, POTÊNCIA 101/104 CV, 2 PORTAS - CHI DIURNO. AF_11/2015</v>
          </cell>
          <cell r="C547" t="str">
            <v>CHI</v>
          </cell>
          <cell r="D547">
            <v>28.47</v>
          </cell>
        </row>
        <row r="548">
          <cell r="A548" t="str">
            <v>92243</v>
          </cell>
          <cell r="B548" t="str">
            <v>CAMINHÃO DE TRANSPORTE DE MATERIAL ASFÁLTICO 20.000 L, COM CAVALO MECÂNICO DE CAPACIDADE MÁXIMA DE TRAÇÃO COMBINADO DE 45.000 KG, POTÊNCIA 330 CV, INCLUSIVE TANQUE DE ASFALTO COM MAÇARICO - CHI DIURNO. AF_12/2015</v>
          </cell>
          <cell r="C548" t="str">
            <v>CHI</v>
          </cell>
          <cell r="D548">
            <v>61.26</v>
          </cell>
        </row>
        <row r="549">
          <cell r="A549" t="str">
            <v>92717</v>
          </cell>
          <cell r="B549" t="str">
            <v>APARELHO PARA CORTE E SOLDA OXI-ACETILENO SOBRE RODAS, INCLUSIVE CILINDROS E MAÇARICOS - CHI DIURNO. AF_12/2015</v>
          </cell>
          <cell r="C549" t="str">
            <v>CHI</v>
          </cell>
          <cell r="D549">
            <v>0.27</v>
          </cell>
        </row>
        <row r="550">
          <cell r="A550" t="str">
            <v>92961</v>
          </cell>
          <cell r="B550" t="str">
            <v>MÁQUINA EXTRUSORA DE CONCRETO PARA GUIAS E SARJETAS, MOTOR A DIESEL, POTÊNCIA 14 CV - CHI DIURNO. AF_12/2015</v>
          </cell>
          <cell r="C550" t="str">
            <v>CHI</v>
          </cell>
          <cell r="D550">
            <v>5.04</v>
          </cell>
        </row>
        <row r="551">
          <cell r="A551" t="str">
            <v>92967</v>
          </cell>
          <cell r="B551" t="str">
            <v>MARTELO PERFURADOR PNEUMÁTICO MANUAL, HASTE 25 X 75 MM, 21 KG - CHI DIURNO. AF_12/2015</v>
          </cell>
          <cell r="C551" t="str">
            <v>CHI</v>
          </cell>
          <cell r="D551">
            <v>17.78</v>
          </cell>
        </row>
        <row r="552">
          <cell r="A552" t="str">
            <v>93225</v>
          </cell>
          <cell r="B552" t="str">
            <v>PERFURATRIZ COM TORRE METÁLICA PARA EXECUÇÃO DE ESTACA HÉLICE CONTÍNUA, PROFUNDIDADE MÁXIMA DE 32 M, DIÂMETRO MÁXIMO DE 1000 MM, POTÊNCIA INSTALADA DE 350 HP, MESA ROTATIVA COM TORQUE MÁXIMO DE 263 KNM - CHI DIURNO. AF_01/2016</v>
          </cell>
          <cell r="C552" t="str">
            <v>CHI</v>
          </cell>
          <cell r="D552">
            <v>421.88</v>
          </cell>
        </row>
        <row r="553">
          <cell r="A553" t="str">
            <v>93234</v>
          </cell>
          <cell r="B553" t="str">
            <v>BETONEIRA CAPACIDADE NOMINAL 400 L, CAPACIDADE DE MISTURA 310 L, MOTOR A GASOLINA POTÊNCIA 5,5 HP, SEM CARREGADOR - CHI DIURNO. AF_02/2016</v>
          </cell>
          <cell r="C553" t="str">
            <v>CHI</v>
          </cell>
          <cell r="D553">
            <v>0.44</v>
          </cell>
        </row>
        <row r="554">
          <cell r="A554" t="str">
            <v>93244</v>
          </cell>
          <cell r="B554" t="str">
            <v>ROLO COMPACTADOR VIBRATÓRIO PÉ DE CARNEIRO PARA SOLOS, POTÊNCIA 80 HP, PESO OPERACIONAL SEM/COM LASTRO 7,4 / 8,8 T, LARGURA DE TRABALHO 1,68 M - CHI DIURNO. AF_02/2016</v>
          </cell>
          <cell r="C554" t="str">
            <v>CHI</v>
          </cell>
          <cell r="D554">
            <v>55.75</v>
          </cell>
        </row>
        <row r="555">
          <cell r="A555" t="str">
            <v>93274</v>
          </cell>
          <cell r="B555" t="str">
            <v>GRUA ASCENSIONAL, LANÇA DE 30 M, CAPACIDADE DE 1,0 T A 30 M, ALTURA ATÉ 39 M - CHI DIURNO. AF_03/2016</v>
          </cell>
          <cell r="C555" t="str">
            <v>CHI</v>
          </cell>
          <cell r="D555">
            <v>84.69</v>
          </cell>
        </row>
        <row r="556">
          <cell r="A556" t="str">
            <v>93282</v>
          </cell>
          <cell r="B556" t="str">
            <v>GUINCHO ELÉTRICO DE COLUNA, CAPACIDADE 400 KG, COM MOTO FREIO, MOTOR TRIFÁSICO DE 1,25 CV - CHI DIURNO. AF_03/2016</v>
          </cell>
          <cell r="C556" t="str">
            <v>CHI</v>
          </cell>
          <cell r="D556">
            <v>24.84</v>
          </cell>
        </row>
        <row r="557">
          <cell r="A557" t="str">
            <v>93288</v>
          </cell>
          <cell r="B557" t="str">
            <v>GUINDASTE HIDRÁULICO AUTOPROPELIDO, COM LANÇA TELESCÓPICA 40 M, CAPACIDADE MÁXIMA 60 T, POTÊNCIA 260 KW - CHI DIURNO. AF_03/2016</v>
          </cell>
          <cell r="C557" t="str">
            <v>CHI</v>
          </cell>
          <cell r="D557">
            <v>144.1</v>
          </cell>
        </row>
        <row r="558">
          <cell r="A558" t="str">
            <v>93403</v>
          </cell>
          <cell r="B558" t="str">
            <v>GUINDAUTO HIDRÁULICO, CAPACIDADE MÁXIMA DE CARGA 3300 KG, MOMENTO MÁXIMO DE CARGA 5,8 TM, ALCANCE MÁXIMO HORIZONTAL 7,60 M, INCLUSIVE CAMINHÃO TOCO PBT 16.000 KG, POTÊNCIA DE 189 CV - CHI DIURNO. AF_03/2016</v>
          </cell>
          <cell r="C558" t="str">
            <v>CHI</v>
          </cell>
          <cell r="D558">
            <v>46.45</v>
          </cell>
        </row>
        <row r="559">
          <cell r="A559" t="str">
            <v>93409</v>
          </cell>
          <cell r="B559" t="str">
            <v>MÁQUINA JATO DE PRESSAO PORTÁTIL, CAMARA DE 1 SAIDA, CAPACIDADE 280 L, DIAMETRO 670 MM, BICO DE JATO CURTO VENTURI DE 5/16'' , MANGUEIRA DE 1'' COM COMPRESSOR DE AR REBOCÁVEL 189 PCM E MOTOR DIESEL 63 CV - CHI DIURNO. AF_03/2016</v>
          </cell>
          <cell r="C559" t="str">
            <v>CHI</v>
          </cell>
          <cell r="D559">
            <v>34.07</v>
          </cell>
        </row>
        <row r="560">
          <cell r="A560" t="str">
            <v>93416</v>
          </cell>
          <cell r="B560" t="str">
            <v>GERADOR PORTÁTIL MONOFÁSICO, POTÊNCIA 5500 VA, MOTOR A GASOLINA, POTÊNCIA DO MOTOR 13 CV - CHI DIURNO. AF_03/2016</v>
          </cell>
          <cell r="C560" t="str">
            <v>CHI</v>
          </cell>
          <cell r="D560">
            <v>0.27</v>
          </cell>
        </row>
        <row r="561">
          <cell r="A561" t="str">
            <v>93422</v>
          </cell>
          <cell r="B561" t="str">
            <v>GRUPO GERADOR REBOCÁVEL, POTÊNCIA 66 KVA, MOTOR A DIESEL - CHI DIURNO. AF_03/2016</v>
          </cell>
          <cell r="C561" t="str">
            <v>CHI</v>
          </cell>
          <cell r="D561">
            <v>3.65</v>
          </cell>
        </row>
        <row r="562">
          <cell r="A562" t="str">
            <v>93428</v>
          </cell>
          <cell r="B562" t="str">
            <v>GRUPO GERADOR ESTACIONÁRIO, POTÊNCIA 150 KVA, MOTOR A DIESEL- CHI DIURNO. AF_03/2016</v>
          </cell>
          <cell r="C562" t="str">
            <v>CHI</v>
          </cell>
          <cell r="D562">
            <v>5.16</v>
          </cell>
        </row>
        <row r="563">
          <cell r="A563" t="str">
            <v>93434</v>
          </cell>
          <cell r="B563" t="str">
            <v>USINA DE MISTURA ASFÁLTICA À QUENTE, TIPO CONTRA FLUXO, PROD 40 A 80 TON/HORA - CHI DIURNO. AF_03/2016</v>
          </cell>
          <cell r="C563" t="str">
            <v>CHI</v>
          </cell>
          <cell r="D563">
            <v>222.25</v>
          </cell>
        </row>
        <row r="564">
          <cell r="A564" t="str">
            <v>93440</v>
          </cell>
          <cell r="B564" t="str">
            <v>USINA DE ASFALTO À FRIO, CAPACIDADE DE 40 A 60 TON/HORA, ELÉTRICA POTÊNCIA 30 CV - CHI DIURNO. AF_03/2016</v>
          </cell>
          <cell r="C564" t="str">
            <v>CHI</v>
          </cell>
          <cell r="D564">
            <v>104.46</v>
          </cell>
        </row>
        <row r="565">
          <cell r="A565" t="str">
            <v>95122</v>
          </cell>
          <cell r="B565" t="str">
            <v>USINA MISTURADORA DE SOLOS, CAPACIDADE DE 200 A 500 TON/H, POTENCIA 75KW - CHI DIURNO. AF_07/2016</v>
          </cell>
          <cell r="C565" t="str">
            <v>CHI</v>
          </cell>
          <cell r="D565">
            <v>161.87</v>
          </cell>
        </row>
        <row r="566">
          <cell r="A566" t="str">
            <v>95128</v>
          </cell>
          <cell r="B566" t="str">
            <v>DISTRIBUIDOR DE AGREGADOS AUTOPROPELIDO, CAP 3 M3, A DIESEL, POTÊNCIA 176CV - CHI DIURNO. AF_07/2016</v>
          </cell>
          <cell r="C566" t="str">
            <v>CHI</v>
          </cell>
          <cell r="D566">
            <v>47</v>
          </cell>
        </row>
        <row r="567">
          <cell r="A567" t="str">
            <v>95140</v>
          </cell>
          <cell r="B567" t="str">
            <v>TALHA MANUAL DE CORRENTE, CAPACIDADE DE 2 TON. COM ELEVAÇÃO DE 3 M - CHI DIURNO. AF_07/2016</v>
          </cell>
          <cell r="C567" t="str">
            <v>CHI</v>
          </cell>
          <cell r="D567">
            <v>0.04</v>
          </cell>
        </row>
        <row r="568">
          <cell r="A568" t="str">
            <v>95213</v>
          </cell>
          <cell r="B568" t="str">
            <v>GRUA ASCENCIONAL, LANÇA DE 42 M, CAPACIDADE DE 1,5 T A 30 M, ALTURA ATÉ 39 M - CHI DIURNO. AF_08/2016</v>
          </cell>
          <cell r="C568" t="str">
            <v>CHI</v>
          </cell>
          <cell r="D568">
            <v>90.46</v>
          </cell>
        </row>
        <row r="569">
          <cell r="A569" t="str">
            <v>95259</v>
          </cell>
          <cell r="B569" t="str">
            <v>MARTELO DEMOLIDOR PNEUMÁTICO MANUAL, 32 KG - CHI DIURNO. AF_09/2016</v>
          </cell>
          <cell r="C569" t="str">
            <v>CHI</v>
          </cell>
          <cell r="D569">
            <v>17.61</v>
          </cell>
        </row>
        <row r="570">
          <cell r="A570" t="str">
            <v>95265</v>
          </cell>
          <cell r="B570" t="str">
            <v>COMPACTADOR DE SOLOS DE PERCUSÃO (SOQUETE) COM MOTOR A GASOLINA, POTÊNCIA 3 CV - CHI DIURNO. AF_09/2016</v>
          </cell>
          <cell r="C570" t="str">
            <v>CHI</v>
          </cell>
          <cell r="D570">
            <v>0.69</v>
          </cell>
        </row>
        <row r="571">
          <cell r="A571" t="str">
            <v>95271</v>
          </cell>
          <cell r="B571" t="str">
            <v>RÉGUA VIBRATÓRIA DUPLA PARA CONCRETO, PESO DE 60KG, COMPRIMENTO 4 M, COM MOTOR A GASOLINA, POTÊNCIA 5,5 HP - CHI DIURNO. AF_09/2016</v>
          </cell>
          <cell r="C571" t="str">
            <v>CHI</v>
          </cell>
          <cell r="D571">
            <v>0.47</v>
          </cell>
        </row>
        <row r="572">
          <cell r="A572" t="str">
            <v>95277</v>
          </cell>
          <cell r="B572" t="str">
            <v>POLIDORA DE PISO (POLITRIZ), PESO DE 100KG, DIÂMETRO 450 MM, MOTOR ELÉTRICO, POTÊNCIA 4 HP - CHI DIURNO. AF_09/2016</v>
          </cell>
          <cell r="C572" t="str">
            <v>CHI</v>
          </cell>
          <cell r="D572">
            <v>0.47</v>
          </cell>
        </row>
        <row r="573">
          <cell r="A573" t="str">
            <v>95283</v>
          </cell>
          <cell r="B573" t="str">
            <v>DESEMPENADEIRA DE CONCRETO, PESO DE 75KG, 4 PÁS, MOTOR A GASOLINA, POTÊNCIA 5,5 HP - CHI DIURNO. AF_09/2016</v>
          </cell>
          <cell r="C573" t="str">
            <v>CHI</v>
          </cell>
          <cell r="D573">
            <v>0.51</v>
          </cell>
        </row>
        <row r="574">
          <cell r="A574" t="str">
            <v>95621</v>
          </cell>
          <cell r="B574" t="str">
            <v>PERFURATRIZ PNEUMATICA MANUAL DE PESO MEDIO, MARTELETE, 18KG, COMPRIMENTO MÁXIMO DE CURSO DE 6 M, DIAMETRO DO PISTAO DE 5,5 CM - CHI DIURNO. AF_11/2016</v>
          </cell>
          <cell r="C574" t="str">
            <v>CHI</v>
          </cell>
          <cell r="D574">
            <v>17.39</v>
          </cell>
        </row>
        <row r="575">
          <cell r="A575" t="str">
            <v>95632</v>
          </cell>
          <cell r="B575" t="str">
            <v>ROLO COMPACTADOR VIBRATORIO TANDEM, ACO LISO, POTENCIA 125 HP, PESO SEM/COM LASTRO 10,20/11,65 T, LARGURA DE TRABALHO 1,73 M - CHI DIURNO. AF_11/2016</v>
          </cell>
          <cell r="C575" t="str">
            <v>CHI</v>
          </cell>
          <cell r="D575">
            <v>70.290000000000006</v>
          </cell>
        </row>
        <row r="576">
          <cell r="A576" t="str">
            <v>95703</v>
          </cell>
          <cell r="B576" t="str">
            <v>PERFURATRIZ MANUAL, TORQUE MAXIMO 55 KGF.M, POTENCIA 5 CV, COM DIAMETRO MAXIMO 8 1/2" - CHI DIURNO. AF_11/2016</v>
          </cell>
          <cell r="C576" t="str">
            <v>CHI</v>
          </cell>
          <cell r="D576">
            <v>31.89</v>
          </cell>
        </row>
        <row r="577">
          <cell r="A577" t="str">
            <v>95709</v>
          </cell>
          <cell r="B577" t="str">
            <v>PERFURATRIZ SOBRE ESTEIRA, TORQUE MÁXIMO 600 KGF, POTÊNCIA ENTRE 50 E 60 HP, DIÂMETRO MÁXIMO 10 - CHI DIURNO. AF_11/2016</v>
          </cell>
          <cell r="C577" t="str">
            <v>CHI</v>
          </cell>
          <cell r="D577">
            <v>81.19</v>
          </cell>
        </row>
        <row r="578">
          <cell r="A578" t="str">
            <v>95715</v>
          </cell>
          <cell r="B578" t="str">
            <v>ESCAVADEIRA HIDRAULICA SOBRE ESTEIRA, COM GARRA GIRATORIA DE MANDIBULAS, PESO OPERACIONAL ENTRE 22,00 E 25,50 TON, POTENCIA LIQUIDA ENTRE 150 E 160 HP - CHI DIURNO. AF_11/2016</v>
          </cell>
          <cell r="C578" t="str">
            <v>CHI</v>
          </cell>
          <cell r="D578">
            <v>92.84</v>
          </cell>
        </row>
        <row r="579">
          <cell r="A579" t="str">
            <v>95721</v>
          </cell>
          <cell r="B579" t="str">
            <v>ESCAVADEIRA HIDRAULICA SOBRE ESTEIRA, EQUIPADA COM CLAMSHELL, COM CAPACIDADE DA CAÇAMBA ENTRE 1,20 E 1,50 M3, PESO OPERACIONAL ENTRE 20,00 E 22,00 TON, POTENCIA LIQUIDA ENTRE 150 E 160 HP - CHI DIURNO. AF_11/2016</v>
          </cell>
          <cell r="C579" t="str">
            <v>CHI</v>
          </cell>
          <cell r="D579">
            <v>90.47</v>
          </cell>
        </row>
        <row r="580">
          <cell r="A580" t="str">
            <v>95873</v>
          </cell>
          <cell r="B580" t="str">
            <v>GRUPO GERADOR COM CARENAGEM, MOTOR DIESEL POTÊNCIA STANDART ENTRE 250 E 260 KVA - CHI DIURNO. AF_12/2016</v>
          </cell>
          <cell r="C580" t="str">
            <v>CHI</v>
          </cell>
          <cell r="D580">
            <v>8.27</v>
          </cell>
        </row>
        <row r="581">
          <cell r="A581" t="str">
            <v>96014</v>
          </cell>
          <cell r="B581" t="str">
            <v>TRATOR DE PNEUS COM POTÊNCIA DE 122 CV, TRAÇÃO 4X4, COM VASSOURA MECÂNICA ACOPLADA - CHI DIURNO. AF_02/2017</v>
          </cell>
          <cell r="C581" t="str">
            <v>CHI</v>
          </cell>
          <cell r="D581">
            <v>53.9</v>
          </cell>
        </row>
        <row r="582">
          <cell r="A582" t="str">
            <v>96021</v>
          </cell>
          <cell r="B582" t="str">
            <v>TRATOR DE PNEUS COM POTÊNCIA DE 122 CV, TRAÇÃO 4X4, COM GRADE DE DISCOS ACOPLADA - CHI DIURNO. AF_02/2017</v>
          </cell>
          <cell r="C582" t="str">
            <v>CHI</v>
          </cell>
          <cell r="D582">
            <v>53.61</v>
          </cell>
        </row>
        <row r="583">
          <cell r="A583" t="str">
            <v>96029</v>
          </cell>
          <cell r="B583" t="str">
            <v>TRATOR DE PNEUS COM POTÊNCIA DE 85 CV, TRAÇÃO 4X4, COM GRADE DE DISCOS ACOPLADA - CHI DIURNO. AF_02/2017</v>
          </cell>
          <cell r="C583" t="str">
            <v>CHI</v>
          </cell>
          <cell r="D583">
            <v>48.74</v>
          </cell>
        </row>
        <row r="584">
          <cell r="A584" t="str">
            <v>96036</v>
          </cell>
          <cell r="B584" t="str">
            <v>CAMINHÃO BASCULANTE 10 M3, TRUCADO, POTÊNCIA 230 CV, INCLUSIVE CAÇAMBA METÁLICA, COM DISTRIBUIDOR DE AGREGADOS ACOPLADO - CHI DIURNO. AF_02/2017</v>
          </cell>
          <cell r="C584" t="str">
            <v>CHI</v>
          </cell>
          <cell r="D584">
            <v>55.46</v>
          </cell>
        </row>
        <row r="585">
          <cell r="A585" t="str">
            <v>96155</v>
          </cell>
          <cell r="B585" t="str">
            <v>TRATOR DE PNEUS COM POTÊNCIA DE 85 CV, TRAÇÃO 4X4, COM VASSOURA MECÂNICA ACOPLADA - CHI DIURNO. AF_02/2017</v>
          </cell>
          <cell r="C585" t="str">
            <v>CHI</v>
          </cell>
          <cell r="D585">
            <v>49.03</v>
          </cell>
        </row>
        <row r="586">
          <cell r="A586" t="str">
            <v>96156</v>
          </cell>
          <cell r="B586" t="str">
            <v>MINICARREGADEIRA SOBRE RODAS POTENCIA 47HP CAPACIDADE OPERACAO 646 KG, COM VASSOURA MECÂNICA ACOPLADA - CHI DIURNO. AF_03/2017</v>
          </cell>
          <cell r="C586" t="str">
            <v>CHI</v>
          </cell>
          <cell r="D586">
            <v>51.06</v>
          </cell>
        </row>
        <row r="587">
          <cell r="A587" t="str">
            <v>96159</v>
          </cell>
          <cell r="B587" t="str">
            <v>MÁQUINA DEMARCADORA DE FAIXA DE TRÁFEGO À FRIO, AUTOPROPELIDA, POTÊNCIA 38 HP - CHI DIURNO. AF_07/2016</v>
          </cell>
          <cell r="C587" t="str">
            <v>CHI</v>
          </cell>
          <cell r="D587">
            <v>61.4</v>
          </cell>
        </row>
        <row r="588">
          <cell r="A588" t="str">
            <v>96246</v>
          </cell>
          <cell r="B588" t="str">
            <v>MINIESCAVADEIRA SOBRE ESTEIRAS, POTENCIA LIQUIDA DE *30* HP, PESO OPERACIONAL DE *3.500* KG - CHI DIURNO. AF_04/2017</v>
          </cell>
          <cell r="C588" t="str">
            <v>CHI</v>
          </cell>
          <cell r="D588">
            <v>47.77</v>
          </cell>
        </row>
        <row r="589">
          <cell r="A589" t="str">
            <v>96464</v>
          </cell>
          <cell r="B589" t="str">
            <v>ROLO COMPACTADOR DE PNEUS, ESTATICO, PRESSAO VARIAVEL, POTENCIA 110 HP, PESO SEM/COM LASTRO 10,8/27 T, LARGURA DE ROLAGEM 2,30 M - CHI DIURNO. AF_06/2017</v>
          </cell>
          <cell r="C589" t="str">
            <v>CHI</v>
          </cell>
          <cell r="D589">
            <v>75.489999999999995</v>
          </cell>
        </row>
        <row r="590">
          <cell r="A590" t="str">
            <v>98765</v>
          </cell>
          <cell r="B590" t="str">
            <v>INVERSOR DE SOLDA MONOFÁSICO DE 160 A, POTÊNCIA DE 5400 W, TENSÃO DE 220 V, PARA SOLDA COM ELETRODOS DE 2,0 A 4,0 MM E PROCESSO TIG - CHI DIURNO. AF_06/2018</v>
          </cell>
          <cell r="C590" t="str">
            <v>CHI</v>
          </cell>
          <cell r="D590">
            <v>0.11</v>
          </cell>
        </row>
        <row r="591">
          <cell r="A591" t="str">
            <v>99834</v>
          </cell>
          <cell r="B591" t="str">
            <v>LAVADORA DE ALTA PRESSAO (LAVA-JATO) PARA AGUA FRIA, PRESSAO DE OPERACAO ENTRE 1400 E 1900 LIB/POL2, VAZAO MAXIMA ENTRE 400 E 700 L/H - CHI DIURNO. AF_04/2019</v>
          </cell>
          <cell r="C591" t="str">
            <v>CHI</v>
          </cell>
          <cell r="D591">
            <v>0.16</v>
          </cell>
        </row>
        <row r="592">
          <cell r="A592" t="str">
            <v>100642</v>
          </cell>
          <cell r="B592" t="str">
            <v>USINA DE MISTURA ASFÁLTICA À QUENTE, TIPO CONTRA FLUXO, PROD 100 A 140 TON/HORA - CHI DIURNO. AF_12/2019</v>
          </cell>
          <cell r="C592" t="str">
            <v>CHI</v>
          </cell>
          <cell r="D592">
            <v>178.29</v>
          </cell>
        </row>
        <row r="593">
          <cell r="A593" t="str">
            <v>100648</v>
          </cell>
          <cell r="B593" t="str">
            <v>USINA DE ASFALTO, TIPO GRAVIMÉTRICA, PROD 150 TON/HORA - CHI DIURNO. AF_12/2019</v>
          </cell>
          <cell r="C593" t="str">
            <v>CHI</v>
          </cell>
          <cell r="D593">
            <v>428.46</v>
          </cell>
        </row>
        <row r="594">
          <cell r="A594" t="str">
            <v>102274</v>
          </cell>
          <cell r="B594" t="str">
            <v>MARTELO DEMOLIDOR ELÉTRICO, COM POTÊNCIA DE 2.000 W, 1.000 IMPACTOS POR MINUTO, PESO DE 30 KG -  CHI DIURNO. AF_01/2021</v>
          </cell>
          <cell r="C594" t="str">
            <v>H</v>
          </cell>
          <cell r="D594">
            <v>17.23</v>
          </cell>
        </row>
        <row r="595">
          <cell r="A595" t="str">
            <v>5089</v>
          </cell>
          <cell r="B595" t="str">
            <v>ROLO COMPACTADOR VIBRATÓRIO PÉ DE CARNEIRO PARA SOLOS, POTÊNCIA 80 HP, PESO OPERACIONAL SEM/COM LASTRO 7,4 / 8,8 T, LARGURA DE TRABALHO 1,68 M - MANUTENÇÃO. AF_02/2016</v>
          </cell>
          <cell r="C595" t="str">
            <v>H</v>
          </cell>
          <cell r="D595">
            <v>36.39</v>
          </cell>
        </row>
        <row r="596">
          <cell r="A596" t="str">
            <v>5627</v>
          </cell>
          <cell r="B596" t="str">
            <v>ESCAVADEIRA HIDRÁULICA SOBRE ESTEIRAS, CAÇAMBA 0,80 M3, PESO OPERACIONAL 17 T, POTENCIA BRUTA 111 HP - DEPRECIAÇÃO. AF_06/2014</v>
          </cell>
          <cell r="C596" t="str">
            <v>H</v>
          </cell>
          <cell r="D596">
            <v>47.6</v>
          </cell>
        </row>
        <row r="597">
          <cell r="A597" t="str">
            <v>5628</v>
          </cell>
          <cell r="B597" t="str">
            <v>ESCAVADEIRA HIDRÁULICA SOBRE ESTEIRAS, CAÇAMBA 0,80 M3, PESO OPERACIONAL 17 T, POTENCIA BRUTA 111 HP - JUROS. AF_06/2014</v>
          </cell>
          <cell r="C597" t="str">
            <v>H</v>
          </cell>
          <cell r="D597">
            <v>6.46</v>
          </cell>
        </row>
        <row r="598">
          <cell r="A598" t="str">
            <v>5629</v>
          </cell>
          <cell r="B598" t="str">
            <v>ESCAVADEIRA HIDRÁULICA SOBRE ESTEIRAS, CAÇAMBA 0,80 M3, PESO OPERACIONAL 17 T, POTENCIA BRUTA 111 HP - MANUTENÇÃO. AF_06/2014</v>
          </cell>
          <cell r="C598" t="str">
            <v>H</v>
          </cell>
          <cell r="D598">
            <v>59.5</v>
          </cell>
        </row>
        <row r="599">
          <cell r="A599" t="str">
            <v>5630</v>
          </cell>
          <cell r="B599" t="str">
            <v>ESCAVADEIRA HIDRÁULICA SOBRE ESTEIRAS, CAÇAMBA 0,80 M3, PESO OPERACIONAL 17 T, POTENCIA BRUTA 111 HP - MATERIAIS NA OPERAÇÃO. AF_06/2014</v>
          </cell>
          <cell r="C599" t="str">
            <v>H</v>
          </cell>
          <cell r="D599">
            <v>55.03</v>
          </cell>
        </row>
        <row r="600">
          <cell r="A600" t="str">
            <v>5658</v>
          </cell>
          <cell r="B600" t="str">
            <v>GRADE DE DISCO CONTROLE REMOTO REBOCÁVEL, COM 24 DISCOS 24 X 6 MM COM PNEUS PARA TRANSPORTE - MANUTENÇÃO. AF_06/2014</v>
          </cell>
          <cell r="C600" t="str">
            <v>H</v>
          </cell>
          <cell r="D600">
            <v>2.86</v>
          </cell>
        </row>
        <row r="601">
          <cell r="A601" t="str">
            <v>5664</v>
          </cell>
          <cell r="B601" t="str">
            <v>RETROESCAVADEIRA SOBRE RODAS COM CARREGADEIRA, TRAÇÃO 4X4, POTÊNCIA LÍQ. 88 HP, CAÇAMBA CARREG. CAP. MÍN. 1 M3, CAÇAMBA RETRO CAP. 0,26 M3, PESO OPERACIONAL MÍN. 6.674 KG, PROFUNDIDADE ESCAVAÇÃO MÁX. 4,37 M - MANUTENÇÃO. AF_06/2014</v>
          </cell>
          <cell r="C601" t="str">
            <v>H</v>
          </cell>
          <cell r="D601">
            <v>31.2</v>
          </cell>
        </row>
        <row r="602">
          <cell r="A602" t="str">
            <v>5667</v>
          </cell>
          <cell r="B602" t="str">
            <v>RETROESCAVADEIRA SOBRE RODAS COM CARREGADEIRA, TRAÇÃO 4X2, POTÊNCIA LÍQ. 79 HP, CAÇAMBA CARREG. CAP. MÍN. 1 M3, CAÇAMBA RETRO CAP. 0,20 M3, PESO OPERACIONAL MÍN. 6.570 KG, PROFUNDIDADE ESCAVAÇÃO MÁX. 4,37 M - MANUTENÇÃO. AF_06/2014</v>
          </cell>
          <cell r="C602" t="str">
            <v>H</v>
          </cell>
          <cell r="D602">
            <v>27.75</v>
          </cell>
        </row>
        <row r="603">
          <cell r="A603" t="str">
            <v>5668</v>
          </cell>
          <cell r="B603" t="str">
            <v>RETROESCAVADEIRA SOBRE RODAS COM CARREGADEIRA, TRAÇÃO 4X2, POTÊNCIA LÍQ. 79 HP, CAÇAMBA CARREG. CAP. MÍN. 1 M3, CAÇAMBA RETRO CAP. 0,20 M3, PESO OPERACIONAL MÍN. 6.570 KG, PROFUNDIDADE ESCAVAÇÃO MÁX. 4,37 M - MATERIAIS NA OPERAÇÃO. AF_06/2014</v>
          </cell>
          <cell r="C603" t="str">
            <v>H</v>
          </cell>
          <cell r="D603">
            <v>42.1</v>
          </cell>
        </row>
        <row r="604">
          <cell r="A604" t="str">
            <v>5674</v>
          </cell>
          <cell r="B604" t="str">
            <v>ROLO COMPACTADOR VIBRATÓRIO DE UM CILINDRO AÇO LISO, POTÊNCIA 80 HP, PESO OPERACIONAL MÁXIMO 8,1 T, IMPACTO DINÂMICO 16,15 / 9,5 T, LARGURA DE TRABALHO 1,68 M - MANUTENÇÃO. AF_06/2014</v>
          </cell>
          <cell r="C604" t="str">
            <v>H</v>
          </cell>
          <cell r="D604">
            <v>35</v>
          </cell>
        </row>
        <row r="605">
          <cell r="A605" t="str">
            <v>5692</v>
          </cell>
          <cell r="B605" t="str">
            <v>MOTOBOMBA CENTRÍFUGA, MOTOR A GASOLINA, POTÊNCIA 5,42 HP, BOCAIS 1 1/2" X 1", DIÂMETRO ROTOR 143 MM HM/Q = 6 MCA / 16,8 M3/H A 38 MCA / 6,6 M3/H - MANUTENÇÃO. AF_06/2014</v>
          </cell>
          <cell r="C605" t="str">
            <v>H</v>
          </cell>
          <cell r="D605">
            <v>0.23</v>
          </cell>
        </row>
        <row r="606">
          <cell r="A606" t="str">
            <v>5693</v>
          </cell>
          <cell r="B606" t="str">
            <v>MOTOBOMBA CENTRÍFUGA, MOTOR A GASOLINA, POTÊNCIA 5,42 HP, BOCAIS 1 1/2" X 1", DIÂMETRO ROTOR 143 MM HM/Q = 6 MCA / 16,8 M3/H A 38 MCA / 6,6 M3/H - MATERIAIS NA OPERAÇÃO. AF_06/2014</v>
          </cell>
          <cell r="C606" t="str">
            <v>H</v>
          </cell>
          <cell r="D606">
            <v>9.57</v>
          </cell>
        </row>
        <row r="607">
          <cell r="A607" t="str">
            <v>5695</v>
          </cell>
          <cell r="B607" t="str">
            <v>CAMINHÃO BASCULANTE 6 M3, PESO BRUTO TOTAL 16.000 KG, CARGA ÚTIL MÁXIMA 13.071 KG, DISTÂNCIA ENTRE EIXOS 4,80 M, POTÊNCIA 230 CV INCLUSIVE CAÇAMBA METÁLICA - MANUTENÇÃO. AF_06/2014</v>
          </cell>
          <cell r="C607" t="str">
            <v>H</v>
          </cell>
          <cell r="D607">
            <v>36.229999999999997</v>
          </cell>
        </row>
        <row r="608">
          <cell r="A608" t="str">
            <v>5703</v>
          </cell>
          <cell r="B608" t="str">
            <v>USINA DE CONCRETO FIXA, CAPACIDADE NOMINAL DE 90 A 120 M3/H, SEM SILO - MATERIAIS NA OPERAÇÃO. AF_07/2016</v>
          </cell>
          <cell r="C608" t="str">
            <v>H</v>
          </cell>
          <cell r="D608">
            <v>22.37</v>
          </cell>
        </row>
        <row r="609">
          <cell r="A609" t="str">
            <v>5705</v>
          </cell>
          <cell r="B609" t="str">
            <v>CAMINHÃO TOCO, PBT 16.000 KG, CARGA ÚTIL MÁX. 10.685 KG, DIST. ENTRE EIXOS 4,8 M, POTÊNCIA 189 CV, INCLUSIVE CARROCERIA FIXA ABERTA DE MADEIRA P/ TRANSPORTE GERAL DE CARGA SECA, DIMEN. APROX. 2,5 X 7,00 X 0,50 M - MANUTENÇÃO. AF_06/2014</v>
          </cell>
          <cell r="C609" t="str">
            <v>H</v>
          </cell>
          <cell r="D609">
            <v>22.53</v>
          </cell>
        </row>
        <row r="610">
          <cell r="A610" t="str">
            <v>5707</v>
          </cell>
          <cell r="B610" t="str">
            <v>USINA MISTURADORA DE SOLOS, CAPACIDADE DE 200 A 500 TON/H, POTENCIA 75KW - MANUTENÇÃO. AF_07/2016</v>
          </cell>
          <cell r="C610" t="str">
            <v>H</v>
          </cell>
          <cell r="D610">
            <v>68.150000000000006</v>
          </cell>
        </row>
        <row r="611">
          <cell r="A611" t="str">
            <v>5710</v>
          </cell>
          <cell r="B611" t="str">
            <v>VIBROACABADORA DE ASFALTO SOBRE ESTEIRAS, LARGURA DE PAVIMENTAÇÃO 1,90 M A 5,30 M, POTÊNCIA 105 HP CAPACIDADE 450 T/H - MANUTENÇÃO. AF_11/2014</v>
          </cell>
          <cell r="C611" t="str">
            <v>H</v>
          </cell>
          <cell r="D611">
            <v>177.46</v>
          </cell>
        </row>
        <row r="612">
          <cell r="A612" t="str">
            <v>5711</v>
          </cell>
          <cell r="B612" t="str">
            <v>VIBROACABADORA DE ASFALTO SOBRE ESTEIRAS, LARGURA DE PAVIMENTAÇÃO 1,90 M A 5,30 M, POTÊNCIA 105 HP CAPACIDADE 450 T/H - MATERIAIS NA OPERAÇÃO. AF_11/2014</v>
          </cell>
          <cell r="C612" t="str">
            <v>H</v>
          </cell>
          <cell r="D612">
            <v>76.03</v>
          </cell>
        </row>
        <row r="613">
          <cell r="A613" t="str">
            <v>5714</v>
          </cell>
          <cell r="B613" t="str">
            <v>TRATOR DE PNEUS, POTÊNCIA 85 CV, TRAÇÃO 4X4, PESO COM LASTRO DE 4.675 KG - MANUTENÇÃO. AF_06/2014</v>
          </cell>
          <cell r="C613" t="str">
            <v>H</v>
          </cell>
          <cell r="D613">
            <v>12.82</v>
          </cell>
        </row>
        <row r="614">
          <cell r="A614" t="str">
            <v>5715</v>
          </cell>
          <cell r="B614" t="str">
            <v>TRATOR DE PNEUS, POTÊNCIA 85 CV, TRAÇÃO 4X4, PESO COM LASTRO DE 4.675 KG - MATERIAIS NA OPERAÇÃO. AF_06/2014</v>
          </cell>
          <cell r="C614" t="str">
            <v>H</v>
          </cell>
          <cell r="D614">
            <v>102.3</v>
          </cell>
        </row>
        <row r="615">
          <cell r="A615" t="str">
            <v>5718</v>
          </cell>
          <cell r="B615" t="str">
            <v>TRATOR DE ESTEIRAS, POTÊNCIA 170 HP, PESO OPERACIONAL 19 T, CAÇAMBA 5,2 M3 - MATERIAIS NA OPERAÇÃO. AF_06/2014</v>
          </cell>
          <cell r="C615" t="str">
            <v>H</v>
          </cell>
          <cell r="D615">
            <v>90.75</v>
          </cell>
        </row>
        <row r="616">
          <cell r="A616" t="str">
            <v>5721</v>
          </cell>
          <cell r="B616" t="str">
            <v>TRATOR DE ESTEIRAS, POTÊNCIA 150 HP, PESO OPERACIONAL 16,7 T, COM RODA MOTRIZ ELEVADA E LÂMINA 3,18 M3 - MATERIAIS NA OPERAÇÃO. AF_06/2014</v>
          </cell>
          <cell r="C616" t="str">
            <v>H</v>
          </cell>
          <cell r="D616">
            <v>80.069999999999993</v>
          </cell>
        </row>
        <row r="617">
          <cell r="A617" t="str">
            <v>5722</v>
          </cell>
          <cell r="B617" t="str">
            <v>TRATOR DE ESTEIRAS, POTÊNCIA 347 HP, PESO OPERACIONAL 38,5 T, COM LÂMINA 8,70 M3 - MATERIAIS NA OPERAÇÃO. AF_06/2014</v>
          </cell>
          <cell r="C617" t="str">
            <v>H</v>
          </cell>
          <cell r="D617">
            <v>185.18</v>
          </cell>
        </row>
        <row r="618">
          <cell r="A618" t="str">
            <v>5724</v>
          </cell>
          <cell r="B618" t="str">
            <v>TRATOR DE ESTEIRAS, POTÊNCIA 100 HP, PESO OPERACIONAL 9,4 T, COM LÂMINA 2,19 M3 - MANUTENÇÃO. AF_06/2014</v>
          </cell>
          <cell r="C618" t="str">
            <v>H</v>
          </cell>
          <cell r="D618">
            <v>47.43</v>
          </cell>
        </row>
        <row r="619">
          <cell r="A619" t="str">
            <v>5727</v>
          </cell>
          <cell r="B619" t="str">
            <v>ROLO COMPACTADOR VIBRATÓRIO REBOCÁVEL, CILINDRO DE AÇO LISO, POTÊNCIA DE TRAÇÃO DE 65 CV, PESO 4,7 T, IMPACTO DINÂMICO 18,3 T, LARGURA DE TRABALHO 1,67 M - MANUTENÇÃO. AF_02/2016</v>
          </cell>
          <cell r="C619" t="str">
            <v>H</v>
          </cell>
          <cell r="D619">
            <v>10.56</v>
          </cell>
        </row>
        <row r="620">
          <cell r="A620" t="str">
            <v>5729</v>
          </cell>
          <cell r="B620" t="str">
            <v>ROLO COMPACTADOR VIBRATÓRIO TANDEM AÇO LISO, POTÊNCIA 58 HP, PESO SEM/COM LASTRO 6,5 / 9,4 T, LARGURA DE TRABALHO 1,2 M - MANUTENÇÃO. AF_06/2014</v>
          </cell>
          <cell r="C620" t="str">
            <v>H</v>
          </cell>
          <cell r="D620">
            <v>42.98</v>
          </cell>
        </row>
        <row r="621">
          <cell r="A621" t="str">
            <v>5730</v>
          </cell>
          <cell r="B621" t="str">
            <v>ROLO COMPACTADOR VIBRATÓRIO TANDEM AÇO LISO, POTÊNCIA 58 HP, PESO SEM/COM LASTRO 6,5 / 9,4 T, LARGURA DE TRABALHO 1,2 M - MATERIAIS NA OPERAÇÃO. AF_06/2014</v>
          </cell>
          <cell r="C621" t="str">
            <v>H</v>
          </cell>
          <cell r="D621">
            <v>35.36</v>
          </cell>
        </row>
        <row r="622">
          <cell r="A622" t="str">
            <v>5735</v>
          </cell>
          <cell r="B622" t="str">
            <v>RETROESCAVADEIRA SOBRE RODAS COM CARREGADEIRA, TRAÇÃO 4X4, POTÊNCIA LÍQ. 72 HP, CAÇAMBA CARREG. CAP. MÍN. 0,79 M3, CAÇAMBA RETRO CAP. 0,18 M3, PESO OPERACIONAL MÍN. 7.140 KG, PROFUNDIDADE ESCAVAÇÃO MÁX. 4,50 M - MANUTENÇÃO. AF_06/2014</v>
          </cell>
          <cell r="C622" t="str">
            <v>H</v>
          </cell>
          <cell r="D622">
            <v>30.1</v>
          </cell>
        </row>
        <row r="623">
          <cell r="A623" t="str">
            <v>5736</v>
          </cell>
          <cell r="B623" t="str">
            <v>RETROESCAVADEIRA SOBRE RODAS COM CARREGADEIRA, TRAÇÃO 4X4, POTÊNCIA LÍQ. 72 HP, CAÇAMBA CARREG. CAP. MÍN. 0,79 M3, CAÇAMBA RETRO CAP. 0,18 M3, PESO OPERACIONAL MÍN. 7.140 KG, PROFUNDIDADE ESCAVAÇÃO MÁX. 4,50 M - MATERIAIS NA OPERAÇÃO. AF_06/2014</v>
          </cell>
          <cell r="C623" t="str">
            <v>H</v>
          </cell>
          <cell r="D623">
            <v>38.630000000000003</v>
          </cell>
        </row>
        <row r="624">
          <cell r="A624" t="str">
            <v>5738</v>
          </cell>
          <cell r="B624" t="str">
            <v>ROLO COMPACTADOR VIBRATÓRIO PÉ DE CARNEIRO, OPERADO POR CONTROLE REMOTO, POTÊNCIA 12,5 KW, PESO OPERACIONAL 1,675 T, LARGURA DE TRABALHO 0,85 M - DEPRECIAÇÃO. AF_02/2016</v>
          </cell>
          <cell r="C624" t="str">
            <v>H</v>
          </cell>
          <cell r="D624">
            <v>38.22</v>
          </cell>
        </row>
        <row r="625">
          <cell r="A625" t="str">
            <v>5739</v>
          </cell>
          <cell r="B625" t="str">
            <v>ROLO COMPACTADOR VIBRATÓRIO PÉ DE CARNEIRO, OPERADO POR CONTROLE REMOTO, POTÊNCIA 12,5 KW, PESO OPERACIONAL 1,675 T, LARGURA DE TRABALHO 0,85 M - MANUTENÇÃO. AF_02/2016</v>
          </cell>
          <cell r="C625" t="str">
            <v>H</v>
          </cell>
          <cell r="D625">
            <v>47.83</v>
          </cell>
        </row>
        <row r="626">
          <cell r="A626" t="str">
            <v>5741</v>
          </cell>
          <cell r="B626" t="str">
            <v>USINA DE LAMA ASFÁLTICA, PROD 30 A 50 T/H, SILO DE AGREGADO 7 M3, RESERVATÓRIOS PARA EMULSÃO E ÁGUA DE 2,3 M3 CADA, MISTURADOR TIPO PUG MILL A SER MONTADO SOBRE CAMINHÃO - MANUTENÇÃO. AF_10/2014</v>
          </cell>
          <cell r="C626" t="str">
            <v>H</v>
          </cell>
          <cell r="D626">
            <v>39.01</v>
          </cell>
        </row>
        <row r="627">
          <cell r="A627" t="str">
            <v>5742</v>
          </cell>
          <cell r="B627" t="str">
            <v>USINA DE LAMA ASFÁLTICA, PROD 30 A 50 T/H, SILO DE AGREGADO 7 M3, RESERVATÓRIOS PARA EMULSÃO E ÁGUA DE 2,3 M3 CADA, MISTURADOR TIPO PUG MILL A SER MONTADO SOBRE CAMINHÃO - MATERIAIS NA OPERAÇÃO. AF_10/2014</v>
          </cell>
          <cell r="C627" t="str">
            <v>H</v>
          </cell>
          <cell r="D627">
            <v>23.55</v>
          </cell>
        </row>
        <row r="628">
          <cell r="A628" t="str">
            <v>5747</v>
          </cell>
          <cell r="B628" t="str">
            <v>CAMINHÃO PIPA 6.000 L, PESO BRUTO TOTAL 13.000 KG, DISTÂNCIA ENTRE EIXOS 4,80 M, POTÊNCIA 189 CV INCLUSIVE TANQUE DE AÇO PARA TRANSPORTE DE ÁGUA, CAPACIDADE 6 M3 - MATERIAIS NA OPERAÇÃO. AF_06/2014</v>
          </cell>
          <cell r="C628" t="str">
            <v>H</v>
          </cell>
          <cell r="D628">
            <v>135.05000000000001</v>
          </cell>
        </row>
        <row r="629">
          <cell r="A629" t="str">
            <v>5751</v>
          </cell>
          <cell r="B629" t="str">
            <v>CAMINHÃO TOCO, PESO BRUTO TOTAL 14.300 KG, CARGA ÚTIL MÁXIMA 9590 KG, DISTÂNCIA ENTRE EIXOS 4,76 M, POTÊNCIA 185 CV (NÃO INCLUI CARROCERIA) - MANUTENÇÃO. AF_06/2014</v>
          </cell>
          <cell r="C629" t="str">
            <v>H</v>
          </cell>
          <cell r="D629">
            <v>24.69</v>
          </cell>
        </row>
        <row r="630">
          <cell r="A630" t="str">
            <v>5754</v>
          </cell>
          <cell r="B630" t="str">
            <v>CAMINHÃO TOCO, PESO BRUTO TOTAL 16.000 KG, CARGA ÚTIL MÁXIMA DE 10.685 KG, DISTÂNCIA ENTRE EIXOS 4,80 M, POTÊNCIA 189 CV EXCLUSIVE CARROCERIA - MANUTENÇÃO. AF_06/2014</v>
          </cell>
          <cell r="C630" t="str">
            <v>H</v>
          </cell>
          <cell r="D630">
            <v>20.79</v>
          </cell>
        </row>
        <row r="631">
          <cell r="A631" t="str">
            <v>5763</v>
          </cell>
          <cell r="B631" t="str">
            <v>CAMINHÃO PIPA 10.000 L TRUCADO, PESO BRUTO TOTAL 23.000 KG, CARGA ÚTIL MÁXIMA 15.935 KG, DISTÂNCIA ENTRE EIXOS 4,8 M, POTÊNCIA 230 CV, INCLUSIVE TANQUE DE AÇO PARA TRANSPORTE DE ÁGUA - MANUTENÇÃO. AF_06/2014</v>
          </cell>
          <cell r="C631" t="str">
            <v>H</v>
          </cell>
          <cell r="D631">
            <v>36.04</v>
          </cell>
        </row>
        <row r="632">
          <cell r="A632" t="str">
            <v>5765</v>
          </cell>
          <cell r="B632" t="str">
            <v>ESPARGIDOR DE ASFALTO PRESSURIZADO COM TANQUE DE 2500 L, REBOCÁVEL COM MOTOR A GASOLINA POTÊNCIA 3,4 HP - MANUTENÇÃO. AF_07/2014</v>
          </cell>
          <cell r="C632" t="str">
            <v>H</v>
          </cell>
          <cell r="D632">
            <v>2.75</v>
          </cell>
        </row>
        <row r="633">
          <cell r="A633" t="str">
            <v>5766</v>
          </cell>
          <cell r="B633" t="str">
            <v>ESPARGIDOR DE ASFALTO PRESSURIZADO COM TANQUE DE 2500 L, REBOCÁVEL COM MOTOR A GASOLINA POTÊNCIA 3,4 HP - MATERIAIS NA OPERAÇÃO. AF_07/2014</v>
          </cell>
          <cell r="C633" t="str">
            <v>H</v>
          </cell>
          <cell r="D633">
            <v>4.78</v>
          </cell>
        </row>
        <row r="634">
          <cell r="A634" t="str">
            <v>5779</v>
          </cell>
          <cell r="B634" t="str">
            <v>MOTONIVELADORA POTÊNCIA BÁSICA LÍQUIDA (PRIMEIRA MARCHA) 125 HP, PESO BRUTO 13032 KG, LARGURA DA LÂMINA DE 3,7 M - MANUTENÇÃO. AF_06/2014</v>
          </cell>
          <cell r="C634" t="str">
            <v>H</v>
          </cell>
          <cell r="D634">
            <v>65.58</v>
          </cell>
        </row>
        <row r="635">
          <cell r="A635" t="str">
            <v>5787</v>
          </cell>
          <cell r="B635" t="str">
            <v>PÁ CARREGADEIRA SOBRE RODAS, POTÊNCIA 197 HP, CAPACIDADE DA CAÇAMBA 2,5 A 3,5 M3, PESO OPERACIONAL 18338 KG - MATERIAIS NA OPERAÇÃO. AF_06/2014</v>
          </cell>
          <cell r="C635" t="str">
            <v>H</v>
          </cell>
          <cell r="D635">
            <v>60.09</v>
          </cell>
        </row>
        <row r="636">
          <cell r="A636" t="str">
            <v>5797</v>
          </cell>
          <cell r="B636" t="str">
            <v>COMPRESSOR DE AR REBOCÁVEL, VAZÃO 189 PCM, PRESSÃO EFETIVA DE TRABALHO 102 PSI, MOTOR DIESEL, POTÊNCIA 63 CV - MANUTENÇÃO. AF_06/2015</v>
          </cell>
          <cell r="C636" t="str">
            <v>H</v>
          </cell>
          <cell r="D636">
            <v>4.32</v>
          </cell>
        </row>
        <row r="637">
          <cell r="A637" t="str">
            <v>5800</v>
          </cell>
          <cell r="B637" t="str">
            <v>BOMBA SUBMERSÍVEL ELÉTRICA TRIFÁSICA, POTÊNCIA 2,96 HP, Ø ROTOR 144 MM SEMI-ABERTO, BOCAL DE SAÍDA Ø 2, HM/Q = 2 MCA / 38,8 M3/H A 28 MCA / 5 M3/H - MANUTENÇÃO. AF_06/2014</v>
          </cell>
          <cell r="C637" t="str">
            <v>H</v>
          </cell>
          <cell r="D637">
            <v>0.3</v>
          </cell>
        </row>
        <row r="638">
          <cell r="A638" t="str">
            <v>7032</v>
          </cell>
          <cell r="B638" t="str">
            <v>TANQUE DE ASFALTO ESTACIONÁRIO COM SERPENTINA, CAPACIDADE 30.000 L - DEPRECIAÇÃO. AF_06/2014</v>
          </cell>
          <cell r="C638" t="str">
            <v>H</v>
          </cell>
          <cell r="D638">
            <v>4.88</v>
          </cell>
        </row>
        <row r="639">
          <cell r="A639" t="str">
            <v>7033</v>
          </cell>
          <cell r="B639" t="str">
            <v>TANQUE DE ASFALTO ESTACIONÁRIO COM SERPENTINA, CAPACIDADE 30.000 L - JUROS. AF_06/2014</v>
          </cell>
          <cell r="C639" t="str">
            <v>H</v>
          </cell>
          <cell r="D639">
            <v>0.81</v>
          </cell>
        </row>
        <row r="640">
          <cell r="A640" t="str">
            <v>7034</v>
          </cell>
          <cell r="B640" t="str">
            <v>TANQUE DE ASFALTO ESTACIONÁRIO COM SERPENTINA, CAPACIDADE 30.000 L - MANUTENÇÃO. AF_06/2014</v>
          </cell>
          <cell r="C640" t="str">
            <v>H</v>
          </cell>
          <cell r="D640">
            <v>9.16</v>
          </cell>
        </row>
        <row r="641">
          <cell r="A641" t="str">
            <v>7035</v>
          </cell>
          <cell r="B641" t="str">
            <v>TANQUE DE ASFALTO ESTACIONÁRIO COM SERPENTINA, CAPACIDADE 30.000 L - MATERIAIS NA OPERAÇÃO. AF_06/2014</v>
          </cell>
          <cell r="C641" t="str">
            <v>H</v>
          </cell>
          <cell r="D641">
            <v>182.51</v>
          </cell>
        </row>
        <row r="642">
          <cell r="A642" t="str">
            <v>7038</v>
          </cell>
          <cell r="B642" t="str">
            <v>ROLO COMPACTADOR DE PNEUS ESTÁTICO, PRESSÃO VARIÁVEL, POTÊNCIA 111 HP, PESO SEM/COM LASTRO 9,5 / 26 T, LARGURA DE TRABALHO 1,90 M - DEPRECIAÇÃO. AF_07/2014</v>
          </cell>
          <cell r="C642" t="str">
            <v>H</v>
          </cell>
          <cell r="D642">
            <v>43.72</v>
          </cell>
        </row>
        <row r="643">
          <cell r="A643" t="str">
            <v>7039</v>
          </cell>
          <cell r="B643" t="str">
            <v>ROLO COMPACTADOR DE PNEUS ESTÁTICO, PRESSÃO VARIÁVEL, POTÊNCIA 111 HP, PESO SEM/COM LASTRO 9,5 / 26 T, LARGURA DE TRABALHO 1,90 M - JUROS. AF_07/2014</v>
          </cell>
          <cell r="C643" t="str">
            <v>H</v>
          </cell>
          <cell r="D643">
            <v>6.07</v>
          </cell>
        </row>
        <row r="644">
          <cell r="A644" t="str">
            <v>7040</v>
          </cell>
          <cell r="B644" t="str">
            <v>ROLO COMPACTADOR DE PNEUS ESTÁTICO, PRESSÃO VARIÁVEL, POTÊNCIA 111 HP, PESO SEM/COM LASTRO 9,5 / 26 T, LARGURA DE TRABALHO 1,90 M - MANUTENÇÃO. AF_07/2014</v>
          </cell>
          <cell r="C644" t="str">
            <v>H</v>
          </cell>
          <cell r="D644">
            <v>54.71</v>
          </cell>
        </row>
        <row r="645">
          <cell r="A645" t="str">
            <v>7044</v>
          </cell>
          <cell r="B645" t="str">
            <v>MOTOBOMBA TRASH (PARA ÁGUA SUJA) AUTO ESCORVANTE, MOTOR GASOLINA DE 6,41 HP, DIÂMETROS DE SUCÇÃO X RECALQUE: 3" X 3", HM/Q = 10 MCA / 60 M3/H A 23 MCA / 0 M3/H - DEPRECIAÇÃO. AF_10/2014</v>
          </cell>
          <cell r="C645" t="str">
            <v>H</v>
          </cell>
          <cell r="D645">
            <v>0.26</v>
          </cell>
        </row>
        <row r="646">
          <cell r="A646" t="str">
            <v>7045</v>
          </cell>
          <cell r="B646" t="str">
            <v>MOTOBOMBA TRASH (PARA ÁGUA SUJA) AUTO ESCORVANTE, MOTOR GASOLINA DE 6,41 HP, DIÂMETROS DE SUCÇÃO X RECALQUE: 3" X 3", HM/Q = 10 MCA / 60 M3/H A 23 MCA / 0 M3/H - JUROS. AF_10/2014</v>
          </cell>
          <cell r="C646" t="str">
            <v>H</v>
          </cell>
          <cell r="D646">
            <v>0.03</v>
          </cell>
        </row>
        <row r="647">
          <cell r="A647" t="str">
            <v>7046</v>
          </cell>
          <cell r="B647" t="str">
            <v>MOTOBOMBA TRASH (PARA ÁGUA SUJA) AUTO ESCORVANTE, MOTOR GASOLINA DE 6,41 HP, DIÂMETROS DE SUCÇÃO X RECALQUE: 3" X 3", HM/Q = 10 MCA / 60 M3/H A 23 MCA / 0 M3/H - MANUTENÇÃO. AF_10/2014</v>
          </cell>
          <cell r="C647" t="str">
            <v>H</v>
          </cell>
          <cell r="D647">
            <v>0.28999999999999998</v>
          </cell>
        </row>
        <row r="648">
          <cell r="A648" t="str">
            <v>7047</v>
          </cell>
          <cell r="B648" t="str">
            <v>MOTOBOMBA TRASH (PARA ÁGUA SUJA) AUTO ESCORVANTE, MOTOR GASOLINA DE 6,41 HP, DIÂMETROS DE SUCÇÃO X RECALQUE: 3" X 3", HM/Q = 10 MCA / 60 M3/H A 23 MCA / 0 M3/H - MATERIAIS NA OPERAÇÃO. AF_10/2014</v>
          </cell>
          <cell r="C648" t="str">
            <v>H</v>
          </cell>
          <cell r="D648">
            <v>11.25</v>
          </cell>
        </row>
        <row r="649">
          <cell r="A649" t="str">
            <v>7051</v>
          </cell>
          <cell r="B649" t="str">
            <v>ROLO COMPACTADOR PE DE CARNEIRO VIBRATORIO, POTENCIA 125 HP, PESO OPERACIONAL SEM/COM LASTRO 11,95 / 13,30 T, IMPACTO DINAMICO 38,5 / 22,5 T, LARGURA DE TRABALHO 2,15 M - DEPRECIAÇÃO. AF_06/2014</v>
          </cell>
          <cell r="C649" t="str">
            <v>H</v>
          </cell>
          <cell r="D649">
            <v>38.78</v>
          </cell>
        </row>
        <row r="650">
          <cell r="A650" t="str">
            <v>7052</v>
          </cell>
          <cell r="B650" t="str">
            <v>ROLO COMPACTADOR PE DE CARNEIRO VIBRATORIO, POTENCIA 125 HP, PESO OPERACIONAL SEM/COM LASTRO 11,95 / 13,30 T, IMPACTO DINAMICO 38,5 / 22,5 T, LARGURA DE TRABALHO 2,15 M - JUROS. AF_06/2014</v>
          </cell>
          <cell r="C650" t="str">
            <v>H</v>
          </cell>
          <cell r="D650">
            <v>5.38</v>
          </cell>
        </row>
        <row r="651">
          <cell r="A651" t="str">
            <v>7053</v>
          </cell>
          <cell r="B651" t="str">
            <v>ROLO COMPACTADOR PE DE CARNEIRO VIBRATORIO, POTENCIA 125 HP, PESO OPERACIONAL SEM/COM LASTRO 11,95 / 13,30 T, IMPACTO DINAMICO 38,5 / 22,5 T, LARGURA DE TRABALHO 2,15 M - MANUTENÇÃO. AF_06/2014</v>
          </cell>
          <cell r="C651" t="str">
            <v>H</v>
          </cell>
          <cell r="D651">
            <v>48.53</v>
          </cell>
        </row>
        <row r="652">
          <cell r="A652" t="str">
            <v>7054</v>
          </cell>
          <cell r="B652" t="str">
            <v>ROLO COMPACTADOR PE DE CARNEIRO VIBRATORIO, POTENCIA 125 HP, PESO OPERACIONAL SEM/COM LASTRO 11,95 / 13,30 T, IMPACTO DINAMICO 38,5 / 22,5 T, LARGURA DE TRABALHO 2,15 M - MATERIAIS NA OPERAÇÃO. AF_06/2014</v>
          </cell>
          <cell r="C652" t="str">
            <v>H</v>
          </cell>
          <cell r="D652">
            <v>76.239999999999995</v>
          </cell>
        </row>
        <row r="653">
          <cell r="A653" t="str">
            <v>7058</v>
          </cell>
          <cell r="B653" t="str">
            <v>CAMINHÃO BASCULANTE 6 M3 TOCO, PESO BRUTO TOTAL 16.000 KG, CARGA ÚTIL MÁXIMA 11.130 KG, DISTÂNCIA ENTRE EIXOS 5,36 M, POTÊNCIA 185 CV, INCLUSIVE CAÇAMBA METÁLICA - DEPRECIAÇÃO. AF_06/2014</v>
          </cell>
          <cell r="C653" t="str">
            <v>H</v>
          </cell>
          <cell r="D653">
            <v>18.440000000000001</v>
          </cell>
        </row>
        <row r="654">
          <cell r="A654" t="str">
            <v>7059</v>
          </cell>
          <cell r="B654" t="str">
            <v>CAMINHÃO BASCULANTE 6 M3 TOCO, PESO BRUTO TOTAL 16.000 KG, CARGA ÚTIL MÁXIMA 11.130 KG, DISTÂNCIA ENTRE EIXOS 5,36 M, POTÊNCIA 185 CV, INCLUSIVE CAÇAMBA METÁLICA - JUROS. AF_06/2014</v>
          </cell>
          <cell r="C654" t="str">
            <v>H</v>
          </cell>
          <cell r="D654">
            <v>3.41</v>
          </cell>
        </row>
        <row r="655">
          <cell r="A655" t="str">
            <v>7060</v>
          </cell>
          <cell r="B655" t="str">
            <v>CAMINHÃO BASCULANTE 6 M3 TOCO, PESO BRUTO TOTAL 16.000 KG, CARGA ÚTIL MÁXIMA 11.130 KG, DISTÂNCIA ENTRE EIXOS 5,36 M, POTÊNCIA 185 CV, INCLUSIVE CAÇAMBA METÁLICA - MANUTENÇÃO. AF_06/2014</v>
          </cell>
          <cell r="C655" t="str">
            <v>H</v>
          </cell>
          <cell r="D655">
            <v>34.6</v>
          </cell>
        </row>
        <row r="656">
          <cell r="A656" t="str">
            <v>7061</v>
          </cell>
          <cell r="B656" t="str">
            <v>CAMINHÃO BASCULANTE 6 M3 TOCO, PESO BRUTO TOTAL 16.000 KG, CARGA ÚTIL MÁXIMA 11.130 KG, DISTÂNCIA ENTRE EIXOS 5,36 M, POTÊNCIA 185 CV, INCLUSIVE CAÇAMBA METÁLICA - MATERIAIS NA OPERAÇÃO. AF_06/2014</v>
          </cell>
          <cell r="C656" t="str">
            <v>H</v>
          </cell>
          <cell r="D656">
            <v>69.59</v>
          </cell>
        </row>
        <row r="657">
          <cell r="A657" t="str">
            <v>7063</v>
          </cell>
          <cell r="B657" t="str">
            <v>TRATOR DE PNEUS, POTÊNCIA 122 CV, TRAÇÃO 4X4, PESO COM LASTRO DE 4.510 KG - DEPRECIAÇÃO. AF_06/2014</v>
          </cell>
          <cell r="C657" t="str">
            <v>H</v>
          </cell>
          <cell r="D657">
            <v>15.99</v>
          </cell>
        </row>
        <row r="658">
          <cell r="A658" t="str">
            <v>7064</v>
          </cell>
          <cell r="B658" t="str">
            <v>TRATOR DE PNEUS, POTÊNCIA 122 CV, TRAÇÃO 4X4, PESO COM LASTRO DE 4.510 KG - JUROS. AF_06/2014</v>
          </cell>
          <cell r="C658" t="str">
            <v>H</v>
          </cell>
          <cell r="D658">
            <v>2.2200000000000002</v>
          </cell>
        </row>
        <row r="659">
          <cell r="A659" t="str">
            <v>7065</v>
          </cell>
          <cell r="B659" t="str">
            <v>TRATOR DE PNEUS, POTÊNCIA 122 CV, TRAÇÃO 4X4, PESO COM LASTRO DE 4.510 KG - MANUTENÇÃO. AF_06/2014</v>
          </cell>
          <cell r="C659" t="str">
            <v>H</v>
          </cell>
          <cell r="D659">
            <v>17.5</v>
          </cell>
        </row>
        <row r="660">
          <cell r="A660" t="str">
            <v>7066</v>
          </cell>
          <cell r="B660" t="str">
            <v>TRATOR DE PNEUS, POTÊNCIA 122 CV, TRAÇÃO 4X4, PESO COM LASTRO DE 4.510 KG - MATERIAIS NA OPERAÇÃO. AF_06/2014</v>
          </cell>
          <cell r="C660" t="str">
            <v>H</v>
          </cell>
          <cell r="D660">
            <v>146.81</v>
          </cell>
        </row>
        <row r="661">
          <cell r="A661" t="str">
            <v>53786</v>
          </cell>
          <cell r="B661" t="str">
            <v>RETROESCAVADEIRA SOBRE RODAS COM CARREGADEIRA, TRAÇÃO 4X4, POTÊNCIA LÍQ. 88 HP, CAÇAMBA CARREG. CAP. MÍN. 1 M3, CAÇAMBA RETRO CAP. 0,26 M3, PESO OPERACIONAL MÍN. 6.674 KG, PROFUNDIDADE ESCAVAÇÃO MÁX. 4,37 M - MATERIAIS NA OPERAÇÃO. AF_06/2014</v>
          </cell>
          <cell r="C661" t="str">
            <v>H</v>
          </cell>
          <cell r="D661">
            <v>45.58</v>
          </cell>
        </row>
        <row r="662">
          <cell r="A662" t="str">
            <v>53788</v>
          </cell>
          <cell r="B662" t="str">
            <v>ROLO COMPACTADOR VIBRATÓRIO DE UM CILINDRO AÇO LISO, POTÊNCIA 80 HP, PESO OPERACIONAL MÁXIMO 8,1 T, IMPACTO DINÂMICO 16,15 / 9,5 T, LARGURA DE TRABALHO 1,68 M - MATERIAIS NA OPERAÇÃO. AF_06/2014</v>
          </cell>
          <cell r="C662" t="str">
            <v>H</v>
          </cell>
          <cell r="D662">
            <v>48.8</v>
          </cell>
        </row>
        <row r="663">
          <cell r="A663" t="str">
            <v>53792</v>
          </cell>
          <cell r="B663" t="str">
            <v>CAMINHÃO BASCULANTE 6 M3, PESO BRUTO TOTAL 16.000 KG, CARGA ÚTIL MÁXIMA 13.071 KG, DISTÂNCIA ENTRE EIXOS 4,80 M, POTÊNCIA 230 CV INCLUSIVE CAÇAMBA METÁLICA - MATERIAIS NA OPERAÇÃO. AF_06/2014</v>
          </cell>
          <cell r="C663" t="str">
            <v>H</v>
          </cell>
          <cell r="D663">
            <v>86.51</v>
          </cell>
        </row>
        <row r="664">
          <cell r="A664" t="str">
            <v>53794</v>
          </cell>
          <cell r="B664" t="str">
            <v>USINA DE CONCRETO FIXA, CAPACIDADE NOMINAL DE 90 A 120 M3/H, SEM SILO - MANUTENÇÃO. AF_07/2016</v>
          </cell>
          <cell r="C664" t="str">
            <v>H</v>
          </cell>
          <cell r="D664">
            <v>35</v>
          </cell>
        </row>
        <row r="665">
          <cell r="A665" t="str">
            <v>53797</v>
          </cell>
          <cell r="B665" t="str">
            <v>CAMINHÃO TOCO, PBT 16.000 KG, CARGA ÚTIL MÁX. 10.685 KG, DIST. ENTRE EIXOS 4,8 M, POTÊNCIA 189 CV, INCLUSIVE CARROCERIA FIXA ABERTA DE MADEIRA P/ TRANSPORTE GERAL DE CARGA SECA, DIMEN. APROX. 2,5 X 7,00 X 0,50 M - MATERIAIS NA OPERAÇÃO. AF_06/2014</v>
          </cell>
          <cell r="C665" t="str">
            <v>H</v>
          </cell>
          <cell r="D665">
            <v>99.49</v>
          </cell>
        </row>
        <row r="666">
          <cell r="A666" t="str">
            <v>53804</v>
          </cell>
          <cell r="B666" t="str">
            <v>VASSOURA MECÂNICA REBOCÁVEL COM ESCOVA CILÍNDRICA, LARGURA ÚTIL DE VARRIMENTO DE 2,44 M - MANUTENÇÃO. AF_06/2014</v>
          </cell>
          <cell r="C666" t="str">
            <v>H</v>
          </cell>
          <cell r="D666">
            <v>5.96</v>
          </cell>
        </row>
        <row r="667">
          <cell r="A667" t="str">
            <v>53806</v>
          </cell>
          <cell r="B667" t="str">
            <v>TRATOR DE ESTEIRAS, POTÊNCIA 170 HP, PESO OPERACIONAL 19 T, CAÇAMBA 5,2 M3 - MANUTENÇÃO. AF_06/2014</v>
          </cell>
          <cell r="C667" t="str">
            <v>H</v>
          </cell>
          <cell r="D667">
            <v>61.12</v>
          </cell>
        </row>
        <row r="668">
          <cell r="A668" t="str">
            <v>53810</v>
          </cell>
          <cell r="B668" t="str">
            <v>TRATOR DE ESTEIRAS, POTÊNCIA 150 HP, PESO OPERACIONAL 16,7 T, COM RODA MOTRIZ ELEVADA E LÂMINA 3,18 M3 - MANUTENÇÃO. AF_06/2014</v>
          </cell>
          <cell r="C668" t="str">
            <v>H</v>
          </cell>
          <cell r="D668">
            <v>61.49</v>
          </cell>
        </row>
        <row r="669">
          <cell r="A669" t="str">
            <v>53814</v>
          </cell>
          <cell r="B669" t="str">
            <v>TRATOR DE ESTEIRAS, POTÊNCIA 347 HP, PESO OPERACIONAL 38,5 T, COM LÂMINA 8,70 M3 - MANUTENÇÃO. AF_06/2014</v>
          </cell>
          <cell r="C669" t="str">
            <v>H</v>
          </cell>
          <cell r="D669">
            <v>201.43</v>
          </cell>
        </row>
        <row r="670">
          <cell r="A670" t="str">
            <v>53817</v>
          </cell>
          <cell r="B670" t="str">
            <v>TRATOR DE ESTEIRAS, POTÊNCIA 100 HP, PESO OPERACIONAL 9,4 T, COM LÂMINA 2,19 M3 - MATERIAIS NA OPERAÇÃO. AF_06/2014</v>
          </cell>
          <cell r="C670" t="str">
            <v>H</v>
          </cell>
          <cell r="D670">
            <v>53.34</v>
          </cell>
        </row>
        <row r="671">
          <cell r="A671" t="str">
            <v>53818</v>
          </cell>
          <cell r="B671" t="str">
            <v>ROLO COMPACTADOR VIBRATÓRIO REBOCÁVEL, CILINDRO DE AÇO LISO, POTÊNCIA DE TRAÇÃO DE 65 CV, PESO 4,7 T, IMPACTO DINÂMICO 18,3 T, LARGURA DE TRABALHO 1,67 M - DEPRECIAÇÃO. AF_02/2016</v>
          </cell>
          <cell r="C671" t="str">
            <v>H</v>
          </cell>
          <cell r="D671">
            <v>8.44</v>
          </cell>
        </row>
        <row r="672">
          <cell r="A672" t="str">
            <v>53827</v>
          </cell>
          <cell r="B672" t="str">
            <v>CAMINHÃO TOCO, PESO BRUTO TOTAL 14.300 KG, CARGA ÚTIL MÁXIMA 9590 KG, DISTÂNCIA ENTRE EIXOS 4,76 M, POTÊNCIA 185 CV (NÃO INCLUI CARROCERIA) - MATERIAIS NA OPERAÇÃO. AF_06/2014</v>
          </cell>
          <cell r="C672" t="str">
            <v>H</v>
          </cell>
          <cell r="D672">
            <v>97.39</v>
          </cell>
        </row>
        <row r="673">
          <cell r="A673" t="str">
            <v>53829</v>
          </cell>
          <cell r="B673" t="str">
            <v>CAMINHÃO TOCO, PESO BRUTO TOTAL 16.000 KG, CARGA ÚTIL MÁXIMA DE 10.685 KG, DISTÂNCIA ENTRE EIXOS 4,80 M, POTÊNCIA 189 CV EXCLUSIVE CARROCERIA - MATERIAIS NA OPERAÇÃO. AF_06/2014</v>
          </cell>
          <cell r="C673" t="str">
            <v>H</v>
          </cell>
          <cell r="D673">
            <v>99.49</v>
          </cell>
        </row>
        <row r="674">
          <cell r="A674" t="str">
            <v>53831</v>
          </cell>
          <cell r="B674" t="str">
            <v>CAMINHÃO PIPA 10.000 L TRUCADO, PESO BRUTO TOTAL 23.000 KG, CARGA ÚTIL MÁXIMA 15.935 KG, DISTÂNCIA ENTRE EIXOS 4,8 M, POTÊNCIA 230 CV, INCLUSIVE TANQUE DE AÇO PARA TRANSPORTE DE ÁGUA - MATERIAIS NA OPERAÇÃO. AF_06/2014</v>
          </cell>
          <cell r="C674" t="str">
            <v>H</v>
          </cell>
          <cell r="D674">
            <v>164.33</v>
          </cell>
        </row>
        <row r="675">
          <cell r="A675" t="str">
            <v>53840</v>
          </cell>
          <cell r="B675" t="str">
            <v>GRADE DE DISCO REBOCÁVEL COM 20 DISCOS 24" X 6 MM COM PNEUS PARA TRANSPORTE - DEPRECIAÇÃO. AF_06/2014</v>
          </cell>
          <cell r="C675" t="str">
            <v>H</v>
          </cell>
          <cell r="D675">
            <v>3.23</v>
          </cell>
        </row>
        <row r="676">
          <cell r="A676" t="str">
            <v>53841</v>
          </cell>
          <cell r="B676" t="str">
            <v>GRADE DE DISCO REBOCÁVEL COM 20 DISCOS 24" X 6 MM COM PNEUS PARA TRANSPORTE - MANUTENÇÃO. AF_06/2014</v>
          </cell>
          <cell r="C676" t="str">
            <v>H</v>
          </cell>
          <cell r="D676">
            <v>2.2400000000000002</v>
          </cell>
        </row>
        <row r="677">
          <cell r="A677" t="str">
            <v>53849</v>
          </cell>
          <cell r="B677" t="str">
            <v>MOTONIVELADORA POTÊNCIA BÁSICA LÍQUIDA (PRIMEIRA MARCHA) 125 HP, PESO BRUTO 13032 KG, LARGURA DA LÂMINA DE 3,7 M - MATERIAIS NA OPERAÇÃO. AF_06/2014</v>
          </cell>
          <cell r="C677" t="str">
            <v>H</v>
          </cell>
          <cell r="D677">
            <v>71.48</v>
          </cell>
        </row>
        <row r="678">
          <cell r="A678" t="str">
            <v>53857</v>
          </cell>
          <cell r="B678" t="str">
            <v>PÁ CARREGADEIRA SOBRE RODAS, POTÊNCIA LÍQUIDA 128 HP, CAPACIDADE DA CAÇAMBA 1,7 A 2,8 M3, PESO OPERACIONAL 11632 KG - MANUTENÇÃO. AF_06/2014</v>
          </cell>
          <cell r="C678" t="str">
            <v>H</v>
          </cell>
          <cell r="D678">
            <v>44.1</v>
          </cell>
        </row>
        <row r="679">
          <cell r="A679" t="str">
            <v>53858</v>
          </cell>
          <cell r="B679" t="str">
            <v>PÁ CARREGADEIRA SOBRE RODAS, POTÊNCIA LÍQUIDA 128 HP, CAPACIDADE DA CAÇAMBA 1,7 A 2,8 M3, PESO OPERACIONAL 11632 KG - MATERIAIS NA OPERAÇÃO. AF_06/2014</v>
          </cell>
          <cell r="C679" t="str">
            <v>H</v>
          </cell>
          <cell r="D679">
            <v>68.319999999999993</v>
          </cell>
        </row>
        <row r="680">
          <cell r="A680" t="str">
            <v>53861</v>
          </cell>
          <cell r="B680" t="str">
            <v>PÁ CARREGADEIRA SOBRE RODAS, POTÊNCIA 197 HP, CAPACIDADE DA CAÇAMBA 2,5 A 3,5 M3, PESO OPERACIONAL 18338 KG - MANUTENÇÃO. AF_06/2014</v>
          </cell>
          <cell r="C680" t="str">
            <v>H</v>
          </cell>
          <cell r="D680">
            <v>61.15</v>
          </cell>
        </row>
        <row r="681">
          <cell r="A681" t="str">
            <v>53863</v>
          </cell>
          <cell r="B681" t="str">
            <v>MARTELETE OU ROMPEDOR PNEUMÁTICO MANUAL, 28 KG, COM SILENCIADOR - MANUTENÇÃO. AF_07/2016</v>
          </cell>
          <cell r="C681" t="str">
            <v>H</v>
          </cell>
          <cell r="D681">
            <v>1.42</v>
          </cell>
        </row>
        <row r="682">
          <cell r="A682" t="str">
            <v>53865</v>
          </cell>
          <cell r="B682" t="str">
            <v>COMPRESSOR DE AR REBOCÁVEL, VAZÃO 189 PCM, PRESSÃO EFETIVA DE TRABALHO 102 PSI, MOTOR DIESEL, POTÊNCIA 63 CV - MATERIAIS NA OPERAÇÃO. AF_06/2015</v>
          </cell>
          <cell r="C682" t="str">
            <v>H</v>
          </cell>
          <cell r="D682">
            <v>40.26</v>
          </cell>
        </row>
        <row r="683">
          <cell r="A683" t="str">
            <v>53866</v>
          </cell>
          <cell r="B683" t="str">
            <v>BOMBA SUBMERSÍVEL ELÉTRICA TRIFÁSICA, POTÊNCIA 2,96 HP, Ø ROTOR 144 MM SEMI-ABERTO, BOCAL DE SAÍDA Ø 2, HM/Q = 2 MCA / 38,8 M3/H A 28 MCA / 5 M3/H - MATERIAIS NA OPERAÇÃO. AF_06/2014</v>
          </cell>
          <cell r="C683" t="str">
            <v>H</v>
          </cell>
          <cell r="D683">
            <v>1.8</v>
          </cell>
        </row>
        <row r="684">
          <cell r="A684" t="str">
            <v>53882</v>
          </cell>
          <cell r="B684" t="str">
            <v>CAMINHÃO PIPA 6.000 L, PESO BRUTO TOTAL 13.000 KG, DISTÂNCIA ENTRE EIXOS 4,80 M, POTÊNCIA 189 CV INCLUSIVE TANQUE DE AÇO PARA TRANSPORTE DE ÁGUA, CAPACIDADE 6 M3 - MANUTENÇÃO. AF_06/2014</v>
          </cell>
          <cell r="C684" t="str">
            <v>H</v>
          </cell>
          <cell r="D684">
            <v>28.1</v>
          </cell>
        </row>
        <row r="685">
          <cell r="A685" t="str">
            <v>55263</v>
          </cell>
          <cell r="B685" t="str">
            <v>ROLO COMPACTADOR DE PNEUS ESTÁTICO, PRESSÃO VARIÁVEL, POTÊNCIA 111 HP, PESO SEM/COM LASTRO 9,5 / 26 T, LARGURA DE TRABALHO 1,90 M - MATERIAIS NA OPERAÇÃO. AF_07/2014</v>
          </cell>
          <cell r="C685" t="str">
            <v>H</v>
          </cell>
          <cell r="D685">
            <v>55.03</v>
          </cell>
        </row>
        <row r="686">
          <cell r="A686" t="str">
            <v>73303</v>
          </cell>
          <cell r="B686" t="str">
            <v>GRUPO GERADOR ESTACIONÁRIO, MOTOR DIESEL POTÊNCIA 170 KVA - DEPRECIAÇÃO. AF_02/2016</v>
          </cell>
          <cell r="C686" t="str">
            <v>H</v>
          </cell>
          <cell r="D686">
            <v>4.92</v>
          </cell>
        </row>
        <row r="687">
          <cell r="A687" t="str">
            <v>73307</v>
          </cell>
          <cell r="B687" t="str">
            <v>GRUPO GERADOR ESTACIONÁRIO, MOTOR DIESEL POTÊNCIA 170 KVA - MANUTENÇÃO. AF_02/2016</v>
          </cell>
          <cell r="C687" t="str">
            <v>H</v>
          </cell>
          <cell r="D687">
            <v>4.3899999999999997</v>
          </cell>
        </row>
        <row r="688">
          <cell r="A688" t="str">
            <v>73309</v>
          </cell>
          <cell r="B688" t="str">
            <v>ROLO COMPACTADOR VIBRATÓRIO PÉ DE CARNEIRO PARA SOLOS, POTÊNCIA 80 HP, PESO OPERACIONAL SEM/COM LASTRO 7,4 / 8,8 T, LARGURA DE TRABALHO 1,68 M - DEPRECIAÇÃO. AF_02/2016</v>
          </cell>
          <cell r="C688" t="str">
            <v>H</v>
          </cell>
          <cell r="D688">
            <v>29.08</v>
          </cell>
        </row>
        <row r="689">
          <cell r="A689" t="str">
            <v>73311</v>
          </cell>
          <cell r="B689" t="str">
            <v>GRUPO GERADOR ESTACIONÁRIO, MOTOR DIESEL POTÊNCIA 170 KVA - MATERIAIS NA OPERAÇÃO. AF_02/2016</v>
          </cell>
          <cell r="C689" t="str">
            <v>H</v>
          </cell>
          <cell r="D689">
            <v>152.12</v>
          </cell>
        </row>
        <row r="690">
          <cell r="A690" t="str">
            <v>73313</v>
          </cell>
          <cell r="B690" t="str">
            <v>ROLO COMPACTADOR VIBRATÓRIO PÉ DE CARNEIRO PARA SOLOS, POTÊNCIA 80 HP, PESO OPERACIONAL SEM/COM LASTRO 7,4 / 8,8 T, LARGURA DE TRABALHO 1,68 M - JUROS. AF_02/2016</v>
          </cell>
          <cell r="C690" t="str">
            <v>H</v>
          </cell>
          <cell r="D690">
            <v>4.03</v>
          </cell>
        </row>
        <row r="691">
          <cell r="A691" t="str">
            <v>73315</v>
          </cell>
          <cell r="B691" t="str">
            <v>ROLO COMPACTADOR VIBRATÓRIO PÉ DE CARNEIRO PARA SOLOS, POTÊNCIA 80 HP, PESO OPERACIONAL SEM/COM LASTRO 7,4 / 8,8 T, LARGURA DE TRABALHO 1,68 M - MATERIAIS NA OPERAÇÃO. AF_02/2016</v>
          </cell>
          <cell r="C691" t="str">
            <v>H</v>
          </cell>
          <cell r="D691">
            <v>48.8</v>
          </cell>
        </row>
        <row r="692">
          <cell r="A692" t="str">
            <v>73335</v>
          </cell>
          <cell r="B692" t="str">
            <v>CAMINHÃO TOCO, PBT 14.300 KG, CARGA ÚTIL MÁX. 9.710 KG, DIST. ENTRE EIXOS 3,56 M, POTÊNCIA 185 CV, INCLUSIVE CARROCERIA FIXA ABERTA DE MADEIRA P/ TRANSPORTE GERAL DE CARGA SECA, DIMEN. APROX. 2,50 X 6,50 X 0,50 M - MANUTENÇÃO. AF_06/2014</v>
          </cell>
          <cell r="C692" t="str">
            <v>H</v>
          </cell>
          <cell r="D692">
            <v>26.75</v>
          </cell>
        </row>
        <row r="693">
          <cell r="A693" t="str">
            <v>73340</v>
          </cell>
          <cell r="B693" t="str">
            <v>CAMINHÃO TOCO, PBT 14.300 KG, CARGA ÚTIL MÁX. 9.710 KG, DIST. ENTRE EIXOS 3,56 M, POTÊNCIA 185 CV, INCLUSIVE CARROCERIA FIXA ABERTA DE MADEIRA P/ TRANSPORTE GERAL DE CARGA SECA, DIMEN. APROX. 2,50 X 6,50 X 0,50 M - MATERIAIS NA OPERAÇÃO. AF_06/2014</v>
          </cell>
          <cell r="C693" t="str">
            <v>H</v>
          </cell>
          <cell r="D693">
            <v>69.59</v>
          </cell>
        </row>
        <row r="694">
          <cell r="A694" t="str">
            <v>83361</v>
          </cell>
          <cell r="B694" t="str">
            <v>ESPARGIDOR DE ASFALTO PRESSURIZADO, TANQUE 6 M3 COM ISOLAÇÃO TÉRMICA, AQUECIDO COM 2 MAÇARICOS, COM BARRA ESPARGIDORA 3,60 M, MONTADO SOBRE CAMINHÃO  TOCO, PBT 14.300 KG, POTÊNCIA 185 CV - MANUTENÇÃO. AF_08/2015</v>
          </cell>
          <cell r="C694" t="str">
            <v>H</v>
          </cell>
          <cell r="D694">
            <v>15.81</v>
          </cell>
        </row>
        <row r="695">
          <cell r="A695" t="str">
            <v>83761</v>
          </cell>
          <cell r="B695" t="str">
            <v>GRUPO DE SOLDAGEM COM GERADOR A DIESEL 60 CV PARA SOLDA ELÉTRICA, SOBRE 04 RODAS, COM MOTOR 4 CILINDROS 600 A - DEPRECIAÇÃO. AF_02/2016</v>
          </cell>
          <cell r="C695" t="str">
            <v>H</v>
          </cell>
          <cell r="D695">
            <v>10.5</v>
          </cell>
        </row>
        <row r="696">
          <cell r="A696" t="str">
            <v>83762</v>
          </cell>
          <cell r="B696" t="str">
            <v>GRUPO DE SOLDAGEM COM GERADOR A DIESEL 60 CV PARA SOLDA ELÉTRICA, SOBRE 04 RODAS, COM MOTOR 4 CILINDROS 600 A - MANUTENÇÃO. AF_02/2016</v>
          </cell>
          <cell r="C696" t="str">
            <v>H</v>
          </cell>
          <cell r="D696">
            <v>13.13</v>
          </cell>
        </row>
        <row r="697">
          <cell r="A697" t="str">
            <v>83763</v>
          </cell>
          <cell r="B697" t="str">
            <v>GRUPO DE SOLDAGEM COM GERADOR A DIESEL 60 CV PARA SOLDA ELÉTRICA, SOBRE 04 RODAS, COM MOTOR 4 CILINDROS 600 A - MATERIAIS NA OPERAÇÃO. AF_02/2016</v>
          </cell>
          <cell r="C697" t="str">
            <v>H</v>
          </cell>
          <cell r="D697">
            <v>42.87</v>
          </cell>
        </row>
        <row r="698">
          <cell r="A698" t="str">
            <v>83764</v>
          </cell>
          <cell r="B698" t="str">
            <v>GRUPO DE SOLDAGEM COM GERADOR A DIESEL 60 CV PARA SOLDA ELÉTRICA, SOBRE 04 RODAS, COM MOTOR 4 CILINDROS 600 A - JUROS. AF_02/2016</v>
          </cell>
          <cell r="C698" t="str">
            <v>H</v>
          </cell>
          <cell r="D698">
            <v>1.18</v>
          </cell>
        </row>
        <row r="699">
          <cell r="A699" t="str">
            <v>87026</v>
          </cell>
          <cell r="B699" t="str">
            <v>GRADE DE DISCO REBOCÁVEL COM 20 DISCOS 24" X 6 MM COM PNEUS PARA TRANSPORTE - JUROS. AF_06/2014</v>
          </cell>
          <cell r="C699" t="str">
            <v>H</v>
          </cell>
          <cell r="D699">
            <v>0.45</v>
          </cell>
        </row>
        <row r="700">
          <cell r="A700" t="str">
            <v>87441</v>
          </cell>
          <cell r="B700" t="str">
            <v>BETONEIRA CAPACIDADE NOMINAL 400 L, CAPACIDADE DE MISTURA 310 L, MOTOR A DIESEL POTÊNCIA 5,0 HP, SEM CARREGADOR - DEPRECIAÇÃO. AF_06/2014</v>
          </cell>
          <cell r="C700" t="str">
            <v>H</v>
          </cell>
          <cell r="D700">
            <v>0.43</v>
          </cell>
        </row>
        <row r="701">
          <cell r="A701" t="str">
            <v>87442</v>
          </cell>
          <cell r="B701" t="str">
            <v>BETONEIRA CAPACIDADE NOMINAL 400 L, CAPACIDADE DE MISTURA 310 L, MOTOR A DIESEL POTÊNCIA 5,0 HP, SEM CARREGADOR - JUROS. AF_06/2014</v>
          </cell>
          <cell r="C701" t="str">
            <v>H</v>
          </cell>
          <cell r="D701">
            <v>0.05</v>
          </cell>
        </row>
        <row r="702">
          <cell r="A702" t="str">
            <v>87443</v>
          </cell>
          <cell r="B702" t="str">
            <v>BETONEIRA CAPACIDADE NOMINAL 400 L, CAPACIDADE DE MISTURA 310 L, MOTOR A DIESEL POTÊNCIA 5,0 HP, SEM CARREGADOR - MANUTENÇÃO. AF_06/2014</v>
          </cell>
          <cell r="C702" t="str">
            <v>H</v>
          </cell>
          <cell r="D702">
            <v>0.4</v>
          </cell>
        </row>
        <row r="703">
          <cell r="A703" t="str">
            <v>87444</v>
          </cell>
          <cell r="B703" t="str">
            <v>BETONEIRA CAPACIDADE NOMINAL 400 L, CAPACIDADE DE MISTURA 310 L, MOTOR A DIESEL POTÊNCIA 5,0 HP, SEM CARREGADOR - MATERIAIS NA OPERAÇÃO. AF_06/2014</v>
          </cell>
          <cell r="C703" t="str">
            <v>H</v>
          </cell>
          <cell r="D703">
            <v>3.62</v>
          </cell>
        </row>
        <row r="704">
          <cell r="A704" t="str">
            <v>88387</v>
          </cell>
          <cell r="B704" t="str">
            <v>MISTURADOR DE ARGAMASSA, EIXO HORIZONTAL, CAPACIDADE DE MISTURA 300 KG, MOTOR ELÉTRICO POTÊNCIA 5 CV - DEPRECIAÇÃO. AF_06/2014</v>
          </cell>
          <cell r="C704" t="str">
            <v>H</v>
          </cell>
          <cell r="D704">
            <v>0.84</v>
          </cell>
        </row>
        <row r="705">
          <cell r="A705" t="str">
            <v>88389</v>
          </cell>
          <cell r="B705" t="str">
            <v>MISTURADOR DE ARGAMASSA, EIXO HORIZONTAL, CAPACIDADE DE MISTURA 300 KG, MOTOR ELÉTRICO POTÊNCIA 5 CV - JUROS. AF_06/2014</v>
          </cell>
          <cell r="C705" t="str">
            <v>H</v>
          </cell>
          <cell r="D705">
            <v>0.1</v>
          </cell>
        </row>
        <row r="706">
          <cell r="A706" t="str">
            <v>88390</v>
          </cell>
          <cell r="B706" t="str">
            <v>MISTURADOR DE ARGAMASSA, EIXO HORIZONTAL, CAPACIDADE DE MISTURA 300 KG, MOTOR ELÉTRICO POTÊNCIA 5 CV - MANUTENÇÃO. AF_06/2014</v>
          </cell>
          <cell r="C706" t="str">
            <v>H</v>
          </cell>
          <cell r="D706">
            <v>1.06</v>
          </cell>
        </row>
        <row r="707">
          <cell r="A707" t="str">
            <v>88391</v>
          </cell>
          <cell r="B707" t="str">
            <v>MISTURADOR DE ARGAMASSA, EIXO HORIZONTAL, CAPACIDADE DE MISTURA 300 KG, MOTOR ELÉTRICO POTÊNCIA 5 CV - MATERIAIS NA OPERAÇÃO. AF_06/2014</v>
          </cell>
          <cell r="C707" t="str">
            <v>H</v>
          </cell>
          <cell r="D707">
            <v>2.94</v>
          </cell>
        </row>
        <row r="708">
          <cell r="A708" t="str">
            <v>88394</v>
          </cell>
          <cell r="B708" t="str">
            <v>MISTURADOR DE ARGAMASSA, EIXO HORIZONTAL, CAPACIDADE DE MISTURA 600 KG, MOTOR ELÉTRICO POTÊNCIA 7,5 CV - DEPRECIAÇÃO. AF_06/2014</v>
          </cell>
          <cell r="C708" t="str">
            <v>H</v>
          </cell>
          <cell r="D708">
            <v>1</v>
          </cell>
        </row>
        <row r="709">
          <cell r="A709" t="str">
            <v>88395</v>
          </cell>
          <cell r="B709" t="str">
            <v>MISTURADOR DE ARGAMASSA, EIXO HORIZONTAL, CAPACIDADE DE MISTURA 600 KG, MOTOR ELÉTRICO POTÊNCIA 7,5 CV - JUROS. AF_06/2014</v>
          </cell>
          <cell r="C709" t="str">
            <v>H</v>
          </cell>
          <cell r="D709">
            <v>0.11</v>
          </cell>
        </row>
        <row r="710">
          <cell r="A710" t="str">
            <v>88396</v>
          </cell>
          <cell r="B710" t="str">
            <v>MISTURADOR DE ARGAMASSA, EIXO HORIZONTAL, CAPACIDADE DE MISTURA 600 KG, MOTOR ELÉTRICO POTÊNCIA 7,5 CV - MANUTENÇÃO. AF_06/2014</v>
          </cell>
          <cell r="C710" t="str">
            <v>H</v>
          </cell>
          <cell r="D710">
            <v>1.26</v>
          </cell>
        </row>
        <row r="711">
          <cell r="A711" t="str">
            <v>88397</v>
          </cell>
          <cell r="B711" t="str">
            <v>MISTURADOR DE ARGAMASSA, EIXO HORIZONTAL, CAPACIDADE DE MISTURA 600 KG, MOTOR ELÉTRICO POTÊNCIA 7,5 CV - MATERIAIS NA OPERAÇÃO. AF_06/2014</v>
          </cell>
          <cell r="C711" t="str">
            <v>H</v>
          </cell>
          <cell r="D711">
            <v>4.4000000000000004</v>
          </cell>
        </row>
        <row r="712">
          <cell r="A712" t="str">
            <v>88400</v>
          </cell>
          <cell r="B712" t="str">
            <v>MISTURADOR DE ARGAMASSA, EIXO HORIZONTAL, CAPACIDADE DE MISTURA 160 KG, MOTOR ELÉTRICO POTÊNCIA 3 CV - DEPRECIAÇÃO. AF_06/2014</v>
          </cell>
          <cell r="C712" t="str">
            <v>H</v>
          </cell>
          <cell r="D712">
            <v>0.8</v>
          </cell>
        </row>
        <row r="713">
          <cell r="A713" t="str">
            <v>88401</v>
          </cell>
          <cell r="B713" t="str">
            <v>MISTURADOR DE ARGAMASSA, EIXO HORIZONTAL, CAPACIDADE DE MISTURA 160 KG, MOTOR ELÉTRICO POTÊNCIA 3 CV - JUROS. AF_06/2014</v>
          </cell>
          <cell r="C713" t="str">
            <v>H</v>
          </cell>
          <cell r="D713">
            <v>0.09</v>
          </cell>
        </row>
        <row r="714">
          <cell r="A714" t="str">
            <v>88402</v>
          </cell>
          <cell r="B714" t="str">
            <v>MISTURADOR DE ARGAMASSA, EIXO HORIZONTAL, CAPACIDADE DE MISTURA 160 KG, MOTOR ELÉTRICO POTÊNCIA 3 CV - MANUTENÇÃO. AF_06/2014</v>
          </cell>
          <cell r="C714" t="str">
            <v>H</v>
          </cell>
          <cell r="D714">
            <v>1</v>
          </cell>
        </row>
        <row r="715">
          <cell r="A715" t="str">
            <v>88403</v>
          </cell>
          <cell r="B715" t="str">
            <v>MISTURADOR DE ARGAMASSA, EIXO HORIZONTAL, CAPACIDADE DE MISTURA 160 KG, MOTOR ELÉTRICO POTÊNCIA 3 CV - MATERIAIS NA OPERAÇÃO. AF_06/2014</v>
          </cell>
          <cell r="C715" t="str">
            <v>H</v>
          </cell>
          <cell r="D715">
            <v>1.76</v>
          </cell>
        </row>
        <row r="716">
          <cell r="A716" t="str">
            <v>88419</v>
          </cell>
          <cell r="B716" t="str">
            <v>PROJETOR DE ARGAMASSA, CAPACIDADE DE PROJEÇÃO 1,5 M3/H, ALCANCE DE 30 ATÉ 60 M, MOTOR ELÉTRICO POTÊNCIA 7,5 HP - DEPRECIAÇÃO. AF_06/2014</v>
          </cell>
          <cell r="C716" t="str">
            <v>H</v>
          </cell>
          <cell r="D716">
            <v>5.21</v>
          </cell>
        </row>
        <row r="717">
          <cell r="A717" t="str">
            <v>88422</v>
          </cell>
          <cell r="B717" t="str">
            <v>PROJETOR DE ARGAMASSA, CAPACIDADE DE PROJEÇÃO 1,5 M3/H, ALCANCE DE 30 ATÉ 60 M, MOTOR ELÉTRICO POTÊNCIA 7,5 HP - JUROS. AF_06/2014</v>
          </cell>
          <cell r="C717" t="str">
            <v>H</v>
          </cell>
          <cell r="D717">
            <v>0.61</v>
          </cell>
        </row>
        <row r="718">
          <cell r="A718" t="str">
            <v>88425</v>
          </cell>
          <cell r="B718" t="str">
            <v>PROJETOR DE ARGAMASSA, CAPACIDADE DE PROJEÇÃO 1,5 M3/H, ALCANCE DE 30 ATÉ 60 M, MOTOR ELÉTRICO POTÊNCIA 7,5 HP - MANUTENÇÃO. AF_06/2014</v>
          </cell>
          <cell r="C718" t="str">
            <v>H</v>
          </cell>
          <cell r="D718">
            <v>5.7</v>
          </cell>
        </row>
        <row r="719">
          <cell r="A719" t="str">
            <v>88427</v>
          </cell>
          <cell r="B719" t="str">
            <v>PROJETOR DE ARGAMASSA, CAPACIDADE DE PROJEÇÃO 1,5 M3/H, ALCANCE DE 30 ATÉ 60 M, MOTOR ELÉTRICO POTÊNCIA 7,5 HP - MATERIAIS NA OPERAÇÃO. AF_06/2014</v>
          </cell>
          <cell r="C719" t="str">
            <v>H</v>
          </cell>
          <cell r="D719">
            <v>4.47</v>
          </cell>
        </row>
        <row r="720">
          <cell r="A720" t="str">
            <v>88434</v>
          </cell>
          <cell r="B720" t="str">
            <v>PROJETOR DE ARGAMASSA, CAPACIDADE DE PROJEÇÃO 2 M3/H, ALCANCE ATÉ 50 M, MOTOR ELÉTRICO POTÊNCIA 7,5 HP - DEPRECIAÇÃO. AF_06/2014</v>
          </cell>
          <cell r="C720" t="str">
            <v>H</v>
          </cell>
          <cell r="D720">
            <v>6.91</v>
          </cell>
        </row>
        <row r="721">
          <cell r="A721" t="str">
            <v>88435</v>
          </cell>
          <cell r="B721" t="str">
            <v>PROJETOR DE ARGAMASSA, CAPACIDADE DE PROJEÇÃO 2 M3/H, ALCANCE ATÉ 50 M, MOTOR ELÉTRICO POTÊNCIA 7,5 HP - JUROS. AF_06/2014</v>
          </cell>
          <cell r="C721" t="str">
            <v>H</v>
          </cell>
          <cell r="D721">
            <v>0.82</v>
          </cell>
        </row>
        <row r="722">
          <cell r="A722" t="str">
            <v>88436</v>
          </cell>
          <cell r="B722" t="str">
            <v>PROJETOR DE ARGAMASSA, CAPACIDADE DE PROJEÇÃO 2 M3/H, ALCANCE ATÉ 50 M, MOTOR ELÉTRICO POTÊNCIA 7,5 HP - MANUTENÇÃO. AF_06/2014</v>
          </cell>
          <cell r="C722" t="str">
            <v>H</v>
          </cell>
          <cell r="D722">
            <v>7.56</v>
          </cell>
        </row>
        <row r="723">
          <cell r="A723" t="str">
            <v>88437</v>
          </cell>
          <cell r="B723" t="str">
            <v>PROJETOR DE ARGAMASSA, CAPACIDADE DE PROJEÇÃO 2 M3/H, ALCANCE ATÉ 50 M, MOTOR ELÉTRICO POTÊNCIA 7,5 HP - MATERIAIS NA OPERAÇÃO. AF_06/2014</v>
          </cell>
          <cell r="C723" t="str">
            <v>H</v>
          </cell>
          <cell r="D723">
            <v>4.47</v>
          </cell>
        </row>
        <row r="724">
          <cell r="A724" t="str">
            <v>88569</v>
          </cell>
          <cell r="B724" t="str">
            <v>ESPARGIDOR DE ASFALTO PRESSURIZADO COM TANQUE DE 2500 L, REBOCÁVEL COM MOTOR A GASOLINA POTÊNCIA 3,4 HP - DEPRECIAÇÃO. AF_07/2014</v>
          </cell>
          <cell r="C724" t="str">
            <v>H</v>
          </cell>
          <cell r="D724">
            <v>3.52</v>
          </cell>
        </row>
        <row r="725">
          <cell r="A725" t="str">
            <v>88570</v>
          </cell>
          <cell r="B725" t="str">
            <v>ESPARGIDOR DE ASFALTO PRESSURIZADO COM TANQUE DE 2500 L, REBOCÁVEL COM MOTOR A GASOLINA POTÊNCIA 3,4 HP - JUROS. AF_07/2014</v>
          </cell>
          <cell r="C725" t="str">
            <v>H</v>
          </cell>
          <cell r="D725">
            <v>0.76</v>
          </cell>
        </row>
        <row r="726">
          <cell r="A726" t="str">
            <v>88826</v>
          </cell>
          <cell r="B726" t="str">
            <v>BETONEIRA CAPACIDADE NOMINAL DE 400 L, CAPACIDADE DE MISTURA 280 L, MOTOR ELÉTRICO TRIFÁSICO POTÊNCIA DE 2 CV, SEM CARREGADOR - DEPRECIAÇÃO. AF_10/2014</v>
          </cell>
          <cell r="C726" t="str">
            <v>H</v>
          </cell>
          <cell r="D726">
            <v>0.32</v>
          </cell>
        </row>
        <row r="727">
          <cell r="A727" t="str">
            <v>88827</v>
          </cell>
          <cell r="B727" t="str">
            <v>BETONEIRA CAPACIDADE NOMINAL DE 400 L, CAPACIDADE DE MISTURA 280 L, MOTOR ELÉTRICO TRIFÁSICO POTÊNCIA DE 2 CV, SEM CARREGADOR - JUROS. AF_10/2014</v>
          </cell>
          <cell r="C727" t="str">
            <v>H</v>
          </cell>
          <cell r="D727">
            <v>0.03</v>
          </cell>
        </row>
        <row r="728">
          <cell r="A728" t="str">
            <v>88828</v>
          </cell>
          <cell r="B728" t="str">
            <v>BETONEIRA CAPACIDADE NOMINAL DE 400 L, CAPACIDADE DE MISTURA 280 L, MOTOR ELÉTRICO TRIFÁSICO POTÊNCIA DE 2 CV, SEM CARREGADOR - MANUTENÇÃO. AF_10/2014</v>
          </cell>
          <cell r="C728" t="str">
            <v>H</v>
          </cell>
          <cell r="D728">
            <v>0.3</v>
          </cell>
        </row>
        <row r="729">
          <cell r="A729" t="str">
            <v>88829</v>
          </cell>
          <cell r="B729" t="str">
            <v>BETONEIRA CAPACIDADE NOMINAL DE 400 L, CAPACIDADE DE MISTURA 280 L, MOTOR ELÉTRICO TRIFÁSICO POTÊNCIA DE 2 CV, SEM CARREGADOR - MATERIAIS NA OPERAÇÃO. AF_10/2014</v>
          </cell>
          <cell r="C729" t="str">
            <v>H</v>
          </cell>
          <cell r="D729">
            <v>1.17</v>
          </cell>
        </row>
        <row r="730">
          <cell r="A730" t="str">
            <v>88832</v>
          </cell>
          <cell r="B730" t="str">
            <v>ESCAVADEIRA HIDRÁULICA SOBRE ESTEIRAS, CAÇAMBA 0,80 M3, PESO OPERACIONAL 17,8 T, POTÊNCIA LÍQUIDA 110 HP - DEPRECIAÇÃO. AF_10/2014</v>
          </cell>
          <cell r="C730" t="str">
            <v>H</v>
          </cell>
          <cell r="D730">
            <v>45.41</v>
          </cell>
        </row>
        <row r="731">
          <cell r="A731" t="str">
            <v>88834</v>
          </cell>
          <cell r="B731" t="str">
            <v>ESCAVADEIRA HIDRÁULICA SOBRE ESTEIRAS, CAÇAMBA 0,80 M3, PESO OPERACIONAL 17,8 T, POTÊNCIA LÍQUIDA 110 HP - JUROS. AF_10/2014</v>
          </cell>
          <cell r="C731" t="str">
            <v>H</v>
          </cell>
          <cell r="D731">
            <v>6.16</v>
          </cell>
        </row>
        <row r="732">
          <cell r="A732" t="str">
            <v>88835</v>
          </cell>
          <cell r="B732" t="str">
            <v>ESCAVADEIRA HIDRÁULICA SOBRE ESTEIRAS, CAÇAMBA 0,80 M3, PESO OPERACIONAL 17,8 T, POTÊNCIA LÍQUIDA 110 HP - MANUTENÇÃO. AF_10/2014</v>
          </cell>
          <cell r="C732" t="str">
            <v>H</v>
          </cell>
          <cell r="D732">
            <v>56.77</v>
          </cell>
        </row>
        <row r="733">
          <cell r="A733" t="str">
            <v>88836</v>
          </cell>
          <cell r="B733" t="str">
            <v>ESCAVADEIRA HIDRÁULICA SOBRE ESTEIRAS, CAÇAMBA 0,80 M3, PESO OPERACIONAL 17,8 T, POTÊNCIA LÍQUIDA 110 HP - MATERIAIS NA OPERAÇÃO. AF_10/2014</v>
          </cell>
          <cell r="C733" t="str">
            <v>H</v>
          </cell>
          <cell r="D733">
            <v>54.52</v>
          </cell>
        </row>
        <row r="734">
          <cell r="A734" t="str">
            <v>88839</v>
          </cell>
          <cell r="B734" t="str">
            <v>TRATOR DE ESTEIRAS, POTÊNCIA 125 HP, PESO OPERACIONAL 12,9 T, COM LÂMINA 2,7 M3 - DEPRECIAÇÃO. AF_10/2014</v>
          </cell>
          <cell r="C734" t="str">
            <v>H</v>
          </cell>
          <cell r="D734">
            <v>27.77</v>
          </cell>
        </row>
        <row r="735">
          <cell r="A735" t="str">
            <v>88840</v>
          </cell>
          <cell r="B735" t="str">
            <v>TRATOR DE ESTEIRAS, POTÊNCIA 125 HP, PESO OPERACIONAL 12,9 T, COM LÂMINA 2,7 M3 - JUROS. AF_10/2014</v>
          </cell>
          <cell r="C735" t="str">
            <v>H</v>
          </cell>
          <cell r="D735">
            <v>6.25</v>
          </cell>
        </row>
        <row r="736">
          <cell r="A736" t="str">
            <v>88841</v>
          </cell>
          <cell r="B736" t="str">
            <v>TRATOR DE ESTEIRAS, POTÊNCIA 125 HP, PESO OPERACIONAL 12,9 T, COM LÂMINA 2,7 M3 - MANUTENÇÃO. AF_10/2014</v>
          </cell>
          <cell r="C736" t="str">
            <v>H</v>
          </cell>
          <cell r="D736">
            <v>49.64</v>
          </cell>
        </row>
        <row r="737">
          <cell r="A737" t="str">
            <v>88842</v>
          </cell>
          <cell r="B737" t="str">
            <v>TRATOR DE ESTEIRAS, POTÊNCIA 125 HP, PESO OPERACIONAL 12,9 T, COM LÂMINA 2,7 M3 - MATERIAIS NA OPERAÇÃO. AF_10/2014</v>
          </cell>
          <cell r="C737" t="str">
            <v>H</v>
          </cell>
          <cell r="D737">
            <v>66.73</v>
          </cell>
        </row>
        <row r="738">
          <cell r="A738" t="str">
            <v>88847</v>
          </cell>
          <cell r="B738" t="str">
            <v>USINA DE LAMA ASFÁLTICA, PROD 30 A 50 T/H, SILO DE AGREGADO 7 M3, RESERVATÓRIOS PARA EMULSÃO E ÁGUA DE 2,3 M3 CADA, MISTURADOR TIPO PUG MILL A SER MONTADO SOBRE CAMINHÃO - DEPRECIAÇÃO. AF_10/2014</v>
          </cell>
          <cell r="C738" t="str">
            <v>H</v>
          </cell>
          <cell r="D738">
            <v>20.81</v>
          </cell>
        </row>
        <row r="739">
          <cell r="A739" t="str">
            <v>88848</v>
          </cell>
          <cell r="B739" t="str">
            <v>USINA DE LAMA ASFÁLTICA, PROD 30 A 50 T/H, SILO DE AGREGADO 7 M3, RESERVATÓRIOS PARA EMULSÃO E ÁGUA DE 2,3 M3 CADA, MISTURADOR TIPO PUG MILL A SER MONTADO SOBRE CAMINHÃO - JUROS. AF_10/2014</v>
          </cell>
          <cell r="C739" t="str">
            <v>H</v>
          </cell>
          <cell r="D739">
            <v>4.3600000000000003</v>
          </cell>
        </row>
        <row r="740">
          <cell r="A740" t="str">
            <v>88853</v>
          </cell>
          <cell r="B740" t="str">
            <v>MOTOBOMBA CENTRÍFUGA, MOTOR A GASOLINA, POTÊNCIA 5,42 HP, BOCAIS 1 1/2" X 1", DIÂMETRO ROTOR 143 MM HM/Q = 6 MCA / 16,8 M3/H A 38 MCA / 6,6 M3/H - DEPRECIAÇÃO. AF_06/2014</v>
          </cell>
          <cell r="C740" t="str">
            <v>H</v>
          </cell>
          <cell r="D740">
            <v>0.21</v>
          </cell>
        </row>
        <row r="741">
          <cell r="A741" t="str">
            <v>88854</v>
          </cell>
          <cell r="B741" t="str">
            <v>MOTOBOMBA CENTRÍFUGA, MOTOR A GASOLINA, POTÊNCIA 5,42 HP, BOCAIS 1 1/2" X 1", DIÂMETRO ROTOR 143 MM HM/Q = 6 MCA / 16,8 M3/H A 38 MCA / 6,6 M3/H - JUROS. AF_06/2014</v>
          </cell>
          <cell r="C741" t="str">
            <v>H</v>
          </cell>
          <cell r="D741">
            <v>0.02</v>
          </cell>
        </row>
        <row r="742">
          <cell r="A742" t="str">
            <v>88855</v>
          </cell>
          <cell r="B742" t="str">
            <v>GRADE DE DISCO CONTROLE REMOTO REBOCÁVEL, COM 24 DISCOS 24 X 6 MM COM PNEUS PARA TRANSPORTE - DEPRECIAÇÃO. AF_06/2014</v>
          </cell>
          <cell r="C742" t="str">
            <v>H</v>
          </cell>
          <cell r="D742">
            <v>4.12</v>
          </cell>
        </row>
        <row r="743">
          <cell r="A743" t="str">
            <v>88856</v>
          </cell>
          <cell r="B743" t="str">
            <v>GRADE DE DISCO CONTROLE REMOTO REBOCÁVEL, COM 24 DISCOS 24 X 6 MM COM PNEUS PARA TRANSPORTE - JUROS. AF_06/2014</v>
          </cell>
          <cell r="C743" t="str">
            <v>H</v>
          </cell>
          <cell r="D743">
            <v>0.56999999999999995</v>
          </cell>
        </row>
        <row r="744">
          <cell r="A744" t="str">
            <v>88857</v>
          </cell>
          <cell r="B744" t="str">
            <v>RETROESCAVADEIRA SOBRE RODAS COM CARREGADEIRA, TRAÇÃO 4X4, POTÊNCIA LÍQ. 88 HP, CAÇAMBA CARREG. CAP. MÍN. 1 M3, CAÇAMBA RETRO CAP. 0,26 M3, PESO OPERACIONAL MÍN. 6.674 KG, PROFUNDIDADE ESCAVAÇÃO MÁX. 4,37 M - DEPRECIAÇÃO. AF_06/2014</v>
          </cell>
          <cell r="C744" t="str">
            <v>H</v>
          </cell>
          <cell r="D744">
            <v>24.96</v>
          </cell>
        </row>
        <row r="745">
          <cell r="A745" t="str">
            <v>88858</v>
          </cell>
          <cell r="B745" t="str">
            <v>RETROESCAVADEIRA SOBRE RODAS COM CARREGADEIRA, TRAÇÃO 4X4, POTÊNCIA LÍQ. 88 HP, CAÇAMBA CARREG. CAP. MÍN. 1 M3, CAÇAMBA RETRO CAP. 0,26 M3, PESO OPERACIONAL MÍN. 6.674 KG, PROFUNDIDADE ESCAVAÇÃO MÁX. 4,37 M - JUROS. AF_06/2014</v>
          </cell>
          <cell r="C745" t="str">
            <v>H</v>
          </cell>
          <cell r="D745">
            <v>3.38</v>
          </cell>
        </row>
        <row r="746">
          <cell r="A746" t="str">
            <v>88859</v>
          </cell>
          <cell r="B746" t="str">
            <v>RETROESCAVADEIRA SOBRE RODAS COM CARREGADEIRA, TRAÇÃO 4X2, POTÊNCIA LÍQ. 79 HP, CAÇAMBA CARREG. CAP. MÍN. 1 M3, CAÇAMBA RETRO CAP. 0,20 M3, PESO OPERACIONAL MÍN. 6.570 KG, PROFUNDIDADE ESCAVAÇÃO MÁX. 4,37 M - DEPRECIAÇÃO. AF_06/2014</v>
          </cell>
          <cell r="C746" t="str">
            <v>H</v>
          </cell>
          <cell r="D746">
            <v>22.2</v>
          </cell>
        </row>
        <row r="747">
          <cell r="A747" t="str">
            <v>88860</v>
          </cell>
          <cell r="B747" t="str">
            <v>RETROESCAVADEIRA SOBRE RODAS COM CARREGADEIRA, TRAÇÃO 4X2, POTÊNCIA LÍQ. 79 HP, CAÇAMBA CARREG. CAP. MÍN. 1 M3, CAÇAMBA RETRO CAP. 0,20 M3, PESO OPERACIONAL MÍN. 6.570 KG, PROFUNDIDADE ESCAVAÇÃO MÁX. 4,37 M - JUROS. AF_06/2014</v>
          </cell>
          <cell r="C747" t="str">
            <v>H</v>
          </cell>
          <cell r="D747">
            <v>3.01</v>
          </cell>
        </row>
        <row r="748">
          <cell r="A748" t="str">
            <v>88900</v>
          </cell>
          <cell r="B748" t="str">
            <v>ESCAVADEIRA HIDRÁULICA SOBRE ESTEIRAS, CAÇAMBA 1,20 M3, PESO OPERACIONAL 21 T, POTÊNCIA BRUTA 155 HP - DEPRECIAÇÃO. AF_06/2014</v>
          </cell>
          <cell r="C748" t="str">
            <v>H</v>
          </cell>
          <cell r="D748">
            <v>52.95</v>
          </cell>
        </row>
        <row r="749">
          <cell r="A749" t="str">
            <v>88902</v>
          </cell>
          <cell r="B749" t="str">
            <v>ESCAVADEIRA HIDRÁULICA SOBRE ESTEIRAS, CAÇAMBA 1,20 M3, PESO OPERACIONAL 21 T, POTÊNCIA BRUTA 155 HP - JUROS. AF_06/2014</v>
          </cell>
          <cell r="C749" t="str">
            <v>H</v>
          </cell>
          <cell r="D749">
            <v>7.18</v>
          </cell>
        </row>
        <row r="750">
          <cell r="A750" t="str">
            <v>88903</v>
          </cell>
          <cell r="B750" t="str">
            <v>ESCAVADEIRA HIDRÁULICA SOBRE ESTEIRAS, CAÇAMBA 1,20 M3, PESO OPERACIONAL 21 T, POTÊNCIA BRUTA 155 HP - MANUTENÇÃO. AF_06/2014</v>
          </cell>
          <cell r="C750" t="str">
            <v>H</v>
          </cell>
          <cell r="D750">
            <v>66.19</v>
          </cell>
        </row>
        <row r="751">
          <cell r="A751" t="str">
            <v>88904</v>
          </cell>
          <cell r="B751" t="str">
            <v>ESCAVADEIRA HIDRÁULICA SOBRE ESTEIRAS, CAÇAMBA 1,20 M3, PESO OPERACIONAL 21 T, POTÊNCIA BRUTA 155 HP - MATERIAIS NA OPERAÇÃO. AF_06/2014</v>
          </cell>
          <cell r="C751" t="str">
            <v>H</v>
          </cell>
          <cell r="D751">
            <v>76.8</v>
          </cell>
        </row>
        <row r="752">
          <cell r="A752" t="str">
            <v>89009</v>
          </cell>
          <cell r="B752" t="str">
            <v>TRATOR DE ESTEIRAS, POTÊNCIA 150 HP, PESO OPERACIONAL 16,7 T, COM RODA MOTRIZ ELEVADA E LÂMINA 3,18 M3 - DEPRECIAÇÃO. AF_06/2014</v>
          </cell>
          <cell r="C752" t="str">
            <v>H</v>
          </cell>
          <cell r="D752">
            <v>34.39</v>
          </cell>
        </row>
        <row r="753">
          <cell r="A753" t="str">
            <v>89010</v>
          </cell>
          <cell r="B753" t="str">
            <v>TRATOR DE ESTEIRAS, POTÊNCIA 150 HP, PESO OPERACIONAL 16,7 T, COM RODA MOTRIZ ELEVADA E LÂMINA 3,18 M3 - JUROS. AF_06/2014</v>
          </cell>
          <cell r="C753" t="str">
            <v>H</v>
          </cell>
          <cell r="D753">
            <v>7.74</v>
          </cell>
        </row>
        <row r="754">
          <cell r="A754" t="str">
            <v>89011</v>
          </cell>
          <cell r="B754" t="str">
            <v>RETROESCAVADEIRA SOBRE RODAS COM CARREGADEIRA, TRAÇÃO 4X4, POTÊNCIA LÍQ. 72 HP, CAÇAMBA CARREG. CAP. MÍN. 0,79 M3, CAÇAMBA RETRO CAP. 0,18 M3, PESO OPERACIONAL MÍN. 7.140 KG, PROFUNDIDADE ESCAVAÇÃO MÁX. 4,50 M - DEPRECIAÇÃO. AF_06/2014</v>
          </cell>
          <cell r="C754" t="str">
            <v>H</v>
          </cell>
          <cell r="D754">
            <v>24.08</v>
          </cell>
        </row>
        <row r="755">
          <cell r="A755" t="str">
            <v>89012</v>
          </cell>
          <cell r="B755" t="str">
            <v>RETROESCAVADEIRA SOBRE RODAS COM CARREGADEIRA, TRAÇÃO 4X4, POTÊNCIA LÍQ. 72 HP, CAÇAMBA CARREG. CAP. MÍN. 0,79 M3, CAÇAMBA RETRO CAP. 0,18 M3, PESO OPERACIONAL MÍN. 7.140 KG, PROFUNDIDADE ESCAVAÇÃO MÁX. 4,50 M - JUROS. AF_06/2014</v>
          </cell>
          <cell r="C755" t="str">
            <v>H</v>
          </cell>
          <cell r="D755">
            <v>3.26</v>
          </cell>
        </row>
        <row r="756">
          <cell r="A756" t="str">
            <v>89013</v>
          </cell>
          <cell r="B756" t="str">
            <v>TRATOR DE ESTEIRAS, POTÊNCIA 347 HP, PESO OPERACIONAL 38,5 T, COM LÂMINA 8,70 M3 - DEPRECIAÇÃO. AF_06/2014</v>
          </cell>
          <cell r="C756" t="str">
            <v>H</v>
          </cell>
          <cell r="D756">
            <v>112.67</v>
          </cell>
        </row>
        <row r="757">
          <cell r="A757" t="str">
            <v>89014</v>
          </cell>
          <cell r="B757" t="str">
            <v>TRATOR DE ESTEIRAS, POTÊNCIA 347 HP, PESO OPERACIONAL 38,5 T, COM LÂMINA 8,70 M3 - JUROS. AF_06/2014</v>
          </cell>
          <cell r="C757" t="str">
            <v>H</v>
          </cell>
          <cell r="D757">
            <v>25.36</v>
          </cell>
        </row>
        <row r="758">
          <cell r="A758" t="str">
            <v>89015</v>
          </cell>
          <cell r="B758" t="str">
            <v>VASSOURA MECÂNICA REBOCÁVEL COM ESCOVA CILÍNDRICA, LARGURA ÚTIL DE VARRIMENTO DE 2,44 M - DEPRECIAÇÃO. AF_06/2014</v>
          </cell>
          <cell r="C758" t="str">
            <v>H</v>
          </cell>
          <cell r="D758">
            <v>4.76</v>
          </cell>
        </row>
        <row r="759">
          <cell r="A759" t="str">
            <v>89016</v>
          </cell>
          <cell r="B759" t="str">
            <v>VASSOURA MECÂNICA REBOCÁVEL COM ESCOVA CILÍNDRICA, LARGURA ÚTIL DE VARRIMENTO DE 2,44 M - JUROS. AF_06/2014</v>
          </cell>
          <cell r="C759" t="str">
            <v>H</v>
          </cell>
          <cell r="D759">
            <v>0.64</v>
          </cell>
        </row>
        <row r="760">
          <cell r="A760" t="str">
            <v>89017</v>
          </cell>
          <cell r="B760" t="str">
            <v>TRATOR DE ESTEIRAS, POTÊNCIA 170 HP, PESO OPERACIONAL 19 T, CAÇAMBA 5,2 M3 - DEPRECIAÇÃO. AF_06/2014</v>
          </cell>
          <cell r="C760" t="str">
            <v>H</v>
          </cell>
          <cell r="D760">
            <v>34.18</v>
          </cell>
        </row>
        <row r="761">
          <cell r="A761" t="str">
            <v>89018</v>
          </cell>
          <cell r="B761" t="str">
            <v>TRATOR DE ESTEIRAS, POTÊNCIA 170 HP, PESO OPERACIONAL 19 T, CAÇAMBA 5,2 M3 - JUROS. AF_06/2014</v>
          </cell>
          <cell r="C761" t="str">
            <v>H</v>
          </cell>
          <cell r="D761">
            <v>7.69</v>
          </cell>
        </row>
        <row r="762">
          <cell r="A762" t="str">
            <v>89019</v>
          </cell>
          <cell r="B762" t="str">
            <v>BOMBA SUBMERSÍVEL ELÉTRICA TRIFÁSICA, POTÊNCIA 2,96 HP, Ø ROTOR 144 MM SEMI-ABERTO, BOCAL DE SAÍDA Ø 2, HM/Q = 2 MCA / 38,8 M3/H A 28 MCA / 5 M3/H - DEPRECIAÇÃO. AF_06/2014</v>
          </cell>
          <cell r="C762" t="str">
            <v>H</v>
          </cell>
          <cell r="D762">
            <v>0.28000000000000003</v>
          </cell>
        </row>
        <row r="763">
          <cell r="A763" t="str">
            <v>89020</v>
          </cell>
          <cell r="B763" t="str">
            <v>BOMBA SUBMERSÍVEL ELÉTRICA TRIFÁSICA, POTÊNCIA 2,96 HP, Ø ROTOR 144 MM SEMI-ABERTO, BOCAL DE SAÍDA Ø 2, HM/Q = 2 MCA / 38,8 M3/H A 28 MCA / 5 M3/H - JUROS. AF_06/2014</v>
          </cell>
          <cell r="C763" t="str">
            <v>H</v>
          </cell>
          <cell r="D763">
            <v>0.03</v>
          </cell>
        </row>
        <row r="764">
          <cell r="A764" t="str">
            <v>89023</v>
          </cell>
          <cell r="B764" t="str">
            <v>TANQUE DE ASFALTO ESTACIONÁRIO COM MAÇARICO, CAPACIDADE 20.000 L - DEPRECIAÇÃO. AF_06/2014</v>
          </cell>
          <cell r="C764" t="str">
            <v>H</v>
          </cell>
          <cell r="D764">
            <v>3.97</v>
          </cell>
        </row>
        <row r="765">
          <cell r="A765" t="str">
            <v>89024</v>
          </cell>
          <cell r="B765" t="str">
            <v>TANQUE DE ASFALTO ESTACIONÁRIO COM MAÇARICO, CAPACIDADE 20.000 L - JUROS. AF_06/2014</v>
          </cell>
          <cell r="C765" t="str">
            <v>H</v>
          </cell>
          <cell r="D765">
            <v>0.66</v>
          </cell>
        </row>
        <row r="766">
          <cell r="A766" t="str">
            <v>89025</v>
          </cell>
          <cell r="B766" t="str">
            <v>TANQUE DE ASFALTO ESTACIONÁRIO COM MAÇARICO, CAPACIDADE 20.000 L - MANUTENÇÃO. AF_06/2014</v>
          </cell>
          <cell r="C766" t="str">
            <v>H</v>
          </cell>
          <cell r="D766">
            <v>7.44</v>
          </cell>
        </row>
        <row r="767">
          <cell r="A767" t="str">
            <v>89026</v>
          </cell>
          <cell r="B767" t="str">
            <v>TANQUE DE ASFALTO ESTACIONÁRIO COM MAÇARICO, CAPACIDADE 20.000 L - MATERIAIS NA OPERAÇÃO. AF_06/2014</v>
          </cell>
          <cell r="C767" t="str">
            <v>H</v>
          </cell>
          <cell r="D767">
            <v>170.06</v>
          </cell>
        </row>
        <row r="768">
          <cell r="A768" t="str">
            <v>89029</v>
          </cell>
          <cell r="B768" t="str">
            <v>TRATOR DE ESTEIRAS, POTÊNCIA 100 HP, PESO OPERACIONAL 9,4 T, COM LÂMINA 2,19 M3 - DEPRECIAÇÃO. AF_06/2014</v>
          </cell>
          <cell r="C768" t="str">
            <v>H</v>
          </cell>
          <cell r="D768">
            <v>26.53</v>
          </cell>
        </row>
        <row r="769">
          <cell r="A769" t="str">
            <v>89030</v>
          </cell>
          <cell r="B769" t="str">
            <v>TRATOR DE ESTEIRAS, POTÊNCIA 100 HP, PESO OPERACIONAL 9,4 T, COM LÂMINA 2,19 M3 - JUROS. AF_06/2014</v>
          </cell>
          <cell r="C769" t="str">
            <v>H</v>
          </cell>
          <cell r="D769">
            <v>5.97</v>
          </cell>
        </row>
        <row r="770">
          <cell r="A770" t="str">
            <v>89033</v>
          </cell>
          <cell r="B770" t="str">
            <v>TRATOR DE PNEUS, POTÊNCIA 85 CV, TRAÇÃO 4X4, PESO COM LASTRO DE 4.675 KG - DEPRECIAÇÃO. AF_06/2014</v>
          </cell>
          <cell r="C770" t="str">
            <v>H</v>
          </cell>
          <cell r="D770">
            <v>11.72</v>
          </cell>
        </row>
        <row r="771">
          <cell r="A771" t="str">
            <v>89034</v>
          </cell>
          <cell r="B771" t="str">
            <v>TRATOR DE PNEUS, POTÊNCIA 85 CV, TRAÇÃO 4X4, PESO COM LASTRO DE 4.675 KG - JUROS. AF_06/2014</v>
          </cell>
          <cell r="C771" t="str">
            <v>H</v>
          </cell>
          <cell r="D771">
            <v>1.62</v>
          </cell>
        </row>
        <row r="772">
          <cell r="A772" t="str">
            <v>89128</v>
          </cell>
          <cell r="B772" t="str">
            <v>PÁ CARREGADEIRA SOBRE RODAS, POTÊNCIA LÍQUIDA 128 HP, CAPACIDADE DA CAÇAMBA 1,7 A 2,8 M3, PESO OPERACIONAL 11632 KG - DEPRECIAÇÃO. AF_06/2014</v>
          </cell>
          <cell r="C772" t="str">
            <v>H</v>
          </cell>
          <cell r="D772">
            <v>35.28</v>
          </cell>
        </row>
        <row r="773">
          <cell r="A773" t="str">
            <v>89129</v>
          </cell>
          <cell r="B773" t="str">
            <v>PÁ CARREGADEIRA SOBRE RODAS, POTÊNCIA LÍQUIDA 128 HP, CAPACIDADE DA CAÇAMBA 1,7 A 2,8 M3, PESO OPERACIONAL 11632 KG - JUROS. AF_06/2014</v>
          </cell>
          <cell r="C773" t="str">
            <v>H</v>
          </cell>
          <cell r="D773">
            <v>4.78</v>
          </cell>
        </row>
        <row r="774">
          <cell r="A774" t="str">
            <v>89130</v>
          </cell>
          <cell r="B774" t="str">
            <v>PÁ CARREGADEIRA SOBRE RODAS, POTÊNCIA 197 HP, CAPACIDADE DA CAÇAMBA 2,5 A 3,5 M3, PESO OPERACIONAL 18338 KG - DEPRECIAÇÃO. AF_06/2014</v>
          </cell>
          <cell r="C774" t="str">
            <v>H</v>
          </cell>
          <cell r="D774">
            <v>48.92</v>
          </cell>
        </row>
        <row r="775">
          <cell r="A775" t="str">
            <v>89131</v>
          </cell>
          <cell r="B775" t="str">
            <v>PÁ CARREGADEIRA SOBRE RODAS, POTÊNCIA 197 HP, CAPACIDADE DA CAÇAMBA 2,5 A 3,5 M3, PESO OPERACIONAL 18338 KG - JUROS. AF_06/2014</v>
          </cell>
          <cell r="C775" t="str">
            <v>H</v>
          </cell>
          <cell r="D775">
            <v>6.63</v>
          </cell>
        </row>
        <row r="776">
          <cell r="A776" t="str">
            <v>89210</v>
          </cell>
          <cell r="B776" t="str">
            <v>ROLO COMPACTADOR VIBRATÓRIO DE UM CILINDRO AÇO LISO, POTÊNCIA 80 HP, PESO OPERACIONAL MÁXIMO 8,1 T, IMPACTO DINÂMICO 16,15 / 9,5 T, LARGURA DE TRABALHO 1,68 M - DEPRECIAÇÃO. AF_06/2014</v>
          </cell>
          <cell r="C776" t="str">
            <v>H</v>
          </cell>
          <cell r="D776">
            <v>27.97</v>
          </cell>
        </row>
        <row r="777">
          <cell r="A777" t="str">
            <v>89211</v>
          </cell>
          <cell r="B777" t="str">
            <v>ROLO COMPACTADOR VIBRATÓRIO DE UM CILINDRO AÇO LISO, POTÊNCIA 80 HP, PESO OPERACIONAL MÁXIMO 8,1 T, IMPACTO DINÂMICO 16,15 / 9,5 T, LARGURA DE TRABALHO 1,68 M - JUROS. AF_06/2014</v>
          </cell>
          <cell r="C777" t="str">
            <v>H</v>
          </cell>
          <cell r="D777">
            <v>3.88</v>
          </cell>
        </row>
        <row r="778">
          <cell r="A778" t="str">
            <v>89212</v>
          </cell>
          <cell r="B778" t="str">
            <v>BATE-ESTACAS POR GRAVIDADE, POTÊNCIA DE 160 HP, PESO DO MARTELO ATÉ 3 TONELADAS - DEPRECIAÇÃO. AF_11/2014</v>
          </cell>
          <cell r="C778" t="str">
            <v>H</v>
          </cell>
          <cell r="D778">
            <v>24.39</v>
          </cell>
        </row>
        <row r="779">
          <cell r="A779" t="str">
            <v>89213</v>
          </cell>
          <cell r="B779" t="str">
            <v>BATE-ESTACAS POR GRAVIDADE, POTÊNCIA DE 160 HP, PESO DO MARTELO ATÉ 3 TONELADAS - JUROS. AF_11/2014</v>
          </cell>
          <cell r="C779" t="str">
            <v>H</v>
          </cell>
          <cell r="D779">
            <v>3.84</v>
          </cell>
        </row>
        <row r="780">
          <cell r="A780" t="str">
            <v>89214</v>
          </cell>
          <cell r="B780" t="str">
            <v>BATE-ESTACAS POR GRAVIDADE, POTÊNCIA DE 160 HP, PESO DO MARTELO ATÉ 3 TONELADAS - MANUTENÇÃO. AF_11/2014</v>
          </cell>
          <cell r="C780" t="str">
            <v>H</v>
          </cell>
          <cell r="D780">
            <v>22.89</v>
          </cell>
        </row>
        <row r="781">
          <cell r="A781" t="str">
            <v>89215</v>
          </cell>
          <cell r="B781" t="str">
            <v>BATE-ESTACAS POR GRAVIDADE, POTÊNCIA DE 160 HP, PESO DO MARTELO ATÉ 3 TONELADAS - MATERIAIS NA OPERAÇÃO. AF_11/2014</v>
          </cell>
          <cell r="C781" t="str">
            <v>H</v>
          </cell>
          <cell r="D781">
            <v>79.3</v>
          </cell>
        </row>
        <row r="782">
          <cell r="A782" t="str">
            <v>89221</v>
          </cell>
          <cell r="B782" t="str">
            <v>BETONEIRA CAPACIDADE NOMINAL DE 600 L, CAPACIDADE DE MISTURA 360 L, MOTOR ELÉTRICO TRIFÁSICO POTÊNCIA DE 4 CV, SEM CARREGADOR - DEPRECIAÇÃO. AF_11/2014</v>
          </cell>
          <cell r="C782" t="str">
            <v>H</v>
          </cell>
          <cell r="D782">
            <v>1.3</v>
          </cell>
        </row>
        <row r="783">
          <cell r="A783" t="str">
            <v>89222</v>
          </cell>
          <cell r="B783" t="str">
            <v>BETONEIRA CAPACIDADE NOMINAL DE 600 L, CAPACIDADE DE MISTURA 360 L, MOTOR ELÉTRICO TRIFÁSICO POTÊNCIA DE 4 CV, SEM CARREGADOR - JUROS. AF_11/2014</v>
          </cell>
          <cell r="C783" t="str">
            <v>H</v>
          </cell>
          <cell r="D783">
            <v>0.15</v>
          </cell>
        </row>
        <row r="784">
          <cell r="A784" t="str">
            <v>89223</v>
          </cell>
          <cell r="B784" t="str">
            <v>BETONEIRA CAPACIDADE NOMINAL DE 600 L, CAPACIDADE DE MISTURA 360 L, MOTOR ELÉTRICO TRIFÁSICO POTÊNCIA DE 4 CV, SEM CARREGADOR - MANUTENÇÃO. AF_11/2014</v>
          </cell>
          <cell r="C784" t="str">
            <v>H</v>
          </cell>
          <cell r="D784">
            <v>1.22</v>
          </cell>
        </row>
        <row r="785">
          <cell r="A785" t="str">
            <v>89224</v>
          </cell>
          <cell r="B785" t="str">
            <v>BETONEIRA CAPACIDADE NOMINAL DE 600 L, CAPACIDADE DE MISTURA 360 L, MOTOR ELÉTRICO TRIFÁSICO POTÊNCIA DE 4 CV, SEM CARREGADOR - MATERIAIS NA OPERAÇÃO. AF_11/2014</v>
          </cell>
          <cell r="C785" t="str">
            <v>H</v>
          </cell>
          <cell r="D785">
            <v>2.35</v>
          </cell>
        </row>
        <row r="786">
          <cell r="A786" t="str">
            <v>89228</v>
          </cell>
          <cell r="B786" t="str">
            <v>MOTONIVELADORA POTÊNCIA BÁSICA LÍQUIDA (PRIMEIRA MARCHA) 125 HP, PESO BRUTO 13032 KG, LARGURA DA LÂMINA DE 3,7 M - DEPRECIAÇÃO. AF_06/2014</v>
          </cell>
          <cell r="C786" t="str">
            <v>H</v>
          </cell>
          <cell r="D786">
            <v>40.799999999999997</v>
          </cell>
        </row>
        <row r="787">
          <cell r="A787" t="str">
            <v>89229</v>
          </cell>
          <cell r="B787" t="str">
            <v>MOTONIVELADORA POTÊNCIA BÁSICA LÍQUIDA (PRIMEIRA MARCHA) 125 HP, PESO BRUTO 13032 KG, LARGURA DA LÂMINA DE 3,7 M - JUROS. AF_06/2014</v>
          </cell>
          <cell r="C787" t="str">
            <v>H</v>
          </cell>
          <cell r="D787">
            <v>7.34</v>
          </cell>
        </row>
        <row r="788">
          <cell r="A788" t="str">
            <v>89230</v>
          </cell>
          <cell r="B788" t="str">
            <v>FRESADORA DE ASFALTO A FRIO SOBRE RODAS, LARGURA FRESAGEM DE 1,0 M, POTÊNCIA 208 HP - DEPRECIAÇÃO. AF_11/2014</v>
          </cell>
          <cell r="C788" t="str">
            <v>H</v>
          </cell>
          <cell r="D788">
            <v>153.99</v>
          </cell>
        </row>
        <row r="789">
          <cell r="A789" t="str">
            <v>89231</v>
          </cell>
          <cell r="B789" t="str">
            <v>FRESADORA DE ASFALTO A FRIO SOBRE RODAS, LARGURA FRESAGEM DE 1,0 M, POTÊNCIA 208 HP - JUROS. AF_11/2014</v>
          </cell>
          <cell r="C789" t="str">
            <v>H</v>
          </cell>
          <cell r="D789">
            <v>24.4</v>
          </cell>
        </row>
        <row r="790">
          <cell r="A790" t="str">
            <v>89232</v>
          </cell>
          <cell r="B790" t="str">
            <v>FRESADORA DE ASFALTO A FRIO SOBRE RODAS, LARGURA FRESAGEM DE 1,0 M, POTÊNCIA 208 HP - MANUTENÇÃO. AF_11/2014</v>
          </cell>
          <cell r="C790" t="str">
            <v>H</v>
          </cell>
          <cell r="D790">
            <v>274.68</v>
          </cell>
        </row>
        <row r="791">
          <cell r="A791" t="str">
            <v>89233</v>
          </cell>
          <cell r="B791" t="str">
            <v>FRESADORA DE ASFALTO A FRIO SOBRE RODAS, LARGURA FRESAGEM DE 1,0 M, POTÊNCIA 208 HP - MATERIAIS NA OPERAÇÃO. AF_11/2014</v>
          </cell>
          <cell r="C791" t="str">
            <v>H</v>
          </cell>
          <cell r="D791">
            <v>142.72</v>
          </cell>
        </row>
        <row r="792">
          <cell r="A792" t="str">
            <v>89236</v>
          </cell>
          <cell r="B792" t="str">
            <v>FRESADORA DE ASFALTO A FRIO SOBRE RODAS, LARGURA FRESAGEM DE 2,0 M, POTÊNCIA 550 HP - DEPRECIAÇÃO. AF_11/2014</v>
          </cell>
          <cell r="C792" t="str">
            <v>H</v>
          </cell>
          <cell r="D792">
            <v>359.73</v>
          </cell>
        </row>
        <row r="793">
          <cell r="A793" t="str">
            <v>89237</v>
          </cell>
          <cell r="B793" t="str">
            <v>FRESADORA DE ASFALTO A FRIO SOBRE RODAS, LARGURA FRESAGEM DE 2,0 M, POTÊNCIA 550 HP - JUROS. AF_11/2014</v>
          </cell>
          <cell r="C793" t="str">
            <v>H</v>
          </cell>
          <cell r="D793">
            <v>57</v>
          </cell>
        </row>
        <row r="794">
          <cell r="A794" t="str">
            <v>89238</v>
          </cell>
          <cell r="B794" t="str">
            <v>FRESADORA DE ASFALTO A FRIO SOBRE RODAS, LARGURA FRESAGEM DE 2,0 M, POTÊNCIA 550 HP - MANUTENÇÃO. AF_11/2014</v>
          </cell>
          <cell r="C794" t="str">
            <v>H</v>
          </cell>
          <cell r="D794">
            <v>641.66</v>
          </cell>
        </row>
        <row r="795">
          <cell r="A795" t="str">
            <v>89239</v>
          </cell>
          <cell r="B795" t="str">
            <v>FRESADORA DE ASFALTO A FRIO SOBRE RODAS, LARGURA FRESAGEM DE 2,0 M, POTÊNCIA 550 HP - MATERIAIS NA OPERAÇÃO. AF_11/2014</v>
          </cell>
          <cell r="C795" t="str">
            <v>H</v>
          </cell>
          <cell r="D795">
            <v>377.42</v>
          </cell>
        </row>
        <row r="796">
          <cell r="A796" t="str">
            <v>89240</v>
          </cell>
          <cell r="B796" t="str">
            <v>VIBROACABADORA DE ASFALTO SOBRE ESTEIRAS, LARGURA DE PAVIMENTAÇÃO 1,90 M A 5,30 M, POTÊNCIA 105 HP CAPACIDADE 450 T/H - DEPRECIAÇÃO. AF_11/2014</v>
          </cell>
          <cell r="C796" t="str">
            <v>H</v>
          </cell>
          <cell r="D796">
            <v>110.4</v>
          </cell>
        </row>
        <row r="797">
          <cell r="A797" t="str">
            <v>89241</v>
          </cell>
          <cell r="B797" t="str">
            <v>VIBROACABADORA DE ASFALTO SOBRE ESTEIRAS, LARGURA DE PAVIMENTAÇÃO 1,90 M A 5,30 M, POTÊNCIA 105 HP CAPACIDADE 450 T/H - JUROS. AF_11/2014</v>
          </cell>
          <cell r="C797" t="str">
            <v>H</v>
          </cell>
          <cell r="D797">
            <v>19.87</v>
          </cell>
        </row>
        <row r="798">
          <cell r="A798" t="str">
            <v>89246</v>
          </cell>
          <cell r="B798" t="str">
            <v>RECICLADORA DE ASFALTO A FRIO SOBRE RODAS, LARGURA FRESAGEM DE 2,0 M, POTÊNCIA 422 HP - DEPRECIAÇÃO. AF_11/2014</v>
          </cell>
          <cell r="C798" t="str">
            <v>H</v>
          </cell>
          <cell r="D798">
            <v>312.58</v>
          </cell>
        </row>
        <row r="799">
          <cell r="A799" t="str">
            <v>89247</v>
          </cell>
          <cell r="B799" t="str">
            <v>RECICLADORA DE ASFALTO A FRIO SOBRE RODAS, LARGURA FRESAGEM DE 2,0 M, POTÊNCIA 422 HP - JUROS. AF_11/2014</v>
          </cell>
          <cell r="C799" t="str">
            <v>H</v>
          </cell>
          <cell r="D799">
            <v>49.53</v>
          </cell>
        </row>
        <row r="800">
          <cell r="A800" t="str">
            <v>89248</v>
          </cell>
          <cell r="B800" t="str">
            <v>RECICLADORA DE ASFALTO A FRIO SOBRE RODAS, LARGURA FRESAGEM DE 2,0 M, POTÊNCIA 422 HP - MANUTENÇÃO. AF_11/2014</v>
          </cell>
          <cell r="C800" t="str">
            <v>H</v>
          </cell>
          <cell r="D800">
            <v>557.55999999999995</v>
          </cell>
        </row>
        <row r="801">
          <cell r="A801" t="str">
            <v>89249</v>
          </cell>
          <cell r="B801" t="str">
            <v>RECICLADORA DE ASFALTO A FRIO SOBRE RODAS, LARGURA FRESAGEM DE 2,0 M, POTÊNCIA 422 HP - MATERIAIS NA OPERAÇÃO. AF_11/2014</v>
          </cell>
          <cell r="C801" t="str">
            <v>H</v>
          </cell>
          <cell r="D801">
            <v>321.72000000000003</v>
          </cell>
        </row>
        <row r="802">
          <cell r="A802" t="str">
            <v>89253</v>
          </cell>
          <cell r="B802" t="str">
            <v>VIBROACABADORA DE ASFALTO SOBRE ESTEIRAS, LARGURA DE PAVIMENTAÇÃO 2,13 M A 4,55 M, POTÊNCIA 100 HP, CAPACIDADE 400 T/H - DEPRECIAÇÃO. AF_11/2014</v>
          </cell>
          <cell r="C802" t="str">
            <v>H</v>
          </cell>
          <cell r="D802">
            <v>90.47</v>
          </cell>
        </row>
        <row r="803">
          <cell r="A803" t="str">
            <v>89254</v>
          </cell>
          <cell r="B803" t="str">
            <v>VIBROACABADORA DE ASFALTO SOBRE ESTEIRAS, LARGURA DE PAVIMENTAÇÃO 2,13 M A 4,55 M, POTÊNCIA 100 HP, CAPACIDADE 400 T/H - JUROS. AF_11/2014</v>
          </cell>
          <cell r="C803" t="str">
            <v>H</v>
          </cell>
          <cell r="D803">
            <v>16.28</v>
          </cell>
        </row>
        <row r="804">
          <cell r="A804" t="str">
            <v>89255</v>
          </cell>
          <cell r="B804" t="str">
            <v>VIBROACABADORA DE ASFALTO SOBRE ESTEIRAS, LARGURA DE PAVIMENTAÇÃO 2,13 M A 4,55 M, POTÊNCIA 100 HP, CAPACIDADE 400 T/H - MANUTENÇÃO. AF_11/2014</v>
          </cell>
          <cell r="C804" t="str">
            <v>H</v>
          </cell>
          <cell r="D804">
            <v>145.43</v>
          </cell>
        </row>
        <row r="805">
          <cell r="A805" t="str">
            <v>89256</v>
          </cell>
          <cell r="B805" t="str">
            <v>VIBROACABADORA DE ASFALTO SOBRE ESTEIRAS, LARGURA DE PAVIMENTAÇÃO 2,13 M A 4,55 M, POTÊNCIA 100 HP, CAPACIDADE 400 T/H - MATERIAIS NA OPERAÇÃO. AF_11/2014</v>
          </cell>
          <cell r="C805" t="str">
            <v>H</v>
          </cell>
          <cell r="D805">
            <v>72.400000000000006</v>
          </cell>
        </row>
        <row r="806">
          <cell r="A806" t="str">
            <v>89259</v>
          </cell>
          <cell r="B806" t="str">
            <v>GUINDAUTO HIDRÁULICO, CAPACIDADE MÁXIMA DE CARGA 6200 KG, MOMENTO MÁXIMO DE CARGA 11,7 TM, ALCANCE MÁXIMO HORIZONTAL 9,70 M, INCLUSIVE CAMINHÃO TOCO PBT 16.000 KG, POTÊNCIA DE 189 CV - DEPRECIAÇÃO. AF_06/2014</v>
          </cell>
          <cell r="C806" t="str">
            <v>H</v>
          </cell>
          <cell r="D806">
            <v>15.13</v>
          </cell>
        </row>
        <row r="807">
          <cell r="A807" t="str">
            <v>89260</v>
          </cell>
          <cell r="B807" t="str">
            <v>GUINDAUTO HIDRÁULICO, CAPACIDADE MÁXIMA DE CARGA 6200 KG, MOMENTO MÁXIMO DE CARGA 11,7 TM, ALCANCE MÁXIMO HORIZONTAL 9,70 M, INCLUSIVE CAMINHÃO TOCO PBT 16.000 KG, POTÊNCIA DE 189 CV - JUROS. AF_06/2014</v>
          </cell>
          <cell r="C807" t="str">
            <v>H</v>
          </cell>
          <cell r="D807">
            <v>3.16</v>
          </cell>
        </row>
        <row r="808">
          <cell r="A808" t="str">
            <v>89262</v>
          </cell>
          <cell r="B808" t="str">
            <v>GUINDAUTO HIDRÁULICO, CAPACIDADE MÁXIMA DE CARGA 6200 KG, MOMENTO MÁXIMO DE CARGA 11,7 TM, ALCANCE MÁXIMO HORIZONTAL 9,70 M, INCLUSIVE CAMINHÃO TOCO PBT 16.000 KG, POTÊNCIA DE 189 CV - MANUTENÇÃO. AF_06/2014</v>
          </cell>
          <cell r="C808" t="str">
            <v>H</v>
          </cell>
          <cell r="D808">
            <v>28.36</v>
          </cell>
        </row>
        <row r="809">
          <cell r="A809" t="str">
            <v>89264</v>
          </cell>
          <cell r="B809" t="str">
            <v>CAMINHÃO TOCO, PBT 16.000 KG, CARGA ÚTIL MÁX. 10.685 KG, DIST. ENTRE EIXOS 4,8 M, POTÊNCIA 189 CV, INCLUSIVE CARROCERIA FIXA ABERTA DE MADEIRA P/ TRANSPORTE GERAL DE CARGA SECA, DIMEN. APROX. 2,5 X 7,00 X 0,50 M - DEPRECIAÇÃO. AF_06/2014</v>
          </cell>
          <cell r="C809" t="str">
            <v>H</v>
          </cell>
          <cell r="D809">
            <v>12.01</v>
          </cell>
        </row>
        <row r="810">
          <cell r="A810" t="str">
            <v>89265</v>
          </cell>
          <cell r="B810" t="str">
            <v>CAMINHÃO TOCO, PBT 16.000 KG, CARGA ÚTIL MÁX. 10.685 KG, DIST. ENTRE EIXOS 4,8 M, POTÊNCIA 189 CV, INCLUSIVE CARROCERIA FIXA ABERTA DE MADEIRA P/ TRANSPORTE GERAL DE CARGA SECA, DIMEN. APROX. 2,5 X 7,00 X 0,50 M - JUROS. AF_06/2014</v>
          </cell>
          <cell r="C810" t="str">
            <v>H</v>
          </cell>
          <cell r="D810">
            <v>2.5099999999999998</v>
          </cell>
        </row>
        <row r="811">
          <cell r="A811" t="str">
            <v>89266</v>
          </cell>
          <cell r="B811" t="str">
            <v>CAMINHÃO TOCO, PBT 16.000 KG, CARGA ÚTIL MÁX. 10.685 KG, DIST. ENTRE EIXOS 4,8 M, POTÊNCIA 189 CV, INCLUSIVE CARROCERIA FIXA ABERTA DE MADEIRA P/ TRANSPORTE GERAL DE CARGA SECA, DIMEN. APROX. 2,5 X 7,00 X 0,50 M - IMPOSTOS E SEGUROS. AF_06/2014</v>
          </cell>
          <cell r="C811" t="str">
            <v>H</v>
          </cell>
          <cell r="D811">
            <v>0.97</v>
          </cell>
        </row>
        <row r="812">
          <cell r="A812" t="str">
            <v>89267</v>
          </cell>
          <cell r="B812" t="str">
            <v>GUINDASTE HIDRÁULICO AUTOPROPELIDO, COM LANÇA TELESCÓPICA 28,80 M, CAPACIDADE MÁXIMA 30 T, POTÊNCIA 97 KW, TRAÇÃO 4 X 4 - DEPRECIAÇÃO. AF_11/2014</v>
          </cell>
          <cell r="C812" t="str">
            <v>H</v>
          </cell>
          <cell r="D812">
            <v>42.45</v>
          </cell>
        </row>
        <row r="813">
          <cell r="A813" t="str">
            <v>89268</v>
          </cell>
          <cell r="B813" t="str">
            <v>GUINDASTE HIDRÁULICO AUTOPROPELIDO, COM LANÇA TELESCÓPICA 28,80 M, CAPACIDADE MÁXIMA 30 T, POTÊNCIA 97 KW, TRAÇÃO 4 X 4 - JUROS. AF_11/2014</v>
          </cell>
          <cell r="C813" t="str">
            <v>H</v>
          </cell>
          <cell r="D813">
            <v>7.64</v>
          </cell>
        </row>
        <row r="814">
          <cell r="A814" t="str">
            <v>89269</v>
          </cell>
          <cell r="B814" t="str">
            <v>GUINDASTE HIDRÁULICO AUTOPROPELIDO, COM LANÇA TELESCÓPICA 28,80 M, CAPACIDADE MÁXIMA 30 T, POTÊNCIA 97 KW, TRAÇÃO 4 X 4 - IMPOSTOS E SEGUROS. AF_11/2014</v>
          </cell>
          <cell r="C814" t="str">
            <v>H</v>
          </cell>
          <cell r="D814">
            <v>2.97</v>
          </cell>
        </row>
        <row r="815">
          <cell r="A815" t="str">
            <v>89270</v>
          </cell>
          <cell r="B815" t="str">
            <v>GUINDASTE HIDRÁULICO AUTOPROPELIDO, COM LANÇA TELESCÓPICA 28,80 M, CAPACIDADE MÁXIMA 30 T, POTÊNCIA 97 KW, TRAÇÃO 4 X 4 - MANUTENÇÃO. AF_11/2014</v>
          </cell>
          <cell r="C815" t="str">
            <v>H</v>
          </cell>
          <cell r="D815">
            <v>68.25</v>
          </cell>
        </row>
        <row r="816">
          <cell r="A816" t="str">
            <v>89271</v>
          </cell>
          <cell r="B816" t="str">
            <v>GUINDASTE HIDRÁULICO AUTOPROPELIDO, COM LANÇA TELESCÓPICA 28,80 M, CAPACIDADE MÁXIMA 30 T, POTÊNCIA 97 KW, TRAÇÃO 4 X 4 - MATERIAIS NA OPERAÇÃO. AF_11/2014</v>
          </cell>
          <cell r="C816" t="str">
            <v>H</v>
          </cell>
          <cell r="D816">
            <v>24.78</v>
          </cell>
        </row>
        <row r="817">
          <cell r="A817" t="str">
            <v>89274</v>
          </cell>
          <cell r="B817" t="str">
            <v>BETONEIRA CAPACIDADE NOMINAL DE 600 L, CAPACIDADE DE MISTURA 440 L, MOTOR A DIESEL POTÊNCIA 10 HP, COM CARREGADOR - DEPRECIAÇÃO. AF_11/2014</v>
          </cell>
          <cell r="C817" t="str">
            <v>H</v>
          </cell>
          <cell r="D817">
            <v>1.58</v>
          </cell>
        </row>
        <row r="818">
          <cell r="A818" t="str">
            <v>89275</v>
          </cell>
          <cell r="B818" t="str">
            <v>BETONEIRA CAPACIDADE NOMINAL DE 600 L, CAPACIDADE DE MISTURA 440 L, MOTOR A DIESEL POTÊNCIA 10 HP, COM CARREGADOR - JUROS. AF_11/2014</v>
          </cell>
          <cell r="C818" t="str">
            <v>H</v>
          </cell>
          <cell r="D818">
            <v>0.18</v>
          </cell>
        </row>
        <row r="819">
          <cell r="A819" t="str">
            <v>89276</v>
          </cell>
          <cell r="B819" t="str">
            <v>BETONEIRA CAPACIDADE NOMINAL DE 600 L, CAPACIDADE DE MISTURA 440 L, MOTOR A DIESEL POTÊNCIA 10 HP, COM CARREGADOR - MANUTENÇÃO. AF_11/2014</v>
          </cell>
          <cell r="C819" t="str">
            <v>H</v>
          </cell>
          <cell r="D819">
            <v>1.48</v>
          </cell>
        </row>
        <row r="820">
          <cell r="A820" t="str">
            <v>89277</v>
          </cell>
          <cell r="B820" t="str">
            <v>BETONEIRA CAPACIDADE NOMINAL DE 600 L, CAPACIDADE DE MISTURA 440 L, MOTOR A DIESEL POTÊNCIA 10 HP, COM CARREGADOR - MATERIAIS NA OPERAÇÃO. AF_11/2014</v>
          </cell>
          <cell r="C820" t="str">
            <v>H</v>
          </cell>
          <cell r="D820">
            <v>7.25</v>
          </cell>
        </row>
        <row r="821">
          <cell r="A821" t="str">
            <v>89280</v>
          </cell>
          <cell r="B821" t="str">
            <v>ROLO COMPACTADOR VIBRATÓRIO TANDEM AÇO LISO, POTÊNCIA 58 HP, PESO SEM/COM LASTRO 6,5 / 9,4 T, LARGURA DE TRABALHO 1,2 M - DEPRECIAÇÃO. AF_06/2014</v>
          </cell>
          <cell r="C821" t="str">
            <v>H</v>
          </cell>
          <cell r="D821">
            <v>34.35</v>
          </cell>
        </row>
        <row r="822">
          <cell r="A822" t="str">
            <v>89281</v>
          </cell>
          <cell r="B822" t="str">
            <v>ROLO COMPACTADOR VIBRATÓRIO TANDEM AÇO LISO, POTÊNCIA 58 HP, PESO SEM/COM LASTRO 6,5 / 9,4 T, LARGURA DE TRABALHO 1,2 M - JUROS. AF_06/2014</v>
          </cell>
          <cell r="C822" t="str">
            <v>H</v>
          </cell>
          <cell r="D822">
            <v>4.76</v>
          </cell>
        </row>
        <row r="823">
          <cell r="A823" t="str">
            <v>89870</v>
          </cell>
          <cell r="B823" t="str">
            <v>CAMINHÃO BASCULANTE 14 M3, COM CAVALO MECÂNICO DE CAPACIDADE MÁXIMA DE TRAÇÃO COMBINADO DE 36000 KG, POTÊNCIA 286 CV, INCLUSIVE SEMIREBOQUE COM CAÇAMBA METÁLICA - DEPRECIAÇÃO. AF_12/2014</v>
          </cell>
          <cell r="C823" t="str">
            <v>H</v>
          </cell>
          <cell r="D823">
            <v>29.81</v>
          </cell>
        </row>
        <row r="824">
          <cell r="A824" t="str">
            <v>89871</v>
          </cell>
          <cell r="B824" t="str">
            <v>CAMINHÃO BASCULANTE 14 M3, COM CAVALO MECÂNICO DE CAPACIDADE MÁXIMA DE TRAÇÃO COMBINADO DE 36000 KG, POTÊNCIA 286 CV, INCLUSIVE SEMIREBOQUE COM CAÇAMBA METÁLICA - JUROS. AF_12/2014</v>
          </cell>
          <cell r="C824" t="str">
            <v>H</v>
          </cell>
          <cell r="D824">
            <v>5.5</v>
          </cell>
        </row>
        <row r="825">
          <cell r="A825" t="str">
            <v>89872</v>
          </cell>
          <cell r="B825" t="str">
            <v>CAMINHÃO BASCULANTE 14 M3, COM CAVALO MECÂNICO DE CAPACIDADE MÁXIMA DE TRAÇÃO COMBINADO DE 36000 KG, POTÊNCIA 286 CV, INCLUSIVE SEMIREBOQUE COM CAÇAMBA METÁLICA - IMPOSTOS E SEGUROS. AF_12/2014</v>
          </cell>
          <cell r="C825" t="str">
            <v>H</v>
          </cell>
          <cell r="D825">
            <v>2.15</v>
          </cell>
        </row>
        <row r="826">
          <cell r="A826" t="str">
            <v>89873</v>
          </cell>
          <cell r="B826" t="str">
            <v>CAMINHÃO BASCULANTE 14 M3, COM CAVALO MECÂNICO DE CAPACIDADE MÁXIMA DE TRAÇÃO COMBINADO DE 36000 KG, POTÊNCIA 286 CV, INCLUSIVE SEMIREBOQUE COM CAÇAMBA METÁLICA - MANUTENÇÃO. AF_12/2014</v>
          </cell>
          <cell r="C826" t="str">
            <v>H</v>
          </cell>
          <cell r="D826">
            <v>55.9</v>
          </cell>
        </row>
        <row r="827">
          <cell r="A827" t="str">
            <v>89874</v>
          </cell>
          <cell r="B827" t="str">
            <v>CAMINHÃO BASCULANTE 14 M3, COM CAVALO MECÂNICO DE CAPACIDADE MÁXIMA DE TRAÇÃO COMBINADO DE 36000 KG, POTÊNCIA 286 CV, INCLUSIVE SEMIREBOQUE COM CAÇAMBA METÁLICA - MATERIAIS NA OPERAÇÃO. AF_12/2014</v>
          </cell>
          <cell r="C827" t="str">
            <v>H</v>
          </cell>
          <cell r="D827">
            <v>150.59</v>
          </cell>
        </row>
        <row r="828">
          <cell r="A828" t="str">
            <v>89878</v>
          </cell>
          <cell r="B828" t="str">
            <v>CAMINHÃO BASCULANTE 18 M3, COM CAVALO MECÂNICO DE CAPACIDADE MÁXIMA DE TRAÇÃO COMBINADO DE 45000 KG, POTÊNCIA 330 CV, INCLUSIVE SEMIREBOQUE COM CAÇAMBA METÁLICA - DEPRECIAÇÃO. AF_12/2014</v>
          </cell>
          <cell r="C828" t="str">
            <v>H</v>
          </cell>
          <cell r="D828">
            <v>31.48</v>
          </cell>
        </row>
        <row r="829">
          <cell r="A829" t="str">
            <v>89879</v>
          </cell>
          <cell r="B829" t="str">
            <v>CAMINHÃO BASCULANTE 18 M3, COM CAVALO MECÂNICO DE CAPACIDADE MÁXIMA DE TRAÇÃO COMBINADO DE 45000 KG, POTÊNCIA 330 CV, INCLUSIVE SEMIREBOQUE COM CAÇAMBA METÁLICA - JUROS. AF_12/2014</v>
          </cell>
          <cell r="C829" t="str">
            <v>H</v>
          </cell>
          <cell r="D829">
            <v>5.81</v>
          </cell>
        </row>
        <row r="830">
          <cell r="A830" t="str">
            <v>89880</v>
          </cell>
          <cell r="B830" t="str">
            <v>CAMINHÃO BASCULANTE 18 M3, COM CAVALO MECÂNICO DE CAPACIDADE MÁXIMA DE TRAÇÃO COMBINADO DE 45000 KG, POTÊNCIA 330 CV, INCLUSIVE SEMIREBOQUE COM CAÇAMBA METÁLICA - IMPOSTOS E SEGUROS. AF_12/2014</v>
          </cell>
          <cell r="C830" t="str">
            <v>H</v>
          </cell>
          <cell r="D830">
            <v>2.2799999999999998</v>
          </cell>
        </row>
        <row r="831">
          <cell r="A831" t="str">
            <v>89881</v>
          </cell>
          <cell r="B831" t="str">
            <v>CAMINHÃO BASCULANTE 18 M3, COM CAVALO MECÂNICO DE CAPACIDADE MÁXIMA DE TRAÇÃO COMBINADO DE 45000 KG, POTÊNCIA 330 CV, INCLUSIVE SEMIREBOQUE COM CAÇAMBA METÁLICA - MANUTENÇÃO. AF_12/2014</v>
          </cell>
          <cell r="C831" t="str">
            <v>H</v>
          </cell>
          <cell r="D831">
            <v>59.04</v>
          </cell>
        </row>
        <row r="832">
          <cell r="A832" t="str">
            <v>89882</v>
          </cell>
          <cell r="B832" t="str">
            <v>CAMINHÃO BASCULANTE 18 M3, COM CAVALO MECÂNICO DE CAPACIDADE MÁXIMA DE TRAÇÃO COMBINADO DE 45000 KG, POTÊNCIA 330 CV, INCLUSIVE SEMIREBOQUE COM CAÇAMBA METÁLICA - MATERIAIS NA OPERAÇÃO. AF_12/2014</v>
          </cell>
          <cell r="C832" t="str">
            <v>H</v>
          </cell>
          <cell r="D832">
            <v>173.74</v>
          </cell>
        </row>
        <row r="833">
          <cell r="A833" t="str">
            <v>90582</v>
          </cell>
          <cell r="B833" t="str">
            <v>VIBRADOR DE IMERSÃO, DIÂMETRO DE PONTEIRA 45MM, MOTOR ELÉTRICO TRIFÁSICO POTÊNCIA DE 2 CV - DEPRECIAÇÃO. AF_06/2015</v>
          </cell>
          <cell r="C833" t="str">
            <v>H</v>
          </cell>
          <cell r="D833">
            <v>0.39</v>
          </cell>
        </row>
        <row r="834">
          <cell r="A834" t="str">
            <v>90583</v>
          </cell>
          <cell r="B834" t="str">
            <v>VIBRADOR DE IMERSÃO, DIÂMETRO DE PONTEIRA 45MM, MOTOR ELÉTRICO TRIFÁSICO POTÊNCIA DE 2 CV - JUROS. AF_06/2015</v>
          </cell>
          <cell r="C834" t="str">
            <v>H</v>
          </cell>
          <cell r="D834">
            <v>0.04</v>
          </cell>
        </row>
        <row r="835">
          <cell r="A835" t="str">
            <v>90584</v>
          </cell>
          <cell r="B835" t="str">
            <v>VIBRADOR DE IMERSÃO, DIÂMETRO DE PONTEIRA 45MM, MOTOR ELÉTRICO TRIFÁSICO POTÊNCIA DE 2 CV - MANUTENÇÃO. AF_06/2015</v>
          </cell>
          <cell r="C835" t="str">
            <v>H</v>
          </cell>
          <cell r="D835">
            <v>0.3</v>
          </cell>
        </row>
        <row r="836">
          <cell r="A836" t="str">
            <v>90585</v>
          </cell>
          <cell r="B836" t="str">
            <v>VIBRADOR DE IMERSÃO, DIÂMETRO DE PONTEIRA 45MM, MOTOR ELÉTRICO TRIFÁSICO POTÊNCIA DE 2 CV - MATERIAIS NA OPERAÇÃO. AF_06/2015</v>
          </cell>
          <cell r="C836" t="str">
            <v>H</v>
          </cell>
          <cell r="D836">
            <v>1.17</v>
          </cell>
        </row>
        <row r="837">
          <cell r="A837" t="str">
            <v>90621</v>
          </cell>
          <cell r="B837" t="str">
            <v>PERFURATRIZ MANUAL, TORQUE MÁXIMO 83 N.M, POTÊNCIA 5 CV, COM DIÂMETRO MÁXIMO 4" - DEPRECIAÇÃO. AF_06/2015</v>
          </cell>
          <cell r="C837" t="str">
            <v>H</v>
          </cell>
          <cell r="D837">
            <v>1.51</v>
          </cell>
        </row>
        <row r="838">
          <cell r="A838" t="str">
            <v>90622</v>
          </cell>
          <cell r="B838" t="str">
            <v>PERFURATRIZ MANUAL, TORQUE MÁXIMO 83 N.M, POTÊNCIA 5 CV, COM DIÂMETRO MÁXIMO 4" - JUROS. AF_06/2015</v>
          </cell>
          <cell r="C838" t="str">
            <v>H</v>
          </cell>
          <cell r="D838">
            <v>0.18</v>
          </cell>
        </row>
        <row r="839">
          <cell r="A839" t="str">
            <v>90623</v>
          </cell>
          <cell r="B839" t="str">
            <v>PERFURATRIZ MANUAL, TORQUE MÁXIMO 83 N.M, POTÊNCIA 5 CV, COM DIÂMETRO MÁXIMO 4" - MANUTENÇÃO. AF_06/2015</v>
          </cell>
          <cell r="C839" t="str">
            <v>H</v>
          </cell>
          <cell r="D839">
            <v>1.89</v>
          </cell>
        </row>
        <row r="840">
          <cell r="A840" t="str">
            <v>90624</v>
          </cell>
          <cell r="B840" t="str">
            <v>PERFURATRIZ MANUAL, TORQUE MÁXIMO 83 N.M, POTÊNCIA 5 CV, COM DIÂMETRO MÁXIMO 4" - MATERIAIS NA OPERAÇÃO. AF_06/2015</v>
          </cell>
          <cell r="C840" t="str">
            <v>H</v>
          </cell>
          <cell r="D840">
            <v>2.94</v>
          </cell>
        </row>
        <row r="841">
          <cell r="A841" t="str">
            <v>90627</v>
          </cell>
          <cell r="B841" t="str">
            <v>PERFURATRIZ SOBRE ESTEIRA, TORQUE MÁXIMO 600 KGF, PESO MÉDIO 1000 KG, POTÊNCIA 20 HP, DIÂMETRO MÁXIMO 10" - DEPRECIAÇÃO. AF_06/2015</v>
          </cell>
          <cell r="C841" t="str">
            <v>H</v>
          </cell>
          <cell r="D841">
            <v>48.45</v>
          </cell>
        </row>
        <row r="842">
          <cell r="A842" t="str">
            <v>90628</v>
          </cell>
          <cell r="B842" t="str">
            <v>PERFURATRIZ SOBRE ESTEIRA, TORQUE MÁXIMO 600 KGF, PESO MÉDIO 1000 KG, POTÊNCIA 20 HP, DIÂMETRO MÁXIMO 10" - JUROS. AF_06/2015</v>
          </cell>
          <cell r="C842" t="str">
            <v>H</v>
          </cell>
          <cell r="D842">
            <v>6.9</v>
          </cell>
        </row>
        <row r="843">
          <cell r="A843" t="str">
            <v>90629</v>
          </cell>
          <cell r="B843" t="str">
            <v>PERFURATRIZ SOBRE ESTEIRA, TORQUE MÁXIMO 600 KGF, PESO MÉDIO 1000 KG, POTÊNCIA 20 HP, DIÂMETRO MÁXIMO 10" - MANUTENÇÃO. AF_06/2015</v>
          </cell>
          <cell r="C843" t="str">
            <v>H</v>
          </cell>
          <cell r="D843">
            <v>60.63</v>
          </cell>
        </row>
        <row r="844">
          <cell r="A844" t="str">
            <v>90630</v>
          </cell>
          <cell r="B844" t="str">
            <v>PERFURATRIZ SOBRE ESTEIRA, TORQUE MÁXIMO 600 KGF, PESO MÉDIO 1000 KG, POTÊNCIA 20 HP, DIÂMETRO MÁXIMO 10" - MATERIAIS NA OPERAÇÃO. AF_06/2015</v>
          </cell>
          <cell r="C844" t="str">
            <v>H</v>
          </cell>
          <cell r="D844">
            <v>11.91</v>
          </cell>
        </row>
        <row r="845">
          <cell r="A845" t="str">
            <v>90633</v>
          </cell>
          <cell r="B845" t="str">
            <v>MISTURADOR DUPLO HORIZONTAL DE ALTA TURBULÊNCIA, CAPACIDADE / VOLUME 2 X 500 LITROS, MOTORES ELÉTRICOS MÍNIMO 5 CV CADA, PARA NATA CIMENTO, ARGAMASSA E OUTROS - DEPRECIAÇÃO. AF_06/2015</v>
          </cell>
          <cell r="C845" t="str">
            <v>H</v>
          </cell>
          <cell r="D845">
            <v>4.01</v>
          </cell>
        </row>
        <row r="846">
          <cell r="A846" t="str">
            <v>90634</v>
          </cell>
          <cell r="B846" t="str">
            <v>MISTURADOR DUPLO HORIZONTAL DE ALTA TURBULÊNCIA, CAPACIDADE / VOLUME 2 X 500 LITROS, MOTORES ELÉTRICOS MÍNIMO 5 CV CADA, PARA NATA CIMENTO, ARGAMASSA E OUTROS - JUROS. AF_06/2015</v>
          </cell>
          <cell r="C846" t="str">
            <v>H</v>
          </cell>
          <cell r="D846">
            <v>0.47</v>
          </cell>
        </row>
        <row r="847">
          <cell r="A847" t="str">
            <v>90635</v>
          </cell>
          <cell r="B847" t="str">
            <v>MISTURADOR DUPLO HORIZONTAL DE ALTA TURBULÊNCIA, CAPACIDADE / VOLUME 2 X 500 LITROS, MOTORES ELÉTRICOS MÍNIMO 5 CV CADA, PARA NATA CIMENTO, ARGAMASSA E OUTROS - MANUTENÇÃO. AF_06/2015</v>
          </cell>
          <cell r="C847" t="str">
            <v>H</v>
          </cell>
          <cell r="D847">
            <v>4.3899999999999997</v>
          </cell>
        </row>
        <row r="848">
          <cell r="A848" t="str">
            <v>90636</v>
          </cell>
          <cell r="B848" t="str">
            <v>MISTURADOR DUPLO HORIZONTAL DE ALTA TURBULÊNCIA, CAPACIDADE / VOLUME 2 X 500 LITROS, MOTORES ELÉTRICOS MÍNIMO 5 CV CADA, PARA NATA CIMENTO, ARGAMASSA E OUTROS - MATERIAIS NA OPERAÇÃO. AF_06/2015</v>
          </cell>
          <cell r="C848" t="str">
            <v>H</v>
          </cell>
          <cell r="D848">
            <v>5.88</v>
          </cell>
        </row>
        <row r="849">
          <cell r="A849" t="str">
            <v>90639</v>
          </cell>
          <cell r="B849" t="str">
            <v>BOMBA TRIPLEX, PARA INJEÇÃO DE NATA DE CIMENTO, VAZÃO MÁXIMA DE 100 LITROS/MINUTO, PRESSÃO MÁXIMA DE 70 BAR - DEPRECIAÇÃO. AF_06/2015</v>
          </cell>
          <cell r="C849" t="str">
            <v>H</v>
          </cell>
          <cell r="D849">
            <v>5.99</v>
          </cell>
        </row>
        <row r="850">
          <cell r="A850" t="str">
            <v>90640</v>
          </cell>
          <cell r="B850" t="str">
            <v>BOMBA TRIPLEX, PARA INJEÇÃO DE NATA DE CIMENTO, VAZÃO MÁXIMA DE 100 LITROS/MINUTO, PRESSÃO MÁXIMA DE 70 BAR - JUROS. AF_06/2015</v>
          </cell>
          <cell r="C850" t="str">
            <v>H</v>
          </cell>
          <cell r="D850">
            <v>0.71</v>
          </cell>
        </row>
        <row r="851">
          <cell r="A851" t="str">
            <v>90641</v>
          </cell>
          <cell r="B851" t="str">
            <v>BOMBA TRIPLEX, PARA INJEÇÃO DE NATA DE CIMENTO, VAZÃO MÁXIMA DE 100 LITROS/MINUTO, PRESSÃO MÁXIMA DE 70 BAR - MANUTENÇÃO. AF_06/2015</v>
          </cell>
          <cell r="C851" t="str">
            <v>H</v>
          </cell>
          <cell r="D851">
            <v>6.55</v>
          </cell>
        </row>
        <row r="852">
          <cell r="A852" t="str">
            <v>90642</v>
          </cell>
          <cell r="B852" t="str">
            <v>BOMBA TRIPLEX, PARA INJEÇÃO DE NATA DE CIMENTO, VAZÃO MÁXIMA DE 100 LITROS/MINUTO, PRESSÃO MÁXIMA DE 70 BAR - MATERIAIS NA OPERAÇÃO. AF_06/2015</v>
          </cell>
          <cell r="C852" t="str">
            <v>H</v>
          </cell>
          <cell r="D852">
            <v>7.86</v>
          </cell>
        </row>
        <row r="853">
          <cell r="A853" t="str">
            <v>90646</v>
          </cell>
          <cell r="B853" t="str">
            <v>BOMBA CENTRÍFUGA MONOESTÁGIO COM MOTOR ELÉTRICO MONOFÁSICO, POTÊNCIA 15 HP, DIÂMETRO DO ROTOR 173 MM, HM/Q = 30 MCA / 90 M3/H A 45 MCA / 55 M3/H - DEPRECIAÇÃO. AF_06/2015</v>
          </cell>
          <cell r="C853" t="str">
            <v>H</v>
          </cell>
          <cell r="D853">
            <v>0.75</v>
          </cell>
        </row>
        <row r="854">
          <cell r="A854" t="str">
            <v>90647</v>
          </cell>
          <cell r="B854" t="str">
            <v>BOMBA CENTRÍFUGA MONOESTÁGIO COM MOTOR ELÉTRICO MONOFÁSICO, POTÊNCIA 15 HP, DIÂMETRO DO ROTOR 173 MM, HM/Q = 30 MCA / 90 M3/H A 45 MCA / 55 M3/H - JUROS. AF_06/2015</v>
          </cell>
          <cell r="C854" t="str">
            <v>H</v>
          </cell>
          <cell r="D854">
            <v>0.08</v>
          </cell>
        </row>
        <row r="855">
          <cell r="A855" t="str">
            <v>90648</v>
          </cell>
          <cell r="B855" t="str">
            <v>BOMBA CENTRÍFUGA MONOESTÁGIO COM MOTOR ELÉTRICO MONOFÁSICO, POTÊNCIA 15 HP, DIÂMETRO DO ROTOR 173 MM, HM/Q = 30 MCA / 90 M3/H A 45 MCA / 55 M3/H - MANUTENÇÃO. AF_06/2015</v>
          </cell>
          <cell r="C855" t="str">
            <v>H</v>
          </cell>
          <cell r="D855">
            <v>0.82</v>
          </cell>
        </row>
        <row r="856">
          <cell r="A856" t="str">
            <v>90649</v>
          </cell>
          <cell r="B856" t="str">
            <v>BOMBA CENTRÍFUGA MONOESTÁGIO COM MOTOR ELÉTRICO MONOFÁSICO, POTÊNCIA 15 HP, DIÂMETRO DO ROTOR 173 MM, HM/Q = 30 MCA / 90 M3/H A 45 MCA / 55 M3/H - MATERIAIS NA OPERAÇÃO. AF_06/2015</v>
          </cell>
          <cell r="C856" t="str">
            <v>H</v>
          </cell>
          <cell r="D856">
            <v>9.1199999999999992</v>
          </cell>
        </row>
        <row r="857">
          <cell r="A857" t="str">
            <v>90652</v>
          </cell>
          <cell r="B857" t="str">
            <v>BOMBA DE PROJEÇÃO DE CONCRETO SECO, POTÊNCIA 10 CV, VAZÃO 3 M3/H - DEPRECIAÇÃO. AF_06/2015</v>
          </cell>
          <cell r="C857" t="str">
            <v>H</v>
          </cell>
          <cell r="D857">
            <v>3.9</v>
          </cell>
        </row>
        <row r="858">
          <cell r="A858" t="str">
            <v>90653</v>
          </cell>
          <cell r="B858" t="str">
            <v>BOMBA DE PROJEÇÃO DE CONCRETO SECO, POTÊNCIA 10 CV, VAZÃO 3 M3/H - JUROS. AF_06/2015</v>
          </cell>
          <cell r="C858" t="str">
            <v>H</v>
          </cell>
          <cell r="D858">
            <v>0.46</v>
          </cell>
        </row>
        <row r="859">
          <cell r="A859" t="str">
            <v>90654</v>
          </cell>
          <cell r="B859" t="str">
            <v>BOMBA DE PROJEÇÃO DE CONCRETO SECO, POTÊNCIA 10 CV, VAZÃO 3 M3/H - MANUTENÇÃO. AF_06/2015</v>
          </cell>
          <cell r="C859" t="str">
            <v>H</v>
          </cell>
          <cell r="D859">
            <v>4.26</v>
          </cell>
        </row>
        <row r="860">
          <cell r="A860" t="str">
            <v>90655</v>
          </cell>
          <cell r="B860" t="str">
            <v>BOMBA DE PROJEÇÃO DE CONCRETO SECO, POTÊNCIA 10 CV, VAZÃO 3 M3/H - MATERIAIS NA OPERAÇÃO. AF_06/2015</v>
          </cell>
          <cell r="C860" t="str">
            <v>H</v>
          </cell>
          <cell r="D860">
            <v>6</v>
          </cell>
        </row>
        <row r="861">
          <cell r="A861" t="str">
            <v>90658</v>
          </cell>
          <cell r="B861" t="str">
            <v>BOMBA DE PROJEÇÃO DE CONCRETO SECO, POTÊNCIA 10 CV, VAZÃO 6 M3/H - DEPRECIAÇÃO. AF_06/2015</v>
          </cell>
          <cell r="C861" t="str">
            <v>H</v>
          </cell>
          <cell r="D861">
            <v>4.17</v>
          </cell>
        </row>
        <row r="862">
          <cell r="A862" t="str">
            <v>90659</v>
          </cell>
          <cell r="B862" t="str">
            <v>BOMBA DE PROJEÇÃO DE CONCRETO SECO, POTÊNCIA 10 CV, VAZÃO 6 M3/H - JUROS. AF_06/2015</v>
          </cell>
          <cell r="C862" t="str">
            <v>H</v>
          </cell>
          <cell r="D862">
            <v>0.49</v>
          </cell>
        </row>
        <row r="863">
          <cell r="A863" t="str">
            <v>90660</v>
          </cell>
          <cell r="B863" t="str">
            <v>BOMBA DE PROJEÇÃO DE CONCRETO SECO, POTÊNCIA 10 CV, VAZÃO 6 M3/H - MANUTENÇÃO. AF_06/2015</v>
          </cell>
          <cell r="C863" t="str">
            <v>H</v>
          </cell>
          <cell r="D863">
            <v>4.57</v>
          </cell>
        </row>
        <row r="864">
          <cell r="A864" t="str">
            <v>90661</v>
          </cell>
          <cell r="B864" t="str">
            <v>BOMBA DE PROJEÇÃO DE CONCRETO SECO, POTÊNCIA 10 CV, VAZÃO 6 M3/H - MATERIAIS NA OPERAÇÃO. AF_06/2015</v>
          </cell>
          <cell r="C864" t="str">
            <v>H</v>
          </cell>
          <cell r="D864">
            <v>6</v>
          </cell>
        </row>
        <row r="865">
          <cell r="A865" t="str">
            <v>90664</v>
          </cell>
          <cell r="B865" t="str">
            <v>PROJETOR PNEUMÁTICO DE ARGAMASSA PARA CHAPISCO E REBOCO COM RECIPIENTE ACOPLADO, TIPO CANEQUINHA, COM COMPRESSOR DE AR REBOCÁVEL VAZÃO 89 PCM E MOTOR DIESEL DE 20 CV - DEPRECIAÇÃO. AF_06/2015</v>
          </cell>
          <cell r="C865" t="str">
            <v>H</v>
          </cell>
          <cell r="D865">
            <v>5.58</v>
          </cell>
        </row>
        <row r="866">
          <cell r="A866" t="str">
            <v>90665</v>
          </cell>
          <cell r="B866" t="str">
            <v>PROJETOR PNEUMÁTICO DE ARGAMASSA PARA CHAPISCO E REBOCO COM RECIPIENTE ACOPLADO, TIPO CANEQUINHA, COM COMPRESSOR DE AR REBOCÁVEL VAZÃO 89 PCM E MOTOR DIESEL DE 20 CV - JUROS. AF_06/2015</v>
          </cell>
          <cell r="C866" t="str">
            <v>H</v>
          </cell>
          <cell r="D866">
            <v>0.64</v>
          </cell>
        </row>
        <row r="867">
          <cell r="A867" t="str">
            <v>90666</v>
          </cell>
          <cell r="B867" t="str">
            <v>PROJETOR PNEUMÁTICO DE ARGAMASSA PARA CHAPISCO E REBOCO COM RECIPIENTE ACOPLADO, TIPO CANEQUINHA, COM COMPRESSOR DE AR REBOCÁVEL VAZÃO 89 PCM E MOTOR DIESEL DE 20 CV - MANUTENÇÃO. AF_06/2015</v>
          </cell>
          <cell r="C867" t="str">
            <v>H</v>
          </cell>
          <cell r="D867">
            <v>6.09</v>
          </cell>
        </row>
        <row r="868">
          <cell r="A868" t="str">
            <v>90667</v>
          </cell>
          <cell r="B868" t="str">
            <v>PROJETOR PNEUMÁTICO DE ARGAMASSA PARA CHAPISCO E REBOCO COM RECIPIENTE ACOPLADO, TIPO CANEQUINHA, COM COMPRESSOR DE AR REBOCÁVEL VAZÃO 89 PCM E MOTOR DIESEL DE 20 CV - MATERIAIS NA OPERAÇÃO. AF_06/2015</v>
          </cell>
          <cell r="C868" t="str">
            <v>H</v>
          </cell>
          <cell r="D868">
            <v>12.77</v>
          </cell>
        </row>
        <row r="869">
          <cell r="A869" t="str">
            <v>90670</v>
          </cell>
          <cell r="B869" t="str">
            <v>PERFURATRIZ COM TORRE METÁLICA PARA EXECUÇÃO DE ESTACA HÉLICE CONTÍNUA, PROFUNDIDADE MÁXIMA DE 30 M, DIÂMETRO MÁXIMO DE 800 MM, POTÊNCIA INSTALADA DE 268 HP, MESA ROTATIVA COM TORQUE MÁXIMO DE 170 KNM - DEPRECIAÇÃO. AF_06/2015</v>
          </cell>
          <cell r="C869" t="str">
            <v>H</v>
          </cell>
          <cell r="D869">
            <v>222.35</v>
          </cell>
        </row>
        <row r="870">
          <cell r="A870" t="str">
            <v>90671</v>
          </cell>
          <cell r="B870" t="str">
            <v>PERFURATRIZ COM TORRE METÁLICA PARA EXECUÇÃO DE ESTACA HÉLICE CONTÍNUA, PROFUNDIDADE MÁXIMA DE 30 M, DIÂMETRO MÁXIMO DE 800 MM, POTÊNCIA INSTALADA DE 268 HP, MESA ROTATIVA COM TORQUE MÁXIMO DE 170 KNM - JUROS. AF_06/2015</v>
          </cell>
          <cell r="C870" t="str">
            <v>H</v>
          </cell>
          <cell r="D870">
            <v>30.87</v>
          </cell>
        </row>
        <row r="871">
          <cell r="A871" t="str">
            <v>90672</v>
          </cell>
          <cell r="B871" t="str">
            <v>PERFURATRIZ COM TORRE METÁLICA PARA EXECUÇÃO DE ESTACA HÉLICE CONTÍNUA, PROFUNDIDADE MÁXIMA DE 30 M, DIÂMETRO MÁXIMO DE 800 MM, POTÊNCIA INSTALADA DE 268 HP, MESA ROTATIVA COM TORQUE MÁXIMO DE 170 KNM - MANUTENÇÃO. AF_06/2015</v>
          </cell>
          <cell r="C871" t="str">
            <v>H</v>
          </cell>
          <cell r="D871">
            <v>278.25</v>
          </cell>
        </row>
        <row r="872">
          <cell r="A872" t="str">
            <v>90673</v>
          </cell>
          <cell r="B872" t="str">
            <v>PERFURATRIZ COM TORRE METÁLICA PARA EXECUÇÃO DE ESTACA HÉLICE CONTÍNUA, PROFUNDIDADE MÁXIMA DE 30 M, DIÂMETRO MÁXIMO DE 800 MM, POTÊNCIA INSTALADA DE 268 HP, MESA ROTATIVA COM TORQUE MÁXIMO DE 170 KNM - MATERIAIS NA OPERAÇÃO. AF_06/2015</v>
          </cell>
          <cell r="C872" t="str">
            <v>H</v>
          </cell>
          <cell r="D872">
            <v>102.2</v>
          </cell>
        </row>
        <row r="873">
          <cell r="A873" t="str">
            <v>90676</v>
          </cell>
          <cell r="B873" t="str">
            <v>PERFURATRIZ HIDRÁULICA SOBRE CAMINHÃO COM TRADO CURTO ACOPLADO, PROFUNDIDADE MÁXIMA DE 20 M, DIÂMETRO MÁXIMO DE 1500 MM, POTÊNCIA INSTALADA DE 137 HP, MESA ROTATIVA COM TORQUE MÁXIMO DE 30 KNM - DEPRECIAÇÃO. AF_06/2015</v>
          </cell>
          <cell r="C873" t="str">
            <v>H</v>
          </cell>
          <cell r="D873">
            <v>109.69</v>
          </cell>
        </row>
        <row r="874">
          <cell r="A874" t="str">
            <v>90677</v>
          </cell>
          <cell r="B874" t="str">
            <v>PERFURATRIZ HIDRÁULICA SOBRE CAMINHÃO COM TRADO CURTO ACOPLADO, PROFUNDIDADE MÁXIMA DE 20 M, DIÂMETRO MÁXIMO DE 1500 MM, POTÊNCIA INSTALADA DE 137 HP, MESA ROTATIVA COM TORQUE MÁXIMO DE 30 KNM - JUROS. AF_06/2015</v>
          </cell>
          <cell r="C874" t="str">
            <v>H</v>
          </cell>
          <cell r="D874">
            <v>15.22</v>
          </cell>
        </row>
        <row r="875">
          <cell r="A875" t="str">
            <v>90678</v>
          </cell>
          <cell r="B875" t="str">
            <v>PERFURATRIZ HIDRÁULICA SOBRE CAMINHÃO COM TRADO CURTO ACOPLADO, PROFUNDIDADE MÁXIMA DE 20 M, DIÂMETRO MÁXIMO DE 1500 MM, POTÊNCIA INSTALADA DE 137 HP, MESA ROTATIVA COM TORQUE MÁXIMO DE 30 KNM - MANUTENÇÃO. AF_06/2015</v>
          </cell>
          <cell r="C875" t="str">
            <v>H</v>
          </cell>
          <cell r="D875">
            <v>137.28</v>
          </cell>
        </row>
        <row r="876">
          <cell r="A876" t="str">
            <v>90679</v>
          </cell>
          <cell r="B876" t="str">
            <v>PERFURATRIZ HIDRÁULICA SOBRE CAMINHÃO COM TRADO CURTO ACOPLADO, PROFUNDIDADE MÁXIMA DE 20 M, DIÂMETRO MÁXIMO DE 1500 MM, POTÊNCIA INSTALADA DE 137 HP, MESA ROTATIVA COM TORQUE MÁXIMO DE 30 KNM - MATERIAIS NA OPERAÇÃO. AF_06/2015</v>
          </cell>
          <cell r="C876" t="str">
            <v>H</v>
          </cell>
          <cell r="D876">
            <v>78.33</v>
          </cell>
        </row>
        <row r="877">
          <cell r="A877" t="str">
            <v>90682</v>
          </cell>
          <cell r="B877" t="str">
            <v>MANIPULADOR TELESCÓPICO, POTÊNCIA DE 85 HP, CAPACIDADE DE CARGA DE 3.500 KG, ALTURA MÁXIMA DE ELEVAÇÃO DE 12,3 M - DEPRECIAÇÃO. AF_06/2015</v>
          </cell>
          <cell r="C877" t="str">
            <v>H</v>
          </cell>
          <cell r="D877">
            <v>29.53</v>
          </cell>
        </row>
        <row r="878">
          <cell r="A878" t="str">
            <v>90683</v>
          </cell>
          <cell r="B878" t="str">
            <v>MANIPULADOR TELESCÓPICO, POTÊNCIA DE 85 HP, CAPACIDADE DE CARGA DE 3.500 KG, ALTURA MÁXIMA DE ELEVAÇÃO DE 12,3 M - JUROS. AF_06/2015</v>
          </cell>
          <cell r="C878" t="str">
            <v>H</v>
          </cell>
          <cell r="D878">
            <v>3.5</v>
          </cell>
        </row>
        <row r="879">
          <cell r="A879" t="str">
            <v>90684</v>
          </cell>
          <cell r="B879" t="str">
            <v>MANIPULADOR TELESCÓPICO, POTÊNCIA DE 85 HP, CAPACIDADE DE CARGA DE 3.500 KG, ALTURA MÁXIMA DE ELEVAÇÃO DE 12,3 M - MANUTENÇÃO. AF_06/2015</v>
          </cell>
          <cell r="C879" t="str">
            <v>H</v>
          </cell>
          <cell r="D879">
            <v>32.299999999999997</v>
          </cell>
        </row>
        <row r="880">
          <cell r="A880" t="str">
            <v>90685</v>
          </cell>
          <cell r="B880" t="str">
            <v>MANIPULADOR TELESCÓPICO, POTÊNCIA DE 85 HP, CAPACIDADE DE CARGA DE 3.500 KG, ALTURA MÁXIMA DE ELEVAÇÃO DE 12,3 M - MATERIAIS NA OPERAÇÃO. AF_06/2015</v>
          </cell>
          <cell r="C880" t="str">
            <v>H</v>
          </cell>
          <cell r="D880">
            <v>48.59</v>
          </cell>
        </row>
        <row r="881">
          <cell r="A881" t="str">
            <v>90688</v>
          </cell>
          <cell r="B881" t="str">
            <v>MINICARREGADEIRA SOBRE RODAS, POTÊNCIA LÍQUIDA DE 47 HP, CAPACIDADE NOMINAL DE OPERAÇÃO DE 646 KG - DEPRECIAÇÃO. AF_06/2015</v>
          </cell>
          <cell r="C881" t="str">
            <v>H</v>
          </cell>
          <cell r="D881">
            <v>15.18</v>
          </cell>
        </row>
        <row r="882">
          <cell r="A882" t="str">
            <v>90689</v>
          </cell>
          <cell r="B882" t="str">
            <v>MINICARREGADEIRA SOBRE RODAS, POTÊNCIA LÍQUIDA DE 47 HP, CAPACIDADE NOMINAL DE OPERAÇÃO DE 646 KG - JUROS. AF_06/2015</v>
          </cell>
          <cell r="C882" t="str">
            <v>H</v>
          </cell>
          <cell r="D882">
            <v>1.53</v>
          </cell>
        </row>
        <row r="883">
          <cell r="A883" t="str">
            <v>90690</v>
          </cell>
          <cell r="B883" t="str">
            <v>MINICARREGADEIRA SOBRE RODAS, POTÊNCIA LÍQUIDA DE 47 HP, CAPACIDADE NOMINAL DE OPERAÇÃO DE 646 KG - MANUTENÇÃO. AF_06/2015</v>
          </cell>
          <cell r="C883" t="str">
            <v>H</v>
          </cell>
          <cell r="D883">
            <v>18.97</v>
          </cell>
        </row>
        <row r="884">
          <cell r="A884" t="str">
            <v>90691</v>
          </cell>
          <cell r="B884" t="str">
            <v>MINICARREGADEIRA SOBRE RODAS, POTÊNCIA LÍQUIDA DE 47 HP, CAPACIDADE NOMINAL DE OPERAÇÃO DE 646 KG - MATERIAIS NA OPERAÇÃO. AF_06/2015</v>
          </cell>
          <cell r="C884" t="str">
            <v>H</v>
          </cell>
          <cell r="D884">
            <v>44.76</v>
          </cell>
        </row>
        <row r="885">
          <cell r="A885" t="str">
            <v>90957</v>
          </cell>
          <cell r="B885" t="str">
            <v>COMPRESSOR DE AR REBOCÁVEL, VAZÃO 189 PCM, PRESSÃO EFETIVA DE TRABALHO 102 PSI, MOTOR DIESEL, POTÊNCIA 63 CV - DEPRECIAÇÃO. AF_06/2015</v>
          </cell>
          <cell r="C885" t="str">
            <v>H</v>
          </cell>
          <cell r="D885">
            <v>3.45</v>
          </cell>
        </row>
        <row r="886">
          <cell r="A886" t="str">
            <v>90958</v>
          </cell>
          <cell r="B886" t="str">
            <v>COMPRESSOR DE AR REBOCÁVEL, VAZÃO 189 PCM, PRESSÃO EFETIVA DE TRABALHO 102 PSI, MOTOR DIESEL, POTÊNCIA 63 CV - JUROS. AF_06/2015</v>
          </cell>
          <cell r="C886" t="str">
            <v>H</v>
          </cell>
          <cell r="D886">
            <v>0.47</v>
          </cell>
        </row>
        <row r="887">
          <cell r="A887" t="str">
            <v>90960</v>
          </cell>
          <cell r="B887" t="str">
            <v>COMPRESSOR DE AR REBOCÁVEL, VAZÃO 89 PCM, PRESSÃO EFETIVA DE TRABALHO 102 PSI, MOTOR DIESEL, POTÊNCIA 20 CV - DEPRECIAÇÃO. AF_06/2015</v>
          </cell>
          <cell r="C887" t="str">
            <v>H</v>
          </cell>
          <cell r="D887">
            <v>4.6100000000000003</v>
          </cell>
        </row>
        <row r="888">
          <cell r="A888" t="str">
            <v>90961</v>
          </cell>
          <cell r="B888" t="str">
            <v>COMPRESSOR DE AR REBOCÁVEL, VAZÃO 89 PCM, PRESSÃO EFETIVA DE TRABALHO 102 PSI, MOTOR DIESEL, POTÊNCIA 20 CV - JUROS. AF_06/2015</v>
          </cell>
          <cell r="C888" t="str">
            <v>H</v>
          </cell>
          <cell r="D888">
            <v>0.64</v>
          </cell>
        </row>
        <row r="889">
          <cell r="A889" t="str">
            <v>90962</v>
          </cell>
          <cell r="B889" t="str">
            <v>COMPRESSOR DE AR REBOCÁVEL, VAZÃO 89 PCM, PRESSÃO EFETIVA DE TRABALHO 102 PSI, MOTOR DIESEL, POTÊNCIA 20 CV - MANUTENÇÃO. AF_06/2015</v>
          </cell>
          <cell r="C889" t="str">
            <v>H</v>
          </cell>
          <cell r="D889">
            <v>5.77</v>
          </cell>
        </row>
        <row r="890">
          <cell r="A890" t="str">
            <v>90963</v>
          </cell>
          <cell r="B890" t="str">
            <v>COMPRESSOR DE AR REBOCÁVEL, VAZÃO 89 PCM, PRESSÃO EFETIVA DE TRABALHO 102 PSI, MOTOR DIESEL, POTÊNCIA 20 CV - MATERIAIS NA OPERAÇÃO. AF_06/2015</v>
          </cell>
          <cell r="C890" t="str">
            <v>H</v>
          </cell>
          <cell r="D890">
            <v>12.77</v>
          </cell>
        </row>
        <row r="891">
          <cell r="A891" t="str">
            <v>90968</v>
          </cell>
          <cell r="B891" t="str">
            <v>COMPRESSOR DE AR REBOCAVEL, VAZÃO 250 PCM, PRESSAO DE TRABALHO 102 PSI, MOTOR A DIESEL POTÊNCIA 81 CV - DEPRECIAÇÃO. AF_06/2015</v>
          </cell>
          <cell r="C891" t="str">
            <v>H</v>
          </cell>
          <cell r="D891">
            <v>4.62</v>
          </cell>
        </row>
        <row r="892">
          <cell r="A892" t="str">
            <v>90969</v>
          </cell>
          <cell r="B892" t="str">
            <v>COMPRESSOR DE AR REBOCAVEL, VAZÃO 250 PCM, PRESSAO DE TRABALHO 102 PSI, MOTOR A DIESEL POTÊNCIA 81 CV - JUROS. AF_06/2015</v>
          </cell>
          <cell r="C892" t="str">
            <v>H</v>
          </cell>
          <cell r="D892">
            <v>0.64</v>
          </cell>
        </row>
        <row r="893">
          <cell r="A893" t="str">
            <v>90970</v>
          </cell>
          <cell r="B893" t="str">
            <v>COMPRESSOR DE AR REBOCAVEL, VAZÃO 250 PCM, PRESSAO DE TRABALHO 102 PSI, MOTOR A DIESEL POTÊNCIA 81 CV - MANUTENÇÃO. AF_06/2015</v>
          </cell>
          <cell r="C893" t="str">
            <v>H</v>
          </cell>
          <cell r="D893">
            <v>5.79</v>
          </cell>
        </row>
        <row r="894">
          <cell r="A894" t="str">
            <v>90971</v>
          </cell>
          <cell r="B894" t="str">
            <v>COMPRESSOR DE AR REBOCAVEL, VAZÃO 250 PCM, PRESSAO DE TRABALHO 102 PSI, MOTOR A DIESEL POTÊNCIA 81 CV - MATERIAIS NA OPERAÇÃO. AF_06/2015</v>
          </cell>
          <cell r="C894" t="str">
            <v>H</v>
          </cell>
          <cell r="D894">
            <v>51.76</v>
          </cell>
        </row>
        <row r="895">
          <cell r="A895" t="str">
            <v>90975</v>
          </cell>
          <cell r="B895" t="str">
            <v>COMPRESSOR DE AR REBOCÁVEL, VAZÃO 748 PCM, PRESSÃO EFETIVA DE TRABALHO 102 PSI, MOTOR DIESEL, POTÊNCIA 210 CV - DEPRECIAÇÃO. AF_06/2015</v>
          </cell>
          <cell r="C895" t="str">
            <v>H</v>
          </cell>
          <cell r="D895">
            <v>11.74</v>
          </cell>
        </row>
        <row r="896">
          <cell r="A896" t="str">
            <v>90976</v>
          </cell>
          <cell r="B896" t="str">
            <v>COMPRESSOR DE AR REBOCÁVEL, VAZÃO 748 PCM, PRESSÃO EFETIVA DE TRABALHO 102 PSI, MOTOR DIESEL, POTÊNCIA 210 CV - JUROS. AF_06/2015</v>
          </cell>
          <cell r="C896" t="str">
            <v>H</v>
          </cell>
          <cell r="D896">
            <v>1.63</v>
          </cell>
        </row>
        <row r="897">
          <cell r="A897" t="str">
            <v>90977</v>
          </cell>
          <cell r="B897" t="str">
            <v>COMPRESSOR DE AR REBOCÁVEL, VAZÃO 748 PCM, PRESSÃO EFETIVA DE TRABALHO 102 PSI, MOTOR DIESEL, POTÊNCIA 210 CV - MANUTENÇÃO. AF_06/2015</v>
          </cell>
          <cell r="C897" t="str">
            <v>H</v>
          </cell>
          <cell r="D897">
            <v>14.7</v>
          </cell>
        </row>
        <row r="898">
          <cell r="A898" t="str">
            <v>90978</v>
          </cell>
          <cell r="B898" t="str">
            <v>COMPRESSOR DE AR REBOCÁVEL, VAZÃO 748 PCM, PRESSÃO EFETIVA DE TRABALHO 102 PSI, MOTOR DIESEL, POTÊNCIA 210 CV - MATERIAIS NA OPERAÇÃO. AF_06/2015</v>
          </cell>
          <cell r="C898" t="str">
            <v>H</v>
          </cell>
          <cell r="D898">
            <v>134.29</v>
          </cell>
        </row>
        <row r="899">
          <cell r="A899" t="str">
            <v>90992</v>
          </cell>
          <cell r="B899" t="str">
            <v>COMPRESSOR DE AR REBOCAVEL, VAZÃO 400 PCM, PRESSAO DE TRABALHO 102 PSI, MOTOR A DIESEL POTÊNCIA 110 CV - DEPRECIAÇÃO. AF_06/2015</v>
          </cell>
          <cell r="C899" t="str">
            <v>H</v>
          </cell>
          <cell r="D899">
            <v>5.48</v>
          </cell>
        </row>
        <row r="900">
          <cell r="A900" t="str">
            <v>90993</v>
          </cell>
          <cell r="B900" t="str">
            <v>COMPRESSOR DE AR REBOCAVEL, VAZÃO 400 PCM, PRESSAO DE TRABALHO 102 PSI, MOTOR A DIESEL POTÊNCIA 110 CV - JUROS. AF_06/2015</v>
          </cell>
          <cell r="C900" t="str">
            <v>H</v>
          </cell>
          <cell r="D900">
            <v>0.76</v>
          </cell>
        </row>
        <row r="901">
          <cell r="A901" t="str">
            <v>90994</v>
          </cell>
          <cell r="B901" t="str">
            <v>COMPRESSOR DE AR REBOCAVEL, VAZÃO 400 PCM, PRESSAO DE TRABALHO 102 PSI, MOTOR A DIESEL POTÊNCIA 110 CV - MANUTENÇÃO. AF_06/2015</v>
          </cell>
          <cell r="C901" t="str">
            <v>H</v>
          </cell>
          <cell r="D901">
            <v>6.86</v>
          </cell>
        </row>
        <row r="902">
          <cell r="A902" t="str">
            <v>90995</v>
          </cell>
          <cell r="B902" t="str">
            <v>COMPRESSOR DE AR REBOCAVEL, VAZÃO 400 PCM, PRESSAO DE TRABALHO 102 PSI, MOTOR A DIESEL POTÊNCIA 110 CV - MATERIAIS NA OPERAÇÃO. AF_06/2015</v>
          </cell>
          <cell r="C902" t="str">
            <v>H</v>
          </cell>
          <cell r="D902">
            <v>70.31</v>
          </cell>
        </row>
        <row r="903">
          <cell r="A903" t="str">
            <v>91021</v>
          </cell>
          <cell r="B903" t="str">
            <v>PERFURATRIZ HIDRÁULICA SOBRE CAMINHÃO COM TRADO CURTO ACOPLADO, PROFUNDIDADE MÁXIMA DE 20 M, DIÂMETRO MÁXIMO DE 1500 MM, POTÊNCIA INSTALADA DE 137 HP, MESA ROTATIVA COM TORQUE MÁXIMO DE 30 KNM - IMPOSTOS E SEGUROS. AF_06/2015</v>
          </cell>
          <cell r="C903" t="str">
            <v>H</v>
          </cell>
          <cell r="D903">
            <v>5.96</v>
          </cell>
        </row>
        <row r="904">
          <cell r="A904" t="str">
            <v>91026</v>
          </cell>
          <cell r="B904" t="str">
            <v>CAMINHÃO TRUCADO (C/ TERCEIRO EIXO) ELETRÔNICO - POTÊNCIA 231CV - PBT = 22000KG - DIST. ENTRE EIXOS 5170 MM - INCLUI CARROCERIA FIXA ABERTA DE MADEIRA - DEPRECIAÇÃO. AF_06/2015</v>
          </cell>
          <cell r="C904" t="str">
            <v>H</v>
          </cell>
          <cell r="D904">
            <v>16.98</v>
          </cell>
        </row>
        <row r="905">
          <cell r="A905" t="str">
            <v>91027</v>
          </cell>
          <cell r="B905" t="str">
            <v>CAMINHÃO TRUCADO (C/ TERCEIRO EIXO) ELETRÔNICO - POTÊNCIA 231CV - PBT = 22000KG - DIST. ENTRE EIXOS 5170 MM - INCLUI CARROCERIA FIXA ABERTA DE MADEIRA - JUROS. AF_06/2015</v>
          </cell>
          <cell r="C905" t="str">
            <v>H</v>
          </cell>
          <cell r="D905">
            <v>3.56</v>
          </cell>
        </row>
        <row r="906">
          <cell r="A906" t="str">
            <v>91028</v>
          </cell>
          <cell r="B906" t="str">
            <v>CAMINHÃO TRUCADO (C/ TERCEIRO EIXO) ELETRÔNICO - POTÊNCIA 231CV - PBT = 22000KG - DIST. ENTRE EIXOS 5170 MM - INCLUI CARROCERIA FIXA ABERTA DE MADEIRA - IMPOSTOS E SEGUROS. AF_06/2015</v>
          </cell>
          <cell r="C906" t="str">
            <v>H</v>
          </cell>
          <cell r="D906">
            <v>1.38</v>
          </cell>
        </row>
        <row r="907">
          <cell r="A907" t="str">
            <v>91029</v>
          </cell>
          <cell r="B907" t="str">
            <v>CAMINHÃO TRUCADO (C/ TERCEIRO EIXO) ELETRÔNICO - POTÊNCIA 231CV - PBT = 22000KG - DIST. ENTRE EIXOS 5170 MM - INCLUI CARROCERIA FIXA ABERTA DE MADEIRA - MANUTENÇÃO. AF_06/2015</v>
          </cell>
          <cell r="C907" t="str">
            <v>H</v>
          </cell>
          <cell r="D907">
            <v>31.84</v>
          </cell>
        </row>
        <row r="908">
          <cell r="A908" t="str">
            <v>91030</v>
          </cell>
          <cell r="B908" t="str">
            <v>CAMINHÃO TRUCADO (C/ TERCEIRO EIXO) ELETRÔNICO - POTÊNCIA 231CV - PBT = 22000KG - DIST. ENTRE EIXOS 5170 MM - INCLUI CARROCERIA FIXA ABERTA DE MADEIRA - MATERIAIS NA OPERAÇÃO. AF_06/2015</v>
          </cell>
          <cell r="C908" t="str">
            <v>H</v>
          </cell>
          <cell r="D908">
            <v>121.61</v>
          </cell>
        </row>
        <row r="909">
          <cell r="A909" t="str">
            <v>91273</v>
          </cell>
          <cell r="B909" t="str">
            <v>PLACA VIBRATÓRIA REVERSÍVEL COM MOTOR 4 TEMPOS A GASOLINA, FORÇA CENTRÍFUGA DE 25 KN (2500 KGF), POTÊNCIA 5,5 CV - DEPRECIAÇÃO. AF_08/2015</v>
          </cell>
          <cell r="C909" t="str">
            <v>H</v>
          </cell>
          <cell r="D909">
            <v>0.48</v>
          </cell>
        </row>
        <row r="910">
          <cell r="A910" t="str">
            <v>91274</v>
          </cell>
          <cell r="B910" t="str">
            <v>PLACA VIBRATÓRIA REVERSÍVEL COM MOTOR 4 TEMPOS A GASOLINA, FORÇA CENTRÍFUGA DE 25 KN (2500 KGF), POTÊNCIA 5,5 CV - JUROS. AF_08/2015</v>
          </cell>
          <cell r="C910" t="str">
            <v>H</v>
          </cell>
          <cell r="D910">
            <v>0.06</v>
          </cell>
        </row>
        <row r="911">
          <cell r="A911" t="str">
            <v>91275</v>
          </cell>
          <cell r="B911" t="str">
            <v>PLACA VIBRATÓRIA REVERSÍVEL COM MOTOR 4 TEMPOS A GASOLINA, FORÇA CENTRÍFUGA DE 25 KN (2500 KGF), POTÊNCIA 5,5 CV - MANUTENÇÃO. AF_08/2015</v>
          </cell>
          <cell r="C911" t="str">
            <v>H</v>
          </cell>
          <cell r="D911">
            <v>0.6</v>
          </cell>
        </row>
        <row r="912">
          <cell r="A912" t="str">
            <v>91276</v>
          </cell>
          <cell r="B912" t="str">
            <v>PLACA VIBRATÓRIA REVERSÍVEL COM MOTOR 4 TEMPOS A GASOLINA, FORÇA CENTRÍFUGA DE 25 KN (2500 KGF), POTÊNCIA 5,5 CV - MATERIAIS NA OPERAÇÃO. AF_08/2015</v>
          </cell>
          <cell r="C912" t="str">
            <v>H</v>
          </cell>
          <cell r="D912">
            <v>9.57</v>
          </cell>
        </row>
        <row r="913">
          <cell r="A913" t="str">
            <v>91279</v>
          </cell>
          <cell r="B913" t="str">
            <v>CORTADORA DE PISO COM MOTOR 4 TEMPOS A GASOLINA, POTÊNCIA DE 13 HP, COM DISCO DE CORTE DIAMANTADO SEGMENTADO PARA CONCRETO, DIÂMETRO DE 350 MM, FURO DE 1" (14 X 1") - DEPRECIAÇÃO. AF_08/2015</v>
          </cell>
          <cell r="C913" t="str">
            <v>H</v>
          </cell>
          <cell r="D913">
            <v>1.08</v>
          </cell>
        </row>
        <row r="914">
          <cell r="A914" t="str">
            <v>91280</v>
          </cell>
          <cell r="B914" t="str">
            <v>CORTADORA DE PISO COM MOTOR 4 TEMPOS A GASOLINA, POTÊNCIA DE 13 HP, COM DISCO DE CORTE DIAMANTADO SEGMENTADO PARA CONCRETO, DIÂMETRO DE 350 MM, FURO DE 1" (14 X 1") - JUROS. AF_08/2015</v>
          </cell>
          <cell r="C914" t="str">
            <v>H</v>
          </cell>
          <cell r="D914">
            <v>0.12</v>
          </cell>
        </row>
        <row r="915">
          <cell r="A915" t="str">
            <v>91281</v>
          </cell>
          <cell r="B915" t="str">
            <v>CORTADORA DE PISO COM MOTOR 4 TEMPOS A GASOLINA, POTÊNCIA DE 13 HP, COM DISCO DE CORTE DIAMANTADO SEGMENTADO PARA CONCRETO, DIÂMETRO DE 350 MM, FURO DE 1" (14 X 1") - MANUTENÇÃO. AF_08/2015</v>
          </cell>
          <cell r="C915" t="str">
            <v>H</v>
          </cell>
          <cell r="D915">
            <v>1.36</v>
          </cell>
        </row>
        <row r="916">
          <cell r="A916" t="str">
            <v>91282</v>
          </cell>
          <cell r="B916" t="str">
            <v>CORTADORA DE PISO COM MOTOR 4 TEMPOS A GASOLINA, POTÊNCIA DE 13 HP, COM DISCO DE CORTE DIAMANTADO SEGMENTADO PARA CONCRETO, DIÂMETRO DE 350 MM, FURO DE 1" (14 X 1") - MATERIAIS NA OPERAÇÃO. AF_08/2015</v>
          </cell>
          <cell r="C916" t="str">
            <v>H</v>
          </cell>
          <cell r="D916">
            <v>22.88</v>
          </cell>
        </row>
        <row r="917">
          <cell r="A917" t="str">
            <v>91354</v>
          </cell>
          <cell r="B917" t="str">
            <v>CAMINHÃO TOCO, PESO BRUTO TOTAL 14.300 KG, CARGA ÚTIL MÁXIMA 9590 KG, DISTÂNCIA ENTRE EIXOS 4,76 M, POTÊNCIA 185 CV (NÃO INCLUI CARROCERIA) - DEPRECIAÇÃO. AF_06/2014</v>
          </cell>
          <cell r="C917" t="str">
            <v>H</v>
          </cell>
          <cell r="D917">
            <v>13.17</v>
          </cell>
        </row>
        <row r="918">
          <cell r="A918" t="str">
            <v>91355</v>
          </cell>
          <cell r="B918" t="str">
            <v>CAMINHÃO TOCO, PESO BRUTO TOTAL 14.300 KG, CARGA ÚTIL MÁXIMA 9590 KG, DISTÂNCIA ENTRE EIXOS 4,76 M, POTÊNCIA 185 CV (NÃO INCLUI CARROCERIA) - JUROS. AF_06/2014</v>
          </cell>
          <cell r="C918" t="str">
            <v>H</v>
          </cell>
          <cell r="D918">
            <v>2.76</v>
          </cell>
        </row>
        <row r="919">
          <cell r="A919" t="str">
            <v>91356</v>
          </cell>
          <cell r="B919" t="str">
            <v>CAMINHÃO TOCO, PESO BRUTO TOTAL 14.300 KG, CARGA ÚTIL MÁXIMA 9590 KG, DISTÂNCIA ENTRE EIXOS 4,76 M, POTÊNCIA 185 CV (NÃO INCLUI CARROCERIA) - IMPOSTOS E SEGUROS. AF_06/2014</v>
          </cell>
          <cell r="C919" t="str">
            <v>H</v>
          </cell>
          <cell r="D919">
            <v>1.07</v>
          </cell>
        </row>
        <row r="920">
          <cell r="A920" t="str">
            <v>91359</v>
          </cell>
          <cell r="B920" t="str">
            <v>CAMINHÃO PIPA 6.000 L, PESO BRUTO TOTAL 13.000 KG, DISTÂNCIA ENTRE EIXOS 4,80 M, POTÊNCIA 189 CV INCLUSIVE TANQUE DE AÇO PARA TRANSPORTE DE ÁGUA, CAPACIDADE 6 M3 - DEPRECIAÇÃO. AF_06/2014</v>
          </cell>
          <cell r="C920" t="str">
            <v>H</v>
          </cell>
          <cell r="D920">
            <v>14.99</v>
          </cell>
        </row>
        <row r="921">
          <cell r="A921" t="str">
            <v>91360</v>
          </cell>
          <cell r="B921" t="str">
            <v>CAMINHÃO PIPA 6.000 L, PESO BRUTO TOTAL 13.000 KG, DISTÂNCIA ENTRE EIXOS 4,80 M, POTÊNCIA 189 CV INCLUSIVE TANQUE DE AÇO PARA TRANSPORTE DE ÁGUA, CAPACIDADE 6 M3 - JUROS. AF_06/2014</v>
          </cell>
          <cell r="C921" t="str">
            <v>H</v>
          </cell>
          <cell r="D921">
            <v>3.14</v>
          </cell>
        </row>
        <row r="922">
          <cell r="A922" t="str">
            <v>91361</v>
          </cell>
          <cell r="B922" t="str">
            <v>CAMINHÃO PIPA 6.000 L, PESO BRUTO TOTAL 13.000 KG, DISTÂNCIA ENTRE EIXOS 4,80 M, POTÊNCIA 189 CV INCLUSIVE TANQUE DE AÇO PARA TRANSPORTE DE ÁGUA, CAPACIDADE 6 M3 - IMPOSTOS E SEGUROS. AF_06/2014</v>
          </cell>
          <cell r="C922" t="str">
            <v>H</v>
          </cell>
          <cell r="D922">
            <v>1.21</v>
          </cell>
        </row>
        <row r="923">
          <cell r="A923" t="str">
            <v>91367</v>
          </cell>
          <cell r="B923" t="str">
            <v>CAMINHÃO BASCULANTE 6 M3, PESO BRUTO TOTAL 16.000 KG, CARGA ÚTIL MÁXIMA 13.071 KG, DISTÂNCIA ENTRE EIXOS 4,80 M, POTÊNCIA 230 CV INCLUSIVE CAÇAMBA METÁLICA - DEPRECIAÇÃO. AF_06/2014</v>
          </cell>
          <cell r="C923" t="str">
            <v>H</v>
          </cell>
          <cell r="D923">
            <v>19.309999999999999</v>
          </cell>
        </row>
        <row r="924">
          <cell r="A924" t="str">
            <v>91368</v>
          </cell>
          <cell r="B924" t="str">
            <v>CAMINHÃO BASCULANTE 6 M3, PESO BRUTO TOTAL 16.000 KG, CARGA ÚTIL MÁXIMA 13.071 KG, DISTÂNCIA ENTRE EIXOS 4,80 M, POTÊNCIA 230 CV INCLUSIVE CAÇAMBA METÁLICA - JUROS. AF_06/2014</v>
          </cell>
          <cell r="C924" t="str">
            <v>H</v>
          </cell>
          <cell r="D924">
            <v>3.57</v>
          </cell>
        </row>
        <row r="925">
          <cell r="A925" t="str">
            <v>91369</v>
          </cell>
          <cell r="B925" t="str">
            <v>CAMINHÃO BASCULANTE 6 M3, PESO BRUTO TOTAL 16.000 KG, CARGA ÚTIL MÁXIMA 13.071 KG, DISTÂNCIA ENTRE EIXOS 4,80 M, POTÊNCIA 230 CV INCLUSIVE CAÇAMBA METÁLICA - IMPOSTOS E SEGUROS. AF_06/2014</v>
          </cell>
          <cell r="C925" t="str">
            <v>H</v>
          </cell>
          <cell r="D925">
            <v>1.39</v>
          </cell>
        </row>
        <row r="926">
          <cell r="A926" t="str">
            <v>91375</v>
          </cell>
          <cell r="B926" t="str">
            <v>CAMINHÃO TOCO, PESO BRUTO TOTAL 16.000 KG, CARGA ÚTIL MÁXIMA DE 10.685 KG, DISTÂNCIA ENTRE EIXOS 4,80 M, POTÊNCIA 189 CV EXCLUSIVE CARROCERIA - DEPRECIAÇÃO. AF_06/2014</v>
          </cell>
          <cell r="C926" t="str">
            <v>H</v>
          </cell>
          <cell r="D926">
            <v>11.09</v>
          </cell>
        </row>
        <row r="927">
          <cell r="A927" t="str">
            <v>91376</v>
          </cell>
          <cell r="B927" t="str">
            <v>CAMINHÃO TOCO, PESO BRUTO TOTAL 16.000 KG, CARGA ÚTIL MÁXIMA DE 10.685 KG, DISTÂNCIA ENTRE EIXOS 4,80 M, POTÊNCIA 189 CV EXCLUSIVE CARROCERIA - JUROS. AF_06/2014</v>
          </cell>
          <cell r="C927" t="str">
            <v>H</v>
          </cell>
          <cell r="D927">
            <v>2.3199999999999998</v>
          </cell>
        </row>
        <row r="928">
          <cell r="A928" t="str">
            <v>91377</v>
          </cell>
          <cell r="B928" t="str">
            <v>CAMINHÃO TOCO, PESO BRUTO TOTAL 16.000 KG, CARGA ÚTIL MÁXIMA DE 10.685 KG, DISTÂNCIA ENTRE EIXOS 4,80 M, POTÊNCIA 189 CV EXCLUSIVE CARROCERIA - IMPOSTOS E SEGUROS. AF_06/2014</v>
          </cell>
          <cell r="C928" t="str">
            <v>H</v>
          </cell>
          <cell r="D928">
            <v>0.9</v>
          </cell>
        </row>
        <row r="929">
          <cell r="A929" t="str">
            <v>91380</v>
          </cell>
          <cell r="B929" t="str">
            <v>CAMINHÃO BASCULANTE 10 M3, TRUCADO CABINE SIMPLES, PESO BRUTO TOTAL 23.000 KG, CARGA ÚTIL MÁXIMA 15.935 KG, DISTÂNCIA ENTRE EIXOS 4,80 M, POTÊNCIA 230 CV INCLUSIVE CAÇAMBA METÁLICA - DEPRECIAÇÃO. AF_06/2014</v>
          </cell>
          <cell r="C929" t="str">
            <v>H</v>
          </cell>
          <cell r="D929">
            <v>21.83</v>
          </cell>
        </row>
        <row r="930">
          <cell r="A930" t="str">
            <v>91381</v>
          </cell>
          <cell r="B930" t="str">
            <v>CAMINHÃO BASCULANTE 10 M3, TRUCADO CABINE SIMPLES, PESO BRUTO TOTAL 23.000 KG, CARGA ÚTIL MÁXIMA 15.935 KG, DISTÂNCIA ENTRE EIXOS 4,80 M, POTÊNCIA 230 CV INCLUSIVE CAÇAMBA METÁLICA - JUROS. AF_06/2014</v>
          </cell>
          <cell r="C930" t="str">
            <v>H</v>
          </cell>
          <cell r="D930">
            <v>4.03</v>
          </cell>
        </row>
        <row r="931">
          <cell r="A931" t="str">
            <v>91382</v>
          </cell>
          <cell r="B931" t="str">
            <v>CAMINHÃO BASCULANTE 10 M3, TRUCADO CABINE SIMPLES, PESO BRUTO TOTAL 23.000 KG, CARGA ÚTIL MÁXIMA 15.935 KG, DISTÂNCIA ENTRE EIXOS 4,80 M, POTÊNCIA 230 CV INCLUSIVE CAÇAMBA METÁLICA - IMPOSTOS E SEGUROS. AF_06/2014</v>
          </cell>
          <cell r="C931" t="str">
            <v>H</v>
          </cell>
          <cell r="D931">
            <v>1.57</v>
          </cell>
        </row>
        <row r="932">
          <cell r="A932" t="str">
            <v>91383</v>
          </cell>
          <cell r="B932" t="str">
            <v>CAMINHÃO BASCULANTE 10 M3, TRUCADO CABINE SIMPLES, PESO BRUTO TOTAL 23.000 KG, CARGA ÚTIL MÁXIMA 15.935 KG, DISTÂNCIA ENTRE EIXOS 4,80 M, POTÊNCIA 230 CV INCLUSIVE CAÇAMBA METÁLICA - MANUTENÇÃO. AF_06/2014</v>
          </cell>
          <cell r="C932" t="str">
            <v>H</v>
          </cell>
          <cell r="D932">
            <v>40.94</v>
          </cell>
        </row>
        <row r="933">
          <cell r="A933" t="str">
            <v>91384</v>
          </cell>
          <cell r="B933" t="str">
            <v>CAMINHÃO BASCULANTE 10 M3, TRUCADO CABINE SIMPLES, PESO BRUTO TOTAL 23.000 KG, CARGA ÚTIL MÁXIMA 15.935 KG, DISTÂNCIA ENTRE EIXOS 4,80 M, POTÊNCIA 230 CV INCLUSIVE CAÇAMBA METÁLICA - MATERIAIS NA OPERAÇÃO. AF_06/2014</v>
          </cell>
          <cell r="C933" t="str">
            <v>H</v>
          </cell>
          <cell r="D933">
            <v>121.1</v>
          </cell>
        </row>
        <row r="934">
          <cell r="A934" t="str">
            <v>91390</v>
          </cell>
          <cell r="B934" t="str">
            <v>CAMINHÃO TOCO, PBT 14.300 KG, CARGA ÚTIL MÁX. 9.710 KG, DIST. ENTRE EIXOS 3,56 M, POTÊNCIA 185 CV, INCLUSIVE CARROCERIA FIXA ABERTA DE MADEIRA P/ TRANSPORTE GERAL DE CARGA SECA, DIMEN. APROX. 2,50 X 6,50 X 0,50 M - DEPRECIAÇÃO. AF_06/2014</v>
          </cell>
          <cell r="C934" t="str">
            <v>H</v>
          </cell>
          <cell r="D934">
            <v>14.26</v>
          </cell>
        </row>
        <row r="935">
          <cell r="A935" t="str">
            <v>91391</v>
          </cell>
          <cell r="B935" t="str">
            <v>CAMINHÃO TOCO, PBT 14.300 KG, CARGA ÚTIL MÁX. 9.710 KG, DIST. ENTRE EIXOS 3,56 M, POTÊNCIA 185 CV, INCLUSIVE CARROCERIA FIXA ABERTA DE MADEIRA P/ TRANSPORTE GERAL DE CARGA SECA, DIMEN. APROX. 2,50 X 6,50 X 0,50 M - JUROS. AF_06/2014</v>
          </cell>
          <cell r="C935" t="str">
            <v>H</v>
          </cell>
          <cell r="D935">
            <v>2.99</v>
          </cell>
        </row>
        <row r="936">
          <cell r="A936" t="str">
            <v>91392</v>
          </cell>
          <cell r="B936" t="str">
            <v>CAMINHÃO TOCO, PBT 14.300 KG, CARGA ÚTIL MÁX. 9.710 KG, DIST. ENTRE EIXOS 3,56 M, POTÊNCIA 185 CV, INCLUSIVE CARROCERIA FIXA ABERTA DE MADEIRA P/ TRANSPORTE GERAL DE CARGA SECA, DIMEN. APROX. 2,50 X 6,50 X 0,50 M - IMPOSTOS E SEGUROS. AF_06/2014</v>
          </cell>
          <cell r="C936" t="str">
            <v>H</v>
          </cell>
          <cell r="D936">
            <v>1.1599999999999999</v>
          </cell>
        </row>
        <row r="937">
          <cell r="A937" t="str">
            <v>91396</v>
          </cell>
          <cell r="B937" t="str">
            <v>CAMINHÃO PIPA 10.000 L TRUCADO, PESO BRUTO TOTAL 23.000 KG, CARGA ÚTIL MÁXIMA 15.935 KG, DISTÂNCIA ENTRE EIXOS 4,8 M, POTÊNCIA 230 CV, INCLUSIVE TANQUE DE AÇO PARA TRANSPORTE DE ÁGUA - DEPRECIAÇÃO. AF_06/2014</v>
          </cell>
          <cell r="C937" t="str">
            <v>H</v>
          </cell>
          <cell r="D937">
            <v>19.22</v>
          </cell>
        </row>
        <row r="938">
          <cell r="A938" t="str">
            <v>91397</v>
          </cell>
          <cell r="B938" t="str">
            <v>CAMINHÃO PIPA 10.000 L TRUCADO, PESO BRUTO TOTAL 23.000 KG, CARGA ÚTIL MÁXIMA 15.935 KG, DISTÂNCIA ENTRE EIXOS 4,8 M, POTÊNCIA 230 CV, INCLUSIVE TANQUE DE AÇO PARA TRANSPORTE DE ÁGUA - JUROS. AF_06/2014</v>
          </cell>
          <cell r="C938" t="str">
            <v>H</v>
          </cell>
          <cell r="D938">
            <v>4.0199999999999996</v>
          </cell>
        </row>
        <row r="939">
          <cell r="A939" t="str">
            <v>91398</v>
          </cell>
          <cell r="B939" t="str">
            <v>CAMINHÃO PIPA 10.000 L TRUCADO, PESO BRUTO TOTAL 23.000 KG, CARGA ÚTIL MÁXIMA 15.935 KG, DISTÂNCIA ENTRE EIXOS 4,8 M, POTÊNCIA 230 CV, INCLUSIVE TANQUE DE AÇO PARA TRANSPORTE DE ÁGUA - IMPOSTOS E SEGUROS. AF_06/2014</v>
          </cell>
          <cell r="C939" t="str">
            <v>H</v>
          </cell>
          <cell r="D939">
            <v>1.56</v>
          </cell>
        </row>
        <row r="940">
          <cell r="A940" t="str">
            <v>91402</v>
          </cell>
          <cell r="B940" t="str">
            <v>CAMINHÃO BASCULANTE 6 M3 TOCO, PESO BRUTO TOTAL 16.000 KG, CARGA ÚTIL MÁXIMA 11.130 KG, DISTÂNCIA ENTRE EIXOS 5,36 M, POTÊNCIA 185 CV, INCLUSIVE CAÇAMBA METÁLICA - IMPOSTOS E SEGUROS. AF_06/2014</v>
          </cell>
          <cell r="C940" t="str">
            <v>H</v>
          </cell>
          <cell r="D940">
            <v>1.32</v>
          </cell>
        </row>
        <row r="941">
          <cell r="A941" t="str">
            <v>91466</v>
          </cell>
          <cell r="B941" t="str">
            <v>GUINDAUTO HIDRÁULICO, CAPACIDADE MÁXIMA DE CARGA 6200 KG, MOMENTO MÁXIMO DE CARGA 11,7 TM, ALCANCE MÁXIMO HORIZONTAL 9,70 M, INCLUSIVE CAMINHÃO TOCO PBT 16.000 KG, POTÊNCIA DE 189 CV - IMPOSTOS E SEGUROS. AF_08/2015</v>
          </cell>
          <cell r="C941" t="str">
            <v>H</v>
          </cell>
          <cell r="D941">
            <v>1.22</v>
          </cell>
        </row>
        <row r="942">
          <cell r="A942" t="str">
            <v>91467</v>
          </cell>
          <cell r="B942" t="str">
            <v>GUINDAUTO HIDRÁULICO, CAPACIDADE MÁXIMA DE CARGA 6200 KG, MOMENTO MÁXIMO DE CARGA 11,7 TM, ALCANCE MÁXIMO HORIZONTAL 9,70 M, INCLUSIVE CAMINHÃO TOCO PBT 16.000 KG, POTÊNCIA DE 189 CV - MATERIAIS NA OPERAÇÃO. AF_08/2015</v>
          </cell>
          <cell r="C942" t="str">
            <v>H</v>
          </cell>
          <cell r="D942">
            <v>135.05000000000001</v>
          </cell>
        </row>
        <row r="943">
          <cell r="A943" t="str">
            <v>91468</v>
          </cell>
          <cell r="B943" t="str">
            <v>ESPARGIDOR DE ASFALTO PRESSURIZADO, TANQUE 6 M3 COM ISOLAÇÃO TÉRMICA, AQUECIDO COM 2 MAÇARICOS, COM BARRA ESPARGIDORA 3,60 M, MONTADO SOBRE CAMINHÃO  TOCO, PBT 14.300 KG, POTÊNCIA 185 CV - DEPRECIAÇÃO. AF_08/2015</v>
          </cell>
          <cell r="C943" t="str">
            <v>H</v>
          </cell>
          <cell r="D943">
            <v>20.25</v>
          </cell>
        </row>
        <row r="944">
          <cell r="A944" t="str">
            <v>91469</v>
          </cell>
          <cell r="B944" t="str">
            <v>ESPARGIDOR DE ASFALTO PRESSURIZADO, TANQUE 6 M3 COM ISOLAÇÃO TÉRMICA, AQUECIDO COM 2 MAÇARICOS, COM BARRA ESPARGIDORA 3,60 M, MONTADO SOBRE CAMINHÃO  TOCO, PBT 14.300 KG, POTÊNCIA 185 CV - JUROS. AF_08/2015</v>
          </cell>
          <cell r="C944" t="str">
            <v>H</v>
          </cell>
          <cell r="D944">
            <v>4.37</v>
          </cell>
        </row>
        <row r="945">
          <cell r="A945" t="str">
            <v>91484</v>
          </cell>
          <cell r="B945" t="str">
            <v>ESPARGIDOR DE ASFALTO PRESSURIZADO, TANQUE 6 M3 COM ISOLAÇÃO TÉRMICA, AQUECIDO COM 2 MAÇARICOS, COM BARRA ESPARGIDORA 3,60 M, MONTADO SOBRE CAMINHÃO  TOCO, PBT 14.300 KG, POTÊNCIA 185 CV - IMPOSTOS E SEGUROS. AF_08/2015</v>
          </cell>
          <cell r="C945" t="str">
            <v>H</v>
          </cell>
          <cell r="D945">
            <v>1.39</v>
          </cell>
        </row>
        <row r="946">
          <cell r="A946" t="str">
            <v>91485</v>
          </cell>
          <cell r="B946" t="str">
            <v>ESPARGIDOR DE ASFALTO PRESSURIZADO, TANQUE 6 M3 COM ISOLAÇÃO TÉRMICA, AQUECIDO COM 2 MAÇARICOS, COM BARRA ESPARGIDORA 3,60 M, MONTADO SOBRE CAMINHÃO  TOCO, PBT 14.300 KG, POTÊNCIA 185 CV - MATERIAIS NA OPERAÇÃO. AF_08/2015</v>
          </cell>
          <cell r="C946" t="str">
            <v>H</v>
          </cell>
          <cell r="D946">
            <v>183.29</v>
          </cell>
        </row>
        <row r="947">
          <cell r="A947" t="str">
            <v>91529</v>
          </cell>
          <cell r="B947" t="str">
            <v>COMPACTADOR DE SOLOS DE PERCUSSÃO (SOQUETE) COM MOTOR A GASOLINA 4 TEMPOS, POTÊNCIA 4 CV - DEPRECIAÇÃO. AF_08/2015</v>
          </cell>
          <cell r="C947" t="str">
            <v>H</v>
          </cell>
          <cell r="D947">
            <v>0.71</v>
          </cell>
        </row>
        <row r="948">
          <cell r="A948" t="str">
            <v>91530</v>
          </cell>
          <cell r="B948" t="str">
            <v>COMPACTADOR DE SOLOS DE PERCUSSÃO (SOQUETE) COM MOTOR A GASOLINA 4 TEMPOS, POTÊNCIA 4 CV - JUROS. AF_08/2015</v>
          </cell>
          <cell r="C948" t="str">
            <v>H</v>
          </cell>
          <cell r="D948">
            <v>0.09</v>
          </cell>
        </row>
        <row r="949">
          <cell r="A949" t="str">
            <v>91531</v>
          </cell>
          <cell r="B949" t="str">
            <v>COMPACTADOR DE SOLOS DE PERCUSSÃO (SOQUETE) COM MOTOR A GASOLINA 4 TEMPOS, POTÊNCIA 4 CV - MANUTENÇÃO. AF_08/2015</v>
          </cell>
          <cell r="C949" t="str">
            <v>H</v>
          </cell>
          <cell r="D949">
            <v>0.9</v>
          </cell>
        </row>
        <row r="950">
          <cell r="A950" t="str">
            <v>91532</v>
          </cell>
          <cell r="B950" t="str">
            <v>COMPACTADOR DE SOLOS DE PERCUSSÃO (SOQUETE) COM MOTOR A GASOLINA 4 TEMPOS, POTÊNCIA 4 CV - MATERIAIS NA OPERAÇÃO. AF_08/2015</v>
          </cell>
          <cell r="C950" t="str">
            <v>H</v>
          </cell>
          <cell r="D950">
            <v>6.94</v>
          </cell>
        </row>
        <row r="951">
          <cell r="A951" t="str">
            <v>91629</v>
          </cell>
          <cell r="B951" t="str">
            <v>GUINDAUTO HIDRÁULICO, CAPACIDADE MÁXIMA DE CARGA 6500 KG, MOMENTO MÁXIMO DE CARGA 5,8 TM, ALCANCE MÁXIMO HORIZONTAL 7,60 M, INCLUSIVE CAMINHÃO TOCO PBT 9.700 KG, POTÊNCIA DE 160 CV - DEPRECIAÇÃO. AF_08/2015</v>
          </cell>
          <cell r="C951" t="str">
            <v>H</v>
          </cell>
          <cell r="D951">
            <v>13.96</v>
          </cell>
        </row>
        <row r="952">
          <cell r="A952" t="str">
            <v>91630</v>
          </cell>
          <cell r="B952" t="str">
            <v>GUINDAUTO HIDRÁULICO, CAPACIDADE MÁXIMA DE CARGA 6500 KG, MOMENTO MÁXIMO DE CARGA 5,8 TM, ALCANCE MÁXIMO HORIZONTAL 7,60 M, INCLUSIVE CAMINHÃO TOCO PBT 9.700 KG, POTÊNCIA DE 160 CV - JUROS. AF_08/2015</v>
          </cell>
          <cell r="C952" t="str">
            <v>H</v>
          </cell>
          <cell r="D952">
            <v>2.92</v>
          </cell>
        </row>
        <row r="953">
          <cell r="A953" t="str">
            <v>91631</v>
          </cell>
          <cell r="B953" t="str">
            <v>GUINDAUTO HIDRÁULICO, CAPACIDADE MÁXIMA DE CARGA 6500 KG, MOMENTO MÁXIMO DE CARGA 5,8 TM, ALCANCE MÁXIMO HORIZONTAL 7,60 M, INCLUSIVE CAMINHÃO TOCO PBT 9.700 KG, POTÊNCIA DE 160 CV - IMPOSTOS E SEGUROS. AF_08/2015</v>
          </cell>
          <cell r="C953" t="str">
            <v>H</v>
          </cell>
          <cell r="D953">
            <v>1.1299999999999999</v>
          </cell>
        </row>
        <row r="954">
          <cell r="A954" t="str">
            <v>91632</v>
          </cell>
          <cell r="B954" t="str">
            <v>GUINDAUTO HIDRÁULICO, CAPACIDADE MÁXIMA DE CARGA 6500 KG, MOMENTO MÁXIMO DE CARGA 5,8 TM, ALCANCE MÁXIMO HORIZONTAL 7,60 M, INCLUSIVE CAMINHÃO TOCO PBT 9.700 KG, POTÊNCIA DE 160 CV - MANUTENÇÃO. AF_08/2015</v>
          </cell>
          <cell r="C954" t="str">
            <v>H</v>
          </cell>
          <cell r="D954">
            <v>26.17</v>
          </cell>
        </row>
        <row r="955">
          <cell r="A955" t="str">
            <v>91633</v>
          </cell>
          <cell r="B955" t="str">
            <v>GUINDAUTO HIDRÁULICO, CAPACIDADE MÁXIMA DE CARGA 6500 KG, MOMENTO MÁXIMO DE CARGA 5,8 TM, ALCANCE MÁXIMO HORIZONTAL 7,60 M, INCLUSIVE CAMINHÃO TOCO PBT 9.700 KG, POTÊNCIA DE 160 CV - MATERIAIS NA OPERAÇÃO. AF_08/2015</v>
          </cell>
          <cell r="C955" t="str">
            <v>H</v>
          </cell>
          <cell r="D955">
            <v>114.31</v>
          </cell>
        </row>
        <row r="956">
          <cell r="A956" t="str">
            <v>91640</v>
          </cell>
          <cell r="B956" t="str">
            <v>CAMINHÃO DE TRANSPORTE DE MATERIAL ASFÁLTICO 30.000 L, COM CAVALO MECÂNICO DE CAPACIDADE MÁXIMA DE TRAÇÃO COMBINADO DE 66.000 KG, POTÊNCIA 360 CV, INCLUSIVE TANQUE DE ASFALTO COM SERPENTINA - DEPRECIAÇÃO. AF_08/2015</v>
          </cell>
          <cell r="C956" t="str">
            <v>H</v>
          </cell>
          <cell r="D956">
            <v>31.29</v>
          </cell>
        </row>
        <row r="957">
          <cell r="A957" t="str">
            <v>91641</v>
          </cell>
          <cell r="B957" t="str">
            <v>CAMINHÃO DE TRANSPORTE DE MATERIAL ASFÁLTICO 30.000 L, COM CAVALO MECÂNICO DE CAPACIDADE MÁXIMA DE TRAÇÃO COMBINADO DE 66.000 KG, POTÊNCIA 360 CV, INCLUSIVE TANQUE DE ASFALTO COM SERPENTINA - JUROS. AF_08/2015</v>
          </cell>
          <cell r="C957" t="str">
            <v>H</v>
          </cell>
          <cell r="D957">
            <v>6.56</v>
          </cell>
        </row>
        <row r="958">
          <cell r="A958" t="str">
            <v>91642</v>
          </cell>
          <cell r="B958" t="str">
            <v>CAMINHÃO DE TRANSPORTE DE MATERIAL ASFÁLTICO 30.000 L, COM CAVALO MECÂNICO DE CAPACIDADE MÁXIMA DE TRAÇÃO COMBINADO DE 66.000 KG, POTÊNCIA 360 CV, INCLUSIVE TANQUE DE ASFALTO COM SERPENTINA - IMPOSTOS E SEGUROS. AF_08/2015</v>
          </cell>
          <cell r="C958" t="str">
            <v>H</v>
          </cell>
          <cell r="D958">
            <v>2.54</v>
          </cell>
        </row>
        <row r="959">
          <cell r="A959" t="str">
            <v>91643</v>
          </cell>
          <cell r="B959" t="str">
            <v>CAMINHÃO DE TRANSPORTE DE MATERIAL ASFÁLTICO 30.000 L, COM CAVALO MECÂNICO DE CAPACIDADE MÁXIMA DE TRAÇÃO COMBINADO DE 66.000 KG, POTÊNCIA 360 CV, INCLUSIVE TANQUE DE ASFALTO COM SERPENTINA - MANUTENÇÃO. AF_08/2015</v>
          </cell>
          <cell r="C959" t="str">
            <v>H</v>
          </cell>
          <cell r="D959">
            <v>58.67</v>
          </cell>
        </row>
        <row r="960">
          <cell r="A960" t="str">
            <v>91644</v>
          </cell>
          <cell r="B960" t="str">
            <v>CAMINHÃO DE TRANSPORTE DE MATERIAL ASFÁLTICO 30.000 L, COM CAVALO MECÂNICO DE CAPACIDADE MÁXIMA DE TRAÇÃO COMBINADO DE 66.000 KG, POTÊNCIA 360 CV, INCLUSIVE TANQUE DE ASFALTO COM SERPENTINA - MATERIAIS NA OPERAÇÃO. AF_08/2015</v>
          </cell>
          <cell r="C960" t="str">
            <v>H</v>
          </cell>
          <cell r="D960">
            <v>257.23</v>
          </cell>
        </row>
        <row r="961">
          <cell r="A961" t="str">
            <v>91688</v>
          </cell>
          <cell r="B961" t="str">
            <v>SERRA CIRCULAR DE BANCADA COM MOTOR ELÉTRICO POTÊNCIA DE 5HP, COM COIFA PARA DISCO 10" - DEPRECIAÇÃO. AF_08/2015</v>
          </cell>
          <cell r="C961" t="str">
            <v>H</v>
          </cell>
          <cell r="D961">
            <v>0.13</v>
          </cell>
        </row>
        <row r="962">
          <cell r="A962" t="str">
            <v>91689</v>
          </cell>
          <cell r="B962" t="str">
            <v>SERRA CIRCULAR DE BANCADA COM MOTOR ELÉTRICO POTÊNCIA DE 5HP, COM COIFA PARA DISCO 10" - JUROS. AF_08/2015</v>
          </cell>
          <cell r="C962" t="str">
            <v>H</v>
          </cell>
          <cell r="D962">
            <v>0.02</v>
          </cell>
        </row>
        <row r="963">
          <cell r="A963" t="str">
            <v>91690</v>
          </cell>
          <cell r="B963" t="str">
            <v>SERRA CIRCULAR DE BANCADA COM MOTOR ELÉTRICO POTÊNCIA DE 5HP, COM COIFA PARA DISCO 10" - MANUTENÇÃO. AF_08/2015</v>
          </cell>
          <cell r="C963" t="str">
            <v>H</v>
          </cell>
          <cell r="D963">
            <v>0.09</v>
          </cell>
        </row>
        <row r="964">
          <cell r="A964" t="str">
            <v>91691</v>
          </cell>
          <cell r="B964" t="str">
            <v>SERRA CIRCULAR DE BANCADA COM MOTOR ELÉTRICO POTÊNCIA DE 5HP, COM COIFA PARA DISCO 10" - MATERIAIS NA OPERAÇÃO. AF_08/2015</v>
          </cell>
          <cell r="C964" t="str">
            <v>H</v>
          </cell>
          <cell r="D964">
            <v>2.97</v>
          </cell>
        </row>
        <row r="965">
          <cell r="A965" t="str">
            <v>92040</v>
          </cell>
          <cell r="B965" t="str">
            <v>DISTRIBUIDOR DE AGREGADOS REBOCAVEL, CAPACIDADE 1,9 M³, LARGURA DE TRABALHO 3,66 M - DEPRECIAÇÃO. AF_11/2015</v>
          </cell>
          <cell r="C965" t="str">
            <v>H</v>
          </cell>
          <cell r="D965">
            <v>5.9</v>
          </cell>
        </row>
        <row r="966">
          <cell r="A966" t="str">
            <v>92041</v>
          </cell>
          <cell r="B966" t="str">
            <v>DISTRIBUIDOR DE AGREGADOS REBOCAVEL, CAPACIDADE 1,9 M³, LARGURA DE TRABALHO 3,66 M - JUROS. AF_11/2015</v>
          </cell>
          <cell r="C966" t="str">
            <v>H</v>
          </cell>
          <cell r="D966">
            <v>0.62</v>
          </cell>
        </row>
        <row r="967">
          <cell r="A967" t="str">
            <v>92042</v>
          </cell>
          <cell r="B967" t="str">
            <v>DISTRIBUIDOR DE AGREGADOS REBOCAVEL, CAPACIDADE 1,9 M³, LARGURA DE TRABALHO 3,66 M - MANUTENÇÃO. AF_11/2015</v>
          </cell>
          <cell r="C967" t="str">
            <v>H</v>
          </cell>
          <cell r="D967">
            <v>4.92</v>
          </cell>
        </row>
        <row r="968">
          <cell r="A968" t="str">
            <v>92101</v>
          </cell>
          <cell r="B968" t="str">
            <v>CAMINHÃO PARA EQUIPAMENTO DE LIMPEZA A SUCÇÃO COM CAMINHÃO TRUCADO DE PESO BRUTO TOTAL 23000 KG, CARGA ÚTIL MÁXIMA 15935 KG, DISTÂNCIA ENTRE EIXOS 4,80 M, POTÊNCIA 230 CV, INCLUSIVE LIMPADORA A SUCÇÃO, TANQUE 12000 L - DEPRECIAÇÃO. AF_11/2015</v>
          </cell>
          <cell r="C968" t="str">
            <v>H</v>
          </cell>
          <cell r="D968">
            <v>21.85</v>
          </cell>
        </row>
        <row r="969">
          <cell r="A969" t="str">
            <v>92102</v>
          </cell>
          <cell r="B969" t="str">
            <v>CAMINHÃO PARA EQUIPAMENTO DE LIMPEZA A SUCÇÃO COM CAMINHÃO TRUCADO DE PESO BRUTO TOTAL 23000 KG, CARGA ÚTIL MÁXIMA 15935 KG, DISTÂNCIA ENTRE EIXOS 4,80 M, POTÊNCIA 230 CV, INCLUSIVE LIMPADORA A SUCÇÃO, TANQUE 12000 L - JUROS. AF_11/2015</v>
          </cell>
          <cell r="C969" t="str">
            <v>H</v>
          </cell>
          <cell r="D969">
            <v>4.58</v>
          </cell>
        </row>
        <row r="970">
          <cell r="A970" t="str">
            <v>92103</v>
          </cell>
          <cell r="B970" t="str">
            <v>CAMINHÃO PARA EQUIPAMENTO DE LIMPEZA A SUCÇÃO COM CAMINHÃO TRUCADO DE PESO BRUTO TOTAL 23000 KG, CARGA ÚTIL MÁXIMA 15935 KG, DISTÂNCIA ENTRE EIXOS 4,80 M, POTÊNCIA 230 CV, INCLUSIVE LIMPADORA A SUCÇÃO, TANQUE 12000 L - IMPOSTOS E SEGUROS. AF_11/2015</v>
          </cell>
          <cell r="C970" t="str">
            <v>H</v>
          </cell>
          <cell r="D970">
            <v>1.77</v>
          </cell>
        </row>
        <row r="971">
          <cell r="A971" t="str">
            <v>92104</v>
          </cell>
          <cell r="B971" t="str">
            <v>CAMINHÃO PARA EQUIPAMENTO DE LIMPEZA A SUCÇÃO COM CAMINHÃO TRUCADO DE PESO BRUTO TOTAL 23000 KG, CARGA ÚTIL MÁXIMA 15935 KG, DISTÂNCIA ENTRE EIXOS 4,80 M, POTÊNCIA 230 CV, INCLUSIVE LIMPADORA A SUCÇÃO, TANQUE 12000 L - MANUTENÇÃO. AF_11/2015</v>
          </cell>
          <cell r="C971" t="str">
            <v>H</v>
          </cell>
          <cell r="D971">
            <v>40.97</v>
          </cell>
        </row>
        <row r="972">
          <cell r="A972" t="str">
            <v>92105</v>
          </cell>
          <cell r="B972" t="str">
            <v>CAMINHÃO PARA EQUIPAMENTO DE LIMPEZA A SUCÇÃO COM CAMINHÃO TRUCADO DE PESO BRUTO TOTAL 23000 KG, CARGA ÚTIL MÁX. 15935 KG, DISTÂNCIA ENTRE EIXOS 4,80 M, POTÊNCIA 230 CV, INCLUSIVE LIMPADORA A SUCÇÃO, TANQUE 12000 L - MATERIAIS NA OPERAÇÃO. AF_11/2015</v>
          </cell>
          <cell r="C972" t="str">
            <v>H</v>
          </cell>
          <cell r="D972">
            <v>164.33</v>
          </cell>
        </row>
        <row r="973">
          <cell r="A973" t="str">
            <v>92108</v>
          </cell>
          <cell r="B973" t="str">
            <v>PENEIRA ROTATIVA COM MOTOR ELÉTRICO TRIFÁSICO DE 2 CV, CILINDRO DE 1 M X 0,60 M, COM FUROS DE 3,17 MM - DEPRECIAÇÃO. AF_11/2015</v>
          </cell>
          <cell r="C973" t="str">
            <v>H</v>
          </cell>
          <cell r="D973">
            <v>0.93</v>
          </cell>
        </row>
        <row r="974">
          <cell r="A974" t="str">
            <v>92109</v>
          </cell>
          <cell r="B974" t="str">
            <v>PENEIRA ROTATIVA COM MOTOR ELÉTRICO TRIFÁSICO DE 2 CV, CILINDRO DE 1 M X 0,60 M, COM FUROS DE 3,17 MM - JUROS. AF_11/2015</v>
          </cell>
          <cell r="C974" t="str">
            <v>H</v>
          </cell>
          <cell r="D974">
            <v>0.11</v>
          </cell>
        </row>
        <row r="975">
          <cell r="A975" t="str">
            <v>92110</v>
          </cell>
          <cell r="B975" t="str">
            <v>PENEIRA ROTATIVA COM MOTOR ELÉTRICO TRIFÁSICO DE 2 CV, CILINDRO DE 1 M X 0,60 M, COM FUROS DE 3,17 MM - MANUTENÇÃO. AF_11/2015</v>
          </cell>
          <cell r="C975" t="str">
            <v>H</v>
          </cell>
          <cell r="D975">
            <v>0.73</v>
          </cell>
        </row>
        <row r="976">
          <cell r="A976" t="str">
            <v>92111</v>
          </cell>
          <cell r="B976" t="str">
            <v>PENEIRA ROTATIVA COM MOTOR ELÉTRICO TRIFÁSICO DE 2 CV, CILINDRO DE 1 M X 0,60 M, COM FUROS DE 3,17 MM - MATERIAIS NA OPERAÇÃO. AF_11/2015</v>
          </cell>
          <cell r="C976" t="str">
            <v>H</v>
          </cell>
          <cell r="D976">
            <v>1.17</v>
          </cell>
        </row>
        <row r="977">
          <cell r="A977" t="str">
            <v>92114</v>
          </cell>
          <cell r="B977" t="str">
            <v>DOSADOR DE AREIA, CAPACIDADE DE 26 LITROS - DEPRECIAÇÃO. AF_11/2015</v>
          </cell>
          <cell r="C977" t="str">
            <v>H</v>
          </cell>
          <cell r="D977">
            <v>0.1</v>
          </cell>
        </row>
        <row r="978">
          <cell r="A978" t="str">
            <v>92115</v>
          </cell>
          <cell r="B978" t="str">
            <v>DOSADOR DE AREIA, CAPACIDADE DE 26 LITROS - JUROS. AF_11/2015</v>
          </cell>
          <cell r="C978" t="str">
            <v>H</v>
          </cell>
          <cell r="D978">
            <v>0.01</v>
          </cell>
        </row>
        <row r="979">
          <cell r="A979" t="str">
            <v>92116</v>
          </cell>
          <cell r="B979" t="str">
            <v>DOSADOR DE AREIA, CAPACIDADE DE 26 LITROS - MANUTENÇÃO. AF_11/2015</v>
          </cell>
          <cell r="C979" t="str">
            <v>H</v>
          </cell>
          <cell r="D979">
            <v>0.13</v>
          </cell>
        </row>
        <row r="980">
          <cell r="A980" t="str">
            <v>92133</v>
          </cell>
          <cell r="B980" t="str">
            <v>CAMINHONETE COM MOTOR A DIESEL, POTÊNCIA 180 CV, CABINE DUPLA, 4X4 - DEPRECIAÇÃO. AF_11/2015</v>
          </cell>
          <cell r="C980" t="str">
            <v>H</v>
          </cell>
          <cell r="D980">
            <v>11.15</v>
          </cell>
        </row>
        <row r="981">
          <cell r="A981" t="str">
            <v>92134</v>
          </cell>
          <cell r="B981" t="str">
            <v>CAMINHONETE COM MOTOR A DIESEL, POTÊNCIA 180 CV, CABINE DUPLA, 4X4 - JUROS. AF_11/2015</v>
          </cell>
          <cell r="C981" t="str">
            <v>H</v>
          </cell>
          <cell r="D981">
            <v>1.76</v>
          </cell>
        </row>
        <row r="982">
          <cell r="A982" t="str">
            <v>92135</v>
          </cell>
          <cell r="B982" t="str">
            <v>CAMINHONETE COM MOTOR A DIESEL, POTÊNCIA 180 CV, CABINE DUPLA, 4X4 - IMPOSTOS E SEGUROS. AF_11/2015</v>
          </cell>
          <cell r="C982" t="str">
            <v>H</v>
          </cell>
          <cell r="D982">
            <v>0.69</v>
          </cell>
        </row>
        <row r="983">
          <cell r="A983" t="str">
            <v>92136</v>
          </cell>
          <cell r="B983" t="str">
            <v>CAMINHONETE COM MOTOR A DIESEL, POTÊNCIA 180 CV, CABINE DUPLA, 4X4 - MANUTENÇÃO. AF_11/2015</v>
          </cell>
          <cell r="C983" t="str">
            <v>H</v>
          </cell>
          <cell r="D983">
            <v>13.94</v>
          </cell>
        </row>
        <row r="984">
          <cell r="A984" t="str">
            <v>92137</v>
          </cell>
          <cell r="B984" t="str">
            <v>CAMINHONETE COM MOTOR A DIESEL, POTÊNCIA 180 CV, CABINE DUPLA, 4X4 - MATERIAIS NA OPERAÇÃO. AF_11/2015</v>
          </cell>
          <cell r="C984" t="str">
            <v>H</v>
          </cell>
          <cell r="D984">
            <v>33.82</v>
          </cell>
        </row>
        <row r="985">
          <cell r="A985" t="str">
            <v>92140</v>
          </cell>
          <cell r="B985" t="str">
            <v>CAMINHONETE CABINE SIMPLES COM MOTOR 1.6 FLEX, CÂMBIO MANUAL, POTÊNCIA 101/104 CV, 2 PORTAS - DEPRECIAÇÃO. AF_11/2015</v>
          </cell>
          <cell r="C985" t="str">
            <v>H</v>
          </cell>
          <cell r="D985">
            <v>3.4</v>
          </cell>
        </row>
        <row r="986">
          <cell r="A986" t="str">
            <v>92141</v>
          </cell>
          <cell r="B986" t="str">
            <v>CAMINHONETE CABINE SIMPLES COM MOTOR 1.6 FLEX, CÂMBIO MANUAL, POTÊNCIA 101/104 CV, 2 PORTAS - JUROS. AF_11/2015</v>
          </cell>
          <cell r="C986" t="str">
            <v>H</v>
          </cell>
          <cell r="D986">
            <v>0.53</v>
          </cell>
        </row>
        <row r="987">
          <cell r="A987" t="str">
            <v>92142</v>
          </cell>
          <cell r="B987" t="str">
            <v>CAMINHONETE CABINE SIMPLES COM MOTOR 1.6 FLEX, CÂMBIO MANUAL, POTÊNCIA 101/104 CV, 2 PORTAS - IMPOSTOS E SEGUROS. AF_11/2015</v>
          </cell>
          <cell r="C987" t="str">
            <v>H</v>
          </cell>
          <cell r="D987">
            <v>0.21</v>
          </cell>
        </row>
        <row r="988">
          <cell r="A988" t="str">
            <v>92143</v>
          </cell>
          <cell r="B988" t="str">
            <v>CAMINHONETE CABINE SIMPLES COM MOTOR 1.6 FLEX, CÂMBIO MANUAL, POTÊNCIA 101/104 CV, 2 PORTAS - MANUTENÇÃO. AF_11/2015</v>
          </cell>
          <cell r="C988" t="str">
            <v>H</v>
          </cell>
          <cell r="D988">
            <v>4.25</v>
          </cell>
        </row>
        <row r="989">
          <cell r="A989" t="str">
            <v>92144</v>
          </cell>
          <cell r="B989" t="str">
            <v>CAMINHONETE CABINE SIMPLES COM MOTOR 1.6 FLEX, CÂMBIO MANUAL, POTÊNCIA 101/104 CV, 2 PORTAS - MATERIAIS NA OPERAÇÃO. AF_11/2015</v>
          </cell>
          <cell r="C989" t="str">
            <v>H</v>
          </cell>
          <cell r="D989">
            <v>45.09</v>
          </cell>
        </row>
        <row r="990">
          <cell r="A990" t="str">
            <v>92237</v>
          </cell>
          <cell r="B990" t="str">
            <v>CAMINHÃO DE TRANSPORTE DE MATERIAL ASFÁLTICO 20.000 L, COM CAVALO MECÂNICO DE CAPACIDADE MÁXIMA DE TRAÇÃO COMBINADO DE 45.000 KG, POTÊNCIA 330 CV, INCLUSIVE TANQUE DE ASFALTO COM MAÇARICO - DEPRECIAÇÃO. AF_12/2015</v>
          </cell>
          <cell r="C990" t="str">
            <v>H</v>
          </cell>
          <cell r="D990">
            <v>22.91</v>
          </cell>
        </row>
        <row r="991">
          <cell r="A991" t="str">
            <v>92238</v>
          </cell>
          <cell r="B991" t="str">
            <v>CAMINHÃO DE TRANSPORTE DE MATERIAL ASFÁLTICO 20.000 L, COM CAVALO MECÂNICO DE CAPACIDADE MÁXIMA DE TRAÇÃO COMBINADO DE 45.000 KG, POTÊNCIA 330 CV, INCLUSIVE TANQUE DE ASFALTO COM MAÇARICO - JUROS. AF_12/2015</v>
          </cell>
          <cell r="C991" t="str">
            <v>H</v>
          </cell>
          <cell r="D991">
            <v>4.8</v>
          </cell>
        </row>
        <row r="992">
          <cell r="A992" t="str">
            <v>92239</v>
          </cell>
          <cell r="B992" t="str">
            <v>CAMINHÃO DE TRANSPORTE DE MATERIAL ASFÁLTICO 20.000 L, COM CAVALO MECÂNICO DE CAPACIDADE MÁXIMA DE TRAÇÃO COMBINADO DE 45.000 KG, POTÊNCIA 330 CV, INCLUSIVE TANQUE DE ASFALTO COM MAÇARICO - IMPOSTOS E SEGUROS. AF_12/2015</v>
          </cell>
          <cell r="C992" t="str">
            <v>H</v>
          </cell>
          <cell r="D992">
            <v>1.86</v>
          </cell>
        </row>
        <row r="993">
          <cell r="A993" t="str">
            <v>92240</v>
          </cell>
          <cell r="B993" t="str">
            <v>CAMINHÃO DE TRANSPORTE DE MATERIAL ASFÁLTICO 20.000 L, COM CAVALO MECÂNICO DE CAPACIDADE MÁXIMA DE TRAÇÃO COMBINADO DE 45.000 KG, POTÊNCIA 330 CV, INCLUSIVE TANQUE DE ASFALTO COM MAÇARICO - MANUTENÇÃO. AF_12/2015</v>
          </cell>
          <cell r="C993" t="str">
            <v>H</v>
          </cell>
          <cell r="D993">
            <v>42.95</v>
          </cell>
        </row>
        <row r="994">
          <cell r="A994" t="str">
            <v>92241</v>
          </cell>
          <cell r="B994" t="str">
            <v>CAMINHÃO DE TRANSPORTE DE MATERIAL ASFÁLTICO 20.000 L, COM CAVALO MECÂNICO DE CAPACIDADE MÁXIMA DE TRAÇÃO COMBINADO DE 45.000 KG, POTÊNCIA 330 CV, INCLUSIVE TANQUE DE ASFALTO COM MAÇARICO - MATERIAIS NA OPERAÇÃO. AF_12/2015</v>
          </cell>
          <cell r="C994" t="str">
            <v>H</v>
          </cell>
          <cell r="D994">
            <v>235.82</v>
          </cell>
        </row>
        <row r="995">
          <cell r="A995" t="str">
            <v>92712</v>
          </cell>
          <cell r="B995" t="str">
            <v>APARELHO PARA CORTE E SOLDA OXI-ACETILENO SOBRE RODAS, INCLUSIVE CILINDROS E MAÇARICOS - DEPRECIAÇÃO. AF_12/2015</v>
          </cell>
          <cell r="C995" t="str">
            <v>H</v>
          </cell>
          <cell r="D995">
            <v>0.25</v>
          </cell>
        </row>
        <row r="996">
          <cell r="A996" t="str">
            <v>92713</v>
          </cell>
          <cell r="B996" t="str">
            <v>APARELHO PARA CORTE E SOLDA OXI-ACETILENO SOBRE RODAS, INCLUSIVE CILINDROS E MAÇARICOS - JUROS. AF_12/2015</v>
          </cell>
          <cell r="C996" t="str">
            <v>H</v>
          </cell>
          <cell r="D996">
            <v>0.02</v>
          </cell>
        </row>
        <row r="997">
          <cell r="A997" t="str">
            <v>92714</v>
          </cell>
          <cell r="B997" t="str">
            <v>APARELHO PARA CORTE E SOLDA OXI-ACETILENO SOBRE RODAS, INCLUSIVE CILINDROS E MAÇARICOS - MANUTENÇÃO. AF_12/2015</v>
          </cell>
          <cell r="C997" t="str">
            <v>H</v>
          </cell>
          <cell r="D997">
            <v>0.31</v>
          </cell>
        </row>
        <row r="998">
          <cell r="A998" t="str">
            <v>92715</v>
          </cell>
          <cell r="B998" t="str">
            <v>APARELHO PARA CORTE E SOLDA OXI-ACETILENO SOBRE RODAS, INCLUSIVE CILINDROS E MAÇARICOS - MATERIAIS NA OPERAÇÃO. AF_12/2015</v>
          </cell>
          <cell r="C998" t="str">
            <v>H</v>
          </cell>
          <cell r="D998">
            <v>23.1</v>
          </cell>
        </row>
        <row r="999">
          <cell r="A999" t="str">
            <v>92956</v>
          </cell>
          <cell r="B999" t="str">
            <v>MÁQUINA EXTRUSORA DE CONCRETO PARA GUIAS E SARJETAS, MOTOR A DIESEL, POTÊNCIA 14 CV - DEPRECIAÇÃO. AF_12/2015</v>
          </cell>
          <cell r="C999" t="str">
            <v>H</v>
          </cell>
          <cell r="D999">
            <v>4.51</v>
          </cell>
        </row>
        <row r="1000">
          <cell r="A1000" t="str">
            <v>92957</v>
          </cell>
          <cell r="B1000" t="str">
            <v>MÁQUINA EXTRUSORA DE CONCRETO PARA GUIAS E SARJETAS, MOTOR A DIESEL, POTÊNCIA 14 CV - JUROS. AF_12/2015</v>
          </cell>
          <cell r="C1000" t="str">
            <v>H</v>
          </cell>
          <cell r="D1000">
            <v>0.53</v>
          </cell>
        </row>
        <row r="1001">
          <cell r="A1001" t="str">
            <v>92958</v>
          </cell>
          <cell r="B1001" t="str">
            <v>MÁQUINA EXTRUSORA DE CONCRETO PARA GUIAS E SARJETAS, MOTOR A DIESEL, POTÊNCIA 14 CV - MANUTENÇÃO. AF_12/2015</v>
          </cell>
          <cell r="C1001" t="str">
            <v>H</v>
          </cell>
          <cell r="D1001">
            <v>4.93</v>
          </cell>
        </row>
        <row r="1002">
          <cell r="A1002" t="str">
            <v>92959</v>
          </cell>
          <cell r="B1002" t="str">
            <v>MÁQUINA EXTRUSORA DE CONCRETO PARA GUIAS E SARJETAS, MOTOR A DIESEL, POTÊNCIA 14 CV - MATERIAIS NA OPERAÇÃO. AF_12/2015</v>
          </cell>
          <cell r="C1002" t="str">
            <v>H</v>
          </cell>
          <cell r="D1002">
            <v>7.92</v>
          </cell>
        </row>
        <row r="1003">
          <cell r="A1003" t="str">
            <v>92963</v>
          </cell>
          <cell r="B1003" t="str">
            <v>MARTELO PERFURADOR PNEUMÁTICO MANUAL, HASTE 25 X 75 MM, 21 KG - DEPRECIAÇÃO. AF_12/2015</v>
          </cell>
          <cell r="C1003" t="str">
            <v>H</v>
          </cell>
          <cell r="D1003">
            <v>1.17</v>
          </cell>
        </row>
        <row r="1004">
          <cell r="A1004" t="str">
            <v>92964</v>
          </cell>
          <cell r="B1004" t="str">
            <v>MARTELO PERFURADOR PNEUMÁTICO MANUAL, HASTE 25 X 75 MM, 21 KG - JUROS. AF_12/2015</v>
          </cell>
          <cell r="C1004" t="str">
            <v>H</v>
          </cell>
          <cell r="D1004">
            <v>0.13</v>
          </cell>
        </row>
        <row r="1005">
          <cell r="A1005" t="str">
            <v>92965</v>
          </cell>
          <cell r="B1005" t="str">
            <v>MARTELO PERFURADOR PNEUMÁTICO MANUAL, HASTE 25 X 75 MM, 21 KG - MANUTENÇÃO. AF_12/2015</v>
          </cell>
          <cell r="C1005" t="str">
            <v>H</v>
          </cell>
          <cell r="D1005">
            <v>1.46</v>
          </cell>
        </row>
        <row r="1006">
          <cell r="A1006" t="str">
            <v>93220</v>
          </cell>
          <cell r="B1006" t="str">
            <v>PERFURATRIZ COM TORRE METÁLICA PARA EXECUÇÃO DE ESTACA HÉLICE CONTÍNUA, PROFUNDIDADE MÁXIMA DE 32 M, DIÂMETRO MÁXIMO DE 1000 MM, POTÊNCIA INSTALADA DE 350 HP, MESA ROTATIVA COM TORQUE MÁXIMO DE 263 KNM - DEPRECIAÇÃO. AF_01/2016</v>
          </cell>
          <cell r="C1006" t="str">
            <v>H</v>
          </cell>
          <cell r="D1006">
            <v>345.74</v>
          </cell>
        </row>
        <row r="1007">
          <cell r="A1007" t="str">
            <v>93221</v>
          </cell>
          <cell r="B1007" t="str">
            <v>PERFURATRIZ COM TORRE METÁLICA PARA EXECUÇÃO DE ESTACA HÉLICE CONTÍNUA, PROFUNDIDADE MÁXIMA DE 32 M, DIÂMETRO MÁXIMO DE 1000 MM, POTÊNCIA INSTALADA DE 350 HP, MESA ROTATIVA COM TORQUE MÁXIMO DE 263 KNM - JUROS. AF_01/2016</v>
          </cell>
          <cell r="C1007" t="str">
            <v>H</v>
          </cell>
          <cell r="D1007">
            <v>48</v>
          </cell>
        </row>
        <row r="1008">
          <cell r="A1008" t="str">
            <v>93222</v>
          </cell>
          <cell r="B1008" t="str">
            <v>PERFURATRIZ COM TORRE METÁLICA PARA EXECUÇÃO DE ESTACA HÉLICE CONTÍNUA, PROFUNDIDADE MÁXIMA DE 32 M, DIÂMETRO MÁXIMO DE 1000 MM, POTÊNCIA INSTALADA DE 350 HP, MESA ROTATIVA COM TORQUE MÁXIMO DE 263 KNM - MANUTENÇÃO. AF_01/2016</v>
          </cell>
          <cell r="C1008" t="str">
            <v>H</v>
          </cell>
          <cell r="D1008">
            <v>432.67</v>
          </cell>
        </row>
        <row r="1009">
          <cell r="A1009" t="str">
            <v>93223</v>
          </cell>
          <cell r="B1009" t="str">
            <v>PERFURATRIZ COM TORRE METÁLICA PARA EXECUÇÃO DE ESTACA HÉLICE CONTÍNUA, PROFUNDIDADE MÁXIMA DE 32 M, DIÂMETRO MÁXIMO DE 1000 MM, POTÊNCIA INSTALADA DE 350 HP, MESA ROTATIVA COM TORQUE MÁXIMO DE 263 KNM  MATERIAIS NA OPERAÇÃO. AF_01/2016</v>
          </cell>
          <cell r="C1009" t="str">
            <v>H</v>
          </cell>
          <cell r="D1009">
            <v>133.47</v>
          </cell>
        </row>
        <row r="1010">
          <cell r="A1010" t="str">
            <v>93229</v>
          </cell>
          <cell r="B1010" t="str">
            <v>BETONEIRA CAPACIDADE NOMINAL 400 L, CAPACIDADE DE MISTURA 310 L, MOTOR A GASOLINA POTÊNCIA 5,5 HP, SEM CARREGADOR - DEPRECIAÇÃO. AF_02/2016</v>
          </cell>
          <cell r="C1010" t="str">
            <v>H</v>
          </cell>
          <cell r="D1010">
            <v>0.4</v>
          </cell>
        </row>
        <row r="1011">
          <cell r="A1011" t="str">
            <v>93230</v>
          </cell>
          <cell r="B1011" t="str">
            <v>BETONEIRA CAPACIDADE NOMINAL 400 L, CAPACIDADE DE MISTURA 310 L, MOTOR A GASOLINA POTÊNCIA 5,5 HP, SEM CARREGADOR - JUROS. AF_02/2016</v>
          </cell>
          <cell r="C1011" t="str">
            <v>H</v>
          </cell>
          <cell r="D1011">
            <v>0.04</v>
          </cell>
        </row>
        <row r="1012">
          <cell r="A1012" t="str">
            <v>93231</v>
          </cell>
          <cell r="B1012" t="str">
            <v>BETONEIRA CAPACIDADE NOMINAL 400 L, CAPACIDADE DE MISTURA 310 L, MOTOR A GASOLINA POTÊNCIA 5,5 HP, SEM CARREGADOR - MANUTENÇÃO. AF_02/2016</v>
          </cell>
          <cell r="C1012" t="str">
            <v>H</v>
          </cell>
          <cell r="D1012">
            <v>0.37</v>
          </cell>
        </row>
        <row r="1013">
          <cell r="A1013" t="str">
            <v>93232</v>
          </cell>
          <cell r="B1013" t="str">
            <v>BETONEIRA CAPACIDADE NOMINAL 400 L, CAPACIDADE DE MISTURA 310 L, MOTOR A GASOLINA POTÊNCIA 5,5 HP, SEM CARREGADOR - MATERIAIS NA OPERAÇÃO. AF_02/2016</v>
          </cell>
          <cell r="C1013" t="str">
            <v>H</v>
          </cell>
          <cell r="D1013">
            <v>9.6999999999999993</v>
          </cell>
        </row>
        <row r="1014">
          <cell r="A1014" t="str">
            <v>93235</v>
          </cell>
          <cell r="B1014" t="str">
            <v>GRUPO GERADOR ESTACIONÁRIO, MOTOR DIESEL POTÊNCIA 170 KVA - JUROS. AF_02/2016</v>
          </cell>
          <cell r="C1014" t="str">
            <v>H</v>
          </cell>
          <cell r="D1014">
            <v>0.88</v>
          </cell>
        </row>
        <row r="1015">
          <cell r="A1015" t="str">
            <v>93238</v>
          </cell>
          <cell r="B1015" t="str">
            <v>ROLO COMPACTADOR VIBRATÓRIO REBOCÁVEL, CILINDRO DE AÇO LISO, POTÊNCIA DE TRAÇÃO DE 65 CV, PESO 4,7 T, IMPACTO DINÂMICO 18,3 T, LARGURA DE TRABALHO 1,67 M - JUROS. AF_02/2016</v>
          </cell>
          <cell r="C1015" t="str">
            <v>H</v>
          </cell>
          <cell r="D1015">
            <v>1.17</v>
          </cell>
        </row>
        <row r="1016">
          <cell r="A1016" t="str">
            <v>93239</v>
          </cell>
          <cell r="B1016" t="str">
            <v>ROLO COMPACTADOR VIBRATÓRIO PÉ DE CARNEIRO, OPERADO POR CONTROLE REMOTO, POTÊNCIA 12,5 KW, PESO OPERACIONAL 1,675 T, LARGURA DE TRABALHO 0,85 M - JUROS. AF_02/2016</v>
          </cell>
          <cell r="C1016" t="str">
            <v>H</v>
          </cell>
          <cell r="D1016">
            <v>5.3</v>
          </cell>
        </row>
        <row r="1017">
          <cell r="A1017" t="str">
            <v>93240</v>
          </cell>
          <cell r="B1017" t="str">
            <v>ROLO COMPACTADOR VIBRATÓRIO PÉ DE CARNEIRO, OPERADO POR CONTROLE REMOTO, POTÊNCIA 12,5 KW, PESO OPERACIONAL 1,675 T, LARGURA DE TRABALHO 0,85 M - MATERIAIS NA OPERAÇÃO. AF_02/2016</v>
          </cell>
          <cell r="C1017" t="str">
            <v>H</v>
          </cell>
          <cell r="D1017">
            <v>10.220000000000001</v>
          </cell>
        </row>
        <row r="1018">
          <cell r="A1018" t="str">
            <v>93267</v>
          </cell>
          <cell r="B1018" t="str">
            <v>GRUA ASCENCIONAL, LANÇA DE 30 M, CAPACIDADE DE 1,0 T A 30 M, ALTURA ATÉ 39 M  DEPRECIAÇÃO. AF_03/2016</v>
          </cell>
          <cell r="C1018" t="str">
            <v>H</v>
          </cell>
          <cell r="D1018">
            <v>38.85</v>
          </cell>
        </row>
        <row r="1019">
          <cell r="A1019" t="str">
            <v>93269</v>
          </cell>
          <cell r="B1019" t="str">
            <v>GRUA ASCENCIONAL, LANÇA DE 30 M, CAPACIDADE DE 1,0 T A 30 M, ALTURA ATÉ 39 M   JUROS. AF_03/2016</v>
          </cell>
          <cell r="C1019" t="str">
            <v>H</v>
          </cell>
          <cell r="D1019">
            <v>4.6100000000000003</v>
          </cell>
        </row>
        <row r="1020">
          <cell r="A1020" t="str">
            <v>93270</v>
          </cell>
          <cell r="B1020" t="str">
            <v>GRUA ASCENCIONAL, LANÇA DE 30 M, CAPACIDADE DE 1,0 T A 30 M, ALTURA ATÉ 39 M   MANUTENÇÃO. AF_03/2016</v>
          </cell>
          <cell r="C1020" t="str">
            <v>H</v>
          </cell>
          <cell r="D1020">
            <v>42.49</v>
          </cell>
        </row>
        <row r="1021">
          <cell r="A1021" t="str">
            <v>93271</v>
          </cell>
          <cell r="B1021" t="str">
            <v>GRUA ASCENCIONAL, LANÇA DE 30 M, CAPACIDADE DE 1,0 T A 30 M, ALTURA ATÉ 39 M   MATERIAIS NA OPERAÇÃO. AF_03/2016</v>
          </cell>
          <cell r="C1021" t="str">
            <v>H</v>
          </cell>
          <cell r="D1021">
            <v>8.7799999999999994</v>
          </cell>
        </row>
        <row r="1022">
          <cell r="A1022" t="str">
            <v>93277</v>
          </cell>
          <cell r="B1022" t="str">
            <v>GUINCHO ELÉTRICO DE COLUNA, CAPACIDADE 400 KG, COM MOTO FREIO, MOTOR TRIFÁSICO DE 1,25 CV - DEPRECIAÇÃO. AF_03/2016</v>
          </cell>
          <cell r="C1022" t="str">
            <v>H</v>
          </cell>
          <cell r="D1022">
            <v>0.3</v>
          </cell>
        </row>
        <row r="1023">
          <cell r="A1023" t="str">
            <v>93278</v>
          </cell>
          <cell r="B1023" t="str">
            <v>GUINCHO ELÉTRICO DE COLUNA, CAPACIDADE 400 KG, COM MOTO FREIO, MOTOR TRIFÁSICO DE 1,25 CV - JUROS. AF_03/2016</v>
          </cell>
          <cell r="C1023" t="str">
            <v>H</v>
          </cell>
          <cell r="D1023">
            <v>0.03</v>
          </cell>
        </row>
        <row r="1024">
          <cell r="A1024" t="str">
            <v>93279</v>
          </cell>
          <cell r="B1024" t="str">
            <v>GUINCHO ELÉTRICO DE COLUNA, CAPACIDADE 400 KG, COM MOTO FREIO, MOTOR TRIFÁSICO DE 1,25 CV - MANUTENÇÃO. AF_03/2016</v>
          </cell>
          <cell r="C1024" t="str">
            <v>H</v>
          </cell>
          <cell r="D1024">
            <v>0.28000000000000003</v>
          </cell>
        </row>
        <row r="1025">
          <cell r="A1025" t="str">
            <v>93280</v>
          </cell>
          <cell r="B1025" t="str">
            <v>GUINCHO ELÉTRICO DE COLUNA, CAPACIDADE 400 KG, COM MOTO FREIO, MOTOR TRIFÁSICO DE 1,25 CV - MATERIAIS NA OPERAÇÃO. AF_03/2016</v>
          </cell>
          <cell r="C1025" t="str">
            <v>H</v>
          </cell>
          <cell r="D1025">
            <v>0.73</v>
          </cell>
        </row>
        <row r="1026">
          <cell r="A1026" t="str">
            <v>93283</v>
          </cell>
          <cell r="B1026" t="str">
            <v>GUINDASTE HIDRÁULICO AUTOPROPELIDO, COM LANÇA TELESCÓPICA 40 M, CAPACIDADE MÁXIMA 60 T, POTÊNCIA 260 KW - DEPRECIAÇÃO. AF_03/2016</v>
          </cell>
          <cell r="C1026" t="str">
            <v>H</v>
          </cell>
          <cell r="D1026">
            <v>81.650000000000006</v>
          </cell>
        </row>
        <row r="1027">
          <cell r="A1027" t="str">
            <v>93284</v>
          </cell>
          <cell r="B1027" t="str">
            <v>GUINDASTE HIDRÁULICO AUTOPROPELIDO, COM LANÇA TELESCÓPICA 40 M, CAPACIDADE MÁXIMA 60 T, POTÊNCIA 260 KW - JUROS. AF_03/2016</v>
          </cell>
          <cell r="C1027" t="str">
            <v>H</v>
          </cell>
          <cell r="D1027">
            <v>15.51</v>
          </cell>
        </row>
        <row r="1028">
          <cell r="A1028" t="str">
            <v>93285</v>
          </cell>
          <cell r="B1028" t="str">
            <v>GUINDASTE HIDRÁULICO AUTOPROPELIDO, COM LANÇA TELESCÓPICA 40 M, CAPACIDADE MÁXIMA 60 T, POTÊNCIA 260 KW - MANUTENÇÃO. AF_03/2016</v>
          </cell>
          <cell r="C1028" t="str">
            <v>H</v>
          </cell>
          <cell r="D1028">
            <v>131.25</v>
          </cell>
        </row>
        <row r="1029">
          <cell r="A1029" t="str">
            <v>93286</v>
          </cell>
          <cell r="B1029" t="str">
            <v>GUINDASTE HIDRÁULICO AUTOPROPELIDO, COM LANÇA TELESCÓPICA 40 M, CAPACIDADE MÁXIMA 60 T, POTÊNCIA 260 KW - MATERIAIS NA OPERAÇÃO. AF_03/2016</v>
          </cell>
          <cell r="C1029" t="str">
            <v>H</v>
          </cell>
          <cell r="D1029">
            <v>207.74</v>
          </cell>
        </row>
        <row r="1030">
          <cell r="A1030" t="str">
            <v>93296</v>
          </cell>
          <cell r="B1030" t="str">
            <v>GUINDASTE HIDRÁULICO AUTOPROPELIDO, COM LANÇA TELESCÓPICA 40 M, CAPACIDADE MÁXIMA 60 T, POTÊNCIA 260 KW - IMPOSTOS E SEGUROS. AF_03/2016</v>
          </cell>
          <cell r="C1030" t="str">
            <v>H</v>
          </cell>
          <cell r="D1030">
            <v>5.71</v>
          </cell>
        </row>
        <row r="1031">
          <cell r="A1031" t="str">
            <v>93397</v>
          </cell>
          <cell r="B1031" t="str">
            <v>GUINDAUTO HIDRÁULICO, CAPACIDADE MÁXIMA DE CARGA 3300 KG, MOMENTO MÁXIMO DE CARGA 5,8 TM, ALCANCE MÁXIMO HORIZONTAL 7,60 M, INCLUSIVE CAMINHÃO TOCO PBT 16.000 KG, POTÊNCIA DE 189 CV - DEPRECIAÇÃO. AF_03/2016</v>
          </cell>
          <cell r="C1031" t="str">
            <v>H</v>
          </cell>
          <cell r="D1031">
            <v>13.96</v>
          </cell>
        </row>
        <row r="1032">
          <cell r="A1032" t="str">
            <v>93398</v>
          </cell>
          <cell r="B1032" t="str">
            <v>GUINDAUTO HIDRÁULICO, CAPACIDADE MÁXIMA DE CARGA 3300 KG, MOMENTO MÁXIMO DE CARGA 5,8 TM, ALCANCE MÁXIMO HORIZONTAL 7,60 M, INCLUSIVE CAMINHÃO TOCO PBT 16.000 KG, POTÊNCIA DE 189 CV - JUROS. AF_03/2016</v>
          </cell>
          <cell r="C1032" t="str">
            <v>H</v>
          </cell>
          <cell r="D1032">
            <v>2.92</v>
          </cell>
        </row>
        <row r="1033">
          <cell r="A1033" t="str">
            <v>93399</v>
          </cell>
          <cell r="B1033" t="str">
            <v>GUINDAUTO HIDRÁULICO, CAPACIDADE MÁXIMA DE CARGA 3300 KG, MOMENTO MÁXIMO DE CARGA 5,8 TM, ALCANCE MÁXIMO HORIZONTAL 7,60 M, INCLUSIVE CAMINHÃO TOCO PBT 16.000 KG, POTÊNCIA DE 189 CV  IMPOSTOS E SEGUROS. AF_03/2016</v>
          </cell>
          <cell r="C1033" t="str">
            <v>H</v>
          </cell>
          <cell r="D1033">
            <v>1.1299999999999999</v>
          </cell>
        </row>
        <row r="1034">
          <cell r="A1034" t="str">
            <v>93400</v>
          </cell>
          <cell r="B1034" t="str">
            <v>GUINDAUTO HIDRÁULICO, CAPACIDADE MÁXIMA DE CARGA 3300 KG, MOMENTO MÁXIMO DE CARGA 5,8 TM, ALCANCE MÁXIMO HORIZONTAL 7,60 M, INCLUSIVE CAMINHÃO TOCO PBT 16.000 KG, POTÊNCIA DE 189 CV - MANUTENÇÃO. AF_03/2016</v>
          </cell>
          <cell r="C1034" t="str">
            <v>H</v>
          </cell>
          <cell r="D1034">
            <v>26.17</v>
          </cell>
        </row>
        <row r="1035">
          <cell r="A1035" t="str">
            <v>93401</v>
          </cell>
          <cell r="B1035" t="str">
            <v>GUINDAUTO HIDRÁULICO, CAPACIDADE MÁXIMA DE CARGA 3300 KG, MOMENTO MÁXIMO DE CARGA 5,8 TM, ALCANCE MÁXIMO HORIZONTAL 7,60 M, INCLUSIVE CAMINHÃO TOCO PBT 16.000 KG, POTÊNCIA DE 189 CV - MATERIAIS NA OPERAÇÃO. AF_03/2016</v>
          </cell>
          <cell r="C1035" t="str">
            <v>H</v>
          </cell>
          <cell r="D1035">
            <v>135.05000000000001</v>
          </cell>
        </row>
        <row r="1036">
          <cell r="A1036" t="str">
            <v>93404</v>
          </cell>
          <cell r="B1036" t="str">
            <v>MÁQUINA JATO DE PRESSAO PORTÁTIL, CAMARA DE 1 SAIDA, CAPACIDADE 280 L, DIAMETRO 670 MM, BICO DE JATO CURTO VENTURI DE 5/16'' , MANGUEIRA DE 1'' COM COMPRESSOR DE AR REBOCÁVEL 189 PCM E MOTOR DIESEL 63 CV - DEPRECIAÇÃO. AF_03/2016</v>
          </cell>
          <cell r="C1036" t="str">
            <v>H</v>
          </cell>
          <cell r="D1036">
            <v>6.5</v>
          </cell>
        </row>
        <row r="1037">
          <cell r="A1037" t="str">
            <v>93405</v>
          </cell>
          <cell r="B1037" t="str">
            <v>MÁQUINA JATO DE PRESSAO PORTÁTIL, CAMARA DE 1 SAIDA, CAPACIDADE 280 L, DIAMETRO 670 MM, BICO DE JATO CURTO VENTURI DE 5/16'' , MANGUEIRA DE 1'' COM COMPRESSOR DE AR REBOCÁVEL 189 PCM E MOTOR DIESEL 63 CV - JUROS. AF_03/2016</v>
          </cell>
          <cell r="C1037" t="str">
            <v>H</v>
          </cell>
          <cell r="D1037">
            <v>0.65</v>
          </cell>
        </row>
        <row r="1038">
          <cell r="A1038" t="str">
            <v>93406</v>
          </cell>
          <cell r="B1038" t="str">
            <v>MÁQUINA JATO DE PRESSAO PORTÁTIL, CAMARA DE 1 SAIDA, CAPACIDADE 280 L, DIAMETRO 670 MM, BICO DE JATO CURTO VENTURI DE 5/16'' , MANGUEIRA DE 1'' COM COMPRESSOR DE AR REBOCÁVEL 189 PCM E MOTOR DIESEL 63 CV - MANUTENÇÃO. AF_03/2016</v>
          </cell>
          <cell r="C1038" t="str">
            <v>H</v>
          </cell>
          <cell r="D1038">
            <v>8.1300000000000008</v>
          </cell>
        </row>
        <row r="1039">
          <cell r="A1039" t="str">
            <v>93407</v>
          </cell>
          <cell r="B1039" t="str">
            <v>MÁQUINA JATO DE PRESSAO PORTÁTIL, CAMARA DE 1 SAIDA, CAPACIDADE 280 L, DIAMETRO 670 MM, BICO DE JATO CURTO VENTURI DE 5/16'' , MANGUEIRA DE 1'' COM COMPRESSOR DE AR REBOCÁVEL 189 PCM E MOTOR DIESEL 63 CV - MATERIAIS NA OPERAÇÃO. AF_03/2016</v>
          </cell>
          <cell r="C1039" t="str">
            <v>H</v>
          </cell>
          <cell r="D1039">
            <v>40.26</v>
          </cell>
        </row>
        <row r="1040">
          <cell r="A1040" t="str">
            <v>93411</v>
          </cell>
          <cell r="B1040" t="str">
            <v>GERADOR PORTÁTIL MONOFÁSICO, POTÊNCIA 5500 VA, MOTOR A GASOLINA, POTÊNCIA DO MOTOR 13 CV - DEPRECIAÇÃO. AF_03/2016</v>
          </cell>
          <cell r="C1040" t="str">
            <v>H</v>
          </cell>
          <cell r="D1040">
            <v>0.23</v>
          </cell>
        </row>
        <row r="1041">
          <cell r="A1041" t="str">
            <v>93412</v>
          </cell>
          <cell r="B1041" t="str">
            <v>GERADOR PORTÁTIL MONOFÁSICO, POTÊNCIA 5500 VA, MOTOR A GASOLINA, POTÊNCIA DO MOTOR 13 CV - JUROS. AF_03/2016</v>
          </cell>
          <cell r="C1041" t="str">
            <v>H</v>
          </cell>
          <cell r="D1041">
            <v>0.04</v>
          </cell>
        </row>
        <row r="1042">
          <cell r="A1042" t="str">
            <v>93413</v>
          </cell>
          <cell r="B1042" t="str">
            <v>GERADOR PORTÁTIL MONOFÁSICO, POTÊNCIA 5500 VA, MOTOR A GASOLINA, POTÊNCIA DO MOTOR 13 CV - MANUTENÇÃO. AF_03/2016</v>
          </cell>
          <cell r="C1042" t="str">
            <v>H</v>
          </cell>
          <cell r="D1042">
            <v>0.21</v>
          </cell>
        </row>
        <row r="1043">
          <cell r="A1043" t="str">
            <v>93414</v>
          </cell>
          <cell r="B1043" t="str">
            <v>GERADOR PORTÁTIL MONOFÁSICO, POTÊNCIA 5500 VA, MOTOR A GASOLINA, POTÊNCIA DO MOTOR 13 CV - MATERIAIS NA OPERAÇÃO. AF_03/2016</v>
          </cell>
          <cell r="C1043" t="str">
            <v>H</v>
          </cell>
          <cell r="D1043">
            <v>16.73</v>
          </cell>
        </row>
        <row r="1044">
          <cell r="A1044" t="str">
            <v>93417</v>
          </cell>
          <cell r="B1044" t="str">
            <v>GRUPO GERADOR REBOCÁVEL, POTÊNCIA 66 KVA, MOTOR A DIESEL - DEPRECIAÇÃO. AF_03/2016</v>
          </cell>
          <cell r="C1044" t="str">
            <v>H</v>
          </cell>
          <cell r="D1044">
            <v>3.1</v>
          </cell>
        </row>
        <row r="1045">
          <cell r="A1045" t="str">
            <v>93418</v>
          </cell>
          <cell r="B1045" t="str">
            <v>GRUPO GERADOR REBOCÁVEL, POTÊNCIA 66 KVA, MOTOR A DIESEL - JUROS. AF_03/2016</v>
          </cell>
          <cell r="C1045" t="str">
            <v>H</v>
          </cell>
          <cell r="D1045">
            <v>0.55000000000000004</v>
          </cell>
        </row>
        <row r="1046">
          <cell r="A1046" t="str">
            <v>93419</v>
          </cell>
          <cell r="B1046" t="str">
            <v>GRUPO GERADOR REBOCÁVEL, POTÊNCIA 66 KVA, MOTOR A DIESEL - MANUTENÇÃO. AF_03/2016</v>
          </cell>
          <cell r="C1046" t="str">
            <v>H</v>
          </cell>
          <cell r="D1046">
            <v>2.76</v>
          </cell>
        </row>
        <row r="1047">
          <cell r="A1047" t="str">
            <v>93420</v>
          </cell>
          <cell r="B1047" t="str">
            <v>GRUPO GERADOR REBOCÁVEL, POTÊNCIA 66 KVA, MOTOR A DIESEL - MATERIAIS NA OPERAÇÃO. AF_03/2016</v>
          </cell>
          <cell r="C1047" t="str">
            <v>H</v>
          </cell>
          <cell r="D1047">
            <v>57.28</v>
          </cell>
        </row>
        <row r="1048">
          <cell r="A1048" t="str">
            <v>93423</v>
          </cell>
          <cell r="B1048" t="str">
            <v>GRUPO GERADOR ESTACIONÁRIO, POTÊNCIA 150 KVA, MOTOR A DIESEL- DEPRECIAÇÃO. AF_03/2016</v>
          </cell>
          <cell r="C1048" t="str">
            <v>H</v>
          </cell>
          <cell r="D1048">
            <v>4.38</v>
          </cell>
        </row>
        <row r="1049">
          <cell r="A1049" t="str">
            <v>93424</v>
          </cell>
          <cell r="B1049" t="str">
            <v>GRUPO GERADOR ESTACIONÁRIO, POTÊNCIA 150 KVA, MOTOR A DIESEL- JUROS. AF_03/2016</v>
          </cell>
          <cell r="C1049" t="str">
            <v>H</v>
          </cell>
          <cell r="D1049">
            <v>0.78</v>
          </cell>
        </row>
        <row r="1050">
          <cell r="A1050" t="str">
            <v>93425</v>
          </cell>
          <cell r="B1050" t="str">
            <v>GRUPO GERADOR ESTACIONÁRIO, POTÊNCIA 150 KVA, MOTOR A DIESEL- MANUTENÇÃO. AF_03/2016</v>
          </cell>
          <cell r="C1050" t="str">
            <v>H</v>
          </cell>
          <cell r="D1050">
            <v>3.91</v>
          </cell>
        </row>
        <row r="1051">
          <cell r="A1051" t="str">
            <v>93426</v>
          </cell>
          <cell r="B1051" t="str">
            <v>GRUPO GERADOR ESTACIONÁRIO, POTÊNCIA 150 KVA, MOTOR A DIESEL- MATERIAIS NA OPERAÇÃO. AF_03/2016</v>
          </cell>
          <cell r="C1051" t="str">
            <v>H</v>
          </cell>
          <cell r="D1051">
            <v>136.88999999999999</v>
          </cell>
        </row>
        <row r="1052">
          <cell r="A1052" t="str">
            <v>93429</v>
          </cell>
          <cell r="B1052" t="str">
            <v>USINA DE MISTURA ASFÁLTICA À QUENTE, TIPO CONTRA FLUXO, PROD 40 A 80 TON/HORA - DEPRECIAÇÃO. AF_03/2016</v>
          </cell>
          <cell r="C1052" t="str">
            <v>H</v>
          </cell>
          <cell r="D1052">
            <v>105.69</v>
          </cell>
        </row>
        <row r="1053">
          <cell r="A1053" t="str">
            <v>93430</v>
          </cell>
          <cell r="B1053" t="str">
            <v>USINA DE MISTURA ASFÁLTICA À QUENTE, TIPO CONTRA FLUXO, PROD 40 A 80 TON/HORA - JUROS. AF_03/2016</v>
          </cell>
          <cell r="C1053" t="str">
            <v>H</v>
          </cell>
          <cell r="D1053">
            <v>19.02</v>
          </cell>
        </row>
        <row r="1054">
          <cell r="A1054" t="str">
            <v>93431</v>
          </cell>
          <cell r="B1054" t="str">
            <v>USINA DE MISTURA ASFÁLTICA À QUENTE, TIPO CONTRA FLUXO, PROD 40 A 80 TON/HORA - MANUTENÇÃO. AF_03/2016</v>
          </cell>
          <cell r="C1054" t="str">
            <v>H</v>
          </cell>
          <cell r="D1054">
            <v>169.9</v>
          </cell>
        </row>
        <row r="1055">
          <cell r="A1055" t="str">
            <v>93432</v>
          </cell>
          <cell r="B1055" t="str">
            <v>USINA DE MISTURA ASFÁLTICA À QUENTE, TIPO CONTRA FLUXO, PROD 40 A 80 TON/HORA - MATERIAIS NA OPERAÇÃO. AF_03/2016</v>
          </cell>
          <cell r="C1055" t="str">
            <v>H</v>
          </cell>
          <cell r="D1055">
            <v>2452.8000000000002</v>
          </cell>
        </row>
        <row r="1056">
          <cell r="A1056" t="str">
            <v>93435</v>
          </cell>
          <cell r="B1056" t="str">
            <v>USINA DE ASFALTO À FRIO, CAPACIDADE DE 40 A 60 TON/HORA, ELÉTRICA POTÊNCIA 30 CV - DEPRECIAÇÃO. AF_03/2016</v>
          </cell>
          <cell r="C1056" t="str">
            <v>H</v>
          </cell>
          <cell r="D1056">
            <v>5.72</v>
          </cell>
        </row>
        <row r="1057">
          <cell r="A1057" t="str">
            <v>93436</v>
          </cell>
          <cell r="B1057" t="str">
            <v>USINA DE ASFALTO À FRIO, CAPACIDADE DE 40 A 60 TON/HORA, ELÉTRICA POTÊNCIA 30 CV - JUROS. AF_03/2016</v>
          </cell>
          <cell r="C1057" t="str">
            <v>H</v>
          </cell>
          <cell r="D1057">
            <v>1.2</v>
          </cell>
        </row>
        <row r="1058">
          <cell r="A1058" t="str">
            <v>93437</v>
          </cell>
          <cell r="B1058" t="str">
            <v>USINA DE ASFALTO À FRIO, CAPACIDADE DE 40 A 60 TON/HORA, ELÉTRICA POTÊNCIA 30 CV - MANUTENÇÃO. AF_03/2016</v>
          </cell>
          <cell r="C1058" t="str">
            <v>H</v>
          </cell>
          <cell r="D1058">
            <v>10.72</v>
          </cell>
        </row>
        <row r="1059">
          <cell r="A1059" t="str">
            <v>93438</v>
          </cell>
          <cell r="B1059" t="str">
            <v>USINA DE ASFALTO À FRIO, CAPACIDADE DE 40 A 60 TON/HORA, ELÉTRICA POTÊNCIA 30 CV - MATERIAIS NA OPERAÇÃO. AF_03/2016</v>
          </cell>
          <cell r="C1059" t="str">
            <v>H</v>
          </cell>
          <cell r="D1059">
            <v>25.35</v>
          </cell>
        </row>
        <row r="1060">
          <cell r="A1060" t="str">
            <v>95114</v>
          </cell>
          <cell r="B1060" t="str">
            <v>MARTELETE OU ROMPEDOR PNEUMÁTICO MANUAL, 28 KG, COM SILENCIADOR - DEPRECIAÇÃO. AF_07/2016</v>
          </cell>
          <cell r="C1060" t="str">
            <v>H</v>
          </cell>
          <cell r="D1060">
            <v>1.1299999999999999</v>
          </cell>
        </row>
        <row r="1061">
          <cell r="A1061" t="str">
            <v>95115</v>
          </cell>
          <cell r="B1061" t="str">
            <v>MARTELETE OU ROMPEDOR PNEUMÁTICO MANUAL, 28 KG, COM SILENCIADOR - JUROS. AF_07/2016</v>
          </cell>
          <cell r="C1061" t="str">
            <v>H</v>
          </cell>
          <cell r="D1061">
            <v>0.13</v>
          </cell>
        </row>
        <row r="1062">
          <cell r="A1062" t="str">
            <v>95116</v>
          </cell>
          <cell r="B1062" t="str">
            <v>USINA DE CONCRETO FIXA, CAPACIDADE NOMINAL DE 90 A 120 M3/H, SEM SILO - DEPRECIAÇÃO. AF_07/2016</v>
          </cell>
          <cell r="C1062" t="str">
            <v>H</v>
          </cell>
          <cell r="D1062">
            <v>31.99</v>
          </cell>
        </row>
        <row r="1063">
          <cell r="A1063" t="str">
            <v>95117</v>
          </cell>
          <cell r="B1063" t="str">
            <v>USINA DE CONCRETO FIXA, CAPACIDADE NOMINAL DE 90 A 120 M3/H, SEM SILO - JUROS. AF_07/2016</v>
          </cell>
          <cell r="C1063" t="str">
            <v>H</v>
          </cell>
          <cell r="D1063">
            <v>5.04</v>
          </cell>
        </row>
        <row r="1064">
          <cell r="A1064" t="str">
            <v>95118</v>
          </cell>
          <cell r="B1064" t="str">
            <v>USINA MISTURADORA DE SOLOS, CAPACIDADE DE 200 A 500 TON/H, POTENCIA 75KW - DEPRECIAÇÃO. AF_07/2016</v>
          </cell>
          <cell r="C1064" t="str">
            <v>H</v>
          </cell>
          <cell r="D1064">
            <v>54.52</v>
          </cell>
        </row>
        <row r="1065">
          <cell r="A1065" t="str">
            <v>95119</v>
          </cell>
          <cell r="B1065" t="str">
            <v>USINA MISTURADORA DE SOLOS, CAPACIDADE DE 200 A 500 TON/H, POTENCIA 75KW - JUROS. AF_07/2016</v>
          </cell>
          <cell r="C1065" t="str">
            <v>H</v>
          </cell>
          <cell r="D1065">
            <v>9.81</v>
          </cell>
        </row>
        <row r="1066">
          <cell r="A1066" t="str">
            <v>95120</v>
          </cell>
          <cell r="B1066" t="str">
            <v>USINA MISTURADORA DE SOLOS, CAPACIDADE DE 200 A 500 TON/H, POTENCIA 75KW - MATERIAIS NA OPERAÇÃO. AF_07/2016</v>
          </cell>
          <cell r="C1066" t="str">
            <v>H</v>
          </cell>
          <cell r="D1066">
            <v>59.92</v>
          </cell>
        </row>
        <row r="1067">
          <cell r="A1067" t="str">
            <v>95123</v>
          </cell>
          <cell r="B1067" t="str">
            <v>DISTRIBUIDOR DE AGREGADOS AUTOPROPELIDO, CAP 3 M3, A DIESEL, POTÊNCIA 176CV - DEPRECIAÇÃO. AF_07/2016</v>
          </cell>
          <cell r="C1067" t="str">
            <v>H</v>
          </cell>
          <cell r="D1067">
            <v>16.3</v>
          </cell>
        </row>
        <row r="1068">
          <cell r="A1068" t="str">
            <v>95124</v>
          </cell>
          <cell r="B1068" t="str">
            <v>DISTRIBUIDOR DE AGREGADOS AUTOPROPELIDO, C/AP 3 M3, A DIESEL, POTÊNCIA 176CV - JUROS. AF_07/2016</v>
          </cell>
          <cell r="C1068" t="str">
            <v>H</v>
          </cell>
          <cell r="D1068">
            <v>2.56</v>
          </cell>
        </row>
        <row r="1069">
          <cell r="A1069" t="str">
            <v>95125</v>
          </cell>
          <cell r="B1069" t="str">
            <v>DISTRIBUIDOR DE AGREGADOS AUTOPROPELIDO, CAP 3 M3, A DIESEL, POTÊNCIA 176CV - MANUTENÇÃO. AF_07/2016</v>
          </cell>
          <cell r="C1069" t="str">
            <v>H</v>
          </cell>
          <cell r="D1069">
            <v>17.84</v>
          </cell>
        </row>
        <row r="1070">
          <cell r="A1070" t="str">
            <v>95126</v>
          </cell>
          <cell r="B1070" t="str">
            <v>DISTRIBUIDOR DE AGREGADOS AUTOPROPELIDO, CAP 3 M3, A DIESEL, POTÊNCIA 176CV  MATERIAIS NA OPERAÇÃO. AF_07/2016</v>
          </cell>
          <cell r="C1070" t="str">
            <v>H</v>
          </cell>
          <cell r="D1070">
            <v>125.75</v>
          </cell>
        </row>
        <row r="1071">
          <cell r="A1071" t="str">
            <v>95129</v>
          </cell>
          <cell r="B1071" t="str">
            <v>MÁQUINA DEMARCADORA DE FAIXA DE TRÁFEGO À FRIO, AUTOPROPELIDA, POTÊNCIA 38 HP - DEPRECIAÇÃO. AF_07/2016</v>
          </cell>
          <cell r="C1071" t="str">
            <v>H</v>
          </cell>
          <cell r="D1071">
            <v>28.93</v>
          </cell>
        </row>
        <row r="1072">
          <cell r="A1072" t="str">
            <v>95130</v>
          </cell>
          <cell r="B1072" t="str">
            <v>MÁQUINA DEMARCADORA DE FAIXA DE TRÁFEGO À FRIO, AUTOPROPELIDA, POTÊNCIA 38 HP - JUROS. AF_07/2016</v>
          </cell>
          <cell r="C1072" t="str">
            <v>H</v>
          </cell>
          <cell r="D1072">
            <v>5.2</v>
          </cell>
        </row>
        <row r="1073">
          <cell r="A1073" t="str">
            <v>95131</v>
          </cell>
          <cell r="B1073" t="str">
            <v>MÁQUINA DEMARCADORA DE FAIXA DE TRÁFEGO À FRIO, AUTOPROPELIDA, POTÊNCIA 38 HP - MANUTENÇÃO. AF_07/2016</v>
          </cell>
          <cell r="C1073" t="str">
            <v>H</v>
          </cell>
          <cell r="D1073">
            <v>54.25</v>
          </cell>
        </row>
        <row r="1074">
          <cell r="A1074" t="str">
            <v>95132</v>
          </cell>
          <cell r="B1074" t="str">
            <v>MÁQUINA DEMARCADORA DE FAIXA DE TRÁFEGO À FRIO, AUTOPROPELIDA, POTÊNCIA 38 HP - MATERIAIS NA OPERAÇÃO. AF_07/2016</v>
          </cell>
          <cell r="C1074" t="str">
            <v>H</v>
          </cell>
          <cell r="D1074">
            <v>27.54</v>
          </cell>
        </row>
        <row r="1075">
          <cell r="A1075" t="str">
            <v>95136</v>
          </cell>
          <cell r="B1075" t="str">
            <v>TALHA MANUAL DE CORRENTE, CAPACIDADE DE 2 TON. COM ELEVAÇÃO DE 3 M - DEPRECIAÇÃO. AF_07/2016</v>
          </cell>
          <cell r="C1075" t="str">
            <v>H</v>
          </cell>
          <cell r="D1075">
            <v>0.03</v>
          </cell>
        </row>
        <row r="1076">
          <cell r="A1076" t="str">
            <v>95137</v>
          </cell>
          <cell r="B1076" t="str">
            <v>TALHA MANUAL DE CORRENTE, CAPACIDADE DE 2 TON. COM ELEVAÇÃO DE 3 M - JUROS. AF_07/2016</v>
          </cell>
          <cell r="C1076" t="str">
            <v>H</v>
          </cell>
          <cell r="D1076">
            <v>0.01</v>
          </cell>
        </row>
        <row r="1077">
          <cell r="A1077" t="str">
            <v>95138</v>
          </cell>
          <cell r="B1077" t="str">
            <v>TALHA MANUAL DE CORRENTE, CAPACIDADE DE 2 TON. COM ELEVAÇÃO DE 3 M - MANUTENÇÃO. AF_07/2016</v>
          </cell>
          <cell r="C1077" t="str">
            <v>H</v>
          </cell>
          <cell r="D1077">
            <v>0.02</v>
          </cell>
        </row>
        <row r="1078">
          <cell r="A1078" t="str">
            <v>95208</v>
          </cell>
          <cell r="B1078" t="str">
            <v>GRUA ASCENCIONAL, LANÇA DE 42 M, CAPACIDADE DE 1,5 T A 30 M, ALTURA ATÉ 39 M  DEPRECIAÇÃO. AF_08/2016</v>
          </cell>
          <cell r="C1078" t="str">
            <v>H</v>
          </cell>
          <cell r="D1078">
            <v>44.01</v>
          </cell>
        </row>
        <row r="1079">
          <cell r="A1079" t="str">
            <v>95209</v>
          </cell>
          <cell r="B1079" t="str">
            <v>GRUA ASCENCIONAL, LANCA DE 42 M, CAPACIDADE DE 1,5 T A 30 M, ALTURA ATE 39 M  JUROS. AF_08/2016</v>
          </cell>
          <cell r="C1079" t="str">
            <v>H</v>
          </cell>
          <cell r="D1079">
            <v>5.22</v>
          </cell>
        </row>
        <row r="1080">
          <cell r="A1080" t="str">
            <v>95210</v>
          </cell>
          <cell r="B1080" t="str">
            <v>GRUA ASCENCIONAL, LANCA DE 42 M, CAPACIDADE DE 1,5 T A 30 M, ALTURA ATE 39 M  MANUTENÇÃO. AF_08/2016</v>
          </cell>
          <cell r="C1080" t="str">
            <v>H</v>
          </cell>
          <cell r="D1080">
            <v>48.14</v>
          </cell>
        </row>
        <row r="1081">
          <cell r="A1081" t="str">
            <v>95211</v>
          </cell>
          <cell r="B1081" t="str">
            <v>GRUA ASCENCIONAL, LANCA DE 42 M, CAPACIDADE DE 1,5 T A 30 M, ALTURA ATE 39 M  MATERIAIS NA OPERAÇÃO. AF_08/2016</v>
          </cell>
          <cell r="C1081" t="str">
            <v>H</v>
          </cell>
          <cell r="D1081">
            <v>8.7799999999999994</v>
          </cell>
        </row>
        <row r="1082">
          <cell r="A1082" t="str">
            <v>95217</v>
          </cell>
          <cell r="B1082" t="str">
            <v>PULVERIZADOR DE TINTA ELÉTRICO/MÁQUINA DE PINTURA AIRLESS, VAZÃO 2 L/MIN - MATERIAIS NA OPERAÇÃO. AF_08/2016</v>
          </cell>
          <cell r="C1082" t="str">
            <v>H</v>
          </cell>
          <cell r="D1082">
            <v>0.59</v>
          </cell>
        </row>
        <row r="1083">
          <cell r="A1083" t="str">
            <v>95255</v>
          </cell>
          <cell r="B1083" t="str">
            <v>MARTELO DEMOLIDOR PNEUMÁTICO MANUAL, 32 KG - DEPRECIAÇÃO. AF_09/2016</v>
          </cell>
          <cell r="C1083" t="str">
            <v>H</v>
          </cell>
          <cell r="D1083">
            <v>1.01</v>
          </cell>
        </row>
        <row r="1084">
          <cell r="A1084" t="str">
            <v>95256</v>
          </cell>
          <cell r="B1084" t="str">
            <v>MARTELO DEMOLIDOR PNEUMÁTICO MANUAL, 32 KG - JUROS. AF_09/2016</v>
          </cell>
          <cell r="C1084" t="str">
            <v>H</v>
          </cell>
          <cell r="D1084">
            <v>0.12</v>
          </cell>
        </row>
        <row r="1085">
          <cell r="A1085" t="str">
            <v>95257</v>
          </cell>
          <cell r="B1085" t="str">
            <v>MARTELO DEMOLIDOR PNEUMÁTICO MANUAL, 32 KG - MANUTENÇÃO. AF_09/2016</v>
          </cell>
          <cell r="C1085" t="str">
            <v>H</v>
          </cell>
          <cell r="D1085">
            <v>1.26</v>
          </cell>
        </row>
        <row r="1086">
          <cell r="A1086" t="str">
            <v>95260</v>
          </cell>
          <cell r="B1086" t="str">
            <v>COMPACTADOR DE SOLOS DE PERCUSÃO (SOQUETE) COM MOTOR A GASOLINA, POTÊNCIA 3 CV - DEPRECIAÇÃO. AF_09/2016</v>
          </cell>
          <cell r="C1086" t="str">
            <v>H</v>
          </cell>
          <cell r="D1086">
            <v>0.57999999999999996</v>
          </cell>
        </row>
        <row r="1087">
          <cell r="A1087" t="str">
            <v>95261</v>
          </cell>
          <cell r="B1087" t="str">
            <v>COMPACTADOR DE SOLOS DE PERCUSÃO (SOQUETE) COM MOTOR A GASOLINA, POTÊNCIA 3 CV - JUROS. AF_09/2016</v>
          </cell>
          <cell r="C1087" t="str">
            <v>H</v>
          </cell>
          <cell r="D1087">
            <v>0.11</v>
          </cell>
        </row>
        <row r="1088">
          <cell r="A1088" t="str">
            <v>95262</v>
          </cell>
          <cell r="B1088" t="str">
            <v>COMPACTADOR DE SOLOS DE PERCUSÃO (SOQUETE) COM MOTOR A GASOLINA, POTÊNCIA 3 CV - MANUTENÇÃO. AF_09/2016</v>
          </cell>
          <cell r="C1088" t="str">
            <v>H</v>
          </cell>
          <cell r="D1088">
            <v>1.05</v>
          </cell>
        </row>
        <row r="1089">
          <cell r="A1089" t="str">
            <v>95263</v>
          </cell>
          <cell r="B1089" t="str">
            <v>COMPACTADOR DE SOLOS DE PERCUSÃO (SOQUETE) COM MOTOR A GASOLINA, POTÊNCIA 3 CV - MATERIAIS NA OPERAÇÃO. AF_09/2016</v>
          </cell>
          <cell r="C1089" t="str">
            <v>H</v>
          </cell>
          <cell r="D1089">
            <v>5.18</v>
          </cell>
        </row>
        <row r="1090">
          <cell r="A1090" t="str">
            <v>95266</v>
          </cell>
          <cell r="B1090" t="str">
            <v>RÉGUA VIBRATÓRIA DUPLA PARA CONCRETO, PESO DE 60KG, COMPRIMENTO 4 M, COM MOTOR A GASOLINA, POTÊNCIA 5,5 HP - DEPRECIAÇÃO. AF_09/2016</v>
          </cell>
          <cell r="C1090" t="str">
            <v>H</v>
          </cell>
          <cell r="D1090">
            <v>0.43</v>
          </cell>
        </row>
        <row r="1091">
          <cell r="A1091" t="str">
            <v>95267</v>
          </cell>
          <cell r="B1091" t="str">
            <v>RÉGUA VIBRATÓRIA DUPLA PARA CONCRETO, PESO DE 60KG, COMPRIMENTO 4 M, COM MOTOR A GASOLINA, POTÊNCIA 5,5 HP - JUROS. AF_09/2016</v>
          </cell>
          <cell r="C1091" t="str">
            <v>H</v>
          </cell>
          <cell r="D1091">
            <v>0.04</v>
          </cell>
        </row>
        <row r="1092">
          <cell r="A1092" t="str">
            <v>95268</v>
          </cell>
          <cell r="B1092" t="str">
            <v>RÉGUA VIBRATÓRIA DUPLA PARA CONCRETO, PESO DE 60KG, COMPRIMENTO 4 M, COM MOTOR A GASOLINA, POTÊNCIA 5,5 HP - MANUTENÇÃO. AF_09/2016</v>
          </cell>
          <cell r="C1092" t="str">
            <v>H</v>
          </cell>
          <cell r="D1092">
            <v>0.42</v>
          </cell>
        </row>
        <row r="1093">
          <cell r="A1093" t="str">
            <v>95269</v>
          </cell>
          <cell r="B1093" t="str">
            <v>RÉGUA VIBRATÓRIA DUPLA PARA CONCRETO, PESO DE 60KG, COMPRIMENTO 4 M, COM MOTOR A GASOLINA, POTÊNCIA 5,5 HP  MATERIAIS NA OPERAÇÃO. AF_09/2016</v>
          </cell>
          <cell r="C1093" t="str">
            <v>H</v>
          </cell>
          <cell r="D1093">
            <v>9.6999999999999993</v>
          </cell>
        </row>
        <row r="1094">
          <cell r="A1094" t="str">
            <v>95272</v>
          </cell>
          <cell r="B1094" t="str">
            <v>POLIDORA DE PISO (POLITRIZ), PESO DE 100KG, DIÂMETRO 450 MM, MOTOR ELÉTRICO, POTÊNCIA 4 HP - DEPRECIAÇÃO. AF_09/2016</v>
          </cell>
          <cell r="C1094" t="str">
            <v>H</v>
          </cell>
          <cell r="D1094">
            <v>0.42</v>
          </cell>
        </row>
        <row r="1095">
          <cell r="A1095" t="str">
            <v>95273</v>
          </cell>
          <cell r="B1095" t="str">
            <v>POLIDORA DE PISO (POLITRIZ), PESO DE 100KG, DIÂMETRO 450 MM, MOTOR ELÉTRICO, POTÊNCIA 4 HP - JUROS. AF_09/2016</v>
          </cell>
          <cell r="C1095" t="str">
            <v>H</v>
          </cell>
          <cell r="D1095">
            <v>0.05</v>
          </cell>
        </row>
        <row r="1096">
          <cell r="A1096" t="str">
            <v>95274</v>
          </cell>
          <cell r="B1096" t="str">
            <v>POLIDORA DE PISO (POLITRIZ), PESO DE 100KG, DIÂMETRO 450 MM, MOTOR ELÉTRICO, POTÊNCIA 4 HP - MANUTENÇÃO. AF_09/2016</v>
          </cell>
          <cell r="C1096" t="str">
            <v>H</v>
          </cell>
          <cell r="D1096">
            <v>0.33</v>
          </cell>
        </row>
        <row r="1097">
          <cell r="A1097" t="str">
            <v>95275</v>
          </cell>
          <cell r="B1097" t="str">
            <v>POLIDORA DE PISO (POLITRIZ), PESO DE 100KG, DIÂMETRO 450 MM, MOTOR ELÉTRICO, POTÊNCIA 4 HP  MATERIAIS NA OPERAÇÃO. AF_09/2016</v>
          </cell>
          <cell r="C1097" t="str">
            <v>H</v>
          </cell>
          <cell r="D1097">
            <v>2.38</v>
          </cell>
        </row>
        <row r="1098">
          <cell r="A1098" t="str">
            <v>95278</v>
          </cell>
          <cell r="B1098" t="str">
            <v>DESEMPENADEIRA DE CONCRETO, PESO DE 75KG, 4 PÁS, MOTOR A GASOLINA, POTÊNCIA 5,5 HP - DEPRECIAÇÃO. AF_09/2016</v>
          </cell>
          <cell r="C1098" t="str">
            <v>H</v>
          </cell>
          <cell r="D1098">
            <v>0.46</v>
          </cell>
        </row>
        <row r="1099">
          <cell r="A1099" t="str">
            <v>95279</v>
          </cell>
          <cell r="B1099" t="str">
            <v>DESEMPENADEIRA DE CONCRETO, PESO DE 75KG, 4 PÁS, MOTOR A GASOLINA, POTÊNCIA 5,5 HP - JUROS. AF_09/2016</v>
          </cell>
          <cell r="C1099" t="str">
            <v>H</v>
          </cell>
          <cell r="D1099">
            <v>0.05</v>
          </cell>
        </row>
        <row r="1100">
          <cell r="A1100" t="str">
            <v>95280</v>
          </cell>
          <cell r="B1100" t="str">
            <v>DESEMPENADEIRA DE CONCRETO, PESO DE 75KG, 4 PÁS, MOTOR A GASOLINA, POTÊNCIA 5,5 HP - MANUTENÇÃO. AF_09/2016</v>
          </cell>
          <cell r="C1100" t="str">
            <v>H</v>
          </cell>
          <cell r="D1100">
            <v>0.36</v>
          </cell>
        </row>
        <row r="1101">
          <cell r="A1101" t="str">
            <v>95281</v>
          </cell>
          <cell r="B1101" t="str">
            <v>DESEMPENADEIRA DE CONCRETO, PESO DE 75KG, 4 PÁS, MOTOR A GASOLINA, POTÊNCIA 5,5 HP  MATERIAIS NA OPERAÇÃO. AF_09/2016</v>
          </cell>
          <cell r="C1101" t="str">
            <v>H</v>
          </cell>
          <cell r="D1101">
            <v>9.6999999999999993</v>
          </cell>
        </row>
        <row r="1102">
          <cell r="A1102" t="str">
            <v>95617</v>
          </cell>
          <cell r="B1102" t="str">
            <v>PERFURATRIZ PNEUMATICA MANUAL DE PESO MEDIO, MARTELETE, 18KG, COMPRIMENTO MÁXIMO DE CURSO DE 6 M, DIAMETRO DO PISTAO DE 5,5 CM - DEPRECIAÇÃO. AF_11/2016</v>
          </cell>
          <cell r="C1102" t="str">
            <v>H</v>
          </cell>
          <cell r="D1102">
            <v>0.82</v>
          </cell>
        </row>
        <row r="1103">
          <cell r="A1103" t="str">
            <v>95618</v>
          </cell>
          <cell r="B1103" t="str">
            <v>PERFURATRIZ PNEUMATICA MANUAL DE PESO MEDIO, MARTELETE, 18KG, COMPRIMENTO MÁXIMO DE CURSO DE 6 M, DIAMETRO DO PISTAO DE 5,5 CM - JUROS. AF_11/2016</v>
          </cell>
          <cell r="C1103" t="str">
            <v>H</v>
          </cell>
          <cell r="D1103">
            <v>0.09</v>
          </cell>
        </row>
        <row r="1104">
          <cell r="A1104" t="str">
            <v>95619</v>
          </cell>
          <cell r="B1104" t="str">
            <v>PERFURATRIZ PNEUMATICA MANUAL DE PESO MEDIO, MARTELETE, 18KG, COMPRIMENTO MÁXIMO DE CURSO DE 6 M, DIAMETRO DO PISTAO DE 5,5 CM - MANUTENÇÃO. AF_11/2016</v>
          </cell>
          <cell r="C1104" t="str">
            <v>H</v>
          </cell>
          <cell r="D1104">
            <v>1.03</v>
          </cell>
        </row>
        <row r="1105">
          <cell r="A1105" t="str">
            <v>95627</v>
          </cell>
          <cell r="B1105" t="str">
            <v>ROLO COMPACTADOR VIBRATORIO TANDEM, ACO LISO, POTENCIA 125 HP, PESO SEM/COM LASTRO 10,20/11,65 T, LARGURA DE TRABALHO 1,73 M - DEPRECIAÇÃO. AF_11/2016</v>
          </cell>
          <cell r="C1105" t="str">
            <v>H</v>
          </cell>
          <cell r="D1105">
            <v>41.84</v>
          </cell>
        </row>
        <row r="1106">
          <cell r="A1106" t="str">
            <v>95628</v>
          </cell>
          <cell r="B1106" t="str">
            <v>ROLO COMPACTADOR VIBRATORIO TANDEM, ACO LISO, POTENCIA 125 HP, PESO SEM/COM LASTRO 10,20/11,65 T, LARGURA DE TRABALHO 1,73 M - JUROS. AF_11/2016</v>
          </cell>
          <cell r="C1106" t="str">
            <v>H</v>
          </cell>
          <cell r="D1106">
            <v>5.81</v>
          </cell>
        </row>
        <row r="1107">
          <cell r="A1107" t="str">
            <v>95629</v>
          </cell>
          <cell r="B1107" t="str">
            <v>ROLO COMPACTADOR VIBRATORIO TANDEM, ACO LISO, POTENCIA 125 HP, PESO SEM/COM LASTRO 10,20/11,65 T, LARGURA DE TRABALHO 1,73 M - MANUTENÇÃO. AF_11/2016</v>
          </cell>
          <cell r="C1107" t="str">
            <v>H</v>
          </cell>
          <cell r="D1107">
            <v>52.36</v>
          </cell>
        </row>
        <row r="1108">
          <cell r="A1108" t="str">
            <v>95630</v>
          </cell>
          <cell r="B1108" t="str">
            <v>ROLO COMPACTADOR VIBRATORIO TANDEM, ACO LISO, POTENCIA 125 HP, PESO SEM/COM LASTRO 10,20/11,65 T, LARGURA DE TRABALHO 1,73 M - MATERIAIS NA OPERAÇÃO. AF_11/2016</v>
          </cell>
          <cell r="C1108" t="str">
            <v>H</v>
          </cell>
          <cell r="D1108">
            <v>76.239999999999995</v>
          </cell>
        </row>
        <row r="1109">
          <cell r="A1109" t="str">
            <v>95698</v>
          </cell>
          <cell r="B1109" t="str">
            <v>PERFURATRIZ MANUAL, TORQUE MAXIMO 55 KGF.M, POTENCIA 5 CV, COM DIAMETRO MAXIMO 8 1/2" - DEPRECIAÇÃO. AF_11/2016</v>
          </cell>
          <cell r="C1109" t="str">
            <v>H</v>
          </cell>
          <cell r="D1109">
            <v>3.36</v>
          </cell>
        </row>
        <row r="1110">
          <cell r="A1110" t="str">
            <v>95699</v>
          </cell>
          <cell r="B1110" t="str">
            <v>PERFURATRIZ MANUAL, TORQUE MAXIMO 55 KGF.M, POTENCIA 5 CV, COM DIAMETRO MAXIMO 8 1/2" - JUROS. AF_11/2016</v>
          </cell>
          <cell r="C1110" t="str">
            <v>H</v>
          </cell>
          <cell r="D1110">
            <v>0.39</v>
          </cell>
        </row>
        <row r="1111">
          <cell r="A1111" t="str">
            <v>95700</v>
          </cell>
          <cell r="B1111" t="str">
            <v>PERFURATRIZ MANUAL, TORQUE MAXIMO 55 KGF.M, POTENCIA 5 CV, COM DIAMETRO MAXIMO 8 1/2" - MANUTENÇÃO. AF_11/2016</v>
          </cell>
          <cell r="C1111" t="str">
            <v>H</v>
          </cell>
          <cell r="D1111">
            <v>4.2</v>
          </cell>
        </row>
        <row r="1112">
          <cell r="A1112" t="str">
            <v>95701</v>
          </cell>
          <cell r="B1112" t="str">
            <v>PERFURATRIZ MANUAL, TORQUE MAXIMO 55 KGF.M, POTENCIA 5 CV, COM DIAMETRO MAXIMO 8 1/2" - MATERIAIS NA OPERAÇÃO. AF_11/2016</v>
          </cell>
          <cell r="C1112" t="str">
            <v>H</v>
          </cell>
          <cell r="D1112">
            <v>2.94</v>
          </cell>
        </row>
        <row r="1113">
          <cell r="A1113" t="str">
            <v>95704</v>
          </cell>
          <cell r="B1113" t="str">
            <v>PERFURATRIZ SOBRE ESTEIRA, TORQUE MÁXIMO 600 KGF, POTÊNCIA ENTRE 50 E 60 HP, DIÂMETRO MÁXIMO 10 - DEPRECIAÇÃO. AF_11/2016</v>
          </cell>
          <cell r="C1113" t="str">
            <v>H</v>
          </cell>
          <cell r="D1113">
            <v>46.43</v>
          </cell>
        </row>
        <row r="1114">
          <cell r="A1114" t="str">
            <v>95705</v>
          </cell>
          <cell r="B1114" t="str">
            <v>PERFURATRIZ SOBRE ESTEIRA, TORQUE MÁXIMO 600 KGF, POTÊNCIA ENTRE 50 E 60 HP, DIÂMETRO MÁXIMO 10 - JUROS. AF_11/2016</v>
          </cell>
          <cell r="C1114" t="str">
            <v>H</v>
          </cell>
          <cell r="D1114">
            <v>6.62</v>
          </cell>
        </row>
        <row r="1115">
          <cell r="A1115" t="str">
            <v>95706</v>
          </cell>
          <cell r="B1115" t="str">
            <v>PERFURATRIZ SOBRE ESTEIRA, TORQUE MÁXIMO 600 KGF, POTÊNCIA ENTRE 50 E 60 HP, DIÂMETRO MÁXIMO 10 - MANUTENÇÃO. AF_11/2016</v>
          </cell>
          <cell r="C1115" t="str">
            <v>H</v>
          </cell>
          <cell r="D1115">
            <v>58.11</v>
          </cell>
        </row>
        <row r="1116">
          <cell r="A1116" t="str">
            <v>95707</v>
          </cell>
          <cell r="B1116" t="str">
            <v>PERFURATRIZ SOBRE ESTEIRA, TORQUE MÁXIMO 600 KGF, POTÊNCIA ENTRE 50 E 60 HP, DIÂMETRO MÁXIMO 10 - MATERIAIS NA OPERAÇÃO. AF_11/2016</v>
          </cell>
          <cell r="C1116" t="str">
            <v>H</v>
          </cell>
          <cell r="D1116">
            <v>32.78</v>
          </cell>
        </row>
        <row r="1117">
          <cell r="A1117" t="str">
            <v>95710</v>
          </cell>
          <cell r="B1117" t="str">
            <v>ESCAVADEIRA HIDRAULICA SOBRE ESTEIRA, COM GARRA GIRATORIA DE MANDIBULAS, PESO OPERACIONAL ENTRE 22,00 E 25,50 TON, POTENCIA LIQUIDA ENTRE 150 E 160 HP - DEPRECIAÇÃO. AF_11/2016</v>
          </cell>
          <cell r="C1117" t="str">
            <v>H</v>
          </cell>
          <cell r="D1117">
            <v>55.81</v>
          </cell>
        </row>
        <row r="1118">
          <cell r="A1118" t="str">
            <v>95711</v>
          </cell>
          <cell r="B1118" t="str">
            <v>ESCAVADEIRA HIDRAULICA SOBRE ESTEIRA, COM GARRA GIRATORIA DE MANDIBULAS, PESO OPERACIONAL ENTRE 22,00 E 25,50 TON, POTENCIA LIQUIDA ENTRE 150 E 160 HP - JUROS. AF_11/2016</v>
          </cell>
          <cell r="C1118" t="str">
            <v>H</v>
          </cell>
          <cell r="D1118">
            <v>7.57</v>
          </cell>
        </row>
        <row r="1119">
          <cell r="A1119" t="str">
            <v>95712</v>
          </cell>
          <cell r="B1119" t="str">
            <v>ESCAVADEIRA HIDRAULICA SOBRE ESTEIRA, COM GARRA GIRATORIA DE MANDIBULAS, PESO OPERACIONAL ENTRE 22,00 E 25,50 TON, POTENCIA LIQUIDA ENTRE 150 E 160 HP - MANUTENÇÃO. AF_11/2016</v>
          </cell>
          <cell r="C1119" t="str">
            <v>H</v>
          </cell>
          <cell r="D1119">
            <v>69.760000000000005</v>
          </cell>
        </row>
        <row r="1120">
          <cell r="A1120" t="str">
            <v>95713</v>
          </cell>
          <cell r="B1120" t="str">
            <v>ESCAVADEIRA HIDRAULICA SOBRE ESTEIRA, COM GARRA GIRATORIA DE MANDIBULAS, PESO OPERACIONAL ENTRE 22,00 E 25,50 TON, POTENCIA LIQUIDA ENTRE 150 E 160 HP - MATERIAIS NA OPERAÇÃO. AF_11/2016</v>
          </cell>
          <cell r="C1120" t="str">
            <v>H</v>
          </cell>
          <cell r="D1120">
            <v>76.8</v>
          </cell>
        </row>
        <row r="1121">
          <cell r="A1121" t="str">
            <v>95716</v>
          </cell>
          <cell r="B1121" t="str">
            <v>ESCAVADEIRA HIDRAULICA SOBRE ESTEIRA, EQUIPADA COM CLAMSHELL, COM CAPACIDADE DA CAÇAMBA ENTRE 1,20 E 1,50 M3, PESO OPERACIONAL ENTRE 20,00 E 22,00 TON, POTENCIA LIQUIDA ENTRE 150 E 160 HP - DEPRECIAÇÃO. AF_11/2016</v>
          </cell>
          <cell r="C1121" t="str">
            <v>H</v>
          </cell>
          <cell r="D1121">
            <v>53.72</v>
          </cell>
        </row>
        <row r="1122">
          <cell r="A1122" t="str">
            <v>95717</v>
          </cell>
          <cell r="B1122" t="str">
            <v>ESCAVADEIRA HIDRAULICA SOBRE ESTEIRA, EQUIPADA COM CLAMSHELL, COM CAPACIDADE DA CAÇAMBA ENTRE 1,20 E 1,50 M3, PESO OPERACIONAL ENTRE 20,00 E 22,00 TON, POTENCIA LIQUIDA ENTRE 150 E 160 HP - JUROS. AF_11/2016</v>
          </cell>
          <cell r="C1122" t="str">
            <v>H</v>
          </cell>
          <cell r="D1122">
            <v>7.29</v>
          </cell>
        </row>
        <row r="1123">
          <cell r="A1123" t="str">
            <v>95718</v>
          </cell>
          <cell r="B1123" t="str">
            <v>ESCAVADEIRA HIDRAULICA SOBRE ESTEIRA, EQUIPADA COM CLAMSHELL, COM CAPACIDADE DA CAÇAMBA ENTRE 1,20 E 1,50 M3, PESO OPERACIONAL ENTRE 20,00 E 22,00 TON, POTENCIA LIQUIDA ENTRE 150 E 160 HP - MANUTENÇÃO. AF_11/2016</v>
          </cell>
          <cell r="C1123" t="str">
            <v>H</v>
          </cell>
          <cell r="D1123">
            <v>67.16</v>
          </cell>
        </row>
        <row r="1124">
          <cell r="A1124" t="str">
            <v>95719</v>
          </cell>
          <cell r="B1124" t="str">
            <v>ESCAVADEIRA HIDRAULICA SOBRE ESTEIRA, EQUIPADA COM CLAMSHELL, COM CAPACIDADE DA CAÇAMBA ENTRE 1,20 E 1,50 M3, PESO OPERACIONAL ENTRE 20,00 E 22,00 TON, POTENCIA LIQUIDA ENTRE 150 E 160 HP - MATERIAIS NA OPERAÇÃO. AF_11/2016</v>
          </cell>
          <cell r="C1124" t="str">
            <v>H</v>
          </cell>
          <cell r="D1124">
            <v>76.8</v>
          </cell>
        </row>
        <row r="1125">
          <cell r="A1125" t="str">
            <v>95869</v>
          </cell>
          <cell r="B1125" t="str">
            <v>GRUPO GERADOR COM CARENAGEM, MOTOR DIESEL POTÊNCIA STANDART ENTRE 250 E 260 KVA - JUROS. AF_12/2016</v>
          </cell>
          <cell r="C1125" t="str">
            <v>H</v>
          </cell>
          <cell r="D1125">
            <v>1.26</v>
          </cell>
        </row>
        <row r="1126">
          <cell r="A1126" t="str">
            <v>95870</v>
          </cell>
          <cell r="B1126" t="str">
            <v>GRUPO GERADOR COM CARENAGEM, MOTOR DIESEL POTÊNCIA STANDART ENTRE 250 E 260 KVA - MANUTENÇÃO. AF_12/2016</v>
          </cell>
          <cell r="C1126" t="str">
            <v>H</v>
          </cell>
          <cell r="D1126">
            <v>6.25</v>
          </cell>
        </row>
        <row r="1127">
          <cell r="A1127" t="str">
            <v>95871</v>
          </cell>
          <cell r="B1127" t="str">
            <v>GRUPO GERADOR COM CARENAGEM, MOTOR DIESEL POTÊNCIA STANDART ENTRE 250 E 260 KVA - MATERIAIS NA OPERAÇÃO. AF_12/2016</v>
          </cell>
          <cell r="C1127" t="str">
            <v>H</v>
          </cell>
          <cell r="D1127">
            <v>233.22</v>
          </cell>
        </row>
        <row r="1128">
          <cell r="A1128" t="str">
            <v>95874</v>
          </cell>
          <cell r="B1128" t="str">
            <v>GRUPO GERADOR COM CARENAGEM, MOTOR DIESEL POTÊNCIA STANDART ENTRE 250 E 260 KVA - DEPRECIAÇÃO. AF_12/2016</v>
          </cell>
          <cell r="C1128" t="str">
            <v>H</v>
          </cell>
          <cell r="D1128">
            <v>7.01</v>
          </cell>
        </row>
        <row r="1129">
          <cell r="A1129" t="str">
            <v>96008</v>
          </cell>
          <cell r="B1129" t="str">
            <v>TRATOR DE PNEUS COM POTÊNCIA DE 122 CV, TRAÇÃO 4X4, COM VASSOURA MECÂNICA ACOPLADA - DEPRECIAÇÃO. AF_02/2017</v>
          </cell>
          <cell r="C1129" t="str">
            <v>H</v>
          </cell>
          <cell r="D1129">
            <v>20.52</v>
          </cell>
        </row>
        <row r="1130">
          <cell r="A1130" t="str">
            <v>96009</v>
          </cell>
          <cell r="B1130" t="str">
            <v>TRATOR DE PNEUS COM POTÊNCIA DE 122 CV, TRAÇÃO 4X4, COM VASSOURA MECÂNICA ACOPLADA - JUROS. AF_02/2017</v>
          </cell>
          <cell r="C1130" t="str">
            <v>H</v>
          </cell>
          <cell r="D1130">
            <v>2.85</v>
          </cell>
        </row>
        <row r="1131">
          <cell r="A1131" t="str">
            <v>96011</v>
          </cell>
          <cell r="B1131" t="str">
            <v>TRATOR DE PNEUS COM POTÊNCIA DE 122 CV, TRAÇÃO 4X4, COM VASSOURA MECÂNICA ACOPLADA - MANUTENÇÃO. AF_02/2017</v>
          </cell>
          <cell r="C1131" t="str">
            <v>H</v>
          </cell>
          <cell r="D1131">
            <v>22.46</v>
          </cell>
        </row>
        <row r="1132">
          <cell r="A1132" t="str">
            <v>96012</v>
          </cell>
          <cell r="B1132" t="str">
            <v>TRATOR DE PNEUS COM POTÊNCIA DE 122 CV, TRAÇÃO 4X4, COM VASSOURA MECÂNICA ACOPLADA - MATERIAIS NA OPERAÇÃO. AF_02/2017</v>
          </cell>
          <cell r="C1132" t="str">
            <v>H</v>
          </cell>
          <cell r="D1132">
            <v>146.81</v>
          </cell>
        </row>
        <row r="1133">
          <cell r="A1133" t="str">
            <v>96015</v>
          </cell>
          <cell r="B1133" t="str">
            <v>TRATOR DE PNEUS COM POTÊNCIA DE 122 CV, TRAÇÃO 4X4, COM GRADE DE DISCOS ACOPLADA - DEPRECIAÇÃO. AF_02/2017</v>
          </cell>
          <cell r="C1133" t="str">
            <v>H</v>
          </cell>
          <cell r="D1133">
            <v>20.27</v>
          </cell>
        </row>
        <row r="1134">
          <cell r="A1134" t="str">
            <v>96016</v>
          </cell>
          <cell r="B1134" t="str">
            <v>TRATOR DE PNEUS COM POTÊNCIA DE 122 CV, TRAÇÃO 4X4, COM GRADE DE DISCOS ACOPLADA - JUROS. AF_02/2017</v>
          </cell>
          <cell r="C1134" t="str">
            <v>H</v>
          </cell>
          <cell r="D1134">
            <v>2.81</v>
          </cell>
        </row>
        <row r="1135">
          <cell r="A1135" t="str">
            <v>96018</v>
          </cell>
          <cell r="B1135" t="str">
            <v>TRATOR DE PNEUS COM POTÊNCIA DE 122 CV, TRAÇÃO 4X4, COM GRADE DE DISCOS ACOPLADA - MANUTENÇÃO. AF_02/2017</v>
          </cell>
          <cell r="C1135" t="str">
            <v>H</v>
          </cell>
          <cell r="D1135">
            <v>22.18</v>
          </cell>
        </row>
        <row r="1136">
          <cell r="A1136" t="str">
            <v>96019</v>
          </cell>
          <cell r="B1136" t="str">
            <v>TRATOR DE PNEUS COM POTÊNCIA DE 122 CV, TRAÇÃO 4X4, COM GRADE DE DISCOS ACOPLADA - MATERIAIS NA OPERAÇÃO. AF_02/2017</v>
          </cell>
          <cell r="C1136" t="str">
            <v>H</v>
          </cell>
          <cell r="D1136">
            <v>146.81</v>
          </cell>
        </row>
        <row r="1137">
          <cell r="A1137" t="str">
            <v>96023</v>
          </cell>
          <cell r="B1137" t="str">
            <v>TRATOR DE PNEUS COM POTÊNCIA DE 85 CV, TRAÇÃO 4X4, COM GRADE DE DISCOS ACOPLADA - DEPRECIAÇÃO. AF_02/2017</v>
          </cell>
          <cell r="C1137" t="str">
            <v>H</v>
          </cell>
          <cell r="D1137">
            <v>16</v>
          </cell>
        </row>
        <row r="1138">
          <cell r="A1138" t="str">
            <v>96024</v>
          </cell>
          <cell r="B1138" t="str">
            <v>TRATOR DE PNEUS COM POTÊNCIA DE 85 CV, TRAÇÃO 4X4, COM GRADE DE DISCOS ACOPLADA - JUROS. AF_02/2017</v>
          </cell>
          <cell r="C1138" t="str">
            <v>H</v>
          </cell>
          <cell r="D1138">
            <v>2.21</v>
          </cell>
        </row>
        <row r="1139">
          <cell r="A1139" t="str">
            <v>96026</v>
          </cell>
          <cell r="B1139" t="str">
            <v>TRATOR DE PNEUS COM POTÊNCIA DE 85 CV, TRAÇÃO 4X4, COM GRADE DE DISCOS ACOPLADA - MANUTENÇÃO. AF_02/2017</v>
          </cell>
          <cell r="C1139" t="str">
            <v>H</v>
          </cell>
          <cell r="D1139">
            <v>17.5</v>
          </cell>
        </row>
        <row r="1140">
          <cell r="A1140" t="str">
            <v>96027</v>
          </cell>
          <cell r="B1140" t="str">
            <v>TRATOR DE PNEUS COM POTÊNCIA DE 85 CV, TRAÇÃO 4X4, COM GRADE DE DISCOS ACOPLADA - MATERIAIS NA OPERAÇÃO. AF_02/2017</v>
          </cell>
          <cell r="C1140" t="str">
            <v>H</v>
          </cell>
          <cell r="D1140">
            <v>102.3</v>
          </cell>
        </row>
        <row r="1141">
          <cell r="A1141" t="str">
            <v>96030</v>
          </cell>
          <cell r="B1141" t="str">
            <v>CAMINHÃO BASCULANTE 10 M3, TRUCADO, POTÊNCIA 230 CV, INCLUSIVE CAÇAMBA METÁLICA, COM DISTRIBUIDOR DE AGREGADOS ACOPLADO - DEPRECIAÇÃO. AF_02/2017</v>
          </cell>
          <cell r="C1141" t="str">
            <v>H</v>
          </cell>
          <cell r="D1141">
            <v>25.11</v>
          </cell>
        </row>
        <row r="1142">
          <cell r="A1142" t="str">
            <v>96031</v>
          </cell>
          <cell r="B1142" t="str">
            <v>CAMINHÃO BASCULANTE 10 M3, TRUCADO, POTÊNCIA 230 CV, INCLUSIVE CAÇAMBA METÁLICA, COM DISTRIBUIDOR DE AGREGADOS ACOPLADO - JUROS. AF_02/2017</v>
          </cell>
          <cell r="C1142" t="str">
            <v>H</v>
          </cell>
          <cell r="D1142">
            <v>4.63</v>
          </cell>
        </row>
        <row r="1143">
          <cell r="A1143" t="str">
            <v>96032</v>
          </cell>
          <cell r="B1143" t="str">
            <v>CAMINHÃO BASCULANTE 10 M3, TRUCADO, POTÊNCIA 230 CV, INCLUSIVE CAÇAMBA METÁLICA, COM DISTRIBUIDOR DE AGREGADOS ACOPLADO - IMPOSTOS E SEGUROS. AF_02/2017</v>
          </cell>
          <cell r="C1143" t="str">
            <v>H</v>
          </cell>
          <cell r="D1143">
            <v>1.8</v>
          </cell>
        </row>
        <row r="1144">
          <cell r="A1144" t="str">
            <v>96033</v>
          </cell>
          <cell r="B1144" t="str">
            <v>CAMINHÃO BASCULANTE 10 M3, TRUCADO, POTÊNCIA 230 CV, INCLUSIVE CAÇAMBA METÁLICA, COM DISTRIBUIDOR DE AGREGADOS ACOPLADO - MANUTENÇÃO. AF_02/2017</v>
          </cell>
          <cell r="C1144" t="str">
            <v>H</v>
          </cell>
          <cell r="D1144">
            <v>47.09</v>
          </cell>
        </row>
        <row r="1145">
          <cell r="A1145" t="str">
            <v>96034</v>
          </cell>
          <cell r="B1145" t="str">
            <v>CAMINHÃO BASCULANTE 10 M3, TRUCADO, POTÊNCIA 230 CV, INCLUSIVE CAÇAMBA METÁLICA, COM DISTRIBUIDOR DE AGREGADOS ACOPLADO - MATERIAIS NA OPERAÇÃO. AF_02/2017</v>
          </cell>
          <cell r="C1145" t="str">
            <v>H</v>
          </cell>
          <cell r="D1145">
            <v>121.1</v>
          </cell>
        </row>
        <row r="1146">
          <cell r="A1146" t="str">
            <v>96053</v>
          </cell>
          <cell r="B1146" t="str">
            <v>TRATOR DE PNEUS COM POTÊNCIA DE 85 CV, TRAÇÃO 4X4, COM VASSOURA MECÂNICA ACOPLADA - DEPRECIAÇÃO. AF_03/2017</v>
          </cell>
          <cell r="C1146" t="str">
            <v>H</v>
          </cell>
          <cell r="D1146">
            <v>16.25</v>
          </cell>
        </row>
        <row r="1147">
          <cell r="A1147" t="str">
            <v>96054</v>
          </cell>
          <cell r="B1147" t="str">
            <v>MINICARREGADEIRA SOBRE RODAS POTENCIA 47HP CAPACIDADE OPERACAO 646 KG, COM VASSOURA MECÂNICA ACOPLADA - DEPRECIAÇÃO. AF_03/2017</v>
          </cell>
          <cell r="C1147" t="str">
            <v>H</v>
          </cell>
          <cell r="D1147">
            <v>21.99</v>
          </cell>
        </row>
        <row r="1148">
          <cell r="A1148" t="str">
            <v>96055</v>
          </cell>
          <cell r="B1148" t="str">
            <v>TRATOR DE PNEUS COM POTÊNCIA DE 85 CV, TRAÇÃO 4X4, COM VASSOURA MECÂNICA ACOPLADA - JUROS. AF_03/2017</v>
          </cell>
          <cell r="C1148" t="str">
            <v>H</v>
          </cell>
          <cell r="D1148">
            <v>2.25</v>
          </cell>
        </row>
        <row r="1149">
          <cell r="A1149" t="str">
            <v>96056</v>
          </cell>
          <cell r="B1149" t="str">
            <v>TRATOR DE PNEUS COM POTÊNCIA DE 85 CV, TRAÇÃO 4X4, COM VASSOURA MECÂNICA ACOPLADA - MANUTENÇÃO. AF_03/2017</v>
          </cell>
          <cell r="C1149" t="str">
            <v>H</v>
          </cell>
          <cell r="D1149">
            <v>17.78</v>
          </cell>
        </row>
        <row r="1150">
          <cell r="A1150" t="str">
            <v>96057</v>
          </cell>
          <cell r="B1150" t="str">
            <v>TRATOR DE PNEUS COM POTÊNCIA DE 85 CV, TRAÇÃO 4X4, COM VASSOURA MECÂNICA ACOPLADA - MATERIAIS NA OPERAÇÃO. AF_03/2017</v>
          </cell>
          <cell r="C1150" t="str">
            <v>H</v>
          </cell>
          <cell r="D1150">
            <v>102.3</v>
          </cell>
        </row>
        <row r="1151">
          <cell r="A1151" t="str">
            <v>96060</v>
          </cell>
          <cell r="B1151" t="str">
            <v>MINICARREGADEIRA SOBRE RODAS POTENCIA 47HP CAPACIDADE OPERACAO 646 KG, COM VASSOURA MECÂNICA ACOPLADA - JUROS. AF_03/2017</v>
          </cell>
          <cell r="C1151" t="str">
            <v>H</v>
          </cell>
          <cell r="D1151">
            <v>2.21</v>
          </cell>
        </row>
        <row r="1152">
          <cell r="A1152" t="str">
            <v>96061</v>
          </cell>
          <cell r="B1152" t="str">
            <v>MINICARREGADEIRA SOBRE RODAS POTENCIA 47HP CAPACIDADE OPERACAO 646 KG, COM VASSOURA MECÂNICA ACOPLADA - MANUTENÇÃO. AF_03/2017</v>
          </cell>
          <cell r="C1152" t="str">
            <v>H</v>
          </cell>
          <cell r="D1152">
            <v>27.48</v>
          </cell>
        </row>
        <row r="1153">
          <cell r="A1153" t="str">
            <v>96062</v>
          </cell>
          <cell r="B1153" t="str">
            <v>MINICARREGADEIRA SOBRE RODAS POTENCIA 47HP CAPACIDADE OPERACAO 646 KG, COM VASSOURA MECÂNICA ACOPLADA - MATERIAIS NA OPERAÇÃO. AF_03/2017</v>
          </cell>
          <cell r="C1153" t="str">
            <v>H</v>
          </cell>
          <cell r="D1153">
            <v>44.76</v>
          </cell>
        </row>
        <row r="1154">
          <cell r="A1154" t="str">
            <v>96241</v>
          </cell>
          <cell r="B1154" t="str">
            <v>MINIESCAVADEIRA SOBRE ESTEIRAS, POTENCIA LIQUIDA DE *30* HP, PESO OPERACIONAL DE *3.500* KG - DEPRECIACAO. AF_04/2017</v>
          </cell>
          <cell r="C1154" t="str">
            <v>H</v>
          </cell>
          <cell r="D1154">
            <v>16.13</v>
          </cell>
        </row>
        <row r="1155">
          <cell r="A1155" t="str">
            <v>96242</v>
          </cell>
          <cell r="B1155" t="str">
            <v>MINIESCAVADEIRA SOBRE ESTEIRAS, POTENCIA LIQUIDA DE *30* HP, PESO OPERACIONAL DE *3.500* KG - JUROS. AF_04/2017</v>
          </cell>
          <cell r="C1155" t="str">
            <v>H</v>
          </cell>
          <cell r="D1155">
            <v>2.1800000000000002</v>
          </cell>
        </row>
        <row r="1156">
          <cell r="A1156" t="str">
            <v>96243</v>
          </cell>
          <cell r="B1156" t="str">
            <v>MINIESCAVADEIRA SOBRE ESTEIRAS, POTENCIA LIQUIDA DE *30* HP, PESO OPERACIONAL DE *3.500* KG - MANUTENCAO. AF_04/2017</v>
          </cell>
          <cell r="C1156" t="str">
            <v>H</v>
          </cell>
          <cell r="D1156">
            <v>20.16</v>
          </cell>
        </row>
        <row r="1157">
          <cell r="A1157" t="str">
            <v>96244</v>
          </cell>
          <cell r="B1157" t="str">
            <v>MINIESCAVADEIRA SOBRE ESTEIRAS, POTENCIA LIQUIDA DE *30* HP, PESO OPERACIONAL DE *3.500* KG - MATERIAIS NA OPERACAO. AF_04/2017</v>
          </cell>
          <cell r="C1157" t="str">
            <v>H</v>
          </cell>
          <cell r="D1157">
            <v>14.87</v>
          </cell>
        </row>
        <row r="1158">
          <cell r="A1158" t="str">
            <v>96301</v>
          </cell>
          <cell r="B1158" t="str">
            <v>PERFURATRIZ ROTATIVA SOBRE ESTEIRA, TORQUE MAXIMO 2500 KGM, POTENCIA 110 HP, MOTOR DIESEL - MATERIAIS NA OPERAÇÃO. AF_05/2017</v>
          </cell>
          <cell r="C1158" t="str">
            <v>H</v>
          </cell>
          <cell r="D1158">
            <v>41.95</v>
          </cell>
        </row>
        <row r="1159">
          <cell r="A1159" t="str">
            <v>96457</v>
          </cell>
          <cell r="B1159" t="str">
            <v>ROLO COMPACTADOR DE PNEUS, ESTATICO, PRESSAO VARIAVEL, POTENCIA 110 HP, PESO SEM/COM LASTRO 10,8/27 T, LARGURA DE ROLAGEM 2,30 M - MATERIAIS NA OPERACAO. AF_06/2017</v>
          </cell>
          <cell r="C1159" t="str">
            <v>H</v>
          </cell>
          <cell r="D1159">
            <v>54.52</v>
          </cell>
        </row>
        <row r="1160">
          <cell r="A1160" t="str">
            <v>96458</v>
          </cell>
          <cell r="B1160" t="str">
            <v>ROLO COMPACTADOR DE PNEUS, ESTATICO, PRESSAO VARIAVEL, POTENCIA 110 HP, PESO SEM/COM LASTRO 10,8/27 T, LARGURA DE ROLAGEM 2,30 M - MANUTENCAO. AF_06/2017</v>
          </cell>
          <cell r="C1160" t="str">
            <v>H</v>
          </cell>
          <cell r="D1160">
            <v>58.07</v>
          </cell>
        </row>
        <row r="1161">
          <cell r="A1161" t="str">
            <v>96459</v>
          </cell>
          <cell r="B1161" t="str">
            <v>ROLO COMPACTADOR DE PNEUS, ESTATICO, PRESSAO VARIAVEL, POTENCIA 110 HP, PESO SEM/COM LASTRO 10,8/27 T, LARGURA DE ROLAGEM 2,30 M - JUROS. AF_06/2017</v>
          </cell>
          <cell r="C1161" t="str">
            <v>H</v>
          </cell>
          <cell r="D1161">
            <v>6.44</v>
          </cell>
        </row>
        <row r="1162">
          <cell r="A1162" t="str">
            <v>96460</v>
          </cell>
          <cell r="B1162" t="str">
            <v>ROLO COMPACTADOR DE PNEUS, ESTATICO, PRESSAO VARIAVEL, POTENCIA 110 HP, PESO SEM/COM LASTRO 10,8/27 T, LARGURA DE ROLAGEM 2,30 M - DEPRECIAÇÃO. AF_06/2017</v>
          </cell>
          <cell r="C1162" t="str">
            <v>H</v>
          </cell>
          <cell r="D1162">
            <v>46.41</v>
          </cell>
        </row>
        <row r="1163">
          <cell r="A1163" t="str">
            <v>98760</v>
          </cell>
          <cell r="B1163" t="str">
            <v>INVERSOR DE SOLDA MONOFÁSICO DE 160 A, POTÊNCIA DE 5400 W, TENSÃO DE 220 V, PARA SOLDA COM ELETRODOS DE 2,0 A 4,0 MM E PROCESSO TIG - DEPRECIAÇÃO. AF_06/2018</v>
          </cell>
          <cell r="C1163" t="str">
            <v>H</v>
          </cell>
          <cell r="D1163">
            <v>0.09</v>
          </cell>
        </row>
        <row r="1164">
          <cell r="A1164" t="str">
            <v>98761</v>
          </cell>
          <cell r="B1164" t="str">
            <v>INVERSOR DE SOLDA MONOFÁSICO DE 160 A, POTÊNCIA DE 5400 W, TENSÃO DE 220 V, PARA SOLDA COM ELETRODOS DE 2,0 A 4,0 MM E PROCESSO TIG - JUROS. AF_06/2018</v>
          </cell>
          <cell r="C1164" t="str">
            <v>H</v>
          </cell>
          <cell r="D1164">
            <v>0.02</v>
          </cell>
        </row>
        <row r="1165">
          <cell r="A1165" t="str">
            <v>98762</v>
          </cell>
          <cell r="B1165" t="str">
            <v>INVERSOR DE SOLDA MONOFÁSICO DE 160 A, POTÊNCIA DE 5400 W, TENSÃO DE 220 V, PARA SOLDA COM ELETRODOS DE 2,0 A 4,0 MM E PROCESSO TIG - MANUTENÇÃO. AF_06/2018</v>
          </cell>
          <cell r="C1165" t="str">
            <v>H</v>
          </cell>
          <cell r="D1165">
            <v>0.11</v>
          </cell>
        </row>
        <row r="1166">
          <cell r="A1166" t="str">
            <v>98763</v>
          </cell>
          <cell r="B1166" t="str">
            <v>INVERSOR DE SOLDA MONOFÁSICO DE 160 A, POTÊNCIA DE 5400 W, TENSÃO DE 220 V, PARA SOLDA COM ELETRODOS DE 2,0 A 4,0 MM E PROCESSO TIG - MATERIAIS NA OPERAÇÃO. AF_06/2018</v>
          </cell>
          <cell r="C1166" t="str">
            <v>H</v>
          </cell>
          <cell r="D1166">
            <v>4.3099999999999996</v>
          </cell>
        </row>
        <row r="1167">
          <cell r="A1167" t="str">
            <v>99829</v>
          </cell>
          <cell r="B1167" t="str">
            <v>LAVADORA DE ALTA PRESSAO (LAVA-JATO) PARA AGUA FRIA, PRESSAO DE OPERACAO ENTRE 1400 E 1900 LIB/POL2, VAZAO MAXIMA ENTRE 400 E 700 L/H - DEPRECIAÇÃO. AF_04/2019</v>
          </cell>
          <cell r="C1167" t="str">
            <v>H</v>
          </cell>
          <cell r="D1167">
            <v>0.15</v>
          </cell>
        </row>
        <row r="1168">
          <cell r="A1168" t="str">
            <v>99830</v>
          </cell>
          <cell r="B1168" t="str">
            <v>LAVADORA DE ALTA PRESSAO (LAVA-JATO) PARA AGUA FRIA, PRESSAO DE OPERACAO ENTRE 1400 E 1900 LIB/POL2, VAZAO MAXIMA ENTRE 400 E 700 L/H - JUROS. AF_04/2019</v>
          </cell>
          <cell r="C1168" t="str">
            <v>H</v>
          </cell>
          <cell r="D1168">
            <v>0.01</v>
          </cell>
        </row>
        <row r="1169">
          <cell r="A1169" t="str">
            <v>99831</v>
          </cell>
          <cell r="B1169" t="str">
            <v>LAVADORA DE ALTA PRESSAO (LAVA-JATO) PARA AGUA FRIA, PRESSAO DE OPERACAO ENTRE 1400 E 1900 LIB/POL2, VAZAO MAXIMA ENTRE 400 E 700 L/H - MANUTENÇÃO. AF_04/2019</v>
          </cell>
          <cell r="C1169" t="str">
            <v>H</v>
          </cell>
          <cell r="D1169">
            <v>0.21</v>
          </cell>
        </row>
        <row r="1170">
          <cell r="A1170" t="str">
            <v>99832</v>
          </cell>
          <cell r="B1170" t="str">
            <v>LAVADORA DE ALTA PRESSAO (LAVA-JATO) PARA AGUA FRIA, PRESSAO DE OPERACAO ENTRE 1400 E 1900 LIB/POL2, VAZAO MAXIMA ENTRE 400 E 700 L/H - MATERIAIS NA OPERAÇÃO. AF_04/2019</v>
          </cell>
          <cell r="C1170" t="str">
            <v>H</v>
          </cell>
          <cell r="D1170">
            <v>1.1100000000000001</v>
          </cell>
        </row>
        <row r="1171">
          <cell r="A1171" t="str">
            <v>100637</v>
          </cell>
          <cell r="B1171" t="str">
            <v>USINA DE MISTURA ASFÁLTICA À QUENTE, TIPO CONTRA FLUXO, PROD 100 A 140 TON/HORA - DEPRECIAÇÃO. AF_12/2019</v>
          </cell>
          <cell r="C1171" t="str">
            <v>H</v>
          </cell>
          <cell r="D1171">
            <v>129.83000000000001</v>
          </cell>
        </row>
        <row r="1172">
          <cell r="A1172" t="str">
            <v>100638</v>
          </cell>
          <cell r="B1172" t="str">
            <v>USINA DE MISTURA ASFÁLTICA À QUENTE, TIPO CONTRA FLUXO, PROD 100 A 140 TON/HORA - JUROS. AF_12/2019</v>
          </cell>
          <cell r="C1172" t="str">
            <v>H</v>
          </cell>
          <cell r="D1172">
            <v>23.36</v>
          </cell>
        </row>
        <row r="1173">
          <cell r="A1173" t="str">
            <v>100639</v>
          </cell>
          <cell r="B1173" t="str">
            <v>USINA DE MISTURA ASFÁLTICA À QUENTE, TIPO CONTRA FLUXO, PROD 100 A 140 TON/HORA - MANUTENÇÃO. AF_12/2019</v>
          </cell>
          <cell r="C1173" t="str">
            <v>H</v>
          </cell>
          <cell r="D1173">
            <v>208.7</v>
          </cell>
        </row>
        <row r="1174">
          <cell r="A1174" t="str">
            <v>100640</v>
          </cell>
          <cell r="B1174" t="str">
            <v>USINA DE MISTURA ASFÁLTICA À QUENTE, TIPO CONTRA FLUXO, PROD 100 A 140 TON/HORA - MATERIAIS NA OPERAÇÃO. AF_12/2019</v>
          </cell>
          <cell r="C1174" t="str">
            <v>H</v>
          </cell>
          <cell r="D1174">
            <v>223.72</v>
          </cell>
        </row>
        <row r="1175">
          <cell r="A1175" t="str">
            <v>100643</v>
          </cell>
          <cell r="B1175" t="str">
            <v>USINA DE ASFALTO, TIPO GRAVIMÉTRICA, PROD 150 TON/HORA - DEPRECIAÇÃO. AF_12/2019</v>
          </cell>
          <cell r="C1175" t="str">
            <v>H</v>
          </cell>
          <cell r="D1175">
            <v>341.83</v>
          </cell>
        </row>
        <row r="1176">
          <cell r="A1176" t="str">
            <v>100644</v>
          </cell>
          <cell r="B1176" t="str">
            <v>USINA DE ASFALTO, TIPO GRAVIMÉTRICA, PROD 150 TON/HORA - JUROS. AF_12/2019</v>
          </cell>
          <cell r="C1176" t="str">
            <v>H</v>
          </cell>
          <cell r="D1176">
            <v>61.53</v>
          </cell>
        </row>
        <row r="1177">
          <cell r="A1177" t="str">
            <v>100645</v>
          </cell>
          <cell r="B1177" t="str">
            <v>USINA DE ASFALTO, TIPO GRAVIMÉTRICA, PROD 150 TON/HORA - MANUTENÇÃO. AF_12/2019</v>
          </cell>
          <cell r="C1177" t="str">
            <v>H</v>
          </cell>
          <cell r="D1177">
            <v>549.5</v>
          </cell>
        </row>
        <row r="1178">
          <cell r="A1178" t="str">
            <v>100646</v>
          </cell>
          <cell r="B1178" t="str">
            <v>USINA DE ASFALTO, TIPO GRAVIMÉTRICA, PROD 150 TON/HORA - MATERIAIS NA OPERAÇÃO. AF_12/2019</v>
          </cell>
          <cell r="C1178" t="str">
            <v>H</v>
          </cell>
          <cell r="D1178">
            <v>319.60000000000002</v>
          </cell>
        </row>
        <row r="1179">
          <cell r="A1179" t="str">
            <v>102270</v>
          </cell>
          <cell r="B1179" t="str">
            <v>MARTELO DEMOLIDOR ELÉTRICO, COM POTÊNCIA DE 2.000 W, 1.000 IMPACTOS POR MINUTO, PESO DE 30 KG - DEPRECIAÇÃO. AF_01/2021</v>
          </cell>
          <cell r="C1179" t="str">
            <v>H</v>
          </cell>
          <cell r="D1179">
            <v>0.59</v>
          </cell>
        </row>
        <row r="1180">
          <cell r="A1180" t="str">
            <v>102271</v>
          </cell>
          <cell r="B1180" t="str">
            <v>MARTELO DEMOLIDOR ELÉTRICO, COM POTÊNCIA DE 2.000 W, 1.000 IMPACTOS POR MINUTO, PESO DE 30 KG - JUROS. AF_01/2021</v>
          </cell>
          <cell r="C1180" t="str">
            <v>H</v>
          </cell>
          <cell r="D1180">
            <v>0.16</v>
          </cell>
        </row>
        <row r="1181">
          <cell r="A1181" t="str">
            <v>102272</v>
          </cell>
          <cell r="B1181" t="str">
            <v>MARTELO DEMOLIDOR ELÉTRICO, COM POTÊNCIA DE 2.000 W, 1.000 IMPACTOS POR MINUTO, PESO DE 30 KG - MANUTENÇÃO. AF_01/2021</v>
          </cell>
          <cell r="C1181" t="str">
            <v>H</v>
          </cell>
          <cell r="D1181">
            <v>0.39</v>
          </cell>
        </row>
        <row r="1182">
          <cell r="A1182" t="str">
            <v>102273</v>
          </cell>
          <cell r="B1182" t="str">
            <v>MARTELO DEMOLIDOR ELÉTRICO, COM POTÊNCIA DE 2.000 W, 1.000 IMPACTOS POR MINUTO, PESO DE 30 KG - MATERIAIS NA OPERAÇÃO. AF_01/2021</v>
          </cell>
          <cell r="C1182" t="str">
            <v>H</v>
          </cell>
          <cell r="D1182">
            <v>1.59</v>
          </cell>
        </row>
        <row r="1183">
          <cell r="A1183" t="str">
            <v>102809</v>
          </cell>
          <cell r="B1183" t="str">
            <v>CALDEIRA A GÁS COM TERMOSTATO, CAPACIDADE 100 LITROS - MATERIAIS NA OPERAÇÃO. AF_04/2019</v>
          </cell>
          <cell r="C1183" t="str">
            <v>H</v>
          </cell>
          <cell r="D1183">
            <v>16.059999999999999</v>
          </cell>
        </row>
        <row r="1184">
          <cell r="A1184" t="str">
            <v>102815</v>
          </cell>
          <cell r="B1184" t="str">
            <v>CENTRAL DE LAMA BENTONÍTICA (DEPÓSITO DE BENTONITA, MISTURADOR DE ALTA TURBULÊNCIA, SILOS DE ARMAZENAMENTO DE LAMA E ÁGUA, LABORATÓRIO DE CONTROLE DE QUALIDADE DA LAMA) - MATERIAIS NA OPERAÇÃO. AF_04/2019</v>
          </cell>
          <cell r="C1184" t="str">
            <v>H</v>
          </cell>
          <cell r="D1184">
            <v>3.19</v>
          </cell>
        </row>
        <row r="1185">
          <cell r="A1185" t="str">
            <v>102826</v>
          </cell>
          <cell r="B1185" t="str">
            <v>CONJUNTO MACACO E BOMBA HIDRÁULICA PARA PROTENSAO DE CORDOALHAS, ESFORÇO MAXIMO DE 115 TONELADAS - MATERIAIS NA OPERAÇÃO. AF_04/2019</v>
          </cell>
          <cell r="C1185" t="str">
            <v>H</v>
          </cell>
          <cell r="D1185">
            <v>15.98</v>
          </cell>
        </row>
        <row r="1186">
          <cell r="A1186" t="str">
            <v>102832</v>
          </cell>
          <cell r="B1186" t="str">
            <v>CONJUNTO CILINDRO E BOMBA HIDRÁULICA PARA PROTENSÃO DE MONOBARRAS PARA TIRANTES, ESFORÇO MÁXIMO DE 30 TONELADAS  - MATERIAIS NA OPERAÇÃO. AF_04/2019</v>
          </cell>
          <cell r="C1186" t="str">
            <v>H</v>
          </cell>
          <cell r="D1186">
            <v>7.99</v>
          </cell>
        </row>
        <row r="1187">
          <cell r="A1187" t="str">
            <v>102843</v>
          </cell>
          <cell r="B1187" t="str">
            <v>GUINDASTE HIDRAULICO AUTOPROPELIDO, COM LANÇA TRELIÇADA 40 M, CAPACIDADE MÁXIMA 75 T, EQUIPADO COM CLAMSHELL - MATERIAIS NA OPERAÇÃO. AF_04/2019</v>
          </cell>
          <cell r="C1187" t="str">
            <v>H</v>
          </cell>
          <cell r="D1187">
            <v>114.97</v>
          </cell>
        </row>
        <row r="1188">
          <cell r="A1188" t="str">
            <v>102849</v>
          </cell>
          <cell r="B1188" t="str">
            <v>GUINDASTE SOBRE ESTEIRAS, COM LANÇA TRELIÇADA 40 M, CAPACIDADE MÁXIMA 75 T - MATERIAIS NA OPERAÇÃO. AF_04/2019</v>
          </cell>
          <cell r="C1188" t="str">
            <v>H</v>
          </cell>
          <cell r="D1188">
            <v>56.21</v>
          </cell>
        </row>
        <row r="1189">
          <cell r="A1189" t="str">
            <v>102855</v>
          </cell>
          <cell r="B1189" t="str">
            <v>GUINDASTE SOBRE ESTEIRAS, COM LANÇA TRELIÇADA 40 M, CAPACIDADE MÁXIMA 75 T, EQUIPADO COM CLAMSHELL - MATERIAIS NA OPERAÇÃO. AF_04/2019</v>
          </cell>
          <cell r="C1189" t="str">
            <v>H</v>
          </cell>
          <cell r="D1189">
            <v>56.21</v>
          </cell>
        </row>
        <row r="1190">
          <cell r="A1190" t="str">
            <v>102861</v>
          </cell>
          <cell r="B1190" t="str">
            <v>MÁQUINA FORMER DOBRAS DIVERSAS: 220V/380V TRIFÁSICO OU MONOFÁSICO, CAPACIDADE 0,5-1,27MM, MOTOR 2CV - MATERIAIS NA OPERAÇÃO. AF_04/2019</v>
          </cell>
          <cell r="C1190" t="str">
            <v>H</v>
          </cell>
          <cell r="D1190">
            <v>1.17</v>
          </cell>
        </row>
        <row r="1191">
          <cell r="A1191" t="str">
            <v>102867</v>
          </cell>
          <cell r="B1191" t="str">
            <v>MÁQUINA SOLDA ARCO COM PISTOLA DE SOLDAGEM PARA STUD BOLT DE 5 MM A 22 MM - MATERIAIS NA OPERAÇÃO. AF_04/2019</v>
          </cell>
          <cell r="C1191" t="str">
            <v>H</v>
          </cell>
          <cell r="D1191">
            <v>0.63</v>
          </cell>
        </row>
        <row r="1192">
          <cell r="A1192" t="str">
            <v>102873</v>
          </cell>
          <cell r="B1192" t="str">
            <v>PERFURATRIZ HIDRÁULICA SOBRE ESTEIRA, TORQUE MÁXIMO 161 KNM, PROFUNDIDADE MÁXIMA 54 M, DIÂMETRO MÁXIMO 1500 MM, POTÊNCIA MOTOR 268 HP - MATERIAIS NA OPERAÇÃO. AF_04/2019</v>
          </cell>
          <cell r="C1192" t="str">
            <v>H</v>
          </cell>
          <cell r="D1192">
            <v>102.14</v>
          </cell>
        </row>
        <row r="1193">
          <cell r="A1193" t="str">
            <v>102879</v>
          </cell>
          <cell r="B1193" t="str">
            <v>PERFURATRIZ PARA EXECUÇÃO DE ESTACAS SECANTES, TIPO HÉLICE CONTÍNUA COM CABEÇOTE DUPLO E TUBO METÁLICO - MATERIAIS NA OPERAÇÃO. AF_04/2019</v>
          </cell>
          <cell r="C1193" t="str">
            <v>H</v>
          </cell>
          <cell r="D1193">
            <v>153.30000000000001</v>
          </cell>
        </row>
        <row r="1194">
          <cell r="A1194" t="str">
            <v>102885</v>
          </cell>
          <cell r="B1194" t="str">
            <v>PLATAFORMA ELEVATÓRIA - MATERIAIS NA OPERAÇÃO. AF_04/2019</v>
          </cell>
          <cell r="C1194" t="str">
            <v>H</v>
          </cell>
          <cell r="D1194">
            <v>1.19</v>
          </cell>
        </row>
        <row r="1195">
          <cell r="A1195" t="str">
            <v>102891</v>
          </cell>
          <cell r="B1195" t="str">
            <v>PÓRTICO ROLANTE MONOVIGA, PERFIL I, 4 PERNAS, CAPACIDADE 5 T  - MATERIAIS NA OPERAÇÃO. AF_04/2019</v>
          </cell>
          <cell r="C1195" t="str">
            <v>H</v>
          </cell>
          <cell r="D1195">
            <v>1.19</v>
          </cell>
        </row>
        <row r="1196">
          <cell r="A1196" t="str">
            <v>102897</v>
          </cell>
          <cell r="B1196" t="str">
            <v>ESCAVADEIRA HIDRÁULICA SOBRE ESTEIRA, PESO OPERACIONAL ENTRE 22,00 E 23,50 T, POTÊNCIA NOMINAL 139 HP, COM MARTELO ROMPEDOR HIDRÁULICO 1700 KG - MATERIAIS NA OPERAÇÃO. AF_04/2019</v>
          </cell>
          <cell r="C1196" t="str">
            <v>H</v>
          </cell>
          <cell r="D1196">
            <v>68.42</v>
          </cell>
        </row>
        <row r="1197">
          <cell r="A1197" t="str">
            <v>102903</v>
          </cell>
          <cell r="B1197" t="str">
            <v>TORRE, COMPOSTA POR GUINCHO MECÂNICO, GUINCHO MANUAL, CABOS DE AÇO, PITEIRA E SOQUETE  - MATERIAIS NA OPERAÇÃO. AF_04/2019</v>
          </cell>
          <cell r="C1197" t="str">
            <v>H</v>
          </cell>
          <cell r="D1197">
            <v>9.9600000000000009</v>
          </cell>
        </row>
        <row r="1198">
          <cell r="A1198" t="str">
            <v>102909</v>
          </cell>
          <cell r="B1198" t="str">
            <v>UNIDADE DOSADORA AIRLESS TIPO HOT SPRAY - MATERIAIS NA OPERAÇÃO. AF_04/2019</v>
          </cell>
          <cell r="C1198" t="str">
            <v>H</v>
          </cell>
          <cell r="D1198">
            <v>91.88</v>
          </cell>
        </row>
        <row r="1199">
          <cell r="A1199" t="str">
            <v>102915</v>
          </cell>
          <cell r="B1199" t="str">
            <v>ENCERADEIRA INDUSTRIAL, 400 MM, 220V, 1 HP - MATERIAIS NA OPERAÇÃO. AF_08/2019</v>
          </cell>
          <cell r="C1199" t="str">
            <v>H</v>
          </cell>
          <cell r="D1199">
            <v>0.59</v>
          </cell>
        </row>
        <row r="1200">
          <cell r="A1200" t="str">
            <v>102927</v>
          </cell>
          <cell r="B1200" t="str">
            <v>SERRA FITA HORIZONTAL, ELÉTRICA, COM CONTROLE HIDRÁULICO, PAINEL DE COMANDO EM 24 V, MOTOR ELÉTRICO 1,5 CV, DIMENSÕES DA FITA 3880 X 27 X 0,9 MM, TRIFÁSICA - MATERIAIS NA OPERAÇÃO. AF_08/2019</v>
          </cell>
          <cell r="C1200" t="str">
            <v>H</v>
          </cell>
          <cell r="D1200">
            <v>0.88</v>
          </cell>
        </row>
        <row r="1201">
          <cell r="A1201" t="str">
            <v>102933</v>
          </cell>
          <cell r="B1201" t="str">
            <v>FURADEIRA ELETROMAGNÉTICA, VELOCIDADE (SEM CARGA/ COM CARGA) 450/ 270 RPM, ESPESSURA MÁXIMA DA CHAPA A SER FURADA 50 MM, PORÇA DE ADESÃO MAGNÉTICA 17000 N, POTÊNCIA 1100 W, ALIMENTÇÃO 220 - 60 HZ, MONOFÁSICA - MATERIAIS NA OPERAÇÃO. AF_08/2019</v>
          </cell>
          <cell r="C1201" t="str">
            <v>H</v>
          </cell>
          <cell r="D1201">
            <v>0.87</v>
          </cell>
        </row>
        <row r="1202">
          <cell r="A1202" t="str">
            <v>102939</v>
          </cell>
          <cell r="B1202" t="str">
            <v>MÁQUINA METALEIRA UNIVERSAL MODELO IW 110/180 BTD - MATERIAIS NA OPERAÇÃO. AF_08/2019</v>
          </cell>
          <cell r="C1202" t="str">
            <v>H</v>
          </cell>
          <cell r="D1202">
            <v>8.7799999999999994</v>
          </cell>
        </row>
        <row r="1203">
          <cell r="A1203" t="str">
            <v>102945</v>
          </cell>
          <cell r="B1203" t="str">
            <v>TARTARUGA DE OXICORTE CG1, MONOFÁSICA, 220 V, FREQUÊNCIA 50 HZ, VELOCIDADE DE CORTE (MM/MIN) 50 A 750, DIÂMETRO MÍNIMO DO COMPASSO MM 200 - MATERIAIS NA OPERAÇÃO. AF_08/2019</v>
          </cell>
          <cell r="C1203" t="str">
            <v>H</v>
          </cell>
          <cell r="D1203">
            <v>0.01</v>
          </cell>
        </row>
        <row r="1204">
          <cell r="A1204" t="str">
            <v>102951</v>
          </cell>
          <cell r="B1204" t="str">
            <v>BETONEIRA CAPACIDADE NOMINAL DE 250 L, CAPACIDADE DE MISTURA DE 175 L, MOTOR ELÉTRICO MONOFÁSICO POTÊNCIA 1CV - MATERIAIS NA OPERAÇÃO. AF_08/2019</v>
          </cell>
          <cell r="C1204" t="str">
            <v>H</v>
          </cell>
          <cell r="D1204">
            <v>0.57999999999999996</v>
          </cell>
        </row>
        <row r="1205">
          <cell r="A1205" t="str">
            <v>102957</v>
          </cell>
          <cell r="B1205" t="str">
            <v>RETROESCAVADEIRA SOBRE RODAS COM CARREGADEIRA , PESO OPERACIONAL MÍN. 6,674, POTÊNCIA LÍQ 88 HP, COM MARTELO ROMPEDOR HIDRÁULICO ENTRE  275 A 362 KG - MATERIAIS NA OPERAÇÃO. AF_02/2021</v>
          </cell>
          <cell r="C1205" t="str">
            <v>H</v>
          </cell>
          <cell r="D1205">
            <v>43.58</v>
          </cell>
        </row>
        <row r="1206">
          <cell r="A1206" t="str">
            <v>102963</v>
          </cell>
          <cell r="B1206" t="str">
            <v>PERFURATRIZ HIDRÁULICA SOBRE ESTEIRA, TORQUE MÁXIMO 98 KNM, PROFUNDIDADE MÁXIMA 25 M, DIÂMETRO MÁXIMO 115 MM, POTÊNCIA MOTOR 190 HP - MATERIAIS NA OPERAÇÃO. AF_02/2021</v>
          </cell>
          <cell r="C1206" t="str">
            <v>H</v>
          </cell>
          <cell r="D1206">
            <v>72.400000000000006</v>
          </cell>
        </row>
        <row r="1207">
          <cell r="A1207" t="str">
            <v>102969</v>
          </cell>
          <cell r="B1207" t="str">
            <v>COMPRESSOR DE AR, VAZAO DE 10 PCM, RESERVATORIO 100 L, PRESSAO DE TRABALHO ENTRE 6,9 E 9,7 BAR, POTENCIA 2 HP, TENSAO 110/220 V - MATERIAIS NA OPERAÇÃO. AF_05/2017'</v>
          </cell>
          <cell r="C1207" t="str">
            <v>H</v>
          </cell>
          <cell r="D1207">
            <v>1.19</v>
          </cell>
        </row>
        <row r="1208">
          <cell r="A1208" t="str">
            <v>102985</v>
          </cell>
          <cell r="B1208" t="str">
            <v>MÁQUINA DEMARCADORA DE FAIXA DE TRÁFEGO À FRIO, TRAÇÃO MANUAL, 4 CV, PRESSÃO MAX 3300 PSI, TANQUE 20 L - MATERIAIS NA OPERAÇÃO. AF_06/2021</v>
          </cell>
          <cell r="C1208" t="str">
            <v>H</v>
          </cell>
          <cell r="D1208">
            <v>2.86</v>
          </cell>
        </row>
        <row r="1209">
          <cell r="A1209" t="str">
            <v>103156</v>
          </cell>
          <cell r="B1209" t="str">
            <v>MÁQUINA PARA SOLDA POR ELETROFUSÃO PARA TUBOS DE POLIETILENO DE ALTA DENSIDADE (PEAD) COM DIÂMETRO EXTERNO DE 20 A 800 MM, POTÊNCIA ENTRE 2750 E 3000 W - MATERIAIS NA OPERAÇÃO. AF_10/2021</v>
          </cell>
          <cell r="C1209" t="str">
            <v>H</v>
          </cell>
          <cell r="D1209">
            <v>2.23</v>
          </cell>
        </row>
        <row r="1210">
          <cell r="A1210" t="str">
            <v>103162</v>
          </cell>
          <cell r="B1210" t="str">
            <v>MÁQUINA PARA SOLDA POR ELETROFUSÃO PARA TUBOS DE POLIETILENO DE ALTA DENSIDADE (PEAD) COM DIÂMETRO EXTERNO DE 20 A 1600 MM, POTÊNCIA DE 3500 W - MATERIAIS NA OPERAÇÃO. AF_10/2021</v>
          </cell>
          <cell r="C1210" t="str">
            <v>H</v>
          </cell>
          <cell r="D1210">
            <v>2.79</v>
          </cell>
        </row>
        <row r="1211">
          <cell r="A1211" t="str">
            <v>103168</v>
          </cell>
          <cell r="B1211" t="str">
            <v>MÁQUINA PARA SOLDA POR TERMOFUSÃO PARA TUBOS DE POLIETILENO DE ALTA DENSIDADE (PEAD) COM DIÂMETRO EXTERNO DE 90 A 315 MM, POTÊNCIA ENTRE 2500 E 5350 W - MATERIAIS NA OPERAÇÃO. AF_10/2021</v>
          </cell>
          <cell r="C1211" t="str">
            <v>H</v>
          </cell>
          <cell r="D1211">
            <v>3.19</v>
          </cell>
        </row>
        <row r="1212">
          <cell r="A1212" t="str">
            <v>103174</v>
          </cell>
          <cell r="B1212" t="str">
            <v>MÁQUINA PARA SOLDA POR TERMOFUSÃO PARA TUBOS DE POLIETILENO DE ALTA DENSIDADE (PEAD) COM DIÂMETRO EXTERNO DE 315 A 630 MM, POTÊNCIA ENTRE 8000 E 12350 W - MATERIAIS NA OPERAÇÃO. AF_10/2021</v>
          </cell>
          <cell r="C1212" t="str">
            <v>H</v>
          </cell>
          <cell r="D1212">
            <v>7.99</v>
          </cell>
        </row>
        <row r="1213">
          <cell r="A1213" t="str">
            <v>103180</v>
          </cell>
          <cell r="B1213" t="str">
            <v>MÁQUINA PARA SOLDA POR TERMOFUSÃO PARA TUBOS DE POLIETILENO DE ALTA DENSIDADE (PEAD) COM DIÂMETRO EXTERNO DE 710 A 1200 MM, POTÊNCIA ENTRE 16000 E 29500 W - MATERIAIS NA OPERAÇÃO. AF_10/2021</v>
          </cell>
          <cell r="C1213" t="str">
            <v>H</v>
          </cell>
          <cell r="D1213">
            <v>18.37</v>
          </cell>
        </row>
        <row r="1214">
          <cell r="A1214" t="str">
            <v>103223</v>
          </cell>
          <cell r="B1214" t="str">
            <v>PERFURATRIZ PARA FURO DIRECIONAL HORIZONTAL (HDD) COM CAPACIDADE ATÉ 89 KN, POTÊNCIA 24,8 HP A 80 HP (INCLUSO FERRAMENTAS E LOCALIZADOR) - MATERIAIS NA OPERAÇÃO. AF_11/2021</v>
          </cell>
          <cell r="C1214" t="str">
            <v>H</v>
          </cell>
          <cell r="D1214">
            <v>29.96</v>
          </cell>
        </row>
        <row r="1215">
          <cell r="A1215" t="str">
            <v>103229</v>
          </cell>
          <cell r="B1215" t="str">
            <v>PERFURATRIZ PARA FURO DIRECIONAL HORIZONTAL (HDD) COM CAPACIDADE DE 90 KN A 200 KN, POTÊNCIA 100 HP A 160 HP (INCLUSO FERRAMENTAS E LOCALIZADOR) - MATERIAIS NA OPERAÇÃO. AF_11/2021</v>
          </cell>
          <cell r="C1215" t="str">
            <v>H</v>
          </cell>
          <cell r="D1215">
            <v>74.33</v>
          </cell>
        </row>
        <row r="1216">
          <cell r="A1216" t="str">
            <v>103235</v>
          </cell>
          <cell r="B1216" t="str">
            <v>PERFURATRIZ PARA FURO DIRECIONAL HORIZONTAL (HDD) COM CAPACIDADE DE 201 KN A 560 KN, POTÊNCIA 200 HP A 260 HP (INCLUSO FERRAMENTAS E LOCALIZADOR) - MATERIAIS NA OPERAÇÃO. AF_11/2021</v>
          </cell>
          <cell r="C1216" t="str">
            <v>H</v>
          </cell>
          <cell r="D1216">
            <v>131.52000000000001</v>
          </cell>
        </row>
        <row r="1217">
          <cell r="A1217" t="str">
            <v>103241</v>
          </cell>
          <cell r="B1217" t="str">
            <v>MISTURADOR PARA PREPARO DE LAMA ESTABILIZANTE COM CAPACIDADE DE *4000* L, COM BOMBA CENTRÍFUGA 5,5 HP A 23,07 HP, PARA SISTEMA DE FURO DIRECIONAL - MATERIAIS NA OPERAÇÃO. AF_11/2021</v>
          </cell>
          <cell r="C1217" t="str">
            <v>UN</v>
          </cell>
          <cell r="D1217">
            <v>8.51</v>
          </cell>
        </row>
        <row r="1218">
          <cell r="A1218" t="str">
            <v>92259</v>
          </cell>
          <cell r="B1218" t="str">
            <v>INSTALAÇÃO DE TESOURA (INTEIRA OU MEIA), BIAPOIADA, EM MADEIRA NÃO APARELHADA, PARA VÃOS MAIORES OU IGUAIS A 3,0 M E MENORES QUE 6,0 M, INCLUSO IÇAMENTO. AF_07/2019</v>
          </cell>
          <cell r="C1218" t="str">
            <v>UN</v>
          </cell>
          <cell r="D1218">
            <v>486.55</v>
          </cell>
        </row>
        <row r="1219">
          <cell r="A1219" t="str">
            <v>92260</v>
          </cell>
          <cell r="B1219" t="str">
            <v>INSTALAÇÃO DE TESOURA (INTEIRA OU MEIA), BIAPOIADA, EM MADEIRA NÃO APARELHADA, PARA VÃOS MAIORES OU IGUAIS A 6,0 M E MENORES QUE 8,0 M, INCLUSO IÇAMENTO. AF_07/2019</v>
          </cell>
          <cell r="C1219" t="str">
            <v>UN</v>
          </cell>
          <cell r="D1219">
            <v>546.64</v>
          </cell>
        </row>
        <row r="1220">
          <cell r="A1220" t="str">
            <v>92261</v>
          </cell>
          <cell r="B1220" t="str">
            <v>INSTALAÇÃO DE TESOURA (INTEIRA OU MEIA), BIAPOIADA, EM MADEIRA NÃO APARELHADA, PARA VÃOS MAIORES OU IGUAIS A 8,0 M E MENORES QUE 10,0 M, INCLUSO IÇAMENTO. AF_07/2019</v>
          </cell>
          <cell r="C1220" t="str">
            <v>UN</v>
          </cell>
          <cell r="D1220">
            <v>604.89</v>
          </cell>
        </row>
        <row r="1221">
          <cell r="A1221" t="str">
            <v>92262</v>
          </cell>
          <cell r="B1221" t="str">
            <v>INSTALAÇÃO DE TESOURA (INTEIRA OU MEIA), BIAPOIADA, EM MADEIRA NÃO APARELHADA, PARA VÃOS MAIORES OU IGUAIS A 10,0 M E MENORES QUE 12,0 M, INCLUSO IÇAMENTO. AF_07/2019</v>
          </cell>
          <cell r="C1221" t="str">
            <v>M2</v>
          </cell>
          <cell r="D1221">
            <v>698.69</v>
          </cell>
        </row>
        <row r="1222">
          <cell r="A1222" t="str">
            <v>92539</v>
          </cell>
          <cell r="B1222" t="str">
            <v>TRAMA DE MADEIRA COMPOSTA POR RIPAS, CAIBROS E TERÇAS PARA TELHADOS DE ATÉ 2 ÁGUAS PARA TELHA DE ENCAIXE DE CERÂMICA OU DE CONCRETO, INCLUSO TRANSPORTE VERTICAL. AF_07/2019</v>
          </cell>
          <cell r="C1222" t="str">
            <v>M2</v>
          </cell>
          <cell r="D1222">
            <v>78.81</v>
          </cell>
        </row>
        <row r="1223">
          <cell r="A1223" t="str">
            <v>92540</v>
          </cell>
          <cell r="B1223" t="str">
            <v>TRAMA DE MADEIRA COMPOSTA POR RIPAS, CAIBROS E TERÇAS PARA TELHADOS DE MAIS QUE 2 ÁGUAS PARA TELHA DE ENCAIXE DE CERÂMICA OU DE CONCRETO, INCLUSO TRANSPORTE VERTICAL. AF_07/2019</v>
          </cell>
          <cell r="C1223" t="str">
            <v>M2</v>
          </cell>
          <cell r="D1223">
            <v>87.83</v>
          </cell>
        </row>
        <row r="1224">
          <cell r="A1224" t="str">
            <v>92541</v>
          </cell>
          <cell r="B1224" t="str">
            <v>TRAMA DE MADEIRA COMPOSTA POR RIPAS, CAIBROS E TERÇAS PARA TELHADOS DE ATÉ 2 ÁGUAS PARA TELHA CERÂMICA CAPA-CANAL, INCLUSO TRANSPORTE VERTICAL. AF_07/2019</v>
          </cell>
          <cell r="C1224" t="str">
            <v>M2</v>
          </cell>
          <cell r="D1224">
            <v>84.92</v>
          </cell>
        </row>
        <row r="1225">
          <cell r="A1225" t="str">
            <v>92542</v>
          </cell>
          <cell r="B1225" t="str">
            <v>TRAMA DE MADEIRA COMPOSTA POR RIPAS, CAIBROS E TERÇAS PARA TELHADOS DE MAIS QUE 2 ÁGUAS PARA TELHA CERÂMICA CAPA-CANAL, INCLUSO TRANSPORTE VERTICAL. AF_07/2019</v>
          </cell>
          <cell r="C1225" t="str">
            <v>M2</v>
          </cell>
          <cell r="D1225">
            <v>102.45</v>
          </cell>
        </row>
        <row r="1226">
          <cell r="A1226" t="str">
            <v>92543</v>
          </cell>
          <cell r="B1226" t="str">
            <v>TRAMA DE MADEIRA COMPOSTA POR TERÇAS PARA TELHADOS DE ATÉ 2 ÁGUAS PARA TELHA ONDULADA DE FIBROCIMENTO, METÁLICA, PLÁSTICA OU TERMOACÚSTICA, INCLUSO TRANSPORTE VERTICAL. AF_07/2019</v>
          </cell>
          <cell r="C1226" t="str">
            <v>M2</v>
          </cell>
          <cell r="D1226">
            <v>23.66</v>
          </cell>
        </row>
        <row r="1227">
          <cell r="A1227" t="str">
            <v>92544</v>
          </cell>
          <cell r="B1227" t="str">
            <v>TRAMA DE MADEIRA COMPOSTA POR TERÇAS PARA TELHADOS DE ATÉ 2 ÁGUAS PARA TELHA ESTRUTURAL DE FIBROCIMENTO, INCLUSO TRANSPORTE VERTICAL. AF_07/2019</v>
          </cell>
          <cell r="C1227" t="str">
            <v>UN</v>
          </cell>
          <cell r="D1227">
            <v>18.8</v>
          </cell>
        </row>
        <row r="1228">
          <cell r="A1228" t="str">
            <v>92545</v>
          </cell>
          <cell r="B1228" t="str">
            <v>FABRICAÇÃO E INSTALAÇÃO DE TESOURA INTEIRA EM MADEIRA NÃO APARELHADA, VÃO DE 3 M, PARA TELHA CERÂMICA OU DE CONCRETO, INCLUSO IÇAMENTO. AF_07/2019</v>
          </cell>
          <cell r="C1228" t="str">
            <v>UN</v>
          </cell>
          <cell r="D1228">
            <v>1049.18</v>
          </cell>
        </row>
        <row r="1229">
          <cell r="A1229" t="str">
            <v>92546</v>
          </cell>
          <cell r="B1229" t="str">
            <v>FABRICAÇÃO E INSTALAÇÃO DE TESOURA INTEIRA EM MADEIRA NÃO APARELHADA, VÃO DE 4 M, PARA TELHA CERÂMICA OU DE CONCRETO, INCLUSO IÇAMENTO. AF_07/2019</v>
          </cell>
          <cell r="C1229" t="str">
            <v>UN</v>
          </cell>
          <cell r="D1229">
            <v>1281.03</v>
          </cell>
        </row>
        <row r="1230">
          <cell r="A1230" t="str">
            <v>92547</v>
          </cell>
          <cell r="B1230" t="str">
            <v>FABRICAÇÃO E INSTALAÇÃO DE TESOURA INTEIRA EM MADEIRA NÃO APARELHADA, VÃO DE 5 M, PARA TELHA CERÂMICA OU DE CONCRETO, INCLUSO IÇAMENTO. AF_07/2019</v>
          </cell>
          <cell r="C1230" t="str">
            <v>UN</v>
          </cell>
          <cell r="D1230">
            <v>1356.96</v>
          </cell>
        </row>
        <row r="1231">
          <cell r="A1231" t="str">
            <v>92548</v>
          </cell>
          <cell r="B1231" t="str">
            <v>FABRICAÇÃO E INSTALAÇÃO DE TESOURA INTEIRA EM MADEIRA NÃO APARELHADA, VÃO DE 6 M, PARA TELHA CERÂMICA OU DE CONCRETO, INCLUSO IÇAMENTO. AF_07/2019</v>
          </cell>
          <cell r="C1231" t="str">
            <v>UN</v>
          </cell>
          <cell r="D1231">
            <v>1507.35</v>
          </cell>
        </row>
        <row r="1232">
          <cell r="A1232" t="str">
            <v>92549</v>
          </cell>
          <cell r="B1232" t="str">
            <v>FABRICAÇÃO E INSTALAÇÃO DE TESOURA INTEIRA EM MADEIRA NÃO APARELHADA, VÃO DE 7 M, PARA TELHA CERÂMICA OU DE CONCRETO, INCLUSO IÇAMENTO. AF_07/2019</v>
          </cell>
          <cell r="C1232" t="str">
            <v>UN</v>
          </cell>
          <cell r="D1232">
            <v>1869.84</v>
          </cell>
        </row>
        <row r="1233">
          <cell r="A1233" t="str">
            <v>92550</v>
          </cell>
          <cell r="B1233" t="str">
            <v>FABRICAÇÃO E INSTALAÇÃO DE TESOURA INTEIRA EM MADEIRA NÃO APARELHADA, VÃO DE 8 M, PARA TELHA CERÂMICA OU DE CONCRETO, INCLUSO IÇAMENTO. AF_07/2019</v>
          </cell>
          <cell r="C1233" t="str">
            <v>UN</v>
          </cell>
          <cell r="D1233">
            <v>2323.38</v>
          </cell>
        </row>
        <row r="1234">
          <cell r="A1234" t="str">
            <v>92551</v>
          </cell>
          <cell r="B1234" t="str">
            <v>FABRICAÇÃO E INSTALAÇÃO DE TESOURA INTEIRA EM MADEIRA NÃO APARELHADA, VÃO DE 9 M, PARA TELHA CERÂMICA OU DE CONCRETO, INCLUSO IÇAMENTO. AF_07/2019</v>
          </cell>
          <cell r="C1234" t="str">
            <v>UN</v>
          </cell>
          <cell r="D1234">
            <v>2420.5500000000002</v>
          </cell>
        </row>
        <row r="1235">
          <cell r="A1235" t="str">
            <v>92552</v>
          </cell>
          <cell r="B1235" t="str">
            <v>FABRICAÇÃO E INSTALAÇÃO DE TESOURA INTEIRA EM MADEIRA NÃO APARELHADA, VÃO DE 10 M, PARA TELHA CERÂMICA OU DE CONCRETO, INCLUSO IÇAMENTO. AF_07/2019</v>
          </cell>
          <cell r="C1235" t="str">
            <v>UN</v>
          </cell>
          <cell r="D1235">
            <v>2625.91</v>
          </cell>
        </row>
        <row r="1236">
          <cell r="A1236" t="str">
            <v>92553</v>
          </cell>
          <cell r="B1236" t="str">
            <v>FABRICAÇÃO E INSTALAÇÃO DE TESOURA INTEIRA EM MADEIRA NÃO APARELHADA, VÃO DE 11 M, PARA TELHA CERÂMICA OU DE CONCRETO, INCLUSO IÇAMENTO. AF_07/2019</v>
          </cell>
          <cell r="C1236" t="str">
            <v>UN</v>
          </cell>
          <cell r="D1236">
            <v>3000.74</v>
          </cell>
        </row>
        <row r="1237">
          <cell r="A1237" t="str">
            <v>92554</v>
          </cell>
          <cell r="B1237" t="str">
            <v>FABRICAÇÃO E INSTALAÇÃO DE TESOURA INTEIRA EM MADEIRA NÃO APARELHADA, VÃO DE 12 M, PARA TELHA CERÂMICA OU DE CONCRETO, INCLUSO IÇAMENTO. AF_07/2019</v>
          </cell>
          <cell r="C1237" t="str">
            <v>UN</v>
          </cell>
          <cell r="D1237">
            <v>3112</v>
          </cell>
        </row>
        <row r="1238">
          <cell r="A1238" t="str">
            <v>92555</v>
          </cell>
          <cell r="B1238" t="str">
            <v>FABRICAÇÃO E INSTALAÇÃO DE TESOURA INTEIRA EM MADEIRA NÃO APARELHADA, VÃO DE 3 M, PARA TELHA ONDULADA DE FIBROCIMENTO, METÁLICA, PLÁSTICA OU TERMOACÚSTICA, INCLUSO IÇAMENTO. AF_07/2019</v>
          </cell>
          <cell r="C1238" t="str">
            <v>UN</v>
          </cell>
          <cell r="D1238">
            <v>1034.8</v>
          </cell>
        </row>
        <row r="1239">
          <cell r="A1239" t="str">
            <v>92556</v>
          </cell>
          <cell r="B1239" t="str">
            <v>FABRICAÇÃO E INSTALAÇÃO DE TESOURA INTEIRA EM MADEIRA NÃO APARELHADA, VÃO DE 4 M, PARA TELHA ONDULADA DE FIBROCIMENTO, METÁLICA, PLÁSTICA OU TERMOACÚSTICA, INCLUSO IÇAMENTO. AF_07/2019</v>
          </cell>
          <cell r="C1239" t="str">
            <v>UN</v>
          </cell>
          <cell r="D1239">
            <v>1255.83</v>
          </cell>
        </row>
        <row r="1240">
          <cell r="A1240" t="str">
            <v>92557</v>
          </cell>
          <cell r="B1240" t="str">
            <v>FABRICAÇÃO E INSTALAÇÃO DE TESOURA INTEIRA EM MADEIRA NÃO APARELHADA, VÃO DE 5 M, PARA TELHA ONDULADA DE FIBROCIMENTO, METÁLICA, PLÁSTICA OU TERMOACÚSTICA, INCLUSO IÇAMENTO. AF_07/2019</v>
          </cell>
          <cell r="C1240" t="str">
            <v>UN</v>
          </cell>
          <cell r="D1240">
            <v>1331.76</v>
          </cell>
        </row>
        <row r="1241">
          <cell r="A1241" t="str">
            <v>92558</v>
          </cell>
          <cell r="B1241" t="str">
            <v>FABRICAÇÃO E INSTALAÇÃO DE TESOURA INTEIRA EM MADEIRA NÃO APARELHADA, VÃO DE 6 M, PARA TELHA ONDULADA DE FIBROCIMENTO, METÁLICA, PLÁSTICA OU TERMOACÚSTICA, INCLUSO IÇAMENTO. AF_07/2019</v>
          </cell>
          <cell r="C1241" t="str">
            <v>UN</v>
          </cell>
          <cell r="D1241">
            <v>1492.97</v>
          </cell>
        </row>
        <row r="1242">
          <cell r="A1242" t="str">
            <v>92559</v>
          </cell>
          <cell r="B1242" t="str">
            <v>FABRICAÇÃO E INSTALAÇÃO DE TESOURA INTEIRA EM MADEIRA NÃO APARELHADA, VÃO DE 7 M, PARA TELHA ONDULADA DE FIBROCIMENTO, METÁLICA, PLÁSTICA OU TERMOACÚSTICA, INCLUSO IÇAMENTO. AF_07/2019</v>
          </cell>
          <cell r="C1242" t="str">
            <v>UN</v>
          </cell>
          <cell r="D1242">
            <v>1843.06</v>
          </cell>
        </row>
        <row r="1243">
          <cell r="A1243" t="str">
            <v>92560</v>
          </cell>
          <cell r="B1243" t="str">
            <v>FABRICAÇÃO E INSTALAÇÃO DE TESOURA INTEIRA EM MADEIRA NÃO APARELHADA, VÃO DE 8 M, PARA TELHA ONDULADA DE FIBROCIMENTO, METÁLICA, PLÁSTICA OU TERMOACÚSTICA, INCLUSO IÇAMENTO. AF_07/2019</v>
          </cell>
          <cell r="C1243" t="str">
            <v>UN</v>
          </cell>
          <cell r="D1243">
            <v>2286.91</v>
          </cell>
        </row>
        <row r="1244">
          <cell r="A1244" t="str">
            <v>92561</v>
          </cell>
          <cell r="B1244" t="str">
            <v>FABRICAÇÃO E INSTALAÇÃO DE TESOURA INTEIRA EM MADEIRA NÃO APARELHADA, VÃO DE 9 M, PARA TELHA ONDULADA DE FIBROCIMENTO, METÁLICA, PLÁSTICA OU TERMOACÚSTICA, INCLUSO IÇAMENTO. AF_07/2019</v>
          </cell>
          <cell r="C1244" t="str">
            <v>UN</v>
          </cell>
          <cell r="D1244">
            <v>2385.0700000000002</v>
          </cell>
        </row>
        <row r="1245">
          <cell r="A1245" t="str">
            <v>92562</v>
          </cell>
          <cell r="B1245" t="str">
            <v>FABRICAÇÃO E INSTALAÇÃO DE TESOURA INTEIRA EM MADEIRA NÃO APARELHADA, VÃO DE 10 M, PARA TELHA ONDULADA DE FIBROCIMENTO, METÁLICA, PLÁSTICA OU TERMOACÚSTICA, INCLUSO IÇAMENTO. AF_07/2019</v>
          </cell>
          <cell r="C1245" t="str">
            <v>UN</v>
          </cell>
          <cell r="D1245">
            <v>2565.23</v>
          </cell>
        </row>
        <row r="1246">
          <cell r="A1246" t="str">
            <v>92563</v>
          </cell>
          <cell r="B1246" t="str">
            <v>FABRICAÇÃO E INSTALAÇÃO DE TESOURA INTEIRA EM MADEIRA NÃO APARELHADA, VÃO DE 11 M, PARA TELHA ONDULADA DE FIBROCIMENTO, METÁLICA, PLÁSTICA OU TERMOACÚSTICA, INCLUSO IÇAMENTO. AF_07/2019</v>
          </cell>
          <cell r="C1246" t="str">
            <v>UN</v>
          </cell>
          <cell r="D1246">
            <v>2929.78</v>
          </cell>
        </row>
        <row r="1247">
          <cell r="A1247" t="str">
            <v>92564</v>
          </cell>
          <cell r="B1247" t="str">
            <v>FABRICAÇÃO E INSTALAÇÃO DE TESOURA INTEIRA EM MADEIRA NÃO APARELHADA, VÃO DE 12 M, PARA TELHA ONDULADA DE FIBROCIMENTO, METÁLICA, PLÁSTICA OU TERMOACÚSTICA, INCLUSO IÇAMENTO. AF_07/2019</v>
          </cell>
          <cell r="C1247" t="str">
            <v>M2</v>
          </cell>
          <cell r="D1247">
            <v>3025.08</v>
          </cell>
        </row>
        <row r="1248">
          <cell r="A1248" t="str">
            <v>92565</v>
          </cell>
          <cell r="B1248" t="str">
            <v>FABRICAÇÃO E INSTALAÇÃO DE ESTRUTURA PONTALETADA DE MADEIRA NÃO APARELHADA PARA TELHADOS COM ATÉ 2 ÁGUAS E PARA TELHA CERÂMICA OU DE CONCRETO, INCLUSO TRANSPORTE VERTICAL. AF_12/2015</v>
          </cell>
          <cell r="C1248" t="str">
            <v>M2</v>
          </cell>
          <cell r="D1248">
            <v>39.94</v>
          </cell>
        </row>
        <row r="1249">
          <cell r="A1249" t="str">
            <v>92566</v>
          </cell>
          <cell r="B1249" t="str">
            <v>FABRICAÇÃO E INSTALAÇÃO DE ESTRUTURA PONTALETADA DE MADEIRA NÃO APARELHADA PARA TELHADOS COM ATÉ 2 ÁGUAS E PARA TELHA ONDULADA DE FIBROCIMENTO, METÁLICA, PLÁSTICA OU TERMOACÚSTICA, INCLUSO TRANSPORTE VERTICAL. AF_12/2015</v>
          </cell>
          <cell r="C1249" t="str">
            <v>M2</v>
          </cell>
          <cell r="D1249">
            <v>24.74</v>
          </cell>
        </row>
        <row r="1250">
          <cell r="A1250" t="str">
            <v>92567</v>
          </cell>
          <cell r="B1250" t="str">
            <v>FABRICAÇÃO E INSTALAÇÃO DE ESTRUTURA PONTALETADA DE MADEIRA NÃO APARELHADA PARA TELHADOS COM MAIS QUE 2 ÁGUAS E PARA TELHA CERÂMICA OU DE CONCRETO, INCLUSO TRANSPORTE VERTICAL. AF_12/2015</v>
          </cell>
          <cell r="C1250" t="str">
            <v>M2</v>
          </cell>
          <cell r="D1250">
            <v>36.19</v>
          </cell>
        </row>
        <row r="1251">
          <cell r="A1251" t="str">
            <v>100379</v>
          </cell>
          <cell r="B1251" t="str">
            <v>FABRICAÇÃO E INSTALAÇÃO DE PONTALETES DE MADEIRA NÃO APARELHADA PARA TELHADOS COM ATÉ 2 ÁGUAS E COM TELHA CERÂMICA OU DE CONCRETO EM EDIFÍCIO RESIDENCIAL TÉRREO, INCLUSO TRANSPORTE VERTICAL. AF_07/2019</v>
          </cell>
          <cell r="C1251" t="str">
            <v>M2</v>
          </cell>
          <cell r="D1251">
            <v>39.94</v>
          </cell>
        </row>
        <row r="1252">
          <cell r="A1252" t="str">
            <v>100380</v>
          </cell>
          <cell r="B1252" t="str">
            <v>FABRICAÇÃO E INSTALAÇÃO DE PONTALETES DE MADEIRA NÃO APARELHADA PARA TELHADOS COM ATÉ 2 ÁGUAS E COM TELHA CERÂMICA OU DE CONCRETO EM EDIFÍCIO RESIDENCIAL DE MÚLTIPLOS PAVIMENTOS, INCLUSO TRANSPORTE VERTICAL. AF_07/2019</v>
          </cell>
          <cell r="C1252" t="str">
            <v>M2</v>
          </cell>
          <cell r="D1252">
            <v>51.99</v>
          </cell>
        </row>
        <row r="1253">
          <cell r="A1253" t="str">
            <v>100381</v>
          </cell>
          <cell r="B1253" t="str">
            <v>FABRICAÇÃO E INSTALAÇÃO DE PONTALETES DE MADEIRA NÃO APARELHADA PARA TELHADOS COM ATÉ 2 ÁGUAS E COM TELHA CERÂMICA OU DE CONCRETO EM EDIFÍCIO INSTITUCIONAL TÉRREO, INCLUSO TRANSPORTE VERTICAL. AF_07/2019</v>
          </cell>
          <cell r="C1253" t="str">
            <v>M2</v>
          </cell>
          <cell r="D1253">
            <v>57.67</v>
          </cell>
        </row>
        <row r="1254">
          <cell r="A1254" t="str">
            <v>100383</v>
          </cell>
          <cell r="B1254" t="str">
            <v>FABRICAÇÃO E INSTALAÇÃO DE PONTALETES DE MADEIRA NÃO APARELHADA PARA TELHADOS COM ATÉ 2 ÁGUAS E COM TELHA ONDULADA DE FIBROCIMENTO, ALUMÍNIO OU PLÁSTICA EM EDIFÍCIO RESIDENCIAL DE MÚLTIPLOS PAVIMENTOS, INCLUSO TRANSPORTE VERTICAL. AF_07/2019</v>
          </cell>
          <cell r="C1254" t="str">
            <v>M2</v>
          </cell>
          <cell r="D1254">
            <v>26.82</v>
          </cell>
        </row>
        <row r="1255">
          <cell r="A1255" t="str">
            <v>100384</v>
          </cell>
          <cell r="B1255" t="str">
            <v>FABRICAÇÃO E INSTALAÇÃO DE PONTALETES DE MADEIRA NÃO APARELHADA PARA TELHADOS COM ATÉ 2 ÁGUAS E COM TELHA ONDULADA DE FIBROCIMENTO, ALUMÍNIO OU PLÁSTICA EM EDIFÍCIO INSTITUCIONAL TÉRREO, INCLUSO TRANSPORTE VERTICAL. AF_07/2019</v>
          </cell>
          <cell r="C1255" t="str">
            <v>M2</v>
          </cell>
          <cell r="D1255">
            <v>27.92</v>
          </cell>
        </row>
        <row r="1256">
          <cell r="A1256" t="str">
            <v>100385</v>
          </cell>
          <cell r="B1256" t="str">
            <v>FABRICAÇÃO E INSTALAÇÃO DE PONTALETES DE MADEIRA NÃO APARELHADA PARA TELHADOS COM MAIS QUE 2 ÁGUAS E COM TELHA CERÂMICA OU DE CONCRETO EM EDIFÍCIO RESIDENCIAL TÉRREO, INCLUSO TRANSPORTE VERTICAL. AF_07/2019</v>
          </cell>
          <cell r="C1256" t="str">
            <v>M2</v>
          </cell>
          <cell r="D1256">
            <v>36.19</v>
          </cell>
        </row>
        <row r="1257">
          <cell r="A1257" t="str">
            <v>100386</v>
          </cell>
          <cell r="B1257" t="str">
            <v>FABRICAÇÃO E INSTALAÇÃO DE PONTALETES DE MADEIRA NÃO APARELHADA PARA TELHADOS COM MAIS QUE 2 ÁGUAS E COM TELHA CERÂMICA OU DE CONCRETO EM EDIFÍCIO RESIDENCIAL DE MÚLTIPLOS PAVIMENTOS. AF_07/2019</v>
          </cell>
          <cell r="C1257" t="str">
            <v>M2</v>
          </cell>
          <cell r="D1257">
            <v>45.86</v>
          </cell>
        </row>
        <row r="1258">
          <cell r="A1258" t="str">
            <v>100387</v>
          </cell>
          <cell r="B1258" t="str">
            <v>FABRICAÇÃO E INSTALAÇÃO DE PONTALETES DE MADEIRA NÃO APARELHADA PARA TELHADOS COM MAIS QUE 2 ÁGUAS E COM TELHA CERÂMICA OU DE CONCRETO EM EDIFÍCIO INSTITUCIONAL TÉRREO, INCLUSO TRANSPORTE VERTICAL. AF_07/2019</v>
          </cell>
          <cell r="C1258" t="str">
            <v>M2</v>
          </cell>
          <cell r="D1258">
            <v>55.36</v>
          </cell>
        </row>
        <row r="1259">
          <cell r="A1259" t="str">
            <v>100388</v>
          </cell>
          <cell r="B1259" t="str">
            <v>RETIRADA E RECOLOCAÇÃO DE RIPA EM TELHADOS DE ATÉ 2 ÁGUAS COM TELHA CERÂMICA OU DE CONCRETO DE ENCAIXE, INCLUSO TRANSPORTE VERTICAL. AF_07/2019</v>
          </cell>
          <cell r="C1259" t="str">
            <v>M2</v>
          </cell>
          <cell r="D1259">
            <v>19.440000000000001</v>
          </cell>
        </row>
        <row r="1260">
          <cell r="A1260" t="str">
            <v>100389</v>
          </cell>
          <cell r="B1260" t="str">
            <v>RETIRADA E RECOLOCAÇÃO DE CAIBRO EM TELHADOS DE ATÉ 2 ÁGUAS COM TELHA CERÂMICA OU DE CONCRETO DE ENCAIXE, INCLUSO TRANSPORTE VERTICAL. AF_07/2019</v>
          </cell>
          <cell r="C1260" t="str">
            <v>M2</v>
          </cell>
          <cell r="D1260">
            <v>17.309999999999999</v>
          </cell>
        </row>
        <row r="1261">
          <cell r="A1261" t="str">
            <v>100390</v>
          </cell>
          <cell r="B1261" t="str">
            <v>RETIRADA E RECOLOCAÇÃO DE RIPA EM TELHADOS DE MAIS DE 2 ÁGUAS COM TELHA CERÂMICA OU DE CONCRETO DE ENCAIXE, INCLUSO TRANSPORTE VERTICAL. AF_07/2019</v>
          </cell>
          <cell r="C1261" t="str">
            <v>M2</v>
          </cell>
          <cell r="D1261">
            <v>22.99</v>
          </cell>
        </row>
        <row r="1262">
          <cell r="A1262" t="str">
            <v>100391</v>
          </cell>
          <cell r="B1262" t="str">
            <v>RETIRADA E RECOLOCAÇÃO DE CAIBRO EM TELHADOS DE MAIS DE 2 ÁGUAS COM TELHA CERÂMICA OU DE CONCRETO DE ENCAIXE, INCLUSO TRANSPORTE VERTICAL. AF_07/2019</v>
          </cell>
          <cell r="C1262" t="str">
            <v>M2</v>
          </cell>
          <cell r="D1262">
            <v>19.63</v>
          </cell>
        </row>
        <row r="1263">
          <cell r="A1263" t="str">
            <v>100392</v>
          </cell>
          <cell r="B1263" t="str">
            <v>RETIRADA E RECOLOCAÇÃO DE RIPA EM TELHADOS DE ATÉ 2 ÁGUAS COM TELHA CERÂMICA CAPA-CANAL, INCLUSO TRANSPORTE VERTICAL. AF_07/2019</v>
          </cell>
          <cell r="C1263" t="str">
            <v>M2</v>
          </cell>
          <cell r="D1263">
            <v>15.38</v>
          </cell>
        </row>
        <row r="1264">
          <cell r="A1264" t="str">
            <v>100393</v>
          </cell>
          <cell r="B1264" t="str">
            <v>RETIRADA E RECOLOCAÇÃO DE CAIBRO EM TELHADOS DE ATÉ 2 ÁGUAS COM TELHA CERÂMICA CAPA-CANAL, INCLUSO TRANSPORTE VERTICAL. AF_07/2019</v>
          </cell>
          <cell r="C1264" t="str">
            <v>M2</v>
          </cell>
          <cell r="D1264">
            <v>19.739999999999998</v>
          </cell>
        </row>
        <row r="1265">
          <cell r="A1265" t="str">
            <v>100394</v>
          </cell>
          <cell r="B1265" t="str">
            <v>RETIRADA E RECOLOCAÇÃO DE RIPA EM TELHADOS DE MAIS DE 2 ÁGUAS COM TELHA CERÂMICA CAPA-CANAL, INCLUSO TRANSPORTE VERTICAL. AF_07/2019</v>
          </cell>
          <cell r="C1265" t="str">
            <v>M2</v>
          </cell>
          <cell r="D1265">
            <v>18.16</v>
          </cell>
        </row>
        <row r="1266">
          <cell r="A1266" t="str">
            <v>100395</v>
          </cell>
          <cell r="B1266" t="str">
            <v>RETIRADA E RECOLOCAÇÃO DE CAIBRO EM TELHADOS DE MAIS DE 2 ÁGUAS COM TELHA CERÂMICA CAPA-CANAL, INCLUSO TRANSPORTE VERTICAL. AF_07/2019</v>
          </cell>
          <cell r="C1266" t="str">
            <v>M2</v>
          </cell>
          <cell r="D1266">
            <v>23.3</v>
          </cell>
        </row>
        <row r="1267">
          <cell r="A1267" t="str">
            <v>94189</v>
          </cell>
          <cell r="B1267" t="str">
            <v>TELHAMENTO COM TELHA DE CONCRETO DE ENCAIXE, COM ATÉ 2 ÁGUAS, INCLUSO TRANSPORTE VERTICAL. AF_07/2019</v>
          </cell>
          <cell r="C1267" t="str">
            <v>M2</v>
          </cell>
          <cell r="D1267">
            <v>28.43</v>
          </cell>
        </row>
        <row r="1268">
          <cell r="A1268" t="str">
            <v>94192</v>
          </cell>
          <cell r="B1268" t="str">
            <v>TELHAMENTO COM TELHA DE CONCRETO DE ENCAIXE, COM MAIS DE 2 ÁGUAS, INCLUSO TRANSPORTE VERTICAL. AF_07/2019</v>
          </cell>
          <cell r="C1268" t="str">
            <v>M2</v>
          </cell>
          <cell r="D1268">
            <v>30.64</v>
          </cell>
        </row>
        <row r="1269">
          <cell r="A1269" t="str">
            <v>94195</v>
          </cell>
          <cell r="B1269" t="str">
            <v>TELHAMENTO COM TELHA CERÂMICA DE ENCAIXE, TIPO PORTUGUESA, COM ATÉ 2 ÁGUAS, INCLUSO TRANSPORTE VERTICAL. AF_07/2019</v>
          </cell>
          <cell r="C1269" t="str">
            <v>M2</v>
          </cell>
          <cell r="D1269">
            <v>23.34</v>
          </cell>
        </row>
        <row r="1270">
          <cell r="A1270" t="str">
            <v>94198</v>
          </cell>
          <cell r="B1270" t="str">
            <v>TELHAMENTO COM TELHA CERÂMICA DE ENCAIXE, TIPO PORTUGUESA, COM MAIS DE 2 ÁGUAS, INCLUSO TRANSPORTE VERTICAL. AF_07/2019</v>
          </cell>
          <cell r="C1270" t="str">
            <v>M2</v>
          </cell>
          <cell r="D1270">
            <v>26.26</v>
          </cell>
        </row>
        <row r="1271">
          <cell r="A1271" t="str">
            <v>94201</v>
          </cell>
          <cell r="B1271" t="str">
            <v>TELHAMENTO COM TELHA CERÂMICA CAPA-CANAL, TIPO COLONIAL, COM ATÉ 2 ÁGUAS, INCLUSO TRANSPORTE VERTICAL. AF_07/2019</v>
          </cell>
          <cell r="C1271" t="str">
            <v>M2</v>
          </cell>
          <cell r="D1271">
            <v>33.81</v>
          </cell>
        </row>
        <row r="1272">
          <cell r="A1272" t="str">
            <v>94204</v>
          </cell>
          <cell r="B1272" t="str">
            <v>TELHAMENTO COM TELHA CERÂMICA CAPA-CANAL, TIPO COLONIAL, COM MAIS DE 2 ÁGUAS, INCLUSO TRANSPORTE VERTICAL. AF_07/2019</v>
          </cell>
          <cell r="C1272" t="str">
            <v>M</v>
          </cell>
          <cell r="D1272">
            <v>38.799999999999997</v>
          </cell>
        </row>
        <row r="1273">
          <cell r="A1273" t="str">
            <v>94224</v>
          </cell>
          <cell r="B1273" t="str">
            <v>EMBOÇAMENTO COM ARGAMASSA TRAÇO 1:2:9 (CIMENTO, CAL E AREIA). AF_07/2019</v>
          </cell>
          <cell r="C1273" t="str">
            <v>M2</v>
          </cell>
          <cell r="D1273">
            <v>21.72</v>
          </cell>
        </row>
        <row r="1274">
          <cell r="A1274" t="str">
            <v>94226</v>
          </cell>
          <cell r="B1274" t="str">
            <v>SUBCOBERTURA COM MANTA PLÁSTICA REVESTIDA POR PELÍCULA DE ALUMÍNO, INCLUSO TRANSPORTE VERTICAL. AF_07/2019</v>
          </cell>
          <cell r="C1274" t="str">
            <v>UN</v>
          </cell>
          <cell r="D1274">
            <v>18.670000000000002</v>
          </cell>
        </row>
        <row r="1275">
          <cell r="A1275" t="str">
            <v>94232</v>
          </cell>
          <cell r="B1275" t="str">
            <v>AMARRAÇÃO DE TELHAS CERÂMICAS OU DE CONCRETO. AF_07/2019</v>
          </cell>
          <cell r="C1275" t="str">
            <v>M2</v>
          </cell>
          <cell r="D1275">
            <v>2.5299999999999998</v>
          </cell>
        </row>
        <row r="1276">
          <cell r="A1276" t="str">
            <v>94440</v>
          </cell>
          <cell r="B1276" t="str">
            <v>TELHAMENTO COM TELHA CERÂMICA DE ENCAIXE, TIPO FRANCESA, COM ATÉ 2 ÁGUAS, INCLUSO TRANSPORTE VERTICAL. AF_07/2019</v>
          </cell>
          <cell r="C1276" t="str">
            <v>M2</v>
          </cell>
          <cell r="D1276">
            <v>23.34</v>
          </cell>
        </row>
        <row r="1277">
          <cell r="A1277" t="str">
            <v>94441</v>
          </cell>
          <cell r="B1277" t="str">
            <v>TELHAMENTO COM TELHA CERÂMICA DE ENCAIXE, TIPO FRANCESA, COM MAIS DE 2 ÁGUAS, INCLUSO TRANSPORTE VERTICAL. AF_07/2019</v>
          </cell>
          <cell r="C1277" t="str">
            <v>M2</v>
          </cell>
          <cell r="D1277">
            <v>26.26</v>
          </cell>
        </row>
        <row r="1278">
          <cell r="A1278" t="str">
            <v>94442</v>
          </cell>
          <cell r="B1278" t="str">
            <v>TELHAMENTO COM TELHA CERÂMICA DE ENCAIXE, TIPO ROMANA, COM ATÉ 2 ÁGUAS, INCLUSO TRANSPORTE VERTICAL. AF_07/2019</v>
          </cell>
          <cell r="C1278" t="str">
            <v>M2</v>
          </cell>
          <cell r="D1278">
            <v>23.34</v>
          </cell>
        </row>
        <row r="1279">
          <cell r="A1279" t="str">
            <v>94443</v>
          </cell>
          <cell r="B1279" t="str">
            <v>TELHAMENTO COM TELHA CERÂMICA DE ENCAIXE, TIPO ROMANA, COM MAIS DE 2 ÁGUAS, INCLUSO TRANSPORTE VERTICAL. AF_07/2019</v>
          </cell>
          <cell r="C1279" t="str">
            <v>M2</v>
          </cell>
          <cell r="D1279">
            <v>26.26</v>
          </cell>
        </row>
        <row r="1280">
          <cell r="A1280" t="str">
            <v>94445</v>
          </cell>
          <cell r="B1280" t="str">
            <v>TELHAMENTO COM TELHA CERÂMICA CAPA-CANAL, TIPO PLAN, COM ATÉ 2 ÁGUAS, INCLUSO TRANSPORTE VERTICAL. AF_07/2019</v>
          </cell>
          <cell r="C1280" t="str">
            <v>M2</v>
          </cell>
          <cell r="D1280">
            <v>33.81</v>
          </cell>
        </row>
        <row r="1281">
          <cell r="A1281" t="str">
            <v>94446</v>
          </cell>
          <cell r="B1281" t="str">
            <v>TELHAMENTO COM TELHA CERÂMICA CAPA-CANAL, TIPO PLAN, COM MAIS DE 2 ÁGUAS, INCLUSO TRANSPORTE VERTICAL. AF_07/2019</v>
          </cell>
          <cell r="C1281" t="str">
            <v>M2</v>
          </cell>
          <cell r="D1281">
            <v>38.799999999999997</v>
          </cell>
        </row>
        <row r="1282">
          <cell r="A1282" t="str">
            <v>94447</v>
          </cell>
          <cell r="B1282" t="str">
            <v>TELHAMENTO COM TELHA CERÂMICA CAPA-CANAL, TIPO PAULISTA, COM ATÉ 2 ÁGUAS, INCLUSO TRANSPORTE VERTICAL. AF_07/2019</v>
          </cell>
          <cell r="C1282" t="str">
            <v>M2</v>
          </cell>
          <cell r="D1282">
            <v>33.81</v>
          </cell>
        </row>
        <row r="1283">
          <cell r="A1283" t="str">
            <v>94448</v>
          </cell>
          <cell r="B1283" t="str">
            <v>TELHAMENTO COM TELHA CERÂMICA CAPA-CANAL, TIPO PAULISTA, COM MAIS DE 2 ÁGUAS, INCLUSO TRANSPORTE VERTICAL. AF_07/2019</v>
          </cell>
          <cell r="C1283" t="str">
            <v>M2</v>
          </cell>
          <cell r="D1283">
            <v>38.799999999999997</v>
          </cell>
        </row>
        <row r="1284">
          <cell r="A1284" t="str">
            <v>94207</v>
          </cell>
          <cell r="B1284" t="str">
            <v>TELHAMENTO COM TELHA ONDULADA DE FIBROCIMENTO E = 6 MM, COM RECOBRIMENTO LATERAL DE 1/4 DE ONDA PARA TELHADO COM INCLINAÇÃO MAIOR QUE 10°, COM ATÉ 2 ÁGUAS, INCLUSO IÇAMENTO. AF_07/2019</v>
          </cell>
          <cell r="C1284" t="str">
            <v>M2</v>
          </cell>
          <cell r="D1284">
            <v>48.98</v>
          </cell>
        </row>
        <row r="1285">
          <cell r="A1285" t="str">
            <v>94210</v>
          </cell>
          <cell r="B1285" t="str">
            <v>TELHAMENTO COM TELHA ONDULADA DE FIBROCIMENTO E = 6 MM, COM RECOBRIMENTO LATERAL DE 1 1/4 DE ONDA PARA TELHADO COM INCLINAÇÃO MÁXIMA DE 10°, COM ATÉ 2 ÁGUAS, INCLUSO IÇAMENTO. AF_07/2019</v>
          </cell>
          <cell r="C1285" t="str">
            <v>M2</v>
          </cell>
          <cell r="D1285">
            <v>51.89</v>
          </cell>
        </row>
        <row r="1286">
          <cell r="A1286" t="str">
            <v>94218</v>
          </cell>
          <cell r="B1286" t="str">
            <v>TELHAMENTO COM TELHA ESTRUTURAL DE FIBROCIMENTO E= 8 MM, COM ATÉ 2 ÁGUAS, INCLUSO IÇAMENTO. AF_07/2019_P</v>
          </cell>
          <cell r="C1286" t="str">
            <v>M2</v>
          </cell>
          <cell r="D1286">
            <v>125.63</v>
          </cell>
        </row>
        <row r="1287">
          <cell r="A1287" t="str">
            <v>94213</v>
          </cell>
          <cell r="B1287" t="str">
            <v>TELHAMENTO COM TELHA DE AÇO/ALUMÍNIO E = 0,5 MM, COM ATÉ 2 ÁGUAS, INCLUSO IÇAMENTO. AF_07/2019</v>
          </cell>
          <cell r="C1287" t="str">
            <v>M2</v>
          </cell>
          <cell r="D1287">
            <v>98.19</v>
          </cell>
        </row>
        <row r="1288">
          <cell r="A1288" t="str">
            <v>94216</v>
          </cell>
          <cell r="B1288" t="str">
            <v>TELHAMENTO COM TELHA METÁLICA TERMOACÚSTICA E = 30 MM, COM ATÉ 2 ÁGUAS, INCLUSO IÇAMENTO. AF_07/2019</v>
          </cell>
          <cell r="C1288" t="str">
            <v>M</v>
          </cell>
          <cell r="D1288">
            <v>289.02</v>
          </cell>
        </row>
        <row r="1289">
          <cell r="A1289" t="str">
            <v>94219</v>
          </cell>
          <cell r="B1289" t="str">
            <v>CUMEEIRA E ESPIGÃO PARA TELHA CERÂMICA EMBOÇADA COM ARGAMASSA TRAÇO 1:2:9 (CIMENTO, CAL E AREIA), PARA TELHADOS COM MAIS DE 2 ÁGUAS, INCLUSO TRANSPORTE VERTICAL. AF_07/2019</v>
          </cell>
          <cell r="C1289" t="str">
            <v>M</v>
          </cell>
          <cell r="D1289">
            <v>24.56</v>
          </cell>
        </row>
        <row r="1290">
          <cell r="A1290" t="str">
            <v>94220</v>
          </cell>
          <cell r="B1290" t="str">
            <v>CUMEEIRA E ESPIGÃO PARA TELHA DE CONCRETO EMBOÇADA COM ARGAMASSA TRAÇO 1:2:9 (CIMENTO, CAL E AREIA), PARA TELHADOS COM MAIS DE 2 ÁGUAS, INCLUSO TRANSPORTE VERTICAL. AF_07/2019</v>
          </cell>
          <cell r="C1290" t="str">
            <v>M</v>
          </cell>
          <cell r="D1290">
            <v>41</v>
          </cell>
        </row>
        <row r="1291">
          <cell r="A1291" t="str">
            <v>94221</v>
          </cell>
          <cell r="B1291" t="str">
            <v>CUMEEIRA PARA TELHA CERÂMICA EMBOÇADA COM ARGAMASSA TRAÇO 1:2:9 (CIMENTO, CAL E AREIA) PARA TELHADOS COM ATÉ 2 ÁGUAS, INCLUSO TRANSPORTE VERTICAL. AF_07/2019</v>
          </cell>
          <cell r="C1291" t="str">
            <v>M</v>
          </cell>
          <cell r="D1291">
            <v>18.78</v>
          </cell>
        </row>
        <row r="1292">
          <cell r="A1292" t="str">
            <v>94222</v>
          </cell>
          <cell r="B1292" t="str">
            <v>CUMEEIRA PARA TELHA DE CONCRETO EMBOÇADA COM ARGAMASSA TRAÇO 1:2:9 (CIMENTO, CAL E AREIA) PARA TELHADOS COM ATÉ 2 ÁGUAS, INCLUSO TRANSPORTE VERTICAL. AF_07/2019</v>
          </cell>
          <cell r="C1292" t="str">
            <v>M</v>
          </cell>
          <cell r="D1292">
            <v>35.22</v>
          </cell>
        </row>
        <row r="1293">
          <cell r="A1293" t="str">
            <v>94223</v>
          </cell>
          <cell r="B1293" t="str">
            <v>CUMEEIRA PARA TELHA DE FIBROCIMENTO ONDULADA E = 6 MM, INCLUSO ACESSÓRIOS DE FIXAÇÃO E IÇAMENTO. AF_07/2019</v>
          </cell>
          <cell r="C1293" t="str">
            <v>M</v>
          </cell>
          <cell r="D1293">
            <v>87.62</v>
          </cell>
        </row>
        <row r="1294">
          <cell r="A1294" t="str">
            <v>94451</v>
          </cell>
          <cell r="B1294" t="str">
            <v>CUMEEIRA PARA TELHA DE FIBROCIMENTO ESTRUTURAL E = 6 MM, INCLUSO ACESSÓRIOS DE FIXAÇÃO E IÇAMENTO. AF_07/2019</v>
          </cell>
          <cell r="C1294" t="str">
            <v>M</v>
          </cell>
          <cell r="D1294">
            <v>97.32</v>
          </cell>
        </row>
        <row r="1295">
          <cell r="A1295" t="str">
            <v>100325</v>
          </cell>
          <cell r="B1295" t="str">
            <v>CUMEEIRA SHED PARA TELHA ONDULADA DE FIBROCIMENTO, E = 6 MM, INCLUSO ACESSÓRIOS DE FIXAÇÃO E IÇAMENTO. AF_07/2019</v>
          </cell>
          <cell r="C1295" t="str">
            <v>M</v>
          </cell>
          <cell r="D1295">
            <v>94.82</v>
          </cell>
        </row>
        <row r="1296">
          <cell r="A1296" t="str">
            <v>100327</v>
          </cell>
          <cell r="B1296" t="str">
            <v>RUFO EXTERNO/INTERNO EM CHAPA DE AÇO GALVANIZADO NÚMERO 26, CORTE DE 33 CM, INCLUSO IÇAMENTO. AF_07/2019</v>
          </cell>
          <cell r="C1296" t="str">
            <v>M2</v>
          </cell>
          <cell r="D1296">
            <v>69.599999999999994</v>
          </cell>
        </row>
        <row r="1297">
          <cell r="A1297" t="str">
            <v>100328</v>
          </cell>
          <cell r="B1297" t="str">
            <v>RETIRADA E RECOLOCAÇÃO DE  TELHA CERÂMICA DE ENCAIXE, COM ATÉ DUAS ÁGUAS, INCLUSO IÇAMENTO. AF_07/2019</v>
          </cell>
          <cell r="C1297" t="str">
            <v>M2</v>
          </cell>
          <cell r="D1297">
            <v>10.34</v>
          </cell>
        </row>
        <row r="1298">
          <cell r="A1298" t="str">
            <v>100329</v>
          </cell>
          <cell r="B1298" t="str">
            <v>RETIRADA E RECOLOCAÇÃO DE  TELHA CERÂMICA DE ENCAIXE, COM MAIS DE DUAS ÁGUAS, INCLUSO IÇAMENTO. AF_07/2019</v>
          </cell>
          <cell r="C1298" t="str">
            <v>M2</v>
          </cell>
          <cell r="D1298">
            <v>13.29</v>
          </cell>
        </row>
        <row r="1299">
          <cell r="A1299" t="str">
            <v>100330</v>
          </cell>
          <cell r="B1299" t="str">
            <v>RETIRADA E RECOLOCAÇÃO DE  TELHA CERÂMICA CAPA-CANAL, COM ATÉ DUAS ÁGUAS, INCLUSO IÇAMENTO. AF_07/2019</v>
          </cell>
          <cell r="C1299" t="str">
            <v>M2</v>
          </cell>
          <cell r="D1299">
            <v>14.05</v>
          </cell>
        </row>
        <row r="1300">
          <cell r="A1300" t="str">
            <v>100331</v>
          </cell>
          <cell r="B1300" t="str">
            <v>RETIRADA E RECOLOCAÇÃO DE  TELHA CERÂMICA CAPA-CANAL, COM MAIS DE DUAS ÁGUAS, INCLUSO IÇAMENTO. AF_07/2019</v>
          </cell>
          <cell r="C1300" t="str">
            <v>M</v>
          </cell>
          <cell r="D1300">
            <v>19.059999999999999</v>
          </cell>
        </row>
        <row r="1301">
          <cell r="A1301" t="str">
            <v>100434</v>
          </cell>
          <cell r="B1301" t="str">
            <v>CALHA DE BEIRAL, SEMICIRCULAR DE PVC, DIAMETRO 125 MM, INCLUINDO CABECEIRAS, EMENDAS, BOCAIS, SUPORTES E VEDAÇÕES, EXCLUINDO CONDUTORES, INCLUSO TRANSPORTE VERTICAL. AF_07/2019</v>
          </cell>
          <cell r="C1301" t="str">
            <v>M</v>
          </cell>
          <cell r="D1301">
            <v>71.92</v>
          </cell>
        </row>
        <row r="1302">
          <cell r="A1302" t="str">
            <v>100435</v>
          </cell>
          <cell r="B1302" t="str">
            <v>RUFO EM FIBROCIMENTO PARA TELHA ONDULADA E = 6 MM, ABA DE 26 CM, INCLUSO TRANSPORTE VERTICAL, EXCETO CONTRARRUFO. AF_07/2019</v>
          </cell>
          <cell r="C1302" t="str">
            <v>M</v>
          </cell>
          <cell r="D1302">
            <v>63.13</v>
          </cell>
        </row>
        <row r="1303">
          <cell r="A1303" t="str">
            <v>94227</v>
          </cell>
          <cell r="B1303" t="str">
            <v>CALHA EM CHAPA DE AÇO GALVANIZADO NÚMERO 24, DESENVOLVIMENTO DE 33 CM, INCLUSO TRANSPORTE VERTICAL. AF_07/2019</v>
          </cell>
          <cell r="C1303" t="str">
            <v>M</v>
          </cell>
          <cell r="D1303">
            <v>79.87</v>
          </cell>
        </row>
        <row r="1304">
          <cell r="A1304" t="str">
            <v>94228</v>
          </cell>
          <cell r="B1304" t="str">
            <v>CALHA EM CHAPA DE AÇO GALVANIZADO NÚMERO 24, DESENVOLVIMENTO DE 50 CM, INCLUSO TRANSPORTE VERTICAL. AF_07/2019</v>
          </cell>
          <cell r="C1304" t="str">
            <v>M</v>
          </cell>
          <cell r="D1304">
            <v>107.05</v>
          </cell>
        </row>
        <row r="1305">
          <cell r="A1305" t="str">
            <v>94229</v>
          </cell>
          <cell r="B1305" t="str">
            <v>CALHA EM CHAPA DE AÇO GALVANIZADO NÚMERO 24, DESENVOLVIMENTO DE 100 CM, INCLUSO TRANSPORTE VERTICAL. AF_07/2019</v>
          </cell>
          <cell r="C1305" t="str">
            <v>M</v>
          </cell>
          <cell r="D1305">
            <v>207.61</v>
          </cell>
        </row>
        <row r="1306">
          <cell r="A1306" t="str">
            <v>94231</v>
          </cell>
          <cell r="B1306" t="str">
            <v>RUFO EM CHAPA DE AÇO GALVANIZADO NÚMERO 24, CORTE DE 25 CM, INCLUSO TRANSPORTE VERTICAL. AF_07/2019</v>
          </cell>
          <cell r="C1306" t="str">
            <v>M2</v>
          </cell>
          <cell r="D1306">
            <v>62.6</v>
          </cell>
        </row>
        <row r="1307">
          <cell r="A1307" t="str">
            <v>94449</v>
          </cell>
          <cell r="B1307" t="str">
            <v>TELHAMENTO COM TELHA ONDULADA DE FIBRA DE VIDRO E = 0,6 MM, PARA TELHADO COM INCLINAÇÃO MAIOR QUE 10°, COM ATÉ 2 ÁGUAS, INCLUSO IÇAMENTO. AF_07/2019</v>
          </cell>
          <cell r="C1307" t="str">
            <v>UN</v>
          </cell>
          <cell r="D1307">
            <v>59.42</v>
          </cell>
        </row>
        <row r="1308">
          <cell r="A1308" t="str">
            <v>92255</v>
          </cell>
          <cell r="B1308" t="str">
            <v>INSTALAÇÃO DE TESOURA (INTEIRA OU MEIA), EM AÇO, PARA VÃOS MAIORES OU IGUAIS A 3,0 M E MENORES QUE 6,0 M, INCLUSO IÇAMENTO. AF_07/2019</v>
          </cell>
          <cell r="C1308" t="str">
            <v>UN</v>
          </cell>
          <cell r="D1308">
            <v>194.74</v>
          </cell>
        </row>
        <row r="1309">
          <cell r="A1309" t="str">
            <v>92256</v>
          </cell>
          <cell r="B1309" t="str">
            <v>INSTALAÇÃO DE TESOURA (INTEIRA OU MEIA), EM AÇO, PARA VÃOS MAIORES OU IGUAIS A 6,0 M E MENORES QUE 8,0 M, INCLUSO IÇAMENTO. AF_07/2019</v>
          </cell>
          <cell r="C1309" t="str">
            <v>UN</v>
          </cell>
          <cell r="D1309">
            <v>240.21</v>
          </cell>
        </row>
        <row r="1310">
          <cell r="A1310" t="str">
            <v>92257</v>
          </cell>
          <cell r="B1310" t="str">
            <v>INSTALAÇÃO DE TESOURA (INTEIRA OU MEIA), EM AÇO, PARA VÃOS MAIORES OU IGUAIS A 8,0 M E MENORES QUE 10,0 M, INCLUSO IÇAMENTO. AF_07/2019</v>
          </cell>
          <cell r="C1310" t="str">
            <v>UN</v>
          </cell>
          <cell r="D1310">
            <v>285.02</v>
          </cell>
        </row>
        <row r="1311">
          <cell r="A1311" t="str">
            <v>92258</v>
          </cell>
          <cell r="B1311" t="str">
            <v>INSTALAÇÃO DE TESOURA (INTEIRA OU MEIA), EM AÇO, PARA VÃOS MAIORES OU IGUAIS A 10,0 M E MENORES QUE 12,0 M, INCLUSO IÇAMENTO. AF_07/2019</v>
          </cell>
          <cell r="C1311" t="str">
            <v>M2</v>
          </cell>
          <cell r="D1311">
            <v>357.08</v>
          </cell>
        </row>
        <row r="1312">
          <cell r="A1312" t="str">
            <v>92568</v>
          </cell>
          <cell r="B1312" t="str">
            <v>TRAMA DE AÇO COMPOSTA POR RIPAS, CAIBROS E TERÇAS PARA TELHADOS DE ATÉ 2 ÁGUAS PARA TELHA DE ENCAIXE DE CERÂMICA OU DE CONCRETO, INCLUSO TRANSPORTE VERTICAL. AF_07/2019</v>
          </cell>
          <cell r="C1312" t="str">
            <v>M2</v>
          </cell>
          <cell r="D1312">
            <v>206.76</v>
          </cell>
        </row>
        <row r="1313">
          <cell r="A1313" t="str">
            <v>92569</v>
          </cell>
          <cell r="B1313" t="str">
            <v>TRAMA DE AÇO COMPOSTA POR RIPAS E CAIBROS PARA TELHADOS DE ATÉ 2 ÁGUAS PARA TELHA DE ENCAIXE DE CERÂMICA OU DE CONCRETO, INCLUSO TRANSPORTE VERTICAL. AF_07/2019</v>
          </cell>
          <cell r="C1313" t="str">
            <v>M2</v>
          </cell>
          <cell r="D1313">
            <v>116.47</v>
          </cell>
        </row>
        <row r="1314">
          <cell r="A1314" t="str">
            <v>92570</v>
          </cell>
          <cell r="B1314" t="str">
            <v>TRAMA DE AÇO COMPOSTA POR RIPAS PARA TELHADOS DE ATÉ 2 ÁGUAS PARA TELHA DE ENCAIXE DE CERÂMICA OU DE CONCRETO, INCLUSO TRANSPORTE VERTICAL. AF_07/2019</v>
          </cell>
          <cell r="C1314" t="str">
            <v>M2</v>
          </cell>
          <cell r="D1314">
            <v>74.55</v>
          </cell>
        </row>
        <row r="1315">
          <cell r="A1315" t="str">
            <v>92571</v>
          </cell>
          <cell r="B1315" t="str">
            <v>TRAMA DE AÇO COMPOSTA POR RIPAS, CAIBROS E TERÇAS PARA TELHADOS DE MAIS DE 2 ÁGUAS PARA TELHA DE ENCAIXE DE CERÂMICA OU DE CONCRETO, INCLUSO TRANSPORTE VERTICAL. AF_07/2019</v>
          </cell>
          <cell r="C1315" t="str">
            <v>M2</v>
          </cell>
          <cell r="D1315">
            <v>216.16</v>
          </cell>
        </row>
        <row r="1316">
          <cell r="A1316" t="str">
            <v>92572</v>
          </cell>
          <cell r="B1316" t="str">
            <v>TRAMA DE AÇO COMPOSTA POR RIPAS E CAIBROS PARA TELHADOS DE MAIS DE 2 ÁGUAS PARA TELHA DE ENCAIXE DE CERÂMICA OU DE CONCRETO, INCLUSO TRANSPORTE VERTICAL. AF_07/2019</v>
          </cell>
          <cell r="C1316" t="str">
            <v>M2</v>
          </cell>
          <cell r="D1316">
            <v>131.34</v>
          </cell>
        </row>
        <row r="1317">
          <cell r="A1317" t="str">
            <v>92573</v>
          </cell>
          <cell r="B1317" t="str">
            <v>TRAMA DE AÇO COMPOSTA POR RIPAS PARA TELHADOS DE MAIS DE 2 ÁGUAS PARA TELHA DE ENCAIXE DE CERÂMICA OU DE CONCRETO, INCLUSO TRANSPORTE VERTICAL, INCLUSO TRANSPORTE VERTICAL. AF_07/2019</v>
          </cell>
          <cell r="C1317" t="str">
            <v>M2</v>
          </cell>
          <cell r="D1317">
            <v>78.45</v>
          </cell>
        </row>
        <row r="1318">
          <cell r="A1318" t="str">
            <v>92574</v>
          </cell>
          <cell r="B1318" t="str">
            <v>TRAMA DE AÇO COMPOSTA POR RIPAS, CAIBROS E TERÇAS PARA TELHADOS DE ATÉ 2 ÁGUAS PARA TELHA CERÂMICA CAPA-CANAL, INCLUSO TRANSPORTE VERTICAL. AF_07/2019</v>
          </cell>
          <cell r="C1318" t="str">
            <v>M2</v>
          </cell>
          <cell r="D1318">
            <v>209.65</v>
          </cell>
        </row>
        <row r="1319">
          <cell r="A1319" t="str">
            <v>92575</v>
          </cell>
          <cell r="B1319" t="str">
            <v>TRAMA DE AÇO COMPOSTA POR RIPAS E CAIBROS PARA TELHADOS DE ATÉ 2 ÁGUAS PARA TELHA CERÂMICA CAPA-CANAL, INCLUSO TRANSPORTE VERTICAL. AF_07/2019</v>
          </cell>
          <cell r="C1319" t="str">
            <v>M2</v>
          </cell>
          <cell r="D1319">
            <v>106.11</v>
          </cell>
        </row>
        <row r="1320">
          <cell r="A1320" t="str">
            <v>92576</v>
          </cell>
          <cell r="B1320" t="str">
            <v>TRAMA DE AÇO COMPOSTA POR RIPAS PARA TELHADOS DE ATÉ 2 ÁGUAS PARA TELHA CERÂMICA CAPA-CANAL, INCLUSO TRANSPORTE VERTICAL. AF_07/2019</v>
          </cell>
          <cell r="C1320" t="str">
            <v>M2</v>
          </cell>
          <cell r="D1320">
            <v>58.6</v>
          </cell>
        </row>
        <row r="1321">
          <cell r="A1321" t="str">
            <v>92577</v>
          </cell>
          <cell r="B1321" t="str">
            <v>TRAMA DE AÇO COMPOSTA POR RIPAS, CAIBROS E TERÇAS PARA TELHADOS DE MAIS DE 2 ÁGUAS PARA TELHA CERÂMICA CAPA-CANAL, INCLUSO TRANSPORTE VERTICAL. AF_07/2019</v>
          </cell>
          <cell r="C1321" t="str">
            <v>M2</v>
          </cell>
          <cell r="D1321">
            <v>219.87</v>
          </cell>
        </row>
        <row r="1322">
          <cell r="A1322" t="str">
            <v>92578</v>
          </cell>
          <cell r="B1322" t="str">
            <v>TRAMA DE AÇO COMPOSTA POR RIPAS E CAIBROS PARA TELHADOS DE MAIS DE 2 ÁGUAS PARA TELHA CERÂMICA CAPA-CANAL, INCLUSO TRANSPORTE VERTICAL. AF_07/2019</v>
          </cell>
          <cell r="C1322" t="str">
            <v>M2</v>
          </cell>
          <cell r="D1322">
            <v>111.73</v>
          </cell>
        </row>
        <row r="1323">
          <cell r="A1323" t="str">
            <v>92579</v>
          </cell>
          <cell r="B1323" t="str">
            <v>TRAMA DE AÇO COMPOSTA POR RIPAS PARA TELHADOS DE MAIS DE 2 ÁGUAS PARA TELHA CERÂMICA CAPA-CANAL, INCLUSO TRANSPORTE VERTICAL. AF_07/2019</v>
          </cell>
          <cell r="C1323" t="str">
            <v>M2</v>
          </cell>
          <cell r="D1323">
            <v>61.71</v>
          </cell>
        </row>
        <row r="1324">
          <cell r="A1324" t="str">
            <v>92580</v>
          </cell>
          <cell r="B1324" t="str">
            <v>TRAMA DE AÇO COMPOSTA POR TERÇAS PARA TELHADOS DE ATÉ 2 ÁGUAS PARA TELHA ONDULADA DE FIBROCIMENTO, METÁLICA, PLÁSTICA OU TERMOACÚSTICA, INCLUSO TRANSPORTE VERTICAL. AF_07/2019</v>
          </cell>
          <cell r="C1324" t="str">
            <v>M2</v>
          </cell>
          <cell r="D1324">
            <v>76.53</v>
          </cell>
        </row>
        <row r="1325">
          <cell r="A1325" t="str">
            <v>92581</v>
          </cell>
          <cell r="B1325" t="str">
            <v>TRAMA DE AÇO COMPOSTA POR TERÇAS PARA TELHADOS DE ATÉ 2 ÁGUAS PARA TELHA ESTRUTURAL DE FIBROCIMENTO, INCLUSO TRANSPORTE VERTICAL. AF_07/2019</v>
          </cell>
          <cell r="C1325" t="str">
            <v>UN</v>
          </cell>
          <cell r="D1325">
            <v>80.47</v>
          </cell>
        </row>
        <row r="1326">
          <cell r="A1326" t="str">
            <v>92582</v>
          </cell>
          <cell r="B1326" t="str">
            <v>FABRICAÇÃO E INSTALAÇÃO DE TESOURA INTEIRA EM AÇO, VÃO DE 3 M, PARA TELHA CERÂMICA OU DE CONCRETO, INCLUSO IÇAMENTO. AF_12/2015</v>
          </cell>
          <cell r="C1326" t="str">
            <v>UN</v>
          </cell>
          <cell r="D1326">
            <v>1056.6099999999999</v>
          </cell>
        </row>
        <row r="1327">
          <cell r="A1327" t="str">
            <v>92584</v>
          </cell>
          <cell r="B1327" t="str">
            <v>FABRICAÇÃO E INSTALAÇÃO DE TESOURA INTEIRA EM AÇO, VÃO DE 4 M, PARA TELHA CERÂMICA OU DE CONCRETO, INCLUSO IÇAMENTO. AF_12/2015</v>
          </cell>
          <cell r="C1327" t="str">
            <v>UN</v>
          </cell>
          <cell r="D1327">
            <v>1265.52</v>
          </cell>
        </row>
        <row r="1328">
          <cell r="A1328" t="str">
            <v>92586</v>
          </cell>
          <cell r="B1328" t="str">
            <v>FABRICAÇÃO E INSTALAÇÃO DE TESOURA INTEIRA EM AÇO, VÃO DE 5 M, PARA TELHA CERÂMICA OU DE CONCRETO, INCLUSO IÇAMENTO. AF_12/2015</v>
          </cell>
          <cell r="C1328" t="str">
            <v>UN</v>
          </cell>
          <cell r="D1328">
            <v>1474.42</v>
          </cell>
        </row>
        <row r="1329">
          <cell r="A1329" t="str">
            <v>92588</v>
          </cell>
          <cell r="B1329" t="str">
            <v>FABRICAÇÃO E INSTALAÇÃO DE TESOURA INTEIRA EM AÇO, VÃO DE 6 M, PARA TELHA CERÂMICA OU DE CONCRETO, INCLUSO IÇAMENTO. AF_12/2015</v>
          </cell>
          <cell r="C1329" t="str">
            <v>UN</v>
          </cell>
          <cell r="D1329">
            <v>1860.45</v>
          </cell>
        </row>
        <row r="1330">
          <cell r="A1330" t="str">
            <v>92590</v>
          </cell>
          <cell r="B1330" t="str">
            <v>FABRICAÇÃO E INSTALAÇÃO DE TESOURA INTEIRA EM AÇO, VÃO DE 7 M, PARA TELHA CERÂMICA OU DE CONCRETO, INCLUSO IÇAMENTO. AF_12/2015</v>
          </cell>
          <cell r="C1330" t="str">
            <v>UN</v>
          </cell>
          <cell r="D1330">
            <v>2069.35</v>
          </cell>
        </row>
        <row r="1331">
          <cell r="A1331" t="str">
            <v>92592</v>
          </cell>
          <cell r="B1331" t="str">
            <v>FABRICAÇÃO E INSTALAÇÃO DE TESOURA INTEIRA EM AÇO, VÃO DE 8 M, PARA TELHA CERÂMICA OU DE CONCRETO, INCLUSO IÇAMENTO. AF_12/2015</v>
          </cell>
          <cell r="C1331" t="str">
            <v>KG</v>
          </cell>
          <cell r="D1331">
            <v>2323.0700000000002</v>
          </cell>
        </row>
        <row r="1332">
          <cell r="A1332" t="str">
            <v>92593</v>
          </cell>
          <cell r="B1332" t="str">
            <v>(COMPOSIÇÃO REPRESENTATIVA) FABRICAÇÃO E INSTALAÇÃO DE TESOURA INTEIRA EM AÇO, PARA VÃOS DE 3 A 12 M E PARA QUALQUER TIPO DE TELHA, INCLUSO IÇAMENTO. AF_12/2015</v>
          </cell>
          <cell r="C1332" t="str">
            <v>UN</v>
          </cell>
          <cell r="D1332">
            <v>17.64</v>
          </cell>
        </row>
        <row r="1333">
          <cell r="A1333" t="str">
            <v>92594</v>
          </cell>
          <cell r="B1333" t="str">
            <v>FABRICAÇÃO E INSTALAÇÃO DE TESOURA INTEIRA EM AÇO, VÃO DE 9 M, PARA TELHA CERÂMICA OU DE CONCRETO, INCLUSO IÇAMENTO. AF_12/2015</v>
          </cell>
          <cell r="C1333" t="str">
            <v>UN</v>
          </cell>
          <cell r="D1333">
            <v>2716.47</v>
          </cell>
        </row>
        <row r="1334">
          <cell r="A1334" t="str">
            <v>92596</v>
          </cell>
          <cell r="B1334" t="str">
            <v>FABRICAÇÃO E INSTALAÇÃO DE TESOURA INTEIRA EM AÇO, VÃO DE 10 M, PARA TELHA CERÂMICA OU DE CONCRETO, INCLUSO IÇAMENTO. AF_12/2015</v>
          </cell>
          <cell r="C1334" t="str">
            <v>UN</v>
          </cell>
          <cell r="D1334">
            <v>3006.39</v>
          </cell>
        </row>
        <row r="1335">
          <cell r="A1335" t="str">
            <v>92598</v>
          </cell>
          <cell r="B1335" t="str">
            <v>FABRICAÇÃO E INSTALAÇÃO DE TESOURA INTEIRA EM AÇO, VÃO DE 11 M, PARA TELHA CERÂMICA OU DE CONCRETO, INCLUSO IÇAMENTO. AF_12/2015</v>
          </cell>
          <cell r="C1335" t="str">
            <v>UN</v>
          </cell>
          <cell r="D1335">
            <v>3215.29</v>
          </cell>
        </row>
        <row r="1336">
          <cell r="A1336" t="str">
            <v>92600</v>
          </cell>
          <cell r="B1336" t="str">
            <v>FABRICAÇÃO E INSTALAÇÃO DE TESOURA INTEIRA EM AÇO, VÃO DE 12 M, PARA TELHA CERÂMICA OU DE CONCRETO, INCLUSO IÇAMENTO. AF_12/2015</v>
          </cell>
          <cell r="C1336" t="str">
            <v>UN</v>
          </cell>
          <cell r="D1336">
            <v>3477.05</v>
          </cell>
        </row>
        <row r="1337">
          <cell r="A1337" t="str">
            <v>92602</v>
          </cell>
          <cell r="B1337" t="str">
            <v>FABRICAÇÃO E INSTALAÇÃO DE TESOURA INTEIRA EM AÇO, VÃO DE 3 M, PARA TELHA ONDULADA DE FIBROCIMENTO, METÁLICA, PLÁSTICA OU TERMOACÚSTICA, INCLUSO IÇAMENTO.. AF_12/2015</v>
          </cell>
          <cell r="C1337" t="str">
            <v>UN</v>
          </cell>
          <cell r="D1337">
            <v>1056.6099999999999</v>
          </cell>
        </row>
        <row r="1338">
          <cell r="A1338" t="str">
            <v>92604</v>
          </cell>
          <cell r="B1338" t="str">
            <v>FABRICAÇÃO E INSTALAÇÃO DE TESOURA INTEIRA EM AÇO, VÃO DE 4 M, PARA TELHA ONDULADA DE FIBROCIMENTO, METÁLICA, PLÁSTICA OU TERMOACÚSTICA, INCLUSO IÇAMENTO. AF_12/2015</v>
          </cell>
          <cell r="C1338" t="str">
            <v>UN</v>
          </cell>
          <cell r="D1338">
            <v>1212.67</v>
          </cell>
        </row>
        <row r="1339">
          <cell r="A1339" t="str">
            <v>92606</v>
          </cell>
          <cell r="B1339" t="str">
            <v>FABRICAÇÃO E INSTALAÇÃO DE TESOURA INTEIRA EM AÇO, VÃO DE 5 M, PARA TELHA ONDULADA DE FIBROCIMENTO, METÁLICA, PLÁSTICA OU TERMOACÚSTICA, INCLUSO IÇAMENTO. AF_12/2015</v>
          </cell>
          <cell r="C1339" t="str">
            <v>UN</v>
          </cell>
          <cell r="D1339">
            <v>1421.57</v>
          </cell>
        </row>
        <row r="1340">
          <cell r="A1340" t="str">
            <v>92608</v>
          </cell>
          <cell r="B1340" t="str">
            <v>FABRICAÇÃO E INSTALAÇÃO DE TESOURA INTEIRA EM AÇO, VÃO DE 6 M, PARA TELHA ONDULADA DE FIBROCIMENTO, METÁLICA, PLÁSTICA OU TERMOACÚSTICA, INCLUSO IÇAMENTO. AF_12/2015</v>
          </cell>
          <cell r="C1340" t="str">
            <v>UN</v>
          </cell>
          <cell r="D1340">
            <v>1754.75</v>
          </cell>
        </row>
        <row r="1341">
          <cell r="A1341" t="str">
            <v>92610</v>
          </cell>
          <cell r="B1341" t="str">
            <v>FABRICAÇÃO E INSTALAÇÃO DE TESOURA INTEIRA EM AÇO, VÃO DE 7 M, PARA TELHA ONDULADA DE FIBROCIMENTO, METÁLICA, PLÁSTICA OU TERMOACÚSTICA, INCLUSO IÇAMENTO. AF_12/2015</v>
          </cell>
          <cell r="C1341" t="str">
            <v>UN</v>
          </cell>
          <cell r="D1341">
            <v>1963.65</v>
          </cell>
        </row>
        <row r="1342">
          <cell r="A1342" t="str">
            <v>92612</v>
          </cell>
          <cell r="B1342" t="str">
            <v>FABRICAÇÃO E INSTALAÇÃO DE TESOURA INTEIRA EM AÇO, VÃO DE 8 M, PARA TELHA ONDULADA DE FIBROCIMENTO, METÁLICA, PLÁSTICA OU TERMOACÚSTICA, INCLUSO IÇAMENTO, INCLUSO IÇAMENTO. AF_12/2015</v>
          </cell>
          <cell r="C1342" t="str">
            <v>UN</v>
          </cell>
          <cell r="D1342">
            <v>2217.37</v>
          </cell>
        </row>
        <row r="1343">
          <cell r="A1343" t="str">
            <v>92614</v>
          </cell>
          <cell r="B1343" t="str">
            <v>FABRICAÇÃO E INSTALAÇÃO DE TESOURA INTEIRA EM AÇO, VÃO DE 9 M, PARA TELHA ONDULADA DE FIBROCIMENTO, METÁLICA, PLÁSTICA OU TERMOACÚSTICA, INCLUSO IÇAMENTO. AF_12/2015</v>
          </cell>
          <cell r="C1343" t="str">
            <v>UN</v>
          </cell>
          <cell r="D1343">
            <v>2505.0700000000002</v>
          </cell>
        </row>
        <row r="1344">
          <cell r="A1344" t="str">
            <v>92616</v>
          </cell>
          <cell r="B1344" t="str">
            <v>FABRICAÇÃO E INSTALAÇÃO DE TESOURA INTEIRA EM AÇO, VÃO DE 10 M, PARA TELHA ONDULADA DE FIBROCIMENTO, METÁLICA, PLÁSTICA OU TERMOACÚSTICA, INCLUSO IÇAMENTO. AF_12/2015</v>
          </cell>
          <cell r="C1344" t="str">
            <v>UN</v>
          </cell>
          <cell r="D1344">
            <v>2847.84</v>
          </cell>
        </row>
        <row r="1345">
          <cell r="A1345" t="str">
            <v>92618</v>
          </cell>
          <cell r="B1345" t="str">
            <v>FABRICAÇÃO E INSTALAÇÃO DE TESOURA INTEIRA EM AÇO, VÃO DE 11 M, PARA TELHA ONDULADA DE FIBROCIMENTO, METÁLICA, PLÁSTICA OU TERMOACÚSTICA, INCLUSO IÇAMENTO. AF_12/2015</v>
          </cell>
          <cell r="C1345" t="str">
            <v>UN</v>
          </cell>
          <cell r="D1345">
            <v>3056.74</v>
          </cell>
        </row>
        <row r="1346">
          <cell r="A1346" t="str">
            <v>92620</v>
          </cell>
          <cell r="B1346" t="str">
            <v>FABRICAÇÃO E INSTALAÇÃO DE TESOURA INTEIRA EM AÇO, VÃO DE 12 M, PARA TELHA ONDULADA DE FIBROCIMENTO, METÁLICA, PLÁSTICA OU TERMOACÚSTICA, INCLUSO IÇAMENTO. AF_12/2015</v>
          </cell>
          <cell r="C1346" t="str">
            <v>UN</v>
          </cell>
          <cell r="D1346">
            <v>3265.64</v>
          </cell>
        </row>
        <row r="1347">
          <cell r="A1347" t="str">
            <v>100357</v>
          </cell>
          <cell r="B1347" t="str">
            <v>FABRICAÇÃO E INSTALAÇÃO DE MEIA TESOURA DE MADEIRA NÃO APARELHADA, COM VÃO DE 3 M, PARA TELHA CERÂMICA OU DE CONCRETO, INCLUSO IÇAMENTO. AF_07/2019</v>
          </cell>
          <cell r="C1347" t="str">
            <v>UN</v>
          </cell>
          <cell r="D1347">
            <v>1088.32</v>
          </cell>
        </row>
        <row r="1348">
          <cell r="A1348" t="str">
            <v>100358</v>
          </cell>
          <cell r="B1348" t="str">
            <v>FABRICAÇÃO E INSTALAÇÃO DE MEIA TESOURA DE MADEIRA NÃO APARELHADA, COM VÃO DE 4 M, PARA TELHA CERÂMICA OU DE CONCRETO, INCLUSO IÇAMENTO. AF_07/2019</v>
          </cell>
          <cell r="C1348" t="str">
            <v>UN</v>
          </cell>
          <cell r="D1348">
            <v>1455.58</v>
          </cell>
        </row>
        <row r="1349">
          <cell r="A1349" t="str">
            <v>100359</v>
          </cell>
          <cell r="B1349" t="str">
            <v>FABRICAÇÃO E INSTALAÇÃO DE MEIA TESOURA DE MADEIRA NÃO APARELHADA, COM VÃO DE 5 M, PARA TELHA CERÂMICA OU DE CONCRETO, INCLUSO IÇAMENTO. AF_07/2019</v>
          </cell>
          <cell r="C1349" t="str">
            <v>UN</v>
          </cell>
          <cell r="D1349">
            <v>1532.69</v>
          </cell>
        </row>
        <row r="1350">
          <cell r="A1350" t="str">
            <v>100360</v>
          </cell>
          <cell r="B1350" t="str">
            <v>FABRICAÇÃO E INSTALAÇÃO DE MEIA TESOURA DE MADEIRA NÃO APARELHADA, COM VÃO DE 6 M, PARA TELHA CERÂMICA OU DE CONCRETO, INCLUSO IÇAMENTO. AF_07/2019</v>
          </cell>
          <cell r="C1350" t="str">
            <v>UN</v>
          </cell>
          <cell r="D1350">
            <v>1697.67</v>
          </cell>
        </row>
        <row r="1351">
          <cell r="A1351" t="str">
            <v>100361</v>
          </cell>
          <cell r="B1351" t="str">
            <v>FABRICAÇÃO E INSTALAÇÃO DE MEIA TESOURA DE MADEIRA NÃO APARELHADA, COM VÃO DE 7 M, PARA TELHA CERÂMICA OU DE CONCRETO, INCLUSO IÇAMENTO. AF_07/2019</v>
          </cell>
          <cell r="C1351" t="str">
            <v>UN</v>
          </cell>
          <cell r="D1351">
            <v>2096.81</v>
          </cell>
        </row>
        <row r="1352">
          <cell r="A1352" t="str">
            <v>100362</v>
          </cell>
          <cell r="B1352" t="str">
            <v>FABRICAÇÃO E INSTALAÇÃO DE MEIA TESOURA DE MADEIRA NÃO APARELHADA, COM VÃO DE 8 M, PARA TELHA CERÂMICA OU DE CONCRETO, INCLUSO IÇAMENTO. AF_07/2019</v>
          </cell>
          <cell r="C1352" t="str">
            <v>UN</v>
          </cell>
          <cell r="D1352">
            <v>2840.7</v>
          </cell>
        </row>
        <row r="1353">
          <cell r="A1353" t="str">
            <v>100363</v>
          </cell>
          <cell r="B1353" t="str">
            <v>FABRICAÇÃO E INSTALAÇÃO DE MEIA TESOURA DE MADEIRA NÃO APARELHADA, COM VÃO DE 9 M, PARA TELHA CERÂMICA OU DE CONCRETO, INCLUSO IÇAMENTO. AF_07/2019</v>
          </cell>
          <cell r="C1353" t="str">
            <v>UN</v>
          </cell>
          <cell r="D1353">
            <v>2937.07</v>
          </cell>
        </row>
        <row r="1354">
          <cell r="A1354" t="str">
            <v>100364</v>
          </cell>
          <cell r="B1354" t="str">
            <v>FABRICAÇÃO E INSTALAÇÃO DE MEIA TESOURA DE MADEIRA NÃO APARELHADA, COM VÃO DE 10 M, PARA TELHA CERÂMICA OU DE CONCRETO, INCLUSO IÇAMENTO. AF_07/2019</v>
          </cell>
          <cell r="C1354" t="str">
            <v>UN</v>
          </cell>
          <cell r="D1354">
            <v>3183.47</v>
          </cell>
        </row>
        <row r="1355">
          <cell r="A1355" t="str">
            <v>100365</v>
          </cell>
          <cell r="B1355" t="str">
            <v>FABRICAÇÃO E INSTALAÇÃO DE MEIA TESOURA DE MADEIRA NÃO APARELHADA, COM VÃO DE 11 M, PARA TELHA CERÂMICA OU DE CONCRETO, INCLUSO IÇAMENTO. AF_07/2019</v>
          </cell>
          <cell r="C1355" t="str">
            <v>UN</v>
          </cell>
          <cell r="D1355">
            <v>3641.29</v>
          </cell>
        </row>
        <row r="1356">
          <cell r="A1356" t="str">
            <v>100366</v>
          </cell>
          <cell r="B1356" t="str">
            <v>FABRICAÇÃO E INSTALAÇÃO DE MEIA TESOURA DE MADEIRA NÃO APARELHADA, COM VÃO DE 12 M, PARA TELHA CERÂMICA OU DE CONCRETO, INCLUSO IÇAMENTO. AF_07/2019</v>
          </cell>
          <cell r="C1356" t="str">
            <v>UN</v>
          </cell>
          <cell r="D1356">
            <v>3892.92</v>
          </cell>
        </row>
        <row r="1357">
          <cell r="A1357" t="str">
            <v>100367</v>
          </cell>
          <cell r="B1357" t="str">
            <v>FABRICAÇÃO E INSTALAÇÃO DE MEIA TESOURA DE MADEIRA NÃO APARELHADA, COM VÃO DE 3 M, PARA TELHA ONDULADA DE FIBROCIMENTO, ALUMÍNIO, PLÁSTICA OU TERMOACÚSTICA, INCLUSO IÇAMENTO. AF_07/2019</v>
          </cell>
          <cell r="C1357" t="str">
            <v>UN</v>
          </cell>
          <cell r="D1357">
            <v>1059.56</v>
          </cell>
        </row>
        <row r="1358">
          <cell r="A1358" t="str">
            <v>100368</v>
          </cell>
          <cell r="B1358" t="str">
            <v>FABRICAÇÃO E INSTALAÇÃO DE MEIA TESOURA DE MADEIRA NÃO APARELHADA, COM VÃO DE 4 M, PARA TELHA ONDULADA DE FIBROCIMENTO, ALUMÍNIO, PLÁSTICA OU TERMOACÚSTICA, INCLUSO IÇAMENTO. AF_07/2019</v>
          </cell>
          <cell r="C1358" t="str">
            <v>UN</v>
          </cell>
          <cell r="D1358">
            <v>1420.1</v>
          </cell>
        </row>
        <row r="1359">
          <cell r="A1359" t="str">
            <v>100369</v>
          </cell>
          <cell r="B1359" t="str">
            <v>FABRICAÇÃO E INSTALAÇÃO DE MEIA TESOURA DE MADEIRA NÃO APARELHADA, COM VÃO DE 5 M, PARA TELHA ONDULADA DE FIBROCIMENTO, ALUMÍNIO, PLÁSTICA OU TERMOACÚSTICA, INCLUSO IÇAMENTO. AF_07/2019</v>
          </cell>
          <cell r="C1359" t="str">
            <v>UN</v>
          </cell>
          <cell r="D1359">
            <v>1497.21</v>
          </cell>
        </row>
        <row r="1360">
          <cell r="A1360" t="str">
            <v>100370</v>
          </cell>
          <cell r="B1360" t="str">
            <v>FABRICAÇÃO E INSTALAÇÃO DE MEIA TESOURA DE MADEIRA NÃO APARELHADA, COM VÃO DE 6 M, PARA TELHA ONDULADA DE FIBROCIMENTO, ALUMÍNIO, PLÁSTICA OU TERMOACÚSTICA, INCLUSO IÇAMENTO. AF_07/2019</v>
          </cell>
          <cell r="C1360" t="str">
            <v>UN</v>
          </cell>
          <cell r="D1360">
            <v>1772.09</v>
          </cell>
        </row>
        <row r="1361">
          <cell r="A1361" t="str">
            <v>100371</v>
          </cell>
          <cell r="B1361" t="str">
            <v>FABRICAÇÃO E INSTALAÇÃO DE MEIA TESOURA DE MADEIRA NÃO APARELHADA, COM VÃO DE 7 M, PARA TELHA ONDULADA DE FIBROCIMENTO, ALUMÍNIO, PLÁSTICA OU TERMOACÚSTICA, INCLUSO IÇAMENTO. AF_07/2019</v>
          </cell>
          <cell r="C1361" t="str">
            <v>UN</v>
          </cell>
          <cell r="D1361">
            <v>2002.18</v>
          </cell>
        </row>
        <row r="1362">
          <cell r="A1362" t="str">
            <v>100372</v>
          </cell>
          <cell r="B1362" t="str">
            <v>FABRICAÇÃO E INSTALAÇÃO DE MEIA TESOURA DE MADEIRA NÃO APARELHADA, COM VÃO DE 8 M, PARA TELHA ONDULADA DE FIBROCIMENTO, ALUMÍNIO, PLÁSTICA OU TERMOACÚSTICA, INCLUSO IÇAMENTO. AF_07/2019</v>
          </cell>
          <cell r="C1362" t="str">
            <v>UN</v>
          </cell>
          <cell r="D1362">
            <v>2678.58</v>
          </cell>
        </row>
        <row r="1363">
          <cell r="A1363" t="str">
            <v>100373</v>
          </cell>
          <cell r="B1363" t="str">
            <v>FABRICAÇÃO E INSTALAÇÃO DE MEIA TESOURA DE MADEIRA NÃO APARELHADA, COM VÃO DE 9 M, PARA TELHA ONDULADA DE FIBROCIMENTO, ALUMÍNIO, PLÁSTICA OU TERMOACÚSTICA, INCLUSO IÇAMENTO. AF_07/2019</v>
          </cell>
          <cell r="C1363" t="str">
            <v>UN</v>
          </cell>
          <cell r="D1363">
            <v>2771.8</v>
          </cell>
        </row>
        <row r="1364">
          <cell r="A1364" t="str">
            <v>100374</v>
          </cell>
          <cell r="B1364" t="str">
            <v>FABRICAÇÃO E INSTALAÇÃO DE MEIA TESOURA DE MADEIRA NÃO APARELHADA, COM VÃO DE 10 M, PARA TELHA ONDULADA DE FIBROCIMENTO, ALUMÍNIO, PLÁSTICA OU TERMOACÚSTICA, INCLUSO IÇAMENTO. AF_07/2019</v>
          </cell>
          <cell r="C1364" t="str">
            <v>UN</v>
          </cell>
          <cell r="D1364">
            <v>2963.97</v>
          </cell>
        </row>
        <row r="1365">
          <cell r="A1365" t="str">
            <v>100375</v>
          </cell>
          <cell r="B1365" t="str">
            <v>FABRICAÇÃO E INSTALAÇÃO DE MEIA TESOURA DE MADEIRA NÃO APARELHADA, COM VÃO DE 11 M, PARA TELHA ONDULADA DE FIBROCIMENTO, ALUMÍNIO, PLÁSTICA OU TERMOACÚSTICA, INCLUSO IÇAMENTO. AF_07/2019</v>
          </cell>
          <cell r="C1365" t="str">
            <v>UN</v>
          </cell>
          <cell r="D1365">
            <v>3316.32</v>
          </cell>
        </row>
        <row r="1366">
          <cell r="A1366" t="str">
            <v>100376</v>
          </cell>
          <cell r="B1366" t="str">
            <v>FABRICAÇÃO E INSTALAÇÃO DE MEIA TESOURA DE MADEIRA NÃO APARELHADA, COM VÃO DE 12 M, PARA TELHA ONDULADA DE FIBROCIMENTO, ALUMÍNIO, PLÁSTICA OU TERMOACÚSTICA, INCLUSO IÇAMENTO. AF_07/2019</v>
          </cell>
          <cell r="C1366" t="str">
            <v>KG</v>
          </cell>
          <cell r="D1366">
            <v>3249.23</v>
          </cell>
        </row>
        <row r="1367">
          <cell r="A1367" t="str">
            <v>100377</v>
          </cell>
          <cell r="B1367" t="str">
            <v>FABRICAÇÃO E INSTALAÇÃO DE TESOURA (INTEIRA OU MEIA) EM AÇO, VÃOS MAIORES OU IGUAIS A 3,0 M E MENORES OU IGUAL A 6,0 M, INCLUSO IÇAMENTO. AF_07/2019</v>
          </cell>
          <cell r="C1367" t="str">
            <v>KG</v>
          </cell>
          <cell r="D1367">
            <v>18.190000000000001</v>
          </cell>
        </row>
        <row r="1368">
          <cell r="A1368" t="str">
            <v>100378</v>
          </cell>
          <cell r="B1368" t="str">
            <v>FABRICAÇÃO E INSTALAÇÃO DE TESOURA (INTEIRA OU MEIA) EM AÇO, VÃOS MAIORES QUE 6,0 M E MENORES QUE 12,0 M, INCLUSO IÇAMENTO. AF_07/2019</v>
          </cell>
          <cell r="C1368" t="str">
            <v>M2</v>
          </cell>
          <cell r="D1368">
            <v>17.29</v>
          </cell>
        </row>
        <row r="1369">
          <cell r="A1369" t="str">
            <v>100382</v>
          </cell>
          <cell r="B1369" t="str">
            <v>FABRICAÇÃO E INSTALAÇÃO DE PONTALETES DE MADEIRA NÃO APARELHADA PARA TELHADOS COM ATÉ 2 ÁGUAS E COM TELHA ONDULADA DE FIBROCIMENTO, ALUMÍNIO OU PLÁSTICA EM EDIFÍCIO RESIDENCIAL TÉRREO, INCLUSO TRANSPORTE VERTICAL. AF_07/2019</v>
          </cell>
          <cell r="C1369" t="str">
            <v>M2</v>
          </cell>
          <cell r="D1369">
            <v>24.74</v>
          </cell>
        </row>
        <row r="1370">
          <cell r="A1370" t="str">
            <v>94444</v>
          </cell>
          <cell r="B1370" t="str">
            <v>TELHAMENTO COM TELHA DE ENCAIXE, TIPO FRANCESA DE VIDRO, COM ATÉ 2 ÁGUAS, INCLUSO TRANSPORTE VERTICAL. AF_07/2019</v>
          </cell>
          <cell r="C1370" t="str">
            <v>M</v>
          </cell>
          <cell r="D1370">
            <v>589.88</v>
          </cell>
        </row>
        <row r="1371">
          <cell r="A1371" t="str">
            <v>102661</v>
          </cell>
          <cell r="B1371" t="str">
            <v>DRENO SUBSUPERFICIAL (SEÇÃO 0,40 X 0,40 M), COM TUBO DE PEAD CORRUGADO PERFURADO, DN 100 MM, ENCHIMENTO COM AREIA. AF_07/2021</v>
          </cell>
          <cell r="C1371" t="str">
            <v>M</v>
          </cell>
          <cell r="D1371">
            <v>28.17</v>
          </cell>
        </row>
        <row r="1372">
          <cell r="A1372" t="str">
            <v>102663</v>
          </cell>
          <cell r="B1372" t="str">
            <v>DRENO SUBSUPERFICIAL (SEÇÃO 0,40 X 0,40 M), COM TUBO DE CONCRETO SIMPLES POROSO, DN 200 MM, ENCHIMENTO COM AREIA. AF_07/2021</v>
          </cell>
          <cell r="C1372" t="str">
            <v>M</v>
          </cell>
          <cell r="D1372">
            <v>44.91</v>
          </cell>
        </row>
        <row r="1373">
          <cell r="A1373" t="str">
            <v>102664</v>
          </cell>
          <cell r="B1373" t="str">
            <v>DRENO SUBSUPERFICIAL (SEÇÃO 0,40 X 0,40 M), CEGO, ENCHIMENTO DE BRITA, ENVOLVIDO COM MANTA GEOTÊXTIL. AF_07/2021</v>
          </cell>
          <cell r="C1373" t="str">
            <v>M</v>
          </cell>
          <cell r="D1373">
            <v>45.69</v>
          </cell>
        </row>
        <row r="1374">
          <cell r="A1374" t="str">
            <v>102665</v>
          </cell>
          <cell r="B1374" t="str">
            <v>DRENO SUBSUPERFICIAL (SEÇÃO 0,40 X 0,40 M), CEGO, ENCHIMENTO DE BRITA. AF_07/2021</v>
          </cell>
          <cell r="C1374" t="str">
            <v>M</v>
          </cell>
          <cell r="D1374">
            <v>20.11</v>
          </cell>
        </row>
        <row r="1375">
          <cell r="A1375" t="str">
            <v>102666</v>
          </cell>
          <cell r="B1375" t="str">
            <v>DRENO SUBSUPERFICIAL (SEÇÃO 0,40 X 0,40 M), COM TUBO DE PEAD CORRUGADO PERFURADO, DN 100 MM, ENCHIMENTO COM BRITA, ENVOLVIDO COM MANTA GEOTÊXTIL. AF_07/2021</v>
          </cell>
          <cell r="C1375" t="str">
            <v>M</v>
          </cell>
          <cell r="D1375">
            <v>57.34</v>
          </cell>
        </row>
        <row r="1376">
          <cell r="A1376" t="str">
            <v>102669</v>
          </cell>
          <cell r="B1376" t="str">
            <v>DRENO SUBSUPERFICIAL (SEÇÃO 0,40 X 0,40 M), COM TUBO DE CONCRETO SIMPLES POROSO, DN 200 MM, ENCHIMENTO COM BRITA, ENVOLVIDO COM MANTA GEOTÊXTIL. AF_07/2021</v>
          </cell>
          <cell r="C1376" t="str">
            <v>M</v>
          </cell>
          <cell r="D1376">
            <v>73.510000000000005</v>
          </cell>
        </row>
        <row r="1377">
          <cell r="A1377" t="str">
            <v>102670</v>
          </cell>
          <cell r="B1377" t="str">
            <v>DRENO PROFUNDO (SEÇÃO 0,50 X 1,50 M), COM TUBO DE PEAD CORRUGADO PERFURADO, DN 100 MM, ENCHIMENTO COM AREIA, COM SELO DE ARGILA. AF_07/2021</v>
          </cell>
          <cell r="C1377" t="str">
            <v>M</v>
          </cell>
          <cell r="D1377">
            <v>76.099999999999994</v>
          </cell>
        </row>
        <row r="1378">
          <cell r="A1378" t="str">
            <v>102673</v>
          </cell>
          <cell r="B1378" t="str">
            <v>DRENO PROFUNDO (SEÇÃO 0,50 X 1,50 M), COM TUBO DE CONCRETO SIMPLES POROSO, DN 200 MM, ENCHIMENTO COM AREIA, COM SELO DE ARGILA. AF_07/2021</v>
          </cell>
          <cell r="C1378" t="str">
            <v>M</v>
          </cell>
          <cell r="D1378">
            <v>117.06</v>
          </cell>
        </row>
        <row r="1379">
          <cell r="A1379" t="str">
            <v>102674</v>
          </cell>
          <cell r="B1379" t="str">
            <v>DRENO PROFUNDO (SEÇÃO 0,50 X 1,50 M), COM TUBO DE PEAD CORRUGADO PERFURADO, DN 100 MM, ENCHIMENTO COM AREIA. AF_07/2021</v>
          </cell>
          <cell r="C1379" t="str">
            <v>M</v>
          </cell>
          <cell r="D1379">
            <v>80.03</v>
          </cell>
        </row>
        <row r="1380">
          <cell r="A1380" t="str">
            <v>102677</v>
          </cell>
          <cell r="B1380" t="str">
            <v>DRENO PROFUNDO (SEÇÃO 0,50 X 1,50 M), COM TUBO DE CONCRETO SIMPLES POROSO, DN 200 MM, ENCHIMENTO COM AREIA. AF_07/2021</v>
          </cell>
          <cell r="C1380" t="str">
            <v>M</v>
          </cell>
          <cell r="D1380">
            <v>102.31</v>
          </cell>
        </row>
        <row r="1381">
          <cell r="A1381" t="str">
            <v>102678</v>
          </cell>
          <cell r="B1381" t="str">
            <v>DRENO PROFUNDO (SEÇÃO 0,50 X 1,50 M), CEGO, ENCHIMENTO DE BRITA, ENVOLVIDO COM MANTA GEOTÊXTIL, COM SELO DE ARGILA. AF_07/2021</v>
          </cell>
          <cell r="C1381" t="str">
            <v>M</v>
          </cell>
          <cell r="D1381">
            <v>128.22</v>
          </cell>
        </row>
        <row r="1382">
          <cell r="A1382" t="str">
            <v>102679</v>
          </cell>
          <cell r="B1382" t="str">
            <v>DRENO PROFUNDO (SEÇÃO 0,50 X 1,50 M), CEGO, ENCHIMENTO DE BRITA, ENVOLVIDO COM MANTA GEOTÊXTIL. AF_07/2021</v>
          </cell>
          <cell r="C1382" t="str">
            <v>M</v>
          </cell>
          <cell r="D1382">
            <v>136.11000000000001</v>
          </cell>
        </row>
        <row r="1383">
          <cell r="A1383" t="str">
            <v>102680</v>
          </cell>
          <cell r="B1383" t="str">
            <v>DRENO PROFUNDO (SEÇÃO 0,50 X 1,50 M), COM TUBO DE PEAD CORRUGADO PERFURADO, DN 100 MM, ENCHIMENTO COM BRITA, ENVOLVIDO COM MANTA GEOTÊXTIL, COM SELO DE ARGILA. AF_07/2021</v>
          </cell>
          <cell r="C1383" t="str">
            <v>M</v>
          </cell>
          <cell r="D1383">
            <v>140.99</v>
          </cell>
        </row>
        <row r="1384">
          <cell r="A1384" t="str">
            <v>102683</v>
          </cell>
          <cell r="B1384" t="str">
            <v>DRENO PROFUNDO (SEÇÃO 0,50 X 1,50 M), COM TUBO DE CONCRETO SIMPLES POROSO, DN 200 MM, ENCHIMENTO COM BRITA, ENVOLVIDO COM MANTA GEOTÊXTIL, COM SELO DE ARGILA. AF_07/2021</v>
          </cell>
          <cell r="C1384" t="str">
            <v>M</v>
          </cell>
          <cell r="D1384">
            <v>166.15</v>
          </cell>
        </row>
        <row r="1385">
          <cell r="A1385" t="str">
            <v>102684</v>
          </cell>
          <cell r="B1385" t="str">
            <v>DRENO PROFUNDO (SEÇÃO 0,50 X 1,50 M), COM TUBO DE PEAD CORRUGADO PERFURADO, DN 100 MM, ENCHIMENTO COM BRITA, ENVOLVIDO COM MANTA GEOTÊXTIL. AF_07/2021</v>
          </cell>
          <cell r="C1385" t="str">
            <v>M</v>
          </cell>
          <cell r="D1385">
            <v>148.88</v>
          </cell>
        </row>
        <row r="1386">
          <cell r="A1386" t="str">
            <v>102687</v>
          </cell>
          <cell r="B1386" t="str">
            <v>DRENO PROFUNDO (SEÇÃO 0,50 X 1,50 M), COM TUBO DE CONCRETO SIMPLES POROSO, DN 200 MM, ENCHIMENTO COM BRITA, ENVOLVIDO COM MANTA GEOTÊXTIL. AF_07/2021</v>
          </cell>
          <cell r="C1386" t="str">
            <v>M</v>
          </cell>
          <cell r="D1386">
            <v>170.59</v>
          </cell>
        </row>
        <row r="1387">
          <cell r="A1387" t="str">
            <v>102688</v>
          </cell>
          <cell r="B1387" t="str">
            <v>DRENO ESPINHA DE PEIXE (SEÇÃO (0,40 X 0,40 M), COM TUBO DE PEAD CORRUGADO PERFURADO, DN 100 MM, ENCHIMENTO COM AREIA, INCLUSIVE CONEXÕES. AF_07/2021</v>
          </cell>
          <cell r="C1387" t="str">
            <v>M</v>
          </cell>
          <cell r="D1387">
            <v>34.53</v>
          </cell>
        </row>
        <row r="1388">
          <cell r="A1388" t="str">
            <v>102690</v>
          </cell>
          <cell r="B1388" t="str">
            <v>DRENO ESPINHA DE PEIXE (SEÇÃO (0,40 X 0,40 M), COM TUBO DE PEAD CORRUGADO PERFURADO, DN 100 MM, ENCHIMENTO COM BRITA, ENVOLVIDO COM MANTA GEOTÊXTIL, INCLUSIVE CONEXÕES. AF_07/2021</v>
          </cell>
          <cell r="C1388" t="str">
            <v>M</v>
          </cell>
          <cell r="D1388">
            <v>63.68</v>
          </cell>
        </row>
        <row r="1389">
          <cell r="A1389" t="str">
            <v>102694</v>
          </cell>
          <cell r="B1389" t="str">
            <v>DRENO ESPINHA DE PEIXE (SEÇÃO (0,50 X 0,80 M), COM TUBO DE PEAD CORRUGADO PERFURADO, DN 100 MM, ENCHIMENTO COM AREIA, INCLUSIVE CONEXÕES. AF_07/2021</v>
          </cell>
          <cell r="C1389" t="str">
            <v>M</v>
          </cell>
          <cell r="D1389">
            <v>59.36</v>
          </cell>
        </row>
        <row r="1390">
          <cell r="A1390" t="str">
            <v>102697</v>
          </cell>
          <cell r="B1390" t="str">
            <v>DRENO ESPINHA DE PEIXE (SEÇÃO (0,50 X 0,80 M), COM TUBO DE PEAD CORRUGADO PERFURADO, DN 100 MM, ENCHIMENTO COM BRITA, ENVOLVIDO COM MANTA GEOTÊXTIL, INCLUSIVE CONEXÕES. AF_07/2021</v>
          </cell>
          <cell r="C1390" t="str">
            <v>M</v>
          </cell>
          <cell r="D1390">
            <v>103.63</v>
          </cell>
        </row>
        <row r="1391">
          <cell r="A1391" t="str">
            <v>102704</v>
          </cell>
          <cell r="B1391" t="str">
            <v>TUBO DE PEAD CORRUGADO PERFURADO, DN 100 MM, PARA DRENO - FORNECIMENTO E ASSENTAMENTO. AF_07/2021</v>
          </cell>
          <cell r="C1391" t="str">
            <v>M</v>
          </cell>
          <cell r="D1391">
            <v>12.26</v>
          </cell>
        </row>
        <row r="1392">
          <cell r="A1392" t="str">
            <v>102706</v>
          </cell>
          <cell r="B1392" t="str">
            <v>TUBO DE PVC CORRUGADO FLEXÍVEL PERFURADO, DN 100 MM, PARA DRENO - FORNECIMENTO E ASSENTAMENTO. AF_07/2021</v>
          </cell>
          <cell r="C1392" t="str">
            <v>M</v>
          </cell>
          <cell r="D1392">
            <v>14.17</v>
          </cell>
        </row>
        <row r="1393">
          <cell r="A1393" t="str">
            <v>102707</v>
          </cell>
          <cell r="B1393" t="str">
            <v>TUBO DE CONCRETO SIMPLES POROSO, DN 200 MM, PARA DRENO - FORNECIMENTO E ASSENTAMENTO. AF_07/2021</v>
          </cell>
          <cell r="C1393" t="str">
            <v>UN</v>
          </cell>
          <cell r="D1393">
            <v>31.56</v>
          </cell>
        </row>
        <row r="1394">
          <cell r="A1394" t="str">
            <v>102708</v>
          </cell>
          <cell r="B1394" t="str">
            <v>LUVA DE PVC, SÉRIE NORMAL, PARA ESGOTO PREDIAL, DN 100 MM, INSTALADA EM DRENO  - FORNECIMENTO E INSTALAÇÃO. AF_07/2021</v>
          </cell>
          <cell r="C1394" t="str">
            <v>UN</v>
          </cell>
          <cell r="D1394">
            <v>24.52</v>
          </cell>
        </row>
        <row r="1395">
          <cell r="A1395" t="str">
            <v>102710</v>
          </cell>
          <cell r="B1395" t="str">
            <v>JUNÇÃO SIMPLES DE PVC, 45 GRAUS, SÉRIE NORMAL, PARA ESGOTO PREDIAL, DN 100 MM, INSTALADA EM DRENO - FORNECIMENTO E INSTALAÇÃO. AF_07/2021</v>
          </cell>
          <cell r="C1395" t="str">
            <v>UN</v>
          </cell>
          <cell r="D1395">
            <v>62.21</v>
          </cell>
        </row>
        <row r="1396">
          <cell r="A1396" t="str">
            <v>102711</v>
          </cell>
          <cell r="B1396" t="str">
            <v>JUNÇÃO DUPLA DE PVC, SÉRIE NORMAL, PARA ESGOTO PREDIAL, DN 100 X 100 X 100 MM, INSTALADA EM DRENO  - FORNECIMENTO E INSTALAÇÃO. AF_07/2021</v>
          </cell>
          <cell r="C1396" t="str">
            <v>M2</v>
          </cell>
          <cell r="D1396">
            <v>88.35</v>
          </cell>
        </row>
        <row r="1397">
          <cell r="A1397" t="str">
            <v>102712</v>
          </cell>
          <cell r="B1397" t="str">
            <v>GEOTÊXTIL NÃO TECIDO 100% POLIÉSTER, RESISTÊNCIA A TRAÇÃO DE 9 KN/M (RT - 9), INSTALADO EM DRENO - FORNECIMENTO E INSTALAÇÃO. AF_07/2021</v>
          </cell>
          <cell r="C1397" t="str">
            <v>M2</v>
          </cell>
          <cell r="D1397">
            <v>9.89</v>
          </cell>
        </row>
        <row r="1398">
          <cell r="A1398" t="str">
            <v>102713</v>
          </cell>
          <cell r="B1398" t="str">
            <v>GEOTÊXTIL NÃO TECIDO 100% POLIÉSTER, RESISTÊNCIA A TRAÇÃO DE 14 KN/M (RT - 14), INSTALADO EM DRENO - FORNECIMENTO E INSTALAÇÃO. AF_07/2021</v>
          </cell>
          <cell r="C1398" t="str">
            <v>M2</v>
          </cell>
          <cell r="D1398">
            <v>13.63</v>
          </cell>
        </row>
        <row r="1399">
          <cell r="A1399" t="str">
            <v>102715</v>
          </cell>
          <cell r="B1399" t="str">
            <v>GEOTÊXTIL NÃO TECIDO 100% POLIÉSTER, RESISTÊNCIA A TRAÇÃO DE 26 KN/M (RT - 26), INSTALADO EM DRENO - FORNECIMENTO E INSTALAÇÃO. AF_07/2021</v>
          </cell>
          <cell r="C1399" t="str">
            <v>M3</v>
          </cell>
          <cell r="D1399">
            <v>32.369999999999997</v>
          </cell>
        </row>
        <row r="1400">
          <cell r="A1400" t="str">
            <v>102716</v>
          </cell>
          <cell r="B1400" t="str">
            <v>ENCHIMENTO DE AREIA PARA DRENO, LANÇAMENTO MECANIZADO. AF_07/2021</v>
          </cell>
          <cell r="C1400" t="str">
            <v>M3</v>
          </cell>
          <cell r="D1400">
            <v>88.32</v>
          </cell>
        </row>
        <row r="1401">
          <cell r="A1401" t="str">
            <v>102717</v>
          </cell>
          <cell r="B1401" t="str">
            <v>ENCHIMENTO DE BRITA PARA DRENO, LANÇAMENTO MECANIZADO. AF_07/2021</v>
          </cell>
          <cell r="C1401" t="str">
            <v>M3</v>
          </cell>
          <cell r="D1401">
            <v>111.91</v>
          </cell>
        </row>
        <row r="1402">
          <cell r="A1402" t="str">
            <v>102718</v>
          </cell>
          <cell r="B1402" t="str">
            <v>ENCHIMENTO DE AREIA PARA DRENO, LANÇAMENTO MANUAL. AF_07/2021</v>
          </cell>
          <cell r="C1402" t="str">
            <v>M3</v>
          </cell>
          <cell r="D1402">
            <v>95.53</v>
          </cell>
        </row>
        <row r="1403">
          <cell r="A1403" t="str">
            <v>102719</v>
          </cell>
          <cell r="B1403" t="str">
            <v>ENCHIMENTO DE BRITA PARA DRENO, LANÇAMENTO MANUAL. AF_07/2021</v>
          </cell>
          <cell r="C1403" t="str">
            <v>M</v>
          </cell>
          <cell r="D1403">
            <v>119.12</v>
          </cell>
        </row>
        <row r="1404">
          <cell r="A1404" t="str">
            <v>102722</v>
          </cell>
          <cell r="B1404" t="str">
            <v>DRENO EM MURO DE CONTENÇÃO, EXECUTADO NO PÉ DO MURO, COM TUBO DE PEAD CORRUGADO FLEXÍVEL PERFURADO, ENCHIMENTO COM BRITA, ENVOLVIDO COM MANTA GEOTÊXTIL. AF_07/2021</v>
          </cell>
          <cell r="C1404" t="str">
            <v>M</v>
          </cell>
          <cell r="D1404">
            <v>53.39</v>
          </cell>
        </row>
        <row r="1405">
          <cell r="A1405" t="str">
            <v>102723</v>
          </cell>
          <cell r="B1405" t="str">
            <v>DRENO EM MURO DE CONTENÇÃO, EXECUTADO NO PÉ DO MURO, COM TUBO DE PVC CORRUGADO FLEXÍVEL PERFURADO, ENCHIMENTO COM BRITA, ENVOLVIDO COM MANTA GEOTÊXTIL. AF_07/2021</v>
          </cell>
          <cell r="C1405" t="str">
            <v>UN</v>
          </cell>
          <cell r="D1405">
            <v>53.95</v>
          </cell>
        </row>
        <row r="1406">
          <cell r="A1406" t="str">
            <v>102724</v>
          </cell>
          <cell r="B1406" t="str">
            <v>DRENO BARBACÃ, DN 100 MM, COM MATERIAL DRENANTE. AF_07/2021</v>
          </cell>
          <cell r="C1406" t="str">
            <v>UN</v>
          </cell>
          <cell r="D1406">
            <v>31.44</v>
          </cell>
        </row>
        <row r="1407">
          <cell r="A1407" t="str">
            <v>102725</v>
          </cell>
          <cell r="B1407" t="str">
            <v>DRENO BARBACÃ, DN 75 MM, COM MATERIAL DRENANTE. AF_07/2021</v>
          </cell>
          <cell r="C1407" t="str">
            <v>UN</v>
          </cell>
          <cell r="D1407">
            <v>29.9</v>
          </cell>
        </row>
        <row r="1408">
          <cell r="A1408" t="str">
            <v>102726</v>
          </cell>
          <cell r="B1408" t="str">
            <v>DRENO BARBACÃ, DN 50 MM, COM MATERIAL DRENANTE. AF_07/2021</v>
          </cell>
          <cell r="C1408" t="str">
            <v>M3</v>
          </cell>
          <cell r="D1408">
            <v>26.65</v>
          </cell>
        </row>
        <row r="1409">
          <cell r="A1409" t="str">
            <v>92743</v>
          </cell>
          <cell r="B1409" t="str">
            <v>MURO DE GABIÃO, ENCHIMENTO COM PEDRA DE MÃO TIPO RACHÃO, DE GRAVIDADE, COM GAIOLAS DE COMPRIMENTO IGUAL A 2 M, PARA MUROS COM ALTURA MENOR OU IGUAL A 4 M  FORNECIMENTO E EXECUÇÃO. AF_12/2015</v>
          </cell>
          <cell r="C1409" t="str">
            <v>M3</v>
          </cell>
          <cell r="D1409">
            <v>588.55999999999995</v>
          </cell>
        </row>
        <row r="1410">
          <cell r="A1410" t="str">
            <v>92744</v>
          </cell>
          <cell r="B1410" t="str">
            <v>MURO DE GABIÃO, ENCHIMENTO COM PEDRA DE MÃO TIPO RACHÃO, DE GRAVIDADE, COM GAIOLAS DE COMPRIMENTO IGUAL A 5 M, PARA MUROS COM ALTURA MENOR OU IGUAL A 4 M  FORNECIMENTO E EXECUÇÃO. AF_12/2015</v>
          </cell>
          <cell r="C1410" t="str">
            <v>M3</v>
          </cell>
          <cell r="D1410">
            <v>552.23</v>
          </cell>
        </row>
        <row r="1411">
          <cell r="A1411" t="str">
            <v>92745</v>
          </cell>
          <cell r="B1411" t="str">
            <v>MURO DE GABIÃO, ENCHIMENTO COM PEDRA DE MÃO TIPO RACHÃO, DE GRAVIDADE, COM GAIOLAS DE COMPRIMENTO IGUAL A 2 M, PARA MUROS COM ALTURA MAIOR QUE 4 M E MENOR OU IGUAL A 6 M  FORNECIMENTO E EXECUÇÃO. AF_12/2015</v>
          </cell>
          <cell r="C1411" t="str">
            <v>M3</v>
          </cell>
          <cell r="D1411">
            <v>728.91</v>
          </cell>
        </row>
        <row r="1412">
          <cell r="A1412" t="str">
            <v>92746</v>
          </cell>
          <cell r="B1412" t="str">
            <v>MURO DE GABIÃO, ENCHIMENTO COM PEDRA DE MÃO TIPO RACHÃO, DE GRAVIDADE, COM GAIOLAS DE COMPRIMENTO IGUAL A 5 M, PARA MUROS COM ALTURA MAIOR QUE 4 M E MENOR OU IGUAL A 6 M   FORNECIMENTO E EXECUÇÃO. AF_12/2015</v>
          </cell>
          <cell r="C1412" t="str">
            <v>M3</v>
          </cell>
          <cell r="D1412">
            <v>657.35</v>
          </cell>
        </row>
        <row r="1413">
          <cell r="A1413" t="str">
            <v>92747</v>
          </cell>
          <cell r="B1413" t="str">
            <v>MURO DE GABIÃO, ENCHIMENTO COM PEDRA DE MÃO TIPO RACHÃO, DE GRAVIDADE, COM GAIOLAS DE COMPRIMENTO IGUAL A 2 M, PARA MUROS COM ALTURA MAIOR QUE 6 M E MENOR OU IGUAL A 10 M   FORNECIMENTO E EXECUÇÃO. AF_12/2015</v>
          </cell>
          <cell r="C1413" t="str">
            <v>M3</v>
          </cell>
          <cell r="D1413">
            <v>808.49</v>
          </cell>
        </row>
        <row r="1414">
          <cell r="A1414" t="str">
            <v>92748</v>
          </cell>
          <cell r="B1414" t="str">
            <v>MURO DE GABIÃO, ENCHIMENTO COM PEDRA DE MÃO TIPO RACHÃO, DE GRAVIDADE, COM GAIOLAS DE COMPRIMENTO IGUAL A 5 M, PARA MUROS COM ALTURA MAIOR QUE 6 M E MENOR OU IGUAL A 10 M FORNECIMENTO E EXECUÇÃO. AF_12/2015</v>
          </cell>
          <cell r="C1414" t="str">
            <v>M3</v>
          </cell>
          <cell r="D1414">
            <v>717.28</v>
          </cell>
        </row>
        <row r="1415">
          <cell r="A1415" t="str">
            <v>92749</v>
          </cell>
          <cell r="B1415" t="str">
            <v>MURO DE GABIÃO, ENCHIMENTO COM PEDRA DE MÃO TIPO RACHÃO, COM SOLO REFORÇADO, PARA MUROS COM ALTURA MENOR OU IGUAL A 4 M   FORNECIMENTO E EXECUÇÃO. AF_12/2015</v>
          </cell>
          <cell r="C1415" t="str">
            <v>M3</v>
          </cell>
          <cell r="D1415">
            <v>835.04</v>
          </cell>
        </row>
        <row r="1416">
          <cell r="A1416" t="str">
            <v>92750</v>
          </cell>
          <cell r="B1416" t="str">
            <v>MURO DE GABIÃO, ENCHIMENTO COM PEDRA DE MÃO TIPO RACHÃO, COM SOLO REFORÇADO, PARA MUROS COM ALTURA MAIOR QUE 4 M E MENOR OU IGUAL A 12 M   FORNECIMENTO E EXECUÇÃO. AF_12/2015</v>
          </cell>
          <cell r="C1416" t="str">
            <v>M3</v>
          </cell>
          <cell r="D1416">
            <v>1427.33</v>
          </cell>
        </row>
        <row r="1417">
          <cell r="A1417" t="str">
            <v>92751</v>
          </cell>
          <cell r="B1417" t="str">
            <v>MURO DE GABIÃO, ENCHIMENTO COM PEDRA DE MÃO TIPO RACHÃO, COM SOLO REFORÇADO, PARA MUROS COM ALTURA MAIOR QUE 12 M E MENOR OU IGUAL A 20 M    FORNECIMENTO E EXECUÇÃO. AF_12/2015</v>
          </cell>
          <cell r="C1417" t="str">
            <v>M3</v>
          </cell>
          <cell r="D1417">
            <v>1770.83</v>
          </cell>
        </row>
        <row r="1418">
          <cell r="A1418" t="str">
            <v>92752</v>
          </cell>
          <cell r="B1418" t="str">
            <v>MURO DE GABIÃO, ENCHIMENTO COM PEDRA DE MÃO TIPO RACHÃO, COM SOLO REFORÇADO, PARA MUROS COM ALTURA MAIOR QUE 20 M E MENOR OU IGUAL A 28 M   FORNECIMENTO E EXECUÇÃO. AF_12/2015</v>
          </cell>
          <cell r="C1418" t="str">
            <v>M3</v>
          </cell>
          <cell r="D1418">
            <v>2112.83</v>
          </cell>
        </row>
        <row r="1419">
          <cell r="A1419" t="str">
            <v>92753</v>
          </cell>
          <cell r="B1419" t="str">
            <v>MURO DE GABIÃO, ENCHIMENTO COM RESÍDUO DE CONSTRUÇÃO E DEMOLIÇÃO, DE GRAVIDADE, COM GAIOLA TRAPEZOIDAL DE COMPRIMENTO IGUAL A 2 M, PARA MUROS COM ALTURA MENOR OU IGUAL A 2 M   FORNECIMENTO E EXECUÇÃO. AF_12/2015</v>
          </cell>
          <cell r="C1419" t="str">
            <v>M3</v>
          </cell>
          <cell r="D1419">
            <v>552.34</v>
          </cell>
        </row>
        <row r="1420">
          <cell r="A1420" t="str">
            <v>92754</v>
          </cell>
          <cell r="B1420" t="str">
            <v>MURO DE GABIÃO, ENCHIMENTO COM RESÍDUO DE CONSTRUÇÃO E DEMOLIÇÃO, DE GRAVIDADE, COM GAIOLA TRAPEZOIDAL DE COMPRIMENTO IGUAL A 2 M, PARA MUROS COM ALTURA MAIOR QUE 2 M E MENOR OU IGUAL A 4 M    FORNECIMENTO E EXECUÇÃO. AF_12/2015</v>
          </cell>
          <cell r="C1420" t="str">
            <v>M2</v>
          </cell>
          <cell r="D1420">
            <v>502.45</v>
          </cell>
        </row>
        <row r="1421">
          <cell r="A1421" t="str">
            <v>92755</v>
          </cell>
          <cell r="B1421" t="str">
            <v>PROTEÇÃO SUPERFICIAL DE CANAL EM GABIÃO TIPO COLCHÃO, ALTURA DE 17 CENTÍMETROS, ENCHIMENTO COM PEDRA DE MÃO TIPO RACHÃO - FORNECIMENTO E EXECUÇÃO. AF_12/2015</v>
          </cell>
          <cell r="C1421" t="str">
            <v>M2</v>
          </cell>
          <cell r="D1421">
            <v>216.9</v>
          </cell>
        </row>
        <row r="1422">
          <cell r="A1422" t="str">
            <v>92756</v>
          </cell>
          <cell r="B1422" t="str">
            <v>PROTEÇÃO SUPERFICIAL DE CANAL EM GABIÃO TIPO COLCHÃO, ALTURA DE 23 CENTÍMETROS, ENCHIMENTO COM PEDRA DE MÃO TIPO RACHÃO - FORNECIMENTO E EXECUÇÃO. AF_12/2015</v>
          </cell>
          <cell r="C1422" t="str">
            <v>M2</v>
          </cell>
          <cell r="D1422">
            <v>246.2</v>
          </cell>
        </row>
        <row r="1423">
          <cell r="A1423" t="str">
            <v>92757</v>
          </cell>
          <cell r="B1423" t="str">
            <v>PROTEÇÃO SUPERFICIAL DE CANAL EM GABIÃO TIPO COLCHÃO, ALTURA DE 30 CENTÍMETROS, ENCHIMENTO COM PEDRA DE MÃO TIPO RACHÃO - FORNECIMENTO E EXECUÇÃO. AF_12/2015</v>
          </cell>
          <cell r="C1423" t="str">
            <v>M3</v>
          </cell>
          <cell r="D1423">
            <v>281.76</v>
          </cell>
        </row>
        <row r="1424">
          <cell r="A1424" t="str">
            <v>92758</v>
          </cell>
          <cell r="B1424" t="str">
            <v>PROTEÇÃO SUPERFICIAL DE CANAL EM GABIÃO TIPO SACO, DIÂMETRO DE 65 CENTÍMETROS, ENCHIMENTO MANUAL COM PEDRA DE MÃO TIPO RACHÃO - FORNECIMENTO E EXECUÇÃO. AF_12/2015</v>
          </cell>
          <cell r="C1424" t="str">
            <v>M2</v>
          </cell>
          <cell r="D1424">
            <v>643.4</v>
          </cell>
        </row>
        <row r="1425">
          <cell r="A1425" t="str">
            <v>91069</v>
          </cell>
          <cell r="B1425" t="str">
            <v>EXECUÇÃO DE REVESTIMENTO DE CONCRETO PROJETADO COM ESPESSURA DE 7 CM, ARMADO COM TELA, INCLINAÇÃO MENOR QUE 90°, APLICAÇÃO CONTÍNUA, UTILIZANDO EQUIPAMENTO DE PROJEÇÃO COM 6 M³/H DE CAPACIDADE. AF_01/2016</v>
          </cell>
          <cell r="C1425" t="str">
            <v>M2</v>
          </cell>
          <cell r="D1425">
            <v>121.2</v>
          </cell>
        </row>
        <row r="1426">
          <cell r="A1426" t="str">
            <v>91070</v>
          </cell>
          <cell r="B1426" t="str">
            <v>EXECUÇÃO DE REVESTIMENTO DE CONCRETO PROJETADO COM ESPESSURA DE 10 CM, ARMADO COM TELA, INCLINAÇÃO MENOR QUE 90°, APLICAÇÃO CONTÍNUA, UTILIZANDO EQUIPAMENTO DE PROJEÇÃO COM 6 M³/H DE CAPACIDADE. AF_01/2016</v>
          </cell>
          <cell r="C1426" t="str">
            <v>M2</v>
          </cell>
          <cell r="D1426">
            <v>131.16</v>
          </cell>
        </row>
        <row r="1427">
          <cell r="A1427" t="str">
            <v>91071</v>
          </cell>
          <cell r="B1427" t="str">
            <v>EXECUÇÃO DE REVESTIMENTO DE CONCRETO PROJETADO COM ESPESSURA DE 7 CM, ARMADO COM TELA, INCLINAÇÃO DE 90°, APLICAÇÃO CONTÍNUA, UTILIZANDO EQUIPAMENTO DE PROJEÇÃO COM 6 M³/H DE CAPACIDADE. AF_01/2016</v>
          </cell>
          <cell r="C1427" t="str">
            <v>M2</v>
          </cell>
          <cell r="D1427">
            <v>163.38999999999999</v>
          </cell>
        </row>
        <row r="1428">
          <cell r="A1428" t="str">
            <v>91072</v>
          </cell>
          <cell r="B1428" t="str">
            <v>EXECUÇÃO DE REVESTIMENTO DE CONCRETO PROJETADO COM ESPESSURA DE 10 CM, ARMADO COM TELA, INCLINAÇÃO DE 90°, APLICAÇÃO CONTÍNUA, UTILIZANDO EQUIPAMENTO DE PROJEÇÃO COM 6 M³/H DE CAPACIDADE. AF_01/2016</v>
          </cell>
          <cell r="C1428" t="str">
            <v>M2</v>
          </cell>
          <cell r="D1428">
            <v>173.33</v>
          </cell>
        </row>
        <row r="1429">
          <cell r="A1429" t="str">
            <v>91073</v>
          </cell>
          <cell r="B1429" t="str">
            <v>EXECUÇÃO DE REVESTIMENTO DE CONCRETO PROJETADO COM ESPESSURA DE 7 CM, ARMADO COM TELA, INCLINAÇÃO MENOR QUE 90°, APLICAÇÃO CONTÍNUA, UTILIZANDO EQUIPAMENTO DE PROJEÇÃO COM 3 M³/H DE CAPACIDADE. AF_01/2016</v>
          </cell>
          <cell r="C1429" t="str">
            <v>M2</v>
          </cell>
          <cell r="D1429">
            <v>136.28</v>
          </cell>
        </row>
        <row r="1430">
          <cell r="A1430" t="str">
            <v>91074</v>
          </cell>
          <cell r="B1430" t="str">
            <v>EXECUÇÃO DE REVESTIMENTO DE CONCRETO PROJETADO COM ESPESSURA DE 10 CM, ARMADO COM TELA, INCLINAÇÃO MENOR QUE 90°, APLICAÇÃO CONTÍNUA, UTILIZANDO EQUIPAMENTO DE PROJEÇÃO COM 3 M³/H DE CAPACIDADE. AF_01/2016</v>
          </cell>
          <cell r="C1430" t="str">
            <v>M2</v>
          </cell>
          <cell r="D1430">
            <v>147.80000000000001</v>
          </cell>
        </row>
        <row r="1431">
          <cell r="A1431" t="str">
            <v>91075</v>
          </cell>
          <cell r="B1431" t="str">
            <v>EXECUÇÃO DE REVESTIMENTO DE CONCRETO PROJETADO COM ESPESSURA DE 7 CM, ARMADO COM TELA, INCLINAÇÃO DE 90°, APLICAÇÃO CONTÍNUA, UTILIZANDO EQUIPAMENTO DE PROJEÇÃO COM 3 M³/H DE CAPACIDADE. AF_01/2016</v>
          </cell>
          <cell r="C1431" t="str">
            <v>M2</v>
          </cell>
          <cell r="D1431">
            <v>181.14</v>
          </cell>
        </row>
        <row r="1432">
          <cell r="A1432" t="str">
            <v>91076</v>
          </cell>
          <cell r="B1432" t="str">
            <v>EXECUÇÃO DE REVESTIMENTO DE CONCRETO PROJETADO COM ESPESSURA DE 10 CM, ARMADO COM TELA, INCLINAÇÃO DE 90°, APLICAÇÃO CONTÍNUA, UTILIZANDO EQUIPAMENTO DE PROJEÇÃO COM 3 M³/H DE CAPACIDADE. AF_01/2016</v>
          </cell>
          <cell r="C1432" t="str">
            <v>M2</v>
          </cell>
          <cell r="D1432">
            <v>192.68</v>
          </cell>
        </row>
        <row r="1433">
          <cell r="A1433" t="str">
            <v>91077</v>
          </cell>
          <cell r="B1433" t="str">
            <v>EXECUÇÃO DE REVESTIMENTO DE CONCRETO PROJETADO COM ESPESSURA DE 7 CM, ARMADO COM FIBRAS DE AÇO, INCLINAÇÃO MENOR QUE 90°, APLICAÇÃO CONTÍNUA, UTILIZANDO EQUIPAMENTO DE PROJEÇÃO COM 6 M³/H DE CAPACIDADE. AF_01/2016</v>
          </cell>
          <cell r="C1433" t="str">
            <v>M2</v>
          </cell>
          <cell r="D1433">
            <v>115.18</v>
          </cell>
        </row>
        <row r="1434">
          <cell r="A1434" t="str">
            <v>91078</v>
          </cell>
          <cell r="B1434" t="str">
            <v>EXECUÇÃO DE REVESTIMENTO DE CONCRETO PROJETADO COM ESPESSURA DE 10 CM, ARMADO COM FIBRAS DE AÇO, INCLINAÇÃO MENOR QUE 90°, APLICAÇÃO CONTÍNUA, UTILIZANDO EQUIPAMENTO DE PROJEÇÃO COM 6 M³/H DE CAPACIDADE. AF_01/2016</v>
          </cell>
          <cell r="C1434" t="str">
            <v>M2</v>
          </cell>
          <cell r="D1434">
            <v>134.63</v>
          </cell>
        </row>
        <row r="1435">
          <cell r="A1435" t="str">
            <v>91079</v>
          </cell>
          <cell r="B1435" t="str">
            <v>EXECUÇÃO DE REVESTIMENTO DE CONCRETO PROJETADO COM ESPESSURA DE 7 CM, ARMADO COM FIBRAS DE AÇO, INCLINAÇÃO DE 90°, APLICAÇÃO CONTÍNUA, UTILIZANDO EQUIPAMENTO DE PROJEÇÃO COM 6 M³/H DE CAPACIDADE. AF_01/2016</v>
          </cell>
          <cell r="C1435" t="str">
            <v>M2</v>
          </cell>
          <cell r="D1435">
            <v>121.12</v>
          </cell>
        </row>
        <row r="1436">
          <cell r="A1436" t="str">
            <v>91080</v>
          </cell>
          <cell r="B1436" t="str">
            <v>EXECUÇÃO DE REVESTIMENTO DE CONCRETO PROJETADO COM ESPESSURA DE 10 CM, ARMADO COM FIBRAS DE AÇO, INCLINAÇÃO DE 90°, APLICAÇÃO CONTÍNUA, UTILIZANDO EQUIPAMENTO DE PROJEÇÃO COM 6 M³/H DE CAPACIDADE. AF_01/2016</v>
          </cell>
          <cell r="C1436" t="str">
            <v>M2</v>
          </cell>
          <cell r="D1436">
            <v>140.36000000000001</v>
          </cell>
        </row>
        <row r="1437">
          <cell r="A1437" t="str">
            <v>91081</v>
          </cell>
          <cell r="B1437" t="str">
            <v>EXECUÇÃO DE REVESTIMENTO DE CONCRETO PROJETADO COM ESPESSURA DE 7 CM, ARMADO COM FIBRAS DE AÇO, INCLINAÇÃO MENOR QUE 90°, APLICAÇÃO CONTÍNUA, UTILIZANDO EQUIPAMENTO DE PROJEÇÃO COM 3 M³/H DE CAPACIDADE. AF_01/2016</v>
          </cell>
          <cell r="C1437" t="str">
            <v>M2</v>
          </cell>
          <cell r="D1437">
            <v>131.97</v>
          </cell>
        </row>
        <row r="1438">
          <cell r="A1438" t="str">
            <v>91082</v>
          </cell>
          <cell r="B1438" t="str">
            <v>EXECUÇÃO DE REVESTIMENTO DE CONCRETO PROJETADO COM ESPESSURA DE 10 CM, ARMADO COM FIBRAS DE AÇO, INCLINAÇÃO MENOR QUE 90°, APLICAÇÃO CONTÍNUA, UTILIZANDO EQUIPAMENTO DE PROJEÇÃO COM 3 M³/H DE CAPACIDADE. AF_01/2016</v>
          </cell>
          <cell r="C1438" t="str">
            <v>M2</v>
          </cell>
          <cell r="D1438">
            <v>152.79</v>
          </cell>
        </row>
        <row r="1439">
          <cell r="A1439" t="str">
            <v>91083</v>
          </cell>
          <cell r="B1439" t="str">
            <v>EXECUÇÃO DE REVESTIMENTO DE CONCRETO PROJETADO COM ESPESSURA DE 7 CM, ARMADO COM FIBRAS DE AÇO, INCLINAÇÃO DE 90°, APLICAÇÃO CONTÍNUA, UTILIZANDO EQUIPAMENTO DE PROJEÇÃO COM 3 M³/H DE CAPACIDADE. AF_01/2016</v>
          </cell>
          <cell r="C1439" t="str">
            <v>M2</v>
          </cell>
          <cell r="D1439">
            <v>142.44</v>
          </cell>
        </row>
        <row r="1440">
          <cell r="A1440" t="str">
            <v>91084</v>
          </cell>
          <cell r="B1440" t="str">
            <v>EXECUÇÃO DE REVESTIMENTO DE CONCRETO PROJETADO COM ESPESSURA DE 10 CM, ARMADO COM FIBRAS DE AÇO, INCLINAÇÃO DE 90°, APLICAÇÃO CONTÍNUA, UTILIZANDO EQUIPAMENTO DE PROJEÇÃO COM 3 M³/H DE CAPACIDADE. AF_01/2016</v>
          </cell>
          <cell r="C1440" t="str">
            <v>M2</v>
          </cell>
          <cell r="D1440">
            <v>162.96</v>
          </cell>
        </row>
        <row r="1441">
          <cell r="A1441" t="str">
            <v>91086</v>
          </cell>
          <cell r="B1441" t="str">
            <v>EXECUÇÃO DE REVESTIMENTO DE CONCRETO PROJETADO COM ESPESSURA DE 7 CM, ARMADO COM TELA, INCLINAÇÃO MENOR QUE 90°, APLICAÇÃO DESCONTÍNUA, UTILIZANDO EQUIPAMENTO DE PROJEÇÃO COM 6 M³/H DE CAPACIDADE. AF_01/2016</v>
          </cell>
          <cell r="C1441" t="str">
            <v>M2</v>
          </cell>
          <cell r="D1441">
            <v>132.85</v>
          </cell>
        </row>
        <row r="1442">
          <cell r="A1442" t="str">
            <v>91087</v>
          </cell>
          <cell r="B1442" t="str">
            <v>EXECUÇÃO DE REVESTIMENTO DE CONCRETO PROJETADO COM ESPESSURA DE 10 CM, ARMADO COM TELA, INCLINAÇÃO MENOR QUE 90°, APLICAÇÃO DESCONTÍNUA, UTILIZANDO EQUIPAMENTO DE PROJEÇÃO COM 6 M³/H DE CAPACIDADE. AF_01/2016</v>
          </cell>
          <cell r="C1442" t="str">
            <v>M2</v>
          </cell>
          <cell r="D1442">
            <v>143.13999999999999</v>
          </cell>
        </row>
        <row r="1443">
          <cell r="A1443" t="str">
            <v>91088</v>
          </cell>
          <cell r="B1443" t="str">
            <v>EXECUÇÃO DE REVESTIMENTO DE CONCRETO PROJETADO COM ESPESSURA DE 7 CM, ARMADO COM TELA, INCLINAÇÃO DE 90°, APLICAÇÃO DESCONTÍNUA, UTILIZANDO EQUIPAMENTO DE PROJEÇÃO COM 6 M³/H DE CAPACIDADE. AF_01/2016</v>
          </cell>
          <cell r="C1443" t="str">
            <v>M2</v>
          </cell>
          <cell r="D1443">
            <v>176.51</v>
          </cell>
        </row>
        <row r="1444">
          <cell r="A1444" t="str">
            <v>91089</v>
          </cell>
          <cell r="B1444" t="str">
            <v>EXECUÇÃO DE REVESTIMENTO DE CONCRETO PROJETADO COM ESPESSURA DE 10 CM, ARMADO COM TELA, INCLINAÇÃO DE 90°, APLICAÇÃO DESCONTÍNUA, UTILIZANDO EQUIPAMENTO DE PROJEÇÃO COM 6 M³/H DE CAPACIDADE. AF_01/2016</v>
          </cell>
          <cell r="C1444" t="str">
            <v>M2</v>
          </cell>
          <cell r="D1444">
            <v>186.93</v>
          </cell>
        </row>
        <row r="1445">
          <cell r="A1445" t="str">
            <v>91090</v>
          </cell>
          <cell r="B1445" t="str">
            <v>EXECUÇÃO DE REVESTIMENTO DE CONCRETO PROJETADO COM ESPESSURA DE 7 CM, ARMADO COM TELA, INCLINAÇÃO MENOR QUE 90°, APLICAÇÃO DESCONTÍNUA, UTILIZANDO EQUIPAMENTO DE PROJEÇÃO COM 3 M³/H DE CAPACIDADE. AF_01/2016</v>
          </cell>
          <cell r="C1445" t="str">
            <v>M2</v>
          </cell>
          <cell r="D1445">
            <v>145.87</v>
          </cell>
        </row>
        <row r="1446">
          <cell r="A1446" t="str">
            <v>91091</v>
          </cell>
          <cell r="B1446" t="str">
            <v>EXECUÇÃO DE REVESTIMENTO DE CONCRETO PROJETADO COM ESPESSURA DE 10 CM, ARMADO COM TELA, INCLINAÇÃO MENOR QUE 90°, APLICAÇÃO DESCONTÍNUA, UTILIZANDO EQUIPAMENTO DE PROJEÇÃO COM 3 M³/H DE CAPACIDADE. AF_01/2016</v>
          </cell>
          <cell r="C1446" t="str">
            <v>M2</v>
          </cell>
          <cell r="D1446">
            <v>157.93</v>
          </cell>
        </row>
        <row r="1447">
          <cell r="A1447" t="str">
            <v>91092</v>
          </cell>
          <cell r="B1447" t="str">
            <v>EXECUÇÃO DE REVESTIMENTO DE CONCRETO PROJETADO COM ESPESSURA DE 7 CM, ARMADO COM TELA, INCLINAÇÃO DE 90°, APLICAÇÃO DESCONTÍNUA, UTILIZANDO EQUIPAMENTO DE PROJEÇÃO COM 3 M³/H DE CAPACIDADE. AF_01/2016</v>
          </cell>
          <cell r="C1447" t="str">
            <v>M2</v>
          </cell>
          <cell r="D1447">
            <v>191.7</v>
          </cell>
        </row>
        <row r="1448">
          <cell r="A1448" t="str">
            <v>91093</v>
          </cell>
          <cell r="B1448" t="str">
            <v>EXECUÇÃO DE REVESTIMENTO DE CONCRETO PROJETADO COM ESPESSURA DE 10 CM, ARMADO COM TELA, INCLINAÇÃO DE 90°, APLICAÇÃO DESCONTÍNUA, UTILIZANDO EQUIPAMENTO DE PROJEÇÃO COM 3 M³/H DE CAPACIDADE. AF_01/2016</v>
          </cell>
          <cell r="C1448" t="str">
            <v>M2</v>
          </cell>
          <cell r="D1448">
            <v>204.06</v>
          </cell>
        </row>
        <row r="1449">
          <cell r="A1449" t="str">
            <v>91094</v>
          </cell>
          <cell r="B1449" t="str">
            <v>EXECUÇÃO DE REVESTIMENTO DE CONCRETO PROJETADO COM ESPESSURA DE 7 CM, ARMADO COM FIBRAS DE AÇO, INCLINAÇÃO MENOR QUE 90°, APLICAÇÃO DESCONTÍNUA, UTILIZANDO EQUIPAMENTO DE PROJEÇÃO COM 6 M³/H DE CAPACIDADE. AF_01/2016</v>
          </cell>
          <cell r="C1449" t="str">
            <v>M2</v>
          </cell>
          <cell r="D1449">
            <v>121.89</v>
          </cell>
        </row>
        <row r="1450">
          <cell r="A1450" t="str">
            <v>91095</v>
          </cell>
          <cell r="B1450" t="str">
            <v>EXECUÇÃO DE REVESTIMENTO DE CONCRETO PROJETADO COM ESPESSURA DE 10 CM, ARMADO COM FIBRAS DE AÇO, INCLINAÇÃO MENOR QUE 90°, APLICAÇÃO DESCONTÍNUA, UTILIZANDO EQUIPAMENTO DE PROJEÇÃO COM 6 M³/H DE CAPACIDADE. AF_01/2016</v>
          </cell>
          <cell r="C1450" t="str">
            <v>M2</v>
          </cell>
          <cell r="D1450">
            <v>141.74</v>
          </cell>
        </row>
        <row r="1451">
          <cell r="A1451" t="str">
            <v>91096</v>
          </cell>
          <cell r="B1451" t="str">
            <v>EXECUÇÃO DE REVESTIMENTO DE CONCRETO PROJETADO COM ESPESSURA DE 7 CM, ARMADO COM FIBRAS DE AÇO, INCLINAÇÃO DE 90°, APLICAÇÃO DESCONTÍNUA, UTILIZANDO EQUIPAMENTO DE PROJEÇÃO COM 6 M³/H DE CAPACIDADE. AF_01/2016</v>
          </cell>
          <cell r="C1451" t="str">
            <v>M2</v>
          </cell>
          <cell r="D1451">
            <v>124.76</v>
          </cell>
        </row>
        <row r="1452">
          <cell r="A1452" t="str">
            <v>91097</v>
          </cell>
          <cell r="B1452" t="str">
            <v>EXECUÇÃO DE REVESTIMENTO DE CONCRETO PROJETADO COM ESPESSURA DE 10 CM, ARMADO COM FIBRAS DE AÇO, INCLINAÇÃO DE 90°, APLICAÇÃO DESCONTÍNUA, UTILIZANDO EQUIPAMENTO DE PROJEÇÃO COM 6 M³/H DE CAPACIDADE. AF_01/2016</v>
          </cell>
          <cell r="C1452" t="str">
            <v>M2</v>
          </cell>
          <cell r="D1452">
            <v>144.44999999999999</v>
          </cell>
        </row>
        <row r="1453">
          <cell r="A1453" t="str">
            <v>91098</v>
          </cell>
          <cell r="B1453" t="str">
            <v>EXECUÇÃO DE REVESTIMENTO DE CONCRETO PROJETADO COM ESPESSURA DE 7 CM, ARMADO COM FIBRAS DE AÇO, INCLINAÇÃO MENOR QUE 90°, APLICAÇÃO DESCONTÍNUA, UTILIZANDO EQUIPAMENTO DE PROJEÇÃO COM 3 M³/H DE CAPACIDADE. AF_01/2016</v>
          </cell>
          <cell r="C1453" t="str">
            <v>M2</v>
          </cell>
          <cell r="D1453">
            <v>138.52000000000001</v>
          </cell>
        </row>
        <row r="1454">
          <cell r="A1454" t="str">
            <v>91099</v>
          </cell>
          <cell r="B1454" t="str">
            <v>EXECUÇÃO DE REVESTIMENTO DE CONCRETO PROJETADO COM ESPESSURA DE 10 CM, ARMADO COM FIBRAS DE AÇO, INCLINAÇÃO MENOR QUE 90°, APLICAÇÃO DESCONTÍNUA, UTILIZANDO EQUIPAMENTO DE PROJEÇÃO COM 3 M³/H DE CAPACIDADE. AF_01/2016</v>
          </cell>
          <cell r="C1454" t="str">
            <v>M2</v>
          </cell>
          <cell r="D1454">
            <v>159.86000000000001</v>
          </cell>
        </row>
        <row r="1455">
          <cell r="A1455" t="str">
            <v>91100</v>
          </cell>
          <cell r="B1455" t="str">
            <v>EXECUÇÃO DE REVESTIMENTO DE CONCRETO PROJETADO COM ESPESSURA DE 7 CM, ARMADO COM FIBRAS DE AÇO, INCLINAÇÃO DE 90°, APLICAÇÃO DESCONTÍNUA, UTILIZANDO EQUIPAMENTO DE PROJEÇÃO COM 3 M³/H DE CAPACIDADE. AF_01/2016</v>
          </cell>
          <cell r="C1455" t="str">
            <v>M2</v>
          </cell>
          <cell r="D1455">
            <v>146.74</v>
          </cell>
        </row>
        <row r="1456">
          <cell r="A1456" t="str">
            <v>91101</v>
          </cell>
          <cell r="B1456" t="str">
            <v>EXECUÇÃO DE REVESTIMENTO DE CONCRETO PROJETADO COM ESPESSURA DE 10 CM, ARMADO COM FIBRAS DE AÇO, INCLINAÇÃO DE 90°, APLICAÇÃO DESCONTÍNUA, UTILIZANDO EQUIPAMENTO DE PROJEÇÃO COM 3 M³/H DE CAPACIDADE. AF_01/2016</v>
          </cell>
          <cell r="C1456" t="str">
            <v>M</v>
          </cell>
          <cell r="D1456">
            <v>167.96</v>
          </cell>
        </row>
        <row r="1457">
          <cell r="A1457" t="str">
            <v>93952</v>
          </cell>
          <cell r="B1457" t="str">
            <v>EXECUÇÃO DE GRAMPO PARA SOLO GRAMPEADO COM COMPRIMENTO MENOR OU IGUAL A 4 M, DIÂMETRO DE 10 CM, PERFURAÇÃO COM EQUIPAMENTO MANUAL E ARMADURA COM DIÂMETRO DE 16 MM. AF_05/2016</v>
          </cell>
          <cell r="C1457" t="str">
            <v>M</v>
          </cell>
          <cell r="D1457">
            <v>216.81</v>
          </cell>
        </row>
        <row r="1458">
          <cell r="A1458" t="str">
            <v>93953</v>
          </cell>
          <cell r="B1458" t="str">
            <v>EXECUÇÃO DE GRAMPO PARA SOLO GRAMPEADO COM COMPRIMENTO MAIOR QUE 4 M E MENOR OU IGUAL A 6 M, DIÂMETRO DE 10 CM, PERFURAÇÃO COM EQUIPAMENTO MANUAL E ARMADURA COM DIÂMETRO DE 16 MM. AF_05/2016</v>
          </cell>
          <cell r="C1458" t="str">
            <v>M</v>
          </cell>
          <cell r="D1458">
            <v>201.52</v>
          </cell>
        </row>
        <row r="1459">
          <cell r="A1459" t="str">
            <v>93954</v>
          </cell>
          <cell r="B1459" t="str">
            <v>EXECUÇÃO DE GRAMPO PARA SOLO GRAMPEADO COM COMPRIMENTO MAIOR QUE 6 M E MENOR OU IGUAL A 8 M, DIÂMETRO DE 10 CM, PERFURAÇÃO COM EQUIPAMENTO MANUAL E ARMADURA COM DIÂMETRO DE 16 MM. AF_05/2016</v>
          </cell>
          <cell r="C1459" t="str">
            <v>M</v>
          </cell>
          <cell r="D1459">
            <v>192.34</v>
          </cell>
        </row>
        <row r="1460">
          <cell r="A1460" t="str">
            <v>93955</v>
          </cell>
          <cell r="B1460" t="str">
            <v>EXECUÇÃO DE GRAMPO PARA SOLO GRAMPEADO COM COMPRIMENTO MAIOR QUE 8 M E MENOR OU IGUAL A 10 M, DIÂMETRO DE 10 CM, PERFURAÇÃO COM EQUIPAMENTO MANUAL E ARMADURA COM DIÂMETRO DE 16 MM. AF_05/2016</v>
          </cell>
          <cell r="C1460" t="str">
            <v>M</v>
          </cell>
          <cell r="D1460">
            <v>185.85</v>
          </cell>
        </row>
        <row r="1461">
          <cell r="A1461" t="str">
            <v>93956</v>
          </cell>
          <cell r="B1461" t="str">
            <v>EXECUÇÃO DE GRAMPO PARA SOLO GRAMPEADO COM COMPRIMENTO MAIOR QUE 10 M, DIÂMETRO DE 10 CM, PERFURAÇÃO COM EQUIPAMENTO MANUAL E ARMADURA COM DIÂMETRO DE 16 MM. AF_05/2016</v>
          </cell>
          <cell r="C1461" t="str">
            <v>M</v>
          </cell>
          <cell r="D1461">
            <v>180.74</v>
          </cell>
        </row>
        <row r="1462">
          <cell r="A1462" t="str">
            <v>93957</v>
          </cell>
          <cell r="B1462" t="str">
            <v>EXECUÇÃO DE GRAMPO PARA SOLO GRAMPEADO COM COMPRIMENTO MENOR OU IGUAL A 4 M, DIÂMETRO DE 10 CM, PERFURAÇÃO COM EQUIPAMENTO MANUAL E ARMADURA COM DIÂMETRO DE 20 MM. AF_05/2016</v>
          </cell>
          <cell r="C1462" t="str">
            <v>M</v>
          </cell>
          <cell r="D1462">
            <v>234.25</v>
          </cell>
        </row>
        <row r="1463">
          <cell r="A1463" t="str">
            <v>93958</v>
          </cell>
          <cell r="B1463" t="str">
            <v>EXECUÇÃO DE GRAMPO PARA SOLO GRAMPEADO COM COMPRIMENTO MAIOR QUE 4 M E MENOR OU IGUAL A 6 M, DIÂMETRO DE 10 CM, PERFURAÇÃO COM EQUIPAMENTO MANUAL E ARMADURA COM DIÂMETRO DE 20 MM. AF_05/2016</v>
          </cell>
          <cell r="C1463" t="str">
            <v>M</v>
          </cell>
          <cell r="D1463">
            <v>217.97</v>
          </cell>
        </row>
        <row r="1464">
          <cell r="A1464" t="str">
            <v>93959</v>
          </cell>
          <cell r="B1464" t="str">
            <v>EXECUÇÃO DE GRAMPO PARA SOLO GRAMPEADO COM COMPRIMENTO MAIOR QUE 6 M E MENOR OU IGUAL A 8 M, DIÂMETRO DE 10 CM, PERFURAÇÃO COM EQUIPAMENTO MANUAL E ARMADURA COM DIÂMETRO DE 20 MM. AF_05/2016</v>
          </cell>
          <cell r="C1464" t="str">
            <v>M</v>
          </cell>
          <cell r="D1464">
            <v>208.35</v>
          </cell>
        </row>
        <row r="1465">
          <cell r="A1465" t="str">
            <v>93960</v>
          </cell>
          <cell r="B1465" t="str">
            <v>EXECUÇÃO DE GRAMPO PARA SOLO GRAMPEADO COM COMPRIMENTO MAIOR QUE 8 M E MENOR OU IGUAL A 10 M, DIÂMETRO DE 10 CM, PERFURAÇÃO COM EQUIPAMENTO MANUAL E ARMADURA COM DIÂMETRO DE 20 MM. AF_05/2016</v>
          </cell>
          <cell r="C1465" t="str">
            <v>M</v>
          </cell>
          <cell r="D1465">
            <v>201.57</v>
          </cell>
        </row>
        <row r="1466">
          <cell r="A1466" t="str">
            <v>93961</v>
          </cell>
          <cell r="B1466" t="str">
            <v>EXECUÇÃO DE GRAMPO PARA SOLO GRAMPEADO COM COMPRIMENTO MAIOR QUE 10 M, DIÂMETRO DE 10 CM, PERFURAÇÃO COM EQUIPAMENTO MANUAL E ARMADURA COM DIÂMETRO DE 20 MM. AF_05/2016</v>
          </cell>
          <cell r="C1466" t="str">
            <v>M</v>
          </cell>
          <cell r="D1466">
            <v>196.25</v>
          </cell>
        </row>
        <row r="1467">
          <cell r="A1467" t="str">
            <v>93962</v>
          </cell>
          <cell r="B1467" t="str">
            <v>EXECUÇÃO DE GRAMPO PARA SOLO GRAMPEADO COM COMPRIMENTO MENOR OU IGUAL A 4 M, DIÂMETRO DE 7 CM, PERFURAÇÃO COM EQUIPAMENTO MANUAL E ARMADURA COM DIÂMETRO DE 16 MM. AF_05/2016</v>
          </cell>
          <cell r="C1467" t="str">
            <v>M</v>
          </cell>
          <cell r="D1467">
            <v>205.37</v>
          </cell>
        </row>
        <row r="1468">
          <cell r="A1468" t="str">
            <v>93963</v>
          </cell>
          <cell r="B1468" t="str">
            <v>EXECUÇÃO DE GRAMPO PARA SOLO GRAMPEADO COM COMPRIMENTO MAIOR QUE 4 E MENOR OU IGUAL A 6 M, DIÂMETRO DE 7 CM, PERFURAÇÃO COM EQUIPAMENTO MANUAL E ARMADURA COM DIÂMETRO DE 16 MM. AF_05/2016</v>
          </cell>
          <cell r="C1468" t="str">
            <v>M</v>
          </cell>
          <cell r="D1468">
            <v>190.1</v>
          </cell>
        </row>
        <row r="1469">
          <cell r="A1469" t="str">
            <v>93964</v>
          </cell>
          <cell r="B1469" t="str">
            <v>EXECUÇÃO DE GRAMPO PARA SOLO GRAMPEADO COM COMPRIMENTO MAIOR QUE 6 M E MENOR OU IGUAL A 8 M, DIÂMETRO DE 7 CM, PERFURAÇÃO COM EQUIPAMENTO MANUAL E ARMADURA COM DIÂMETRO DE 16 MM. AF_05/2016</v>
          </cell>
          <cell r="C1469" t="str">
            <v>M</v>
          </cell>
          <cell r="D1469">
            <v>180.99</v>
          </cell>
        </row>
        <row r="1470">
          <cell r="A1470" t="str">
            <v>93965</v>
          </cell>
          <cell r="B1470" t="str">
            <v>EXECUÇÃO DE GRAMPO PARA SOLO GRAMPEADO COM COMPRIMENTO MAIOR QUE 8 M E MENOR OU IGUAL A 10 M, DIÂMETRO DE 7 CM, PERFURAÇÃO COM EQUIPAMENTO MANUAL E ARMADURA COM DIÂMETRO DE 16 MM. AF_05/2016</v>
          </cell>
          <cell r="C1470" t="str">
            <v>M</v>
          </cell>
          <cell r="D1470">
            <v>171.7</v>
          </cell>
        </row>
        <row r="1471">
          <cell r="A1471" t="str">
            <v>93966</v>
          </cell>
          <cell r="B1471" t="str">
            <v>EXECUÇÃO DE GRAMPO PARA SOLO GRAMPEADO COM COMPRIMENTO MAIOR QUE 10 M, DIÂMETRO DE 7 CM, PERFURAÇÃO COM EQUIPAMENTO MANUAL E ARMADURA COM DIÂMETRO DE 16 MM. AF_05/2016</v>
          </cell>
          <cell r="C1471" t="str">
            <v>M</v>
          </cell>
          <cell r="D1471">
            <v>169.45</v>
          </cell>
        </row>
        <row r="1472">
          <cell r="A1472" t="str">
            <v>93967</v>
          </cell>
          <cell r="B1472" t="str">
            <v>EXECUÇÃO DE GRAMPO PARA SOLO GRAMPEADO COM COMPRIMENTO MENOR OU IGUAL A 4 M, DIÂMETRO DE 7 CM, PERFURAÇÃO COM EQUIPAMENTO MANUAL E ARMADURA COM DIÂMETRO DE 20 MM. AF_05/2016</v>
          </cell>
          <cell r="C1472" t="str">
            <v>M</v>
          </cell>
          <cell r="D1472">
            <v>222.83</v>
          </cell>
        </row>
        <row r="1473">
          <cell r="A1473" t="str">
            <v>93968</v>
          </cell>
          <cell r="B1473" t="str">
            <v>EXECUÇÃO DE GRAMPO PARA SOLO GRAMPEADO COM COMPRIMENTO MAIOR QUE 4 E MENOR OU IGUAL A 6 M, DIÂMETRO DE 7 CM, PERFURAÇÃO COM EQUIPAMENTO MANUAL E ARMADURA COM DIÂMETRO DE 20 MM. AF_05/2016</v>
          </cell>
          <cell r="C1473" t="str">
            <v>M</v>
          </cell>
          <cell r="D1473">
            <v>206.57</v>
          </cell>
        </row>
        <row r="1474">
          <cell r="A1474" t="str">
            <v>93969</v>
          </cell>
          <cell r="B1474" t="str">
            <v>EXECUÇÃO DE GRAMPO PARA SOLO GRAMPEADO COM COMPRIMENTO MAIOR QUE 6 M E MENOR OU IGUAL A 8 M, DIÂMETRO DE 7 CM, PERFURAÇÃO COM EQUIPAMENTO MANUAL E ARMADURA COM DIÂMETRO DE 20 MM. AF_05/2016</v>
          </cell>
          <cell r="C1474" t="str">
            <v>M</v>
          </cell>
          <cell r="D1474">
            <v>196.99</v>
          </cell>
        </row>
        <row r="1475">
          <cell r="A1475" t="str">
            <v>93970</v>
          </cell>
          <cell r="B1475" t="str">
            <v>EXECUÇÃO DE GRAMPO PARA SOLO GRAMPEADO COM COMPRIMENTO MAIOR QUE 8 MENOR OU IGUAL A 10 M, DIÂMETRO DE 7 CM, PERFURAÇÃO COM EQUIPAMENTO MANUAL E ARMADURA COM DIÂMETRO DE 20 MM. AF_05/2016</v>
          </cell>
          <cell r="C1475" t="str">
            <v>M</v>
          </cell>
          <cell r="D1475">
            <v>190.25</v>
          </cell>
        </row>
        <row r="1476">
          <cell r="A1476" t="str">
            <v>93971</v>
          </cell>
          <cell r="B1476" t="str">
            <v>EXECUÇÃO DE GRAMPO PARA SOLO GRAMPEADO COM COMPRIMENTO MAIOR QUE 10 M, DIÂMETRO DE 7 CM, PERFURAÇÃO COM EQUIPAMENTO MANUAL E ARMADURA COM DIÂMETRO DE 20 MM. AF_05/2016</v>
          </cell>
          <cell r="C1476" t="str">
            <v>UN</v>
          </cell>
          <cell r="D1476">
            <v>179.01</v>
          </cell>
        </row>
        <row r="1477">
          <cell r="A1477" t="str">
            <v>95108</v>
          </cell>
          <cell r="B1477" t="str">
            <v>EXECUÇÃO DE PROTEÇÃO DA CABEÇA DO TIRANTE COM USO DE FÔRMAS EM CHAPA COMPENSADA PLASTIFICADA DE MADEIRA E CONCRETO FCK =15 MPA. AF_07/2016</v>
          </cell>
          <cell r="C1477" t="str">
            <v>M2</v>
          </cell>
          <cell r="D1477">
            <v>27.92</v>
          </cell>
        </row>
        <row r="1478">
          <cell r="A1478" t="str">
            <v>100332</v>
          </cell>
          <cell r="B1478" t="str">
            <v>CONTENÇÃO EM PERFIL PRANCHADO COM PRANCHÃO DE MADEIRA, PERFIS ESPAÇADOS A 1,5 M PARA 1 SUBSOLO. AF_07/2019</v>
          </cell>
          <cell r="C1478" t="str">
            <v>M2</v>
          </cell>
          <cell r="D1478">
            <v>1300.44</v>
          </cell>
        </row>
        <row r="1479">
          <cell r="A1479" t="str">
            <v>100333</v>
          </cell>
          <cell r="B1479" t="str">
            <v>CONTENÇÃO EM PERFIL PRANCHADO COM PRANCHÃO DE MADEIRA, PERFIS ESPAÇADOS A 1,5 M PARA 2 OU MAIS SUBSOLOS. AF_07/2019</v>
          </cell>
          <cell r="C1479" t="str">
            <v>M2</v>
          </cell>
          <cell r="D1479">
            <v>760.49</v>
          </cell>
        </row>
        <row r="1480">
          <cell r="A1480" t="str">
            <v>100334</v>
          </cell>
          <cell r="B1480" t="str">
            <v>CONTENÇÃO EM PERFIL PRANCHADO COM PRANCHÃO DE MADEIRA, PERFIS ESPAÇADOS A 2 M PARA 1 SUBSOLO. AF_07/2019</v>
          </cell>
          <cell r="C1480" t="str">
            <v>M2</v>
          </cell>
          <cell r="D1480">
            <v>1009.04</v>
          </cell>
        </row>
        <row r="1481">
          <cell r="A1481" t="str">
            <v>100335</v>
          </cell>
          <cell r="B1481" t="str">
            <v>CONTENÇÃO EM PERFIL PRANCHADO COM PRANCHÃO DE MADEIRA, PERFIS ESPAÇADOS A 2 M PARA 2 OU MAIS SUBSOLOS. AF_07/2019</v>
          </cell>
          <cell r="C1481" t="str">
            <v>M2</v>
          </cell>
          <cell r="D1481">
            <v>604.08000000000004</v>
          </cell>
        </row>
        <row r="1482">
          <cell r="A1482" t="str">
            <v>100341</v>
          </cell>
          <cell r="B1482" t="str">
            <v>FABRICAÇÃO, MONTAGEM E DESMONTAGEM DE FÔRMA PARA CORTINA DE CONTENÇÃO, EM CHAPA DE MADEIRA COMPENSADA PLASTIFICADA, E = 18 MM, 10 UTILIZAÇÕES. AF_07/2019</v>
          </cell>
          <cell r="C1482" t="str">
            <v>KG</v>
          </cell>
          <cell r="D1482">
            <v>34.65</v>
          </cell>
        </row>
        <row r="1483">
          <cell r="A1483" t="str">
            <v>100342</v>
          </cell>
          <cell r="B1483" t="str">
            <v>ARMAÇÃO DE CORTINA DE CONTENÇÃO EM CONCRETO ARMADO, COM AÇO CA-50 DE 6,3 MM - MONTAGEM. AF_07/2019</v>
          </cell>
          <cell r="C1483" t="str">
            <v>KG</v>
          </cell>
          <cell r="D1483">
            <v>18.37</v>
          </cell>
        </row>
        <row r="1484">
          <cell r="A1484" t="str">
            <v>100343</v>
          </cell>
          <cell r="B1484" t="str">
            <v>ARMAÇÃO DE CORTINA DE CONTENÇÃO EM CONCRETO ARMADO, COM AÇO CA-50 DE 8 MM - MONTAGEM. AF_07/2019</v>
          </cell>
          <cell r="C1484" t="str">
            <v>KG</v>
          </cell>
          <cell r="D1484">
            <v>17.579999999999998</v>
          </cell>
        </row>
        <row r="1485">
          <cell r="A1485" t="str">
            <v>100344</v>
          </cell>
          <cell r="B1485" t="str">
            <v>ARMAÇÃO DE CORTINA DE CONTENÇÃO EM CONCRETO ARMADO, COM AÇO CA-50 DE 10 MM - MONTAGEM. AF_07/2019</v>
          </cell>
          <cell r="C1485" t="str">
            <v>KG</v>
          </cell>
          <cell r="D1485">
            <v>15.89</v>
          </cell>
        </row>
        <row r="1486">
          <cell r="A1486" t="str">
            <v>100345</v>
          </cell>
          <cell r="B1486" t="str">
            <v>ARMAÇÃO DE CORTINA DE CONTENÇÃO EM CONCRETO ARMADO, COM AÇO CA-50 DE 12,5 MM - MONTAGEM. AF_07/2019</v>
          </cell>
          <cell r="C1486" t="str">
            <v>KG</v>
          </cell>
          <cell r="D1486">
            <v>13.52</v>
          </cell>
        </row>
        <row r="1487">
          <cell r="A1487" t="str">
            <v>100346</v>
          </cell>
          <cell r="B1487" t="str">
            <v>ARMAÇÃO DE CORTINA DE CONTENÇÃO EM CONCRETO ARMADO, COM AÇO CA-50 DE 16 MM - MONTAGEM. AF_07/2019</v>
          </cell>
          <cell r="C1487" t="str">
            <v>KG</v>
          </cell>
          <cell r="D1487">
            <v>12.99</v>
          </cell>
        </row>
        <row r="1488">
          <cell r="A1488" t="str">
            <v>100347</v>
          </cell>
          <cell r="B1488" t="str">
            <v>ARMAÇÃO DE CORTINA DE CONTENÇÃO EM CONCRETO ARMADO, COM AÇO CA-50 DE 20 MM - MONTAGEM. AF_07/2019</v>
          </cell>
          <cell r="C1488" t="str">
            <v>KG</v>
          </cell>
          <cell r="D1488">
            <v>14.71</v>
          </cell>
        </row>
        <row r="1489">
          <cell r="A1489" t="str">
            <v>100348</v>
          </cell>
          <cell r="B1489" t="str">
            <v>ARMAÇÃO DE CORTINA DE CONTENÇÃO EM CONCRETO ARMADO, COM AÇO CA-50 DE 25 MM - MONTAGEM. AF_07/2019</v>
          </cell>
          <cell r="C1489" t="str">
            <v>M3</v>
          </cell>
          <cell r="D1489">
            <v>14.44</v>
          </cell>
        </row>
        <row r="1490">
          <cell r="A1490" t="str">
            <v>100349</v>
          </cell>
          <cell r="B1490" t="str">
            <v>CONCRETAGEM DE CORTINA DE CONTENÇÃO, ATRAVÉS DE BOMBA   LANÇAMENTO, ADENSAMENTO E ACABAMENTO. AF_07/2019</v>
          </cell>
          <cell r="C1490" t="str">
            <v>M</v>
          </cell>
          <cell r="D1490">
            <v>408.85</v>
          </cell>
        </row>
        <row r="1491">
          <cell r="A1491" t="str">
            <v>102989</v>
          </cell>
          <cell r="B1491" t="str">
            <v>CANALETA MEIA CANA PRÉ-MOLDADA DE CONCRETO (D = 20 CM) - FORNECIMENTO E INSTALAÇÃO. AF_08/2021</v>
          </cell>
          <cell r="C1491" t="str">
            <v>M</v>
          </cell>
          <cell r="D1491">
            <v>28.52</v>
          </cell>
        </row>
        <row r="1492">
          <cell r="A1492" t="str">
            <v>102990</v>
          </cell>
          <cell r="B1492" t="str">
            <v>CANALETA MEIA CANA PRÉ-MOLDADA DE CONCRETO (D = 30 CM) - FORNECIMENTO E INSTALAÇÃO. AF_08/2021</v>
          </cell>
          <cell r="C1492" t="str">
            <v>M</v>
          </cell>
          <cell r="D1492">
            <v>34.56</v>
          </cell>
        </row>
        <row r="1493">
          <cell r="A1493" t="str">
            <v>102991</v>
          </cell>
          <cell r="B1493" t="str">
            <v>CANALETA MEIA CANA PRÉ-MOLDADA DE CONCRETO (D = 40 CM) - FORNECIMENTO E INSTALAÇÃO. AF_08/2021</v>
          </cell>
          <cell r="C1493" t="str">
            <v>M</v>
          </cell>
          <cell r="D1493">
            <v>44.66</v>
          </cell>
        </row>
        <row r="1494">
          <cell r="A1494" t="str">
            <v>102992</v>
          </cell>
          <cell r="B1494" t="str">
            <v>CANALETA MEIA CANA PRÉ-MOLDADA DE CONCRETO (D = 50 CM) - FORNECIMENTO E INSTALAÇÃO. AF_08/2021</v>
          </cell>
          <cell r="C1494" t="str">
            <v>M</v>
          </cell>
          <cell r="D1494">
            <v>64.39</v>
          </cell>
        </row>
        <row r="1495">
          <cell r="A1495" t="str">
            <v>102993</v>
          </cell>
          <cell r="B1495" t="str">
            <v>CANALETA MEIA CANA PRÉ-MOLDADA DE CONCRETO (D = 60 CM) - FORNECIMENTO E INSTALAÇÃO. AF_08/2021</v>
          </cell>
          <cell r="C1495" t="str">
            <v>M</v>
          </cell>
          <cell r="D1495">
            <v>84</v>
          </cell>
        </row>
        <row r="1496">
          <cell r="A1496" t="str">
            <v>102994</v>
          </cell>
          <cell r="B1496" t="str">
            <v>CANALETA MEIA CANA PRÉ-MOLDADA DE CONCRETO (D = 80 CM) - FORNECIMENTO E INSTALAÇÃO. AF_08/2021</v>
          </cell>
          <cell r="C1496" t="str">
            <v>M</v>
          </cell>
          <cell r="D1496">
            <v>140.16999999999999</v>
          </cell>
        </row>
        <row r="1497">
          <cell r="A1497" t="str">
            <v>102995</v>
          </cell>
          <cell r="B1497" t="str">
            <v>EXECUÇÃO DE CANALETA DE CONCRETO MOLDADO IN LOCO, ESPESSURA DE 0,07 M, GEOMETRIA TRAPEZOIDAL (DIMENSÕES INTERNAS: B=0,6 M; B=0,147 M; H=0,2 M). AF_08/2021</v>
          </cell>
          <cell r="C1497" t="str">
            <v>M</v>
          </cell>
          <cell r="D1497">
            <v>41.09</v>
          </cell>
        </row>
        <row r="1498">
          <cell r="A1498" t="str">
            <v>102996</v>
          </cell>
          <cell r="B1498" t="str">
            <v>EXECUÇÃO DE CANALETA DE CONCRETO MOLDADO IN LOCO, ESPESSURA DE 0,07 M, GEOMETRIA TRAPEZOIDAL (DIMENSÕES INTERNAS: B=0,9 M; B=0,246 M; H=0,3 M). AF_08/2021</v>
          </cell>
          <cell r="C1498" t="str">
            <v>M</v>
          </cell>
          <cell r="D1498">
            <v>57.99</v>
          </cell>
        </row>
        <row r="1499">
          <cell r="A1499" t="str">
            <v>102997</v>
          </cell>
          <cell r="B1499" t="str">
            <v>EXECUÇÃO DE CANALETA DE CONCRETO MOLDADO IN LOCO, ESPESSURA DE 0,08 M, GEOMETRIA TRAPEZOIDAL (DIMENSÕES INTERNAS: B=1M; B=0,5 M; H=0,25 M). AF_08/2021</v>
          </cell>
          <cell r="C1499" t="str">
            <v>M</v>
          </cell>
          <cell r="D1499">
            <v>76.84</v>
          </cell>
        </row>
        <row r="1500">
          <cell r="A1500" t="str">
            <v>102998</v>
          </cell>
          <cell r="B1500" t="str">
            <v>EXECUÇÃO DE CANALETA DE CONCRETO MOLDADO IN LOCO, ESPESSURA DE 0,08 M, GEOMETRIA TRAPEZOIDAL (DIMENSÕES INTERNAS: B=1,074 M; B=0,534 M; H=0,27 M). AF_08/2021</v>
          </cell>
          <cell r="C1500" t="str">
            <v>M</v>
          </cell>
          <cell r="D1500">
            <v>73.709999999999994</v>
          </cell>
        </row>
        <row r="1501">
          <cell r="A1501" t="str">
            <v>102999</v>
          </cell>
          <cell r="B1501" t="str">
            <v>EXECUÇÃO DE CANALETA DE CONCRETO MOLDADO IN LOCO, ESPESSURA DE 0,08 M, GEOMETRIA TRAPEZOIDAL (DIMENSÕES INTERNAS: B=1,4 M; B=0,7 M; H=0,35 M). AF_08/2021</v>
          </cell>
          <cell r="C1501" t="str">
            <v>M</v>
          </cell>
          <cell r="D1501">
            <v>93.18</v>
          </cell>
        </row>
        <row r="1502">
          <cell r="A1502" t="str">
            <v>103000</v>
          </cell>
          <cell r="B1502" t="str">
            <v>EXECUÇÃO DE CANALETA DE CONCRETO MOLDADO IN LOCO, ESPESSURA DE 0,08 M, GEOMETRIA TRAPEZOIDAL (DIMENSÕES INTERNAS: B=1,474 M; B=0,934 M; H=0,27 M). AF_08/2021</v>
          </cell>
          <cell r="C1502" t="str">
            <v>UN</v>
          </cell>
          <cell r="D1502">
            <v>93.57</v>
          </cell>
        </row>
        <row r="1503">
          <cell r="A1503" t="str">
            <v>103001</v>
          </cell>
          <cell r="B1503" t="str">
            <v>GRELHA DE FERRO FUNDIDO SIMPLES COM REQUADRO, 150 X 1000 MM, ASSENTADA COM ARGAMASSA 1 : 3 CIMENTO: AREIA - FORNECIMENTO E INSTALAÇÃO. AF_08/2021</v>
          </cell>
          <cell r="C1503" t="str">
            <v>UN</v>
          </cell>
          <cell r="D1503">
            <v>245.46</v>
          </cell>
        </row>
        <row r="1504">
          <cell r="A1504" t="str">
            <v>103002</v>
          </cell>
          <cell r="B1504" t="str">
            <v>GRELHA DE FERRO FUNDIDO SIMPLES COM REQUADRO, 200 X 1000 MM, ASSENTADA COM ARGAMASSA 1 : 3 CIMENTO: AREIA - FORNECIMENTO E INSTALAÇÃO. AF_08/2021</v>
          </cell>
          <cell r="C1504" t="str">
            <v>UN</v>
          </cell>
          <cell r="D1504">
            <v>306.87</v>
          </cell>
        </row>
        <row r="1505">
          <cell r="A1505" t="str">
            <v>103003</v>
          </cell>
          <cell r="B1505" t="str">
            <v>GRELHA DE FERRO FUNDIDO SIMPLES COM REQUADRO, 300 X 1000 MM, ASSENTADA COM ARGAMASSA 1 : 3 CIMENTO: AREIA - FORNECIMENTO E INSTALAÇÃO. AF_08/2021</v>
          </cell>
          <cell r="C1505" t="str">
            <v>UN</v>
          </cell>
          <cell r="D1505">
            <v>429.71</v>
          </cell>
        </row>
        <row r="1506">
          <cell r="A1506" t="str">
            <v>103005</v>
          </cell>
          <cell r="B1506" t="str">
            <v>CAIXA COM GRELHA RETANGULAR DE FERRO FUNDIDO, EM ALVENARIA COM TIJOLOS CERÂMICOS MACIÇOS, DIMENSÕES INTERNAS: 0,15 X 1,00 X 0,3 M. AF_08/2021</v>
          </cell>
          <cell r="C1506" t="str">
            <v>UN</v>
          </cell>
          <cell r="D1506">
            <v>549.22</v>
          </cell>
        </row>
        <row r="1507">
          <cell r="A1507" t="str">
            <v>103006</v>
          </cell>
          <cell r="B1507" t="str">
            <v>CAIXA COM GRELHA RETANGULAR DE FERRO FUNDIDO, EM ALVENARIA COM TIJOLOS CERÂMICOS MACIÇOS, DIMENSÕES INTERNAS: 0,20 X 1,00 X 0,4 M. AF_08/2021</v>
          </cell>
          <cell r="C1507" t="str">
            <v>UN</v>
          </cell>
          <cell r="D1507">
            <v>739.93</v>
          </cell>
        </row>
        <row r="1508">
          <cell r="A1508" t="str">
            <v>103007</v>
          </cell>
          <cell r="B1508" t="str">
            <v>CAIXA COM GRELHA RETANGULAR DE FERRO FUNDIDO, EM ALVENARIA COM TIJOLOS CERÂMICOS MACIÇOS, DIMENSÕES INTERNAS: 0,30 X 1,00 X 0,5 M. AF_08/2021</v>
          </cell>
          <cell r="C1508" t="str">
            <v>UN</v>
          </cell>
          <cell r="D1508">
            <v>979.61</v>
          </cell>
        </row>
        <row r="1509">
          <cell r="A1509" t="str">
            <v>97933</v>
          </cell>
          <cell r="B1509" t="str">
            <v>CAIXA COM GRELHA SIMPLES RETANGULAR, EM CONCRETO PRÉ-MOLDADO, DIMENSÕES INTERNAS: 0,6X1,0X1,0 M. AF_12/2020</v>
          </cell>
          <cell r="C1509" t="str">
            <v>UN</v>
          </cell>
          <cell r="D1509">
            <v>720.69</v>
          </cell>
        </row>
        <row r="1510">
          <cell r="A1510" t="str">
            <v>97934</v>
          </cell>
          <cell r="B1510" t="str">
            <v>CAIXA COM GRELHA DUPLA RETANGULAR, EM CONCRETO PRÉ-MOLDADO, DIMENSÕES INTERNAS: 0,6X2,2X1,0 M. AF_12/2020</v>
          </cell>
          <cell r="C1510" t="str">
            <v>UN</v>
          </cell>
          <cell r="D1510">
            <v>1814.54</v>
          </cell>
        </row>
        <row r="1511">
          <cell r="A1511" t="str">
            <v>97935</v>
          </cell>
          <cell r="B1511" t="str">
            <v>CAIXA PARA BOCA DE LOBO SIMPLES RETANGULAR, EM CONCRETO PRÉ-MOLDADO, DIMENSÕES INTERNAS: 0,6X1,0X1,2 M. AF_12/2020</v>
          </cell>
          <cell r="C1511" t="str">
            <v>UN</v>
          </cell>
          <cell r="D1511">
            <v>638.42999999999995</v>
          </cell>
        </row>
        <row r="1512">
          <cell r="A1512" t="str">
            <v>97936</v>
          </cell>
          <cell r="B1512" t="str">
            <v>CAIXA PARA BOCA DE LOBO DUPLA RETANGULAR, EM CONCRETO PRÉ-MOLDADO, DIMENSÕES INTERNAS: 0,6X2,2X1,2 M. AF_12/2020</v>
          </cell>
          <cell r="C1512" t="str">
            <v>UN</v>
          </cell>
          <cell r="D1512">
            <v>1724.59</v>
          </cell>
        </row>
        <row r="1513">
          <cell r="A1513" t="str">
            <v>97947</v>
          </cell>
          <cell r="B1513" t="str">
            <v>CAIXA COM GRELHA SIMPLES RETANGULAR, EM ALVENARIA COM TIJOLOS CERÂMICOS MACIÇOS, DIMENSÕES INTERNAS: 0,5X1X1 M. AF_12/2020</v>
          </cell>
          <cell r="C1513" t="str">
            <v>UN</v>
          </cell>
          <cell r="D1513">
            <v>1355.62</v>
          </cell>
        </row>
        <row r="1514">
          <cell r="A1514" t="str">
            <v>97948</v>
          </cell>
          <cell r="B1514" t="str">
            <v>CAIXA COM GRELHA DUPLA RETANGULAR, EM ALVENARIA COM TIJOLOS CERÂMICOS MACIÇOS, DIMENSÕES INTERNAS: 0,5X2,2X1 M. AF_12/2020</v>
          </cell>
          <cell r="C1514" t="str">
            <v>UN</v>
          </cell>
          <cell r="D1514">
            <v>2520.9699999999998</v>
          </cell>
        </row>
        <row r="1515">
          <cell r="A1515" t="str">
            <v>97949</v>
          </cell>
          <cell r="B1515" t="str">
            <v>CAIXA PARA BOCA DE LOBO SIMPLES RETANGULAR, EM ALVENARIA COM TIJOLOS CERÂMICOS MACIÇOS, DIMENSÕES INTERNAS: 0,6X1X1,2 M. AF_12/2020</v>
          </cell>
          <cell r="C1515" t="str">
            <v>UN</v>
          </cell>
          <cell r="D1515">
            <v>1437.73</v>
          </cell>
        </row>
        <row r="1516">
          <cell r="A1516" t="str">
            <v>97950</v>
          </cell>
          <cell r="B1516" t="str">
            <v>CAIXA PARA BOCA DE LOBO DUPLA RETANGULAR, EM ALVENARIA COM TIJOLOS CERÂMICOS MACIÇOS, DIMENSÕES INTERNAS: 0,6X2,2X1,2 M. AF_12/2020</v>
          </cell>
          <cell r="C1516" t="str">
            <v>UN</v>
          </cell>
          <cell r="D1516">
            <v>2570.08</v>
          </cell>
        </row>
        <row r="1517">
          <cell r="A1517" t="str">
            <v>97951</v>
          </cell>
          <cell r="B1517" t="str">
            <v>CAIXA PARA BOCA DE LOBO COMBINADA COM GRELHA RETANGULAR, EM ALVENARIA COM TIJOLOS CERÂMICOS MACIÇOS, DIMENSÕES INTERNAS: 1,3X1X1,2 M. AF_12/2020</v>
          </cell>
          <cell r="C1517" t="str">
            <v>UN</v>
          </cell>
          <cell r="D1517">
            <v>2241.4</v>
          </cell>
        </row>
        <row r="1518">
          <cell r="A1518" t="str">
            <v>97952</v>
          </cell>
          <cell r="B1518" t="str">
            <v>CAIXA PARA BOCA DE LOBO DUPLA COMBINADA COM GRELHA RETANGULAR, EM ALVENARIA COM TIJOLOS CERÂMICOS MACIÇOS, DIMENSÕES INTERNAS: 1,3X2,2X1,2 M. AF_12/2020</v>
          </cell>
          <cell r="C1518" t="str">
            <v>UN</v>
          </cell>
          <cell r="D1518">
            <v>3919.75</v>
          </cell>
        </row>
        <row r="1519">
          <cell r="A1519" t="str">
            <v>97953</v>
          </cell>
          <cell r="B1519" t="str">
            <v>CAIXA COM GRELHA SIMPLES RETANGULAR, EM ALVENARIA COM BLOCOS DE CONCRETO, DIMENSÕES INTERNAS: 0,5X1X1 M. AF_12/2020</v>
          </cell>
          <cell r="C1519" t="str">
            <v>UN</v>
          </cell>
          <cell r="D1519">
            <v>1017.54</v>
          </cell>
        </row>
        <row r="1520">
          <cell r="A1520" t="str">
            <v>97955</v>
          </cell>
          <cell r="B1520" t="str">
            <v>CAIXA COM GRELHA DUPLA RETANGULAR, EM ALVENARIA COM BLOCOS DE CONCRETO, DIMENSÕES INTERNAS: 0,5X2,2X1 M. AF_12/2020</v>
          </cell>
          <cell r="C1520" t="str">
            <v>UN</v>
          </cell>
          <cell r="D1520">
            <v>2237.46</v>
          </cell>
        </row>
        <row r="1521">
          <cell r="A1521" t="str">
            <v>97956</v>
          </cell>
          <cell r="B1521" t="str">
            <v>CAIXA PARA BOCA DE LOBO SIMPLES RETANGULAR, EM ALVENARIA COM BLOCOS DE CONCRETO, DIMENSÕES INTERNAS: 0,6X1X1,2 M. AF_12/2020</v>
          </cell>
          <cell r="C1521" t="str">
            <v>UN</v>
          </cell>
          <cell r="D1521">
            <v>1175.8</v>
          </cell>
        </row>
        <row r="1522">
          <cell r="A1522" t="str">
            <v>97957</v>
          </cell>
          <cell r="B1522" t="str">
            <v>CAIXA PARA BOCA DE LOBO DUPLA RETANGULAR, EM ALVENARIA COM BLOCOS DE CONCRETO, DIMENSÕES INTERNAS: 0,6X2,2X1,2 M. AF_12/2020</v>
          </cell>
          <cell r="C1522" t="str">
            <v>UN</v>
          </cell>
          <cell r="D1522">
            <v>2137.2399999999998</v>
          </cell>
        </row>
        <row r="1523">
          <cell r="A1523" t="str">
            <v>97961</v>
          </cell>
          <cell r="B1523" t="str">
            <v>CAIXA PARA BOCA DE LOBO COMBINADA COM GRELHA RETANGULAR, EM ALVENARIA COM BLOCOS DE CONCRETO, DIMENSÕES INTERNAS: 1,3X1X1,2 M. AF_12/2020</v>
          </cell>
          <cell r="C1523" t="str">
            <v>UN</v>
          </cell>
          <cell r="D1523">
            <v>1843.35</v>
          </cell>
        </row>
        <row r="1524">
          <cell r="A1524" t="str">
            <v>97973</v>
          </cell>
          <cell r="B1524" t="str">
            <v>CAIXA PARA BOCA DE LOBO DUPLA COMBINADA COM GRELHA RETANGULAR, EM ALVENARIA COM BLOCOS DE CONCRETO, DIMENSÕES INTERNAS: 1,3X2,2X1,2 M. AF_12/2020</v>
          </cell>
          <cell r="C1524" t="str">
            <v>UN</v>
          </cell>
          <cell r="D1524">
            <v>3492.37</v>
          </cell>
        </row>
        <row r="1525">
          <cell r="A1525" t="str">
            <v>97974</v>
          </cell>
          <cell r="B1525" t="str">
            <v>POÇO DE INSPEÇÃO CIRCULAR PARA ESGOTO, EM CONCRETO PRÉ-MOLDADO, DIÂMETRO INTERNO = 0,6 M, PROFUNDIDADE = 1 M, EXCLUINDO TAMPÃO. AF_12/2020</v>
          </cell>
          <cell r="C1525" t="str">
            <v>UN</v>
          </cell>
          <cell r="D1525">
            <v>360.41</v>
          </cell>
        </row>
        <row r="1526">
          <cell r="A1526" t="str">
            <v>97975</v>
          </cell>
          <cell r="B1526" t="str">
            <v>POÇO DE INSPEÇÃO CIRCULAR PARA ESGOTO, EM CONCRETO PRÉ-MOLDADO, DIÂMETRO INTERNO = 0,6 M, PROFUNDIDADE = 1,5 M, EXCLUINDO TAMPÃO. AF_12/2020</v>
          </cell>
          <cell r="C1526" t="str">
            <v>UN</v>
          </cell>
          <cell r="D1526">
            <v>380.53</v>
          </cell>
        </row>
        <row r="1527">
          <cell r="A1527" t="str">
            <v>97976</v>
          </cell>
          <cell r="B1527" t="str">
            <v>POÇO DE INSPEÇÃO CIRCULAR PARA ESGOTO, EM ALVENARIA COM TIJOLOS CERÂMICOS MACIÇOS, DIÂMETRO INTERNO = 0,6 M, PROFUNDIDADE = 1 M, EXCLUINDO TAMPÃO. AF_12/2020</v>
          </cell>
          <cell r="C1527" t="str">
            <v>UN</v>
          </cell>
          <cell r="D1527">
            <v>954.03</v>
          </cell>
        </row>
        <row r="1528">
          <cell r="A1528" t="str">
            <v>97977</v>
          </cell>
          <cell r="B1528" t="str">
            <v>POÇO DE INSPEÇÃO CIRCULAR PARA ESGOTO, EM ALVENARIA COM TIJOLOS CERÂMICOS MACIÇOS, DIÂMETRO INTERNO = 0,6 M, PROFUNDIDADE = 1,5 M, EXCLUINDO TAMPÃO. AF_12/2020</v>
          </cell>
          <cell r="C1528" t="str">
            <v>UN</v>
          </cell>
          <cell r="D1528">
            <v>1318.23</v>
          </cell>
        </row>
        <row r="1529">
          <cell r="A1529" t="str">
            <v>97978</v>
          </cell>
          <cell r="B1529" t="str">
            <v>BASE PARA POÇO DE VISITA CIRCULAR PARA ESGOTO, EM CONCRETO PRÉ-MOLDADO, DIÂMETRO INTERNO = 0,8 M, PROFUNDIDADE = 1,45 M, EXCLUINDO TAMPÃO. AF_12/2020</v>
          </cell>
          <cell r="C1529" t="str">
            <v>UN</v>
          </cell>
          <cell r="D1529">
            <v>738.79</v>
          </cell>
        </row>
        <row r="1530">
          <cell r="A1530" t="str">
            <v>97980</v>
          </cell>
          <cell r="B1530" t="str">
            <v>BASE PARA POÇO DE VISITA CIRCULAR PARA  ESGOTO, EM ALVENARIA COM TIJOLOS CERÂMICOS MACIÇOS, DIÂMETRO INTERNO = 0,8 M, PROFUNDIDADE = 1,45 M, EXCLUINDO TAMPÃO. AF_12/2020</v>
          </cell>
          <cell r="C1530" t="str">
            <v>M</v>
          </cell>
          <cell r="D1530">
            <v>1770.18</v>
          </cell>
        </row>
        <row r="1531">
          <cell r="A1531" t="str">
            <v>97981</v>
          </cell>
          <cell r="B1531" t="str">
            <v>ACRÉSCIMO PARA POÇO DE VISITA CIRCULAR PARA ESGOTO, EM ALVENARIA COM TIJOLOS CERÂMICOS MACIÇOS, DIÂMETRO INTERNO = 0,8 M. AF_12/2020</v>
          </cell>
          <cell r="C1531" t="str">
            <v>M</v>
          </cell>
          <cell r="D1531">
            <v>957.19</v>
          </cell>
        </row>
        <row r="1532">
          <cell r="A1532" t="str">
            <v>97983</v>
          </cell>
          <cell r="B1532" t="str">
            <v>ACRÉSCIMO PARA POÇO DE VISITA CIRCULAR PARA ESGOTO, EM CONCRETO PRÉ-MOLDADO, DIÂMETRO INTERNO = 1 M. AF_12/2020</v>
          </cell>
          <cell r="C1532" t="str">
            <v>M</v>
          </cell>
          <cell r="D1532">
            <v>358.23</v>
          </cell>
        </row>
        <row r="1533">
          <cell r="A1533" t="str">
            <v>97985</v>
          </cell>
          <cell r="B1533" t="str">
            <v>ACRÉSCIMO PARA POÇO DE VISITA CIRCULAR PARA  ESGOTO, EM ALVENARIA COM TIJOLOS CERÂMICOS MACIÇOS, DIÂMETRO INTERNO = 1 M. AF_12/2020</v>
          </cell>
          <cell r="C1533" t="str">
            <v>M</v>
          </cell>
          <cell r="D1533">
            <v>1154.76</v>
          </cell>
        </row>
        <row r="1534">
          <cell r="A1534" t="str">
            <v>97987</v>
          </cell>
          <cell r="B1534" t="str">
            <v>ACRÉSCIMO PARA POÇO DE VISITA CIRCULAR PARA ESGOTO, EM CONCRETO PRÉ-MOLDADO, DIÂMETRO INTERNO = 1,2 M. AF_12/2020</v>
          </cell>
          <cell r="C1534" t="str">
            <v>UN</v>
          </cell>
          <cell r="D1534">
            <v>473.83</v>
          </cell>
        </row>
        <row r="1535">
          <cell r="A1535" t="str">
            <v>97988</v>
          </cell>
          <cell r="B1535" t="str">
            <v>BASE PARA POÇO DE VISITA CIRCULAR PARA  ESGOTO, EM ALVENARIA COM TIJOLOS CERÂMICOS MACIÇOS, DIÂMETRO INTERNO = 1,2 M, PROFUNDIDADE = 1,45 M, EXCLUINDO TAMPÃO. AF_12/2020</v>
          </cell>
          <cell r="C1535" t="str">
            <v>M</v>
          </cell>
          <cell r="D1535">
            <v>2612.2600000000002</v>
          </cell>
        </row>
        <row r="1536">
          <cell r="A1536" t="str">
            <v>97989</v>
          </cell>
          <cell r="B1536" t="str">
            <v>ACRÉSCIMO PARA POÇO DE VISITA CIRCULAR PARA ESGOTO, EM ALVENARIA COM TIJOLOS CERÂMICOS MACIÇOS, DIÂMETRO INTERNO = 1,2 M. AF_12/2020</v>
          </cell>
          <cell r="C1536" t="str">
            <v>M</v>
          </cell>
          <cell r="D1536">
            <v>1352.39</v>
          </cell>
        </row>
        <row r="1537">
          <cell r="A1537" t="str">
            <v>97991</v>
          </cell>
          <cell r="B1537" t="str">
            <v>ACRÉSCIMO PARA POÇO DE VISITA CIRCULAR PARA  ESGOTO, EM CONCRETO PRÉ-MOLDADO, DIÂMETRO INTERNO = 1,5 M. AF_12/2020</v>
          </cell>
          <cell r="C1537" t="str">
            <v>UN</v>
          </cell>
          <cell r="D1537">
            <v>684.46</v>
          </cell>
        </row>
        <row r="1538">
          <cell r="A1538" t="str">
            <v>97992</v>
          </cell>
          <cell r="B1538" t="str">
            <v>BASE PARA POÇO DE VISITA CIRCULAR PARA ESGOTO, EM ALVENARIA COM TIJOLOS CERÂMICOS MACIÇOS, DIÂMETRO INTERNO = 1,5 M, PROFUNDIDADE = 1,45 M, EXCLUINDO TAMPÃO. AF_12/2020</v>
          </cell>
          <cell r="C1538" t="str">
            <v>M</v>
          </cell>
          <cell r="D1538">
            <v>3356.46</v>
          </cell>
        </row>
        <row r="1539">
          <cell r="A1539" t="str">
            <v>97993</v>
          </cell>
          <cell r="B1539" t="str">
            <v>ACRÉSCIMO PARA POÇO DE VISITA CIRCULAR PARA  ESGOTO, EM ALVENARIA COM TIJOLOS CERÂMICOS MACIÇOS, DIÂMETRO INTERNO = 1,5 M. AF_12/2020</v>
          </cell>
          <cell r="C1539" t="str">
            <v>UN</v>
          </cell>
          <cell r="D1539">
            <v>1648.8</v>
          </cell>
        </row>
        <row r="1540">
          <cell r="A1540" t="str">
            <v>97994</v>
          </cell>
          <cell r="B1540" t="str">
            <v>BASE PARA POÇO DE VISITA RETANGULAR PARA  ESGOTO, EM ALVENARIA COM BLOCOS DE CONCRETO, DIMENSÕES INTERNAS = 1X1 M, PROFUNDIDADE = 1,45 M, EXCLUINDO TAMPÃO. AF_12/2020</v>
          </cell>
          <cell r="C1540" t="str">
            <v>M</v>
          </cell>
          <cell r="D1540">
            <v>2248.44</v>
          </cell>
        </row>
        <row r="1541">
          <cell r="A1541" t="str">
            <v>97995</v>
          </cell>
          <cell r="B1541" t="str">
            <v>ACRÉSCIMO PARA POÇO DE VISITA RETANGULAR PARA ESGOTO, EM ALVENARIA COM BLOCOS DE CONCRETO, DIMENSÕES INTERNAS = 1X1 M. AF_12/2020</v>
          </cell>
          <cell r="C1541" t="str">
            <v>UN</v>
          </cell>
          <cell r="D1541">
            <v>1058.58</v>
          </cell>
        </row>
        <row r="1542">
          <cell r="A1542" t="str">
            <v>97996</v>
          </cell>
          <cell r="B1542" t="str">
            <v>BASE PARA POÇO DE VISITA RETANGULAR PARA ESGOTO, EM ALVENARIA COM BLOCOS DE CONCRETO, DIMENSÕES INTERNAS = 1X1,5 M, PROFUNDIDADE = 1,45 M, EXCLUINDO TAMPÃO. AF_12/2020</v>
          </cell>
          <cell r="C1542" t="str">
            <v>M</v>
          </cell>
          <cell r="D1542">
            <v>2846.55</v>
          </cell>
        </row>
        <row r="1543">
          <cell r="A1543" t="str">
            <v>97997</v>
          </cell>
          <cell r="B1543" t="str">
            <v>ACRÉSCIMO PARA POÇO DE VISITA RETANGULAR PARA ESGOTO, EM ALVENARIA COM BLOCOS DE CONCRETO, DIMENSÕES INTERNAS = 1X1,5 M. AF_12/2020</v>
          </cell>
          <cell r="C1543" t="str">
            <v>M</v>
          </cell>
          <cell r="D1543">
            <v>1263.02</v>
          </cell>
        </row>
        <row r="1544">
          <cell r="A1544" t="str">
            <v>97999</v>
          </cell>
          <cell r="B1544" t="str">
            <v>ACRÉSCIMO PARA POÇO DE VISITA RETANGULAR PARA ESGOTO, EM ALVENARIA COM BLOCOS DE CONCRETO, DIMENSÕES INTERNAS = 1X2 M. AF_12/2020</v>
          </cell>
          <cell r="C1544" t="str">
            <v>M</v>
          </cell>
          <cell r="D1544">
            <v>1467.49</v>
          </cell>
        </row>
        <row r="1545">
          <cell r="A1545" t="str">
            <v>98001</v>
          </cell>
          <cell r="B1545" t="str">
            <v>ACRÉSCIMO PARA POÇO DE VISITA RETANGULAR PARA ESGOTO, EM ALVENARIA COM BLOCOS DE CONCRETO, DIMENSÕES INTERNAS = 1X2,5 M. AF_12/2020</v>
          </cell>
          <cell r="C1545" t="str">
            <v>UN</v>
          </cell>
          <cell r="D1545">
            <v>1671.92</v>
          </cell>
        </row>
        <row r="1546">
          <cell r="A1546" t="str">
            <v>98002</v>
          </cell>
          <cell r="B1546" t="str">
            <v>BASE PARA POÇO DE VISITA RETANGULAR PARA ESGOTO, EM ALVENARIA COM BLOCOS DE CONCRETO, DIMENSÕES INTERNAS = 1X3 M, PROFUNDIDADE = 1,45 M, EXCLUINDO TAMPÃO. AF_12/2020</v>
          </cell>
          <cell r="C1546" t="str">
            <v>M</v>
          </cell>
          <cell r="D1546">
            <v>4673.4399999999996</v>
          </cell>
        </row>
        <row r="1547">
          <cell r="A1547" t="str">
            <v>98003</v>
          </cell>
          <cell r="B1547" t="str">
            <v>ACRÉSCIMO PARA POÇO DE VISITA RETANGULAR PARA ESGOTO, EM ALVENARIA COM BLOCOS DE CONCRETO, DIMENSÕES INTERNAS = 1X3 M. AF_12/2020</v>
          </cell>
          <cell r="C1547" t="str">
            <v>M</v>
          </cell>
          <cell r="D1547">
            <v>1876.43</v>
          </cell>
        </row>
        <row r="1548">
          <cell r="A1548" t="str">
            <v>98005</v>
          </cell>
          <cell r="B1548" t="str">
            <v>ACRÉSCIMO PARA POÇO DE VISITA RETANGULAR PARA ESGOTO, EM ALVENARIA COM BLOCOS DE CONCRETO, DIMENSÕES INTERNAS = 1X3,5 M. AF_12/2020</v>
          </cell>
          <cell r="C1548" t="str">
            <v>UN</v>
          </cell>
          <cell r="D1548">
            <v>2080.89</v>
          </cell>
        </row>
        <row r="1549">
          <cell r="A1549" t="str">
            <v>98006</v>
          </cell>
          <cell r="B1549" t="str">
            <v>BASE PARA POÇO DE VISITA RETANGULAR PARA ESGOTO, EM ALVENARIA COM BLOCOS DE CONCRETO, DIMENSÕES INTERNAS = 1X4 M, PROFUNDIDADE = 1,45 M, EXCLUINDO TAMPÃO. AF_12/2020</v>
          </cell>
          <cell r="C1549" t="str">
            <v>M</v>
          </cell>
          <cell r="D1549">
            <v>5873.06</v>
          </cell>
        </row>
        <row r="1550">
          <cell r="A1550" t="str">
            <v>98007</v>
          </cell>
          <cell r="B1550" t="str">
            <v>ACRÉSCIMO PARA POÇO DE VISITA RETANGULAR PARA ESGOTO, EM ALVENARIA COM BLOCOS DE CONCRETO, DIMENSÕES INTERNAS = 1X4 M. AF_12/2020</v>
          </cell>
          <cell r="C1550" t="str">
            <v>UN</v>
          </cell>
          <cell r="D1550">
            <v>2285.33</v>
          </cell>
        </row>
        <row r="1551">
          <cell r="A1551" t="str">
            <v>98008</v>
          </cell>
          <cell r="B1551" t="str">
            <v>BASE PARA POÇO DE VISITA RETANGULAR PARA ESGOTO, EM ALVENARIA COM BLOCOS DE CONCRETO, DIMENSÕES INTERNAS = 1,5X1,5 M, PROFUNDIDADE = 1,45 M, EXCLUINDO TAMPÃO . AF_12/2020</v>
          </cell>
          <cell r="C1551" t="str">
            <v>M</v>
          </cell>
          <cell r="D1551">
            <v>3529.92</v>
          </cell>
        </row>
        <row r="1552">
          <cell r="A1552" t="str">
            <v>98009</v>
          </cell>
          <cell r="B1552" t="str">
            <v>ACRÉSCIMO PARA POÇO DE VISITA RETANGULAR PARA ESGOTO, EM ALVENARIA COM BLOCOS DE CONCRETO, DIMENSÕES INTERNAS = 1,5X1,5 M. AF_12/2020</v>
          </cell>
          <cell r="C1552" t="str">
            <v>UN</v>
          </cell>
          <cell r="D1552">
            <v>1467.49</v>
          </cell>
        </row>
        <row r="1553">
          <cell r="A1553" t="str">
            <v>98010</v>
          </cell>
          <cell r="B1553" t="str">
            <v>BASE PARA POÇO DE VISITA RETANGULAR PARA ESGOTO, EM ALVENARIA COM BLOCOS DE CONCRETO, DIMENSÕES INTERNAS = 1,5X2 M, PROFUNDIDADE = 1,45 M, EXCLUINDO TAMPÃO. AF_12/2020</v>
          </cell>
          <cell r="C1553" t="str">
            <v>M</v>
          </cell>
          <cell r="D1553">
            <v>4312.49</v>
          </cell>
        </row>
        <row r="1554">
          <cell r="A1554" t="str">
            <v>98011</v>
          </cell>
          <cell r="B1554" t="str">
            <v>ACRÉSCIMO PARA POÇO DE VISITA RETANGULAR PARA ESGOTO, EM ALVENARIA COM BLOCOS DE CONCRETO, DIMENSÕES INTERNAS = 1,5X2 M. AF_12/2020</v>
          </cell>
          <cell r="C1554" t="str">
            <v>UN</v>
          </cell>
          <cell r="D1554">
            <v>1671.92</v>
          </cell>
        </row>
        <row r="1555">
          <cell r="A1555" t="str">
            <v>98012</v>
          </cell>
          <cell r="B1555" t="str">
            <v>BASE PARA POÇO DE VISITA RETANGULAR PARA ESGOTO, EM ALVENARIA COM BLOCOS DE CONCRETO, DIMENSÕES INTERNAS = 1,5X2,5 M, PROFUNDIDADE = 1,45 M, EXCLUINDO TAMPÃO. AF_12/2020</v>
          </cell>
          <cell r="C1555" t="str">
            <v>M</v>
          </cell>
          <cell r="D1555">
            <v>5068.9399999999996</v>
          </cell>
        </row>
        <row r="1556">
          <cell r="A1556" t="str">
            <v>98013</v>
          </cell>
          <cell r="B1556" t="str">
            <v>ACRÉSCIMO PARA POÇO DE VISITA RETANGULAR PARA ESGOTO, EM ALVENARIA COM BLOCOS DE CONCRETO, DIMENSÕES INTERNAS = 1,5X2,5 M. AF_12/2020</v>
          </cell>
          <cell r="C1556" t="str">
            <v>UN</v>
          </cell>
          <cell r="D1556">
            <v>1876.43</v>
          </cell>
        </row>
        <row r="1557">
          <cell r="A1557" t="str">
            <v>98014</v>
          </cell>
          <cell r="B1557" t="str">
            <v>BASE PARA POÇO DE VISITA RETANGULAR PARA ESGOTO, EM ALVENARIA COM BLOCOS DE CONCRETO, DIMENSÕES INTERNAS = 1,5X3 M, PROFUNDIDADE = 1,45 M, EXCLUINDO TAMPÃO. AF_12/2020</v>
          </cell>
          <cell r="C1557" t="str">
            <v>M</v>
          </cell>
          <cell r="D1557">
            <v>5825.36</v>
          </cell>
        </row>
        <row r="1558">
          <cell r="A1558" t="str">
            <v>98015</v>
          </cell>
          <cell r="B1558" t="str">
            <v>ACRÉSCIMO PARA POÇO DE VISITA RETANGULAR PARA ESGOTO, EM ALVENARIA COM BLOCOS DE CONCRETO, DIMENSÕES INTERNAS = 1,5X3 M. AF_12/2020</v>
          </cell>
          <cell r="C1558" t="str">
            <v>UN</v>
          </cell>
          <cell r="D1558">
            <v>2080.89</v>
          </cell>
        </row>
        <row r="1559">
          <cell r="A1559" t="str">
            <v>98016</v>
          </cell>
          <cell r="B1559" t="str">
            <v>BASE PARA POÇO DE VISITA RETANGULAR PARA ESGOTO, EM ALVENARIA COM BLOCOS DE CONCRETO, DIMENSÕES INTERNAS = 1,5X3,5 M, PROFUNDIDADE = 1,45 M, EXCLUINDO TAMPÃO. AF_12/2020</v>
          </cell>
          <cell r="C1559" t="str">
            <v>M</v>
          </cell>
          <cell r="D1559">
            <v>6585.07</v>
          </cell>
        </row>
        <row r="1560">
          <cell r="A1560" t="str">
            <v>98017</v>
          </cell>
          <cell r="B1560" t="str">
            <v>ACRÉSCIMO PARA POÇO DE VISITA RETANGULAR PARA ESGOTO, EM ALVENARIA COM BLOCOS DE CONCRETO, DIMENSÕES INTERNAS = 1,5X3,5 M. AF_12/2020</v>
          </cell>
          <cell r="C1560" t="str">
            <v>UN</v>
          </cell>
          <cell r="D1560">
            <v>2285.33</v>
          </cell>
        </row>
        <row r="1561">
          <cell r="A1561" t="str">
            <v>98018</v>
          </cell>
          <cell r="B1561" t="str">
            <v>BASE PARA POÇO DE VISITA RETANGULAR PARA ESGOTO, EM ALVENARIA COM BLOCOS DE CONCRETO, DIMENSÕES INTERNAS = 1,5X4 M, PROFUNDIDADE = 1,45 M, EXCLUINDO TAMPÃO. AF_12/2020</v>
          </cell>
          <cell r="C1561" t="str">
            <v>M</v>
          </cell>
          <cell r="D1561">
            <v>7338.31</v>
          </cell>
        </row>
        <row r="1562">
          <cell r="A1562" t="str">
            <v>98019</v>
          </cell>
          <cell r="B1562" t="str">
            <v>ACRÉSCIMO PARA POÇO DE VISITA RETANGULAR PARA ESGOTO, EM ALVENARIA COM BLOCOS DE CONCRETO, DIMENSÕES INTERNAS = 1,5X4 M. AF_12/2020</v>
          </cell>
          <cell r="C1562" t="str">
            <v>UN</v>
          </cell>
          <cell r="D1562">
            <v>2508.7199999999998</v>
          </cell>
        </row>
        <row r="1563">
          <cell r="A1563" t="str">
            <v>98020</v>
          </cell>
          <cell r="B1563" t="str">
            <v>BASE PARA POÇO DE VISITA RETANGULAR PARA ESGOTO, EM ALVENARIA COM BLOCOS DE CONCRETO, DIMENSÕES INTERNAS = 2X2 M, PROFUNDIDADE = 1,45 M, EXCLUINDO TAMPÃO. AF_12/2020</v>
          </cell>
          <cell r="C1563" t="str">
            <v>M</v>
          </cell>
          <cell r="D1563">
            <v>5199.8900000000003</v>
          </cell>
        </row>
        <row r="1564">
          <cell r="A1564" t="str">
            <v>98021</v>
          </cell>
          <cell r="B1564" t="str">
            <v>ACRÉSCIMO PARA POÇO DE VISITA RETANGULAR PARA ESGOTO, EM ALVENARIA COM BLOCOS DE CONCRETO, DIMENSÕES INTERNAS = 2X2 M. AF_12/2020</v>
          </cell>
          <cell r="C1564" t="str">
            <v>UN</v>
          </cell>
          <cell r="D1564">
            <v>1895.43</v>
          </cell>
        </row>
        <row r="1565">
          <cell r="A1565" t="str">
            <v>98022</v>
          </cell>
          <cell r="B1565" t="str">
            <v>BASE PARA POÇO DE VISITA RETANGULAR PARA ESGOTO, EM ALVENARIA COM BLOCOS DE CONCRETO, DIMENSÕES INTERNAS = 2X2,5 M, PROFUNDIDADE = 1,45 M, EXCLUINDO TAMPÃO. AF_12/2020</v>
          </cell>
          <cell r="C1565" t="str">
            <v>M</v>
          </cell>
          <cell r="D1565">
            <v>6105.27</v>
          </cell>
        </row>
        <row r="1566">
          <cell r="A1566" t="str">
            <v>98023</v>
          </cell>
          <cell r="B1566" t="str">
            <v>ACRÉSCIMO PARA POÇO DE VISITA RETANGULAR PARA ESGOTO, EM ALVENARIA COM BLOCOS DE CONCRETO, DIMENSÕES INTERNAS = 2X2,5 M. AF_12/2020</v>
          </cell>
          <cell r="C1566" t="str">
            <v>UN</v>
          </cell>
          <cell r="D1566">
            <v>2099.83</v>
          </cell>
        </row>
        <row r="1567">
          <cell r="A1567" t="str">
            <v>98024</v>
          </cell>
          <cell r="B1567" t="str">
            <v>BASE PARA POÇO DE VISITA RETANGULAR PARA ESGOTO, EM ALVENARIA COM BLOCOS DE CONCRETO, DIMENSÕES INTERNAS = 2X3 M, PROFUNDIDADE = 1,45 M, EXCLUINDO TAMPÃO. AF_12/2020</v>
          </cell>
          <cell r="C1567" t="str">
            <v>M</v>
          </cell>
          <cell r="D1567">
            <v>7062.58</v>
          </cell>
        </row>
        <row r="1568">
          <cell r="A1568" t="str">
            <v>98025</v>
          </cell>
          <cell r="B1568" t="str">
            <v>ACRÉSCIMO PARA POÇO DE VISITA RETANGULAR PARA ESGOTO, EM ALVENARIA COM BLOCOS DE CONCRETO, DIMENSÕES INTERNAS = 2X3 M. AF_12/2020</v>
          </cell>
          <cell r="C1568" t="str">
            <v>UN</v>
          </cell>
          <cell r="D1568">
            <v>2304.33</v>
          </cell>
        </row>
        <row r="1569">
          <cell r="A1569" t="str">
            <v>98026</v>
          </cell>
          <cell r="B1569" t="str">
            <v>BASE PARA POÇO DE VISITA RETANGULAR PARA ESGOTO, EM ALVENARIA COM BLOCOS DE CONCRETO, DIMENSÕES INTERNAS = 2X3,5 M, PROFUNDIDADE = 1,45 M, EXCLUINDO TAMPÃO. AF_12/2020</v>
          </cell>
          <cell r="C1569" t="str">
            <v>M</v>
          </cell>
          <cell r="D1569">
            <v>7969.46</v>
          </cell>
        </row>
        <row r="1570">
          <cell r="A1570" t="str">
            <v>98027</v>
          </cell>
          <cell r="B1570" t="str">
            <v>ACRÉSCIMO PARA POÇO DE VISITA RETANGULAR PARA ESGOTO, EM ALVENARIA COM BLOCOS DE CONCRETO, DIMENSÕES INTERNAS = 2X3,5 M. AF_12/2020</v>
          </cell>
          <cell r="C1570" t="str">
            <v>UN</v>
          </cell>
          <cell r="D1570">
            <v>2508.7199999999998</v>
          </cell>
        </row>
        <row r="1571">
          <cell r="A1571" t="str">
            <v>98028</v>
          </cell>
          <cell r="B1571" t="str">
            <v>BASE PARA POÇO DE VISITA RETANGULAR PARA ESGOTO, EM ALVENARIA COM BLOCOS DE CONCRETO, DIMENSÕES INTERNAS = 2X4 M, PROFUNDIDADE = 1,45 M, EXCLUINDO TAMPÃO. AF_12/2020</v>
          </cell>
          <cell r="C1571" t="str">
            <v>M</v>
          </cell>
          <cell r="D1571">
            <v>8876.4</v>
          </cell>
        </row>
        <row r="1572">
          <cell r="A1572" t="str">
            <v>98029</v>
          </cell>
          <cell r="B1572" t="str">
            <v>ACRÉSCIMO PARA POÇO DE VISITA RETANGULAR PARA ESGOTO, EM ALVENARIA COM BLOCOS DE CONCRETO, DIMENSÕES INTERNAS = 2X4 M. AF_12/2020</v>
          </cell>
          <cell r="C1572" t="str">
            <v>UN</v>
          </cell>
          <cell r="D1572">
            <v>2717.11</v>
          </cell>
        </row>
        <row r="1573">
          <cell r="A1573" t="str">
            <v>98030</v>
          </cell>
          <cell r="B1573" t="str">
            <v>BASE PARA POÇO DE VISITA RETANGULAR PARA ESGOTO, EM ALVENARIA COM BLOCOS DE CONCRETO, DIMENSÕES INTERNAS = 2,5X2,5 M, PROFUNDIDADE = 1,45 M, EXCLUINDO TAMPÃO. AF_12/2020</v>
          </cell>
          <cell r="C1573" t="str">
            <v>M</v>
          </cell>
          <cell r="D1573">
            <v>7214.8</v>
          </cell>
        </row>
        <row r="1574">
          <cell r="A1574" t="str">
            <v>98031</v>
          </cell>
          <cell r="B1574" t="str">
            <v>ACRÉSCIMO PARA POÇO DE VISITA RETANGULAR PARA ESGOTO, EM ALVENARIA COM BLOCOS DE CONCRETO, DIMENSÕES INTERNAS = 2,5X2,5 M. AF_12/2020</v>
          </cell>
          <cell r="C1574" t="str">
            <v>UN</v>
          </cell>
          <cell r="D1574">
            <v>2308.29</v>
          </cell>
        </row>
        <row r="1575">
          <cell r="A1575" t="str">
            <v>98032</v>
          </cell>
          <cell r="B1575" t="str">
            <v>BASE PARA POÇO DE VISITA RETANGULAR PARA ESGOTO, EM ALVENARIA COM BLOCOS DE CONCRETO, DIMENSÕES INTERNAS = 2,5X3 M, PROFUNDIDADE = 1,45 M, EXCLUINDO TAMPÃO. AF_12/2020</v>
          </cell>
          <cell r="C1575" t="str">
            <v>M</v>
          </cell>
          <cell r="D1575">
            <v>8302.42</v>
          </cell>
        </row>
        <row r="1576">
          <cell r="A1576" t="str">
            <v>98033</v>
          </cell>
          <cell r="B1576" t="str">
            <v>ACRÉSCIMO PARA POÇO DE VISITA RETANGULAR PARA ESGOTO, EM ALVENARIA COM BLOCOS DE CONCRETO, DIMENSÕES INTERNAS = 2,5X3 M. AF_12/2020</v>
          </cell>
          <cell r="C1576" t="str">
            <v>UN</v>
          </cell>
          <cell r="D1576">
            <v>2512.6799999999998</v>
          </cell>
        </row>
        <row r="1577">
          <cell r="A1577" t="str">
            <v>98034</v>
          </cell>
          <cell r="B1577" t="str">
            <v>BASE PARA POÇO DE VISITA RETANGULAR PARA ESGOTO, EM ALVENARIA COM BLOCOS DE CONCRETO, DIMENSÕES INTERNAS = 2,5X3,5 M, PROFUNDIDADE = 1,45 M, EXCLUINDO TAMPÃO. AF_12/2020</v>
          </cell>
          <cell r="C1577" t="str">
            <v>M</v>
          </cell>
          <cell r="D1577">
            <v>9389.9699999999993</v>
          </cell>
        </row>
        <row r="1578">
          <cell r="A1578" t="str">
            <v>98035</v>
          </cell>
          <cell r="B1578" t="str">
            <v>ACRÉSCIMO PARA POÇO DE VISITA RETANGULAR PARA ESGOTO, EM ALVENARIA COM BLOCOS DE CONCRETO, DIMENSÕES INTERNAS = 2,5X3,5 M. AF_12/2020</v>
          </cell>
          <cell r="C1578" t="str">
            <v>UN</v>
          </cell>
          <cell r="D1578">
            <v>2717.11</v>
          </cell>
        </row>
        <row r="1579">
          <cell r="A1579" t="str">
            <v>98036</v>
          </cell>
          <cell r="B1579" t="str">
            <v>BASE PARA POÇO DE VISITA RETANGULAR PARA ESGOTO, EM ALVENARIA COM BLOCOS DE CONCRETO, DIMENSÕES INTERNAS = 2,5X4 M, PROFUNDIDADE = 1,45 M, EXCLUINDO TAMPÃO. AF_12/2020</v>
          </cell>
          <cell r="C1579" t="str">
            <v>M</v>
          </cell>
          <cell r="D1579">
            <v>10477.64</v>
          </cell>
        </row>
        <row r="1580">
          <cell r="A1580" t="str">
            <v>98037</v>
          </cell>
          <cell r="B1580" t="str">
            <v>ACRÉSCIMO PARA POÇO DE VISITA RETANGULAR PARA ESGOTO, EM ALVENARIA COM BLOCOS DE CONCRETO, DIMENSÕES INTERNAS = 2,5X4 M. AF_12/2020</v>
          </cell>
          <cell r="C1580" t="str">
            <v>UN</v>
          </cell>
          <cell r="D1580">
            <v>2925.49</v>
          </cell>
        </row>
        <row r="1581">
          <cell r="A1581" t="str">
            <v>98038</v>
          </cell>
          <cell r="B1581" t="str">
            <v>BASE PARA POÇO DE VISITA RETANGULAR PARA ESGOTO, EM ALVENARIA COM BLOCOS DE CONCRETO, DIMENSÕES INTERNAS = 3X3 M, PROFUNDIDADE = 1,45 M, EXCLUINDO TAMPÃO. AF_12/2020</v>
          </cell>
          <cell r="C1581" t="str">
            <v>M</v>
          </cell>
          <cell r="D1581">
            <v>9581.9</v>
          </cell>
        </row>
        <row r="1582">
          <cell r="A1582" t="str">
            <v>98039</v>
          </cell>
          <cell r="B1582" t="str">
            <v>ACRÉSCIMO PARA POÇO DE VISITA RETANGULAR PARA ESGOTO, EM ALVENARIA COM BLOCOS DE CONCRETO, DIMENSÕES INTERNAS = 3X3 M. AF_12/2020</v>
          </cell>
          <cell r="C1582" t="str">
            <v>UN</v>
          </cell>
          <cell r="D1582">
            <v>2721.07</v>
          </cell>
        </row>
        <row r="1583">
          <cell r="A1583" t="str">
            <v>98040</v>
          </cell>
          <cell r="B1583" t="str">
            <v>BASE PARA POÇO DE VISITA RETANGULAR PARA ESGOTO, EM ALVENARIA COM BLOCOS DE CONCRETO, DIMENSÕES INTERNAS = 3X3,5 M, PROFUNDIDADE = 1,45 M, EXCLUINDO TAMPÃO. AF_12/2020</v>
          </cell>
          <cell r="C1583" t="str">
            <v>M</v>
          </cell>
          <cell r="D1583">
            <v>10831.36</v>
          </cell>
        </row>
        <row r="1584">
          <cell r="A1584" t="str">
            <v>98041</v>
          </cell>
          <cell r="B1584" t="str">
            <v>ACRÉSCIMO PARA POÇO DE VISITA RETANGULAR PARA ESGOTO, EM ALVENARIA COM BLOCOS DE CONCRETO, DIMENSÕES INTERNAS = 3X3,5 M. AF_12/2020</v>
          </cell>
          <cell r="C1584" t="str">
            <v>UN</v>
          </cell>
          <cell r="D1584">
            <v>2925.49</v>
          </cell>
        </row>
        <row r="1585">
          <cell r="A1585" t="str">
            <v>98042</v>
          </cell>
          <cell r="B1585" t="str">
            <v>BASE PARA POÇO DE VISITA RETANGULAR PARA ESGOTO, EM ALVENARIA COM BLOCOS DE CONCRETO, DIMENSÕES INTERNAS = 3X4 M, PROFUNDIDADE = 1,45 M, EXCLUINDO TAMPÃO. AF_12/2020</v>
          </cell>
          <cell r="C1585" t="str">
            <v>M</v>
          </cell>
          <cell r="D1585">
            <v>12080.79</v>
          </cell>
        </row>
        <row r="1586">
          <cell r="A1586" t="str">
            <v>98043</v>
          </cell>
          <cell r="B1586" t="str">
            <v>ACRÉSCIMO PARA POÇO DE VISITA RETANGULAR PARA ESGOTO, EM ALVENARIA COM BLOCOS DE CONCRETO, DIMENSÕES INTERNAS = 3X4 M. AF_12/2020</v>
          </cell>
          <cell r="C1586" t="str">
            <v>UN</v>
          </cell>
          <cell r="D1586">
            <v>3133.92</v>
          </cell>
        </row>
        <row r="1587">
          <cell r="A1587" t="str">
            <v>98044</v>
          </cell>
          <cell r="B1587" t="str">
            <v>BASE PARA POÇO DE VISITA RETANGULAR PARA ESGOTO, EM ALVENARIA COM BLOCOS DE CONCRETO, DIMENSÕES INTERNAS = 3,5X3,5 M, PROFUNDIDADE = 1,45 M, EXCLUINDO TAMPÃO. AF_12/2020</v>
          </cell>
          <cell r="C1587" t="str">
            <v>M</v>
          </cell>
          <cell r="D1587">
            <v>12261.61</v>
          </cell>
        </row>
        <row r="1588">
          <cell r="A1588" t="str">
            <v>98045</v>
          </cell>
          <cell r="B1588" t="str">
            <v>ACRÉSCIMO PARA POÇO DE VISITA RETANGULAR PARA ESGOTO, EM ALVENARIA COM BLOCOS DE CONCRETO, DIMENSÕES INTERNAS = 3,5X3,5 M. AF_12/2020</v>
          </cell>
          <cell r="C1588" t="str">
            <v>UN</v>
          </cell>
          <cell r="D1588">
            <v>3133.92</v>
          </cell>
        </row>
        <row r="1589">
          <cell r="A1589" t="str">
            <v>98046</v>
          </cell>
          <cell r="B1589" t="str">
            <v>BASE PARA POÇO DE VISITA RETANGULAR PARA ESGOTO, EM ALVENARIA COM BLOCOS DE CONCRETO, DIMENSÕES INTERNAS = 3,5X4 M, PROFUNDIDADE = 1,45 M, EXCLUINDO TAMPÃO. AF_12/2020</v>
          </cell>
          <cell r="C1589" t="str">
            <v>M</v>
          </cell>
          <cell r="D1589">
            <v>13683.94</v>
          </cell>
        </row>
        <row r="1590">
          <cell r="A1590" t="str">
            <v>98047</v>
          </cell>
          <cell r="B1590" t="str">
            <v>ACRÉSCIMO PARA POÇO DE VISITA RETANGULAR PARA ESGOTO, EM ALVENARIA COM BLOCOS DE CONCRETO, DIMENSÕES INTERNAS = 3,5X4 M. AF_12/2020</v>
          </cell>
          <cell r="C1590" t="str">
            <v>UN</v>
          </cell>
          <cell r="D1590">
            <v>3342.3</v>
          </cell>
        </row>
        <row r="1591">
          <cell r="A1591" t="str">
            <v>98048</v>
          </cell>
          <cell r="B1591" t="str">
            <v>BASE PARA POÇO DE VISITA RETANGULAR PARA ESGOTO, EM ALVENARIA COM BLOCOS DE CONCRETO, DIMENSÕES INTERNAS = 4X4 M, PROFUNDIDADE = 1,45 M, EXCLUINDO TAMPÃO. AF_12/2020</v>
          </cell>
          <cell r="C1591" t="str">
            <v>M</v>
          </cell>
          <cell r="D1591">
            <v>15899.35</v>
          </cell>
        </row>
        <row r="1592">
          <cell r="A1592" t="str">
            <v>98049</v>
          </cell>
          <cell r="B1592" t="str">
            <v>ACRÉSCIMO PARA POÇO DE VISITA RETANGULAR PARA ESGOTO, EM ALVENARIA COM BLOCOS DE CONCRETO, DIMENSÕES INTERNAS = 4X4 M. AF_12/2020</v>
          </cell>
          <cell r="C1592" t="str">
            <v>M</v>
          </cell>
          <cell r="D1592">
            <v>3512.01</v>
          </cell>
        </row>
        <row r="1593">
          <cell r="A1593" t="str">
            <v>98050</v>
          </cell>
          <cell r="B1593" t="str">
            <v>CHAMINÉ CIRCULAR PARA POÇO DE VISITA PARA ESGOTO, EM CONCRETO PRÉ-MOLDADO, DIÂMETRO INTERNO = 0,6 M. AF_12/2020</v>
          </cell>
          <cell r="C1593" t="str">
            <v>M</v>
          </cell>
          <cell r="D1593">
            <v>197.13</v>
          </cell>
        </row>
        <row r="1594">
          <cell r="A1594" t="str">
            <v>98051</v>
          </cell>
          <cell r="B1594" t="str">
            <v>CHAMINÉ CIRCULAR PARA POÇO DE VISITA PARA ESGOTO, EM ALVENARIA COM TIJOLOS CERÂMICOS MACIÇOS, DIÂMETRO INTERNO = 0,6 M. AF_12/2020</v>
          </cell>
          <cell r="C1594" t="str">
            <v>UN</v>
          </cell>
          <cell r="D1594">
            <v>771.3</v>
          </cell>
        </row>
        <row r="1595">
          <cell r="A1595" t="str">
            <v>98405</v>
          </cell>
          <cell r="B1595" t="str">
            <v>BASE PARA POÇO DE VISITA CIRCULAR PARA  ESGOTO, EM ALVENARIA COM TIJOLOS CERÂMICOS MACIÇOS, DIÂMETRO INTERNO = 1 M, PROFUNDIDADE = 1,45 M, EXCLUINDO TAMPÃO. AF_12/2020</v>
          </cell>
          <cell r="C1595" t="str">
            <v>UN</v>
          </cell>
          <cell r="D1595">
            <v>2189.04</v>
          </cell>
        </row>
        <row r="1596">
          <cell r="A1596" t="str">
            <v>98406</v>
          </cell>
          <cell r="B1596" t="str">
            <v>BASE PARA POÇO DE VISITA RETANGULAR PARA ESGOTO, EM ALVENARIA COM BLOCOS DE CONCRETO, DIMENSÕES INTERNAS = 1X3,5 M, PROFUNDIDADE = 1,45 M, EXCLUINDO TAMPÃO. AF_12/2020</v>
          </cell>
          <cell r="C1596" t="str">
            <v>UN</v>
          </cell>
          <cell r="D1596">
            <v>5275.6</v>
          </cell>
        </row>
        <row r="1597">
          <cell r="A1597" t="str">
            <v>98407</v>
          </cell>
          <cell r="B1597" t="str">
            <v>BASE PARA POÇO DE VISITA RETANGULAR PARA ESGOTO, EM ALVENARIA COM BLOCOS DE CONCRETO, DIMENSÕES INTERNAS = 1X2 M, PROFUNDIDADE = 1,45 M, EXCLUINDO TAMPÃO. AF_12/2020</v>
          </cell>
          <cell r="C1597" t="str">
            <v>UN</v>
          </cell>
          <cell r="D1597">
            <v>3444.51</v>
          </cell>
        </row>
        <row r="1598">
          <cell r="A1598" t="str">
            <v>98408</v>
          </cell>
          <cell r="B1598" t="str">
            <v>BASE PARA POÇO DE VISITA RETANGULAR PARA ESGOTO, EM ALVENARIA COM BLOCOS DE CONCRETO, DIMENSÕES INTERNAS = 1X2,5 M, PROFUNDIDADE = 1,45 M, EXCLUINDO TAMPÃO. AF_12/2020</v>
          </cell>
          <cell r="C1598" t="str">
            <v>M</v>
          </cell>
          <cell r="D1598">
            <v>4042.54</v>
          </cell>
        </row>
        <row r="1599">
          <cell r="A1599" t="str">
            <v>98409</v>
          </cell>
          <cell r="B1599" t="str">
            <v>ACRÉSCIMO PARA POÇO DE VISITA CIRCULAR PARA ESGOTO, EM CONCRETO PRÉ-MOLDADO, DIÂMETRO INTERNO = 0,8 M. AF_12/2020</v>
          </cell>
          <cell r="C1599" t="str">
            <v>UN</v>
          </cell>
          <cell r="D1599">
            <v>272.93</v>
          </cell>
        </row>
        <row r="1600">
          <cell r="A1600" t="str">
            <v>98410</v>
          </cell>
          <cell r="B1600" t="str">
            <v>BASE PARA POÇO DE VISITA CIRCULAR PARA ESGOTO, EM CONCRETO PRÉ-MOLDADO, DIÂMETRO INTERNO = 1 M, PROFUNDIDADE = 1,45 M, EXCLUINDO TAMPÃO. AF_12/2020</v>
          </cell>
          <cell r="C1600" t="str">
            <v>UN</v>
          </cell>
          <cell r="D1600">
            <v>958.67</v>
          </cell>
        </row>
        <row r="1601">
          <cell r="A1601" t="str">
            <v>98414</v>
          </cell>
          <cell r="B1601" t="str">
            <v>BASE PARA POÇO DE VISITA CIRCULAR PARA  ESGOTO, EM CONCRETO PRÉ-MOLDADO, DIÂMETRO INTERNO = 1 M, PROFUNDIDADE = 1,45 M, EXCLUINDO TAMPÃO. AF_12/2020</v>
          </cell>
          <cell r="C1601" t="str">
            <v>UN</v>
          </cell>
          <cell r="D1601">
            <v>945.66</v>
          </cell>
        </row>
        <row r="1602">
          <cell r="A1602" t="str">
            <v>98415</v>
          </cell>
          <cell r="B1602" t="str">
            <v>(COMPOSIÇÃO REPRESENTATIVA) POÇO DE VISITA CIRCULAR PARA ESGOTO, EM CONCRETO PRÉ-MOLDADO, DIÂMETRO INTERNO = 1,0 M, PROFUNDIDADE ATÉ 1,50 M, EXCLUINDO TAMPÃO. AF_04/2018</v>
          </cell>
          <cell r="C1602" t="str">
            <v>UN</v>
          </cell>
          <cell r="D1602">
            <v>1121.5999999999999</v>
          </cell>
        </row>
        <row r="1603">
          <cell r="A1603" t="str">
            <v>98416</v>
          </cell>
          <cell r="B1603" t="str">
            <v>(COMPOSIÇÃO REPRESENTATIVA) POÇO DE VISITA CIRCULAR PARA ESGOTO, EM CONCRETO PRÉ-MOLDADO, DIÂMETRO INTERNO = 1,0 M, PROFUNDIDADE DE 1,50 A 2,00 M, EXCLUINDO TAMPÃO. AF_04/2018</v>
          </cell>
          <cell r="C1603" t="str">
            <v>UN</v>
          </cell>
          <cell r="D1603">
            <v>1124.77</v>
          </cell>
        </row>
        <row r="1604">
          <cell r="A1604" t="str">
            <v>98417</v>
          </cell>
          <cell r="B1604" t="str">
            <v>(COMPOSIÇÃO REPRESENTATIVA) POÇO DE VISITA CIRCULAR PARA ESGOTO, EM CONCRETO PRÉ-MOLDADO, DIÂMETRO INTERNO = 1,0 M, PROFUNDIDADE DE 2,00 A 2,50 M, EXCLUINDO TAMPÃO. AF_04/2018</v>
          </cell>
          <cell r="C1604" t="str">
            <v>UN</v>
          </cell>
          <cell r="D1604">
            <v>1303.8900000000001</v>
          </cell>
        </row>
        <row r="1605">
          <cell r="A1605" t="str">
            <v>98418</v>
          </cell>
          <cell r="B1605" t="str">
            <v>(COMPOSIÇÃO REPRESENTATIVA) POÇO DE VISITA CIRCULAR PARA ESGOTO, EM CONCRETO PRÉ-MOLDADO, DIÂMETRO INTERNO = 1,0 M, PROFUNDIDADE DE 2,50 A 3,00 M, EXCLUINDO TAMPÃO. AF_04/2018</v>
          </cell>
          <cell r="C1605" t="str">
            <v>UN</v>
          </cell>
          <cell r="D1605">
            <v>1402.45</v>
          </cell>
        </row>
        <row r="1606">
          <cell r="A1606" t="str">
            <v>98419</v>
          </cell>
          <cell r="B1606" t="str">
            <v>(COMPOSIÇÃO REPRESENTATIVA) POÇO DE VISITA CIRCULAR PARA ESGOTO, EM CONCRETO PRÉ-MOLDADO, DIÂMETRO INTERNO = 1,0 M, PROFUNDIDADE DE 3,00 A 3,50 M, EXCLUINDO TAMPÃO. AF_04/2018</v>
          </cell>
          <cell r="C1606" t="str">
            <v>UN</v>
          </cell>
          <cell r="D1606">
            <v>1501.02</v>
          </cell>
        </row>
        <row r="1607">
          <cell r="A1607" t="str">
            <v>98420</v>
          </cell>
          <cell r="B1607" t="str">
            <v>(COMPOSIÇÃO REPRESENTATIVA) POÇO DE VISITA CIRCULAR PARA ESGOTO, EM CONCRETO PRÉ-MOLDADO, DIÂMETRO INTERNO = 1,0 M, PROFUNDIDADE ATÉ 1,50 M, INCLUINDO TAMPÃO DE FERRO FUNDIDO, DIÂMETRO DE 60 CM. AF_04/2018</v>
          </cell>
          <cell r="C1607" t="str">
            <v>UN</v>
          </cell>
          <cell r="D1607">
            <v>1676.48</v>
          </cell>
        </row>
        <row r="1608">
          <cell r="A1608" t="str">
            <v>98421</v>
          </cell>
          <cell r="B1608" t="str">
            <v>(COMPOSIÇÃO REPRESENTATIVA) POÇO DE VISITA CIRCULAR PARA ESGOTO, EM CONCRETO PRÉ-MOLDADO, DIÂMETRO INTERNO = 1,0 M, PROFUNDIDADE DE 1,50 A 2,00 M, INCLUINDO TAMPÃO DE FERRO FUNDIDO, DIÂMETRO DE 60 CM. AF_04/2018</v>
          </cell>
          <cell r="C1608" t="str">
            <v>UN</v>
          </cell>
          <cell r="D1608">
            <v>1855.59</v>
          </cell>
        </row>
        <row r="1609">
          <cell r="A1609" t="str">
            <v>98422</v>
          </cell>
          <cell r="B1609" t="str">
            <v>(COMPOSIÇÃO REPRESENTATIVA) POÇO DE VISITA CIRCULAR PARA ESGOTO, EM CONCRETO PRÉ-MOLDADO, DIÂMETRO INTERNO = 1,0 M, PROFUNDIDADE DE 2,00 A 2,50 M, INCLUINDO TAMPÃO DE FERRO FUNDIDO, DIÂMETRO DE 60 CM. AF_04/2018</v>
          </cell>
          <cell r="C1609" t="str">
            <v>UN</v>
          </cell>
          <cell r="D1609">
            <v>2034.71</v>
          </cell>
        </row>
        <row r="1610">
          <cell r="A1610" t="str">
            <v>98423</v>
          </cell>
          <cell r="B1610" t="str">
            <v>(COMPOSIÇÃO REPRESENTATIVA) POÇO DE VISITA CIRCULAR PARA ESGOTO, EM CONCRETO PRÉ-MOLDADO, DIÂMETRO INTERNO = 1,0 M, PROFUNDIDADE DE 2,50 A 3,00 M, INCLUINDO TAMPÃO DE FERRO FUNDIDO, DIÂMETRO DE 60 CM. AF_04/2018</v>
          </cell>
          <cell r="C1610" t="str">
            <v>UN</v>
          </cell>
          <cell r="D1610">
            <v>2133.27</v>
          </cell>
        </row>
        <row r="1611">
          <cell r="A1611" t="str">
            <v>98424</v>
          </cell>
          <cell r="B1611" t="str">
            <v>(COMPOSIÇÃO REPRESENTATIVA) POÇO DE VISITA CIRCULAR PARA ESGOTO, EM CONCRETO PRÉ-MOLDADO, DIÂMETRO INTERNO = 1,0 M, PROFUNDIDADE DE 3,00 A 3,50 M, INCLUINDO TAMPÃO DE FERRO FUNDIDO, DIÂMETRO DE 60 CM. AF_04/2018</v>
          </cell>
          <cell r="C1611" t="str">
            <v>UN</v>
          </cell>
          <cell r="D1611">
            <v>2231.84</v>
          </cell>
        </row>
        <row r="1612">
          <cell r="A1612" t="str">
            <v>98425</v>
          </cell>
          <cell r="B1612" t="str">
            <v>(COMPOSIÇÃO REPRESENTATIVA) POÇO DE VISITA CIRCULAR PARA ESGOTO, EM ALVENARIA COM TIJOLOS CERÂMICOS MACIÇOS, DIÂMETRO INTERNO = 1,2 M, PROFUNDIDADE ATÉ 1,50 M, EXCLUINDO TAMPÃO. AF_04/2018</v>
          </cell>
          <cell r="C1612" t="str">
            <v>UN</v>
          </cell>
          <cell r="D1612">
            <v>2612.2600000000002</v>
          </cell>
        </row>
        <row r="1613">
          <cell r="A1613" t="str">
            <v>98426</v>
          </cell>
          <cell r="B1613" t="str">
            <v>(COMPOSIÇÃO REPRESENTATIVA) POÇO DE VISITA CIRCULAR PARA ESGOTO, EM ALVENARIA COM TIJOLOS CERÂMICOS MACIÇOS, DIÂMETRO INTERNO = 1,2 M, PROFUNDIDADE DE 1,50 A 2,00 M, EXCLUINDO TAMPÃO. AF_04/2018</v>
          </cell>
          <cell r="C1613" t="str">
            <v>UN</v>
          </cell>
          <cell r="D1613">
            <v>3288.45</v>
          </cell>
        </row>
        <row r="1614">
          <cell r="A1614" t="str">
            <v>98427</v>
          </cell>
          <cell r="B1614" t="str">
            <v>(COMPOSIÇÃO REPRESENTATIVA) POÇO DE VISITA CIRCULAR PARA ESGOTO, EM ALVENARIA COM TIJOLOS CERÂMICOS MACIÇOS, DIÂMETRO INTERNO = 1,2 M, PROFUNDIDADE DE 2,00 A 2,50 M, EXCLUINDO TAMPÃO. AF_04/2018</v>
          </cell>
          <cell r="C1614" t="str">
            <v>UN</v>
          </cell>
          <cell r="D1614">
            <v>3964.65</v>
          </cell>
        </row>
        <row r="1615">
          <cell r="A1615" t="str">
            <v>98428</v>
          </cell>
          <cell r="B1615" t="str">
            <v>(COMPOSIÇÃO REPRESENTATIVA) POÇO DE VISITA CIRCULAR PARA ESGOTO, EM ALVENARIA COM TIJOLOS CERÂMICOS MACIÇOS, DIÂMETRO INTERNO = 1,2 M, PROFUNDIDADE DE 2,50 A 3,00 M, EXCLUINDO TAMPÃO. AF_04/2018</v>
          </cell>
          <cell r="C1615" t="str">
            <v>UN</v>
          </cell>
          <cell r="D1615">
            <v>4350.3</v>
          </cell>
        </row>
        <row r="1616">
          <cell r="A1616" t="str">
            <v>98429</v>
          </cell>
          <cell r="B1616" t="str">
            <v>(COMPOSIÇÃO REPRESENTATIVA) POÇO DE VISITA CIRCULAR PARA ESGOTO, EM ALVENARIA COM TIJOLOS CERÂMICOS MACIÇOS, DIÂMETRO INTERNO = 1,2 M, PROFUNDIDADE DE 3,00 A 3,50 M, EXCLUINDO TAMPÃO. AF_04/2018</v>
          </cell>
          <cell r="C1616" t="str">
            <v>UN</v>
          </cell>
          <cell r="D1616">
            <v>4735.95</v>
          </cell>
        </row>
        <row r="1617">
          <cell r="A1617" t="str">
            <v>98430</v>
          </cell>
          <cell r="B1617" t="str">
            <v>(COMPOSIÇÃO REPRESENTATIVA) POÇO DE VISITA CIRCULAR PARA ESGOTO, EM ALVENARIA COM TIJOLOS CERÂMICOS MACIÇOS, DIÂMETRO INTERNO = 1,2 M, PROFUNDIDADE ATÉ 1,50 M, INCLUINDO TAMPÃO DE FERRO FUNDIDO, DIÂMETRO DE 60 CM. AF_04/2018</v>
          </cell>
          <cell r="C1617" t="str">
            <v>UN</v>
          </cell>
          <cell r="D1617">
            <v>3343.08</v>
          </cell>
        </row>
        <row r="1618">
          <cell r="A1618" t="str">
            <v>98431</v>
          </cell>
          <cell r="B1618" t="str">
            <v>(COMPOSIÇÃO REPRESENTATIVA) POÇO DE VISITA CIRCULAR PARA ESGOTO, EM ALVENARIA COM TIJOLOS CERÂMICOS MACIÇOS, DIÂMETRO INTERNO = 1,2 M, PROFUNDIDADE DE 1,50 A 2,00 M, INCLUINDO TAMPÃO DE FERRO FUNDIDO, DIÂMETRO DE 60 CM. AF_04/2018</v>
          </cell>
          <cell r="C1618" t="str">
            <v>UN</v>
          </cell>
          <cell r="D1618">
            <v>4019.27</v>
          </cell>
        </row>
        <row r="1619">
          <cell r="A1619" t="str">
            <v>98432</v>
          </cell>
          <cell r="B1619" t="str">
            <v>(COMPOSIÇÃO REPRESENTATIVA) POÇO DE VISITA CIRCULAR PARA ESGOTO, EM ALVENARIA COM TIJOLOS CERÂMICOS MACIÇOS, DIÂMETRO INTERNO = 1,2 M, PROFUNDIDADE DE 2,00 A 2,50 M, INCLUINDO TAMPÃO DE FERRO FUNDIDO, DIÂMETRO DE 60 CM. AF_04/2018</v>
          </cell>
          <cell r="C1619" t="str">
            <v>UN</v>
          </cell>
          <cell r="D1619">
            <v>4695.47</v>
          </cell>
        </row>
        <row r="1620">
          <cell r="A1620" t="str">
            <v>98433</v>
          </cell>
          <cell r="B1620" t="str">
            <v>(COMPOSIÇÃO REPRESENTATIVA) POÇO DE VISITA CIRCULAR PARA ESGOTO, EM ALVENARIA COM TIJOLOS CERÂMICOS MACIÇOS, DIÂMETRO INTERNO = 1,2 M, PROFUNDIDADE DE 2,50 A 3,00 M, INCLUINDO TAMPÃO DE FERRO FUNDIDO, DIÂMETRO DE 60 CM. AF_04/2018</v>
          </cell>
          <cell r="C1620" t="str">
            <v>UN</v>
          </cell>
          <cell r="D1620">
            <v>5081.12</v>
          </cell>
        </row>
        <row r="1621">
          <cell r="A1621" t="str">
            <v>98434</v>
          </cell>
          <cell r="B1621" t="str">
            <v>(COMPOSIÇÃO REPRESENTATIVA) POÇO DE VISITA CIRCULAR PARA ESGOTO, EM ALVENARIA COM TIJOLOS CERÂMICOS MACIÇOS, DIÂMETRO INTERNO = 1,2 M, PROFUNDIDADE DE 3,00 A 3,50 M, INCLUINDO TAMPÃO DE FERRO FUNDIDO, DIÂMETRO DE 60 CM. AF_04/2018</v>
          </cell>
          <cell r="C1621" t="str">
            <v>M</v>
          </cell>
          <cell r="D1621">
            <v>5466.77</v>
          </cell>
        </row>
        <row r="1622">
          <cell r="A1622" t="str">
            <v>99240</v>
          </cell>
          <cell r="B1622" t="str">
            <v>ACRÉSCIMO PARA POÇO DE VISITA CIRCULAR PARA DRENAGEM, EM CONCRETO PRÉ-MOLDADO, DIÂMETRO INTERNO = 1,2 M. AF_12/2020</v>
          </cell>
          <cell r="C1622" t="str">
            <v>M</v>
          </cell>
          <cell r="D1622">
            <v>470.87</v>
          </cell>
        </row>
        <row r="1623">
          <cell r="A1623" t="str">
            <v>99241</v>
          </cell>
          <cell r="B1623" t="str">
            <v>ACRÉSCIMO PARA POÇO DE VISITA RETANGULAR PARA DRENAGEM, EM ALVENARIA COM BLOCOS DE CONCRETO, DIMENSÕES INTERNAS = 1,5X1,5 M. AF_12/2020</v>
          </cell>
          <cell r="C1623" t="str">
            <v>UN</v>
          </cell>
          <cell r="D1623">
            <v>1405.21</v>
          </cell>
        </row>
        <row r="1624">
          <cell r="A1624" t="str">
            <v>99242</v>
          </cell>
          <cell r="B1624" t="str">
            <v>BASE PARA POÇO DE VISITA CIRCULAR PARA DRENAGEM, EM ALVENARIA COM TIJOLOS CERÂMICOS MACIÇOS, DIÂMETRO INTERNO = 1,2 M, PROFUNDIDADE = 1,45 M, EXCLUINDO TAMPÃO. AF_12/2020</v>
          </cell>
          <cell r="C1624" t="str">
            <v>M</v>
          </cell>
          <cell r="D1624">
            <v>2527.58</v>
          </cell>
        </row>
        <row r="1625">
          <cell r="A1625" t="str">
            <v>99243</v>
          </cell>
          <cell r="B1625" t="str">
            <v>ACRÉSCIMO PARA POÇO DE VISITA CIRCULAR PARA DRENAGEM, EM ALVENARIA COM TIJOLOS CERÂMICOS MACIÇOS, DIÂMETRO INTERNO = 1,2 M. AF_12/2020</v>
          </cell>
          <cell r="C1625" t="str">
            <v>UN</v>
          </cell>
          <cell r="D1625">
            <v>1272.19</v>
          </cell>
        </row>
        <row r="1626">
          <cell r="A1626" t="str">
            <v>99244</v>
          </cell>
          <cell r="B1626" t="str">
            <v>BASE PARA POÇO DE VISITA RETANGULAR PARA DRENAGEM, EM ALVENARIA COM BLOCOS DE CONCRETO, DIMENSÕES INTERNAS = 1,5X2 M, PROFUNDIDADE = 1,45 M, EXCLUINDO TAMPÃO. AF_12/2020</v>
          </cell>
          <cell r="C1626" t="str">
            <v>M</v>
          </cell>
          <cell r="D1626">
            <v>4210.75</v>
          </cell>
        </row>
        <row r="1627">
          <cell r="A1627" t="str">
            <v>99246</v>
          </cell>
          <cell r="B1627" t="str">
            <v>ACRÉSCIMO PARA POÇO DE VISITA CIRCULAR PARA DRENAGEM, EM CONCRETO PRÉ-MOLDADO, DIÂMETRO INTERNO = 1,5 M. AF_12/2020</v>
          </cell>
          <cell r="C1627" t="str">
            <v>M</v>
          </cell>
          <cell r="D1627">
            <v>680.4</v>
          </cell>
        </row>
        <row r="1628">
          <cell r="A1628" t="str">
            <v>99247</v>
          </cell>
          <cell r="B1628" t="str">
            <v>ACRÉSCIMO PARA POÇO DE VISITA RETANGULAR PARA DRENAGEM, EM ALVENARIA COM BLOCOS DE CONCRETO, DIMENSÕES INTERNAS = 1,5X2 M. AF_12/2020</v>
          </cell>
          <cell r="C1628" t="str">
            <v>UN</v>
          </cell>
          <cell r="D1628">
            <v>1600.5</v>
          </cell>
        </row>
        <row r="1629">
          <cell r="A1629" t="str">
            <v>99248</v>
          </cell>
          <cell r="B1629" t="str">
            <v>BASE PARA POÇO DE VISITA CIRCULAR PARA DRENAGEM, EM ALVENARIA COM TIJOLOS CERÂMICOS MACIÇOS, DIÂMETRO INTERNO = 1,5 M, PROFUNDIDADE = 1,45 M, EXCLUINDO TAMPÃO. AF_12/2020</v>
          </cell>
          <cell r="C1629" t="str">
            <v>M</v>
          </cell>
          <cell r="D1629">
            <v>3863.6</v>
          </cell>
        </row>
        <row r="1630">
          <cell r="A1630" t="str">
            <v>99249</v>
          </cell>
          <cell r="B1630" t="str">
            <v>ACRÉSCIMO PARA POÇO DE VISITA CIRCULAR PARA DRENAGEM, EM ALVENARIA COM TIJOLOS CERÂMICOS MACIÇOS, DIÂMETRO INTERNO = 1,5 M. AF_12/2020</v>
          </cell>
          <cell r="C1630" t="str">
            <v>UN</v>
          </cell>
          <cell r="D1630">
            <v>1556.12</v>
          </cell>
        </row>
        <row r="1631">
          <cell r="A1631" t="str">
            <v>99252</v>
          </cell>
          <cell r="B1631" t="str">
            <v>BASE PARA POÇO DE VISITA RETANGULAR PARA DRENAGEM, EM ALVENARIA COM BLOCOS DE CONCRETO, DIMENSÕES INTERNAS = 1X1 M, PROFUNDIDADE = 1,45 M, EXCLUINDO TAMPÃO. AF_12/2020</v>
          </cell>
          <cell r="C1631" t="str">
            <v>M</v>
          </cell>
          <cell r="D1631">
            <v>2195.41</v>
          </cell>
        </row>
        <row r="1632">
          <cell r="A1632" t="str">
            <v>99254</v>
          </cell>
          <cell r="B1632" t="str">
            <v>ACRÉSCIMO PARA POÇO DE VISITA RETANGULAR PARA DRENAGEM, EM ALVENARIA COM BLOCOS DE CONCRETO, DIMENSÕES INTERNAS = 1X1 M. AF_12/2020</v>
          </cell>
          <cell r="C1632" t="str">
            <v>UN</v>
          </cell>
          <cell r="D1632">
            <v>1014.62</v>
          </cell>
        </row>
        <row r="1633">
          <cell r="A1633" t="str">
            <v>99256</v>
          </cell>
          <cell r="B1633" t="str">
            <v>BASE PARA POÇO DE VISITA RETANGULAR PARA DRENAGEM, EM ALVENARIA COM BLOCOS DE CONCRETO, DIMENSÕES INTERNAS = 1,5X2,5 M, PROFUNDIDADE = 1,45 M, EXCLUINDO TAMPÃO. AF_12/2020</v>
          </cell>
          <cell r="C1633" t="str">
            <v>UN</v>
          </cell>
          <cell r="D1633">
            <v>4963.21</v>
          </cell>
        </row>
        <row r="1634">
          <cell r="A1634" t="str">
            <v>99259</v>
          </cell>
          <cell r="B1634" t="str">
            <v>BASE PARA POÇO DE VISITA RETANGULAR PARA DRENAGEM, EM ALVENARIA COM BLOCOS DE CONCRETO, DIMENSÕES INTERNAS = 1X1,5 M, PROFUNDIDADE = 1,45 M, EXCLUINDO TAMPÃO. AF_12/2020</v>
          </cell>
          <cell r="C1634" t="str">
            <v>M</v>
          </cell>
          <cell r="D1634">
            <v>2778.88</v>
          </cell>
        </row>
        <row r="1635">
          <cell r="A1635" t="str">
            <v>99261</v>
          </cell>
          <cell r="B1635" t="str">
            <v>ACRÉSCIMO PARA POÇO DE VISITA RETANGULAR PARA DRENAGEM, EM ALVENARIA COM BLOCOS DE CONCRETO, DIMENSÕES INTERNAS = 1X1,5 M. AF_12/2020</v>
          </cell>
          <cell r="C1635" t="str">
            <v>M</v>
          </cell>
          <cell r="D1635">
            <v>1209.9100000000001</v>
          </cell>
        </row>
        <row r="1636">
          <cell r="A1636" t="str">
            <v>99263</v>
          </cell>
          <cell r="B1636" t="str">
            <v>ACRÉSCIMO PARA POÇO DE VISITA RETANGULAR PARA DRENAGEM, EM ALVENARIA COM BLOCOS DE CONCRETO, DIMENSÕES INTERNAS = 1,5X2,5 M. AF_12/2020</v>
          </cell>
          <cell r="C1636" t="str">
            <v>UN</v>
          </cell>
          <cell r="D1636">
            <v>1795.84</v>
          </cell>
        </row>
        <row r="1637">
          <cell r="A1637" t="str">
            <v>99265</v>
          </cell>
          <cell r="B1637" t="str">
            <v>BASE PARA POÇO DE VISITA RETANGULAR PARA DRENAGEM, EM ALVENARIA COM BLOCOS DE CONCRETO, DIMENSÕES INTERNAS = 1X2 M, PROFUNDIDADE = 1,45 M, EXCLUINDO TAMPÃO. AF_12/2020</v>
          </cell>
          <cell r="C1637" t="str">
            <v>M</v>
          </cell>
          <cell r="D1637">
            <v>3362.17</v>
          </cell>
        </row>
        <row r="1638">
          <cell r="A1638" t="str">
            <v>99266</v>
          </cell>
          <cell r="B1638" t="str">
            <v>ACRÉSCIMO PARA POÇO DE VISITA RETANGULAR PARA DRENAGEM, EM ALVENARIA COM BLOCOS DE CONCRETO, DIMENSÕES INTERNAS = 1X2 M. AF_12/2020</v>
          </cell>
          <cell r="C1638" t="str">
            <v>UN</v>
          </cell>
          <cell r="D1638">
            <v>1405.21</v>
          </cell>
        </row>
        <row r="1639">
          <cell r="A1639" t="str">
            <v>99267</v>
          </cell>
          <cell r="B1639" t="str">
            <v>BASE PARA POÇO DE VISITA RETANGULAR PARA DRENAGEM, EM ALVENARIA COM BLOCOS DE CONCRETO, DIMENSÕES INTERNAS = 1X2,5 M, PROFUNDIDADE = 1,45 M, EXCLUINDO TAMPÃO. AF_12/2020</v>
          </cell>
          <cell r="C1639" t="str">
            <v>UN</v>
          </cell>
          <cell r="D1639">
            <v>3947.64</v>
          </cell>
        </row>
        <row r="1640">
          <cell r="A1640" t="str">
            <v>99268</v>
          </cell>
          <cell r="B1640" t="str">
            <v>POÇO DE INSPEÇÃO CIRCULAR PARA DRENAGEM, EM CONCRETO PRÉ-MOLDADO, DIÂMETRO INTERNO = 0,6 M, PROFUNDIDADE = 1 M, EXCLUINDO TAMPÃO. AF_12/2020</v>
          </cell>
          <cell r="C1640" t="str">
            <v>M</v>
          </cell>
          <cell r="D1640">
            <v>356.62</v>
          </cell>
        </row>
        <row r="1641">
          <cell r="A1641" t="str">
            <v>99269</v>
          </cell>
          <cell r="B1641" t="str">
            <v>ACRÉSCIMO PARA POÇO DE VISITA RETANGULAR PARA DRENAGEM, EM ALVENARIA COM BLOCOS DE CONCRETO, DIMENSÕES INTERNAS = 1X2,5 M. AF_12/2020</v>
          </cell>
          <cell r="C1641" t="str">
            <v>UN</v>
          </cell>
          <cell r="D1641">
            <v>1600.5</v>
          </cell>
        </row>
        <row r="1642">
          <cell r="A1642" t="str">
            <v>99270</v>
          </cell>
          <cell r="B1642" t="str">
            <v>POÇO DE INSPEÇÃO CIRCULAR PARA DRENAGEM, EM CONCRETO PRÉ-MOLDADO, DIÂMETRO INTERNO = 0,6 M, PROFUNDIDADE = 1,5 M, EXCLUINDO TAMPÃO. AF_12/2020</v>
          </cell>
          <cell r="C1642" t="str">
            <v>UN</v>
          </cell>
          <cell r="D1642">
            <v>474.35</v>
          </cell>
        </row>
        <row r="1643">
          <cell r="A1643" t="str">
            <v>99271</v>
          </cell>
          <cell r="B1643" t="str">
            <v>BASE PARA POÇO DE VISITA RETANGULAR PARA DRENAGEM, EM ALVENARIA COM BLOCOS DE CONCRETO, DIMENSÕES INTERNAS = 1,5X3 M, PROFUNDIDADE = 1,45 M, EXCLUINDO TAMPÃO. AF_12/2020</v>
          </cell>
          <cell r="C1643" t="str">
            <v>UN</v>
          </cell>
          <cell r="D1643">
            <v>5686.92</v>
          </cell>
        </row>
        <row r="1644">
          <cell r="A1644" t="str">
            <v>99272</v>
          </cell>
          <cell r="B1644" t="str">
            <v>POÇO DE INSPEÇÃO CIRCULAR PARA DRENAGEM, EM ALVENARIA COM TIJOLOS CERÂMICOS MACIÇOS, DIÂMETRO INTERNO = 0,6 M, PROFUNDIDADE = 1 M, EXCLUINDO TAMPÃO. AF_12/2020</v>
          </cell>
          <cell r="C1644" t="str">
            <v>UN</v>
          </cell>
          <cell r="D1644">
            <v>915.92</v>
          </cell>
        </row>
        <row r="1645">
          <cell r="A1645" t="str">
            <v>99273</v>
          </cell>
          <cell r="B1645" t="str">
            <v>POÇO DE INSPEÇÃO CIRCULAR PARA DRENAGEM, EM ALVENARIA COM TIJOLOS CERÂMICOS MACIÇOS, DIÂMETRO INTERNO = 0,6 M, PROFUNDIDADE = 1,5 M, EXCLUINDO TAMPÃO. AF_12/2020</v>
          </cell>
          <cell r="C1645" t="str">
            <v>UN</v>
          </cell>
          <cell r="D1645">
            <v>1270.07</v>
          </cell>
        </row>
        <row r="1646">
          <cell r="A1646" t="str">
            <v>99274</v>
          </cell>
          <cell r="B1646" t="str">
            <v>BASE PARA POÇO DE VISITA RETANGULAR PARA DRENAGEM, EM ALVENARIA COM BLOCOS DE CONCRETO, DIMENSÕES INTERNAS = 1X3 M, PROFUNDIDADE = 1,45 M, EXCLUINDO TAMPÃO. AF_12/2020</v>
          </cell>
          <cell r="C1646" t="str">
            <v>UN</v>
          </cell>
          <cell r="D1646">
            <v>4561.87</v>
          </cell>
        </row>
        <row r="1647">
          <cell r="A1647" t="str">
            <v>99275</v>
          </cell>
          <cell r="B1647" t="str">
            <v>BASE PARA POÇO DE VISITA CIRCULAR PARA DRENAGEM, EM CONCRETO PRÉ-MOLDADO, DIÂMETRO INTERNO = 0,8 M, PROFUNDIDADE = 1,45 M, EXCLUINDO TAMPÃO. AF_12/2020</v>
          </cell>
          <cell r="C1647" t="str">
            <v>M</v>
          </cell>
          <cell r="D1647">
            <v>731.36</v>
          </cell>
        </row>
        <row r="1648">
          <cell r="A1648" t="str">
            <v>99276</v>
          </cell>
          <cell r="B1648" t="str">
            <v>ACRÉSCIMO PARA POÇO DE VISITA RETANGULAR PARA DRENAGEM, EM ALVENARIA COM BLOCOS DE CONCRETO, DIMENSÕES INTERNAS = 1,5X3 M. AF_12/2020</v>
          </cell>
          <cell r="C1648" t="str">
            <v>M</v>
          </cell>
          <cell r="D1648">
            <v>1991.14</v>
          </cell>
        </row>
        <row r="1649">
          <cell r="A1649" t="str">
            <v>99277</v>
          </cell>
          <cell r="B1649" t="str">
            <v>ACRÉSCIMO PARA POÇO DE VISITA RETANGULAR PARA DRENAGEM, EM ALVENARIA COM BLOCOS DE CONCRETO, DIMENSÕES INTERNAS = 1X3 M. AF_12/2020</v>
          </cell>
          <cell r="C1649" t="str">
            <v>M</v>
          </cell>
          <cell r="D1649">
            <v>1795.84</v>
          </cell>
        </row>
        <row r="1650">
          <cell r="A1650" t="str">
            <v>99278</v>
          </cell>
          <cell r="B1650" t="str">
            <v>ACRÉSCIMO PARA POÇO DE VISITA CIRCULAR PARA DRENAGEM, EM CONCRETO PRÉ-MOLDADO, DIÂMETRO INTERNO = 0,8 M. AF_12/2020</v>
          </cell>
          <cell r="C1650" t="str">
            <v>UN</v>
          </cell>
          <cell r="D1650">
            <v>271.13</v>
          </cell>
        </row>
        <row r="1651">
          <cell r="A1651" t="str">
            <v>99279</v>
          </cell>
          <cell r="B1651" t="str">
            <v>BASE PARA POÇO DE VISITA RETANGULAR PARA DRENAGEM, EM ALVENARIA COM BLOCOS DE CONCRETO, DIMENSÕES INTERNAS = 1X3,5 M, PROFUNDIDADE = 1,45 M, EXCLUINDO TAMPÃO. AF_12/2020</v>
          </cell>
          <cell r="C1651" t="str">
            <v>UN</v>
          </cell>
          <cell r="D1651">
            <v>5149.38</v>
          </cell>
        </row>
        <row r="1652">
          <cell r="A1652" t="str">
            <v>99280</v>
          </cell>
          <cell r="B1652" t="str">
            <v>BASE PARA POÇO DE VISITA CIRCULAR PARA DRENAGEM, EM ALVENARIA COM TIJOLOS CERÂMICOS MACIÇOS, DIÂMETRO INTERNO = 0,8 M, PROFUNDIDADE = 1,45 M, EXCLUINDO TAMPÃO. AF_12/2020</v>
          </cell>
          <cell r="C1652" t="str">
            <v>M</v>
          </cell>
          <cell r="D1652">
            <v>1703.39</v>
          </cell>
        </row>
        <row r="1653">
          <cell r="A1653" t="str">
            <v>99281</v>
          </cell>
          <cell r="B1653" t="str">
            <v>ACRÉSCIMO PARA POÇO DE VISITA RETANGULAR PARA DRENAGEM, EM ALVENARIA COM BLOCOS DE CONCRETO, DIMENSÕES INTERNAS = 1X3,5 M. AF_12/2020</v>
          </cell>
          <cell r="C1653" t="str">
            <v>M</v>
          </cell>
          <cell r="D1653">
            <v>1991.14</v>
          </cell>
        </row>
        <row r="1654">
          <cell r="A1654" t="str">
            <v>99282</v>
          </cell>
          <cell r="B1654" t="str">
            <v>ACRÉSCIMO PARA POÇO DE VISITA RETANGULAR PARA DRENAGEM, EM ALVENARIA COM BLOCOS DE CONCRETO, DIMENSÕES INTERNAS = 2,5X2,5 M. AF_12/2020</v>
          </cell>
          <cell r="C1654" t="str">
            <v>M</v>
          </cell>
          <cell r="D1654">
            <v>2206.0500000000002</v>
          </cell>
        </row>
        <row r="1655">
          <cell r="A1655" t="str">
            <v>99283</v>
          </cell>
          <cell r="B1655" t="str">
            <v>ACRÉSCIMO PARA POÇO DE VISITA CIRCULAR PARA DRENAGEM, EM ALVENARIA COM TIJOLOS CERÂMICOS MACIÇOS, DIÂMETRO INTERNO = 0,8 M. AF_12/2020</v>
          </cell>
          <cell r="C1655" t="str">
            <v>UN</v>
          </cell>
          <cell r="D1655">
            <v>893.62</v>
          </cell>
        </row>
        <row r="1656">
          <cell r="A1656" t="str">
            <v>99284</v>
          </cell>
          <cell r="B1656" t="str">
            <v>BASE PARA POÇO DE VISITA RETANGULAR PARA DRENAGEM, EM ALVENARIA COM BLOCOS DE CONCRETO, DIMENSÕES INTERNAS = 1,5X3,5 M, PROFUNDIDADE = 1,45 M, EXCLUINDO TAMPÃO. AF_12/2020</v>
          </cell>
          <cell r="C1656" t="str">
            <v>UN</v>
          </cell>
          <cell r="D1656">
            <v>6425.11</v>
          </cell>
        </row>
        <row r="1657">
          <cell r="A1657" t="str">
            <v>99285</v>
          </cell>
          <cell r="B1657" t="str">
            <v>BASE PARA POÇO DE VISITA CIRCULAR PARA DRENAGEM, EM CONCRETO PRÉ-MOLDADO, DIÂMETRO INTERNO = 1 M, PROFUNDIDADE = 1,45 M, EXCLUINDO TAMPÃO. AF_05/2018</v>
          </cell>
          <cell r="C1657" t="str">
            <v>UN</v>
          </cell>
          <cell r="D1657">
            <v>1035.57</v>
          </cell>
        </row>
        <row r="1658">
          <cell r="A1658" t="str">
            <v>99286</v>
          </cell>
          <cell r="B1658" t="str">
            <v>BASE PARA POÇO DE VISITA RETANGULAR PARA DRENAGEM, EM ALVENARIA COM BLOCOS DE CONCRETO, DIMENSÕES INTERNAS = 1X4 M, PROFUNDIDADE = 1,45 M, EXCLUINDO TAMPÃO. AF_12/2020</v>
          </cell>
          <cell r="C1658" t="str">
            <v>UN</v>
          </cell>
          <cell r="D1658">
            <v>5732.22</v>
          </cell>
        </row>
        <row r="1659">
          <cell r="A1659" t="str">
            <v>99287</v>
          </cell>
          <cell r="B1659" t="str">
            <v>BASE PARA POÇO DE VISITA RETANGULAR PARA DRENAGEM, EM ALVENARIA COM BLOCOS DE CONCRETO, DIMENSÕES INTERNAS = 2,5X3 M, PROFUNDIDADE = 1,45 M, EXCLUINDO TAMPÃO. AF_12/2020</v>
          </cell>
          <cell r="C1659" t="str">
            <v>M</v>
          </cell>
          <cell r="D1659">
            <v>8103.02</v>
          </cell>
        </row>
        <row r="1660">
          <cell r="A1660" t="str">
            <v>99288</v>
          </cell>
          <cell r="B1660" t="str">
            <v>ACRÉSCIMO PARA POÇO DE VISITA CIRCULAR PARA DRENAGEM, EM CONCRETO PRÉ-MOLDADO, DIÂMETRO INTERNO = 1 M. AF_12/2020</v>
          </cell>
          <cell r="C1660" t="str">
            <v>M</v>
          </cell>
          <cell r="D1660">
            <v>427.09</v>
          </cell>
        </row>
        <row r="1661">
          <cell r="A1661" t="str">
            <v>99289</v>
          </cell>
          <cell r="B1661" t="str">
            <v>ACRÉSCIMO PARA POÇO DE VISITA RETANGULAR PARA DRENAGEM, EM ALVENARIA COM BLOCOS DE CONCRETO, DIMENSÕES INTERNAS = 1X4 M. AF_12/2020</v>
          </cell>
          <cell r="C1661" t="str">
            <v>UN</v>
          </cell>
          <cell r="D1661">
            <v>2141.04</v>
          </cell>
        </row>
        <row r="1662">
          <cell r="A1662" t="str">
            <v>99290</v>
          </cell>
          <cell r="B1662" t="str">
            <v>BASE PARA POÇO DE VISITA RETANGULAR PARA DRENAGEM, EM ALVENARIA COM BLOCOS DE CONCRETO, DIMENSÕES INTERNAS = 1,5X1,5 M, PROFUNDIDADE = 1,45 M, EXCLUINDO TAMPÃO. AF_12/2020</v>
          </cell>
          <cell r="C1662" t="str">
            <v>M</v>
          </cell>
          <cell r="D1662">
            <v>3446.53</v>
          </cell>
        </row>
        <row r="1663">
          <cell r="A1663" t="str">
            <v>99291</v>
          </cell>
          <cell r="B1663" t="str">
            <v>ACRÉSCIMO PARA POÇO DE VISITA RETANGULAR PARA DRENAGEM, EM ALVENARIA COM BLOCOS DE CONCRETO, DIMENSÕES INTERNAS = 1,5X3,5 M. AF_12/2020</v>
          </cell>
          <cell r="C1663" t="str">
            <v>UN</v>
          </cell>
          <cell r="D1663">
            <v>2186.4299999999998</v>
          </cell>
        </row>
        <row r="1664">
          <cell r="A1664" t="str">
            <v>99292</v>
          </cell>
          <cell r="B1664" t="str">
            <v>BASE PARA POÇO DE VISITA CIRCULAR PARA DRENAGEM, EM ALVENARIA COM TIJOLOS CERÂMICOS MACIÇOS, DIÂMETRO INTERNO = 1 M, PROFUNDIDADE = 1,45 M, EXCLUINDO TAMPÃO. AF_12/2020</v>
          </cell>
          <cell r="C1664" t="str">
            <v>M</v>
          </cell>
          <cell r="D1664">
            <v>2112.89</v>
          </cell>
        </row>
        <row r="1665">
          <cell r="A1665" t="str">
            <v>99293</v>
          </cell>
          <cell r="B1665" t="str">
            <v>ACRÉSCIMO PARA POÇO DE VISITA CIRCULAR PARA DRENAGEM, EM ALVENARIA COM TIJOLOS CERÂMICOS MACIÇOS, DIÂMETRO INTERNO = 1 M. AF_12/2020</v>
          </cell>
          <cell r="C1665" t="str">
            <v>UN</v>
          </cell>
          <cell r="D1665">
            <v>1082.8800000000001</v>
          </cell>
        </row>
        <row r="1666">
          <cell r="A1666" t="str">
            <v>99294</v>
          </cell>
          <cell r="B1666" t="str">
            <v>BASE PARA POÇO DE VISITA RETANGULAR PARA DRENAGEM, EM ALVENARIA COM BLOCOS DE CONCRETO, DIMENSÕES INTERNAS = 1,5X4 M, PROFUNDIDADE = 1,45 M, EXCLUINDO TAMPÃO. AF_12/2020</v>
          </cell>
          <cell r="C1666" t="str">
            <v>M</v>
          </cell>
          <cell r="D1666">
            <v>7103.25</v>
          </cell>
        </row>
        <row r="1667">
          <cell r="A1667" t="str">
            <v>99296</v>
          </cell>
          <cell r="B1667" t="str">
            <v>ACRÉSCIMO PARA POÇO DE VISITA RETANGULAR PARA DRENAGEM, EM ALVENARIA COM BLOCOS DE CONCRETO, DIMENSÕES INTERNAS = 2,5X3 M. AF_12/2020</v>
          </cell>
          <cell r="C1667" t="str">
            <v>M</v>
          </cell>
          <cell r="D1667">
            <v>2401.29</v>
          </cell>
        </row>
        <row r="1668">
          <cell r="A1668" t="str">
            <v>99297</v>
          </cell>
          <cell r="B1668" t="str">
            <v>ACRÉSCIMO PARA POÇO DE VISITA RETANGULAR PARA DRENAGEM, EM ALVENARIA COM BLOCOS DE CONCRETO, DIMENSÕES INTERNAS = 1,5X4 M. AF_12/2020</v>
          </cell>
          <cell r="C1668" t="str">
            <v>UN</v>
          </cell>
          <cell r="D1668">
            <v>2397.91</v>
          </cell>
        </row>
        <row r="1669">
          <cell r="A1669" t="str">
            <v>99298</v>
          </cell>
          <cell r="B1669" t="str">
            <v>BASE PARA POÇO DE VISITA RETANGULAR PARA DRENAGEM, EM ALVENARIA COM BLOCOS DE CONCRETO, DIMENSÕES INTERNAS = 2,5X3,5 M, PROFUNDIDADE = 1,45 M, EXCLUINDO TAMPÃO. AF_12/2020</v>
          </cell>
          <cell r="C1669" t="str">
            <v>M</v>
          </cell>
          <cell r="D1669">
            <v>9163.6200000000008</v>
          </cell>
        </row>
        <row r="1670">
          <cell r="A1670" t="str">
            <v>99299</v>
          </cell>
          <cell r="B1670" t="str">
            <v>ACRÉSCIMO PARA POÇO DE VISITA RETANGULAR PARA DRENAGEM, EM ALVENARIA COM BLOCOS DE CONCRETO, DIMENSÕES INTERNAS = 2,5X3,5 M. AF_12/2020</v>
          </cell>
          <cell r="C1670" t="str">
            <v>UN</v>
          </cell>
          <cell r="D1670">
            <v>2596.56</v>
          </cell>
        </row>
        <row r="1671">
          <cell r="A1671" t="str">
            <v>99300</v>
          </cell>
          <cell r="B1671" t="str">
            <v>BASE PARA POÇO DE VISITA RETANGULAR PARA DRENAGEM, EM ALVENARIA COM BLOCOS DE CONCRETO, DIMENSÕES INTERNAS = 2,5X4 M, PROFUNDIDADE = 1,45 M, EXCLUINDO TAMPÃO. AF_12/2020</v>
          </cell>
          <cell r="C1671" t="str">
            <v>UN</v>
          </cell>
          <cell r="D1671">
            <v>10224.469999999999</v>
          </cell>
        </row>
        <row r="1672">
          <cell r="A1672" t="str">
            <v>99301</v>
          </cell>
          <cell r="B1672" t="str">
            <v>BASE PARA POÇO DE VISITA RETANGULAR PARA DRENAGEM, EM ALVENARIA COM BLOCOS DE CONCRETO, DIMENSÕES INTERNAS = 2X2 M, PROFUNDIDADE = 1,45 M, EXCLUINDO TAMPÃO. AF_12/2020</v>
          </cell>
          <cell r="C1672" t="str">
            <v>M</v>
          </cell>
          <cell r="D1672">
            <v>5081.71</v>
          </cell>
        </row>
        <row r="1673">
          <cell r="A1673" t="str">
            <v>99302</v>
          </cell>
          <cell r="B1673" t="str">
            <v>ACRÉSCIMO PARA POÇO DE VISITA RETANGULAR PARA DRENAGEM, EM ALVENARIA COM BLOCOS DE CONCRETO, DIMENSÕES INTERNAS = 2,5X4 M. AF_12/2020</v>
          </cell>
          <cell r="C1673" t="str">
            <v>UN</v>
          </cell>
          <cell r="D1673">
            <v>2795.21</v>
          </cell>
        </row>
        <row r="1674">
          <cell r="A1674" t="str">
            <v>99303</v>
          </cell>
          <cell r="B1674" t="str">
            <v>BASE PARA POÇO DE VISITA RETANGULAR PARA DRENAGEM, EM ALVENARIA COM BLOCOS DE CONCRETO, DIMENSÕES INTERNAS = 3X3 M, PROFUNDIDADE = 1,45 M, EXCLUINDO TAMPÃO. AF_12/2020</v>
          </cell>
          <cell r="C1674" t="str">
            <v>M</v>
          </cell>
          <cell r="D1674">
            <v>9350.42</v>
          </cell>
        </row>
        <row r="1675">
          <cell r="A1675" t="str">
            <v>99304</v>
          </cell>
          <cell r="B1675" t="str">
            <v>ACRÉSCIMO PARA POÇO DE VISITA RETANGULAR PARA DRENAGEM, EM ALVENARIA COM BLOCOS DE CONCRETO, DIMENSÕES INTERNAS = 3X3 M. AF_12/2020</v>
          </cell>
          <cell r="C1675" t="str">
            <v>UN</v>
          </cell>
          <cell r="D1675">
            <v>2599.94</v>
          </cell>
        </row>
        <row r="1676">
          <cell r="A1676" t="str">
            <v>99305</v>
          </cell>
          <cell r="B1676" t="str">
            <v>BASE PARA POÇO DE VISITA RETANGULAR PARA DRENAGEM, EM ALVENARIA COM BLOCOS DE CONCRETO, DIMENSÕES INTERNAS = 3X3,5 M, PROFUNDIDADE = 1,45 M, EXCLUINDO TAMPÃO. AF_12/2020</v>
          </cell>
          <cell r="C1676" t="str">
            <v>M</v>
          </cell>
          <cell r="D1676">
            <v>10569.16</v>
          </cell>
        </row>
        <row r="1677">
          <cell r="A1677" t="str">
            <v>99306</v>
          </cell>
          <cell r="B1677" t="str">
            <v>ACRÉSCIMO PARA POÇO DE VISITA RETANGULAR PARA DRENAGEM, EM ALVENARIA COM BLOCOS DE CONCRETO, DIMENSÕES INTERNAS = 3X3,5 M. AF_12/2020</v>
          </cell>
          <cell r="C1677" t="str">
            <v>M</v>
          </cell>
          <cell r="D1677">
            <v>2795.21</v>
          </cell>
        </row>
        <row r="1678">
          <cell r="A1678" t="str">
            <v>99307</v>
          </cell>
          <cell r="B1678" t="str">
            <v>ACRÉSCIMO PARA POÇO DE VISITA RETANGULAR PARA DRENAGEM, EM ALVENARIA COM BLOCOS DE CONCRETO, DIMENSÕES INTERNAS = 2X2 M. AF_12/2020</v>
          </cell>
          <cell r="C1678" t="str">
            <v>UN</v>
          </cell>
          <cell r="D1678">
            <v>1883.64</v>
          </cell>
        </row>
        <row r="1679">
          <cell r="A1679" t="str">
            <v>99308</v>
          </cell>
          <cell r="B1679" t="str">
            <v>BASE PARA POÇO DE VISITA RETANGULAR PARA DRENAGEM, EM ALVENARIA COM BLOCOS DE CONCRETO, DIMENSÕES INTERNAS = 3X4 M, PROFUNDIDADE = 1,45 M, EXCLUINDO TAMPÃO. AF_12/2020</v>
          </cell>
          <cell r="C1679" t="str">
            <v>M</v>
          </cell>
          <cell r="D1679">
            <v>11783.91</v>
          </cell>
        </row>
        <row r="1680">
          <cell r="A1680" t="str">
            <v>99309</v>
          </cell>
          <cell r="B1680" t="str">
            <v>ACRÉSCIMO PARA POÇO DE VISITA RETANGULAR PARA DRENAGEM, EM ALVENARIA COM BLOCOS DE CONCRETO, DIMENSÕES INTERNAS = 3X4 M. AF_12/2020</v>
          </cell>
          <cell r="C1680" t="str">
            <v>UN</v>
          </cell>
          <cell r="D1680">
            <v>2993.9</v>
          </cell>
        </row>
        <row r="1681">
          <cell r="A1681" t="str">
            <v>99310</v>
          </cell>
          <cell r="B1681" t="str">
            <v>BASE PARA POÇO DE VISITA RETANGULAR PARA DRENAGEM, EM ALVENARIA COM BLOCOS DE CONCRETO, DIMENSÕES INTERNAS = 3,5X3,5 M, PROFUNDIDADE = 1,45 M, EXCLUINDO TAMPÃO. AF_12/2020</v>
          </cell>
          <cell r="C1681" t="str">
            <v>M</v>
          </cell>
          <cell r="D1681">
            <v>11976.84</v>
          </cell>
        </row>
        <row r="1682">
          <cell r="A1682" t="str">
            <v>99311</v>
          </cell>
          <cell r="B1682" t="str">
            <v>ACRÉSCIMO PARA POÇO DE VISITA RETANGULAR PARA DRENAGEM, EM ALVENARIA COM BLOCOS DE CONCRETO, DIMENSÕES INTERNAS = 3,5X3,5 M. AF_12/2020</v>
          </cell>
          <cell r="C1682" t="str">
            <v>UN</v>
          </cell>
          <cell r="D1682">
            <v>2993.9</v>
          </cell>
        </row>
        <row r="1683">
          <cell r="A1683" t="str">
            <v>99312</v>
          </cell>
          <cell r="B1683" t="str">
            <v>BASE PARA POÇO DE VISITA RETANGULAR PARA DRENAGEM, EM ALVENARIA COM BLOCOS DE CONCRETO, DIMENSÕES INTERNAS = 2X2,5 M, PROFUNDIDADE = 1,45 M, EXCLUINDO TAMPÃO. AF_12/2020</v>
          </cell>
          <cell r="C1683" t="str">
            <v>UN</v>
          </cell>
          <cell r="D1683">
            <v>5959.73</v>
          </cell>
        </row>
        <row r="1684">
          <cell r="A1684" t="str">
            <v>99313</v>
          </cell>
          <cell r="B1684" t="str">
            <v>BASE PARA POÇO DE VISITA RETANGULAR PARA DRENAGEM, EM ALVENARIA COM BLOCOS DE CONCRETO, DIMENSÕES INTERNAS = 3,5X4 M, PROFUNDIDADE = 1,45 M, EXCLUINDO TAMPÃO. AF_12/2020</v>
          </cell>
          <cell r="C1684" t="str">
            <v>M</v>
          </cell>
          <cell r="D1684">
            <v>13351.27</v>
          </cell>
        </row>
        <row r="1685">
          <cell r="A1685" t="str">
            <v>99314</v>
          </cell>
          <cell r="B1685" t="str">
            <v>ACRÉSCIMO PARA POÇO DE VISITA RETANGULAR PARA DRENAGEM, EM ALVENARIA COM BLOCOS DE CONCRETO, DIMENSÕES INTERNAS = 3,5X4 M. AF_12/2020</v>
          </cell>
          <cell r="C1685" t="str">
            <v>UN</v>
          </cell>
          <cell r="D1685">
            <v>3192.56</v>
          </cell>
        </row>
        <row r="1686">
          <cell r="A1686" t="str">
            <v>99315</v>
          </cell>
          <cell r="B1686" t="str">
            <v>BASE PARA POÇO DE VISITA RETANGULAR PARA DRENAGEM, EM ALVENARIA COM BLOCOS DE CONCRETO, DIMENSÕES INTERNAS = 4X4 M, PROFUNDIDADE = 1,45 M, EXCLUINDO TAMPÃO. AF_12/2020</v>
          </cell>
          <cell r="C1686" t="str">
            <v>M</v>
          </cell>
          <cell r="D1686">
            <v>14914.74</v>
          </cell>
        </row>
        <row r="1687">
          <cell r="A1687" t="str">
            <v>99317</v>
          </cell>
          <cell r="B1687" t="str">
            <v>ACRÉSCIMO PARA POÇO DE VISITA RETANGULAR PARA DRENAGEM, EM ALVENARIA COM BLOCOS DE CONCRETO, DIMENSÕES INTERNAS = 2X2,5 M. AF_12/2020</v>
          </cell>
          <cell r="C1687" t="str">
            <v>M</v>
          </cell>
          <cell r="D1687">
            <v>2007.33</v>
          </cell>
        </row>
        <row r="1688">
          <cell r="A1688" t="str">
            <v>99318</v>
          </cell>
          <cell r="B1688" t="str">
            <v>CHAMINÉ CIRCULAR PARA POÇO DE VISITA PARA DRENAGEM, EM CONCRETO PRÉ-MOLDADO, DIÂMETRO INTERNO = 0,6 M. AF_12/2020</v>
          </cell>
          <cell r="C1688" t="str">
            <v>M</v>
          </cell>
          <cell r="D1688">
            <v>196.31</v>
          </cell>
        </row>
        <row r="1689">
          <cell r="A1689" t="str">
            <v>99319</v>
          </cell>
          <cell r="B1689" t="str">
            <v>CHAMINÉ CIRCULAR PARA POÇO DE VISITA PARA DRENAGEM, EM ALVENARIA COM TIJOLOS CERÂMICOS MACIÇOS, DIÂMETRO INTERNO = 0,6 M. AF_12/2020</v>
          </cell>
          <cell r="C1689" t="str">
            <v>UN</v>
          </cell>
          <cell r="D1689">
            <v>718.12</v>
          </cell>
        </row>
        <row r="1690">
          <cell r="A1690" t="str">
            <v>99320</v>
          </cell>
          <cell r="B1690" t="str">
            <v>BASE PARA POÇO DE VISITA RETANGULAR PARA DRENAGEM, EM ALVENARIA COM BLOCOS DE CONCRETO, DIMENSÕES INTERNAS = 2X3 M, PROFUNDIDADE = 1,45 M, EXCLUINDO TAMPÃO. AF_12/2020</v>
          </cell>
          <cell r="C1690" t="str">
            <v>M</v>
          </cell>
          <cell r="D1690">
            <v>6895.41</v>
          </cell>
        </row>
        <row r="1691">
          <cell r="A1691" t="str">
            <v>99321</v>
          </cell>
          <cell r="B1691" t="str">
            <v>ACRÉSCIMO PARA POÇO DE VISITA RETANGULAR PARA DRENAGEM, EM ALVENARIA COM BLOCOS DE CONCRETO, DIMENSÕES INTERNAS = 2X3 M. AF_12/2020</v>
          </cell>
          <cell r="C1691" t="str">
            <v>UN</v>
          </cell>
          <cell r="D1691">
            <v>2202.67</v>
          </cell>
        </row>
        <row r="1692">
          <cell r="A1692" t="str">
            <v>99322</v>
          </cell>
          <cell r="B1692" t="str">
            <v>BASE PARA POÇO DE VISITA RETANGULAR PARA DRENAGEM, EM ALVENARIA COM BLOCOS DE CONCRETO, DIMENSÕES INTERNAS = 2X3,5 M, PROFUNDIDADE = 1,45 M, EXCLUINDO TAMPÃO. AF_12/2020</v>
          </cell>
          <cell r="C1692" t="str">
            <v>M</v>
          </cell>
          <cell r="D1692">
            <v>7780.69</v>
          </cell>
        </row>
        <row r="1693">
          <cell r="A1693" t="str">
            <v>99323</v>
          </cell>
          <cell r="B1693" t="str">
            <v>ACRÉSCIMO PARA POÇO DE VISITA RETANGULAR PARA DRENAGEM, EM ALVENARIA COM BLOCOS DE CONCRETO, DIMENSÕES INTERNAS = 2X3,5 M. AF_12/2020</v>
          </cell>
          <cell r="C1693" t="str">
            <v>UN</v>
          </cell>
          <cell r="D1693">
            <v>2397.91</v>
          </cell>
        </row>
        <row r="1694">
          <cell r="A1694" t="str">
            <v>99324</v>
          </cell>
          <cell r="B1694" t="str">
            <v>BASE PARA POÇO DE VISITA RETANGULAR PARA DRENAGEM, EM ALVENARIA COM BLOCOS DE CONCRETO, DIMENSÕES INTERNAS = 2X4 M, PROFUNDIDADE = 1,45 M, EXCLUINDO TAMPÃO. AF_12/2020</v>
          </cell>
          <cell r="C1694" t="str">
            <v>M</v>
          </cell>
          <cell r="D1694">
            <v>8666.01</v>
          </cell>
        </row>
        <row r="1695">
          <cell r="A1695" t="str">
            <v>99325</v>
          </cell>
          <cell r="B1695" t="str">
            <v>ACRÉSCIMO PARA POÇO DE VISITA RETANGULAR PARA DRENAGEM, EM ALVENARIA COM BLOCOS DE CONCRETO, DIMENSÕES INTERNAS = 2X4 M. AF_12/2020</v>
          </cell>
          <cell r="C1695" t="str">
            <v>UN</v>
          </cell>
          <cell r="D1695">
            <v>2596.56</v>
          </cell>
        </row>
        <row r="1696">
          <cell r="A1696" t="str">
            <v>99326</v>
          </cell>
          <cell r="B1696" t="str">
            <v>BASE PARA POÇO DE VISITA RETANGULAR PARA DRENAGEM, EM ALVENARIA COM BLOCOS DE CONCRETO, DIMENSÕES INTERNAS = 2,5X2,5 M, PROFUNDIDADE = 1,45 M, EXCLUINDO TAMPÃO. AF_12/2020</v>
          </cell>
          <cell r="C1696" t="str">
            <v>M</v>
          </cell>
          <cell r="D1696">
            <v>7042.07</v>
          </cell>
        </row>
        <row r="1697">
          <cell r="A1697" t="str">
            <v>99327</v>
          </cell>
          <cell r="B1697" t="str">
            <v>ACRÉSCIMO PARA POÇO DE VISITA RETANGULAR PARA DRENAGEM, EM ALVENARIA COM BLOCOS DE CONCRETO, DIMENSÕES INTERNAS = 4X4 M. AF_12/2020</v>
          </cell>
          <cell r="C1697" t="str">
            <v>UN</v>
          </cell>
          <cell r="D1697">
            <v>3358.15</v>
          </cell>
        </row>
        <row r="1698">
          <cell r="A1698" t="str">
            <v>101800</v>
          </cell>
          <cell r="B1698" t="str">
            <v>CAIXA COM GRELHA RETANGULAR DE FERRO FUNDIDO, EM ALVENARIA COM TIJOLOS CERÂMICOS MACIÇOS, DIMENSÕES INTERNAS: 0,30 X 1,00 X 1,00. AF_12/2020</v>
          </cell>
          <cell r="C1698" t="str">
            <v>UN</v>
          </cell>
          <cell r="D1698">
            <v>1229.57</v>
          </cell>
        </row>
        <row r="1699">
          <cell r="A1699" t="str">
            <v>101801</v>
          </cell>
          <cell r="B1699" t="str">
            <v>CAIXA COM GRELHA RETANGULAR DE FERRO FUNDIDO, EM ALVENARIA COM BLOCOS DE CONCRETO, DIMENSÕES INTERNAS: 0,30 X 1,00 X 1,00. AF_12/2020</v>
          </cell>
          <cell r="C1699" t="str">
            <v>UN</v>
          </cell>
          <cell r="D1699">
            <v>1009.2</v>
          </cell>
        </row>
        <row r="1700">
          <cell r="A1700" t="str">
            <v>101806</v>
          </cell>
          <cell r="B1700" t="str">
            <v>CAIXA ENTERRADA DISTRIBUIDORA DE VAZÃO (SUMIDOUROS MÚLTIPLOS), RETANGULAR, EM ALVENARIA COM TIJOLOS MACIÇOS, DIMENSÕES INTERNAS: 0,60 X 0,60 X 0,50 M. AF_12/2020</v>
          </cell>
          <cell r="C1700" t="str">
            <v>UN</v>
          </cell>
          <cell r="D1700">
            <v>443.47</v>
          </cell>
        </row>
        <row r="1701">
          <cell r="A1701" t="str">
            <v>101807</v>
          </cell>
          <cell r="B1701" t="str">
            <v>CAIXA ENTERRADA DISTRIBUIDORA DE VAZÃO (SUMIDOUROS MÚLTIPLOS), RETANGULAR, EM ALVENARIA COM BLOCOS DE CONCRETO, DIMENSÕES INTERNAS: 0,60 X 0,60 X 0,50 M. AF_12/2020</v>
          </cell>
          <cell r="C1701" t="str">
            <v>UN</v>
          </cell>
          <cell r="D1701">
            <v>406.08</v>
          </cell>
        </row>
        <row r="1702">
          <cell r="A1702" t="str">
            <v>101808</v>
          </cell>
          <cell r="B1702" t="str">
            <v>CAIXA ENTERRADA DISTRIBUIDORA DE VAZÃO (SUMIDOUROS MÚLTIPLOS), RETANGULAR, EM CONCRETO PRÉ-MOLDADO, DIMENSÕES INTERNAS: 0,60 X 0,60 X 0,50 M. AF_12/2020</v>
          </cell>
          <cell r="C1702" t="str">
            <v>UN</v>
          </cell>
          <cell r="D1702">
            <v>362.69</v>
          </cell>
        </row>
        <row r="1703">
          <cell r="A1703" t="str">
            <v>101809</v>
          </cell>
          <cell r="B1703" t="str">
            <v>BASE PARA POCO DE VISITA RETANGULAR PARA ESGOTO E DRENAGEM, EM CONCRETO ESTRUTURAL, DIMENSÕES INTERNAS DE 90X150 M, PROFUNDIDADE DE 1,25 M, EXCLUINDO TAMPÃO. AF_12/2020</v>
          </cell>
          <cell r="C1703" t="str">
            <v>UN</v>
          </cell>
          <cell r="D1703">
            <v>2622.8</v>
          </cell>
        </row>
        <row r="1704">
          <cell r="A1704" t="str">
            <v>102139</v>
          </cell>
          <cell r="B1704" t="str">
            <v>BASE PARA POÇO DE VISITA CIRCULAR PARA  ESGOTO, EM CONCRETO PRÉ-MOLDADO, DIÂMETRO INTERNO = 1,2 M, PROFUNDIDADE = 1,45 M, EXCLUINDO TAMPÃO. AF_12/2020</v>
          </cell>
          <cell r="C1704" t="str">
            <v>UN</v>
          </cell>
          <cell r="D1704">
            <v>1316.74</v>
          </cell>
        </row>
        <row r="1705">
          <cell r="A1705" t="str">
            <v>102141</v>
          </cell>
          <cell r="B1705" t="str">
            <v>BASE PARA POÇO DE VISITA CIRCULAR PARA  ESGOTO, EM CONCRETO PRÉ-MOLDADO, DIÂMETRO INTERNO = 1,5 M, PROFUNDIDADE = 1,45 M, EXCLUINDO TAMPÃO. AF_12/2020</v>
          </cell>
          <cell r="C1705" t="str">
            <v>UN</v>
          </cell>
          <cell r="D1705">
            <v>2096.71</v>
          </cell>
        </row>
        <row r="1706">
          <cell r="A1706" t="str">
            <v>102142</v>
          </cell>
          <cell r="B1706" t="str">
            <v>BASE PARA POÇO DE VISITA CIRCULAR PARA DRENAGEM, EM CONCRETO PRÉ-MOLDADO, DIÂMETRO INTERNO = 1,5 M, PROFUNDIDADE = 1,45 M, EXCLUINDO TAMPÃO. AF_12/2020</v>
          </cell>
          <cell r="C1706" t="str">
            <v>UN</v>
          </cell>
          <cell r="D1706">
            <v>2063.11</v>
          </cell>
        </row>
        <row r="1707">
          <cell r="A1707" t="str">
            <v>102457</v>
          </cell>
          <cell r="B1707" t="str">
            <v>BASE PARA POÇO DE VISITA CIRCULAR PARA DRENAGEM, EM CONCRETO PRÉ-MOLDADO, DIÂMETRO INTERNO = 1,2 M, PROFUNDIDADE = 1,45 M, EXCLUINDO TAMPÃO. AF_05/2021</v>
          </cell>
          <cell r="C1707" t="str">
            <v>M</v>
          </cell>
          <cell r="D1707">
            <v>1296.82</v>
          </cell>
        </row>
        <row r="1708">
          <cell r="A1708" t="str">
            <v>94263</v>
          </cell>
          <cell r="B1708" t="str">
            <v>GUIA (MEIO-FIO) CONCRETO, MOLDADA  IN LOCO  EM TRECHO RETO COM EXTRUSORA, 13 CM BASE X 22 CM ALTURA. AF_06/2016</v>
          </cell>
          <cell r="C1708" t="str">
            <v>M</v>
          </cell>
          <cell r="D1708">
            <v>26.24</v>
          </cell>
        </row>
        <row r="1709">
          <cell r="A1709" t="str">
            <v>94264</v>
          </cell>
          <cell r="B1709" t="str">
            <v>GUIA (MEIO-FIO) CONCRETO, MOLDADA  IN LOCO  EM TRECHO CURVO COM EXTRUSORA, 13 CM BASE X 22 CM ALTURA. AF_06/2016</v>
          </cell>
          <cell r="C1709" t="str">
            <v>M</v>
          </cell>
          <cell r="D1709">
            <v>29.58</v>
          </cell>
        </row>
        <row r="1710">
          <cell r="A1710" t="str">
            <v>94265</v>
          </cell>
          <cell r="B1710" t="str">
            <v>GUIA (MEIO-FIO) CONCRETO, MOLDADA  IN LOCO  EM TRECHO RETO COM EXTRUSORA, 15 CM BASE X 30 CM ALTURA. AF_06/2016</v>
          </cell>
          <cell r="C1710" t="str">
            <v>M</v>
          </cell>
          <cell r="D1710">
            <v>33.39</v>
          </cell>
        </row>
        <row r="1711">
          <cell r="A1711" t="str">
            <v>94266</v>
          </cell>
          <cell r="B1711" t="str">
            <v>GUIA (MEIO-FIO) CONCRETO, MOLDADA  IN LOCO  EM TRECHO CURVO COM EXTRUSORA, 15 CM BASE X 30 CM ALTURA. AF_06/2016</v>
          </cell>
          <cell r="C1711" t="str">
            <v>M</v>
          </cell>
          <cell r="D1711">
            <v>37.21</v>
          </cell>
        </row>
        <row r="1712">
          <cell r="A1712" t="str">
            <v>94267</v>
          </cell>
          <cell r="B1712" t="str">
            <v>GUIA (MEIO-FIO) E SARJETA CONJUGADOS DE CONCRETO, MOLDADA  IN LOCO  EM TRECHO RETO COM EXTRUSORA, 45 CM BASE (15 CM BASE DA GUIA + 30 CM BASE DA SARJETA) X 22 CM ALTURA. AF_06/2016</v>
          </cell>
          <cell r="C1712" t="str">
            <v>M</v>
          </cell>
          <cell r="D1712">
            <v>38.979999999999997</v>
          </cell>
        </row>
        <row r="1713">
          <cell r="A1713" t="str">
            <v>94268</v>
          </cell>
          <cell r="B1713" t="str">
            <v>GUIA (MEIO-FIO) E SARJETA CONJUGADOS DE CONCRETO, MOLDADA  IN LOCO  EM TRECHO CURVO COM EXTRUSORA, 45 CM BASE (15 CM BASE DA GUIA + 30 CM BASE DA SARJETA) X 22 CM ALTURA. AF_06/2016</v>
          </cell>
          <cell r="C1713" t="str">
            <v>M</v>
          </cell>
          <cell r="D1713">
            <v>43.21</v>
          </cell>
        </row>
        <row r="1714">
          <cell r="A1714" t="str">
            <v>94269</v>
          </cell>
          <cell r="B1714" t="str">
            <v>GUIA (MEIO-FIO) E SARJETA CONJUGADOS DE CONCRETO, MOLDADA  IN LOCO  EM TRECHO RETO COM EXTRUSORA, 60 CM BASE (15 CM BASE DA GUIA + 45 CM BASE DA SARJETA) X 26 CM ALTURA. AF_06/2016</v>
          </cell>
          <cell r="C1714" t="str">
            <v>M</v>
          </cell>
          <cell r="D1714">
            <v>54.63</v>
          </cell>
        </row>
        <row r="1715">
          <cell r="A1715" t="str">
            <v>94270</v>
          </cell>
          <cell r="B1715" t="str">
            <v>GUIA (MEIO-FIO) E SARJETA CONJUGADOS DE CONCRETO, MOLDADA IN LOCO  EM TRECHO CURVO COM EXTRUSORA, 60 CM BASE (15 CM BASE DA GUIA + 45 CM BASE DA SARJETA) X 26 CM ALTURA. AF_06/2016</v>
          </cell>
          <cell r="C1715" t="str">
            <v>M</v>
          </cell>
          <cell r="D1715">
            <v>60.52</v>
          </cell>
        </row>
        <row r="1716">
          <cell r="A1716" t="str">
            <v>94271</v>
          </cell>
          <cell r="B1716" t="str">
            <v>GUIA (MEIO-FIO) E SARJETA CONJUGADOS DE CONCRETO, MOLDADA  IN LOCO  EM TRECHO RETO COM EXTRUSORA, 65 CM BASE (15 CM BASE DA GUIA + 50 CM BASE DA SARJETA) X 26 CM ALTURA. AF_06/2016</v>
          </cell>
          <cell r="C1716" t="str">
            <v>M</v>
          </cell>
          <cell r="D1716">
            <v>66.61</v>
          </cell>
        </row>
        <row r="1717">
          <cell r="A1717" t="str">
            <v>94272</v>
          </cell>
          <cell r="B1717" t="str">
            <v>GUIA (MEIO-FIO) E SARJETA CONJUGADOS DE CONCRETO, MOLDADA  IN LOCO  EM TRECHO CURVO COM EXTRUSORA, 65 CM BASE (15 CM BASE DA GUIA + 50 CM BASE DA SARJETA) X 26 CM ALTURA. AF_06/2016</v>
          </cell>
          <cell r="C1717" t="str">
            <v>M</v>
          </cell>
          <cell r="D1717">
            <v>74.44</v>
          </cell>
        </row>
        <row r="1718">
          <cell r="A1718" t="str">
            <v>94273</v>
          </cell>
          <cell r="B1718" t="str">
            <v>ASSENTAMENTO DE GUIA (MEIO-FIO) EM TRECHO RETO, CONFECCIONADA EM CONCRETO PRÉ-FABRICADO, DIMENSÕES 100X15X13X30 CM (COMPRIMENTO X BASE INFERIOR X BASE SUPERIOR X ALTURA), PARA VIAS URBANAS (USO VIÁRIO). AF_06/2016</v>
          </cell>
          <cell r="C1718" t="str">
            <v>M</v>
          </cell>
          <cell r="D1718">
            <v>49.13</v>
          </cell>
        </row>
        <row r="1719">
          <cell r="A1719" t="str">
            <v>94274</v>
          </cell>
          <cell r="B1719" t="str">
            <v>ASSENTAMENTO DE GUIA (MEIO-FIO) EM TRECHO CURVO, CONFECCIONADA EM CONCRETO PRÉ-FABRICADO, DIMENSÕES 100X15X13X30 CM (COMPRIMENTO X BASE INFERIOR X BASE SUPERIOR X ALTURA), PARA VIAS URBANAS (USO VIÁRIO). AF_06/2016</v>
          </cell>
          <cell r="C1719" t="str">
            <v>M</v>
          </cell>
          <cell r="D1719">
            <v>52.99</v>
          </cell>
        </row>
        <row r="1720">
          <cell r="A1720" t="str">
            <v>94275</v>
          </cell>
          <cell r="B1720" t="str">
            <v>ASSENTAMENTO DE GUIA (MEIO-FIO) EM TRECHO RETO, CONFECCIONADA EM CONCRETO PRÉ-FABRICADO, DIMENSÕES 100X15X13X20 CM (COMPRIMENTO X BASE INFERIOR X BASE SUPERIOR X ALTURA), PARA URBANIZAÇÃO INTERNA DE EMPREENDIMENTOS. AF_06/2016_P</v>
          </cell>
          <cell r="C1720" t="str">
            <v>M</v>
          </cell>
          <cell r="D1720">
            <v>47.18</v>
          </cell>
        </row>
        <row r="1721">
          <cell r="A1721" t="str">
            <v>94276</v>
          </cell>
          <cell r="B1721" t="str">
            <v>ASSENTAMENTO DE GUIA (MEIO-FIO) EM TRECHO CURVO, CONFECCIONADA EM CONCRETO PRÉ-FABRICADO, DIMENSÕES 100X15X13X20 CM (COMPRIMENTO X BASE INFERIOR X BASE SUPERIOR X ALTURA), PARA URBANIZAÇÃO INTERNA DE EMPREENDIMENTOS. AF_06/2016_P</v>
          </cell>
          <cell r="C1721" t="str">
            <v>M</v>
          </cell>
          <cell r="D1721">
            <v>51.04</v>
          </cell>
        </row>
        <row r="1722">
          <cell r="A1722" t="str">
            <v>94277</v>
          </cell>
          <cell r="B1722" t="str">
            <v>ASSENTAMENTO DE GUIA (MEIO-FIO) EM TRECHO RETO, CONFECCIONADA EM CONCRETO PRÉ-FABRICADO, DIMENSÕES 80X08X08X25 CM (COMPRIMENTO X BASE INFERIOR X BASE SUPERIOR X ALTURA), PARA URBANIZAÇÃO INTERNA DE EMPREENDIMENTOS. AF_06/2016</v>
          </cell>
          <cell r="C1722" t="str">
            <v>M</v>
          </cell>
          <cell r="D1722">
            <v>39.020000000000003</v>
          </cell>
        </row>
        <row r="1723">
          <cell r="A1723" t="str">
            <v>94278</v>
          </cell>
          <cell r="B1723" t="str">
            <v>ASSENTAMENTO DE GUIA (MEIO-FIO) EM TRECHO CURVO, CONFECCIONADA EM CONCRETO PRÉ-FABRICADO, DIMENSÕES 80X08X08X25 CM (COMPRIMENTO X BASE INFERIOR X BASE SUPERIOR X ALTURA), PARA URBANIZAÇÃO INTERNA DE EMPREENDIMENTOS. AF_06/2016</v>
          </cell>
          <cell r="C1723" t="str">
            <v>M</v>
          </cell>
          <cell r="D1723">
            <v>42.88</v>
          </cell>
        </row>
        <row r="1724">
          <cell r="A1724" t="str">
            <v>94279</v>
          </cell>
          <cell r="B1724" t="str">
            <v>ASSENTAMENTO DE GUIA (MEIO-FIO) EM TRECHO RETO, CONFECCIONADA EM CONCRETO PRÉ-FABRICADO, DIMENSÕES 39X6,5X6,5X19 CM (COMPRIMENTO X BASE INFERIOR X BASE SUPERIOR X ALTURA), PARA DELIMITAÇÃO DE JARDINS, PRAÇAS OU PASSEIOS. AF_05/2016</v>
          </cell>
          <cell r="C1724" t="str">
            <v>M</v>
          </cell>
          <cell r="D1724">
            <v>45.28</v>
          </cell>
        </row>
        <row r="1725">
          <cell r="A1725" t="str">
            <v>94280</v>
          </cell>
          <cell r="B1725" t="str">
            <v>ASSENTAMENTO DE GUIA (MEIO-FIO) EM TRECHO CURVO, CONFECCIONADA EM CONCRETO PRÉ-FABRICADO, DIMENSÕES 39X6,5X6,5X19 CM (COMPRIMENTO X BASE INFERIOR X BASE SUPERIOR X ALTURA), PARA DELIMITAÇÃO DE JARDINS, PRAÇAS OU PASSEIOS. AF_05/2016</v>
          </cell>
          <cell r="C1725" t="str">
            <v>M</v>
          </cell>
          <cell r="D1725">
            <v>49.13</v>
          </cell>
        </row>
        <row r="1726">
          <cell r="A1726" t="str">
            <v>94281</v>
          </cell>
          <cell r="B1726" t="str">
            <v>EXECUÇÃO DE SARJETA DE CONCRETO USINADO, MOLDADA  IN LOCO  EM TRECHO RETO, 30 CM BASE X 15 CM ALTURA. AF_06/2016</v>
          </cell>
          <cell r="C1726" t="str">
            <v>M</v>
          </cell>
          <cell r="D1726">
            <v>42.91</v>
          </cell>
        </row>
        <row r="1727">
          <cell r="A1727" t="str">
            <v>94282</v>
          </cell>
          <cell r="B1727" t="str">
            <v>EXECUÇÃO DE SARJETA DE CONCRETO USINADO, MOLDADA  IN LOCO  EM TRECHO CURVO, 30 CM BASE X 15 CM ALTURA. AF_06/2016</v>
          </cell>
          <cell r="C1727" t="str">
            <v>M</v>
          </cell>
          <cell r="D1727">
            <v>54.66</v>
          </cell>
        </row>
        <row r="1728">
          <cell r="A1728" t="str">
            <v>94283</v>
          </cell>
          <cell r="B1728" t="str">
            <v>EXECUÇÃO DE SARJETA DE CONCRETO USINADO, MOLDADA  IN LOCO  EM TRECHO RETO, 45 CM BASE X 15 CM ALTURA. AF_06/2016</v>
          </cell>
          <cell r="C1728" t="str">
            <v>M</v>
          </cell>
          <cell r="D1728">
            <v>53.52</v>
          </cell>
        </row>
        <row r="1729">
          <cell r="A1729" t="str">
            <v>94284</v>
          </cell>
          <cell r="B1729" t="str">
            <v>EXECUÇÃO DE SARJETA DE CONCRETO USINADO, MOLDADA  IN LOCO  EM TRECHO CURVO, 45 CM BASE X 15 CM ALTURA. AF_06/2016</v>
          </cell>
          <cell r="C1729" t="str">
            <v>M</v>
          </cell>
          <cell r="D1729">
            <v>65.27</v>
          </cell>
        </row>
        <row r="1730">
          <cell r="A1730" t="str">
            <v>94285</v>
          </cell>
          <cell r="B1730" t="str">
            <v>EXECUÇÃO DE SARJETA DE CONCRETO USINADO, MOLDADA  IN LOCO  EM TRECHO RETO, 60 CM BASE X 15 CM ALTURA. AF_06/2016</v>
          </cell>
          <cell r="C1730" t="str">
            <v>M</v>
          </cell>
          <cell r="D1730">
            <v>63.56</v>
          </cell>
        </row>
        <row r="1731">
          <cell r="A1731" t="str">
            <v>94286</v>
          </cell>
          <cell r="B1731" t="str">
            <v>EXECUÇÃO DE SARJETA DE CONCRETO USINADO, MOLDADA  IN LOCO  EM TRECHO CURVO, 60 CM BASE X 15 CM ALTURA. AF_06/2016</v>
          </cell>
          <cell r="C1731" t="str">
            <v>M</v>
          </cell>
          <cell r="D1731">
            <v>75.319999999999993</v>
          </cell>
        </row>
        <row r="1732">
          <cell r="A1732" t="str">
            <v>94287</v>
          </cell>
          <cell r="B1732" t="str">
            <v>EXECUÇÃO DE SARJETA DE CONCRETO USINADO, MOLDADA  IN LOCO  EM TRECHO RETO, 30 CM BASE X 10 CM ALTURA. AF_06/2016</v>
          </cell>
          <cell r="C1732" t="str">
            <v>M</v>
          </cell>
          <cell r="D1732">
            <v>34.11</v>
          </cell>
        </row>
        <row r="1733">
          <cell r="A1733" t="str">
            <v>94288</v>
          </cell>
          <cell r="B1733" t="str">
            <v>EXECUÇÃO DE SARJETA DE CONCRETO USINADO, MOLDADA  IN LOCO  EM TRECHO CURVO, 30 CM BASE X 10 CM ALTURA. AF_06/2016</v>
          </cell>
          <cell r="C1733" t="str">
            <v>M</v>
          </cell>
          <cell r="D1733">
            <v>44.38</v>
          </cell>
        </row>
        <row r="1734">
          <cell r="A1734" t="str">
            <v>94289</v>
          </cell>
          <cell r="B1734" t="str">
            <v>EXECUÇÃO DE SARJETA DE CONCRETO USINADO, MOLDADA  IN LOCO  EM TRECHO RETO, 45 CM BASE X 10 CM ALTURA. AF_06/2016</v>
          </cell>
          <cell r="C1734" t="str">
            <v>M</v>
          </cell>
          <cell r="D1734">
            <v>41.78</v>
          </cell>
        </row>
        <row r="1735">
          <cell r="A1735" t="str">
            <v>94290</v>
          </cell>
          <cell r="B1735" t="str">
            <v>EXECUÇÃO DE SARJETA DE CONCRETO USINADO, MOLDADA  IN LOCO  EM TRECHO CURVO, 45 CM BASE X 10 CM ALTURA. AF_06/2016</v>
          </cell>
          <cell r="C1735" t="str">
            <v>M</v>
          </cell>
          <cell r="D1735">
            <v>52.05</v>
          </cell>
        </row>
        <row r="1736">
          <cell r="A1736" t="str">
            <v>94291</v>
          </cell>
          <cell r="B1736" t="str">
            <v>EXECUÇÃO DE SARJETA DE CONCRETO USINADO, MOLDADA  IN LOCO  EM TRECHO RETO, 60 CM BASE X 10 CM ALTURA. AF_06/2016</v>
          </cell>
          <cell r="C1736" t="str">
            <v>M</v>
          </cell>
          <cell r="D1736">
            <v>48.95</v>
          </cell>
        </row>
        <row r="1737">
          <cell r="A1737" t="str">
            <v>94292</v>
          </cell>
          <cell r="B1737" t="str">
            <v>EXECUÇÃO DE SARJETA DE CONCRETO USINADO, MOLDADA  IN LOCO  EM TRECHO CURVO, 60 CM BASE X 10 CM ALTURA. AF_06/2016</v>
          </cell>
          <cell r="C1737" t="str">
            <v>M</v>
          </cell>
          <cell r="D1737">
            <v>59.22</v>
          </cell>
        </row>
        <row r="1738">
          <cell r="A1738" t="str">
            <v>94293</v>
          </cell>
          <cell r="B1738" t="str">
            <v>EXECUÇÃO DE SARJETÃO DE CONCRETO USINADO, MOLDADA  IN LOCO  EM TRECHO RETO, 100 CM BASE X 20 CM ALTURA. AF_06/2016</v>
          </cell>
          <cell r="C1738" t="str">
            <v>M</v>
          </cell>
          <cell r="D1738">
            <v>123.75</v>
          </cell>
        </row>
        <row r="1739">
          <cell r="A1739" t="str">
            <v>94294</v>
          </cell>
          <cell r="B1739" t="str">
            <v>EXECUÇÃO DE ESCORAS DE CONCRETO PARA CONTENÇÃO DE GUIAS PRÉ-FABRICADAS. AF_06/2016</v>
          </cell>
          <cell r="C1739" t="str">
            <v>M2</v>
          </cell>
          <cell r="D1739">
            <v>7.02</v>
          </cell>
        </row>
        <row r="1740">
          <cell r="A1740" t="str">
            <v>102727</v>
          </cell>
          <cell r="B1740" t="str">
            <v>FABRICAÇÃO, MONTAGEM E DESMONTAGEM DE FÔRMA PARA BOCA PARA BUEIRO, EM CHAPA DE MADEIRA COMPENSADA RESINADA, E = 17 MM, 2 UTILIZAÇÕES. AF_07/2021</v>
          </cell>
          <cell r="C1740" t="str">
            <v>KG</v>
          </cell>
          <cell r="D1740">
            <v>92.06</v>
          </cell>
        </row>
        <row r="1741">
          <cell r="A1741" t="str">
            <v>102728</v>
          </cell>
          <cell r="B1741" t="str">
            <v>ARMAÇÃO DE MURO ALA E MURO TESTA UTILIZANDO AÇO CA-50 DE 6,3 MM - MONTAGEM. AF_07/2021</v>
          </cell>
          <cell r="C1741" t="str">
            <v>KG</v>
          </cell>
          <cell r="D1741">
            <v>18.73</v>
          </cell>
        </row>
        <row r="1742">
          <cell r="A1742" t="str">
            <v>102729</v>
          </cell>
          <cell r="B1742" t="str">
            <v>ARMAÇÃO DE MURO ALA E MURO TESTA UTILIZANDO AÇO CA-50 DE 8 MM - MONTAGEM. AF_07/2021</v>
          </cell>
          <cell r="C1742" t="str">
            <v>KG</v>
          </cell>
          <cell r="D1742">
            <v>17.84</v>
          </cell>
        </row>
        <row r="1743">
          <cell r="A1743" t="str">
            <v>102730</v>
          </cell>
          <cell r="B1743" t="str">
            <v>ARMAÇÃO DE MURO ALA E MURO TESTA UTILIZANDO AÇO CA-50 DE 10 MM - MONTAGEM. AF_07/2021</v>
          </cell>
          <cell r="C1743" t="str">
            <v>KG</v>
          </cell>
          <cell r="D1743">
            <v>16.09</v>
          </cell>
        </row>
        <row r="1744">
          <cell r="A1744" t="str">
            <v>102731</v>
          </cell>
          <cell r="B1744" t="str">
            <v>ARMAÇÃO DE MURO ALA E MURO TESTA UTILIZANDO AÇO CA-50 DE 12,5 MM - MONTAGEM. AF_07/2021</v>
          </cell>
          <cell r="C1744" t="str">
            <v>KG</v>
          </cell>
          <cell r="D1744">
            <v>13.65</v>
          </cell>
        </row>
        <row r="1745">
          <cell r="A1745" t="str">
            <v>102732</v>
          </cell>
          <cell r="B1745" t="str">
            <v>ARMAÇÃO DE MURO ALA E MURO TESTA UTILIZANDO AÇO CA-50 DE 16 MM - MONTAGEM. AF_07/2021</v>
          </cell>
          <cell r="C1745" t="str">
            <v>KG</v>
          </cell>
          <cell r="D1745">
            <v>13.08</v>
          </cell>
        </row>
        <row r="1746">
          <cell r="A1746" t="str">
            <v>102733</v>
          </cell>
          <cell r="B1746" t="str">
            <v>ARMAÇÃO DE MURO ALA E MURO TESTA UTILIZANDO AÇO CA-50 DE 20 MM - MONTAGEM. AF_07/2021</v>
          </cell>
          <cell r="C1746" t="str">
            <v>KG</v>
          </cell>
          <cell r="D1746">
            <v>14.76</v>
          </cell>
        </row>
        <row r="1747">
          <cell r="A1747" t="str">
            <v>102734</v>
          </cell>
          <cell r="B1747" t="str">
            <v>ARMAÇÃO DE SOLEIRA UTILIZANDO AÇO CA-50 DE 6,3 MM - MONTAGEM. AF_07/2021</v>
          </cell>
          <cell r="C1747" t="str">
            <v>KG</v>
          </cell>
          <cell r="D1747">
            <v>17.559999999999999</v>
          </cell>
        </row>
        <row r="1748">
          <cell r="A1748" t="str">
            <v>102735</v>
          </cell>
          <cell r="B1748" t="str">
            <v>ARMAÇÃO DE SOLEIRA UTILIZANDO AÇO CA-50 DE 8 MM - MONTAGEM. AF_07/2021</v>
          </cell>
          <cell r="C1748" t="str">
            <v>M3</v>
          </cell>
          <cell r="D1748">
            <v>16.920000000000002</v>
          </cell>
        </row>
        <row r="1749">
          <cell r="A1749" t="str">
            <v>102736</v>
          </cell>
          <cell r="B1749" t="str">
            <v>CONCRETAGEM DE BOCA PARA BUEIRO, FCK = 20 MPA, COM USO DE BOMBA - LANÇAMENTO, ADENSAMENTO E ACABAMENTO. AF_07/2021</v>
          </cell>
          <cell r="C1749" t="str">
            <v>UN</v>
          </cell>
          <cell r="D1749">
            <v>398.99</v>
          </cell>
        </row>
        <row r="1750">
          <cell r="A1750" t="str">
            <v>102737</v>
          </cell>
          <cell r="B1750" t="str">
            <v>BOCA PARA BUEIRO SIMPLES TUBULAR D = 40 CM EM CONCRETO, ALAS COM ESCONSIDADE DE 0°, INCLUINDO FÔRMAS E MATERIAIS. AF_07/2021</v>
          </cell>
          <cell r="C1750" t="str">
            <v>UN</v>
          </cell>
          <cell r="D1750">
            <v>1056.8399999999999</v>
          </cell>
        </row>
        <row r="1751">
          <cell r="A1751" t="str">
            <v>102738</v>
          </cell>
          <cell r="B1751" t="str">
            <v>BOCA PARA BUEIRO SIMPLES TUBULAR D = 60 CM EM CONCRETO, ALAS COM ESCONSIDADE DE 0°, INCLUINDO FÔRMAS E MATERIAIS. AF_07/2021</v>
          </cell>
          <cell r="C1751" t="str">
            <v>UN</v>
          </cell>
          <cell r="D1751">
            <v>2174.2600000000002</v>
          </cell>
        </row>
        <row r="1752">
          <cell r="A1752" t="str">
            <v>102739</v>
          </cell>
          <cell r="B1752" t="str">
            <v>BOCA PARA BUEIRO SIMPLES TUBULAR D = 80 CM EM CONCRETO, ALAS COM ESCONSIDADE DE 0°, INCLUINDO FÔRMAS E MATERIAIS. AF_07/2021</v>
          </cell>
          <cell r="C1752" t="str">
            <v>UN</v>
          </cell>
          <cell r="D1752">
            <v>3656.13</v>
          </cell>
        </row>
        <row r="1753">
          <cell r="A1753" t="str">
            <v>102740</v>
          </cell>
          <cell r="B1753" t="str">
            <v>BOCA PARA BUEIRO SIMPLES TUBULAR D = 100 CM EM CONCRETO, ALAS COM ESCONSIDADE DE 0°, INCLUINDO FÔRMAS E MATERIAIS. AF_07/2021</v>
          </cell>
          <cell r="C1753" t="str">
            <v>UN</v>
          </cell>
          <cell r="D1753">
            <v>5497.11</v>
          </cell>
        </row>
        <row r="1754">
          <cell r="A1754" t="str">
            <v>102741</v>
          </cell>
          <cell r="B1754" t="str">
            <v>BOCA PARA BUEIRO SIMPLES TUBULAR D = 120 CM EM CONCRETO, ALAS COM ESCONSIDADE DE 0°, INCLUINDO FÔRMAS E MATERIAIS. AF_07/2021</v>
          </cell>
          <cell r="C1754" t="str">
            <v>UN</v>
          </cell>
          <cell r="D1754">
            <v>7735.6</v>
          </cell>
        </row>
        <row r="1755">
          <cell r="A1755" t="str">
            <v>102742</v>
          </cell>
          <cell r="B1755" t="str">
            <v>BOCA PARA BUEIRO SIMPLES TUBULAR D = 150 CM EM CONCRETO, ALAS COM ESCONSIDADE DE 0°, INCLUINDO FÔRMAS E MATERIAIS. AF_07/2021</v>
          </cell>
          <cell r="C1755" t="str">
            <v>UN</v>
          </cell>
          <cell r="D1755">
            <v>13425.92</v>
          </cell>
        </row>
        <row r="1756">
          <cell r="A1756" t="str">
            <v>102743</v>
          </cell>
          <cell r="B1756" t="str">
            <v>BOCA PARA BUEIRO DUPLO TUBULAR D = 80 CM EM CONCRETO, ALAS COM ESCONSIDADE DE 0°, INCLUINDO FÔRMAS E MATERIAIS. AF_07/2021</v>
          </cell>
          <cell r="C1756" t="str">
            <v>UN</v>
          </cell>
          <cell r="D1756">
            <v>4409.99</v>
          </cell>
        </row>
        <row r="1757">
          <cell r="A1757" t="str">
            <v>102744</v>
          </cell>
          <cell r="B1757" t="str">
            <v>BOCA PARA BUEIRO DUPLO TUBULAR D = 100 CM EM CONCRETO, ALAS COM ESCONSIDADE DE 0°, INCLUINDO FÔRMAS E MATERIAIS. AF_07/2021</v>
          </cell>
          <cell r="C1757" t="str">
            <v>UN</v>
          </cell>
          <cell r="D1757">
            <v>6629.39</v>
          </cell>
        </row>
        <row r="1758">
          <cell r="A1758" t="str">
            <v>102745</v>
          </cell>
          <cell r="B1758" t="str">
            <v>BOCA PARA BUEIRO DUPLO TUBULAR D = 120 CM EM CONCRETO, ALAS COM ESCONSIDADE DE 0°, INCLUINDO FÔRMAS E MATERIAIS. AF_07/2021</v>
          </cell>
          <cell r="C1758" t="str">
            <v>UN</v>
          </cell>
          <cell r="D1758">
            <v>9344.64</v>
          </cell>
        </row>
        <row r="1759">
          <cell r="A1759" t="str">
            <v>102746</v>
          </cell>
          <cell r="B1759" t="str">
            <v>BOCA PARA BUEIRO DUPLO TUBULAR D = 150 CM EM CONCRETO, ALAS COM ESCONSIDADE DE 0°, INCLUINDO FÔRMAS E MATERIAIS. AF_07/2021</v>
          </cell>
          <cell r="C1759" t="str">
            <v>UN</v>
          </cell>
          <cell r="D1759">
            <v>16240.14</v>
          </cell>
        </row>
        <row r="1760">
          <cell r="A1760" t="str">
            <v>102747</v>
          </cell>
          <cell r="B1760" t="str">
            <v>BOCA PARA BUEIRO TRIPLO TUBULAR D = 100 CM EM CONCRETO, ALAS COM ESCONSIDADE DE 0°, INCLUINDO FÔRMAS E MATERIAIS. AF_07/2021</v>
          </cell>
          <cell r="C1760" t="str">
            <v>UN</v>
          </cell>
          <cell r="D1760">
            <v>8221.4599999999991</v>
          </cell>
        </row>
        <row r="1761">
          <cell r="A1761" t="str">
            <v>102748</v>
          </cell>
          <cell r="B1761" t="str">
            <v>BOCA PARA BUEIRO TRIPLO TUBULAR D = 120 CM EM CONCRETO, ALAS COM ESCONSIDADE DE 0°, INCLUINDO FÔRMAS E MATERIAIS. AF_07/2021</v>
          </cell>
          <cell r="C1761" t="str">
            <v>UN</v>
          </cell>
          <cell r="D1761">
            <v>11537.86</v>
          </cell>
        </row>
        <row r="1762">
          <cell r="A1762" t="str">
            <v>102749</v>
          </cell>
          <cell r="B1762" t="str">
            <v>BOCA PARA BUEIRO TRIPLO TUBULAR D = 150 CM EM CONCRETO, ALAS COM ESCONSIDADE DE 0°, INCLUINDO FÔRMAS E MATERIAIS. AF_07/2021</v>
          </cell>
          <cell r="C1762" t="str">
            <v>UN</v>
          </cell>
          <cell r="D1762">
            <v>19855.400000000001</v>
          </cell>
        </row>
        <row r="1763">
          <cell r="A1763" t="str">
            <v>102750</v>
          </cell>
          <cell r="B1763" t="str">
            <v>BOCA PARA BUEIRO SIMPLES TUBULAR D = 60 CM EM CONCRETO, ALAS COM ESCONSIDADE DE 30°, INCLUINDO FÔRMAS E MATERIAIS. AF_07/2021</v>
          </cell>
          <cell r="C1763" t="str">
            <v>UN</v>
          </cell>
          <cell r="D1763">
            <v>2656.37</v>
          </cell>
        </row>
        <row r="1764">
          <cell r="A1764" t="str">
            <v>102751</v>
          </cell>
          <cell r="B1764" t="str">
            <v>BOCA PARA BUEIRO SIMPLES TUBULAR D = 80 CM EM CONCRETO, ALAS COM ESCONSIDADE DE 30°, INCLUINDO FÔRMAS E MATERIAIS. AF_07/2021</v>
          </cell>
          <cell r="C1764" t="str">
            <v>UN</v>
          </cell>
          <cell r="D1764">
            <v>4644.99</v>
          </cell>
        </row>
        <row r="1765">
          <cell r="A1765" t="str">
            <v>102752</v>
          </cell>
          <cell r="B1765" t="str">
            <v>BOCA PARA BUEIRO SIMPLES TUBULAR D = 100 CM EM CONCRETO, ALAS COM ESCONSIDADE DE 30°, INCLUINDO FÔRMAS E MATERIAIS. AF_07/2021</v>
          </cell>
          <cell r="C1765" t="str">
            <v>UN</v>
          </cell>
          <cell r="D1765">
            <v>7434.06</v>
          </cell>
        </row>
        <row r="1766">
          <cell r="A1766" t="str">
            <v>102753</v>
          </cell>
          <cell r="B1766" t="str">
            <v>BOCA PARA BUEIRO SIMPLES TUBULAR D = 120 CM EM CONCRETO, ALAS COM ESCONSIDADE DE 30°, INCLUINDO FÔRMAS E MATERIAIS. AF_07/2021</v>
          </cell>
          <cell r="C1766" t="str">
            <v>UN</v>
          </cell>
          <cell r="D1766">
            <v>11048.77</v>
          </cell>
        </row>
        <row r="1767">
          <cell r="A1767" t="str">
            <v>102754</v>
          </cell>
          <cell r="B1767" t="str">
            <v>BOCA PARA BUEIRO SIMPLES TUBULAR D = 150 CM EM CONCRETO, ALAS COM ESCONSIDADE DE 30°, INCLUINDO FÔRMAS E MATERIAIS. AF_07/2021</v>
          </cell>
          <cell r="C1767" t="str">
            <v>UN</v>
          </cell>
          <cell r="D1767">
            <v>21051.09</v>
          </cell>
        </row>
        <row r="1768">
          <cell r="A1768" t="str">
            <v>102755</v>
          </cell>
          <cell r="B1768" t="str">
            <v>BOCA PARA BUEIRO DUPLO TUBULAR D = 100 CM EM CONCRETO, ALAS COM ESCONSIDADE DE 30°, INCLUINDO FÔRMAS E MATERIAIS. AF_07/2021</v>
          </cell>
          <cell r="C1768" t="str">
            <v>UN</v>
          </cell>
          <cell r="D1768">
            <v>10382.33</v>
          </cell>
        </row>
        <row r="1769">
          <cell r="A1769" t="str">
            <v>102756</v>
          </cell>
          <cell r="B1769" t="str">
            <v>BOCA PARA BUEIRO DUPLO TUBULAR D = 120 CM EM CONCRETO, ALAS COM ESCONSIDADE DE 30°, INCLUINDO FÔRMAS E MATERIAIS. AF_07/2021</v>
          </cell>
          <cell r="C1769" t="str">
            <v>UN</v>
          </cell>
          <cell r="D1769">
            <v>15481.79</v>
          </cell>
        </row>
        <row r="1770">
          <cell r="A1770" t="str">
            <v>102757</v>
          </cell>
          <cell r="B1770" t="str">
            <v>BOCA PARA BUEIRO DUPLO TUBULAR D = 150 CM EM CONCRETO, ALAS COM ESCONSIDADE DE 30°, INCLUINDO FÔRMAS E MATERIAIS. AF_07/2021</v>
          </cell>
          <cell r="C1770" t="str">
            <v>UN</v>
          </cell>
          <cell r="D1770">
            <v>28863.85</v>
          </cell>
        </row>
        <row r="1771">
          <cell r="A1771" t="str">
            <v>102758</v>
          </cell>
          <cell r="B1771" t="str">
            <v>BOCA PARA BUEIRO TRIPLO TUBULAR D = 100 CM EM CONCRETO, ALAS COM ESCONSIDADE DE 30°, INCLUINDO FÔRMAS E MATERIAIS. AF_07/2021</v>
          </cell>
          <cell r="C1771" t="str">
            <v>UN</v>
          </cell>
          <cell r="D1771">
            <v>13346.21</v>
          </cell>
        </row>
        <row r="1772">
          <cell r="A1772" t="str">
            <v>102759</v>
          </cell>
          <cell r="B1772" t="str">
            <v>BOCA PARA BUEIRO TRIPLO TUBULAR D = 120 CM EM CONCRETO, ALAS COM ESCONSIDADE DE 30°, INCLUINDO FÔRMAS E MATERIAIS. AF_07/2021</v>
          </cell>
          <cell r="C1772" t="str">
            <v>UN</v>
          </cell>
          <cell r="D1772">
            <v>19938.63</v>
          </cell>
        </row>
        <row r="1773">
          <cell r="A1773" t="str">
            <v>102760</v>
          </cell>
          <cell r="B1773" t="str">
            <v>BOCA PARA BUEIRO TRIPLO TUBULAR D = 150 CM EM CONCRETO, ALAS COM ESCONSIDADE DE 30°, INCLUINDO FÔRMAS E MATERIAIS. AF_07/2021</v>
          </cell>
          <cell r="C1773" t="str">
            <v>UN</v>
          </cell>
          <cell r="D1773">
            <v>36829.89</v>
          </cell>
        </row>
        <row r="1774">
          <cell r="A1774" t="str">
            <v>102761</v>
          </cell>
          <cell r="B1774" t="str">
            <v>BOCA PARA BUEIRO SIMPLES CELULAR 150 X 150 CM EM CONCRETO, ALAS COM ESCONSIDADE DE 30°, INCLUINDO FÔRMAS E MATERIAIS. AF_07/2021</v>
          </cell>
          <cell r="C1774" t="str">
            <v>UN</v>
          </cell>
          <cell r="D1774">
            <v>12628.01</v>
          </cell>
        </row>
        <row r="1775">
          <cell r="A1775" t="str">
            <v>102762</v>
          </cell>
          <cell r="B1775" t="str">
            <v>BOCA PARA BUEIRO SIMPLES CELULAR 200 X 200 CM EM CONCRETO, ALAS COM ESCONSIDADE DE 30°, INCLUINDO FÔRMAS E MATERIAIS. AF_07/2021</v>
          </cell>
          <cell r="C1775" t="str">
            <v>UN</v>
          </cell>
          <cell r="D1775">
            <v>19544.88</v>
          </cell>
        </row>
        <row r="1776">
          <cell r="A1776" t="str">
            <v>102763</v>
          </cell>
          <cell r="B1776" t="str">
            <v>BOCA PARA BUEIRO SIMPLES CELULAR 250 X 250 CM EM CONCRETO, ALAS COM ESCONSIDADE DE 30°, INCLUINDO FÔRMAS E MATERIAIS. AF_07/2021</v>
          </cell>
          <cell r="C1776" t="str">
            <v>UN</v>
          </cell>
          <cell r="D1776">
            <v>27349.63</v>
          </cell>
        </row>
        <row r="1777">
          <cell r="A1777" t="str">
            <v>102764</v>
          </cell>
          <cell r="B1777" t="str">
            <v>BOCA PARA BUEIRO SIMPLES CELULAR 300 X 300 CM EM CONCRETO, ALAS COM ESCONSIDADE DE 30°, INCLUINDO FÔRMAS E MATERIAIS. AF_07/2021</v>
          </cell>
          <cell r="C1777" t="str">
            <v>UN</v>
          </cell>
          <cell r="D1777">
            <v>38787.769999999997</v>
          </cell>
        </row>
        <row r="1778">
          <cell r="A1778" t="str">
            <v>102765</v>
          </cell>
          <cell r="B1778" t="str">
            <v>BOCA PARA BUEIRO DUPLO CELULAR 150 X 150 CM EM CONCRETO, ALAS COM ESCONSIDADE DE 30°, INCLUINDO FÔRMAS E MATERIAIS. AF_07/2021</v>
          </cell>
          <cell r="C1778" t="str">
            <v>UN</v>
          </cell>
          <cell r="D1778">
            <v>15566.94</v>
          </cell>
        </row>
        <row r="1779">
          <cell r="A1779" t="str">
            <v>102766</v>
          </cell>
          <cell r="B1779" t="str">
            <v>BOCA PARA BUEIRO DUPLO CELULAR 200 X 200 CM EM CONCRETO, ALAS COM ESCONSIDADE DE 30°, INCLUINDO FÔRMAS E MATERIAIS. AF_07/2021</v>
          </cell>
          <cell r="C1779" t="str">
            <v>UN</v>
          </cell>
          <cell r="D1779">
            <v>23526.91</v>
          </cell>
        </row>
        <row r="1780">
          <cell r="A1780" t="str">
            <v>102767</v>
          </cell>
          <cell r="B1780" t="str">
            <v>BOCA PARA BUEIRO DUPLO CELULAR 250 X 250 CM EM CONCRETO, ALAS COM ESCONSIDADE DE 30°, INCLUINDO FÔRMAS E MATERIAIS. AF_07/2021</v>
          </cell>
          <cell r="C1780" t="str">
            <v>UN</v>
          </cell>
          <cell r="D1780">
            <v>33295.42</v>
          </cell>
        </row>
        <row r="1781">
          <cell r="A1781" t="str">
            <v>102768</v>
          </cell>
          <cell r="B1781" t="str">
            <v>BOCA PARA BUEIRO DUPLO CELULAR 300 X 300 CM EM CONCRETO, ALAS COM ESCONSIDADE DE 30°, INCLUINDO FÔRMAS E MATERIAIS. AF_07/2021</v>
          </cell>
          <cell r="C1781" t="str">
            <v>UN</v>
          </cell>
          <cell r="D1781">
            <v>46863.86</v>
          </cell>
        </row>
        <row r="1782">
          <cell r="A1782" t="str">
            <v>102769</v>
          </cell>
          <cell r="B1782" t="str">
            <v>BOCA PARA BUEIRO TRIPLO CELULAR 150 X 150 CM EM CONCRETO, ALAS COM ESCONSIDADE DE 30°, INCLUINDO FÔRMAS E MATERIAIS. AF_07/2021</v>
          </cell>
          <cell r="C1782" t="str">
            <v>UN</v>
          </cell>
          <cell r="D1782">
            <v>17885.05</v>
          </cell>
        </row>
        <row r="1783">
          <cell r="A1783" t="str">
            <v>102770</v>
          </cell>
          <cell r="B1783" t="str">
            <v>BOCA PARA BUEIRO TRIPLO CELULAR 200 X 200 CM EM CONCRETO, ALAS COM ESCONSIDADE DE 30°, INCLUINDO FÔRMAS E MATERIAIS. AF_07/2021</v>
          </cell>
          <cell r="C1783" t="str">
            <v>UN</v>
          </cell>
          <cell r="D1783">
            <v>27581.119999999999</v>
          </cell>
        </row>
        <row r="1784">
          <cell r="A1784" t="str">
            <v>102771</v>
          </cell>
          <cell r="B1784" t="str">
            <v>BOCA PARA BUEIRO TRIPLO CELULAR 250 X 250 CM EM CONCRETO, ALAS COM ESCONSIDADE DE 30°, INCLUINDO FÔRMAS E MATERIAIS. AF_07/2021</v>
          </cell>
          <cell r="C1784" t="str">
            <v>UN</v>
          </cell>
          <cell r="D1784">
            <v>39004.18</v>
          </cell>
        </row>
        <row r="1785">
          <cell r="A1785" t="str">
            <v>102772</v>
          </cell>
          <cell r="B1785" t="str">
            <v>BOCA PARA BUEIRO TRIPLO CELULAR 300 X 300 CM EM CONCRETO, ALAS COM ESCONSIDADE DE 30°, INCLUINDO FÔRMAS E MATERIAIS. AF_07/2021</v>
          </cell>
          <cell r="C1785" t="str">
            <v>UN</v>
          </cell>
          <cell r="D1785">
            <v>55585.93</v>
          </cell>
        </row>
        <row r="1786">
          <cell r="A1786" t="str">
            <v>102773</v>
          </cell>
          <cell r="B1786" t="str">
            <v>BOCA PARA BUEIRO SIMPLES TUBULAR D = 40 CM EM GABIÃO, ALAS COM ESCONSIDADE DE 45°, INCLUINDO FÔRMAS E MATERIAIS. AF_07/2021</v>
          </cell>
          <cell r="C1786" t="str">
            <v>UN</v>
          </cell>
          <cell r="D1786">
            <v>7170.48</v>
          </cell>
        </row>
        <row r="1787">
          <cell r="A1787" t="str">
            <v>102774</v>
          </cell>
          <cell r="B1787" t="str">
            <v>BOCA PARA BUEIRO SIMPLES TUBULAR D = 60 CM EM GABIÃO, ALAS COM ESCONSIDADE DE 45°, INCLUINDO FÔRMAS E MATERIAIS. AF_07/2021</v>
          </cell>
          <cell r="C1787" t="str">
            <v>UN</v>
          </cell>
          <cell r="D1787">
            <v>7170.48</v>
          </cell>
        </row>
        <row r="1788">
          <cell r="A1788" t="str">
            <v>102775</v>
          </cell>
          <cell r="B1788" t="str">
            <v>BOCA PARA BUEIRO SIMPLES TUBULAR D = 80 CM EM GABIÃO, ALAS COM ESCONSIDADE DE 45°, INCLUINDO FÔRMAS E MATERIAIS. AF_07/2021</v>
          </cell>
          <cell r="C1788" t="str">
            <v>UN</v>
          </cell>
          <cell r="D1788">
            <v>10701.84</v>
          </cell>
        </row>
        <row r="1789">
          <cell r="A1789" t="str">
            <v>102776</v>
          </cell>
          <cell r="B1789" t="str">
            <v>BOCA PARA BUEIRO SIMPLES TUBULAR D = 100 CM EM GABIÃO, ALAS COM ESCONSIDADE DE 45°, INCLUINDO FÔRMAS E MATERIAIS. AF_07/2021</v>
          </cell>
          <cell r="C1789" t="str">
            <v>UN</v>
          </cell>
          <cell r="D1789">
            <v>10701.84</v>
          </cell>
        </row>
        <row r="1790">
          <cell r="A1790" t="str">
            <v>102777</v>
          </cell>
          <cell r="B1790" t="str">
            <v>BOCA PARA BUEIRO SIMPLES TUBULAR D = 120 CM EM GABIÃO, ALAS COM ESCONSIDADE DE 45°, INCLUINDO FÔRMAS E MATERIAIS. AF_07/2021</v>
          </cell>
          <cell r="C1790" t="str">
            <v>UN</v>
          </cell>
          <cell r="D1790">
            <v>16197</v>
          </cell>
        </row>
        <row r="1791">
          <cell r="A1791" t="str">
            <v>102778</v>
          </cell>
          <cell r="B1791" t="str">
            <v>BOCA PARA BUEIRO SIMPLES TUBULAR D = 150 CM EM GABIÃO, ALAS COM ESCONSIDADE DE 45°, INCLUINDO FÔRMAS E MATERIAIS. AF_07/2021</v>
          </cell>
          <cell r="C1791" t="str">
            <v>UN</v>
          </cell>
          <cell r="D1791">
            <v>24128.75</v>
          </cell>
        </row>
        <row r="1792">
          <cell r="A1792" t="str">
            <v>102779</v>
          </cell>
          <cell r="B1792" t="str">
            <v>BOCA PARA BUEIRO DUPLO TUBULAR D = 40 CM EM GABIÃO, ALAS COM ESCONSIDADE DE 45°, INCLUINDO FÔRMAS E MATERIAIS. AF_07/2021</v>
          </cell>
          <cell r="C1792" t="str">
            <v>UN</v>
          </cell>
          <cell r="D1792">
            <v>7170.48</v>
          </cell>
        </row>
        <row r="1793">
          <cell r="A1793" t="str">
            <v>102780</v>
          </cell>
          <cell r="B1793" t="str">
            <v>BOCA PARA BUEIRO DUPLO TUBULAR D = 60 CM EM GABIÃO, ALAS COM ESCONSIDADE DE 45°, INCLUINDO FÔRMAS E MATERIAIS. AF_07/2021</v>
          </cell>
          <cell r="C1793" t="str">
            <v>UN</v>
          </cell>
          <cell r="D1793">
            <v>8251.44</v>
          </cell>
        </row>
        <row r="1794">
          <cell r="A1794" t="str">
            <v>102781</v>
          </cell>
          <cell r="B1794" t="str">
            <v>BOCA PARA BUEIRO DUPLO TUBULAR D = 80 CM EM GABIÃO, ALAS COM ESCONSIDADE DE 45°, INCLUINDO FÔRMAS E MATERIAIS. AF_07/2021</v>
          </cell>
          <cell r="C1794" t="str">
            <v>UN</v>
          </cell>
          <cell r="D1794">
            <v>12224.22</v>
          </cell>
        </row>
        <row r="1795">
          <cell r="A1795" t="str">
            <v>102782</v>
          </cell>
          <cell r="B1795" t="str">
            <v>BOCA PARA BUEIRO DUPLO TUBULAR D = 100 CM EM GABIÃO, ALAS COM ESCONSIDADE DE 45°, INCLUINDO FÔRMAS E MATERIAIS. AF_07/2021</v>
          </cell>
          <cell r="C1795" t="str">
            <v>UN</v>
          </cell>
          <cell r="D1795">
            <v>13601.28</v>
          </cell>
        </row>
        <row r="1796">
          <cell r="A1796" t="str">
            <v>102783</v>
          </cell>
          <cell r="B1796" t="str">
            <v>BOCA PARA BUEIRO DUPLO TUBULAR D = 120 CM EM GABIÃO, ALAS COM ESCONSIDADE DE 45°, INCLUINDO FÔRMAS E MATERIAIS. AF_07/2021</v>
          </cell>
          <cell r="C1796" t="str">
            <v>UN</v>
          </cell>
          <cell r="D1796">
            <v>18015.48</v>
          </cell>
        </row>
        <row r="1797">
          <cell r="A1797" t="str">
            <v>102784</v>
          </cell>
          <cell r="B1797" t="str">
            <v>BOCA PARA BUEIRO DUPLO TUBULAR D = 150 CM EM GABIÃO, ALAS COM ESCONSIDADE DE 45°, INCLUINDO FÔRMAS E MATERIAIS. AF_07/2021</v>
          </cell>
          <cell r="C1797" t="str">
            <v>UN</v>
          </cell>
          <cell r="D1797">
            <v>28094.62</v>
          </cell>
        </row>
        <row r="1798">
          <cell r="A1798" t="str">
            <v>102785</v>
          </cell>
          <cell r="B1798" t="str">
            <v>BOCA PARA BUEIRO TRIPLO TUBULAR D = 40 CM EM GABIÃO, ALAS COM ESCONSIDADE DE 45°, INCLUINDO FÔRMAS E MATERIAIS. AF_07/2021</v>
          </cell>
          <cell r="C1798" t="str">
            <v>UN</v>
          </cell>
          <cell r="D1798">
            <v>8251.44</v>
          </cell>
        </row>
        <row r="1799">
          <cell r="A1799" t="str">
            <v>102786</v>
          </cell>
          <cell r="B1799" t="str">
            <v>BOCA PARA BUEIRO TRIPLO TUBULAR D = 60 CM EM GABIÃO, ALAS COM ESCONSIDADE DE 45°, INCLUINDO FÔRMAS E MATERIAIS. AF_07/2021</v>
          </cell>
          <cell r="C1799" t="str">
            <v>UN</v>
          </cell>
          <cell r="D1799">
            <v>9187.08</v>
          </cell>
        </row>
        <row r="1800">
          <cell r="A1800" t="str">
            <v>102787</v>
          </cell>
          <cell r="B1800" t="str">
            <v>BOCA PARA BUEIRO TRIPLO TUBULAR D = 80 CM EM GABIÃO, ALAS COM ESCONSIDADE DE 45°, INCLUINDO FÔRMAS E MATERIAIS. AF_07/2021</v>
          </cell>
          <cell r="C1800" t="str">
            <v>UN</v>
          </cell>
          <cell r="D1800">
            <v>13601.28</v>
          </cell>
        </row>
        <row r="1801">
          <cell r="A1801" t="str">
            <v>102788</v>
          </cell>
          <cell r="B1801" t="str">
            <v>BOCA PARA BUEIRO TRIPLO TUBULAR D = 100 CM EM GABIÃO, ALAS COM ESCONSIDADE DE 45°, INCLUINDO FÔRMAS E MATERIAIS. AF_07/2021</v>
          </cell>
          <cell r="C1801" t="str">
            <v>UN</v>
          </cell>
          <cell r="D1801">
            <v>14951.09</v>
          </cell>
        </row>
        <row r="1802">
          <cell r="A1802" t="str">
            <v>102789</v>
          </cell>
          <cell r="B1802" t="str">
            <v>BOCA PARA BUEIRO TRIPLO TUBULAR D = 120 CM EM GABIÃO, ALAS COM ESCONSIDADE DE 45°, INCLUINDO FÔRMAS E MATERIAIS. AF_07/2021</v>
          </cell>
          <cell r="C1802" t="str">
            <v>UN</v>
          </cell>
          <cell r="D1802">
            <v>19670.47</v>
          </cell>
        </row>
        <row r="1803">
          <cell r="A1803" t="str">
            <v>102790</v>
          </cell>
          <cell r="B1803" t="str">
            <v>BOCA PARA BUEIRO TRIPLO TUBULAR D = 150 CM EM GABIÃO, ALAS COM ESCONSIDADE DE 45°, INCLUINDO FÔRMAS E MATERIAIS. AF_07/2021</v>
          </cell>
          <cell r="C1803" t="str">
            <v>UN</v>
          </cell>
          <cell r="D1803">
            <v>32514.62</v>
          </cell>
        </row>
        <row r="1804">
          <cell r="A1804" t="str">
            <v>102791</v>
          </cell>
          <cell r="B1804" t="str">
            <v>BOCA PARA BUEIRO SIMPLES CELULAR 150 X 150 CM EM GABIÃO, ALAS COM ESCONSIDADE DE 45°, INCLUINDO FÔRMAS E MATERIAIS. AF_07/2021</v>
          </cell>
          <cell r="C1804" t="str">
            <v>UN</v>
          </cell>
          <cell r="D1804">
            <v>26145.1</v>
          </cell>
        </row>
        <row r="1805">
          <cell r="A1805" t="str">
            <v>102792</v>
          </cell>
          <cell r="B1805" t="str">
            <v>BOCA PARA BUEIRO SIMPLES CELULAR 200 X 200 CM EM GABIÃO, ALAS COM ESCONSIDADE DE 45°, INCLUINDO FÔRMAS E MATERIAIS. AF_07/2021</v>
          </cell>
          <cell r="C1805" t="str">
            <v>UN</v>
          </cell>
          <cell r="D1805">
            <v>42532.85</v>
          </cell>
        </row>
        <row r="1806">
          <cell r="A1806" t="str">
            <v>102793</v>
          </cell>
          <cell r="B1806" t="str">
            <v>BOCA PARA BUEIRO SIMPLES CELULAR 250 X 250 CM EM GABIÃO, ALAS COM ESCONSIDADE DE 45°, INCLUINDO FÔRMAS E MATERIAIS. AF_07/2021</v>
          </cell>
          <cell r="C1806" t="str">
            <v>UN</v>
          </cell>
          <cell r="D1806">
            <v>57278.68</v>
          </cell>
        </row>
        <row r="1807">
          <cell r="A1807" t="str">
            <v>102794</v>
          </cell>
          <cell r="B1807" t="str">
            <v>BOCA PARA BUEIRO SIMPLES CELULAR 300 X 300 CM EM GABIÃO, ALAS COM ESCONSIDADE DE 45°, INCLUINDO FÔRMAS E MATERIAIS. AF_07/2021</v>
          </cell>
          <cell r="C1807" t="str">
            <v>UN</v>
          </cell>
          <cell r="D1807">
            <v>82053.070000000007</v>
          </cell>
        </row>
        <row r="1808">
          <cell r="A1808" t="str">
            <v>102795</v>
          </cell>
          <cell r="B1808" t="str">
            <v>BOCA PARA BUEIRO DUPLO CELULAR 150 X 150 CM EM GABIÃO, ALAS COM ESCONSIDADE DE 45°, INCLUINDO FÔRMAS E MATERIAIS. AF_07/2021</v>
          </cell>
          <cell r="C1808" t="str">
            <v>UN</v>
          </cell>
          <cell r="D1808">
            <v>27898.41</v>
          </cell>
        </row>
        <row r="1809">
          <cell r="A1809" t="str">
            <v>102796</v>
          </cell>
          <cell r="B1809" t="str">
            <v>BOCA PARA BUEIRO DUPLO CELULAR 200 X 200 CM EM GABIÃO, ALAS COM ESCONSIDADE DE 45°, INCLUINDO FÔRMAS E MATERIAIS. AF_07/2021</v>
          </cell>
          <cell r="C1809" t="str">
            <v>UN</v>
          </cell>
          <cell r="D1809">
            <v>45000.18</v>
          </cell>
        </row>
        <row r="1810">
          <cell r="A1810" t="str">
            <v>102797</v>
          </cell>
          <cell r="B1810" t="str">
            <v>BOCA PARA BUEIRO DUPLO CELULAR 250 X 250 CM EM GABIÃO, ALAS COM ESCONSIDADE DE 45°, INCLUINDO FÔRMAS E MATERIAIS. AF_07/2021</v>
          </cell>
          <cell r="C1810" t="str">
            <v>UN</v>
          </cell>
          <cell r="D1810">
            <v>63810.09</v>
          </cell>
        </row>
        <row r="1811">
          <cell r="A1811" t="str">
            <v>102798</v>
          </cell>
          <cell r="B1811" t="str">
            <v>BOCA PARA BUEIRO DUPLO CELULAR 300 X 300 CM EM GABIÃO, ALAS COM ESCONSIDADE DE 45°, INCLUINDO FÔRMAS E MATERIAIS. AF_07/2021</v>
          </cell>
          <cell r="C1811" t="str">
            <v>UN</v>
          </cell>
          <cell r="D1811">
            <v>78099.259999999995</v>
          </cell>
        </row>
        <row r="1812">
          <cell r="A1812" t="str">
            <v>102799</v>
          </cell>
          <cell r="B1812" t="str">
            <v>BOCA PARA BUEIRO TRIPLO CELULAR 150 X 150 CM EM GABIÃO, ALAS COM ESCONSIDADE DE 45°, INCLUINDO FÔRMAS E MATERIAIS. AF_07/2021</v>
          </cell>
          <cell r="C1812" t="str">
            <v>UN</v>
          </cell>
          <cell r="D1812">
            <v>28486.97</v>
          </cell>
        </row>
        <row r="1813">
          <cell r="A1813" t="str">
            <v>102800</v>
          </cell>
          <cell r="B1813" t="str">
            <v>BOCA PARA BUEIRO TRIPLO CELULAR 200 X 200 CM EM GABIÃO, ALAS COM ESCONSIDADE DE 45°, INCLUINDO FÔRMAS E MATERIAIS. AF_07/2021</v>
          </cell>
          <cell r="C1813" t="str">
            <v>UN</v>
          </cell>
          <cell r="D1813">
            <v>49398.5</v>
          </cell>
        </row>
        <row r="1814">
          <cell r="A1814" t="str">
            <v>102801</v>
          </cell>
          <cell r="B1814" t="str">
            <v>BOCA PARA BUEIRO TRIPLO CELULAR 250 X 250 CM EM GABIÃO, ALAS COM ESCONSIDADE DE 45°, INCLUINDO FÔRMAS E MATERIAIS. AF_07/2021</v>
          </cell>
          <cell r="C1814" t="str">
            <v>UN</v>
          </cell>
          <cell r="D1814">
            <v>69180.38</v>
          </cell>
        </row>
        <row r="1815">
          <cell r="A1815" t="str">
            <v>102802</v>
          </cell>
          <cell r="B1815" t="str">
            <v>BOCA PARA BUEIRO TRIPLO CELULAR 300 X 300 CM EM GABIÃO, ALAS COM ESCONSIDADE DE 45°, INCLUINDO FÔRMAS E MATERIAIS. AF_07/2021</v>
          </cell>
          <cell r="C1815" t="str">
            <v>M2</v>
          </cell>
          <cell r="D1815">
            <v>82959.45</v>
          </cell>
        </row>
        <row r="1816">
          <cell r="A1816" t="str">
            <v>101570</v>
          </cell>
          <cell r="B1816" t="str">
            <v>ESCORAMENTO DE VALA, TIPO PONTALETEAMENTO, COM PROFUNDIDADE DE 0 A 1,5 M, LARGURA MENOR QUE 1,5 M. AF_08/2020</v>
          </cell>
          <cell r="C1816" t="str">
            <v>M2</v>
          </cell>
          <cell r="D1816">
            <v>21.88</v>
          </cell>
        </row>
        <row r="1817">
          <cell r="A1817" t="str">
            <v>101571</v>
          </cell>
          <cell r="B1817" t="str">
            <v>ESCORAMENTO DE VALA, TIPO PONTALETEAMENTO, COM PROFUNDIDADE DE 0 A 1,5 M, LARGURA MAIOR OU IGUAL A 1,5 M E MENOR QUE 2,5 M. AF_08/2020</v>
          </cell>
          <cell r="C1817" t="str">
            <v>M2</v>
          </cell>
          <cell r="D1817">
            <v>29.55</v>
          </cell>
        </row>
        <row r="1818">
          <cell r="A1818" t="str">
            <v>101572</v>
          </cell>
          <cell r="B1818" t="str">
            <v>ESCORAMENTO DE VALA, TIPO PONTALETEAMENTO, COM PROFUNDIDADE DE 1,5 A 3,0 M, LARGURA MENOR QUE 1,5 M. AF_08/2020</v>
          </cell>
          <cell r="C1818" t="str">
            <v>M2</v>
          </cell>
          <cell r="D1818">
            <v>17.22</v>
          </cell>
        </row>
        <row r="1819">
          <cell r="A1819" t="str">
            <v>101573</v>
          </cell>
          <cell r="B1819" t="str">
            <v>ESCORAMENTO DE VALA, TIPO PONTALETEAMENTO, COM PROFUNDIDADE DE 1,5 A 3,0 M, LARGURA MAIOR OU IGUAL A 1,5 M E MENOR QUE 2,5 M. AF_08/2020</v>
          </cell>
          <cell r="C1819" t="str">
            <v>M2</v>
          </cell>
          <cell r="D1819">
            <v>24.9</v>
          </cell>
        </row>
        <row r="1820">
          <cell r="A1820" t="str">
            <v>101574</v>
          </cell>
          <cell r="B1820" t="str">
            <v>ESCORAMENTO DE VALA, TIPO PONTALETEAMENTO, COM PROFUNDIDADE DE 3,0 A 4,5 M, LARGURA MENOR QUE 1,5 M. AF_08/2020</v>
          </cell>
          <cell r="C1820" t="str">
            <v>M2</v>
          </cell>
          <cell r="D1820">
            <v>13.29</v>
          </cell>
        </row>
        <row r="1821">
          <cell r="A1821" t="str">
            <v>101575</v>
          </cell>
          <cell r="B1821" t="str">
            <v>ESCORAMENTO DE VALA, TIPO PONTALETEAMENTO, COM PROFUNDIDADE DE 3,0 A 4,5 M, LARGURA MAIOR OU IGUAL A 1,5 M E MENOR QUE 2,5 M. AF_08/2020</v>
          </cell>
          <cell r="C1821" t="str">
            <v>M2</v>
          </cell>
          <cell r="D1821">
            <v>21.1</v>
          </cell>
        </row>
        <row r="1822">
          <cell r="A1822" t="str">
            <v>101576</v>
          </cell>
          <cell r="B1822" t="str">
            <v>ESCORAMENTO DE VALA, TIPO DESCONTÍNUO, COM PROFUNDIDADE DE 0 A 1,5 M, LARGURA MENOR QUE 1,5 M. AF_08/2020</v>
          </cell>
          <cell r="C1822" t="str">
            <v>M2</v>
          </cell>
          <cell r="D1822">
            <v>39.700000000000003</v>
          </cell>
        </row>
        <row r="1823">
          <cell r="A1823" t="str">
            <v>101577</v>
          </cell>
          <cell r="B1823" t="str">
            <v>ESCORAMENTO DE VALA, TIPO DESCONTÍNUO, COM PROFUNDIDADE DE 0 A 1,5 M, LARGURA MAIOR OU IGUAL A 1,5 M E MENOR QUE 2,5 M. AF_08/2020</v>
          </cell>
          <cell r="C1823" t="str">
            <v>M2</v>
          </cell>
          <cell r="D1823">
            <v>49.54</v>
          </cell>
        </row>
        <row r="1824">
          <cell r="A1824" t="str">
            <v>101578</v>
          </cell>
          <cell r="B1824" t="str">
            <v>ESCORAMENTO DE VALA, TIPO DESCONTÍNUO, COM PROFUNDIDADE DE 1,5 M A 3,0 M, LARGURA MENOR QUE 1,5 M. AF_08/2020</v>
          </cell>
          <cell r="C1824" t="str">
            <v>M2</v>
          </cell>
          <cell r="D1824">
            <v>32.93</v>
          </cell>
        </row>
        <row r="1825">
          <cell r="A1825" t="str">
            <v>101579</v>
          </cell>
          <cell r="B1825" t="str">
            <v>ESCORAMENTO DE VALA, TIPO DESCONTÍNUO, COM PROFUNDIDADE DE 1,5 A 3,0 M, LARGURA MAIOR OU IGUAL A 1,5 M E MENOR QUE 2,5 M. AF_08/2020</v>
          </cell>
          <cell r="C1825" t="str">
            <v>M2</v>
          </cell>
          <cell r="D1825">
            <v>42.77</v>
          </cell>
        </row>
        <row r="1826">
          <cell r="A1826" t="str">
            <v>101580</v>
          </cell>
          <cell r="B1826" t="str">
            <v>ESCORAMENTO DE VALA, TIPO DESCONTÍNUO, COM PROFUNDIDADE DE 3,0 A 4,5 M, LARGURA MENOR QUE 1,5 M. AF_08/2020</v>
          </cell>
          <cell r="C1826" t="str">
            <v>M2</v>
          </cell>
          <cell r="D1826">
            <v>29.43</v>
          </cell>
        </row>
        <row r="1827">
          <cell r="A1827" t="str">
            <v>101581</v>
          </cell>
          <cell r="B1827" t="str">
            <v>ESCORAMENTO DE VALA, TIPO DESCONTÍNUO, COM PROFUNDIDADE DE 3,0 A 4,5 M, LARGURA MAIOR OU IGUAL A 1,5 E MENOR QUE 2,5 M. AF_08/2020</v>
          </cell>
          <cell r="C1827" t="str">
            <v>M2</v>
          </cell>
          <cell r="D1827">
            <v>39.409999999999997</v>
          </cell>
        </row>
        <row r="1828">
          <cell r="A1828" t="str">
            <v>101582</v>
          </cell>
          <cell r="B1828" t="str">
            <v>ESCORAMENTO DE VALA, TIPO CONTÍNUO, COM PROFUNDIDADE DE 0 A 1,5 M, LARGURA MENOR QUE 1,5 M. AF_08/2020</v>
          </cell>
          <cell r="C1828" t="str">
            <v>M2</v>
          </cell>
          <cell r="D1828">
            <v>65.27</v>
          </cell>
        </row>
        <row r="1829">
          <cell r="A1829" t="str">
            <v>101583</v>
          </cell>
          <cell r="B1829" t="str">
            <v>ESCORAMENTO DE VALA, TIPO CONTÍNUO, COM PROFUNDIDADE DE 0 A 1,5 M, LARGURA MAIOR OU IGUAL A 1,5 M E MENOR QUE 2,5 M. AF_08/2020</v>
          </cell>
          <cell r="C1829" t="str">
            <v>M2</v>
          </cell>
          <cell r="D1829">
            <v>80.599999999999994</v>
          </cell>
        </row>
        <row r="1830">
          <cell r="A1830" t="str">
            <v>101584</v>
          </cell>
          <cell r="B1830" t="str">
            <v>ESCORAMENTO DE VALA, TIPO CONTÍNUO, COM PROFUNDIDADE DE 1,5 M A 3,0 M, LARGURA MENOR QUE 1,5 M. AF_08/2020</v>
          </cell>
          <cell r="C1830" t="str">
            <v>M2</v>
          </cell>
          <cell r="D1830">
            <v>53.86</v>
          </cell>
        </row>
        <row r="1831">
          <cell r="A1831" t="str">
            <v>101585</v>
          </cell>
          <cell r="B1831" t="str">
            <v>ESCORAMENTO DE VALA, TIPO CONTÍNUO, COM PROFUNDIDADE DE 1,5 A 3,0 M, LARGURA MAIOR OU IGUAL A 1,5 M E MENOR QUE 2,5 M. AF_08/2020</v>
          </cell>
          <cell r="C1831" t="str">
            <v>M2</v>
          </cell>
          <cell r="D1831">
            <v>69.180000000000007</v>
          </cell>
        </row>
        <row r="1832">
          <cell r="A1832" t="str">
            <v>101586</v>
          </cell>
          <cell r="B1832" t="str">
            <v>ESCORAMENTO DE VALA, TIPO CONTÍNUO, COM PROFUNDIDADE DE 3,0 A 4,5 M, LARGURA MENOR QUE 1,5 M. AF_08/2020</v>
          </cell>
          <cell r="C1832" t="str">
            <v>M2</v>
          </cell>
          <cell r="D1832">
            <v>47</v>
          </cell>
        </row>
        <row r="1833">
          <cell r="A1833" t="str">
            <v>101587</v>
          </cell>
          <cell r="B1833" t="str">
            <v>ESCORAMENTO DE VALA, TIPO CONTÍNUO, COM PROFUNDIDADE DE 3,0 A 4,5 M, LARGURA MAIOR OU IGUAL A 1,5 E MENOR QUE 2,5 M. AF_08/2020</v>
          </cell>
          <cell r="C1833" t="str">
            <v>M2</v>
          </cell>
          <cell r="D1833">
            <v>62.46</v>
          </cell>
        </row>
        <row r="1834">
          <cell r="A1834" t="str">
            <v>101588</v>
          </cell>
          <cell r="B1834" t="str">
            <v>ESCORAMENTO DE VALA, TIPO CONTÍNUO COM PERFIL METÁLICO "U", COM PROFUNDIDADE DE 0 A 1,5 M, LARGURA MENOR QUE 1,5 M. AF_08/2020</v>
          </cell>
          <cell r="C1834" t="str">
            <v>M2</v>
          </cell>
          <cell r="D1834">
            <v>84.84</v>
          </cell>
        </row>
        <row r="1835">
          <cell r="A1835" t="str">
            <v>101589</v>
          </cell>
          <cell r="B1835" t="str">
            <v>ESCORAMENTO DE VALA,TIPO CONTÍNUO COM PERFIL METÁLICO "U", COM PROFUNDIDADE DE 0 A 1,5 M, LARGURA MAIOR OU IGUAL A 1,5 E MENOR QUE 2,5 M. AF_08/2020</v>
          </cell>
          <cell r="C1835" t="str">
            <v>M2</v>
          </cell>
          <cell r="D1835">
            <v>123.18</v>
          </cell>
        </row>
        <row r="1836">
          <cell r="A1836" t="str">
            <v>101590</v>
          </cell>
          <cell r="B1836" t="str">
            <v>ESCORAMENTO DE VALA, TIPO CONTÍNUO COM PERFIL METÁLICO "U", COM PROFUNDIDADE DE 1,5 A 3,0 M, LARGURA MENOR QUE 1,5 M. AF_08/2020</v>
          </cell>
          <cell r="C1836" t="str">
            <v>M2</v>
          </cell>
          <cell r="D1836">
            <v>64.42</v>
          </cell>
        </row>
        <row r="1837">
          <cell r="A1837" t="str">
            <v>101591</v>
          </cell>
          <cell r="B1837" t="str">
            <v>ESCORAMENTO DE VALA, TIPO CONTÍNUO COM PERFIL METÁLICO "U", COM PROFUNDIDADE DE 1,5 A 3,0 M, LARGURA MAIOR OU IGUAL 1,5 M E MENOR QUE 2,5 M. AF_08/2020</v>
          </cell>
          <cell r="C1837" t="str">
            <v>M2</v>
          </cell>
          <cell r="D1837">
            <v>102.75</v>
          </cell>
        </row>
        <row r="1838">
          <cell r="A1838" t="str">
            <v>101592</v>
          </cell>
          <cell r="B1838" t="str">
            <v>ESCORAMENTO DE VALA, TIPO CONTÍNUO COM PERFIL METÁLICO "U", COM PROFUNDIDADE DE 3,0 A 4,5 M, LARGURA MENOR QUE 1,5 M. AF_08/2020</v>
          </cell>
          <cell r="C1838" t="str">
            <v>M2</v>
          </cell>
          <cell r="D1838">
            <v>45.64</v>
          </cell>
        </row>
        <row r="1839">
          <cell r="A1839" t="str">
            <v>101593</v>
          </cell>
          <cell r="B1839" t="str">
            <v>ESCORAMENTO DE VALA, TIPO CONTÍNUO COM PERFIL METÁLICO "U", COM PROFUNDIDADE DE 3,0 A 4,5 M, LARGURA MAIOR OU IGUAL A 1,5 M E MENOR QUE 2,5 M. AF_08/2020</v>
          </cell>
          <cell r="C1839" t="str">
            <v>M2</v>
          </cell>
          <cell r="D1839">
            <v>84.08</v>
          </cell>
        </row>
        <row r="1840">
          <cell r="A1840" t="str">
            <v>101600</v>
          </cell>
          <cell r="B1840" t="str">
            <v>ESCORAMENTO DE VALA, TIPO BLINDAGEM, COM PROFUNDIDADE DE 0 A 1,5 M, LARGURA MENOR QUE 1,5 M - EXECUÇÃO, NÃO INCLUI MATERIAL. AF_08/2020</v>
          </cell>
          <cell r="C1840" t="str">
            <v>M2</v>
          </cell>
          <cell r="D1840">
            <v>15.71</v>
          </cell>
        </row>
        <row r="1841">
          <cell r="A1841" t="str">
            <v>101601</v>
          </cell>
          <cell r="B1841" t="str">
            <v>ESCORAMENTO DE VALA, TIPO BLINDAGEM COM PROFUNDIDADE DE 0 A 1,5 M, LARGURA MAIOR OU IGUAL A 1,5 M E MENOR QUE 2,5 M - EXECUÇÃO, NÃO INCLUI MATERIAL. AF_08/2020</v>
          </cell>
          <cell r="C1841" t="str">
            <v>M2</v>
          </cell>
          <cell r="D1841">
            <v>23.27</v>
          </cell>
        </row>
        <row r="1842">
          <cell r="A1842" t="str">
            <v>101602</v>
          </cell>
          <cell r="B1842" t="str">
            <v>ESCORAMENTO DE VALA, TIPO BLINDAGEM, COM PROFUNDIDADE DE 1,5 A 3,0 M, LARGURA MENOR QUE 1,5 M - EXECUÇÃO, NÃO INCLUI MATERIAL. AF_08/2020</v>
          </cell>
          <cell r="C1842" t="str">
            <v>M2</v>
          </cell>
          <cell r="D1842">
            <v>11.65</v>
          </cell>
        </row>
        <row r="1843">
          <cell r="A1843" t="str">
            <v>101603</v>
          </cell>
          <cell r="B1843" t="str">
            <v>ESCORAMENTO DE VALA, TIPO BLINDAGEM, COM PROFUNDIDADE DE 1,5 A 3,0 M, LARGURA MAIOR OU IGUAL A 1,5 M E MENOR QUE 2,5 M - EXECUÇÃO, NÃO INCLUI MATERIAL. AF_08/2020</v>
          </cell>
          <cell r="C1843" t="str">
            <v>M2</v>
          </cell>
          <cell r="D1843">
            <v>19.21</v>
          </cell>
        </row>
        <row r="1844">
          <cell r="A1844" t="str">
            <v>101604</v>
          </cell>
          <cell r="B1844" t="str">
            <v>ESCORAMENTO DE VALA, TIPO BLINDAGEM, COM PROFUNDIDADE DE 3,0 A 4,5 M, LARGURA MENOR QUE 1,5 M - EXECUÇÃO, NÃO INCLUI MATERIAL. AF_08/2020</v>
          </cell>
          <cell r="C1844" t="str">
            <v>M2</v>
          </cell>
          <cell r="D1844">
            <v>7.63</v>
          </cell>
        </row>
        <row r="1845">
          <cell r="A1845" t="str">
            <v>101605</v>
          </cell>
          <cell r="B1845" t="str">
            <v>ESCORAMENTO DE VALA, TIPO BLINDAGEM, COM PROFUNDIDADE DE 3,0 A 4,5 M, LARGURA MAIOR OU IGUAL A 1,5 M E MENOR QUE 2,5 M - EXECUÇÃO, NÃO INCLUI MATERIAL. AF_08/2020</v>
          </cell>
          <cell r="C1845" t="str">
            <v>UN</v>
          </cell>
          <cell r="D1845">
            <v>15.19</v>
          </cell>
        </row>
        <row r="1846">
          <cell r="A1846" t="str">
            <v>90788</v>
          </cell>
          <cell r="B1846" t="str">
            <v>KIT DE PORTA-PRONTA DE MADEIRA EM ACABAMENTO MELAMÍNICO BRANCO, FOLHA LEVE OU MÉDIA, 60X210CM, EXCLUSIVE FECHADURA, FIXAÇÃO COM PREENCHIMENTO PARCIAL DE ESPUMA EXPANSIVA - FORNECIMENTO E INSTALAÇÃO. AF_12/2019</v>
          </cell>
          <cell r="C1846" t="str">
            <v>UN</v>
          </cell>
          <cell r="D1846">
            <v>638.5</v>
          </cell>
        </row>
        <row r="1847">
          <cell r="A1847" t="str">
            <v>90789</v>
          </cell>
          <cell r="B1847" t="str">
            <v>KIT DE PORTA-PRONTA DE MADEIRA EM ACABAMENTO MELAMÍNICO BRANCO, FOLHA LEVE OU MÉDIA, 70X210CM, EXCLUSIVE FECHADURA, FIXAÇÃO COM PREENCHIMENTO PARCIAL DE ESPUMA EXPANSIVA - FORNECIMENTO E INSTALAÇÃO. AF_12/2019</v>
          </cell>
          <cell r="C1847" t="str">
            <v>UN</v>
          </cell>
          <cell r="D1847">
            <v>639.99</v>
          </cell>
        </row>
        <row r="1848">
          <cell r="A1848" t="str">
            <v>90790</v>
          </cell>
          <cell r="B1848" t="str">
            <v>KIT DE PORTA-PRONTA DE MADEIRA EM ACABAMENTO MELAMÍNICO BRANCO, FOLHA LEVE OU MÉDIA, 80X210CM, EXCLUSIVE FECHADURA, FIXAÇÃO COM PREENCHIMENTO PARCIAL DE ESPUMA EXPANSIVA - FORNECIMENTO E INSTALAÇÃO. AF_12/2019</v>
          </cell>
          <cell r="C1848" t="str">
            <v>UN</v>
          </cell>
          <cell r="D1848">
            <v>660.19</v>
          </cell>
        </row>
        <row r="1849">
          <cell r="A1849" t="str">
            <v>90791</v>
          </cell>
          <cell r="B1849" t="str">
            <v>KIT DE PORTA-PRONTA DE MADEIRA EM ACABAMENTO MELAMÍNICO BRANCO, FOLHA PESADA OU SUPERPESADA, 80X210CM, FIXAÇÃO COM PREENCHIMENTO PARCIAL DE ESPUMA EXPANSIVA - FORNECIMENTO E INSTALAÇÃO. AF_12/2019</v>
          </cell>
          <cell r="C1849" t="str">
            <v>UN</v>
          </cell>
          <cell r="D1849">
            <v>774.04</v>
          </cell>
        </row>
        <row r="1850">
          <cell r="A1850" t="str">
            <v>90793</v>
          </cell>
          <cell r="B1850" t="str">
            <v>KIT DE PORTA-PRONTA DE MADEIRA EM ACABAMENTO MELAMÍNICO BRANCO, FOLHA PESADA OU SUPERPESADA, 90X210CM, FIXAÇÃO COM PREENCHIMENTO TOTAL DE ESPUMA EXPANSIVA - FORNECIMENTO E INSTALAÇÃO. AF_12/2019</v>
          </cell>
          <cell r="C1850" t="str">
            <v>UN</v>
          </cell>
          <cell r="D1850">
            <v>820.08</v>
          </cell>
        </row>
        <row r="1851">
          <cell r="A1851" t="str">
            <v>90794</v>
          </cell>
          <cell r="B1851" t="str">
            <v>KIT DE PORTA-PRONTA DE MADEIRA EM ACABAMENTO MELAMÍNICO BRANCO, FOLHA LEVE OU MÉDIA, E BATENTE METÁLICO, 60X210CM, FIXAÇÃO COM ARGAMASSA - FORNECIMENTO E INSTALAÇÃO. AF_12/2019</v>
          </cell>
          <cell r="C1851" t="str">
            <v>UN</v>
          </cell>
          <cell r="D1851">
            <v>559.09</v>
          </cell>
        </row>
        <row r="1852">
          <cell r="A1852" t="str">
            <v>90795</v>
          </cell>
          <cell r="B1852" t="str">
            <v>KIT DE PORTA-PRONTA DE MADEIRA EM ACABAMENTO MELAMÍNICO BRANCO, FOLHA LEVE OU MÉDIA, E BATENTE METÁLICO, 70X210CM, FIXAÇÃO COM ARGAMASSA - FORNECIMENTO E INSTALAÇÃO. AF_12/2019</v>
          </cell>
          <cell r="C1852" t="str">
            <v>UN</v>
          </cell>
          <cell r="D1852">
            <v>565.75</v>
          </cell>
        </row>
        <row r="1853">
          <cell r="A1853" t="str">
            <v>90796</v>
          </cell>
          <cell r="B1853" t="str">
            <v>KIT DE PORTA-PRONTA DE MADEIRA EM ACABAMENTO MELAMÍNICO BRANCO, FOLHA LEVE OU MÉDIA, E BATENTE METÁLICO, 80X210CM, FIXAÇÃO COM ARGAMASSA - FORNECIMENTO E INSTALAÇÃO. AF_12/2019</v>
          </cell>
          <cell r="C1853" t="str">
            <v>UN</v>
          </cell>
          <cell r="D1853">
            <v>572.4</v>
          </cell>
        </row>
        <row r="1854">
          <cell r="A1854" t="str">
            <v>90797</v>
          </cell>
          <cell r="B1854" t="str">
            <v>KIT DE PORTA-PRONTA DE MADEIRA EM ACABAMENTO MELAMÍNICO BRANCO, FOLHA LEVE OU MÉDIA, E BATENTE METÁLICO, 90X210CM, FIXAÇÃO COM ARGAMASSA - FORNECIMENTO E INSTALAÇÃO. AF_12/2019</v>
          </cell>
          <cell r="C1854" t="str">
            <v>UN</v>
          </cell>
          <cell r="D1854">
            <v>579.04</v>
          </cell>
        </row>
        <row r="1855">
          <cell r="A1855" t="str">
            <v>90798</v>
          </cell>
          <cell r="B1855" t="str">
            <v>KIT DE PORTA-PRONTA DE MADEIRA EM ACABAMENTO MELAMÍNICO BRANCO, FOLHA PESADA OU SUPERPESADA, E BATENTE METÁLICO, 80X210CM, FIXAÇÃO COM ARGAMASSA - FORNECIMENTO E INSTALAÇÃO. AF_12/2019</v>
          </cell>
          <cell r="C1855" t="str">
            <v>UN</v>
          </cell>
          <cell r="D1855">
            <v>833.87</v>
          </cell>
        </row>
        <row r="1856">
          <cell r="A1856" t="str">
            <v>90799</v>
          </cell>
          <cell r="B1856" t="str">
            <v>KIT DE PORTA-PRONTA DE MADEIRA EM ACABAMENTO MELAMÍNICO BRANCO, FOLHA PESADA OU SUPERPESADA, E BATENTE METÁLICO, 90X210CM, FIXAÇÃO COM ARGAMASSA - FORNECIMENTO E INSTALAÇÃO. AF_12/2019</v>
          </cell>
          <cell r="C1856" t="str">
            <v>UN</v>
          </cell>
          <cell r="D1856">
            <v>861.39</v>
          </cell>
        </row>
        <row r="1857">
          <cell r="A1857" t="str">
            <v>90801</v>
          </cell>
          <cell r="B1857" t="str">
            <v>BATENTE PARA PORTA DE MADEIRA, PADRÃO MÉDIO - FORNECIMENTO E MONTAGEM. AF_12/2019</v>
          </cell>
          <cell r="C1857" t="str">
            <v>UN</v>
          </cell>
          <cell r="D1857">
            <v>303.81</v>
          </cell>
        </row>
        <row r="1858">
          <cell r="A1858" t="str">
            <v>90806</v>
          </cell>
          <cell r="B1858" t="str">
            <v>BATENTE PARA PORTA DE MADEIRA, FIXAÇÃO COM ARGAMASSA, PADRÃO MÉDIO - FORNECIMENTO E INSTALAÇÃO. AF_12/2019_P</v>
          </cell>
          <cell r="C1858" t="str">
            <v>UN</v>
          </cell>
          <cell r="D1858">
            <v>385.45</v>
          </cell>
        </row>
        <row r="1859">
          <cell r="A1859" t="str">
            <v>90820</v>
          </cell>
          <cell r="B1859" t="str">
            <v>PORTA DE MADEIRA PARA PINTURA, SEMI-OCA (LEVE OU MÉDIA), 60X210CM, ESPESSURA DE 3,5CM, INCLUSO DOBRADIÇAS - FORNECIMENTO E INSTALAÇÃO. AF_12/2019</v>
          </cell>
          <cell r="C1859" t="str">
            <v>UN</v>
          </cell>
          <cell r="D1859">
            <v>248.09</v>
          </cell>
        </row>
        <row r="1860">
          <cell r="A1860" t="str">
            <v>90821</v>
          </cell>
          <cell r="B1860" t="str">
            <v>PORTA DE MADEIRA PARA PINTURA, SEMI-OCA (LEVE OU MÉDIA), 70X210CM, ESPESSURA DE 3,5CM, INCLUSO DOBRADIÇAS - FORNECIMENTO E INSTALAÇÃO. AF_12/2019</v>
          </cell>
          <cell r="C1860" t="str">
            <v>UN</v>
          </cell>
          <cell r="D1860">
            <v>253.63</v>
          </cell>
        </row>
        <row r="1861">
          <cell r="A1861" t="str">
            <v>90822</v>
          </cell>
          <cell r="B1861" t="str">
            <v>PORTA DE MADEIRA PARA PINTURA, SEMI-OCA (LEVE OU MÉDIA), 80X210CM, ESPESSURA DE 3,5CM, INCLUSO DOBRADIÇAS - FORNECIMENTO E INSTALAÇÃO. AF_12/2019</v>
          </cell>
          <cell r="C1861" t="str">
            <v>UN</v>
          </cell>
          <cell r="D1861">
            <v>272.3</v>
          </cell>
        </row>
        <row r="1862">
          <cell r="A1862" t="str">
            <v>90823</v>
          </cell>
          <cell r="B1862" t="str">
            <v>PORTA DE MADEIRA PARA PINTURA, SEMI-OCA (LEVE OU MÉDIA), 90X210CM, ESPESSURA DE 3,5CM, INCLUSO DOBRADIÇAS - FORNECIMENTO E INSTALAÇÃO. AF_12/2019</v>
          </cell>
          <cell r="C1862" t="str">
            <v>UN</v>
          </cell>
          <cell r="D1862">
            <v>334.28</v>
          </cell>
        </row>
        <row r="1863">
          <cell r="A1863" t="str">
            <v>90824</v>
          </cell>
          <cell r="B1863" t="str">
            <v>PORTA DE MADEIRA PARA PINTURA, SEMI-OCA (PESADA OU SUPERPESADA), 80X210CM, ESPESSURA DE 3,5CM, INCLUSO DOBRADIÇAS - FORNECIMENTO E INSTALAÇÃO. AF_12/2019</v>
          </cell>
          <cell r="C1863" t="str">
            <v>UN</v>
          </cell>
          <cell r="D1863">
            <v>477.85</v>
          </cell>
        </row>
        <row r="1864">
          <cell r="A1864" t="str">
            <v>90825</v>
          </cell>
          <cell r="B1864" t="str">
            <v>PORTA DE MADEIRA, MACIÇA (PESADA OU SUPERPESADA), 90X210CM, ESPESSURA DE 3,5CM, INCLUSO DOBRADIÇAS - FORNECIMENTO E INSTALAÇÃO. AF_12/2019</v>
          </cell>
          <cell r="C1864" t="str">
            <v>UN</v>
          </cell>
          <cell r="D1864">
            <v>532.16999999999996</v>
          </cell>
        </row>
        <row r="1865">
          <cell r="A1865" t="str">
            <v>90830</v>
          </cell>
          <cell r="B1865" t="str">
            <v>FECHADURA DE EMBUTIR COM CILINDRO, EXTERNA, COMPLETA, ACABAMENTO PADRÃO MÉDIO, INCLUSO EXECUÇÃO DE FURO - FORNECIMENTO E INSTALAÇÃO. AF_12/2019</v>
          </cell>
          <cell r="C1865" t="str">
            <v>UN</v>
          </cell>
          <cell r="D1865">
            <v>134.91999999999999</v>
          </cell>
        </row>
        <row r="1866">
          <cell r="A1866" t="str">
            <v>90831</v>
          </cell>
          <cell r="B1866" t="str">
            <v>FECHADURA DE EMBUTIR PARA PORTA DE BANHEIRO, COMPLETA, ACABAMENTO PADRÃO MÉDIO, INCLUSO EXECUÇÃO DE FURO - FORNECIMENTO E INSTALAÇÃO. AF_12/2019</v>
          </cell>
          <cell r="C1866" t="str">
            <v>UN</v>
          </cell>
          <cell r="D1866">
            <v>117.87</v>
          </cell>
        </row>
        <row r="1867">
          <cell r="A1867" t="str">
            <v>90841</v>
          </cell>
          <cell r="B1867" t="str">
            <v>KIT DE PORTA DE MADEIRA PARA PINTURA, SEMI-OCA (LEVE OU MÉDIA), PADRÃO MÉDIO, 60X210CM, ESPESSURA DE 3,5CM, ITENS INCLUSOS: DOBRADIÇAS, MONTAGEM E INSTALAÇÃO DO BATENTE, FECHADURA COM EXECUÇÃO DO FURO - FORNECIMENTO E INSTALAÇÃO. AF_12/2019</v>
          </cell>
          <cell r="C1867" t="str">
            <v>UN</v>
          </cell>
          <cell r="D1867">
            <v>861.61</v>
          </cell>
        </row>
        <row r="1868">
          <cell r="A1868" t="str">
            <v>90842</v>
          </cell>
          <cell r="B1868" t="str">
            <v>KIT DE PORTA DE MADEIRA PARA PINTURA, SEMI-OCA (LEVE OU MÉDIA), PADRÃO MÉDIO, 70X210CM, ESPESSURA DE 3,5CM, ITENS INCLUSOS: DOBRADIÇAS, MONTAGEM E INSTALAÇÃO DO BATENTE, FECHADURA COM EXECUÇÃO DO FURO - FORNECIMENTO E INSTALAÇÃO. AF_12/2019</v>
          </cell>
          <cell r="C1868" t="str">
            <v>UN</v>
          </cell>
          <cell r="D1868">
            <v>869.45</v>
          </cell>
        </row>
        <row r="1869">
          <cell r="A1869" t="str">
            <v>90843</v>
          </cell>
          <cell r="B1869" t="str">
            <v>KIT DE PORTA DE MADEIRA PARA PINTURA, SEMI-OCA (LEVE OU MÉDIA), PADRÃO MÉDIO, 80X210CM, ESPESSURA DE 3,5CM, ITENS INCLUSOS: DOBRADIÇAS, MONTAGEM E INSTALAÇÃO DO BATENTE, FECHADURA COM EXECUÇÃO DO FURO - FORNECIMENTO E INSTALAÇÃO. AF_12/2019</v>
          </cell>
          <cell r="C1869" t="str">
            <v>UN</v>
          </cell>
          <cell r="D1869">
            <v>907.47</v>
          </cell>
        </row>
        <row r="1870">
          <cell r="A1870" t="str">
            <v>90844</v>
          </cell>
          <cell r="B1870" t="str">
            <v>KIT DE PORTA DE MADEIRA PARA PINTURA, SEMI-OCA (LEVE OU MÉDIA), PADRÃO MÉDIO, 90X210CM, ESPESSURA DE 3,5CM, ITENS INCLUSOS: DOBRADIÇAS, MONTAGEM E INSTALAÇÃO DO BATENTE, FECHADURA COM EXECUÇÃO DO FURO - FORNECIMENTO E INSTALAÇÃO. AF_12/2019</v>
          </cell>
          <cell r="C1870" t="str">
            <v>UN</v>
          </cell>
          <cell r="D1870">
            <v>971.74</v>
          </cell>
        </row>
        <row r="1871">
          <cell r="A1871" t="str">
            <v>90845</v>
          </cell>
          <cell r="B1871" t="str">
            <v>KIT DE PORTA DE MADEIRA PARA PINTURA, SEMI-OCA (PESADA OU SUPERPESADA), PADRÃO MÉDIO, 80X210CM, ESPESSURA DE 3,5CM, ITENS INCLUSOS: DOBRADIÇAS, MONTAGEM E INSTALAÇÃO DO BATENTE, FECHADURA COM EXECUÇÃO DO FURO - FORNECIMENTO E INSTALAÇÃO. AF_12/2019</v>
          </cell>
          <cell r="C1871" t="str">
            <v>UN</v>
          </cell>
          <cell r="D1871">
            <v>1113.02</v>
          </cell>
        </row>
        <row r="1872">
          <cell r="A1872" t="str">
            <v>90846</v>
          </cell>
          <cell r="B1872" t="str">
            <v>KIT DE PORTA DE MADEIRA PARA PINTURA, SEMI-OCA (PESADA OU SUPERPESADA), PADRÃO MÉDIO, 90X210CM, ESPESSURA DE 3,5CM, ITENS INCLUSOS: DOBRADIÇAS, MONTAGEM E INSTALAÇÃO DO BATENTE, FECHADURA COM EXECUÇÃO DO FURO - FORNECIMENTO E INSTALAÇÃO. AF_12/2019</v>
          </cell>
          <cell r="C1872" t="str">
            <v>UN</v>
          </cell>
          <cell r="D1872">
            <v>1169.6300000000001</v>
          </cell>
        </row>
        <row r="1873">
          <cell r="A1873" t="str">
            <v>90847</v>
          </cell>
          <cell r="B1873" t="str">
            <v>KIT DE PORTA DE MADEIRA PARA PINTURA, SEMI-OCA (LEVE OU MÉDIA), PADRÃO MÉDIO, 60X210CM, ESPESSURA DE 3,5CM, ITENS INCLUSOS: DOBRADIÇAS, MONTAGEM E INSTALAÇÃO DO BATENTE, SEM FECHADURA - FORNECIMENTO E INSTALAÇÃO. AF_12/2019</v>
          </cell>
          <cell r="C1873" t="str">
            <v>UN</v>
          </cell>
          <cell r="D1873">
            <v>743.74</v>
          </cell>
        </row>
        <row r="1874">
          <cell r="A1874" t="str">
            <v>90848</v>
          </cell>
          <cell r="B1874" t="str">
            <v>KIT DE PORTA DE MADEIRA PARA PINTURA, SEMI-OCA (LEVE OU MÉDIA), PADRÃO MÉDIO, 70X210CM, ESPESSURA DE 3,5CM, ITENS INCLUSOS: DOBRADIÇAS, MONTAGEM E INSTALAÇÃO DO BATENTE, SEM FECHADURA - FORNECIMENTO E INSTALAÇÃO. AF_12/2019</v>
          </cell>
          <cell r="C1874" t="str">
            <v>UN</v>
          </cell>
          <cell r="D1874">
            <v>751.58</v>
          </cell>
        </row>
        <row r="1875">
          <cell r="A1875" t="str">
            <v>90849</v>
          </cell>
          <cell r="B1875" t="str">
            <v>KIT DE PORTA DE MADEIRA PARA PINTURA, SEMI-OCA (LEVE OU MÉDIA), PADRÃO MÉDIO, 80X210CM, ESPESSURA DE 3,5CM, ITENS INCLUSOS: DOBRADIÇAS, MONTAGEM E INSTALAÇÃO DO BATENTE, SEM FECHADURA - FORNECIMENTO E INSTALAÇÃO. AF_12/2019</v>
          </cell>
          <cell r="C1875" t="str">
            <v>UN</v>
          </cell>
          <cell r="D1875">
            <v>772.55</v>
          </cell>
        </row>
        <row r="1876">
          <cell r="A1876" t="str">
            <v>90850</v>
          </cell>
          <cell r="B1876" t="str">
            <v>KIT DE PORTA DE MADEIRA PARA PINTURA, SEMI-OCA (LEVE OU MÉDIA), PADRÃO MÉDIO, 90X210CM, ESPESSURA DE 3,5CM, ITENS INCLUSOS: DOBRADIÇAS, MONTAGEM E INSTALAÇÃO DO BATENTE, SEM FECHADURA - FORNECIMENTO E INSTALAÇÃO. AF_12/2019</v>
          </cell>
          <cell r="C1876" t="str">
            <v>UN</v>
          </cell>
          <cell r="D1876">
            <v>836.82</v>
          </cell>
        </row>
        <row r="1877">
          <cell r="A1877" t="str">
            <v>90851</v>
          </cell>
          <cell r="B1877" t="str">
            <v>KIT DE PORTA DE MADEIRA PARA PINTURA, SEMI-OCA (PESADA OU SUPERPESADA), PADRÃO MÉDIO, 80X210CM, ESPESSURA DE 3,5CM, ITENS INCLUSOS: DOBRADIÇAS, MONTAGEM E INSTALAÇÃO DO BATENTE, SEM FECHADURA - FORNECIMENTO E INSTALAÇÃO. AF_12/2019</v>
          </cell>
          <cell r="C1877" t="str">
            <v>UN</v>
          </cell>
          <cell r="D1877">
            <v>978.1</v>
          </cell>
        </row>
        <row r="1878">
          <cell r="A1878" t="str">
            <v>90852</v>
          </cell>
          <cell r="B1878" t="str">
            <v>KIT DE PORTA DE MADEIRA PARA PINTURA, SEMI-OCA (PESADA OU SUPERPESADA), PADRÃO MÉDIO, 90X210CM, ESPESSURA DE 3,5CM, ITENS INCLUSOS: DOBRADIÇAS, MONTAGEM E INSTALAÇÃO DO BATENTE, SEM FECHADURA - FORNECIMENTO E INSTALAÇÃO. AF_12/2019</v>
          </cell>
          <cell r="C1878" t="str">
            <v>UN</v>
          </cell>
          <cell r="D1878">
            <v>1034.71</v>
          </cell>
        </row>
        <row r="1879">
          <cell r="A1879" t="str">
            <v>91009</v>
          </cell>
          <cell r="B1879" t="str">
            <v>PORTA DE MADEIRA PARA VERNIZ, SEMI-OCA (LEVE OU MÉDIA), 60X210CM, ESPESSURA DE 3,5CM, INCLUSO DOBRADIÇAS - FORNECIMENTO E INSTALAÇÃO. AF_12/2019</v>
          </cell>
          <cell r="C1879" t="str">
            <v>UN</v>
          </cell>
          <cell r="D1879">
            <v>256.75</v>
          </cell>
        </row>
        <row r="1880">
          <cell r="A1880" t="str">
            <v>91010</v>
          </cell>
          <cell r="B1880" t="str">
            <v>PORTA DE MADEIRA PARA VERNIZ, SEMI-OCA (LEVE OU MÉDIA), 70X210CM, ESPESSURA DE 3,5CM, INCLUSO DOBRADIÇAS - FORNECIMENTO E INSTALAÇÃO. AF_12/2019</v>
          </cell>
          <cell r="C1880" t="str">
            <v>UN</v>
          </cell>
          <cell r="D1880">
            <v>262.7</v>
          </cell>
        </row>
        <row r="1881">
          <cell r="A1881" t="str">
            <v>91011</v>
          </cell>
          <cell r="B1881" t="str">
            <v>PORTA DE MADEIRA PARA VERNIZ, SEMI-OCA (LEVE OU MÉDIA), 80X210CM, ESPESSURA DE 3,5CM, INCLUSO DOBRADIÇAS - FORNECIMENTO E INSTALAÇÃO. AF_12/2019</v>
          </cell>
          <cell r="C1881" t="str">
            <v>UN</v>
          </cell>
          <cell r="D1881">
            <v>307.48</v>
          </cell>
        </row>
        <row r="1882">
          <cell r="A1882" t="str">
            <v>91012</v>
          </cell>
          <cell r="B1882" t="str">
            <v>PORTA DE MADEIRA PARA VERNIZ, SEMI-OCA (LEVE OU MÉDIA), 90X210CM, ESPESSURA DE 3,5CM, INCLUSO DOBRADIÇAS - FORNECIMENTO E INSTALAÇÃO. AF_12/2019</v>
          </cell>
          <cell r="C1882" t="str">
            <v>UN</v>
          </cell>
          <cell r="D1882">
            <v>341.96</v>
          </cell>
        </row>
        <row r="1883">
          <cell r="A1883" t="str">
            <v>91013</v>
          </cell>
          <cell r="B1883" t="str">
            <v>KIT DE PORTA DE MADEIRA PARA VERNIZ, SEMI-OCA (LEVE OU MÉDIA), PADRÃO MÉDIO, 60X210CM, ESPESSURA DE 3,5CM, ITENS INCLUSOS: DOBRADIÇAS, MONTAGEM E INSTALAÇÃO DO BATENTE, SEM FECHADURA - FORNECIMENTO E INSTALAÇÃO. AF_12/2019</v>
          </cell>
          <cell r="C1883" t="str">
            <v>UN</v>
          </cell>
          <cell r="D1883">
            <v>752.4</v>
          </cell>
        </row>
        <row r="1884">
          <cell r="A1884" t="str">
            <v>91014</v>
          </cell>
          <cell r="B1884" t="str">
            <v>KIT DE PORTA DE MADEIRA PARA VERNIZ, SEMI-OCA (LEVE OU MÉDIA), PADRÃO MÉDIO, 70X210CM, ESPESSURA DE 3,5CM, ITENS INCLUSOS: DOBRADIÇAS, MONTAGEM E INSTALAÇÃO DO BATENTE, SEM FECHADURA - FORNECIMENTO E INSTALAÇÃO. AF_12/2019</v>
          </cell>
          <cell r="C1884" t="str">
            <v>UN</v>
          </cell>
          <cell r="D1884">
            <v>760.65</v>
          </cell>
        </row>
        <row r="1885">
          <cell r="A1885" t="str">
            <v>91015</v>
          </cell>
          <cell r="B1885" t="str">
            <v>KIT DE PORTA DE MADEIRA PARA VERNIZ, SEMI-OCA (LEVE OU MÉDIA), PADRÃO MÉDIO, 80X210CM, ESPESSURA DE 3,5CM, ITENS INCLUSOS: DOBRADIÇAS, MONTAGEM E INSTALAÇÃO DO BATENTE, SEM FECHADURA - FORNECIMENTO E INSTALAÇÃO. AF_12/2019</v>
          </cell>
          <cell r="C1885" t="str">
            <v>UN</v>
          </cell>
          <cell r="D1885">
            <v>807.73</v>
          </cell>
        </row>
        <row r="1886">
          <cell r="A1886" t="str">
            <v>91016</v>
          </cell>
          <cell r="B1886" t="str">
            <v>KIT DE PORTA DE MADEIRA PARA VERNIZ, SEMI-OCA (LEVE OU MÉDIA), PADRÃO MÉDIO, 90X210CM, ESPESSURA DE 3,5CM, ITENS INCLUSOS: DOBRADIÇAS, MONTAGEM E INSTALAÇÃO DO BATENTE, SEM FECHADURA - FORNECIMENTO E INSTALAÇÃO. AF_12/2019</v>
          </cell>
          <cell r="C1886" t="str">
            <v>UN</v>
          </cell>
          <cell r="D1886">
            <v>844.5</v>
          </cell>
        </row>
        <row r="1887">
          <cell r="A1887" t="str">
            <v>91287</v>
          </cell>
          <cell r="B1887" t="str">
            <v>BATENTE PARA PORTA DE MADEIRA, PADRÃO POPULAR - FORNECIMENTO E MONTAGEM. AF_12/2019</v>
          </cell>
          <cell r="C1887" t="str">
            <v>UN</v>
          </cell>
          <cell r="D1887">
            <v>221.34</v>
          </cell>
        </row>
        <row r="1888">
          <cell r="A1888" t="str">
            <v>91292</v>
          </cell>
          <cell r="B1888" t="str">
            <v>BATENTE PARA PORTA DE MADEIRA, FIXAÇÃO COM ARGAMASSA, PADRÃO POPULAR. FORNECIMENTO E INSTALAÇÃO. AF_12/2019_P</v>
          </cell>
          <cell r="C1888" t="str">
            <v>UN</v>
          </cell>
          <cell r="D1888">
            <v>302.98</v>
          </cell>
        </row>
        <row r="1889">
          <cell r="A1889" t="str">
            <v>91295</v>
          </cell>
          <cell r="B1889" t="str">
            <v>PORTA DE MADEIRA FRISADA, SEMI-OCA (LEVE OU MÉDIA), 60X210CM, ESPESSURA DE 3CM, INCLUSO DOBRADIÇAS - FORNECIMENTO E INSTALAÇÃO. AF_12/2019</v>
          </cell>
          <cell r="C1889" t="str">
            <v>UN</v>
          </cell>
          <cell r="D1889">
            <v>264.25</v>
          </cell>
        </row>
        <row r="1890">
          <cell r="A1890" t="str">
            <v>91296</v>
          </cell>
          <cell r="B1890" t="str">
            <v>PORTA DE MADEIRA FRISADA, SEMI-OCA (LEVE OU MÉDIA), 70X210CM, ESPESSURA DE 3CM, INCLUSO DOBRADIÇAS - FORNECIMENTO E INSTALAÇÃO. AF_12/2019</v>
          </cell>
          <cell r="C1890" t="str">
            <v>UN</v>
          </cell>
          <cell r="D1890">
            <v>283.64999999999998</v>
          </cell>
        </row>
        <row r="1891">
          <cell r="A1891" t="str">
            <v>91297</v>
          </cell>
          <cell r="B1891" t="str">
            <v>PORTA DE MADEIRA FRISADA, SEMI-OCA (LEVE OU MÉDIA), 80X210CM, ESPESSURA DE 3,5CM, INCLUSO DOBRADIÇAS - FORNECIMENTO E INSTALAÇÃO. AF_12/2019</v>
          </cell>
          <cell r="C1891" t="str">
            <v>UN</v>
          </cell>
          <cell r="D1891">
            <v>312.47000000000003</v>
          </cell>
        </row>
        <row r="1892">
          <cell r="A1892" t="str">
            <v>91298</v>
          </cell>
          <cell r="B1892" t="str">
            <v>PORTA DE MADEIRA TIPO VENEZIANA, 80X210CM, ESPESSURA DE 3CM, INCLUSO DOBRADIÇAS - FORNECIMENTO E INSTALAÇÃO. AF_12/2019</v>
          </cell>
          <cell r="C1892" t="str">
            <v>UN</v>
          </cell>
          <cell r="D1892">
            <v>828.26</v>
          </cell>
        </row>
        <row r="1893">
          <cell r="A1893" t="str">
            <v>91299</v>
          </cell>
          <cell r="B1893" t="str">
            <v>PORTA DE MADEIRA, TIPO MEXICANA, MACIÇA (PESADA OU SUPERPESADA), 80X210CM, ESPESSURA DE 3,5CM, INCLUSO DOBRADIÇAS - FORNECIMENTO E INSTALAÇÃO. AF_12/2019</v>
          </cell>
          <cell r="C1893" t="str">
            <v>UN</v>
          </cell>
          <cell r="D1893">
            <v>1166.51</v>
          </cell>
        </row>
        <row r="1894">
          <cell r="A1894" t="str">
            <v>91304</v>
          </cell>
          <cell r="B1894" t="str">
            <v>FECHADURA DE EMBUTIR COM CILINDRO, EXTERNA, COMPLETA, ACABAMENTO PADRÃO POPULAR, INCLUSO EXECUÇÃO DE FURO - FORNECIMENTO E INSTALAÇÃO. AF_12/2019</v>
          </cell>
          <cell r="C1894" t="str">
            <v>UN</v>
          </cell>
          <cell r="D1894">
            <v>83.65</v>
          </cell>
        </row>
        <row r="1895">
          <cell r="A1895" t="str">
            <v>91305</v>
          </cell>
          <cell r="B1895" t="str">
            <v>FECHADURA DE EMBUTIR PARA PORTA DE BANHEIRO, COMPLETA, ACABAMENTO PADRÃO POPULAR, INCLUSO EXECUÇÃO DE FURO - FORNECIMENTO E INSTALAÇÃO. AF_12/2019</v>
          </cell>
          <cell r="C1895" t="str">
            <v>UN</v>
          </cell>
          <cell r="D1895">
            <v>82.6</v>
          </cell>
        </row>
        <row r="1896">
          <cell r="A1896" t="str">
            <v>91306</v>
          </cell>
          <cell r="B1896" t="str">
            <v>FECHADURA DE EMBUTIR PARA PORTAS INTERNAS, COMPLETA, ACABAMENTO PADRÃO MÉDIO, COM EXECUÇÃO DE FURO - FORNECIMENTO E INSTALAÇÃO. AF_12/2019</v>
          </cell>
          <cell r="C1896" t="str">
            <v>UN</v>
          </cell>
          <cell r="D1896">
            <v>117.87</v>
          </cell>
        </row>
        <row r="1897">
          <cell r="A1897" t="str">
            <v>91307</v>
          </cell>
          <cell r="B1897" t="str">
            <v>FECHADURA DE EMBUTIR PARA PORTAS INTERNAS, COMPLETA, ACABAMENTO PADRÃO POPULAR, COM EXECUÇÃO DE FURO - FORNECIMENTO E INSTALAÇÃO. AF_12/2019</v>
          </cell>
          <cell r="C1897" t="str">
            <v>UN</v>
          </cell>
          <cell r="D1897">
            <v>70.7</v>
          </cell>
        </row>
        <row r="1898">
          <cell r="A1898" t="str">
            <v>91312</v>
          </cell>
          <cell r="B1898" t="str">
            <v>KIT DE PORTA DE MADEIRA PARA PINTURA, SEMI-OCA (LEVE OU MÉDIA), PADRÃO POPULAR, 60X210CM, ESPESSURA DE 3,5CM, ITENS INCLUSOS: DOBRADIÇAS, MONTAGEM E INSTALAÇÃO DO BATENTE, FECHADURA COM EXECUÇÃO DO FURO - FORNECIMENTO E INSTALAÇÃO. AF_12/2019</v>
          </cell>
          <cell r="C1898" t="str">
            <v>UN</v>
          </cell>
          <cell r="D1898">
            <v>708.26</v>
          </cell>
        </row>
        <row r="1899">
          <cell r="A1899" t="str">
            <v>91313</v>
          </cell>
          <cell r="B1899" t="str">
            <v>KIT DE PORTA DE MADEIRA PARA PINTURA, SEMI-OCA (LEVE OU MÉDIA), PADRÃO POPULAR, 70X210CM, ESPESSURA DE 3,5CM, ITENS INCLUSOS: DOBRADIÇAS, MONTAGEM E INSTALAÇÃO DO BATENTE, FECHADURA COM EXECUÇÃO DO FURO - FORNECIMENTO E INSTALAÇÃO. AF_12/2019</v>
          </cell>
          <cell r="C1899" t="str">
            <v>UN</v>
          </cell>
          <cell r="D1899">
            <v>703.45</v>
          </cell>
        </row>
        <row r="1900">
          <cell r="A1900" t="str">
            <v>91314</v>
          </cell>
          <cell r="B1900" t="str">
            <v>KIT DE PORTA DE MADEIRA PARA PINTURA, SEMI-OCA (LEVE OU MÉDIA), PADRÃO POPULAR, 80X210CM, ESPESSURA DE 3,5CM, ITENS INCLUSOS: DOBRADIÇAS, MONTAGEM E INSTALAÇÃO DO BATENTE, FECHADURA COM EXECUÇÃO DO FURO - FORNECIMENTO E INSTALAÇÃO. AF_12/2019</v>
          </cell>
          <cell r="C1900" t="str">
            <v>UN</v>
          </cell>
          <cell r="D1900">
            <v>736.63</v>
          </cell>
        </row>
        <row r="1901">
          <cell r="A1901" t="str">
            <v>91315</v>
          </cell>
          <cell r="B1901" t="str">
            <v>KIT DE PORTA DE MADEIRA PARA PINTURA, SEMI-OCA (LEVE OU MÉDIA), PADRÃO POPULAR, 90X210CM, ESPESSURA DE 3,5CM, ITENS INCLUSOS: DOBRADIÇAS, MONTAGEM E INSTALAÇÃO DO BATENTE, FECHADURA COM EXECUÇÃO DO FURO - FORNECIMENTO E INSTALAÇÃO. AF_12/2019</v>
          </cell>
          <cell r="C1901" t="str">
            <v>UN</v>
          </cell>
          <cell r="D1901">
            <v>800.16</v>
          </cell>
        </row>
        <row r="1902">
          <cell r="A1902" t="str">
            <v>91316</v>
          </cell>
          <cell r="B1902" t="str">
            <v>KIT DE PORTA DE MADEIRA PARA PINTURA, SEMI-OCA (PESADA OU SUPERPESADA), PADRÃO POPULAR, 80X210CM, ESPESSURA DE 3,5CM, ITENS INCLUSOS: DOBRADIÇAS, MONTAGEM E INSTALAÇÃO DO BATENTE, FECHADURA COM EXECUÇÃO DO FURO - FORNECIMENTO E INSTALAÇÃO. AF_12/2019</v>
          </cell>
          <cell r="C1902" t="str">
            <v>UN</v>
          </cell>
          <cell r="D1902">
            <v>942.18</v>
          </cell>
        </row>
        <row r="1903">
          <cell r="A1903" t="str">
            <v>91317</v>
          </cell>
          <cell r="B1903" t="str">
            <v>KIT DE PORTA DE MADEIRA PARA PINTURA, SEMI-OCA (PESADA OU SUPERPESADA), PADRÃO POPULAR, 90X210CM, ESPESSURA DE 3,5CM, ITENS INCLUSOS: DOBRADIÇAS, MONTAGEM E INSTALAÇÃO DO BATENTE, FECHADURA COM EXECUÇÃO DO FURO - FORNECIMENTO E INSTALAÇÃO. AF_12/2019</v>
          </cell>
          <cell r="C1903" t="str">
            <v>UN</v>
          </cell>
          <cell r="D1903">
            <v>998.05</v>
          </cell>
        </row>
        <row r="1904">
          <cell r="A1904" t="str">
            <v>91318</v>
          </cell>
          <cell r="B1904" t="str">
            <v>KIT DE PORTA DE MADEIRA PARA PINTURA, SEMI-OCA (LEVE OU MÉDIA), PADRÃO POPULAR, 60X210CM, ESPESSURA DE 3,5CM, ITENS INCLUSOS: DOBRADIÇAS, MONTAGEM E INSTALAÇÃO DO BATENTE, SEM FECHADURA - FORNECIMENTO E INSTALAÇÃO. AF_12/2019</v>
          </cell>
          <cell r="C1904" t="str">
            <v>UN</v>
          </cell>
          <cell r="D1904">
            <v>625.66</v>
          </cell>
        </row>
        <row r="1905">
          <cell r="A1905" t="str">
            <v>91319</v>
          </cell>
          <cell r="B1905" t="str">
            <v>KIT DE PORTA DE MADEIRA PARA PINTURA, SEMI-OCA (LEVE OU MÉDIA), PADRÃO POPULAR, 70X210CM, ESPESSURA DE 3,5CM, ITENS INCLUSOS: DOBRADIÇAS, MONTAGEM E INSTALAÇÃO DO BATENTE, SEM FECHADURA - FORNECIMENTO E INSTALAÇÃO. AF_12/2019</v>
          </cell>
          <cell r="C1905" t="str">
            <v>UN</v>
          </cell>
          <cell r="D1905">
            <v>632.75</v>
          </cell>
        </row>
        <row r="1906">
          <cell r="A1906" t="str">
            <v>91320</v>
          </cell>
          <cell r="B1906" t="str">
            <v>KIT DE PORTA DE MADEIRA PARA PINTURA, SEMI-OCA (LEVE OU MÉDIA), PADRÃO POPULAR, 80X210CM, ESPESSURA DE 3,5CM, ITENS INCLUSOS: DOBRADIÇAS, MONTAGEM E INSTALAÇÃO DO BATENTE, SEM FECHADURA - FORNECIMENTO E INSTALAÇÃO. AF_12/2019</v>
          </cell>
          <cell r="C1906" t="str">
            <v>UN</v>
          </cell>
          <cell r="D1906">
            <v>652.98</v>
          </cell>
        </row>
        <row r="1907">
          <cell r="A1907" t="str">
            <v>91321</v>
          </cell>
          <cell r="B1907" t="str">
            <v>KIT DE PORTA DE MADEIRA PARA PINTURA, SEMI-OCA (LEVE OU MÉDIA), PADRÃO POPULAR, 90X210CM, ESPESSURA DE 3,5CM, ITENS INCLUSOS: DOBRADIÇAS, MONTAGEM E INSTALAÇÃO DO BATENTE, SEM FECHADURA - FORNECIMENTO E INSTALAÇÃO. AF_12/2019</v>
          </cell>
          <cell r="C1907" t="str">
            <v>UN</v>
          </cell>
          <cell r="D1907">
            <v>716.51</v>
          </cell>
        </row>
        <row r="1908">
          <cell r="A1908" t="str">
            <v>91322</v>
          </cell>
          <cell r="B1908" t="str">
            <v>KIT DE PORTA DE MADEIRA PARA PINTURA, SEMI-OCA (PESADA OU SUPERPESADA), PADRÃO POPULAR, 80X210CM, ESPESSURA DE 3,5CM, ITENS INCLUSOS: DOBRADIÇAS, MONTAGEM E INSTALAÇÃO DO BATENTE, SEM FECHADURA - FORNECIMENTO E INSTALAÇÃO. AF_12/2019</v>
          </cell>
          <cell r="C1908" t="str">
            <v>UN</v>
          </cell>
          <cell r="D1908">
            <v>858.53</v>
          </cell>
        </row>
        <row r="1909">
          <cell r="A1909" t="str">
            <v>91323</v>
          </cell>
          <cell r="B1909" t="str">
            <v>KIT DE PORTA DE MADEIRA PARA PINTURA, SEMI-OCA (PESADA OU SUPERPESADA), PADRÃO POPULAR, 90X210CM, ESPESSURA DE 3,5CM, ITENS INCLUSOS: DOBRADIÇAS, MONTAGEM E INSTALAÇÃO DO BATENTE, SEM FECHADURA - FORNECIMENTO E INSTALAÇÃO. AF_12/2019</v>
          </cell>
          <cell r="C1909" t="str">
            <v>UN</v>
          </cell>
          <cell r="D1909">
            <v>914.4</v>
          </cell>
        </row>
        <row r="1910">
          <cell r="A1910" t="str">
            <v>91324</v>
          </cell>
          <cell r="B1910" t="str">
            <v>KIT DE PORTA DE MADEIRA PARA VERNIZ, SEMI-OCA (LEVE OU MÉDIA), PADRÃO POPULAR, 60X210CM, ESPESSURA DE 3,5CM, ITENS INCLUSOS: DOBRADIÇAS, MONTAGEM E INSTALAÇÃO DO BATENTE, SEM FECHADURA - FORNECIMENTO E INSTALAÇÃO. AF_12/2019</v>
          </cell>
          <cell r="C1910" t="str">
            <v>UN</v>
          </cell>
          <cell r="D1910">
            <v>634.32000000000005</v>
          </cell>
        </row>
        <row r="1911">
          <cell r="A1911" t="str">
            <v>91325</v>
          </cell>
          <cell r="B1911" t="str">
            <v>KIT DE PORTA DE MADEIRA PARA VERNIZ, SEMI-OCA (LEVE OU MÉDIA), PADRÃO POPULAR, 70X210CM, ESPESSURA DE 3,5CM, ITENS INCLUSOS: DOBRADIÇAS, MONTAGEM E INSTALAÇÃO DO BATENTE, SEM FECHADURA - FORNECIMENTO E INSTALAÇÃO. AF_12/2019</v>
          </cell>
          <cell r="C1911" t="str">
            <v>UN</v>
          </cell>
          <cell r="D1911">
            <v>641.82000000000005</v>
          </cell>
        </row>
        <row r="1912">
          <cell r="A1912" t="str">
            <v>91326</v>
          </cell>
          <cell r="B1912" t="str">
            <v>KIT DE PORTA DE MADEIRA PARA VERNIZ, SEMI-OCA (LEVE OU MÉDIA), PADRÃO POPULAR, 80X210CM, ESPESSURA DE 3,5CM, ITENS INCLUSOS: DOBRADIÇAS, MONTAGEM E INSTALAÇÃO DO BATENTE, SEM FECHADURA - FORNECIMENTO E INSTALAÇÃO. AF_12/2019</v>
          </cell>
          <cell r="C1912" t="str">
            <v>UN</v>
          </cell>
          <cell r="D1912">
            <v>688.16</v>
          </cell>
        </row>
        <row r="1913">
          <cell r="A1913" t="str">
            <v>91327</v>
          </cell>
          <cell r="B1913" t="str">
            <v>KIT DE PORTA DE MADEIRA PARA VERNIZ, SEMI-OCA (LEVE OU MÉDIA), PADRÃO POPULAR, 90X210CM, ESPESSURA DE 3,5CM, ITENS INCLUSOS: DOBRADIÇAS, MONTAGEM E INSTALAÇÃO DO BATENTE, SEM FECHADURA - FORNECIMENTO E INSTALAÇÃO. AF_12/2019</v>
          </cell>
          <cell r="C1913" t="str">
            <v>UN</v>
          </cell>
          <cell r="D1913">
            <v>724.19</v>
          </cell>
        </row>
        <row r="1914">
          <cell r="A1914" t="str">
            <v>91328</v>
          </cell>
          <cell r="B1914" t="str">
            <v>KIT DE PORTA DE MADEIRA FRISADA, SEMI-OCA (LEVE OU MÉDIA), PADRÃO MÉDIO 60X210CM, ESPESSURA DE 3CM, ITENS INCLUSOS: DOBRADIÇAS, MONTAGEM E INSTALAÇÃO DO BATENTE, SEM FECHADURA - FORNECIMENTO E INSTALAÇÃO. AF_12/2019</v>
          </cell>
          <cell r="C1914" t="str">
            <v>UN</v>
          </cell>
          <cell r="D1914">
            <v>759.9</v>
          </cell>
        </row>
        <row r="1915">
          <cell r="A1915" t="str">
            <v>91329</v>
          </cell>
          <cell r="B1915" t="str">
            <v>KIT DE PORTA DE MADEIRA FRISADA, SEMI-OCA (LEVE OU MÉDIA), PADRÃO POPULAR, 60X210CM, ESPESSURA DE 3CM, ITENS INCLUSOS: DOBRADIÇAS, MONTAGEM E INSTALAÇÃO DO BATENTE, SEM FECHADURA - FORNECIMENTO E INSTALAÇÃO. AF_12/2019</v>
          </cell>
          <cell r="C1915" t="str">
            <v>UN</v>
          </cell>
          <cell r="D1915">
            <v>641.82000000000005</v>
          </cell>
        </row>
        <row r="1916">
          <cell r="A1916" t="str">
            <v>91330</v>
          </cell>
          <cell r="B1916" t="str">
            <v>KIT DE PORTA DE MADEIRA FRISADA, SEMI-OCA (LEVE OU MÉDIA), PADRÃO MÉDIO, 70X210CM, ESPESSURA DE 3CM, ITENS INCLUSOS: DOBRADIÇAS, MONTAGEM E INSTALAÇÃO DO BATENTE, SEM FECHADURA - FORNECIMENTO E INSTALAÇÃO. AF_12/2019</v>
          </cell>
          <cell r="C1916" t="str">
            <v>UN</v>
          </cell>
          <cell r="D1916">
            <v>781.6</v>
          </cell>
        </row>
        <row r="1917">
          <cell r="A1917" t="str">
            <v>91331</v>
          </cell>
          <cell r="B1917" t="str">
            <v>KIT DE PORTA DE MADEIRA FRISADA, SEMI-OCA (LEVE OU MÉDIA), PADRÃO POPULAR, 70X210CM, ESPESSURA DE 3CM, ITENS INCLUSOS: DOBRADIÇAS, MONTAGEM E INSTALAÇÃO DO BATENTE, SEM FECHADURA - FORNECIMENTO E INSTALAÇÃO. AF_12/2019</v>
          </cell>
          <cell r="C1917" t="str">
            <v>UN</v>
          </cell>
          <cell r="D1917">
            <v>662.77</v>
          </cell>
        </row>
        <row r="1918">
          <cell r="A1918" t="str">
            <v>91332</v>
          </cell>
          <cell r="B1918" t="str">
            <v>KIT DE PORTA DE MADEIRA FRISADA, SEMI-OCA (LEVE OU MÉDIA), PADRÃO MÉDIO, 80X210CM, ESPESSURA DE 3,5CM, ITENS INCLUSOS: DOBRADIÇAS, MONTAGEM E INSTALAÇÃO DO BATENTE, SEM FECHADURA - FORNECIMENTO E INSTALAÇÃO. AF_12/2019</v>
          </cell>
          <cell r="C1918" t="str">
            <v>UN</v>
          </cell>
          <cell r="D1918">
            <v>812.72</v>
          </cell>
        </row>
        <row r="1919">
          <cell r="A1919" t="str">
            <v>91333</v>
          </cell>
          <cell r="B1919" t="str">
            <v>KIT DE PORTA DE MADEIRA FRISADA, SEMI-OCA (LEVE OU MÉDIA), PADRÃO POPULAR, 80X210CM, ESPESSURA DE 3,5CM, ITENS INCLUSOS: DOBRADIÇAS, MONTAGEM E INSTALAÇÃO DO BATENTE, SEM FECHADURA - FORNECIMENTO E INSTALAÇÃO. AF_12/2019</v>
          </cell>
          <cell r="C1919" t="str">
            <v>UN</v>
          </cell>
          <cell r="D1919">
            <v>693.15</v>
          </cell>
        </row>
        <row r="1920">
          <cell r="A1920" t="str">
            <v>91334</v>
          </cell>
          <cell r="B1920" t="str">
            <v>KIT DE PORTA DE MADEIRA TIPO VENEZIANA, PADRÃO MÉDIO, 80X210CM, ESPESSURA DE 3CM, ITENS INCLUSOS: DOBRADIÇAS, MONTAGEM E INSTALAÇÃO DO BATENTE, SEM FECHADURA - FORNECIMENTO E INSTALAÇÃO. AF_12/2019</v>
          </cell>
          <cell r="C1920" t="str">
            <v>UN</v>
          </cell>
          <cell r="D1920">
            <v>1328.51</v>
          </cell>
        </row>
        <row r="1921">
          <cell r="A1921" t="str">
            <v>91335</v>
          </cell>
          <cell r="B1921" t="str">
            <v>KIT DE PORTA DE MADEIRA TIPO VENEZIANA, PADRÃO POPULAR, 80X210CM, ESPESSURA DE 3CM, ITENS INCLUSOS: DOBRADIÇAS, MONTAGEM E INSTALAÇÃO DO BATENTE, SEM FECHADURA - FORNECIMENTO E INSTALAÇÃO. AF_12/2019</v>
          </cell>
          <cell r="C1921" t="str">
            <v>UN</v>
          </cell>
          <cell r="D1921">
            <v>1208.94</v>
          </cell>
        </row>
        <row r="1922">
          <cell r="A1922" t="str">
            <v>91336</v>
          </cell>
          <cell r="B1922" t="str">
            <v>KIT DE PORTA DE MADEIRA TIPO MEXICANA, MACIÇA (PESADA OU SUPERPESADA), PADRÃO MÉDIO, 80X210CM, ESPESSURA DE 3CM, ITENS INCLUSOS: DOBRADIÇAS, MONTAGEM E INSTALAÇÃO DO BATENTE, SEM FECHADURA - FORNECIMENTO E INSTALAÇÃO. AF_12/2019</v>
          </cell>
          <cell r="C1922" t="str">
            <v>UN</v>
          </cell>
          <cell r="D1922">
            <v>1666.76</v>
          </cell>
        </row>
        <row r="1923">
          <cell r="A1923" t="str">
            <v>91337</v>
          </cell>
          <cell r="B1923" t="str">
            <v>KIT DE PORTA DE MADEIRA TIPO MEXICANA, MACIÇA (PESADA OU SUPERPESADA), PADRÃO POPULAR, 80X210CM, ESPESSURA DE 3CM, ITENS INCLUSOS: DOBRADIÇAS, MONTAGEM E INSTALAÇÃO DO BATENTE, SEM FECHADURA - FORNECIMENTO E INSTALAÇÃO. AF_12/2019</v>
          </cell>
          <cell r="C1923" t="str">
            <v>M</v>
          </cell>
          <cell r="D1923">
            <v>1547.19</v>
          </cell>
        </row>
        <row r="1924">
          <cell r="A1924" t="str">
            <v>100659</v>
          </cell>
          <cell r="B1924" t="str">
            <v>ALIZAR DE 5X1,5CM PARA PORTA FIXADO COM PREGOS, PADRÃO MÉDIO - FORNECIMENTO E INSTALAÇÃO. AF_12/2019</v>
          </cell>
          <cell r="C1924" t="str">
            <v>M</v>
          </cell>
          <cell r="D1924">
            <v>11.48</v>
          </cell>
        </row>
        <row r="1925">
          <cell r="A1925" t="str">
            <v>100660</v>
          </cell>
          <cell r="B1925" t="str">
            <v>ALIZAR DE 5X1,5CM PARA PORTA FIXADO COM PREGOS, PADRÃO POPULAR - FORNECIMENTO E INSTALAÇÃO. AF_12/2019</v>
          </cell>
          <cell r="C1925" t="str">
            <v>UN</v>
          </cell>
          <cell r="D1925">
            <v>7.77</v>
          </cell>
        </row>
        <row r="1926">
          <cell r="A1926" t="str">
            <v>100675</v>
          </cell>
          <cell r="B1926" t="str">
            <v>KIT DE PORTA-PRONTA DE MADEIRA EM ACABAMENTO MELAMÍNICO BRANCO, FOLHA LEVE OU MÉDIA, 90X210, EXCLUSIVE FECHADURA, FIXAÇÃO COM PREENCHIMENTO TOTAL DE ESPUMA EXPANSIVA - FORNECIMENTO E INSTALAÇÃO. AF_12/2019</v>
          </cell>
          <cell r="C1926" t="str">
            <v>UN</v>
          </cell>
          <cell r="D1926">
            <v>730.48</v>
          </cell>
        </row>
        <row r="1927">
          <cell r="A1927" t="str">
            <v>100676</v>
          </cell>
          <cell r="B1927" t="str">
            <v>BATENTE PARA PORTA COM BANDEIRA, FIXAÇÃO COM PARAFUSO E BUCHA. AF_12/2019</v>
          </cell>
          <cell r="C1927" t="str">
            <v>UN</v>
          </cell>
          <cell r="D1927">
            <v>184.26</v>
          </cell>
        </row>
        <row r="1928">
          <cell r="A1928" t="str">
            <v>100678</v>
          </cell>
          <cell r="B1928" t="str">
            <v>KIT DE PORTA DE MADEIRA PARA VERNIZ, SEMI-OCA (LEVE OU MÉDIA), PADRÃO MÉDIO, 60X210CM, ESPESSURA DE 3,5CM, ITENS INCLUSOS: DOBRADIÇAS, MONTAGEM E INSTALAÇÃO DE BATENTE, FECHADURA COM EXECUÇÃO DO FURO - FORNECIMENTO E INSTALAÇÃO. AF_12/2019</v>
          </cell>
          <cell r="C1928" t="str">
            <v>UN</v>
          </cell>
          <cell r="D1928">
            <v>870.27</v>
          </cell>
        </row>
        <row r="1929">
          <cell r="A1929" t="str">
            <v>100679</v>
          </cell>
          <cell r="B1929" t="str">
            <v>KIT DE PORTA DE MADEIRA PARA VERNIZ, SEMI-OCA (LEVE OU MÉDIA), PADRÃO POPULAR, 60X210CM, ESPESSURA DE 3,5CM, ITENS INCLUSOS: DOBRADIÇAS, MONTAGEM E INSTALAÇÃO DE BATENTE, FECHADURA COM EXECUÇÃO DO FURO - FORNECIMENTO E INSTALAÇÃO. AF_12/2019</v>
          </cell>
          <cell r="C1929" t="str">
            <v>UN</v>
          </cell>
          <cell r="D1929">
            <v>716.92</v>
          </cell>
        </row>
        <row r="1930">
          <cell r="A1930" t="str">
            <v>100680</v>
          </cell>
          <cell r="B1930" t="str">
            <v>KIT DE PORTA DE MADEIRA PARA VERNIZ, SEMI-OCA (LEVE OU MÉDIA), PADRÃO MÉDIO, 70X210CM, ESPESSURA DE 3,5CM, ITENS INCLUSOS: DOBRADIÇAS, MONTAGEM E INSTALAÇÃO DE BATENTE, FECHADURA COM EXECUÇÃO DO FURO - FORNECIMENTO E INSTALAÇÃO. AF_12/2019</v>
          </cell>
          <cell r="C1930" t="str">
            <v>UN</v>
          </cell>
          <cell r="D1930">
            <v>878.52</v>
          </cell>
        </row>
        <row r="1931">
          <cell r="A1931" t="str">
            <v>100681</v>
          </cell>
          <cell r="B1931" t="str">
            <v>KIT DE PORTA DE MADEIRA FRISADA, SEMI-OCA (LEVE OU MÉDIA), PADRÃO MÉDIO, 70X210CM, ESPESSURA DE 3CM, ITENS INCLUSOS: DOBRADIÇAS, MONTAGEM E INSTALAÇÃO DE BATENTE, FECHADURA COM EXECUÇÃO DO FURO - FORNECIMENTO E INSTALAÇÃO. AF_12/2019</v>
          </cell>
          <cell r="C1931" t="str">
            <v>UN</v>
          </cell>
          <cell r="D1931">
            <v>899.47</v>
          </cell>
        </row>
        <row r="1932">
          <cell r="A1932" t="str">
            <v>100682</v>
          </cell>
          <cell r="B1932" t="str">
            <v>KIT DE PORTA DE MADEIRA FRISADA, SEMI-OCA (LEVE OU MÉDIA), PADRÃO POPULAR, 70X210CM, ESPESSURA DE 3CM, ITENS INCLUSOS: DOBRADIÇAS, MONTAGEM E INSTALAÇÃO DE BATENTE, FECHADURA COM EXECUÇÃO DO FURO - FORNECIMENTO E INSTALAÇÃO. AF_12/2019</v>
          </cell>
          <cell r="C1932" t="str">
            <v>UN</v>
          </cell>
          <cell r="D1932">
            <v>733.47</v>
          </cell>
        </row>
        <row r="1933">
          <cell r="A1933" t="str">
            <v>100683</v>
          </cell>
          <cell r="B1933" t="str">
            <v>KIT DE PORTA DE MADEIRA PARA VERNIZ, SEMI-OCA (LEVE OU MÉDIA), PADRÃO MÉDIO, 80X210CM, ESPESSURA DE 3,5CM, ITENS INCLUSOS: DOBRADIÇAS, MONTAGEM E INSTALAÇÃO DE BATENTE, FECHADURA COM EXECUÇÃO DO FURO - FORNECIMENTO E INSTALAÇÃO. AF_12/2019</v>
          </cell>
          <cell r="C1933" t="str">
            <v>UN</v>
          </cell>
          <cell r="D1933">
            <v>942.65</v>
          </cell>
        </row>
        <row r="1934">
          <cell r="A1934" t="str">
            <v>100684</v>
          </cell>
          <cell r="B1934" t="str">
            <v>KIT DE PORTA DE MADEIRA PARA VERNIZ, SEMI-OCA (LEVE OU MÉDIA), PADRÃO POPULAR, 80X210CM, ESPESSURA DE 3,5CM, ITENS INCLUSOS: DOBRADIÇAS, MONTAGEM E INSTALAÇÃO DE BATENTE, FECHADURA COM EXECUÇÃO DO FURO - FORNECIMENTO E INSTALAÇÃO. AF_12/2019</v>
          </cell>
          <cell r="C1934" t="str">
            <v>UN</v>
          </cell>
          <cell r="D1934">
            <v>771.81</v>
          </cell>
        </row>
        <row r="1935">
          <cell r="A1935" t="str">
            <v>100685</v>
          </cell>
          <cell r="B1935" t="str">
            <v>KIT DE PORTA DE MADEIRA PARA VERNIZ, SEMI-OCA (LEVE OU MÉDIA), PADRÃO MÉDIO, 90X210CM, ESPESSURA DE 3,5CM, ITENS INCLUSOS: DOBRADIÇAS, MONTAGEM E INSTALAÇÃO DE BATENTE, FECHADURA COM EXECUÇÃO DO FURO - FORNECIMENTO E INSTALAÇÃO. AF_12/2019</v>
          </cell>
          <cell r="C1935" t="str">
            <v>UN</v>
          </cell>
          <cell r="D1935">
            <v>979.42</v>
          </cell>
        </row>
        <row r="1936">
          <cell r="A1936" t="str">
            <v>100686</v>
          </cell>
          <cell r="B1936" t="str">
            <v>KIT DE PORTA DE MADEIRA PARA VERNIZ, SEMI-OCA (LEVE OU MÉDIA), PADRÃO POPULAR, 90X210CM, ESPESSURA DE 3CM, ITENS INCLUSOS: DOBRADIÇAS, MONTAGEM E INSTALAÇÃO DE BATENTE, FECHADURA COM EXECUÇÃO DO FURO - FORNECIMENTO E INSTALAÇÃO. AF_12/2019</v>
          </cell>
          <cell r="C1936" t="str">
            <v>UN</v>
          </cell>
          <cell r="D1936">
            <v>807.84</v>
          </cell>
        </row>
        <row r="1937">
          <cell r="A1937" t="str">
            <v>100687</v>
          </cell>
          <cell r="B1937" t="str">
            <v>KIT DE PORTA DE MADEIRA FRISADA, SEMI-OCA (LEVE OU MÉDIA), PADRÃO MÉDIO, 60X210CM, ESPESSURA DE 3,5CM, ITENS INCLUSOS: DOBRADIÇAS, MONTAGEM E INSTALAÇÃO DE BATENTE, FECHADURA COM EXECUÇÃO DO FURO - FORNECIMENTO E INSTALAÇÃO. AF_12/2019</v>
          </cell>
          <cell r="C1937" t="str">
            <v>UN</v>
          </cell>
          <cell r="D1937">
            <v>877.77</v>
          </cell>
        </row>
        <row r="1938">
          <cell r="A1938" t="str">
            <v>100688</v>
          </cell>
          <cell r="B1938" t="str">
            <v>KIT DE PORTA DE MADEIRA FRISADA, SEMI-OCA (LEVE OU MÉDIA), PADRÃO POPULAR, 60X210CM, ESPESSURA DE 3CM, ITENS INCLUSOS: DOBRADIÇAS, MONTAGEM E INSTALAÇÃO DE BATENTE, FECHADURA COM EXECUÇÃO DO FURO - FORNECIMENTO E INSTALAÇÃO. AF_12/2019</v>
          </cell>
          <cell r="C1938" t="str">
            <v>UN</v>
          </cell>
          <cell r="D1938">
            <v>724.42</v>
          </cell>
        </row>
        <row r="1939">
          <cell r="A1939" t="str">
            <v>100689</v>
          </cell>
          <cell r="B1939" t="str">
            <v>KIT DE PORTA DE MADEIRA FRISADA, SEMI-OCA (LEVE OU MÉDIA), PADRÃO MÉDIO, 80X210CM, ESPESSURA DE 3,5CM, ITENS INCLUSOS: DOBRADIÇAS, MONTAGEM E INSTALAÇÃO DE BATENTE, FECHADURA COM EXECUÇÃO DO FURO - FORNECIMENTO E INSTALAÇÃO. AF_12/2019</v>
          </cell>
          <cell r="C1939" t="str">
            <v>UN</v>
          </cell>
          <cell r="D1939">
            <v>947.64</v>
          </cell>
        </row>
        <row r="1940">
          <cell r="A1940" t="str">
            <v>100690</v>
          </cell>
          <cell r="B1940" t="str">
            <v>KIT DE PORTA DE MADEIRA FRISADA, SEMI-OCA (LEVE OU MÉDIA), PADRÃO POPULAR, 80X210CM, ESPESSURA DE 3,5CM, ITENS INCLUSOS: DOBRADIÇAS, MONTAGEM E INSTALAÇÃO DE BATENTE, FECHADURA COM EXECUÇÃO DO FURO - FORNECIMENTO E INSTALAÇÃO. AF_12/2019</v>
          </cell>
          <cell r="C1940" t="str">
            <v>UN</v>
          </cell>
          <cell r="D1940">
            <v>776.8</v>
          </cell>
        </row>
        <row r="1941">
          <cell r="A1941" t="str">
            <v>100691</v>
          </cell>
          <cell r="B1941" t="str">
            <v>KIT DE PORTA DE MADEIRA TIPO VENEZIANA, 80X210CM (ESPESSURA DE 3CM), PADRÃO MÉDIO, ITENS INCLUSOS: DOBRADIÇAS, MONTAGEM E INSTALAÇÃO DE BATENTE, FECHADURA COM EXECUÇÃO DO FURO - FORNECIMENTO E INSTALAÇÃO. AF_12/2019</v>
          </cell>
          <cell r="C1941" t="str">
            <v>UN</v>
          </cell>
          <cell r="D1941">
            <v>1463.43</v>
          </cell>
        </row>
        <row r="1942">
          <cell r="A1942" t="str">
            <v>100692</v>
          </cell>
          <cell r="B1942" t="str">
            <v>KIT DE PORTA DE MADEIRA TIPO VENEZIANA, 80X210CM (ESPESSURA DE 3CM), PADRÃO POPULAR, ITENS INCLUSOS: DOBRADIÇAS, MONTAGEM E INSTALAÇÃO DE BATENTE, FECHADURA COM EXECUÇÃO DO FURO - FORNECIMENTO E INSTALAÇÃO. AF_12/2019</v>
          </cell>
          <cell r="C1942" t="str">
            <v>UN</v>
          </cell>
          <cell r="D1942">
            <v>1292.5899999999999</v>
          </cell>
        </row>
        <row r="1943">
          <cell r="A1943" t="str">
            <v>100693</v>
          </cell>
          <cell r="B1943" t="str">
            <v>KIT DE PORTA DE MADEIRA TIPO MEXICANA, MACIÇA (PESADA OU SUPERPESADA), PADRÃO MÉDIO, 80X210CM, ESPESSURA DE 3,5CM, ITENS INCLUSOS: DOBRADIÇAS, MONTAGEM E INSTALAÇÃO DE BATENTE, FECHADURA COM EXECUÇÃO DO FURO - FORNECIMENTO E INSTALAÇÃO. AF_12/2019</v>
          </cell>
          <cell r="C1943" t="str">
            <v>UN</v>
          </cell>
          <cell r="D1943">
            <v>1801.68</v>
          </cell>
        </row>
        <row r="1944">
          <cell r="A1944" t="str">
            <v>100694</v>
          </cell>
          <cell r="B1944" t="str">
            <v>KIT DE PORTA DE MADEIRA TIPO MEXICANA, MACIÇA (PESADA OU SUPERPESADA), PADRÃO POPULAR, 80X210CM, ESPESSURA DE 3,5CM, ITENS INCLUSOS: DOBRADIÇAS, MONTAGEM E INSTALAÇÃO DE BATENTE, FECHADURA COM EXECUÇÃO DO FURO - FORNECIMENTO E INSTALAÇÃO. AF_12/2019</v>
          </cell>
          <cell r="C1944" t="str">
            <v>UN</v>
          </cell>
          <cell r="D1944">
            <v>1630.84</v>
          </cell>
        </row>
        <row r="1945">
          <cell r="A1945" t="str">
            <v>100695</v>
          </cell>
          <cell r="B1945" t="str">
            <v>RECOLOCAÇÃO DE FOLHAS DE PORTA DE MADEIRA LEVE OU MÉDIA DE 60CM DE LARGURA, CONSIDERANDO REAPROVEITAMENTO DO MATERIAL. AF_12/2019</v>
          </cell>
          <cell r="C1945" t="str">
            <v>UN</v>
          </cell>
          <cell r="D1945">
            <v>52.04</v>
          </cell>
        </row>
        <row r="1946">
          <cell r="A1946" t="str">
            <v>100696</v>
          </cell>
          <cell r="B1946" t="str">
            <v>RECOLOCAÇÃO DE FOLHAS DE PORTA DE MADEIRA LEVE OU MÉDIA DE 70CM DE LARGURA, CONSIDERANDO REAPROVEITAMENTO DO MATERIAL. AF_12/2019</v>
          </cell>
          <cell r="C1946" t="str">
            <v>UN</v>
          </cell>
          <cell r="D1946">
            <v>57.81</v>
          </cell>
        </row>
        <row r="1947">
          <cell r="A1947" t="str">
            <v>100697</v>
          </cell>
          <cell r="B1947" t="str">
            <v>RECOLOCAÇÃO DE FOLHAS DE PORTA DE MADEIRA LEVE OU MÉDIA DE 80CM DE LARGURA, CONSIDERANDO REAPROVEITAMENTO DO MATERIAL. AF_12/2019</v>
          </cell>
          <cell r="C1947" t="str">
            <v>UN</v>
          </cell>
          <cell r="D1947">
            <v>63.63</v>
          </cell>
        </row>
        <row r="1948">
          <cell r="A1948" t="str">
            <v>100698</v>
          </cell>
          <cell r="B1948" t="str">
            <v>RECOLOCAÇÃO DE FOLHAS DE PORTA DE MADEIRA LEVE OU MÉDIA DE 90CM DE LARGURA, CONSIDERANDO REAPROVEITAMENTO DO MATERIAL. AF_12/2019</v>
          </cell>
          <cell r="C1948" t="str">
            <v>UN</v>
          </cell>
          <cell r="D1948">
            <v>69.44</v>
          </cell>
        </row>
        <row r="1949">
          <cell r="A1949" t="str">
            <v>100699</v>
          </cell>
          <cell r="B1949" t="str">
            <v>RECOLOCAÇÃO DE FOLHAS DE PORTA DE MADEIRA PESADA OU SUPERPESADA DE 80CM DE LARGURA, CONSIDERANDO REAPROVEITAMENTO DO MATERIAL. AF_12/2019</v>
          </cell>
          <cell r="C1949" t="str">
            <v>UN</v>
          </cell>
          <cell r="D1949">
            <v>82.32</v>
          </cell>
        </row>
        <row r="1950">
          <cell r="A1950" t="str">
            <v>100700</v>
          </cell>
          <cell r="B1950" t="str">
            <v>PORTA DE MADEIRA COMPENSADA LISA PARA PINTURA, 120X210X3,5CM, 2 FOLHAS, INCLUSO ADUELA 2A, ALIZAR 2A E DOBRADIÇAS. AF_12/2019</v>
          </cell>
          <cell r="C1950" t="str">
            <v>UN</v>
          </cell>
          <cell r="D1950">
            <v>713.62</v>
          </cell>
        </row>
        <row r="1951">
          <cell r="A1951" t="str">
            <v>100712</v>
          </cell>
          <cell r="B1951" t="str">
            <v>KIT DE PORTA DE MADEIRA PARA VERNIZ, SEMI-OCA (LEVE OU MÉDIA), PADRÃO POPULAR, 70X210CM, ESPESSURA DE 3,5CM, ITENS INCLUSOS: DOBRADIÇAS, MONTAGEM E INSTALAÇÃO DE BATENTE, FECHADURA COM EXECUÇÃO DO FURO - FORNECIMENTO E INSTALAÇÃO. AF_12/2019</v>
          </cell>
          <cell r="C1951" t="str">
            <v>M2</v>
          </cell>
          <cell r="D1951">
            <v>712.52</v>
          </cell>
        </row>
        <row r="1952">
          <cell r="A1952" t="str">
            <v>100665</v>
          </cell>
          <cell r="B1952" t="str">
            <v>JANELA DE MADEIRA - CEDRINHO/ANGELIM OU EQUIVALENTE DA REGIÃO - DE ABRIR COM 4 FOLHAS (2 VENEZIANAS E 2 GUILHOTINAS PARA VIDRO), COM BATENTE, ALIZAR E FERRAGENS. EXCLUSIVE VIDROS, ACABAMENTO E CONTRAMARCO. FORNECIMENTO E INSTALAÇÃO. AF_12/2019</v>
          </cell>
          <cell r="C1952" t="str">
            <v>M2</v>
          </cell>
          <cell r="D1952">
            <v>831.63</v>
          </cell>
        </row>
        <row r="1953">
          <cell r="A1953" t="str">
            <v>100666</v>
          </cell>
          <cell r="B1953" t="str">
            <v>JANELA DE MADEIRA (PINUS/EUCALIPTO OU EQUIV.) DE ABRIR COM 4 FOLHAS (2 VENEZIANAS E 2 GUILHOTINAS PARA VIDRO), COM BATENTE, ALIZAR E FERRAGENS. EXCLUSIVE VIDROS, ACABAMENTO E CONTRAMARCO. FORNECIMENTO E INSTALAÇÃO. AF_12/2019</v>
          </cell>
          <cell r="C1953" t="str">
            <v>M2</v>
          </cell>
          <cell r="D1953">
            <v>659.04</v>
          </cell>
        </row>
        <row r="1954">
          <cell r="A1954" t="str">
            <v>100667</v>
          </cell>
          <cell r="B1954" t="str">
            <v>JANELA DE MADEIRA (IMBUIA/CEDRO OU EQUIV.) DE ABRIR COM 4 FOLHAS (2 VENEZIANAS E 2 GUILHOTINAS PARA VIDRO), COM BATENTE, ALIZAR E FERRAGENS. EXCLUSIVE VIDROS, ACABAMENTO E CONTRAMARCO. FORNECIMENTO E INSTALAÇÃO. AF_12/2019</v>
          </cell>
          <cell r="C1954" t="str">
            <v>M2</v>
          </cell>
          <cell r="D1954">
            <v>1075.6400000000001</v>
          </cell>
        </row>
        <row r="1955">
          <cell r="A1955" t="str">
            <v>100668</v>
          </cell>
          <cell r="B1955" t="str">
            <v>JANELA DE MADEIRA (CEDRINHO/ANGELIM OU EQUIV.) TIPO MAXIM-AR, PARA VIDRO, COM BATENTE, ALIZAR E FERRAGENS. EXCLUSIVE VIDRO, ACABAMENTO E CONTRAMARCO. FORNECIMENTO E INSTALAÇÃO. AF_12/2019</v>
          </cell>
          <cell r="C1955" t="str">
            <v>M2</v>
          </cell>
          <cell r="D1955">
            <v>1306.1300000000001</v>
          </cell>
        </row>
        <row r="1956">
          <cell r="A1956" t="str">
            <v>100669</v>
          </cell>
          <cell r="B1956" t="str">
            <v>JANELA DE MADEIRA (PINUS/EUCALIPTO OU EQUIV.) TIPO BASCULANTE COM 2 FOLHAS PARA VIDRO, COM BATENTE, ALIZAR E FERRAGENS. EXCLUSIVE VIDROS, ACABAMENTO E CONTRAMARCO. FORNECIMENTO E INSTALAÇÃO. AF_12/2019</v>
          </cell>
          <cell r="C1956" t="str">
            <v>M2</v>
          </cell>
          <cell r="D1956">
            <v>777.78</v>
          </cell>
        </row>
        <row r="1957">
          <cell r="A1957" t="str">
            <v>100670</v>
          </cell>
          <cell r="B1957" t="str">
            <v>JANELA DE MADEIRA (CEDRINHO/ANGELIM OU EQUIV.) DE CORRER COM 6 FOLHAS (2 VENEZ. FIXAS, 2 VENEZ. DE CORRER E 2 DE CORRER PARA VIDRO), COM BATENTE, ALIZAR E FERRAGENS. EXCLUSIVE VIDROS, ACABAMENTO E CONTRAMARCO. FORNECIMENTO E INSTALAÇÃO. AF_12/2019</v>
          </cell>
          <cell r="C1957" t="str">
            <v>M2</v>
          </cell>
          <cell r="D1957">
            <v>1040.24</v>
          </cell>
        </row>
        <row r="1958">
          <cell r="A1958" t="str">
            <v>100671</v>
          </cell>
          <cell r="B1958" t="str">
            <v>JANELA DE MADEIRA (IMBUIA/CEDRO OU EQUIV) DE CORRER COM 6 FOLHAS (2 VENEZIANAS FIXAS, 2 VENEZIANAS DE CORRER E 2 DE CORRER PARA VIDRO), COM BATENTE, ALIZAR E FERRAGENS. EXCLUSIVE VIDROS, ACABAMENTO E CONTRAMARCO. FORNECIMENTO E INSTALAÇÃO. AF_12/2019</v>
          </cell>
          <cell r="C1958" t="str">
            <v>M2</v>
          </cell>
          <cell r="D1958">
            <v>1288.3900000000001</v>
          </cell>
        </row>
        <row r="1959">
          <cell r="A1959" t="str">
            <v>100672</v>
          </cell>
          <cell r="B1959" t="str">
            <v>JANELA DE MADEIRA (PINUS/EUCALIPTO OU EQUIV.) DE CORRER COM 6 FOLHAS (2 VENEZ. FIXAS, 2 VENEZ. DE CORRER E 2 DE CORRER PARA VIDRO), COM BATENTE, ALIZAR E FERRAGENS. EXCLUSIVE VIDROS, ACABAMENTO E CONTRAMARCO. FORNECIMENTO EINSTALAÇÃO. AF_12/2019</v>
          </cell>
          <cell r="C1959" t="str">
            <v>M2</v>
          </cell>
          <cell r="D1959">
            <v>835.86</v>
          </cell>
        </row>
        <row r="1960">
          <cell r="A1960" t="str">
            <v>100701</v>
          </cell>
          <cell r="B1960" t="str">
            <v>PORTA DE FERRO, DE ABRIR, TIPO GRADE COM CHAPA, COM GUARNIÇÕES. AF_12/2019</v>
          </cell>
          <cell r="C1960" t="str">
            <v>M2</v>
          </cell>
          <cell r="D1960">
            <v>563.11</v>
          </cell>
        </row>
        <row r="1961">
          <cell r="A1961" t="str">
            <v>94559</v>
          </cell>
          <cell r="B1961" t="str">
            <v>JANELA DE AÇO TIPO BASCULANTE PARA VIDROS, COM BATENTE, FERRAGENS E PINTURA ANTICORROSIVA. EXCLUSIVE VIDROS, ACABAMENTO, ALIZAR E CONTRAMARCO. FORNECIMENTO E INSTALAÇÃO. AF_12/2019</v>
          </cell>
          <cell r="C1961" t="str">
            <v>M2</v>
          </cell>
          <cell r="D1961">
            <v>803.37</v>
          </cell>
        </row>
        <row r="1962">
          <cell r="A1962" t="str">
            <v>94562</v>
          </cell>
          <cell r="B1962" t="str">
            <v>JANELA DE AÇO DE CORRER COM 4 FOLHAS PARA VIDRO, COM BATENTE, FERRAGENS E PINTURA ANTICORROSIVA. EXCLUSIVE VIDROS, ALIZAR E CONTRAMARCO. FORNECIMENTO E INSTALAÇÃO. AF_12/2019</v>
          </cell>
          <cell r="C1962" t="str">
            <v>M</v>
          </cell>
          <cell r="D1962">
            <v>778.73</v>
          </cell>
        </row>
        <row r="1963">
          <cell r="A1963" t="str">
            <v>94587</v>
          </cell>
          <cell r="B1963" t="str">
            <v>CONTRAMARCO DE AÇO, FIXAÇÃO COM ARGAMASSA - FORNECIMENTO E INSTALAÇÃO. AF_12/2019</v>
          </cell>
          <cell r="C1963" t="str">
            <v>M</v>
          </cell>
          <cell r="D1963">
            <v>89.54</v>
          </cell>
        </row>
        <row r="1964">
          <cell r="A1964" t="str">
            <v>94588</v>
          </cell>
          <cell r="B1964" t="str">
            <v>CONTRAMARCO DE AÇO, FIXAÇÃO COM PARAFUSO - FORNECIMENTO E INSTALAÇÃO. AF_12/2019</v>
          </cell>
          <cell r="C1964" t="str">
            <v>M</v>
          </cell>
          <cell r="D1964">
            <v>82.38</v>
          </cell>
        </row>
        <row r="1965">
          <cell r="A1965" t="str">
            <v>99837</v>
          </cell>
          <cell r="B1965" t="str">
            <v>GUARDA-CORPO DE AÇO GALVANIZADO DE 1,10M, MONTANTES TUBULARES DE 1.1/4" ESPAÇADOS DE 1,20M, TRAVESSA SUPERIOR DE 1.1/2", GRADIL FORMADO POR TUBOS HORIZONTAIS DE 1" E VERTICAIS DE 3/4", FIXADO COM CHUMBADOR MECÂNICO. AF_04/2019_P</v>
          </cell>
          <cell r="C1965" t="str">
            <v>M</v>
          </cell>
          <cell r="D1965">
            <v>712.19</v>
          </cell>
        </row>
        <row r="1966">
          <cell r="A1966" t="str">
            <v>99839</v>
          </cell>
          <cell r="B1966" t="str">
            <v>GUARDA-CORPO DE AÇO GALVANIZADO DE 1,10M DE ALTURA, MONTANTES TUBULARES DE 1.1/2 ESPAÇADOS DE 1,20M, TRAVESSA SUPERIOR DE 2, GRADIL FORMADO POR BARRAS CHATAS EM FERRO DE 32X4,8MM, FIXADO COM CHUMBADOR MECÂNICO. AF_04/2019_P</v>
          </cell>
          <cell r="C1966" t="str">
            <v>M</v>
          </cell>
          <cell r="D1966">
            <v>568.77</v>
          </cell>
        </row>
        <row r="1967">
          <cell r="A1967" t="str">
            <v>99841</v>
          </cell>
          <cell r="B1967" t="str">
            <v>GUARDA-CORPO PANORÂMICO COM PERFIS DE ALUMÍNIO E VIDRO LAMINADO 8 MM, FIXADO COM CHUMBADOR MECÂNICO. AF_04/2019_P</v>
          </cell>
          <cell r="C1967" t="str">
            <v>M</v>
          </cell>
          <cell r="D1967">
            <v>1394.55</v>
          </cell>
        </row>
        <row r="1968">
          <cell r="A1968" t="str">
            <v>99855</v>
          </cell>
          <cell r="B1968" t="str">
            <v>CORRIMÃO SIMPLES, DIÂMETRO EXTERNO = 1 1/2", EM AÇO GALVANIZADO. AF_04/2019_P</v>
          </cell>
          <cell r="C1968" t="str">
            <v>M</v>
          </cell>
          <cell r="D1968">
            <v>130.43</v>
          </cell>
        </row>
        <row r="1969">
          <cell r="A1969" t="str">
            <v>99857</v>
          </cell>
          <cell r="B1969" t="str">
            <v>CORRIMÃO SIMPLES, DIÂMETRO EXTERNO = 1 1/2", EM ALUMÍNIO. AF_04/2019_P</v>
          </cell>
          <cell r="C1969" t="str">
            <v>M2</v>
          </cell>
          <cell r="D1969">
            <v>88.84</v>
          </cell>
        </row>
        <row r="1970">
          <cell r="A1970" t="str">
            <v>99861</v>
          </cell>
          <cell r="B1970" t="str">
            <v>GRADIL EM FERRO FIXADO EM VÃOS DE JANELAS, FORMADO POR BARRAS CHATAS DE 25X4,8 MM. AF_04/2019</v>
          </cell>
          <cell r="C1970" t="str">
            <v>M2</v>
          </cell>
          <cell r="D1970">
            <v>700.42</v>
          </cell>
        </row>
        <row r="1971">
          <cell r="A1971" t="str">
            <v>99862</v>
          </cell>
          <cell r="B1971" t="str">
            <v>GRADIL EM ALUMÍNIO FIXADO EM VÃOS DE JANELAS, FORMADO POR TUBOS DE 3/4". AF_04/2019</v>
          </cell>
          <cell r="C1971" t="str">
            <v>UN</v>
          </cell>
          <cell r="D1971">
            <v>573.6</v>
          </cell>
        </row>
        <row r="1972">
          <cell r="A1972" t="str">
            <v>90838</v>
          </cell>
          <cell r="B1972" t="str">
            <v>PORTA CORTA-FOGO 90X210X4CM - FORNECIMENTO E INSTALAÇÃO. AF_12/2019</v>
          </cell>
          <cell r="C1972" t="str">
            <v>M2</v>
          </cell>
          <cell r="D1972">
            <v>1418.02</v>
          </cell>
        </row>
        <row r="1973">
          <cell r="A1973" t="str">
            <v>91338</v>
          </cell>
          <cell r="B1973" t="str">
            <v>PORTA DE ALUMÍNIO DE ABRIR COM LAMBRI, COM GUARNIÇÃO, FIXAÇÃO COM PARAFUSOS - FORNECIMENTO E INSTALAÇÃO. AF_12/2019</v>
          </cell>
          <cell r="C1973" t="str">
            <v>M2</v>
          </cell>
          <cell r="D1973">
            <v>983.58</v>
          </cell>
        </row>
        <row r="1974">
          <cell r="A1974" t="str">
            <v>91341</v>
          </cell>
          <cell r="B1974" t="str">
            <v>PORTA EM ALUMÍNIO DE ABRIR TIPO VENEZIANA COM GUARNIÇÃO, FIXAÇÃO COM PARAFUSOS - FORNECIMENTO E INSTALAÇÃO. AF_12/2019</v>
          </cell>
          <cell r="C1974" t="str">
            <v>UN</v>
          </cell>
          <cell r="D1974">
            <v>797.48</v>
          </cell>
        </row>
        <row r="1975">
          <cell r="A1975" t="str">
            <v>94805</v>
          </cell>
          <cell r="B1975" t="str">
            <v>PORTA DE ALUMÍNIO DE ABRIR PARA VIDRO SEM GUARNIÇÃO, 87X210CM, FIXAÇÃO COM PARAFUSOS, INCLUSIVE VIDROS - FORNECIMENTO E INSTALAÇÃO. AF_12/2019</v>
          </cell>
          <cell r="C1975" t="str">
            <v>UN</v>
          </cell>
          <cell r="D1975">
            <v>825.03</v>
          </cell>
        </row>
        <row r="1976">
          <cell r="A1976" t="str">
            <v>94806</v>
          </cell>
          <cell r="B1976" t="str">
            <v>PORTA EM AÇO DE ABRIR PARA VIDRO SEM GUARNIÇÃO, 87X210CM, FIXAÇÃO COM PARAFUSOS, EXCLUSIVE VIDROS - FORNECIMENTO E INSTALAÇÃO. AF_12/2019</v>
          </cell>
          <cell r="C1976" t="str">
            <v>UN</v>
          </cell>
          <cell r="D1976">
            <v>661.16</v>
          </cell>
        </row>
        <row r="1977">
          <cell r="A1977" t="str">
            <v>94807</v>
          </cell>
          <cell r="B1977" t="str">
            <v>PORTA EM AÇO DE ABRIR TIPO VENEZIANA SEM GUARNIÇÃO, 87X210CM, FIXAÇÃO COM PARAFUSOS - FORNECIMENTO E INSTALAÇÃO. AF_12/2019</v>
          </cell>
          <cell r="C1977" t="str">
            <v>M2</v>
          </cell>
          <cell r="D1977">
            <v>602.77</v>
          </cell>
        </row>
        <row r="1978">
          <cell r="A1978" t="str">
            <v>100702</v>
          </cell>
          <cell r="B1978" t="str">
            <v>PORTA DE CORRER DE ALUMÍNIO, COM DUAS FOLHAS PARA VIDRO, INCLUSO VIDRO LISO INCOLOR, FECHADURA E PUXADOR, SEM ALIZAR. AF_12/2019</v>
          </cell>
          <cell r="C1978" t="str">
            <v>UN</v>
          </cell>
          <cell r="D1978">
            <v>511.09</v>
          </cell>
        </row>
        <row r="1979">
          <cell r="A1979" t="str">
            <v>102188</v>
          </cell>
          <cell r="B1979" t="str">
            <v>MOLA HIDRAULICA DE PISO PARA PORTA DE VIDRO TEMPERADO. AF_01/2021</v>
          </cell>
          <cell r="C1979" t="str">
            <v>UN</v>
          </cell>
          <cell r="D1979">
            <v>727</v>
          </cell>
        </row>
        <row r="1980">
          <cell r="A1980" t="str">
            <v>102189</v>
          </cell>
          <cell r="B1980" t="str">
            <v>JOGO DE FERRAGENS CROMADAS PARA PORTA DE VIDRO TEMPERADO, UMA FOLHA COMPOSTO DE DOBRADICAS SUPERIOR E INFERIOR, TRINCO, FECHADURA, CONTRA FECHADURA COM CAPUCHINHO SEM MOLA E PUXADOR. AF_01/2021</v>
          </cell>
          <cell r="C1980" t="str">
            <v>UN</v>
          </cell>
          <cell r="D1980">
            <v>205.31</v>
          </cell>
        </row>
        <row r="1981">
          <cell r="A1981" t="str">
            <v>100703</v>
          </cell>
          <cell r="B1981" t="str">
            <v>PUXADOR CENTRAL PARA ESQUADRIA DE MADEIRA. AF_12/2019</v>
          </cell>
          <cell r="C1981" t="str">
            <v>UN</v>
          </cell>
          <cell r="D1981">
            <v>27.94</v>
          </cell>
        </row>
        <row r="1982">
          <cell r="A1982" t="str">
            <v>100704</v>
          </cell>
          <cell r="B1982" t="str">
            <v>PORTA CADEADO ZINCADO OXIDADO PRETO COM CADEADO DE AÇO INOX, LARGURA DE *50* MM. AF_12/2019</v>
          </cell>
          <cell r="C1982" t="str">
            <v>UN</v>
          </cell>
          <cell r="D1982">
            <v>59.25</v>
          </cell>
        </row>
        <row r="1983">
          <cell r="A1983" t="str">
            <v>100705</v>
          </cell>
          <cell r="B1983" t="str">
            <v>TARJETA TIPO LIVRE/OCUPADO PARA PORTA DE BANHEIRO. AF_12/2019</v>
          </cell>
          <cell r="C1983" t="str">
            <v>UN</v>
          </cell>
          <cell r="D1983">
            <v>68.23</v>
          </cell>
        </row>
        <row r="1984">
          <cell r="A1984" t="str">
            <v>100706</v>
          </cell>
          <cell r="B1984" t="str">
            <v>CREMONA EM LATÃO CROMADO OU POLIDO, COMPLETA. AF_12/2019</v>
          </cell>
          <cell r="C1984" t="str">
            <v>UN</v>
          </cell>
          <cell r="D1984">
            <v>60.83</v>
          </cell>
        </row>
        <row r="1985">
          <cell r="A1985" t="str">
            <v>100707</v>
          </cell>
          <cell r="B1985" t="str">
            <v>FECHO DE EMBUTIR TIPO UNHA 22CM. AF_12/2019</v>
          </cell>
          <cell r="C1985" t="str">
            <v>UN</v>
          </cell>
          <cell r="D1985">
            <v>125.34</v>
          </cell>
        </row>
        <row r="1986">
          <cell r="A1986" t="str">
            <v>100708</v>
          </cell>
          <cell r="B1986" t="str">
            <v>FECHO DE EMBUTIR TIPO UNHA 40CM. AF_12/2019</v>
          </cell>
          <cell r="C1986" t="str">
            <v>UN</v>
          </cell>
          <cell r="D1986">
            <v>156.97</v>
          </cell>
        </row>
        <row r="1987">
          <cell r="A1987" t="str">
            <v>100709</v>
          </cell>
          <cell r="B1987" t="str">
            <v>DOBRADIÇA EM AÇO/FERRO, 3" X 21/2", E=1,9 A 2MM, SEN ANEL, CROMADO OU ZINCADO, TAMPA BOLA, COM PARAFUSOS. AF_12/2019</v>
          </cell>
          <cell r="C1987" t="str">
            <v>UN</v>
          </cell>
          <cell r="D1987">
            <v>37.61</v>
          </cell>
        </row>
        <row r="1988">
          <cell r="A1988" t="str">
            <v>100710</v>
          </cell>
          <cell r="B1988" t="str">
            <v>DOBRADIÇA TIPO VAI E VEM EM LATÃO POLIDO 3". AF_12/2019</v>
          </cell>
          <cell r="C1988" t="str">
            <v>M2</v>
          </cell>
          <cell r="D1988">
            <v>86.02</v>
          </cell>
        </row>
        <row r="1989">
          <cell r="A1989" t="str">
            <v>102151</v>
          </cell>
          <cell r="B1989" t="str">
            <v>INSTALAÇÃO DE VIDRO LISO INCOLOR, E = 3 MM, EM ESQUADRIA DE MADEIRA, FIXADO COM BAGUETE. AF_01/2021</v>
          </cell>
          <cell r="C1989" t="str">
            <v>M2</v>
          </cell>
          <cell r="D1989">
            <v>199.24</v>
          </cell>
        </row>
        <row r="1990">
          <cell r="A1990" t="str">
            <v>102152</v>
          </cell>
          <cell r="B1990" t="str">
            <v>INSTALAÇÃO DE VIDRO LISO, E = 4 MM, EM ESQUADRIA DE MADEIRA, FIXADO COM BAGUETE. AF_01/2021</v>
          </cell>
          <cell r="C1990" t="str">
            <v>M2</v>
          </cell>
          <cell r="D1990">
            <v>252.57</v>
          </cell>
        </row>
        <row r="1991">
          <cell r="A1991" t="str">
            <v>102153</v>
          </cell>
          <cell r="B1991" t="str">
            <v>INSTALAÇÃO DE VIDRO LISO FUME, E = 4 MM, EM ESQUADRIA DE MADEIRA, FIXADO COM BAGUETE. AF_01/2021</v>
          </cell>
          <cell r="C1991" t="str">
            <v>M2</v>
          </cell>
          <cell r="D1991">
            <v>323.68</v>
          </cell>
        </row>
        <row r="1992">
          <cell r="A1992" t="str">
            <v>102154</v>
          </cell>
          <cell r="B1992" t="str">
            <v>INSTALAÇÃO DE VIDRO LISO INCOLOR, E = 5 MM, EM ESQUADRIA DE MADEIRA, FIXADO COM BAGUETE. AF_01/2021</v>
          </cell>
          <cell r="C1992" t="str">
            <v>M2</v>
          </cell>
          <cell r="D1992">
            <v>280.43</v>
          </cell>
        </row>
        <row r="1993">
          <cell r="A1993" t="str">
            <v>102155</v>
          </cell>
          <cell r="B1993" t="str">
            <v>INSTALAÇÃO DE VIDRO LISO FUME, E = 5 MM, EM ESQUADRIA DE MADEIRA, FIXADO COM BAGUETE. AF_01/2021</v>
          </cell>
          <cell r="C1993" t="str">
            <v>M2</v>
          </cell>
          <cell r="D1993">
            <v>338.59</v>
          </cell>
        </row>
        <row r="1994">
          <cell r="A1994" t="str">
            <v>102156</v>
          </cell>
          <cell r="B1994" t="str">
            <v>INSTALAÇÃO DE VIDRO LISO INCOLOR, E = 6 MM, EM ESQUADRIA DE MADEIRA, FIXADO COM BAGUETE. AF_01/2021</v>
          </cell>
          <cell r="C1994" t="str">
            <v>M2</v>
          </cell>
          <cell r="D1994">
            <v>326.41000000000003</v>
          </cell>
        </row>
        <row r="1995">
          <cell r="A1995" t="str">
            <v>102157</v>
          </cell>
          <cell r="B1995" t="str">
            <v>INSTALAÇÃO DE VIDRO LISO FUME, E = 6 MM, EM ESQUADRIA DE MADEIRA, FIXADO COM BAGUETE. AF_01/2021</v>
          </cell>
          <cell r="C1995" t="str">
            <v>M2</v>
          </cell>
          <cell r="D1995">
            <v>450.85</v>
          </cell>
        </row>
        <row r="1996">
          <cell r="A1996" t="str">
            <v>102158</v>
          </cell>
          <cell r="B1996" t="str">
            <v>INSTALAÇÃO DE VIDRO LISO INCOLOR, E = 8 MM, EM ESQUADRIA DE MADEIRA, FIXADO COM BAGUETE. AF_01/2021</v>
          </cell>
          <cell r="C1996" t="str">
            <v>M2</v>
          </cell>
          <cell r="D1996">
            <v>458.84</v>
          </cell>
        </row>
        <row r="1997">
          <cell r="A1997" t="str">
            <v>102159</v>
          </cell>
          <cell r="B1997" t="str">
            <v>INSTALAÇÃO DE VIDRO LISO INCOLOR, E = 10 MM, EM ESQUADRIA DE MADEIRA, FIXADO COM BAGUETE. AF_01/2021</v>
          </cell>
          <cell r="C1997" t="str">
            <v>M2</v>
          </cell>
          <cell r="D1997">
            <v>549.04</v>
          </cell>
        </row>
        <row r="1998">
          <cell r="A1998" t="str">
            <v>102160</v>
          </cell>
          <cell r="B1998" t="str">
            <v>INSTALAÇÃO DE VIDRO IMPRESSO, E = 4 MM, EM ESQUADRIA DE MADEIRA, FIXADO COM BAGUETE. AF_01/2021</v>
          </cell>
          <cell r="C1998" t="str">
            <v>M2</v>
          </cell>
          <cell r="D1998">
            <v>217.01</v>
          </cell>
        </row>
        <row r="1999">
          <cell r="A1999" t="str">
            <v>102161</v>
          </cell>
          <cell r="B1999" t="str">
            <v>INSTALAÇÃO DE VIDRO LISO INCOLOR, E = 3 MM, EM ESQUADRIA DE ALUMÍNIO OU PVC, FIXADO COM BAGUETE. AF_01/2021_P</v>
          </cell>
          <cell r="C1999" t="str">
            <v>M2</v>
          </cell>
          <cell r="D1999">
            <v>286.83999999999997</v>
          </cell>
        </row>
        <row r="2000">
          <cell r="A2000" t="str">
            <v>102162</v>
          </cell>
          <cell r="B2000" t="str">
            <v>INSTALAÇÃO DE VIDRO LISO INCOLOR, E = 4 MM, EM ESQUADRIA DE ALUMÍNIO OU PVC, FIXADO COM BAGUETE. AF_01/2021_P</v>
          </cell>
          <cell r="C2000" t="str">
            <v>M2</v>
          </cell>
          <cell r="D2000">
            <v>340.17</v>
          </cell>
        </row>
        <row r="2001">
          <cell r="A2001" t="str">
            <v>102163</v>
          </cell>
          <cell r="B2001" t="str">
            <v>INSTALAÇÃO DE VIDRO LISO FUME, E = 4 MM, EM ESQUADRIA DE ALUMÍNIO OU PVC, FIXADO COM BAGUETE. AF_01/2021_P</v>
          </cell>
          <cell r="C2001" t="str">
            <v>M2</v>
          </cell>
          <cell r="D2001">
            <v>411.28</v>
          </cell>
        </row>
        <row r="2002">
          <cell r="A2002" t="str">
            <v>102164</v>
          </cell>
          <cell r="B2002" t="str">
            <v>INSTALAÇÃO DE VIDRO LISO INCOLOR, E = 5 MM, EM ESQUADRIA DE ALUMÍNIO OU PVC, FIXADO COM BAGUETE. AF_01/2021_P</v>
          </cell>
          <cell r="C2002" t="str">
            <v>M2</v>
          </cell>
          <cell r="D2002">
            <v>351.9</v>
          </cell>
        </row>
        <row r="2003">
          <cell r="A2003" t="str">
            <v>102165</v>
          </cell>
          <cell r="B2003" t="str">
            <v>INSTALAÇÃO DE VIDRO LISO FUME, E = 5 MM, EM ESQUADRIA DE ALUMÍNIO OU PVC, FIXADO COM BAGUETE. AF_01/2021_P</v>
          </cell>
          <cell r="C2003" t="str">
            <v>M2</v>
          </cell>
          <cell r="D2003">
            <v>410.06</v>
          </cell>
        </row>
        <row r="2004">
          <cell r="A2004" t="str">
            <v>102166</v>
          </cell>
          <cell r="B2004" t="str">
            <v>INSTALAÇÃO DE VIDRO LISO INCOLOR, E = 6 MM, EM ESQUADRIA DE ALUMÍNIO OU PVC, FIXADO COM BAGUETE. AF_01/2021_P</v>
          </cell>
          <cell r="C2004" t="str">
            <v>M2</v>
          </cell>
          <cell r="D2004">
            <v>381.76</v>
          </cell>
        </row>
        <row r="2005">
          <cell r="A2005" t="str">
            <v>102167</v>
          </cell>
          <cell r="B2005" t="str">
            <v>INSTALAÇÃO DE VIDRO LISO FUME, E = 6 MM, EM ESQUADRIA DE ALUMÍNIO OU PVC, FIXADO COM BAGUETE. AF_01/2021_P</v>
          </cell>
          <cell r="C2005" t="str">
            <v>M2</v>
          </cell>
          <cell r="D2005">
            <v>506.2</v>
          </cell>
        </row>
        <row r="2006">
          <cell r="A2006" t="str">
            <v>102168</v>
          </cell>
          <cell r="B2006" t="str">
            <v>INSTALAÇÃO DE VIDRO LISO INCOLOR, E = 8 MM, EM ESQUADRIA DE ALUMÍNIO OU PVC, FIXADO COM BAGUETE. AF_01/2021_P</v>
          </cell>
          <cell r="C2006" t="str">
            <v>M2</v>
          </cell>
          <cell r="D2006">
            <v>499.86</v>
          </cell>
        </row>
        <row r="2007">
          <cell r="A2007" t="str">
            <v>102169</v>
          </cell>
          <cell r="B2007" t="str">
            <v>INSTALAÇÃO DE VIDRO LISO INCOLOR, E = 10 MM, EM ESQUADRIA DE ALUMÍNIO OU PVC, FIXADO COM BAGUETE. AF_01/2021_P</v>
          </cell>
          <cell r="C2007" t="str">
            <v>M2</v>
          </cell>
          <cell r="D2007">
            <v>584.77</v>
          </cell>
        </row>
        <row r="2008">
          <cell r="A2008" t="str">
            <v>102170</v>
          </cell>
          <cell r="B2008" t="str">
            <v>INSTALAÇÃO DE VIDRO IMPRESSO, E = 4 MM, EM ESQUADRIA DE ALUMÍNIO OU PVC, FIXADO COM BAGUETE. AF_01/2021_P</v>
          </cell>
          <cell r="C2008" t="str">
            <v>M2</v>
          </cell>
          <cell r="D2008">
            <v>304.61</v>
          </cell>
        </row>
        <row r="2009">
          <cell r="A2009" t="str">
            <v>102171</v>
          </cell>
          <cell r="B2009" t="str">
            <v>INSTALAÇÃO DE VIDRO ARAMADO, E = 6 MM, EM ESQUADRIA DE ALUMÍNIO OU PVC, FIXADO COM BAGUETE. AF_01/2021_P</v>
          </cell>
          <cell r="C2009" t="str">
            <v>M2</v>
          </cell>
          <cell r="D2009">
            <v>636.35</v>
          </cell>
        </row>
        <row r="2010">
          <cell r="A2010" t="str">
            <v>102172</v>
          </cell>
          <cell r="B2010" t="str">
            <v>INSTALAÇÃO DE VIDRO ARAMADO, E = 7 MM, EM ESQUADRIA DE ALUMÍNIO OU PVC, FIXADO COM BAGUETE. AF_01/2021_P</v>
          </cell>
          <cell r="C2010" t="str">
            <v>M2</v>
          </cell>
          <cell r="D2010">
            <v>630.65</v>
          </cell>
        </row>
        <row r="2011">
          <cell r="A2011" t="str">
            <v>102176</v>
          </cell>
          <cell r="B2011" t="str">
            <v>INSTALAÇÃO DE VIDRO LAMINADO, E = 8 MM (4+4), ENCAIXADO EM PERFIL U. AF_01/2021_P</v>
          </cell>
          <cell r="C2011" t="str">
            <v>M2</v>
          </cell>
          <cell r="D2011">
            <v>1179.4100000000001</v>
          </cell>
        </row>
        <row r="2012">
          <cell r="A2012" t="str">
            <v>102177</v>
          </cell>
          <cell r="B2012" t="str">
            <v>INSTALAÇÃO DE VIDRO LAMINADO, E = 12 MM (4+4+4), ENCAIXADO EM PERFIL U. AF_01/2021_P</v>
          </cell>
          <cell r="C2012" t="str">
            <v>M2</v>
          </cell>
          <cell r="D2012">
            <v>2451.63</v>
          </cell>
        </row>
        <row r="2013">
          <cell r="A2013" t="str">
            <v>102178</v>
          </cell>
          <cell r="B2013" t="str">
            <v>INSTALAÇÃO DE VIDRO LAMINADO, E = 15 MM (5+5+5), ENCAIXADO EM PERFIL U. AF_01/2021_P</v>
          </cell>
          <cell r="C2013" t="str">
            <v>M2</v>
          </cell>
          <cell r="D2013">
            <v>2829.05</v>
          </cell>
        </row>
        <row r="2014">
          <cell r="A2014" t="str">
            <v>102179</v>
          </cell>
          <cell r="B2014" t="str">
            <v>INSTALAÇÃO DE VIDRO TEMPERADO, E = 6 MM, ENCAIXADO EM PERFIL U. AF_01/2021_P</v>
          </cell>
          <cell r="C2014" t="str">
            <v>M2</v>
          </cell>
          <cell r="D2014">
            <v>421.97</v>
          </cell>
        </row>
        <row r="2015">
          <cell r="A2015" t="str">
            <v>102180</v>
          </cell>
          <cell r="B2015" t="str">
            <v>INSTALAÇÃO DE VIDRO TEMPERADO, E = 8 MM, ENCAIXADO EM PERFIL U. AF_01/2021_P</v>
          </cell>
          <cell r="C2015" t="str">
            <v>M2</v>
          </cell>
          <cell r="D2015">
            <v>501.43</v>
          </cell>
        </row>
        <row r="2016">
          <cell r="A2016" t="str">
            <v>102181</v>
          </cell>
          <cell r="B2016" t="str">
            <v>INSTALAÇÃO DE VIDRO TEMPERADO, E = 10 MM, ENCAIXADO EM PERFIL U. AF_01/2021_P</v>
          </cell>
          <cell r="C2016" t="str">
            <v>UN</v>
          </cell>
          <cell r="D2016">
            <v>607.01</v>
          </cell>
        </row>
        <row r="2017">
          <cell r="A2017" t="str">
            <v>102182</v>
          </cell>
          <cell r="B2017" t="str">
            <v>PORTA PIVOTANTE DE VIDRO TEMPERADO, 90X210 CM, ESPESSURA 10 MM, INCLUSIVE ACESSÓRIOS. AF_01/2021</v>
          </cell>
          <cell r="C2017" t="str">
            <v>UN</v>
          </cell>
          <cell r="D2017">
            <v>1225.77</v>
          </cell>
        </row>
        <row r="2018">
          <cell r="A2018" t="str">
            <v>102183</v>
          </cell>
          <cell r="B2018" t="str">
            <v>PORTA PIVOTANTE DE VIDRO TEMPERADO, 2 FOLHAS DE 90X210 CM, ESPESSURA DE 10MM, INCLUSIVE ACESSÓRIOS. AF_01/2021</v>
          </cell>
          <cell r="C2018" t="str">
            <v>UN</v>
          </cell>
          <cell r="D2018">
            <v>2462.4699999999998</v>
          </cell>
        </row>
        <row r="2019">
          <cell r="A2019" t="str">
            <v>102184</v>
          </cell>
          <cell r="B2019" t="str">
            <v>PORTA DE ABRIR COM MOLA HIDRÁULICA, EM VIDRO TEMPERADO, 90X210 CM, ESPESSURA 10 MM, INCLUSIVE ACESSÓRIOS. AF_01/2021</v>
          </cell>
          <cell r="C2019" t="str">
            <v>UN</v>
          </cell>
          <cell r="D2019">
            <v>1932.45</v>
          </cell>
        </row>
        <row r="2020">
          <cell r="A2020" t="str">
            <v>102185</v>
          </cell>
          <cell r="B2020" t="str">
            <v>PORTA DE ABRIR COM MOLA HIDRÁULICA, EM VIDRO TEMPERADO, 2 FOLHAS DE 90X210 CM, ESPESSURA DD 10MM, INCLUSIVE ACESSÓRIOS. AF_01/2021</v>
          </cell>
          <cell r="C2020" t="str">
            <v>M2</v>
          </cell>
          <cell r="D2020">
            <v>3875.54</v>
          </cell>
        </row>
        <row r="2021">
          <cell r="A2021" t="str">
            <v>102190</v>
          </cell>
          <cell r="B2021" t="str">
            <v>REMOÇÃO DE VIDRO LISO COMUM DE ESQUADRIA COM BAGUETE DE MADEIRA. AF_01/2021</v>
          </cell>
          <cell r="C2021" t="str">
            <v>M2</v>
          </cell>
          <cell r="D2021">
            <v>16.79</v>
          </cell>
        </row>
        <row r="2022">
          <cell r="A2022" t="str">
            <v>102191</v>
          </cell>
          <cell r="B2022" t="str">
            <v>REMOÇÃO DE VIDRO LISO COMUM DE ESQUADRIA COM BAGUETE DE ALUMÍNIO OU PVC. AF_01/2021</v>
          </cell>
          <cell r="C2022" t="str">
            <v>M2</v>
          </cell>
          <cell r="D2022">
            <v>20.399999999999999</v>
          </cell>
        </row>
        <row r="2023">
          <cell r="A2023" t="str">
            <v>102192</v>
          </cell>
          <cell r="B2023" t="str">
            <v>REMOÇÃO DE VIDRO TEMPERADO FIXADO EM PERFIL U. AF_01/2021</v>
          </cell>
          <cell r="C2023" t="str">
            <v>M2</v>
          </cell>
          <cell r="D2023">
            <v>14.56</v>
          </cell>
        </row>
        <row r="2024">
          <cell r="A2024" t="str">
            <v>94569</v>
          </cell>
          <cell r="B2024" t="str">
            <v>JANELA DE ALUMÍNIO TIPO MAXIM-AR, COM VIDROS, BATENTE E FERRAGENS. EXCLUSIVE ALIZAR, ACABAMENTO E CONTRAMARCO. FORNECIMENTO E INSTALAÇÃO. AF_12/2019</v>
          </cell>
          <cell r="C2024" t="str">
            <v>M2</v>
          </cell>
          <cell r="D2024">
            <v>1109.23</v>
          </cell>
        </row>
        <row r="2025">
          <cell r="A2025" t="str">
            <v>94570</v>
          </cell>
          <cell r="B2025" t="str">
            <v>JANELA DE ALUMÍNIO DE CORRER COM 2 FOLHAS PARA VIDROS, COM VIDROS, BATENTE, ACABAMENTO COM ACETATO OU BRILHANTE E FERRAGENS. EXCLUSIVE ALIZAR E CONTRAMARCO. FORNECIMENTO E INSTALAÇÃO. AF_12/2019</v>
          </cell>
          <cell r="C2025" t="str">
            <v>M2</v>
          </cell>
          <cell r="D2025">
            <v>586.77</v>
          </cell>
        </row>
        <row r="2026">
          <cell r="A2026" t="str">
            <v>94572</v>
          </cell>
          <cell r="B2026" t="str">
            <v>JANELA DE ALUMÍNIO DE CORRER COM 3 FOLHAS (2 VENEZIANAS E 1 PARA VIDRO), COM VIDROS, BATENTE E FERRAGENS. EXCLUSIVE ACABAMENTO, ALIZAR E CONTRAMARCO. FORNECIMENTO E INSTALAÇÃO. AF_12/2019</v>
          </cell>
          <cell r="C2026" t="str">
            <v>M2</v>
          </cell>
          <cell r="D2026">
            <v>843.42</v>
          </cell>
        </row>
        <row r="2027">
          <cell r="A2027" t="str">
            <v>94573</v>
          </cell>
          <cell r="B2027" t="str">
            <v>JANELA DE ALUMÍNIO DE CORRER COM 4 FOLHAS PARA VIDROS, COM VIDROS, BATENTE, ACABAMENTO COM ACETATO OU BRILHANTE E FERRAGENS. EXCLUSIVE ALIZAR E CONTRAMARCO. FORNECIMENTO E INSTALAÇÃO. AF_12/2019</v>
          </cell>
          <cell r="C2027" t="str">
            <v>M2</v>
          </cell>
          <cell r="D2027">
            <v>672.73</v>
          </cell>
        </row>
        <row r="2028">
          <cell r="A2028" t="str">
            <v>94580</v>
          </cell>
          <cell r="B2028" t="str">
            <v>JANELA DE ALUMÍNIO DE CORRER COM 6 FOLHAS (2 VENEZIANAS FIXAS, 2 VENEZIANAS DE CORRER E 2 PARA VIDRO), COM VIDROS, BATENTE, ACABAMENTO COM ACETATO OU BRILHANTE E FERRAGENS. EXCLUSIVE ALIZAR E CONTRAMARCO. FORNECIMENTO E INSTALAÇÃO. AF_12/2019</v>
          </cell>
          <cell r="C2028" t="str">
            <v>M</v>
          </cell>
          <cell r="D2028">
            <v>932.94</v>
          </cell>
        </row>
        <row r="2029">
          <cell r="A2029" t="str">
            <v>94589</v>
          </cell>
          <cell r="B2029" t="str">
            <v>CONTRAMARCO DE ALUMÍNIO, FIXAÇÃO COM ARGAMASSA - FORNECIMENTO E INSTALAÇÃO. AF_12/2019</v>
          </cell>
          <cell r="C2029" t="str">
            <v>M</v>
          </cell>
          <cell r="D2029">
            <v>25.67</v>
          </cell>
        </row>
        <row r="2030">
          <cell r="A2030" t="str">
            <v>94590</v>
          </cell>
          <cell r="B2030" t="str">
            <v>CONTRAMARCO DE ALUMÍNIO, FIXAÇÃO COM PARAFUSO - FORNECIMENTO E INSTALAÇÃO. AF_12/2019</v>
          </cell>
          <cell r="C2030" t="str">
            <v>M2</v>
          </cell>
          <cell r="D2030">
            <v>22.49</v>
          </cell>
        </row>
        <row r="2031">
          <cell r="A2031" t="str">
            <v>100674</v>
          </cell>
          <cell r="B2031" t="str">
            <v>JANELA FIXA DE ALUMÍNIO PARA VIDRO, COM VIDRO, BATENTE E FERRAGENS. EXCLUSIVE ACABAMENTO, ALIZAR E CONTRAMARCO. FORNECIMENTO E INSTALAÇÃO. AF_12/2019</v>
          </cell>
          <cell r="C2031" t="str">
            <v>M3</v>
          </cell>
          <cell r="D2031">
            <v>1250.96</v>
          </cell>
        </row>
        <row r="2032">
          <cell r="A2032" t="str">
            <v>101096</v>
          </cell>
          <cell r="B2032" t="str">
            <v>TUBULÃO A CÉU ABERTO, DIÂMETRO DO FUSTE DE 70CM, ESCAVAÇÃO MANUAL, SEM ALARGAMENTO DE BASE, CONCRETO FEITO EM OBRA E LANÇADO COM JERICA. AF_05/2020</v>
          </cell>
          <cell r="C2032" t="str">
            <v>M3</v>
          </cell>
          <cell r="D2032">
            <v>1134.25</v>
          </cell>
        </row>
        <row r="2033">
          <cell r="A2033" t="str">
            <v>101097</v>
          </cell>
          <cell r="B2033" t="str">
            <v>TUBULÃO A CÉU ABERTO, DIÂMETRO DO FUSTE DE 80CM, ESCAVAÇÃO MANUAL, SEM ALARGAMENTO DE BASE, CONCRETO FEITO EM OBRA E LANÇADO COM JERICA. AF_05/2020</v>
          </cell>
          <cell r="C2033" t="str">
            <v>M3</v>
          </cell>
          <cell r="D2033">
            <v>1072.8599999999999</v>
          </cell>
        </row>
        <row r="2034">
          <cell r="A2034" t="str">
            <v>101098</v>
          </cell>
          <cell r="B2034" t="str">
            <v>TUBULÃO A CÉU ABERTO, DIÂMETRO DO FUSTE DE 100CM, ESCAVAÇÃO MANUAL, SEM ALARGAMENTO DE BASE, CONCRETO FEITO EM OBRA E LANÇADO COM JERICA. AF_05/2020</v>
          </cell>
          <cell r="C2034" t="str">
            <v>M3</v>
          </cell>
          <cell r="D2034">
            <v>999.5</v>
          </cell>
        </row>
        <row r="2035">
          <cell r="A2035" t="str">
            <v>101099</v>
          </cell>
          <cell r="B2035" t="str">
            <v>TUBULÃO A CÉU ABERTO, DIÂMETRO DO FUSTE DE 120CM, ESCAVAÇÃO MANUAL, SEM ALARGAMENTO DE BASE, CONCRETO FEITO EM OBRA E LANÇADO COM JERICA. AF_05/2020</v>
          </cell>
          <cell r="C2035" t="str">
            <v>M3</v>
          </cell>
          <cell r="D2035">
            <v>907.04</v>
          </cell>
        </row>
        <row r="2036">
          <cell r="A2036" t="str">
            <v>101100</v>
          </cell>
          <cell r="B2036" t="str">
            <v>TUBULÃO A CÉU ABERTO, DIÂMETRO DO FUSTE DE 70CM, ESCAVAÇÃO MECÂNICA, SEM ALARGAMENTO DE BASE, CONCRETO FEITO EM OBRA E LANÇADO COM JERICA. AF_05/2020</v>
          </cell>
          <cell r="C2036" t="str">
            <v>M3</v>
          </cell>
          <cell r="D2036">
            <v>811.22</v>
          </cell>
        </row>
        <row r="2037">
          <cell r="A2037" t="str">
            <v>101101</v>
          </cell>
          <cell r="B2037" t="str">
            <v>TUBULÃO A CÉU ABERTO, DIÂMETRO DO FUSTE DE 80CM, ESCAVAÇÃO MECÂNICA, SEM ALARGAMENTO DE BASE, CONCRETO FEITO EM OBRA E LANÇADO COM JERICA. AF_05/2020</v>
          </cell>
          <cell r="C2037" t="str">
            <v>M3</v>
          </cell>
          <cell r="D2037">
            <v>794.72</v>
          </cell>
        </row>
        <row r="2038">
          <cell r="A2038" t="str">
            <v>101102</v>
          </cell>
          <cell r="B2038" t="str">
            <v>TUBULÃO A CÉU ABERTO, DIÂMETRO DO FUSTE DE 100CM, ESCAVAÇÃO MECÂNICA, SEM ALARGAMENTO DE BASE, CONCRETO FEITO EM OBRA E LANÇADO COM JERICA. AF_05/2020</v>
          </cell>
          <cell r="C2038" t="str">
            <v>M3</v>
          </cell>
          <cell r="D2038">
            <v>783.29</v>
          </cell>
        </row>
        <row r="2039">
          <cell r="A2039" t="str">
            <v>101103</v>
          </cell>
          <cell r="B2039" t="str">
            <v>TUBULÃO A CÉU ABERTO, DIÂMETRO DO FUSTE DE 120CM, ESCAVAÇÃO MECÂNICA, SEM ALARGAMENTO DE BASE, CONCRETO FEITO EM OBRA E LANÇADO COM JERICA. AF_05/2020</v>
          </cell>
          <cell r="C2039" t="str">
            <v>M3</v>
          </cell>
          <cell r="D2039">
            <v>731.08</v>
          </cell>
        </row>
        <row r="2040">
          <cell r="A2040" t="str">
            <v>101104</v>
          </cell>
          <cell r="B2040" t="str">
            <v>TUBULÃO A CÉU ABERTO, DIÂMETRO DO FUSTE DE 70CM, ESCAVAÇÃO MANUAL, SEM ALARGAMENTO DE BASE, CONCRETO USINADO E LANÇADO COM BOMBA OU DIRETAMENTE DO CAMINHÃO. AF_05/2020</v>
          </cell>
          <cell r="C2040" t="str">
            <v>M3</v>
          </cell>
          <cell r="D2040">
            <v>1063.29</v>
          </cell>
        </row>
        <row r="2041">
          <cell r="A2041" t="str">
            <v>101105</v>
          </cell>
          <cell r="B2041" t="str">
            <v>TUBULÃO A CÉU ABERTO, DIÂMETRO DO FUSTE DE 80CM, ESCAVAÇÃO MANUAL, SEM ALARGAMENTO DE BASE, CONCRETO USINADO E LANÇADO COM BOMBA OU DIRETAMENTE DO CAMINHÃO. AF_05/2020</v>
          </cell>
          <cell r="C2041" t="str">
            <v>M3</v>
          </cell>
          <cell r="D2041">
            <v>1003.19</v>
          </cell>
        </row>
        <row r="2042">
          <cell r="A2042" t="str">
            <v>101106</v>
          </cell>
          <cell r="B2042" t="str">
            <v>TUBULÃO A CÉU ABERTO, DIÂMETRO DO FUSTE DE 100CM, ESCAVAÇÃO MANUAL, SEM ALARGAMENTO DE BASE, CONCRETO USINADO E LANÇADO COM BOMBA OU DIRETAMENTE DO CAMINHÃO. AF_05/2020</v>
          </cell>
          <cell r="C2042" t="str">
            <v>M3</v>
          </cell>
          <cell r="D2042">
            <v>932.2</v>
          </cell>
        </row>
        <row r="2043">
          <cell r="A2043" t="str">
            <v>101107</v>
          </cell>
          <cell r="B2043" t="str">
            <v>TUBULÃO A CÉU ABERTO, DIÂMETRO DO FUSTE DE 120CM, ESCAVAÇÃO MANUAL, SEM ALARGAMENTO DE BASE, CONCRETO USINADO E LANÇADO COM BOMBA OU DIRETAMENTE DO CAMINHÃO. AF_05/2020</v>
          </cell>
          <cell r="C2043" t="str">
            <v>M3</v>
          </cell>
          <cell r="D2043">
            <v>842.41</v>
          </cell>
        </row>
        <row r="2044">
          <cell r="A2044" t="str">
            <v>101108</v>
          </cell>
          <cell r="B2044" t="str">
            <v>TUBULÃO A CÉU ABERTO, DIÂMETRO DO FUSTE DE 70CM, ESCAVAÇÃO MECÂNICA, SEM ALARGAMENTO DE BASE, CONCRETO USINADO E LANÇADO COM BOMBA OU DIRETAMENTE DO CAMINHÃO. AF_05/2020</v>
          </cell>
          <cell r="C2044" t="str">
            <v>M3</v>
          </cell>
          <cell r="D2044">
            <v>734.83</v>
          </cell>
        </row>
        <row r="2045">
          <cell r="A2045" t="str">
            <v>101109</v>
          </cell>
          <cell r="B2045" t="str">
            <v>TUBULÃO A CÉU ABERTO, DIÂMETRO DO FUSTE DE 80CM, ESCAVAÇÃO MECÂNICA, SEM ALARGAMENTO DE BASE, CONCRETO USINADO E LANÇADO COM BOMBA OU DIRETAMENTE DO CAMINHÃO. AF_05/2020</v>
          </cell>
          <cell r="C2045" t="str">
            <v>M3</v>
          </cell>
          <cell r="D2045">
            <v>719.92</v>
          </cell>
        </row>
        <row r="2046">
          <cell r="A2046" t="str">
            <v>101110</v>
          </cell>
          <cell r="B2046" t="str">
            <v>TUBULÃO A CÉU ABERTO, DIÂMETRO DO FUSTE DE 100CM, ESCAVAÇÃO MECÂNICA, SEM ALARGAMENTO DE BASE, CONCRETO USINADO E LANÇADO COM BOMBA OU DIRETAMENTE DO CAMINHÃO. AF_05/2020</v>
          </cell>
          <cell r="C2046" t="str">
            <v>M3</v>
          </cell>
          <cell r="D2046">
            <v>711.47</v>
          </cell>
        </row>
        <row r="2047">
          <cell r="A2047" t="str">
            <v>101111</v>
          </cell>
          <cell r="B2047" t="str">
            <v>TUBULÃO A CÉU ABERTO, DIÂMETRO DO FUSTE DE 120CM, ESCAVAÇÃO MECÂNICA, SEM ALARGAMENTO DE BASE, CONCRETO USINADO E LANÇADO COM BOMBA OU DIRETAMENTE DO CAMINHÃO. AF_05/2020</v>
          </cell>
          <cell r="C2047" t="str">
            <v>M3</v>
          </cell>
          <cell r="D2047">
            <v>662.54</v>
          </cell>
        </row>
        <row r="2048">
          <cell r="A2048" t="str">
            <v>101112</v>
          </cell>
          <cell r="B2048" t="str">
            <v>ALARGAMENTO DE BASE DE TUBULÃO A CÉU ABERTO, ESCAVAÇÃO MANUAL, CONCRETO FEITO EM OBRA E LANÇADO COM JERICA. AF_05/2020</v>
          </cell>
          <cell r="C2048" t="str">
            <v>M3</v>
          </cell>
          <cell r="D2048">
            <v>727.12</v>
          </cell>
        </row>
        <row r="2049">
          <cell r="A2049" t="str">
            <v>101113</v>
          </cell>
          <cell r="B2049" t="str">
            <v>ALARGAMENTO DE BASE DE TUBULÃO A CÉU ABERTO, ESCAVAÇÃO MANUAL, CONCRETO USINADO E LANÇADO COM BOMBA OU DIRETAMENTE DO CAMINHÃO. AF_05/2020</v>
          </cell>
          <cell r="C2049" t="str">
            <v>UN</v>
          </cell>
          <cell r="D2049">
            <v>658.99</v>
          </cell>
        </row>
        <row r="2050">
          <cell r="A2050" t="str">
            <v>95601</v>
          </cell>
          <cell r="B2050" t="str">
            <v>ARRASAMENTO MECANICO DE ESTACA DE CONCRETO ARMADO, DIAMETROS DE ATÉ 40 CM. AF_05/2021</v>
          </cell>
          <cell r="C2050" t="str">
            <v>UN</v>
          </cell>
          <cell r="D2050">
            <v>13.14</v>
          </cell>
        </row>
        <row r="2051">
          <cell r="A2051" t="str">
            <v>95602</v>
          </cell>
          <cell r="B2051" t="str">
            <v>ARRASAMENTO MECANICO DE ESTACA DE CONCRETO ARMADO, DIAMETROS DE 41 CM A 60 CM. AF_05/2021</v>
          </cell>
          <cell r="C2051" t="str">
            <v>UN</v>
          </cell>
          <cell r="D2051">
            <v>21.03</v>
          </cell>
        </row>
        <row r="2052">
          <cell r="A2052" t="str">
            <v>95603</v>
          </cell>
          <cell r="B2052" t="str">
            <v>ARRASAMENTO MECANICO DE ESTACA DE CONCRETO ARMADO, DIAMETROS DE 61 CM A 80 CM. AF_05/2021</v>
          </cell>
          <cell r="C2052" t="str">
            <v>UN</v>
          </cell>
          <cell r="D2052">
            <v>35.880000000000003</v>
          </cell>
        </row>
        <row r="2053">
          <cell r="A2053" t="str">
            <v>95604</v>
          </cell>
          <cell r="B2053" t="str">
            <v>ARRASAMENTO MECANICO DE ESTACA DE CONCRETO ARMADO, DIAMETROS DE 81 CM A 100 CM. AF_05/2021</v>
          </cell>
          <cell r="C2053" t="str">
            <v>UN</v>
          </cell>
          <cell r="D2053">
            <v>55.68</v>
          </cell>
        </row>
        <row r="2054">
          <cell r="A2054" t="str">
            <v>95605</v>
          </cell>
          <cell r="B2054" t="str">
            <v>ARRASAMENTO MECANICO DE ESTACA DE CONCRETO ARMADO, DIAMETROS DE 101 CM A 150 CM. AF_05/2021</v>
          </cell>
          <cell r="C2054" t="str">
            <v>UN</v>
          </cell>
          <cell r="D2054">
            <v>102.26</v>
          </cell>
        </row>
        <row r="2055">
          <cell r="A2055" t="str">
            <v>95607</v>
          </cell>
          <cell r="B2055" t="str">
            <v>ARRASAMENTO DE ESTACA METÁLICA, PERFIL LAMINADO TIPO  I  FAMÍLIA 250. AF_05/2021</v>
          </cell>
          <cell r="C2055" t="str">
            <v>UN</v>
          </cell>
          <cell r="D2055">
            <v>13.93</v>
          </cell>
        </row>
        <row r="2056">
          <cell r="A2056" t="str">
            <v>95608</v>
          </cell>
          <cell r="B2056" t="str">
            <v>ARRASAMENTO MECÂNICO DE ESTACA METÁLICA, PERFIL LAMINADO TIPO  H - FAMÍLIA 250. AF_05/2021</v>
          </cell>
          <cell r="C2056" t="str">
            <v>UN</v>
          </cell>
          <cell r="D2056">
            <v>20.22</v>
          </cell>
        </row>
        <row r="2057">
          <cell r="A2057" t="str">
            <v>95609</v>
          </cell>
          <cell r="B2057" t="str">
            <v>ARRASAMENTO MECÂNICO DE ESTACA METÁLICA, PERFIL LAMINADO TIPO  H - FAMÍLIA 310. AF_05/2021</v>
          </cell>
          <cell r="C2057" t="str">
            <v>M</v>
          </cell>
          <cell r="D2057">
            <v>25.63</v>
          </cell>
        </row>
        <row r="2058">
          <cell r="A2058" t="str">
            <v>100651</v>
          </cell>
          <cell r="B2058" t="str">
            <v>ESTACA HÉLICE CONTÍNUA, DIÂMETRO DE 30 CM, INCLUSO CONCRETO FCK=30MPA E ARMADURA MÍNIMA (EXCLUSIVE MOBILIZAÇÃO, DESMOBILIZAÇÃO E BOMBEAMENTO). AF_12/2019</v>
          </cell>
          <cell r="C2058" t="str">
            <v>M</v>
          </cell>
          <cell r="D2058">
            <v>116.32</v>
          </cell>
        </row>
        <row r="2059">
          <cell r="A2059" t="str">
            <v>100652</v>
          </cell>
          <cell r="B2059" t="str">
            <v>ESTACA HÉLICE CONTÍNUA , DIÂMETRO DE 50 CM, INCLUSO CONCRETO FCK=30MPA E ARMADURA MÍNIMA (EXCLUSIVE MOBILIZAÇÃO, DESMOBILIZAÇÃO E BOMBEAMENTO). AF_12/2019</v>
          </cell>
          <cell r="C2059" t="str">
            <v>M</v>
          </cell>
          <cell r="D2059">
            <v>206.81</v>
          </cell>
        </row>
        <row r="2060">
          <cell r="A2060" t="str">
            <v>100653</v>
          </cell>
          <cell r="B2060" t="str">
            <v>ESTACA HÉLICE CONTÍNUA, DIÂMETRO DE 70 CM, INCLUSO CONCRETO FCK=30MPA E ARMADURA MÍNIMA (EXCLUSIVE MOBILIZAÇÃO, DESMOBILIZAÇÃO E BOMBEAMENTO). AF_12/2019</v>
          </cell>
          <cell r="C2060" t="str">
            <v>M</v>
          </cell>
          <cell r="D2060">
            <v>334.76</v>
          </cell>
        </row>
        <row r="2061">
          <cell r="A2061" t="str">
            <v>100654</v>
          </cell>
          <cell r="B2061" t="str">
            <v>ESTACA HÉLICE CONTÍNUA, DIÂMETRO DE 80 CM, INCLUSO CONCRETO FCK=30MPA E ARMADURA MÍNIMA (EXCLUSIVE MOBILIZAÇÃO, DESMOBILIZAÇÃO E BOMBEAMENTO). AF_12/2019.</v>
          </cell>
          <cell r="C2061" t="str">
            <v>M</v>
          </cell>
          <cell r="D2061">
            <v>473.95</v>
          </cell>
        </row>
        <row r="2062">
          <cell r="A2062" t="str">
            <v>100655</v>
          </cell>
          <cell r="B2062" t="str">
            <v>ESTACA HÉLICE CONTÍNUA, DIÂMETRO DE 90 CM, INCLUSO CONCRETO FCK=30MPA E ARMADURA MÍNIMA (EXCLUSIVE MOBILIZAÇÃO, DESMOBILIZAÇÃO E BOMBEAMENTO). AF_12/2019.</v>
          </cell>
          <cell r="C2062" t="str">
            <v>M</v>
          </cell>
          <cell r="D2062">
            <v>536.02</v>
          </cell>
        </row>
        <row r="2063">
          <cell r="A2063" t="str">
            <v>100656</v>
          </cell>
          <cell r="B2063" t="str">
            <v>ESTACA PRÉ-MOLDADA DE CONCRETO, SEÇÃO QUADRADA, CAPACIDADE DE 25 TONELADAS, INCLUSO EMENDA (EXCLUSIVE MOBILIZAÇÃO E DESMOBILIZAÇÃO). AF_12/2019</v>
          </cell>
          <cell r="C2063" t="str">
            <v>M</v>
          </cell>
          <cell r="D2063">
            <v>73.66</v>
          </cell>
        </row>
        <row r="2064">
          <cell r="A2064" t="str">
            <v>100657</v>
          </cell>
          <cell r="B2064" t="str">
            <v>ESTACA PRÉ-MOLDADA DE CONCRETO SEÇÃO QUADRADA, CAPACIDADE DE 50 TONELADAS, INCLUSO EMENDA (EXCLUSIVE MOBILIZAÇÃO E DESMOBILIZAÇÃO). AF_12/2019</v>
          </cell>
          <cell r="C2064" t="str">
            <v>M</v>
          </cell>
          <cell r="D2064">
            <v>92.95</v>
          </cell>
        </row>
        <row r="2065">
          <cell r="A2065" t="str">
            <v>100658</v>
          </cell>
          <cell r="B2065" t="str">
            <v>ESTACA PRÉ-MOLDADA DE CONCRETO CENTRIFUGADO, SEÇÃO CIRCULAR, CAPACIDADE DE 100 TONELADAS, INCLUSO EMENDA (EXCLUSIVE MOBILIZAÇÃO E DESMOBILIZAÇÃO). AF_12/2019</v>
          </cell>
          <cell r="C2065" t="str">
            <v>KG</v>
          </cell>
          <cell r="D2065">
            <v>203.67</v>
          </cell>
        </row>
        <row r="2066">
          <cell r="A2066" t="str">
            <v>100889</v>
          </cell>
          <cell r="B2066" t="str">
            <v>ESTACA METÁLICA PARA FUNDAÇÃO, UTILIZANDO PERFIL LAMINADO HP250X62 (EXCLUSIVE MOBILIZAÇÃO E DESMOBILIZAÇÃO). AF_01/2020</v>
          </cell>
          <cell r="C2066" t="str">
            <v>KG</v>
          </cell>
          <cell r="D2066">
            <v>22.61</v>
          </cell>
        </row>
        <row r="2067">
          <cell r="A2067" t="str">
            <v>100890</v>
          </cell>
          <cell r="B2067" t="str">
            <v>ESTACA METÁLICA PARA FUNDAÇÃO, UTILIZANDO PERFIL LAMINADO HP310X79 (EXCLUSIVE MOBILIZAÇÃO E DESMOBILIZAÇÃO). AF_01/2020</v>
          </cell>
          <cell r="C2067" t="str">
            <v>KG</v>
          </cell>
          <cell r="D2067">
            <v>22.46</v>
          </cell>
        </row>
        <row r="2068">
          <cell r="A2068" t="str">
            <v>100892</v>
          </cell>
          <cell r="B2068" t="str">
            <v>ESTACA METÁLICA PARA CONTENÇÃO, UTILIZANDO PERFIL LAMINADO W250X32,7 (EXCLUSIVE MOBILIZAÇÃO E DESMOBILIZAÇÃO). AF_01/2020</v>
          </cell>
          <cell r="C2068" t="str">
            <v>KG</v>
          </cell>
          <cell r="D2068">
            <v>21.23</v>
          </cell>
        </row>
        <row r="2069">
          <cell r="A2069" t="str">
            <v>100893</v>
          </cell>
          <cell r="B2069" t="str">
            <v>ESTACA METÁLICA PARA CONTENÇÃO, UTILIZANDO PERFIL LAMINADO W250X38,5 (EXCLUSIVE MOBILIZAÇÃO E DESMOBILIZAÇÃO). AF_01/2020</v>
          </cell>
          <cell r="C2069" t="str">
            <v>KG</v>
          </cell>
          <cell r="D2069">
            <v>21.04</v>
          </cell>
        </row>
        <row r="2070">
          <cell r="A2070" t="str">
            <v>100894</v>
          </cell>
          <cell r="B2070" t="str">
            <v>ESTACA METÁLICA PARA CONTENÇÃO, UTILIZANDO PERFIL LAMINADO W250X44,8 (EXCLUSIVE MOBILIZAÇÃO E DESMOBILIZAÇÃO). AF_01/2020</v>
          </cell>
          <cell r="C2070" t="str">
            <v>M</v>
          </cell>
          <cell r="D2070">
            <v>20.93</v>
          </cell>
        </row>
        <row r="2071">
          <cell r="A2071" t="str">
            <v>100896</v>
          </cell>
          <cell r="B2071" t="str">
            <v>ESTACA ESCAVADA MECANICAMENTE, SEM FLUIDO ESTABILIZANTE, COM 25CM DE DIÂMETRO, CONCRETO LANÇADO POR CAMINHÃO BETONEIRA (EXCLUSIVE MOBILIZAÇÃO E DESMOBILIZAÇÃO). AF_01/2020</v>
          </cell>
          <cell r="C2071" t="str">
            <v>M</v>
          </cell>
          <cell r="D2071">
            <v>50.69</v>
          </cell>
        </row>
        <row r="2072">
          <cell r="A2072" t="str">
            <v>100897</v>
          </cell>
          <cell r="B2072" t="str">
            <v>ESTACA ESCAVADA MECANICAMENTE, SEM FLUIDO ESTABILIZANTE, COM 40CM DE DIÂMETRO, CONCRETO LANÇADO POR CAMINHÃO BETONEIRA (EXCLUSIVE MOBILIZAÇÃO E DESMOBILIZAÇÃO). AF_01/2020</v>
          </cell>
          <cell r="C2072" t="str">
            <v>M</v>
          </cell>
          <cell r="D2072">
            <v>92.45</v>
          </cell>
        </row>
        <row r="2073">
          <cell r="A2073" t="str">
            <v>100898</v>
          </cell>
          <cell r="B2073" t="str">
            <v>ESTACA ESCAVADA MECANICAMENTE, SEM FLUIDO ESTABILIZANTE, COM 60CM DE DIÂMETRO, CONCRETO LANÇADO POR CAMINHÃO BETONEIRA (EXCLUSIVE MOBILIZAÇÃO E DESMOBILIZAÇÃO). AF_01/2020</v>
          </cell>
          <cell r="C2073" t="str">
            <v>M</v>
          </cell>
          <cell r="D2073">
            <v>170.51</v>
          </cell>
        </row>
        <row r="2074">
          <cell r="A2074" t="str">
            <v>100899</v>
          </cell>
          <cell r="B2074" t="str">
            <v>ESTACA ESCAVADA MECANICAMENTE, SEM FLUIDO ESTABILIZANTE, COM 25CM DE DIÂMETRO, CONCRETO LANÇADO MANUALMENTE (EXCLUSIVE MOBILIZAÇÃO E DESMOBILIZAÇÃO). AF_01/2020</v>
          </cell>
          <cell r="C2074" t="str">
            <v>M</v>
          </cell>
          <cell r="D2074">
            <v>71.69</v>
          </cell>
        </row>
        <row r="2075">
          <cell r="A2075" t="str">
            <v>100900</v>
          </cell>
          <cell r="B2075" t="str">
            <v>ESTACA ESCAVADA MECANICAMENTE, SEM FLUIDO ESTABILIZANTE, COM 60CM DE DIÂMETRO, CONCRETO LANÇADO POR BOMBA LANÇA (EXCLUSIVE MOBILIZAÇÃO E DESMOBILIZAÇÃO). AF_01/2020</v>
          </cell>
          <cell r="C2075" t="str">
            <v>M</v>
          </cell>
          <cell r="D2075">
            <v>192.68</v>
          </cell>
        </row>
        <row r="2076">
          <cell r="A2076" t="str">
            <v>101173</v>
          </cell>
          <cell r="B2076" t="str">
            <v>ESTACA BROCA DE CONCRETO, DIÂMETRO DE 20CM, ESCAVAÇÃO MANUAL COM TRADO CONCHA, COM ARMADURA DE ARRANQUE. AF_05/2020</v>
          </cell>
          <cell r="C2076" t="str">
            <v>M</v>
          </cell>
          <cell r="D2076">
            <v>56.94</v>
          </cell>
        </row>
        <row r="2077">
          <cell r="A2077" t="str">
            <v>101174</v>
          </cell>
          <cell r="B2077" t="str">
            <v>ESTACA BROCA DE CONCRETO, DIÂMETRO DE 25CM, ESCAVAÇÃO MANUAL COM TRADO CONCHA, COM ARMADURA DE ARRANQUE. AF_05/2020</v>
          </cell>
          <cell r="C2077" t="str">
            <v>M</v>
          </cell>
          <cell r="D2077">
            <v>77.17</v>
          </cell>
        </row>
        <row r="2078">
          <cell r="A2078" t="str">
            <v>101175</v>
          </cell>
          <cell r="B2078" t="str">
            <v>ESTACA BROCA DE CONCRETO, DIÂMETRO DE 30CM, ESCAVAÇÃO MANUAL COM TRADO CONCHA, COM ARMADURA DE ARRANQUE. AF_05/2020</v>
          </cell>
          <cell r="C2078" t="str">
            <v>M</v>
          </cell>
          <cell r="D2078">
            <v>105.19</v>
          </cell>
        </row>
        <row r="2079">
          <cell r="A2079" t="str">
            <v>101176</v>
          </cell>
          <cell r="B2079" t="str">
            <v>ESTACA BROCA DE CONCRETO, DIÂMETRO DE 30CM, ESCAVAÇÃO MANUAL COM TRADO CONCHA, INTEIRAMENTE ARMADA. AF_05/2020</v>
          </cell>
          <cell r="C2079" t="str">
            <v>UN</v>
          </cell>
          <cell r="D2079">
            <v>140.4</v>
          </cell>
        </row>
        <row r="2080">
          <cell r="A2080" t="str">
            <v>102521</v>
          </cell>
          <cell r="B2080" t="str">
            <v>ARRASAMENTO MECÂNICO DE ESTACA BARRETE DE CONCRETO ARMADO, SEÇÃO DE 0,40 X 2,50 M. AF_05/2021</v>
          </cell>
          <cell r="C2080" t="str">
            <v>UN</v>
          </cell>
          <cell r="D2080">
            <v>84.35</v>
          </cell>
        </row>
        <row r="2081">
          <cell r="A2081" t="str">
            <v>102522</v>
          </cell>
          <cell r="B2081" t="str">
            <v>ARRASAMENTO MECÂNICO DE ESTACA BARRETE DE CONCRETO ARMADO, SEÇÃO DE 0,60 X 2,50 M. AF_05/2021</v>
          </cell>
          <cell r="C2081" t="str">
            <v>UN</v>
          </cell>
          <cell r="D2081">
            <v>123.75</v>
          </cell>
        </row>
        <row r="2082">
          <cell r="A2082" t="str">
            <v>102523</v>
          </cell>
          <cell r="B2082" t="str">
            <v>ARRASAMENTO MECÂNICO DE ESTACA BARRETE DE CONCRETO ARMADO, SEÇÃO DE 0,80 X 2,50 M. AF_05/2021</v>
          </cell>
          <cell r="C2082" t="str">
            <v>M2</v>
          </cell>
          <cell r="D2082">
            <v>163.15</v>
          </cell>
        </row>
        <row r="2083">
          <cell r="A2083" t="str">
            <v>95240</v>
          </cell>
          <cell r="B2083" t="str">
            <v>LASTRO DE CONCRETO MAGRO, APLICADO EM PISOS, LAJES SOBRE SOLO OU RADIERS, ESPESSURA DE 3 CM. AF_07/2016</v>
          </cell>
          <cell r="C2083" t="str">
            <v>M2</v>
          </cell>
          <cell r="D2083">
            <v>14.35</v>
          </cell>
        </row>
        <row r="2084">
          <cell r="A2084" t="str">
            <v>95241</v>
          </cell>
          <cell r="B2084" t="str">
            <v>LASTRO DE CONCRETO MAGRO, APLICADO EM PISOS, LAJES SOBRE SOLO OU RADIERS, ESPESSURA DE 5 CM. AF_07/2016</v>
          </cell>
          <cell r="C2084" t="str">
            <v>M3</v>
          </cell>
          <cell r="D2084">
            <v>23.94</v>
          </cell>
        </row>
        <row r="2085">
          <cell r="A2085" t="str">
            <v>96616</v>
          </cell>
          <cell r="B2085" t="str">
            <v>LASTRO DE CONCRETO MAGRO, APLICADO EM BLOCOS DE COROAMENTO OU SAPATAS. AF_08/2017</v>
          </cell>
          <cell r="C2085" t="str">
            <v>M2</v>
          </cell>
          <cell r="D2085">
            <v>502.5</v>
          </cell>
        </row>
        <row r="2086">
          <cell r="A2086" t="str">
            <v>96617</v>
          </cell>
          <cell r="B2086" t="str">
            <v>LASTRO DE CONCRETO MAGRO, APLICADO EM BLOCOS DE COROAMENTO OU SAPATAS, ESPESSURA DE 3 CM. AF_08/2017</v>
          </cell>
          <cell r="C2086" t="str">
            <v>M2</v>
          </cell>
          <cell r="D2086">
            <v>15.05</v>
          </cell>
        </row>
        <row r="2087">
          <cell r="A2087" t="str">
            <v>96619</v>
          </cell>
          <cell r="B2087" t="str">
            <v>LASTRO DE CONCRETO MAGRO, APLICADO EM BLOCOS DE COROAMENTO OU SAPATAS, ESPESSURA DE 5 CM. AF_08/2017</v>
          </cell>
          <cell r="C2087" t="str">
            <v>M3</v>
          </cell>
          <cell r="D2087">
            <v>25.11</v>
          </cell>
        </row>
        <row r="2088">
          <cell r="A2088" t="str">
            <v>96620</v>
          </cell>
          <cell r="B2088" t="str">
            <v>LASTRO DE CONCRETO MAGRO, APLICADO EM PISOS, LAJES SOBRE SOLO OU RADIERS. AF_08/2017</v>
          </cell>
          <cell r="C2088" t="str">
            <v>M3</v>
          </cell>
          <cell r="D2088">
            <v>479.11</v>
          </cell>
        </row>
        <row r="2089">
          <cell r="A2089" t="str">
            <v>96621</v>
          </cell>
          <cell r="B2089" t="str">
            <v>LASTRO COM MATERIAL GRANULAR, APLICAÇÃO EM BLOCOS DE COROAMENTO, ESPESSURA DE *5 CM*. AF_08/2017</v>
          </cell>
          <cell r="C2089" t="str">
            <v>M3</v>
          </cell>
          <cell r="D2089">
            <v>198.98</v>
          </cell>
        </row>
        <row r="2090">
          <cell r="A2090" t="str">
            <v>96622</v>
          </cell>
          <cell r="B2090" t="str">
            <v>LASTRO COM MATERIAL GRANULAR, APLICADO EM PISOS OU LAJES SOBRE SOLO, ESPESSURA DE *5 CM*. AF_08/2017</v>
          </cell>
          <cell r="C2090" t="str">
            <v>M3</v>
          </cell>
          <cell r="D2090">
            <v>130.22999999999999</v>
          </cell>
        </row>
        <row r="2091">
          <cell r="A2091" t="str">
            <v>96623</v>
          </cell>
          <cell r="B2091" t="str">
            <v>LASTRO COM MATERIAL GRANULAR, APLICADO EM BLOCOS DE COROAMENTO, ESPESSURA DE *10 CM*. AF_08/2017</v>
          </cell>
          <cell r="C2091" t="str">
            <v>M3</v>
          </cell>
          <cell r="D2091">
            <v>182.97</v>
          </cell>
        </row>
        <row r="2092">
          <cell r="A2092" t="str">
            <v>96624</v>
          </cell>
          <cell r="B2092" t="str">
            <v>LASTRO COM MATERIAL GRANULAR (PEDRA BRITADA N.2), APLICADO EM PISOS OU LAJES SOBRE SOLO, ESPESSURA DE *10 CM*. AF_08/2017</v>
          </cell>
          <cell r="C2092" t="str">
            <v>M3</v>
          </cell>
          <cell r="D2092">
            <v>124.59</v>
          </cell>
        </row>
        <row r="2093">
          <cell r="A2093" t="str">
            <v>97082</v>
          </cell>
          <cell r="B2093" t="str">
            <v>ESCAVAÇÃO MANUAL DE VIGA DE BORDA PARA RADIER. AF_09/2021</v>
          </cell>
          <cell r="C2093" t="str">
            <v>M2</v>
          </cell>
          <cell r="D2093">
            <v>52.59</v>
          </cell>
        </row>
        <row r="2094">
          <cell r="A2094" t="str">
            <v>97083</v>
          </cell>
          <cell r="B2094" t="str">
            <v>COMPACTAÇÃO MECÂNICA DE SOLO PARA EXECUÇÃO DE RADIER, PISO DE CONCRETO OU LAJE SOBRE SOLO, COM COMPACTADOR DE SOLOS A PERCUSSÃO. AF_09/2021</v>
          </cell>
          <cell r="C2094" t="str">
            <v>M2</v>
          </cell>
          <cell r="D2094">
            <v>2.93</v>
          </cell>
        </row>
        <row r="2095">
          <cell r="A2095" t="str">
            <v>97084</v>
          </cell>
          <cell r="B2095" t="str">
            <v>COMPACTAÇÃO MECÂNICA DE SOLO PARA EXECUÇÃO DE RADIER, PISO DE CONCRETO OU LAJE SOBRE SOLO, COM COMPACTADOR DE SOLOS TIPO PLACA VIBRATÓRIA. AF_09/2021</v>
          </cell>
          <cell r="C2095" t="str">
            <v>M2</v>
          </cell>
          <cell r="D2095">
            <v>0.61</v>
          </cell>
        </row>
        <row r="2096">
          <cell r="A2096" t="str">
            <v>97086</v>
          </cell>
          <cell r="B2096" t="str">
            <v>FABRICAÇÃO, MONTAGEM E DESMONTAGEM DE FORMA PARA RADIER, PISO DE CONCRETO OU LAJE SOBRE SOLO, EM MADEIRA SERRADA, 4 UTILIZAÇÕES. AF_09/2021</v>
          </cell>
          <cell r="C2096" t="str">
            <v>M2</v>
          </cell>
          <cell r="D2096">
            <v>123.12</v>
          </cell>
        </row>
        <row r="2097">
          <cell r="A2097" t="str">
            <v>97087</v>
          </cell>
          <cell r="B2097" t="str">
            <v>CAMADA SEPARADORA PARA EXECUÇÃO DE RADIER, PISO DE CONCRETO OU LAJE SOBRE SOLO, EM LONA PLÁSTICA. AF_09/2021</v>
          </cell>
          <cell r="C2097" t="str">
            <v>KG</v>
          </cell>
          <cell r="D2097">
            <v>2.0499999999999998</v>
          </cell>
        </row>
        <row r="2098">
          <cell r="A2098" t="str">
            <v>97088</v>
          </cell>
          <cell r="B2098" t="str">
            <v>ARMAÇÃO PARA EXECUÇÃO DE RADIER, PISO DE CONCRETO OU LAJE SOBRE SOLO, COM USO DE TELA Q-92. AF_09/2021</v>
          </cell>
          <cell r="C2098" t="str">
            <v>KG</v>
          </cell>
          <cell r="D2098">
            <v>30.32</v>
          </cell>
        </row>
        <row r="2099">
          <cell r="A2099" t="str">
            <v>97089</v>
          </cell>
          <cell r="B2099" t="str">
            <v>ARMAÇÃO PARA EXECUÇÃO DE RADIER, PISO DE CONCRETO OU LAJE SOBRE SOLO, COM USO DE TELA Q-113. AF_09/2021</v>
          </cell>
          <cell r="C2099" t="str">
            <v>KG</v>
          </cell>
          <cell r="D2099">
            <v>27.76</v>
          </cell>
        </row>
        <row r="2100">
          <cell r="A2100" t="str">
            <v>97090</v>
          </cell>
          <cell r="B2100" t="str">
            <v>ARMAÇÃO PARA EXECUÇÃO DE RADIER, PISO DE CONCRETO OU LAJE SOBRE SOLO, COM USO DE TELA Q-138. AF_09/2021</v>
          </cell>
          <cell r="C2100" t="str">
            <v>KG</v>
          </cell>
          <cell r="D2100">
            <v>27.36</v>
          </cell>
        </row>
        <row r="2101">
          <cell r="A2101" t="str">
            <v>97091</v>
          </cell>
          <cell r="B2101" t="str">
            <v>ARMAÇÃO PARA EXECUÇÃO DE RADIER, PISO DE CONCRETO OU LAJE SOBRE SOLO, COM USO DE TELA Q-159. AF_09/2021</v>
          </cell>
          <cell r="C2101" t="str">
            <v>KG</v>
          </cell>
          <cell r="D2101">
            <v>26.57</v>
          </cell>
        </row>
        <row r="2102">
          <cell r="A2102" t="str">
            <v>97092</v>
          </cell>
          <cell r="B2102" t="str">
            <v>ARMAÇÃO PARA EXECUÇÃO DE RADIER, PISO DE CONCRETO OU LAJE SOBRE SOLO, COM USO DE TELA Q-196. AF_09/2021</v>
          </cell>
          <cell r="C2102" t="str">
            <v>KG</v>
          </cell>
          <cell r="D2102">
            <v>25.79</v>
          </cell>
        </row>
        <row r="2103">
          <cell r="A2103" t="str">
            <v>97093</v>
          </cell>
          <cell r="B2103" t="str">
            <v>ARMAÇÃO PARA EXECUÇÃO DE RADIER, PISO DE CONCRETO OU LAJE SOBRE SOLO, COM USO DE TELA Q-283. AF_09/2021</v>
          </cell>
          <cell r="C2103" t="str">
            <v>M3</v>
          </cell>
          <cell r="D2103">
            <v>24.28</v>
          </cell>
        </row>
        <row r="2104">
          <cell r="A2104" t="str">
            <v>97096</v>
          </cell>
          <cell r="B2104" t="str">
            <v>CONCRETAGEM DE RADIER, PISO DE CONCRETO OU LAJE SOBRE SOLO, FCK 30 MPA - LANÇAMENTO, ADENSAMENTO E ACABAMENTO. AF_09/2021</v>
          </cell>
          <cell r="C2104" t="str">
            <v>M2</v>
          </cell>
          <cell r="D2104">
            <v>384.25</v>
          </cell>
        </row>
        <row r="2105">
          <cell r="A2105" t="str">
            <v>97097</v>
          </cell>
          <cell r="B2105" t="str">
            <v>ACABAMENTO POLIDO PARA PISO DE CONCRETO ARMADO OU LAJE SOBRE SOLO DE ALTA RESISTÊNCIA. AF_09/2021</v>
          </cell>
          <cell r="C2105" t="str">
            <v>M2</v>
          </cell>
          <cell r="D2105">
            <v>33.01</v>
          </cell>
        </row>
        <row r="2106">
          <cell r="A2106" t="str">
            <v>97101</v>
          </cell>
          <cell r="B2106" t="str">
            <v>EXECUÇÃO DE RADIER, ESPESSURA DE 10 CM, FCK = 30 MPA, COM USO DE FORMAS EM MADEIRA SERRADA. AF_09/2021</v>
          </cell>
          <cell r="C2106" t="str">
            <v>M2</v>
          </cell>
          <cell r="D2106">
            <v>181.4</v>
          </cell>
        </row>
        <row r="2107">
          <cell r="A2107" t="str">
            <v>97102</v>
          </cell>
          <cell r="B2107" t="str">
            <v>EXECUÇÃO DE RADIER, ESPESSURA DE 15 CM, FCK = 30 MPA, COM USO DE FORMAS EM MADEIRA SERRADA. AF_09/2021</v>
          </cell>
          <cell r="C2107" t="str">
            <v>M2</v>
          </cell>
          <cell r="D2107">
            <v>223.53</v>
          </cell>
        </row>
        <row r="2108">
          <cell r="A2108" t="str">
            <v>97103</v>
          </cell>
          <cell r="B2108" t="str">
            <v>EXECUÇÃO DE RADIER, ESPESSURA DE 20 CM, FCK = 30 MPA, COM USO DE FORMAS EM MADEIRA SERRADA. AF_09/2021</v>
          </cell>
          <cell r="C2108" t="str">
            <v>M3</v>
          </cell>
          <cell r="D2108">
            <v>258.73</v>
          </cell>
        </row>
        <row r="2109">
          <cell r="A2109" t="str">
            <v>100322</v>
          </cell>
          <cell r="B2109" t="str">
            <v>LASTRO COM MATERIAL GRANULAR (PEDRA BRITADA N.3), APLICADO EM PISOS OU LAJES SOBRE SOLO, ESPESSURA DE *10 CM*. AF_07/2019</v>
          </cell>
          <cell r="C2109" t="str">
            <v>M3</v>
          </cell>
          <cell r="D2109">
            <v>119.03</v>
          </cell>
        </row>
        <row r="2110">
          <cell r="A2110" t="str">
            <v>100323</v>
          </cell>
          <cell r="B2110" t="str">
            <v>LASTRO COM MATERIAL GRANULAR (AREIA MÉDIA), APLICADO EM PISOS OU LAJES SOBRE SOLO, ESPESSURA DE *10 CM*. AF_07/2019</v>
          </cell>
          <cell r="C2110" t="str">
            <v>M3</v>
          </cell>
          <cell r="D2110">
            <v>83.41</v>
          </cell>
        </row>
        <row r="2111">
          <cell r="A2111" t="str">
            <v>100324</v>
          </cell>
          <cell r="B2111" t="str">
            <v>LASTRO COM MATERIAL GRANULAR (PEDRA BRITADA N.1 E PEDRA BRITADA N.2), APLICADO EM PISOS OU LAJES SOBRE SOLO, ESPESSURA DE *10 CM*. AF_07/2019</v>
          </cell>
          <cell r="C2111" t="str">
            <v>M2</v>
          </cell>
          <cell r="D2111">
            <v>124.34</v>
          </cell>
        </row>
        <row r="2112">
          <cell r="A2112" t="str">
            <v>103072</v>
          </cell>
          <cell r="B2112" t="str">
            <v>EXECUÇÃO DE RADIER, ESPESSURA DE 25 CM, FCK = 30 MPA, COM USO DE FORMAS EM MADEIRA SERRADA. AF_09/2021</v>
          </cell>
          <cell r="C2112" t="str">
            <v>M2</v>
          </cell>
          <cell r="D2112">
            <v>306.91000000000003</v>
          </cell>
        </row>
        <row r="2113">
          <cell r="A2113" t="str">
            <v>103073</v>
          </cell>
          <cell r="B2113" t="str">
            <v>EXECUÇÃO DE RADIER, ESPESSURA DE 30 CM, FCK = 30 MPA, COM USO DE FORMAS EM MADEIRA SERRADA. AF_09/2021</v>
          </cell>
          <cell r="C2113" t="str">
            <v>M2</v>
          </cell>
          <cell r="D2113">
            <v>385.71</v>
          </cell>
        </row>
        <row r="2114">
          <cell r="A2114" t="str">
            <v>103074</v>
          </cell>
          <cell r="B2114" t="str">
            <v>EXECUÇÃO DE PISO DE CONCRETO, SEM ACABAMENTO SUPERFICIAL, ESPESSURA DE 15 CM, FCK = 30 MPA, COM USO DE FORMAS EM MADEIRA SERRADA. AF_09/2021</v>
          </cell>
          <cell r="C2114" t="str">
            <v>M2</v>
          </cell>
          <cell r="D2114">
            <v>167.57</v>
          </cell>
        </row>
        <row r="2115">
          <cell r="A2115" t="str">
            <v>103075</v>
          </cell>
          <cell r="B2115" t="str">
            <v>EXECUÇÃO DE PISO DE CONCRETO, COM ACABAMENTO SUPERFICIAL, ESPESSURA DE 15 CM, FCK = 30 MPA, COM USO DE FORMAS EM MADEIRA SERRADA. AF_09/2021</v>
          </cell>
          <cell r="C2115" t="str">
            <v>M2</v>
          </cell>
          <cell r="D2115">
            <v>200.58</v>
          </cell>
        </row>
        <row r="2116">
          <cell r="A2116" t="str">
            <v>103076</v>
          </cell>
          <cell r="B2116" t="str">
            <v>EXECUÇÃO DE LAJE SOBRE SOLO, ESPESSURA DE 10 CM, FCK = 30 MPA, COM USO DE FORMAS EM MADEIRA SERRADA. AF_09/2021</v>
          </cell>
          <cell r="C2116" t="str">
            <v>M2</v>
          </cell>
          <cell r="D2116">
            <v>165.62</v>
          </cell>
        </row>
        <row r="2117">
          <cell r="A2117" t="str">
            <v>103077</v>
          </cell>
          <cell r="B2117" t="str">
            <v>EXECUÇÃO DE LAJE SOBRE SOLO, ESPESSURA DE 15 CM, FCK = 30 MPA, COM USO DE FORMAS EM MADEIRA SERRADA. AF_09/2021</v>
          </cell>
          <cell r="C2117" t="str">
            <v>M2</v>
          </cell>
          <cell r="D2117">
            <v>207.75</v>
          </cell>
        </row>
        <row r="2118">
          <cell r="A2118" t="str">
            <v>103078</v>
          </cell>
          <cell r="B2118" t="str">
            <v>EXECUÇÃO DE LAJE SOBRE SOLO, ESPESSURA DE 20 CM, FCK = 30 MPA, COM USO DE FORMAS EM MADEIRA SERRADA. AF_09/2021</v>
          </cell>
          <cell r="C2118" t="str">
            <v>M2</v>
          </cell>
          <cell r="D2118">
            <v>242.96</v>
          </cell>
        </row>
        <row r="2119">
          <cell r="A2119" t="str">
            <v>103079</v>
          </cell>
          <cell r="B2119" t="str">
            <v>EXECUÇÃO DE LAJE SOBRE SOLO, ESPESSURA DE 25 CM, FCK = 30 MPA, COM USO DE FORMAS EM MADEIRA SERRADA. AF_09/2021</v>
          </cell>
          <cell r="C2119" t="str">
            <v>M2</v>
          </cell>
          <cell r="D2119">
            <v>291.13</v>
          </cell>
        </row>
        <row r="2120">
          <cell r="A2120" t="str">
            <v>103080</v>
          </cell>
          <cell r="B2120" t="str">
            <v>EXECUÇÃO DE LAJE SOBRE SOLO, ESPESSURA DE 30 CM, FCK = 30 MPA, COM USO DE FORMAS EM MADEIRA SERRADA. AF_09/2021</v>
          </cell>
          <cell r="C2120" t="str">
            <v>M2</v>
          </cell>
          <cell r="D2120">
            <v>369.93</v>
          </cell>
        </row>
        <row r="2121">
          <cell r="A2121" t="str">
            <v>92263</v>
          </cell>
          <cell r="B2121" t="str">
            <v>FABRICAÇÃO DE FÔRMA PARA PILARES E ESTRUTURAS SIMILARES, EM CHAPA DE MADEIRA COMPENSADA RESINADA, E = 17 MM. AF_09/2020</v>
          </cell>
          <cell r="C2121" t="str">
            <v>M2</v>
          </cell>
          <cell r="D2121">
            <v>168.02</v>
          </cell>
        </row>
        <row r="2122">
          <cell r="A2122" t="str">
            <v>92264</v>
          </cell>
          <cell r="B2122" t="str">
            <v>FABRICAÇÃO DE FÔRMA PARA PILARES E ESTRUTURAS SIMILARES, EM CHAPA DE MADEIRA COMPENSADA PLASTIFICADA, E = 18 MM. AF_09/2020</v>
          </cell>
          <cell r="C2122" t="str">
            <v>M2</v>
          </cell>
          <cell r="D2122">
            <v>220.77</v>
          </cell>
        </row>
        <row r="2123">
          <cell r="A2123" t="str">
            <v>92265</v>
          </cell>
          <cell r="B2123" t="str">
            <v>FABRICAÇÃO DE FÔRMA PARA VIGAS, EM CHAPA DE MADEIRA COMPENSADA RESINADA, E = 17 MM. AF_09/2020</v>
          </cell>
          <cell r="C2123" t="str">
            <v>M2</v>
          </cell>
          <cell r="D2123">
            <v>125.05</v>
          </cell>
        </row>
        <row r="2124">
          <cell r="A2124" t="str">
            <v>92266</v>
          </cell>
          <cell r="B2124" t="str">
            <v>FABRICAÇÃO DE FÔRMA PARA VIGAS, EM CHAPA DE MADEIRA COMPENSADA PLASTIFICADA, E = 18 MM. AF_09/2020</v>
          </cell>
          <cell r="C2124" t="str">
            <v>M2</v>
          </cell>
          <cell r="D2124">
            <v>170.29</v>
          </cell>
        </row>
        <row r="2125">
          <cell r="A2125" t="str">
            <v>92267</v>
          </cell>
          <cell r="B2125" t="str">
            <v>FABRICAÇÃO DE FÔRMA PARA LAJES, EM CHAPA DE MADEIRA COMPENSADA RESINADA, E = 17 MM. AF_09/2020</v>
          </cell>
          <cell r="C2125" t="str">
            <v>M2</v>
          </cell>
          <cell r="D2125">
            <v>60.71</v>
          </cell>
        </row>
        <row r="2126">
          <cell r="A2126" t="str">
            <v>92268</v>
          </cell>
          <cell r="B2126" t="str">
            <v>FABRICAÇÃO DE FÔRMA PARA LAJES, EM CHAPA DE MADEIRA COMPENSADA PLASTIFICADA, E = 18 MM. AF_09/2020</v>
          </cell>
          <cell r="C2126" t="str">
            <v>M2</v>
          </cell>
          <cell r="D2126">
            <v>102.17</v>
          </cell>
        </row>
        <row r="2127">
          <cell r="A2127" t="str">
            <v>92269</v>
          </cell>
          <cell r="B2127" t="str">
            <v>FABRICAÇÃO DE FÔRMA PARA PILARES E ESTRUTURAS SIMILARES, EM MADEIRA SERRADA, E=25 MM. AF_09/2020</v>
          </cell>
          <cell r="C2127" t="str">
            <v>M2</v>
          </cell>
          <cell r="D2127">
            <v>222.57</v>
          </cell>
        </row>
        <row r="2128">
          <cell r="A2128" t="str">
            <v>92270</v>
          </cell>
          <cell r="B2128" t="str">
            <v>FABRICAÇÃO DE FÔRMA PARA VIGAS, COM MADEIRA SERRADA, E = 25 MM. AF_09/2020</v>
          </cell>
          <cell r="C2128" t="str">
            <v>M2</v>
          </cell>
          <cell r="D2128">
            <v>171.05</v>
          </cell>
        </row>
        <row r="2129">
          <cell r="A2129" t="str">
            <v>92271</v>
          </cell>
          <cell r="B2129" t="str">
            <v>FABRICAÇÃO DE FÔRMA PARA LAJES, EM MADEIRA SERRADA, E=25 MM. AF_09/2020</v>
          </cell>
          <cell r="C2129" t="str">
            <v>M</v>
          </cell>
          <cell r="D2129">
            <v>108.6</v>
          </cell>
        </row>
        <row r="2130">
          <cell r="A2130" t="str">
            <v>92272</v>
          </cell>
          <cell r="B2130" t="str">
            <v>FABRICAÇÃO DE ESCORAS DE VIGA DO TIPO GARFO, EM MADEIRA. AF_09/2020</v>
          </cell>
          <cell r="C2130" t="str">
            <v>M</v>
          </cell>
          <cell r="D2130">
            <v>37.01</v>
          </cell>
        </row>
        <row r="2131">
          <cell r="A2131" t="str">
            <v>92273</v>
          </cell>
          <cell r="B2131" t="str">
            <v>FABRICAÇÃO DE ESCORAS DO TIPO PONTALETE, EM MADEIRA, PARA PÉ-DIREITO SIMPLES. AF_09/2020</v>
          </cell>
          <cell r="C2131" t="str">
            <v>M2</v>
          </cell>
          <cell r="D2131">
            <v>14.33</v>
          </cell>
        </row>
        <row r="2132">
          <cell r="A2132" t="str">
            <v>92409</v>
          </cell>
          <cell r="B2132" t="str">
            <v>MONTAGEM E DESMONTAGEM DE FÔRMA DE PILARES RETANGULARES E ESTRUTURAS SIMILARES, PÉ-DIREITO SIMPLES, EM MADEIRA SERRADA, 1 UTILIZAÇÃO. AF_09/2020</v>
          </cell>
          <cell r="C2132" t="str">
            <v>M2</v>
          </cell>
          <cell r="D2132">
            <v>315.87</v>
          </cell>
        </row>
        <row r="2133">
          <cell r="A2133" t="str">
            <v>92411</v>
          </cell>
          <cell r="B2133" t="str">
            <v>MONTAGEM E DESMONTAGEM DE FÔRMA DE PILARES RETANGULARES E ESTRUTURAS SIMILARES, PÉ-DIREITO SIMPLES, EM MADEIRA SERRADA, 2 UTILIZAÇÕES. AF_09/2020</v>
          </cell>
          <cell r="C2133" t="str">
            <v>M2</v>
          </cell>
          <cell r="D2133">
            <v>196.5</v>
          </cell>
        </row>
        <row r="2134">
          <cell r="A2134" t="str">
            <v>92413</v>
          </cell>
          <cell r="B2134" t="str">
            <v>MONTAGEM E DESMONTAGEM DE FÔRMA DE PILARES RETANGULARES E ESTRUTURAS SIMILARES, PÉ-DIREITO SIMPLES, EM MADEIRA SERRADA, 4 UTILIZAÇÕES. AF_09/2020</v>
          </cell>
          <cell r="C2134" t="str">
            <v>M2</v>
          </cell>
          <cell r="D2134">
            <v>121.83</v>
          </cell>
        </row>
        <row r="2135">
          <cell r="A2135" t="str">
            <v>92415</v>
          </cell>
          <cell r="B2135" t="str">
            <v>MONTAGEM E DESMONTAGEM DE FÔRMA DE PILARES RETANGULARES E ESTRUTURAS SIMILARES, PÉ-DIREITO SIMPLES, EM CHAPA DE MADEIRA COMPENSADA RESINADA, 2 UTILIZAÇÕES. AF_09/2020</v>
          </cell>
          <cell r="C2135" t="str">
            <v>M2</v>
          </cell>
          <cell r="D2135">
            <v>130.15</v>
          </cell>
        </row>
        <row r="2136">
          <cell r="A2136" t="str">
            <v>92417</v>
          </cell>
          <cell r="B2136" t="str">
            <v>MONTAGEM E DESMONTAGEM DE FÔRMA DE PILARES RETANGULARES E ESTRUTURAS SIMILARES, PÉ-DIREITO DUPLO, EM CHAPA DE MADEIRA COMPENSADA RESINADA, 2 UTILIZAÇÕES. AF_09/2020</v>
          </cell>
          <cell r="C2136" t="str">
            <v>M2</v>
          </cell>
          <cell r="D2136">
            <v>151.30000000000001</v>
          </cell>
        </row>
        <row r="2137">
          <cell r="A2137" t="str">
            <v>92419</v>
          </cell>
          <cell r="B2137" t="str">
            <v>MONTAGEM E DESMONTAGEM DE FÔRMA DE PILARES RETANGULARES E ESTRUTURAS SIMILARES, PÉ-DIREITO SIMPLES, EM CHAPA DE MADEIRA COMPENSADA RESINADA, 4 UTILIZAÇÕES. AF_09/2020</v>
          </cell>
          <cell r="C2137" t="str">
            <v>M2</v>
          </cell>
          <cell r="D2137">
            <v>78.61</v>
          </cell>
        </row>
        <row r="2138">
          <cell r="A2138" t="str">
            <v>92421</v>
          </cell>
          <cell r="B2138" t="str">
            <v>MONTAGEM E DESMONTAGEM DE FÔRMA DE PILARES RETANGULARES E ESTRUTURAS SIMILARES, PÉ-DIREITO DUPLO, EM CHAPA DE MADEIRA COMPENSADA RESINADA, 4 UTILIZAÇÕES. AF_09/2020</v>
          </cell>
          <cell r="C2138" t="str">
            <v>M2</v>
          </cell>
          <cell r="D2138">
            <v>94.82</v>
          </cell>
        </row>
        <row r="2139">
          <cell r="A2139" t="str">
            <v>92423</v>
          </cell>
          <cell r="B2139" t="str">
            <v>MONTAGEM E DESMONTAGEM DE FÔRMA DE PILARES RETANGULARES E ESTRUTURAS SIMILARES, PÉ-DIREITO SIMPLES, EM CHAPA DE MADEIRA COMPENSADA RESINADA, 6 UTILIZAÇÕES. AF_09/2020</v>
          </cell>
          <cell r="C2139" t="str">
            <v>M2</v>
          </cell>
          <cell r="D2139">
            <v>62.7</v>
          </cell>
        </row>
        <row r="2140">
          <cell r="A2140" t="str">
            <v>92425</v>
          </cell>
          <cell r="B2140" t="str">
            <v>MONTAGEM E DESMONTAGEM DE FÔRMA DE PILARES RETANGULARES E ESTRUTURAS SIMILARES, PÉ-DIREITO DUPLO, EM CHAPA DE MADEIRA COMPENSADA RESINADA, 6 UTILIZAÇÕES. AF_09/2020</v>
          </cell>
          <cell r="C2140" t="str">
            <v>M2</v>
          </cell>
          <cell r="D2140">
            <v>76.790000000000006</v>
          </cell>
        </row>
        <row r="2141">
          <cell r="A2141" t="str">
            <v>92427</v>
          </cell>
          <cell r="B2141" t="str">
            <v>MONTAGEM E DESMONTAGEM DE FÔRMA DE PILARES RETANGULARES E ESTRUTURAS SIMILARES, PÉ-DIREITO SIMPLES, EM CHAPA DE MADEIRA COMPENSADA RESINADA, 8 UTILIZAÇÕES. AF_09/2020</v>
          </cell>
          <cell r="C2141" t="str">
            <v>M2</v>
          </cell>
          <cell r="D2141">
            <v>54.65</v>
          </cell>
        </row>
        <row r="2142">
          <cell r="A2142" t="str">
            <v>92429</v>
          </cell>
          <cell r="B2142" t="str">
            <v>MONTAGEM E DESMONTAGEM DE FÔRMA DE PILARES RETANGULARES E ESTRUTURAS SIMILARES, PÉ-DIREITO DUPLO, EM CHAPA DE MADEIRA COMPENSADA RESINADA, 8 UTILIZAÇÕES. AF_09/2020</v>
          </cell>
          <cell r="C2142" t="str">
            <v>M2</v>
          </cell>
          <cell r="D2142">
            <v>67.709999999999994</v>
          </cell>
        </row>
        <row r="2143">
          <cell r="A2143" t="str">
            <v>92431</v>
          </cell>
          <cell r="B2143" t="str">
            <v>MONTAGEM E DESMONTAGEM DE FÔRMA DE PILARES RETANGULARES E ESTRUTURAS SIMILARES, PÉ-DIREITO SIMPLES, EM CHAPA DE MADEIRA COMPENSADA PLASTIFICADA, 10 UTILIZAÇÕES. AF_09/2020</v>
          </cell>
          <cell r="C2143" t="str">
            <v>M2</v>
          </cell>
          <cell r="D2143">
            <v>51.62</v>
          </cell>
        </row>
        <row r="2144">
          <cell r="A2144" t="str">
            <v>92433</v>
          </cell>
          <cell r="B2144" t="str">
            <v>MONTAGEM E DESMONTAGEM DE FÔRMA DE PILARES RETANGULARES E ESTRUTURAS SIMILARES, PÉ-DIREITO DUPLO, EM CHAPA DE MADEIRA COMPENSADA PLASTIFICADA, 10 UTILIZAÇÕES. AF_09/2020</v>
          </cell>
          <cell r="C2144" t="str">
            <v>M2</v>
          </cell>
          <cell r="D2144">
            <v>64.02</v>
          </cell>
        </row>
        <row r="2145">
          <cell r="A2145" t="str">
            <v>92435</v>
          </cell>
          <cell r="B2145" t="str">
            <v>MONTAGEM E DESMONTAGEM DE FÔRMA DE PILARES RETANGULARES E ESTRUTURAS SIMILARES, PÉ-DIREITO SIMPLES, EM CHAPA DE MADEIRA COMPENSADA PLASTIFICADA, 12 UTILIZAÇÕES. AF_09/2020</v>
          </cell>
          <cell r="C2145" t="str">
            <v>M2</v>
          </cell>
          <cell r="D2145">
            <v>48.52</v>
          </cell>
        </row>
        <row r="2146">
          <cell r="A2146" t="str">
            <v>92437</v>
          </cell>
          <cell r="B2146" t="str">
            <v>MONTAGEM E DESMONTAGEM DE FÔRMA DE PILARES RETANGULARES E ESTRUTURAS SIMILARES, PÉ-DIREITO DUPLO, EM CHAPA DE MADEIRA COMPENSADA PLASTIFICADA, 12 UTILIZAÇÕES. AF_09/2020</v>
          </cell>
          <cell r="C2146" t="str">
            <v>M2</v>
          </cell>
          <cell r="D2146">
            <v>60.5</v>
          </cell>
        </row>
        <row r="2147">
          <cell r="A2147" t="str">
            <v>92439</v>
          </cell>
          <cell r="B2147" t="str">
            <v>MONTAGEM E DESMONTAGEM DE FÔRMA DE PILARES RETANGULARES E ESTRUTURAS SIMILARES, PÉ-DIREITO SIMPLES, EM CHAPA DE MADEIRA COMPENSADA PLASTIFICADA, 14 UTILIZAÇÕES. AF_09/2020</v>
          </cell>
          <cell r="C2147" t="str">
            <v>M2</v>
          </cell>
          <cell r="D2147">
            <v>46.29</v>
          </cell>
        </row>
        <row r="2148">
          <cell r="A2148" t="str">
            <v>92441</v>
          </cell>
          <cell r="B2148" t="str">
            <v>MONTAGEM E DESMONTAGEM DE FÔRMA DE PILARES RETANGULARES E ESTRUTURAS SIMILARES, PÉ-DIREITO DUPLO, EM CHAPA DE MADEIRA COMPENSADA PLASTIFICADA, 14 UTILIZAÇÕES. AF_09/2020</v>
          </cell>
          <cell r="C2148" t="str">
            <v>M2</v>
          </cell>
          <cell r="D2148">
            <v>57.97</v>
          </cell>
        </row>
        <row r="2149">
          <cell r="A2149" t="str">
            <v>92443</v>
          </cell>
          <cell r="B2149" t="str">
            <v>MONTAGEM E DESMONTAGEM DE FÔRMA DE PILARES RETANGULARES E ESTRUTURAS SIMILARES, PÉ-DIREITO SIMPLES, EM CHAPA DE MADEIRA COMPENSADA PLASTIFICADA, 18 UTILIZAÇÕES. AF_09/2020</v>
          </cell>
          <cell r="C2149" t="str">
            <v>M2</v>
          </cell>
          <cell r="D2149">
            <v>41.45</v>
          </cell>
        </row>
        <row r="2150">
          <cell r="A2150" t="str">
            <v>92445</v>
          </cell>
          <cell r="B2150" t="str">
            <v>MONTAGEM E DESMONTAGEM DE FÔRMA DE PILARES RETANGULARES E ESTRUTURAS SIMILARES, PÉ-DIREITO DUPLO, EM CHAPA DE MADEIRA COMPENSADA PLASTIFICADA, 18 UTILIZAÇÕES. AF_09/2020</v>
          </cell>
          <cell r="C2150" t="str">
            <v>M2</v>
          </cell>
          <cell r="D2150">
            <v>52.72</v>
          </cell>
        </row>
        <row r="2151">
          <cell r="A2151" t="str">
            <v>92446</v>
          </cell>
          <cell r="B2151" t="str">
            <v>MONTAGEM E DESMONTAGEM DE FÔRMA DE VIGA, ESCORAMENTO COM PONTALETE DE MADEIRA, PÉ-DIREITO SIMPLES, EM MADEIRA SERRADA, 1 UTILIZAÇÃO. AF_09/2020</v>
          </cell>
          <cell r="C2151" t="str">
            <v>M2</v>
          </cell>
          <cell r="D2151">
            <v>290.52999999999997</v>
          </cell>
        </row>
        <row r="2152">
          <cell r="A2152" t="str">
            <v>92447</v>
          </cell>
          <cell r="B2152" t="str">
            <v>MONTAGEM E DESMONTAGEM DE FÔRMA DE VIGA, ESCORAMENTO COM PONTALETE DE MADEIRA, PÉ-DIREITO SIMPLES, EM MADEIRA SERRADA, 2 UTILIZAÇÕES. AF_09/2020</v>
          </cell>
          <cell r="C2152" t="str">
            <v>M2</v>
          </cell>
          <cell r="D2152">
            <v>200.88</v>
          </cell>
        </row>
        <row r="2153">
          <cell r="A2153" t="str">
            <v>92448</v>
          </cell>
          <cell r="B2153" t="str">
            <v>MONTAGEM E DESMONTAGEM DE FÔRMA DE VIGA, ESCORAMENTO COM PONTALETE DE MADEIRA, PÉ-DIREITO SIMPLES, EM MADEIRA SERRADA, 4 UTILIZAÇÕES. AF_09/2020</v>
          </cell>
          <cell r="C2153" t="str">
            <v>M2</v>
          </cell>
          <cell r="D2153">
            <v>156.19999999999999</v>
          </cell>
        </row>
        <row r="2154">
          <cell r="A2154" t="str">
            <v>92449</v>
          </cell>
          <cell r="B2154" t="str">
            <v>MONTAGEM E DESMONTAGEM DE FÔRMA DE VIGA, ESCORAMENTO COM GARFO DE MADEIRA, PÉ-DIREITO DUPLO, EM CHAPA DE MADEIRA RESINADA, 2 UTILIZAÇÕES. AF_09/2020</v>
          </cell>
          <cell r="C2154" t="str">
            <v>M2</v>
          </cell>
          <cell r="D2154">
            <v>275.33</v>
          </cell>
        </row>
        <row r="2155">
          <cell r="A2155" t="str">
            <v>92450</v>
          </cell>
          <cell r="B2155" t="str">
            <v>MONTAGEM E DESMONTAGEM DE FÔRMA DE VIGA, ESCORAMENTO METÁLICO, PÉ-DIREITO DUPLO, EM CHAPA DE MADEIRA RESINADA, 2 UTILIZAÇÕES. AF_09/2020</v>
          </cell>
          <cell r="C2155" t="str">
            <v>M2</v>
          </cell>
          <cell r="D2155">
            <v>252.46</v>
          </cell>
        </row>
        <row r="2156">
          <cell r="A2156" t="str">
            <v>92451</v>
          </cell>
          <cell r="B2156" t="str">
            <v>MONTAGEM E DESMONTAGEM DE FÔRMA DE VIGA, ESCORAMENTO COM GARFO DE MADEIRA, PÉ-DIREITO SIMPLES, EM CHAPA DE MADEIRA RESINADA, 2 UTILIZAÇÕES. AF_09/2020</v>
          </cell>
          <cell r="C2156" t="str">
            <v>M2</v>
          </cell>
          <cell r="D2156">
            <v>188.21</v>
          </cell>
        </row>
        <row r="2157">
          <cell r="A2157" t="str">
            <v>92452</v>
          </cell>
          <cell r="B2157" t="str">
            <v>MONTAGEM E DESMONTAGEM DE FÔRMA DE VIGA, ESCORAMENTO METÁLICO, PÉ-DIREITO SIMPLES, EM CHAPA DE MADEIRA RESINADA, 2 UTILIZAÇÕES. AF_09/2020</v>
          </cell>
          <cell r="C2157" t="str">
            <v>M2</v>
          </cell>
          <cell r="D2157">
            <v>151.5</v>
          </cell>
        </row>
        <row r="2158">
          <cell r="A2158" t="str">
            <v>92453</v>
          </cell>
          <cell r="B2158" t="str">
            <v>MONTAGEM E DESMONTAGEM DE FÔRMA DE VIGA, ESCORAMENTO COM GARFO DE MADEIRA, PÉ-DIREITO DUPLO, EM CHAPA DE MADEIRA RESINADA, 4 UTILIZAÇÕES. AF_09/2020</v>
          </cell>
          <cell r="C2158" t="str">
            <v>M2</v>
          </cell>
          <cell r="D2158">
            <v>235.27</v>
          </cell>
        </row>
        <row r="2159">
          <cell r="A2159" t="str">
            <v>92454</v>
          </cell>
          <cell r="B2159" t="str">
            <v>MONTAGEM E DESMONTAGEM DE FÔRMA DE VIGA, ESCORAMENTO METÁLICO, PÉ-DIREITO DUPLO, EM CHAPA DE MADEIRA RESINADA, 4 UTILIZAÇÕES. AF_09/2020</v>
          </cell>
          <cell r="C2159" t="str">
            <v>M2</v>
          </cell>
          <cell r="D2159">
            <v>221.42</v>
          </cell>
        </row>
        <row r="2160">
          <cell r="A2160" t="str">
            <v>92455</v>
          </cell>
          <cell r="B2160" t="str">
            <v>MONTAGEM E DESMONTAGEM DE FÔRMA DE VIGA, ESCORAMENTO COM GARFO DE MADEIRA, PÉ-DIREITO SIMPLES, EM CHAPA DE MADEIRA RESINADA, 4 UTILIZAÇÕES. AF_09/2020</v>
          </cell>
          <cell r="C2160" t="str">
            <v>M2</v>
          </cell>
          <cell r="D2160">
            <v>153.85</v>
          </cell>
        </row>
        <row r="2161">
          <cell r="A2161" t="str">
            <v>92456</v>
          </cell>
          <cell r="B2161" t="str">
            <v>MONTAGEM E DESMONTAGEM DE FÔRMA DE VIGA, ESCORAMENTO METÁLICO, PÉ-DIREITO SIMPLES, EM CHAPA DE MADEIRA RESINADA, 4 UTILIZAÇÕES. AF_09/2020</v>
          </cell>
          <cell r="C2161" t="str">
            <v>M2</v>
          </cell>
          <cell r="D2161">
            <v>120.15</v>
          </cell>
        </row>
        <row r="2162">
          <cell r="A2162" t="str">
            <v>92457</v>
          </cell>
          <cell r="B2162" t="str">
            <v>MONTAGEM E DESMONTAGEM DE FÔRMA DE VIGA, ESCORAMENTO COM GARFO DE MADEIRA, PÉ-DIREITO DUPLO, EM CHAPA DE MADEIRA RESINADA, 6 UTILIZAÇÕES. AF_09/2020</v>
          </cell>
          <cell r="C2162" t="str">
            <v>M2</v>
          </cell>
          <cell r="D2162">
            <v>204.06</v>
          </cell>
        </row>
        <row r="2163">
          <cell r="A2163" t="str">
            <v>92458</v>
          </cell>
          <cell r="B2163" t="str">
            <v>MONTAGEM E DESMONTAGEM DE FÔRMA DE VIGA, ESCORAMENTO METÁLICO, PÉ-DIREITO DUPLO, EM CHAPA DE MADEIRA RESINADA, 6 UTILIZAÇÕES. AF_12/2015</v>
          </cell>
          <cell r="C2163" t="str">
            <v>M2</v>
          </cell>
          <cell r="D2163">
            <v>201.97</v>
          </cell>
        </row>
        <row r="2164">
          <cell r="A2164" t="str">
            <v>92459</v>
          </cell>
          <cell r="B2164" t="str">
            <v>MONTAGEM E DESMONTAGEM DE FÔRMA DE VIGA, ESCORAMENTO COM GARFO DE MADEIRA, PÉ-DIREITO SIMPLES, EM CHAPA DE MADEIRA RESINADA, 6 UTILIZAÇÕES. AF_09/2020</v>
          </cell>
          <cell r="C2164" t="str">
            <v>M2</v>
          </cell>
          <cell r="D2164">
            <v>130.33000000000001</v>
          </cell>
        </row>
        <row r="2165">
          <cell r="A2165" t="str">
            <v>92460</v>
          </cell>
          <cell r="B2165" t="str">
            <v>MONTAGEM E DESMONTAGEM DE FÔRMA DE VIGA, ESCORAMENTO METÁLICO, PÉ-DIREITO SIMPLES, EM CHAPA DE MADEIRA RESINADA, 6 UTILIZAÇÕES. AF_09/2020</v>
          </cell>
          <cell r="C2165" t="str">
            <v>M2</v>
          </cell>
          <cell r="D2165">
            <v>97.6</v>
          </cell>
        </row>
        <row r="2166">
          <cell r="A2166" t="str">
            <v>92461</v>
          </cell>
          <cell r="B2166" t="str">
            <v>MONTAGEM E DESMONTAGEM DE FÔRMA DE VIGA, ESCORAMENTO COM GARFO DE MADEIRA, PÉ-DIREITO DUPLO, EM CHAPA DE MADEIRA RESINADA, 8 UTILIZAÇÕES. AF_09/2020</v>
          </cell>
          <cell r="C2166" t="str">
            <v>M2</v>
          </cell>
          <cell r="D2166">
            <v>188.23</v>
          </cell>
        </row>
        <row r="2167">
          <cell r="A2167" t="str">
            <v>92462</v>
          </cell>
          <cell r="B2167" t="str">
            <v>MONTAGEM E DESMONTAGEM DE FÔRMA DE VIGA, ESCORAMENTO METÁLICO, PÉ-DIREITO DUPLO, EM CHAPA DE MADEIRA RESINADA, 8 UTILIZAÇÕES. AF_09/2020</v>
          </cell>
          <cell r="C2167" t="str">
            <v>M2</v>
          </cell>
          <cell r="D2167">
            <v>189.9</v>
          </cell>
        </row>
        <row r="2168">
          <cell r="A2168" t="str">
            <v>92463</v>
          </cell>
          <cell r="B2168" t="str">
            <v>MONTAGEM E DESMONTAGEM DE FÔRMA DE VIGA, ESCORAMENTO COM GARFO DE MADEIRA, PÉ-DIREITO SIMPLES, EM CHAPA DE MADEIRA RESINADA, 8 UTILIZAÇÕES. AF_09/2020</v>
          </cell>
          <cell r="C2168" t="str">
            <v>M2</v>
          </cell>
          <cell r="D2168">
            <v>118.03</v>
          </cell>
        </row>
        <row r="2169">
          <cell r="A2169" t="str">
            <v>92464</v>
          </cell>
          <cell r="B2169" t="str">
            <v>MONTAGEM E DESMONTAGEM DE FÔRMA DE VIGA, ESCORAMENTO METÁLICO, PÉ-DIREITO SIMPLES, EM CHAPA DE MADEIRA RESINADA, 8 UTILIZAÇÕES. AF_09/2020</v>
          </cell>
          <cell r="C2169" t="str">
            <v>M2</v>
          </cell>
          <cell r="D2169">
            <v>89.27</v>
          </cell>
        </row>
        <row r="2170">
          <cell r="A2170" t="str">
            <v>92465</v>
          </cell>
          <cell r="B2170" t="str">
            <v>MONTAGEM E DESMONTAGEM DE FÔRMA DE VIGA, ESCORAMENTO COM GARFO DE MADEIRA, PÉ-DIREITO DUPLO, EM CHAPA DE MADEIRA PLASTIFICADA, 10 UTILIZAÇÕES. AF_09/2020</v>
          </cell>
          <cell r="C2170" t="str">
            <v>M2</v>
          </cell>
          <cell r="D2170">
            <v>151.01</v>
          </cell>
        </row>
        <row r="2171">
          <cell r="A2171" t="str">
            <v>92466</v>
          </cell>
          <cell r="B2171" t="str">
            <v>MONTAGEM E DESMONTAGEM DE FÔRMA DE VIGA, ESCORAMENTO METÁLICO, PÉ-DIREITO DUPLO, EM CHAPA DE MADEIRA PLASTIFICADA, 10 UTILIZAÇÕES. AF_09/2020</v>
          </cell>
          <cell r="C2171" t="str">
            <v>M2</v>
          </cell>
          <cell r="D2171">
            <v>184.37</v>
          </cell>
        </row>
        <row r="2172">
          <cell r="A2172" t="str">
            <v>92467</v>
          </cell>
          <cell r="B2172" t="str">
            <v>MONTAGEM E DESMONTAGEM DE FÔRMA DE VIGA, ESCORAMENTO COM GARFO DE MADEIRA, PÉ-DIREITO SIMPLES, EM CHAPA DE MADEIRA PLASTIFICADA, 10 UTILIZAÇÕES. AF_09/2020</v>
          </cell>
          <cell r="C2172" t="str">
            <v>M2</v>
          </cell>
          <cell r="D2172">
            <v>98.22</v>
          </cell>
        </row>
        <row r="2173">
          <cell r="A2173" t="str">
            <v>92468</v>
          </cell>
          <cell r="B2173" t="str">
            <v>MONTAGEM E DESMONTAGEM DE FÔRMA DE VIGA, ESCORAMENTO METÁLICO, PÉ-DIREITO SIMPLES, EM CHAPA DE MADEIRA PLASTIFICADA, 10 UTILIZAÇÕES. AF_09/2020</v>
          </cell>
          <cell r="C2173" t="str">
            <v>M2</v>
          </cell>
          <cell r="D2173">
            <v>84.07</v>
          </cell>
        </row>
        <row r="2174">
          <cell r="A2174" t="str">
            <v>92469</v>
          </cell>
          <cell r="B2174" t="str">
            <v>MONTAGEM E DESMONTAGEM DE FÔRMA DE VIGA, ESCORAMENTO COM GARFO DE MADEIRA, PÉ-DIREITO DUPLO, EM CHAPA DE MADEIRA PLASTIFICADA, 12 UTILIZAÇÕES. AF_09/2020</v>
          </cell>
          <cell r="C2174" t="str">
            <v>M2</v>
          </cell>
          <cell r="D2174">
            <v>137.52000000000001</v>
          </cell>
        </row>
        <row r="2175">
          <cell r="A2175" t="str">
            <v>92470</v>
          </cell>
          <cell r="B2175" t="str">
            <v>MONTAGEM E DESMONTAGEM DE FÔRMA DE VIGA, ESCORAMENTO METÁLICO, PÉ-DIREITO DUPLO, EM CHAPA DE MADEIRA PLASTIFICADA, 12 UTILIZAÇÕES. AF_09/2020</v>
          </cell>
          <cell r="C2175" t="str">
            <v>M2</v>
          </cell>
          <cell r="D2175">
            <v>177.7</v>
          </cell>
        </row>
        <row r="2176">
          <cell r="A2176" t="str">
            <v>92471</v>
          </cell>
          <cell r="B2176" t="str">
            <v>MONTAGEM E DESMONTAGEM DE FÔRMA DE VIGA, ESCORAMENTO COM GARFO DE MADEIRA, PÉ-DIREITO SIMPLES, EM CHAPA DE MADEIRA PLASTIFICADA, 12 UTILIZAÇÕES. AF_09/2020</v>
          </cell>
          <cell r="C2176" t="str">
            <v>M2</v>
          </cell>
          <cell r="D2176">
            <v>89.58</v>
          </cell>
        </row>
        <row r="2177">
          <cell r="A2177" t="str">
            <v>92472</v>
          </cell>
          <cell r="B2177" t="str">
            <v>MONTAGEM E DESMONTAGEM DE FÔRMA DE VIGA, ESCORAMENTO METÁLICO, PÉ-DIREITO SIMPLES, EM CHAPA DE MADEIRA PLASTIFICADA, 12 UTILIZAÇÕES. AF_09/2020</v>
          </cell>
          <cell r="C2177" t="str">
            <v>M2</v>
          </cell>
          <cell r="D2177">
            <v>78.17</v>
          </cell>
        </row>
        <row r="2178">
          <cell r="A2178" t="str">
            <v>92473</v>
          </cell>
          <cell r="B2178" t="str">
            <v>MONTAGEM E DESMONTAGEM DE FÔRMA DE VIGA, ESCORAMENTO COM GARFO DE MADEIRA, PÉ-DIREITO DUPLO, EM CHAPA DE MADEIRA PLASTIFICADA, 14 UTILIZAÇÕES. AF_09/2020</v>
          </cell>
          <cell r="C2178" t="str">
            <v>M2</v>
          </cell>
          <cell r="D2178">
            <v>126.64</v>
          </cell>
        </row>
        <row r="2179">
          <cell r="A2179" t="str">
            <v>92474</v>
          </cell>
          <cell r="B2179" t="str">
            <v>MONTAGEM E DESMONTAGEM DE FÔRMA DE VIGA, ESCORAMENTO METÁLICO, PÉ-DIREITO DUPLO, EM CHAPA DE MADEIRA PLASTIFICADA, 14 UTILIZAÇÕES. AF_09/2020</v>
          </cell>
          <cell r="C2179" t="str">
            <v>M2</v>
          </cell>
          <cell r="D2179">
            <v>172</v>
          </cell>
        </row>
        <row r="2180">
          <cell r="A2180" t="str">
            <v>92475</v>
          </cell>
          <cell r="B2180" t="str">
            <v>MONTAGEM E DESMONTAGEM DE FÔRMA DE VIGA, ESCORAMENTO COM GARFO DE MADEIRA, PÉ-DIREITO SIMPLES, EM CHAPA DE MADEIRA PLASTIFICADA, 14 UTILIZAÇÕES. AF_09/2020</v>
          </cell>
          <cell r="C2180" t="str">
            <v>M2</v>
          </cell>
          <cell r="D2180">
            <v>82.57</v>
          </cell>
        </row>
        <row r="2181">
          <cell r="A2181" t="str">
            <v>92476</v>
          </cell>
          <cell r="B2181" t="str">
            <v>MONTAGEM E DESMONTAGEM DE FÔRMA DE VIGA, ESCORAMENTO METÁLICO, PÉ-DIREITO SIMPLES, EM CHAPA DE MADEIRA PLASTIFICADA, 14 UTILIZAÇÕES. AF_09/2020</v>
          </cell>
          <cell r="C2181" t="str">
            <v>M2</v>
          </cell>
          <cell r="D2181">
            <v>73.2</v>
          </cell>
        </row>
        <row r="2182">
          <cell r="A2182" t="str">
            <v>92477</v>
          </cell>
          <cell r="B2182" t="str">
            <v>MONTAGEM E DESMONTAGEM DE FÔRMA DE VIGA, ESCORAMENTO COM GARFO DE MADEIRA, PÉ-DIREITO DUPLO, EM CHAPA DE MADEIRA PLASTIFICADA, 18 UTILIZAÇÕES. AF_09/2020</v>
          </cell>
          <cell r="C2182" t="str">
            <v>M2</v>
          </cell>
          <cell r="D2182">
            <v>103.27</v>
          </cell>
        </row>
        <row r="2183">
          <cell r="A2183" t="str">
            <v>92478</v>
          </cell>
          <cell r="B2183" t="str">
            <v>MONTAGEM E DESMONTAGEM DE FÔRMA DE VIGA, ESCORAMENTO METÁLICO, PÉ-DIREITO DUPLO, EM CHAPA DE MADEIRA PLASTIFICADA, 18 UTILIZAÇÕES. AF_09/2020</v>
          </cell>
          <cell r="C2183" t="str">
            <v>M2</v>
          </cell>
          <cell r="D2183">
            <v>160.63999999999999</v>
          </cell>
        </row>
        <row r="2184">
          <cell r="A2184" t="str">
            <v>92479</v>
          </cell>
          <cell r="B2184" t="str">
            <v>MONTAGEM E DESMONTAGEM DE FÔRMA DE VIGA, ESCORAMENTO COM GARFO DE MADEIRA, PÉ-DIREITO SIMPLES, EM CHAPA DE MADEIRA PLASTIFICADA, 18 UTILIZAÇÕES. AF_09/2020</v>
          </cell>
          <cell r="C2184" t="str">
            <v>M2</v>
          </cell>
          <cell r="D2184">
            <v>67.540000000000006</v>
          </cell>
        </row>
        <row r="2185">
          <cell r="A2185" t="str">
            <v>92480</v>
          </cell>
          <cell r="B2185" t="str">
            <v>MONTAGEM E DESMONTAGEM DE FÔRMA DE VIGA, ESCORAMENTO METÁLICO, PÉ-DIREITO SIMPLES, EM CHAPA DE MADEIRA PLASTIFICADA, 18 UTILIZAÇÕES. AF_09/2020</v>
          </cell>
          <cell r="C2185" t="str">
            <v>M2</v>
          </cell>
          <cell r="D2185">
            <v>63.14</v>
          </cell>
        </row>
        <row r="2186">
          <cell r="A2186" t="str">
            <v>92482</v>
          </cell>
          <cell r="B2186" t="str">
            <v>MONTAGEM E DESMONTAGEM DE FÔRMA DE LAJE MACIÇA, PÉ-DIREITO SIMPLES, EM MADEIRA SERRADA, 1 UTILIZAÇÃO. AF_09/2020</v>
          </cell>
          <cell r="C2186" t="str">
            <v>M2</v>
          </cell>
          <cell r="D2186">
            <v>322.10000000000002</v>
          </cell>
        </row>
        <row r="2187">
          <cell r="A2187" t="str">
            <v>92484</v>
          </cell>
          <cell r="B2187" t="str">
            <v>MONTAGEM E DESMONTAGEM DE FÔRMA DE LAJE MACIÇA, PÉ-DIREITO SIMPLES, EM MADEIRA SERRADA, 2 UTILIZAÇÕES. AF_09/2020</v>
          </cell>
          <cell r="C2187" t="str">
            <v>M2</v>
          </cell>
          <cell r="D2187">
            <v>227.8</v>
          </cell>
        </row>
        <row r="2188">
          <cell r="A2188" t="str">
            <v>92486</v>
          </cell>
          <cell r="B2188" t="str">
            <v>MONTAGEM E DESMONTAGEM DE FÔRMA DE LAJE MACIÇA, PÉ-DIREITO SIMPLES, EM MADEIRA SERRADA, 4 UTILIZAÇÕES. AF_09/2020</v>
          </cell>
          <cell r="C2188" t="str">
            <v>M2</v>
          </cell>
          <cell r="D2188">
            <v>156.88999999999999</v>
          </cell>
        </row>
        <row r="2189">
          <cell r="A2189" t="str">
            <v>92488</v>
          </cell>
          <cell r="B2189" t="str">
            <v>MONTAGEM E DESMONTAGEM DE FÔRMA DE LAJE NERVURADA COM CUBETA E ASSOALHO, PÉ-DIREITO DUPLO, EM CHAPA DE MADEIRA COMPENSADA RESINADA, 8 UTILIZAÇÕES. AF_09/2020</v>
          </cell>
          <cell r="C2189" t="str">
            <v>M2</v>
          </cell>
          <cell r="D2189">
            <v>77.989999999999995</v>
          </cell>
        </row>
        <row r="2190">
          <cell r="A2190" t="str">
            <v>92490</v>
          </cell>
          <cell r="B2190" t="str">
            <v>MONTAGEM E DESMONTAGEM DE FÔRMA DE LAJE NERVURADA COM CUBETA E ASSOALHO, PÉ-DIREITO SIMPLES, EM CHAPA DE MADEIRA COMPENSADA RESINADA, 8 UTILIZAÇÕES. AF_09/2020</v>
          </cell>
          <cell r="C2190" t="str">
            <v>M2</v>
          </cell>
          <cell r="D2190">
            <v>49.23</v>
          </cell>
        </row>
        <row r="2191">
          <cell r="A2191" t="str">
            <v>92492</v>
          </cell>
          <cell r="B2191" t="str">
            <v>MONTAGEM E DESMONTAGEM DE FÔRMA DE LAJE NERVURADA COM CUBETA E ASSOALHO, PÉ-DIREITO DUPLO, EM CHAPA DE MADEIRA COMPENSADA RESINADA, 10 UTILIZAÇÕES. AF_09/2020</v>
          </cell>
          <cell r="C2191" t="str">
            <v>M2</v>
          </cell>
          <cell r="D2191">
            <v>74.09</v>
          </cell>
        </row>
        <row r="2192">
          <cell r="A2192" t="str">
            <v>92494</v>
          </cell>
          <cell r="B2192" t="str">
            <v>MONTAGEM E DESMONTAGEM DE FÔRMA DE LAJE NERVURADA COM CUBETA E ASSOALHO, PÉ-DIREITO SIMPLES, EM CHAPA DE MADEIRA COMPENSADA RESINADA, 10 UTILIZAÇÕES. AF_09/2020</v>
          </cell>
          <cell r="C2192" t="str">
            <v>M2</v>
          </cell>
          <cell r="D2192">
            <v>45.8</v>
          </cell>
        </row>
        <row r="2193">
          <cell r="A2193" t="str">
            <v>92496</v>
          </cell>
          <cell r="B2193" t="str">
            <v>MONTAGEM E DESMONTAGEM DE FÔRMA DE LAJE NERVURADA COM CUBETA E ASSOALHO, PÉ-DIREITO DUPLO, EM CHAPA DE MADEIRA COMPENSADA RESINADA, 12 UTILIZAÇÕES. AF_09/2020</v>
          </cell>
          <cell r="C2193" t="str">
            <v>M2</v>
          </cell>
          <cell r="D2193">
            <v>71.44</v>
          </cell>
        </row>
        <row r="2194">
          <cell r="A2194" t="str">
            <v>92498</v>
          </cell>
          <cell r="B2194" t="str">
            <v>MONTAGEM E DESMONTAGEM DE FÔRMA DE LAJE NERVURADA COM CUBETA E ASSOALHO, PÉ-DIREITO SIMPLES, EM CHAPA DE MADEIRA COMPENSADA RESINADA, 12 UTILIZAÇÕES. AF_09/2020</v>
          </cell>
          <cell r="C2194" t="str">
            <v>M2</v>
          </cell>
          <cell r="D2194">
            <v>43.47</v>
          </cell>
        </row>
        <row r="2195">
          <cell r="A2195" t="str">
            <v>92500</v>
          </cell>
          <cell r="B2195" t="str">
            <v>MONTAGEM E DESMONTAGEM DE FÔRMA DE LAJE NERVURADA COM CUBETA E ASSOALHO, PÉ-DIREITO DUPLO, EM CHAPA DE MADEIRA COMPENSADA RESINADA, 14 UTILIZAÇÕES. AF_09/2020</v>
          </cell>
          <cell r="C2195" t="str">
            <v>M2</v>
          </cell>
          <cell r="D2195">
            <v>69.95</v>
          </cell>
        </row>
        <row r="2196">
          <cell r="A2196" t="str">
            <v>92502</v>
          </cell>
          <cell r="B2196" t="str">
            <v>MONTAGEM E DESMONTAGEM DE FÔRMA DE LAJE NERVURADA COM CUBETA E ASSOALHO, PÉ-DIREITO SIMPLES, EM CHAPA DE MADEIRA COMPENSADA RESINADA, 14 UTILIZAÇÕES. AF_09/2020</v>
          </cell>
          <cell r="C2196" t="str">
            <v>M2</v>
          </cell>
          <cell r="D2196">
            <v>42.21</v>
          </cell>
        </row>
        <row r="2197">
          <cell r="A2197" t="str">
            <v>92504</v>
          </cell>
          <cell r="B2197" t="str">
            <v>MONTAGEM E DESMONTAGEM DE FÔRMA DE LAJE NERVURADA COM CUBETA E ASSOALHO, PÉ-DIREITO DUPLO, EM CHAPA DE MADEIRA COMPENSADA RESINADA, 18 UTILIZAÇÕES. AF_09/2020</v>
          </cell>
          <cell r="C2197" t="str">
            <v>M2</v>
          </cell>
          <cell r="D2197">
            <v>48.57</v>
          </cell>
        </row>
        <row r="2198">
          <cell r="A2198" t="str">
            <v>92506</v>
          </cell>
          <cell r="B2198" t="str">
            <v>MONTAGEM E DESMONTAGEM DE FÔRMA DE LAJE NERVURADA COM CUBETA E ASSOALHO, PÉ-DIREITO SIMPLES, EM CHAPA DE MADEIRA COMPENSADA RESINADA, 18 UTILIZAÇÕES. AF_09/2020</v>
          </cell>
          <cell r="C2198" t="str">
            <v>M2</v>
          </cell>
          <cell r="D2198">
            <v>39.97</v>
          </cell>
        </row>
        <row r="2199">
          <cell r="A2199" t="str">
            <v>92508</v>
          </cell>
          <cell r="B2199" t="str">
            <v>MONTAGEM E DESMONTAGEM DE FÔRMA DE LAJE MACIÇA, PÉ-DIREITO DUPLO, EM CHAPA DE MADEIRA COMPENSADA RESINADA, 2 UTILIZAÇÕES. AF_09/2020</v>
          </cell>
          <cell r="C2199" t="str">
            <v>M2</v>
          </cell>
          <cell r="D2199">
            <v>93.28</v>
          </cell>
        </row>
        <row r="2200">
          <cell r="A2200" t="str">
            <v>92510</v>
          </cell>
          <cell r="B2200" t="str">
            <v>MONTAGEM E DESMONTAGEM DE FÔRMA DE LAJE MACIÇA, PÉ-DIREITO SIMPLES, EM CHAPA DE MADEIRA COMPENSADA RESINADA, 2 UTILIZAÇÕES. AF_09/2020</v>
          </cell>
          <cell r="C2200" t="str">
            <v>M2</v>
          </cell>
          <cell r="D2200">
            <v>59.95</v>
          </cell>
        </row>
        <row r="2201">
          <cell r="A2201" t="str">
            <v>92512</v>
          </cell>
          <cell r="B2201" t="str">
            <v>MONTAGEM E DESMONTAGEM DE FÔRMA DE LAJE MACIÇA, PÉ-DIREITO DUPLO, EM CHAPA DE MADEIRA COMPENSADA RESINADA, 4 UTILIZAÇÕES. AF_09/2020</v>
          </cell>
          <cell r="C2201" t="str">
            <v>M2</v>
          </cell>
          <cell r="D2201">
            <v>71</v>
          </cell>
        </row>
        <row r="2202">
          <cell r="A2202" t="str">
            <v>92514</v>
          </cell>
          <cell r="B2202" t="str">
            <v>MONTAGEM E DESMONTAGEM DE FÔRMA DE LAJE MACIÇA, PÉ-DIREITO SIMPLES, EM CHAPA DE MADEIRA COMPENSADA RESINADA, 4 UTILIZAÇÕES. AF_09/2020</v>
          </cell>
          <cell r="C2202" t="str">
            <v>M2</v>
          </cell>
          <cell r="D2202">
            <v>41.02</v>
          </cell>
        </row>
        <row r="2203">
          <cell r="A2203" t="str">
            <v>92515</v>
          </cell>
          <cell r="B2203" t="str">
            <v>MONTAGEM E DESMONTAGEM DE FÔRMA DE LAJE MACIÇA, PÉ-DIREITO DUPLO, EM CHAPA DE MADEIRA COMPENSADA RESINADA, 6 UTILIZAÇÕES. AF_09/2020</v>
          </cell>
          <cell r="C2203" t="str">
            <v>M2</v>
          </cell>
          <cell r="D2203">
            <v>61.68</v>
          </cell>
        </row>
        <row r="2204">
          <cell r="A2204" t="str">
            <v>92518</v>
          </cell>
          <cell r="B2204" t="str">
            <v>MONTAGEM E DESMONTAGEM DE FÔRMA DE LAJE MACIÇA, PÉ-DIREITO SIMPLES, EM CHAPA DE MADEIRA COMPENSADA RESINADA, 6 UTILIZAÇÕES. AF_09/2020</v>
          </cell>
          <cell r="C2204" t="str">
            <v>M2</v>
          </cell>
          <cell r="D2204">
            <v>33.17</v>
          </cell>
        </row>
        <row r="2205">
          <cell r="A2205" t="str">
            <v>92520</v>
          </cell>
          <cell r="B2205" t="str">
            <v>MONTAGEM E DESMONTAGEM DE FÔRMA DE LAJE MACIÇA, PÉ-DIREITO DUPLO, EM CHAPA DE MADEIRA COMPENSADA RESINADA, 8 UTILIZAÇÕES. AF_09/2020</v>
          </cell>
          <cell r="C2205" t="str">
            <v>M2</v>
          </cell>
          <cell r="D2205">
            <v>56.9</v>
          </cell>
        </row>
        <row r="2206">
          <cell r="A2206" t="str">
            <v>92522</v>
          </cell>
          <cell r="B2206" t="str">
            <v>MONTAGEM E DESMONTAGEM DE FÔRMA DE LAJE MACIÇA, PÉ-DIREITO SIMPLES, EM CHAPA DE MADEIRA COMPENSADA RESINADA, 8 UTILIZAÇÕES. AF_09/2020</v>
          </cell>
          <cell r="C2206" t="str">
            <v>M2</v>
          </cell>
          <cell r="D2206">
            <v>29.13</v>
          </cell>
        </row>
        <row r="2207">
          <cell r="A2207" t="str">
            <v>92524</v>
          </cell>
          <cell r="B2207" t="str">
            <v>MONTAGEM E DESMONTAGEM DE FÔRMA DE LAJE MACIÇA, PÉ-DIREITO DUPLO, EM CHAPA DE MADEIRA COMPENSADA PLASTIFICADA, 10 UTILIZAÇÕES. AF-09/2020</v>
          </cell>
          <cell r="C2207" t="str">
            <v>M2</v>
          </cell>
          <cell r="D2207">
            <v>57.87</v>
          </cell>
        </row>
        <row r="2208">
          <cell r="A2208" t="str">
            <v>92526</v>
          </cell>
          <cell r="B2208" t="str">
            <v>MONTAGEM E DESMONTAGEM DE FÔRMA DE LAJE MACIÇA, PÉ-DIREITO SIMPLES, EM CHAPA DE MADEIRA COMPENSADA PLASTIFICADA, 10 UTILIZAÇÕES. AF_09/2020</v>
          </cell>
          <cell r="C2208" t="str">
            <v>M2</v>
          </cell>
          <cell r="D2208">
            <v>30.54</v>
          </cell>
        </row>
        <row r="2209">
          <cell r="A2209" t="str">
            <v>92528</v>
          </cell>
          <cell r="B2209" t="str">
            <v>MONTAGEM E DESMONTAGEM DE FÔRMA DE LAJE MACIÇA, PÉ-DIREITO DUPLO, EM CHAPA DE MADEIRA COMPENSADA PLASTIFICADA, 12 UTILIZAÇÕES. AF_09/2020</v>
          </cell>
          <cell r="C2209" t="str">
            <v>M2</v>
          </cell>
          <cell r="D2209">
            <v>55.76</v>
          </cell>
        </row>
        <row r="2210">
          <cell r="A2210" t="str">
            <v>92530</v>
          </cell>
          <cell r="B2210" t="str">
            <v>MONTAGEM E DESMONTAGEM DE FÔRMA DE LAJE MACIÇA, PÉ-DIREITO SIMPLES, EM CHAPA DE MADEIRA COMPENSADA PLASTIFICADA, 12 UTILIZAÇÕES. AF_09/2020</v>
          </cell>
          <cell r="C2210" t="str">
            <v>M2</v>
          </cell>
          <cell r="D2210">
            <v>28.7</v>
          </cell>
        </row>
        <row r="2211">
          <cell r="A2211" t="str">
            <v>92532</v>
          </cell>
          <cell r="B2211" t="str">
            <v>MONTAGEM E DESMONTAGEM DE FÔRMA DE LAJE MACIÇA, PÉ-DIREITO DUPLO, EM CHAPA DE MADEIRA COMPENSADA PLASTIFICADA, 14 UTILIZAÇÕES. AF_09/2020</v>
          </cell>
          <cell r="C2211" t="str">
            <v>M2</v>
          </cell>
          <cell r="D2211">
            <v>54.12</v>
          </cell>
        </row>
        <row r="2212">
          <cell r="A2212" t="str">
            <v>92534</v>
          </cell>
          <cell r="B2212" t="str">
            <v>MONTAGEM E DESMONTAGEM DE FÔRMA DE LAJE MACIÇA, PÉ-DIREITO SIMPLES, EM CHAPA DE MADEIRA COMPENSADA PLASTIFICADA, 14 UTILIZAÇÕES. AF_09/2020</v>
          </cell>
          <cell r="C2212" t="str">
            <v>M2</v>
          </cell>
          <cell r="D2212">
            <v>27.33</v>
          </cell>
        </row>
        <row r="2213">
          <cell r="A2213" t="str">
            <v>92536</v>
          </cell>
          <cell r="B2213" t="str">
            <v>MONTAGEM E DESMONTAGEM DE FÔRMA DE LAJE MACIÇA, PÉ-DIREITO DUPLO, EM CHAPA DE MADEIRA COMPENSADA PLASTIFICADA, 18 UTILIZAÇÕES. AF_09/2020</v>
          </cell>
          <cell r="C2213" t="str">
            <v>M2</v>
          </cell>
          <cell r="D2213">
            <v>51</v>
          </cell>
        </row>
        <row r="2214">
          <cell r="A2214" t="str">
            <v>92538</v>
          </cell>
          <cell r="B2214" t="str">
            <v>MONTAGEM E DESMONTAGEM DE FÔRMA DE LAJE MACIÇA, PÉ-DIREITO SIMPLES, EM CHAPA DE MADEIRA COMPENSADA PLASTIFICADA, 18 UTILIZAÇÕES. AF_09/2020</v>
          </cell>
          <cell r="C2214" t="str">
            <v>M2</v>
          </cell>
          <cell r="D2214">
            <v>24.45</v>
          </cell>
        </row>
        <row r="2215">
          <cell r="A2215" t="str">
            <v>96252</v>
          </cell>
          <cell r="B2215" t="str">
            <v>FABRICAÇÃO DE FÔRMA PARA PILARES CIRCULARES, EM CHAPA DE MADEIRA COMPENSADA RESINADA. AF_06/2017</v>
          </cell>
          <cell r="C2215" t="str">
            <v>M2</v>
          </cell>
          <cell r="D2215">
            <v>250.88</v>
          </cell>
        </row>
        <row r="2216">
          <cell r="A2216" t="str">
            <v>96257</v>
          </cell>
          <cell r="B2216" t="str">
            <v>MONTAGEM E DESMONTAGEM DE FÔRMA DE PILARES CIRCULARES, COM ÁREA MÉDIA DAS SEÇÕES MENOR OU IGUAL A 0,28 M², PÉ-DIREITO SIMPLES, EM MADEIRA, 2 UTILIZAÇÕES. AF_06/2017</v>
          </cell>
          <cell r="C2216" t="str">
            <v>M2</v>
          </cell>
          <cell r="D2216">
            <v>198.51</v>
          </cell>
        </row>
        <row r="2217">
          <cell r="A2217" t="str">
            <v>96258</v>
          </cell>
          <cell r="B2217" t="str">
            <v>MONTAGEM E DESMONTAGEM DE FÔRMA DE PILARES CIRCULARES, COM ÁREA MÉDIA DAS SEÇÕES MAIOR QUE 0,28 M², PÉ-DIREITO SIMPLES, EM MADEIRA, 2 UTILIZAÇÕES. AF_06/2017</v>
          </cell>
          <cell r="C2217" t="str">
            <v>M2</v>
          </cell>
          <cell r="D2217">
            <v>187.1</v>
          </cell>
        </row>
        <row r="2218">
          <cell r="A2218" t="str">
            <v>96259</v>
          </cell>
          <cell r="B2218" t="str">
            <v>MONTAGEM E DESMONTAGEM DE FÔRMA DE PILARES CIRCULARES, COM ÁREA MÉDIA DAS SEÇÕES MENOR OU IGUAL A 0,28 M², PÉ-DIREITO DUPLO, EM MADEIRA, 2 UTILIZAÇÕES. AF_06/2017</v>
          </cell>
          <cell r="C2218" t="str">
            <v>M2</v>
          </cell>
          <cell r="D2218">
            <v>221.47</v>
          </cell>
        </row>
        <row r="2219">
          <cell r="A2219" t="str">
            <v>96529</v>
          </cell>
          <cell r="B2219" t="str">
            <v>FABRICAÇÃO, MONTAGEM E DESMONTAGEM DE FÔRMA PARA SAPATA, EM MADEIRA SERRADA, E=25 MM, 1 UTILIZAÇÃO. AF_06/2017</v>
          </cell>
          <cell r="C2219" t="str">
            <v>M2</v>
          </cell>
          <cell r="D2219">
            <v>338.97</v>
          </cell>
        </row>
        <row r="2220">
          <cell r="A2220" t="str">
            <v>96530</v>
          </cell>
          <cell r="B2220" t="str">
            <v>FABRICAÇÃO, MONTAGEM E DESMONTAGEM DE FÔRMA PARA VIGA BALDRAME, EM MADEIRA SERRADA, E=25 MM, 1 UTILIZAÇÃO. AF_06/2017</v>
          </cell>
          <cell r="C2220" t="str">
            <v>M2</v>
          </cell>
          <cell r="D2220">
            <v>186.17</v>
          </cell>
        </row>
        <row r="2221">
          <cell r="A2221" t="str">
            <v>96531</v>
          </cell>
          <cell r="B2221" t="str">
            <v>FABRICAÇÃO, MONTAGEM E DESMONTAGEM DE FÔRMA PARA BLOCO DE COROAMENTO, EM MADEIRA SERRADA, E=25 MM, 2 UTILIZAÇÕES. AF_06/2017</v>
          </cell>
          <cell r="C2221" t="str">
            <v>M2</v>
          </cell>
          <cell r="D2221">
            <v>127.79</v>
          </cell>
        </row>
        <row r="2222">
          <cell r="A2222" t="str">
            <v>96532</v>
          </cell>
          <cell r="B2222" t="str">
            <v>FABRICAÇÃO, MONTAGEM E DESMONTAGEM DE FÔRMA PARA SAPATA, EM MADEIRA SERRADA, E=25 MM, 2 UTILIZAÇÕES. AF_06/2017</v>
          </cell>
          <cell r="C2222" t="str">
            <v>M2</v>
          </cell>
          <cell r="D2222">
            <v>212.51</v>
          </cell>
        </row>
        <row r="2223">
          <cell r="A2223" t="str">
            <v>96533</v>
          </cell>
          <cell r="B2223" t="str">
            <v>FABRICAÇÃO, MONTAGEM E DESMONTAGEM DE FÔRMA PARA VIGA BALDRAME, EM MADEIRA SERRADA, E=25 MM, 2 UTILIZAÇÕES. AF_06/2017</v>
          </cell>
          <cell r="C2223" t="str">
            <v>M2</v>
          </cell>
          <cell r="D2223">
            <v>113.75</v>
          </cell>
        </row>
        <row r="2224">
          <cell r="A2224" t="str">
            <v>96534</v>
          </cell>
          <cell r="B2224" t="str">
            <v>FABRICAÇÃO, MONTAGEM E DESMONTAGEM DE FÔRMA PARA BLOCO DE COROAMENTO, EM MADEIRA SERRADA, E=25 MM, 4 UTILIZAÇÕES. AF_06/2017</v>
          </cell>
          <cell r="C2224" t="str">
            <v>M2</v>
          </cell>
          <cell r="D2224">
            <v>87.84</v>
          </cell>
        </row>
        <row r="2225">
          <cell r="A2225" t="str">
            <v>96535</v>
          </cell>
          <cell r="B2225" t="str">
            <v>FABRICAÇÃO, MONTAGEM E DESMONTAGEM DE FÔRMA PARA SAPATA, EM MADEIRA SERRADA, E=25 MM, 4 UTILIZAÇÕES. AF_06/2017</v>
          </cell>
          <cell r="C2225" t="str">
            <v>M2</v>
          </cell>
          <cell r="D2225">
            <v>146.66</v>
          </cell>
        </row>
        <row r="2226">
          <cell r="A2226" t="str">
            <v>96536</v>
          </cell>
          <cell r="B2226" t="str">
            <v>FABRICAÇÃO, MONTAGEM E DESMONTAGEM DE FÔRMA PARA VIGA BALDRAME, EM MADEIRA SERRADA, E=25 MM, 4 UTILIZAÇÕES. AF_06/2017</v>
          </cell>
          <cell r="C2226" t="str">
            <v>M2</v>
          </cell>
          <cell r="D2226">
            <v>76.09</v>
          </cell>
        </row>
        <row r="2227">
          <cell r="A2227" t="str">
            <v>96537</v>
          </cell>
          <cell r="B2227" t="str">
            <v>FABRICAÇÃO, MONTAGEM E DESMONTAGEM DE FÔRMA PARA BLOCO DE COROAMENTO, EM CHAPA DE MADEIRA COMPENSADA RESINADA, E=17 MM, 2 UTILIZAÇÕES. AF_06/2017</v>
          </cell>
          <cell r="C2227" t="str">
            <v>M2</v>
          </cell>
          <cell r="D2227">
            <v>191.49</v>
          </cell>
        </row>
        <row r="2228">
          <cell r="A2228" t="str">
            <v>96538</v>
          </cell>
          <cell r="B2228" t="str">
            <v>FABRICAÇÃO, MONTAGEM E DESMONTAGEM DE FÔRMA PARA SAPATA, EM CHAPA DE MADEIRA COMPENSADA RESINADA, E=17 MM, 2 UTILIZAÇÕES. AF_06/2017</v>
          </cell>
          <cell r="C2228" t="str">
            <v>M2</v>
          </cell>
          <cell r="D2228">
            <v>267.60000000000002</v>
          </cell>
        </row>
        <row r="2229">
          <cell r="A2229" t="str">
            <v>96539</v>
          </cell>
          <cell r="B2229" t="str">
            <v>FABRICAÇÃO, MONTAGEM E DESMONTAGEM DE FÔRMA PARA VIGA BALDRAME, EM CHAPA DE MADEIRA COMPENSADA RESINADA, E=17 MM, 2 UTILIZAÇÕES. AF_06/2017</v>
          </cell>
          <cell r="C2229" t="str">
            <v>M2</v>
          </cell>
          <cell r="D2229">
            <v>123.76</v>
          </cell>
        </row>
        <row r="2230">
          <cell r="A2230" t="str">
            <v>96540</v>
          </cell>
          <cell r="B2230" t="str">
            <v>FABRICAÇÃO, MONTAGEM E DESMONTAGEM DE FÔRMA PARA BLOCO DE COROAMENTO, EM CHAPA DE MADEIRA COMPENSADA RESINADA, E=17 MM, 4 UTILIZAÇÕES. AF_06/2017</v>
          </cell>
          <cell r="C2230" t="str">
            <v>M2</v>
          </cell>
          <cell r="D2230">
            <v>131.22</v>
          </cell>
        </row>
        <row r="2231">
          <cell r="A2231" t="str">
            <v>96541</v>
          </cell>
          <cell r="B2231" t="str">
            <v>FABRICAÇÃO, MONTAGEM E DESMONTAGEM DE FÔRMA PARA SAPATA, EM CHAPA DE MADEIRA COMPENSADA RESINADA, E=17 MM, 4 UTILIZAÇÕES. AF_06/2017</v>
          </cell>
          <cell r="C2231" t="str">
            <v>M2</v>
          </cell>
          <cell r="D2231">
            <v>186.66</v>
          </cell>
        </row>
        <row r="2232">
          <cell r="A2232" t="str">
            <v>96542</v>
          </cell>
          <cell r="B2232" t="str">
            <v>FABRICAÇÃO, MONTAGEM E DESMONTAGEM DE FÔRMA PARA VIGA BALDRAME, EM CHAPA DE MADEIRA COMPENSADA RESINADA, E=17 MM, 4 UTILIZAÇÕES. AF_06/2017</v>
          </cell>
          <cell r="C2232" t="str">
            <v>KG</v>
          </cell>
          <cell r="D2232">
            <v>90.81</v>
          </cell>
        </row>
        <row r="2233">
          <cell r="A2233" t="str">
            <v>96543</v>
          </cell>
          <cell r="B2233" t="str">
            <v>ARMAÇÃO DE BLOCO, VIGA BALDRAME E SAPATA UTILIZANDO AÇO CA-60 DE 5 MM - MONTAGEM. AF_06/2017</v>
          </cell>
          <cell r="C2233" t="str">
            <v>M2</v>
          </cell>
          <cell r="D2233">
            <v>21.25</v>
          </cell>
        </row>
        <row r="2234">
          <cell r="A2234" t="str">
            <v>97747</v>
          </cell>
          <cell r="B2234" t="str">
            <v>MONTAGEM E DESMONTAGEM DE FÔRMA DE PILARES CIRCULARES, COM ÁREA MÉDIA DAS SEÇÕES MAIOR QUE 0,28 M², PÉ-DIREITO DUPLO, EM MADEIRA, 2 UTILIZAÇÕES.  AF_06/2017</v>
          </cell>
          <cell r="C2234" t="str">
            <v>M</v>
          </cell>
          <cell r="D2234">
            <v>206.82</v>
          </cell>
        </row>
        <row r="2235">
          <cell r="A2235" t="str">
            <v>101791</v>
          </cell>
          <cell r="B2235" t="str">
            <v>FABRICAÇÃO DE ESCORAS DO TIPO PONTALETE, EM MADEIRA, PARA PÉ-DIREITO DUPLO. AF_09/2020</v>
          </cell>
          <cell r="C2235" t="str">
            <v>M3</v>
          </cell>
          <cell r="D2235">
            <v>24.31</v>
          </cell>
        </row>
        <row r="2236">
          <cell r="A2236" t="str">
            <v>101792</v>
          </cell>
          <cell r="B2236" t="str">
            <v>ESCORAMENTO DE FÔRMAS DE LAJE EM MADEIRA NÃO APARELHADA, PÉ-DIREITO SIMPLES, INCLUSO TRAVAMENTO, 4 UTILIZAÇÕES. AF_09/2020</v>
          </cell>
          <cell r="C2236" t="str">
            <v>M3</v>
          </cell>
          <cell r="D2236">
            <v>16</v>
          </cell>
        </row>
        <row r="2237">
          <cell r="A2237" t="str">
            <v>101793</v>
          </cell>
          <cell r="B2237" t="str">
            <v>ESCORAMENTO DE FÔRMAS DE LAJE EM MADEIRA NÃO APARELHADA, PÉ-DIREITO DUPLO, INCLUSO TRAVAMENTO, 4 UTILIZAÇÕES. AF_09/2020</v>
          </cell>
          <cell r="C2237" t="str">
            <v>M2</v>
          </cell>
          <cell r="D2237">
            <v>24.1</v>
          </cell>
        </row>
        <row r="2238">
          <cell r="A2238" t="str">
            <v>101969</v>
          </cell>
          <cell r="B2238" t="str">
            <v>FABRICAÇÃO DE FÔRMA PARA ESCADAS, COM 2 LANCES EM "U" E LAJE PLANA, EM CHAPA DE MADEIRA COMPENSADA PLASTIFICADA, E=18 MM. AF_11/2020</v>
          </cell>
          <cell r="C2238" t="str">
            <v>M2</v>
          </cell>
          <cell r="D2238">
            <v>199.61</v>
          </cell>
        </row>
        <row r="2239">
          <cell r="A2239" t="str">
            <v>101971</v>
          </cell>
          <cell r="B2239" t="str">
            <v>FABRICAÇÃO DE FÔRMA PARA ESCADAS, COM 2 LANCES EM "U" E LAJE PLANA, EM CHAPA DE MADEIRA COMPENSADA RESINADA, E= 17 MM. AF_11/2020</v>
          </cell>
          <cell r="C2239" t="str">
            <v>M2</v>
          </cell>
          <cell r="D2239">
            <v>152.32</v>
          </cell>
        </row>
        <row r="2240">
          <cell r="A2240" t="str">
            <v>101973</v>
          </cell>
          <cell r="B2240" t="str">
            <v>FABRICAÇÃO DE FÔRMA PARA ESCADAS, COM 2 LANCES EM "U" E LAJE PLANA, EM MADEIRA SERRADA, E=25 MM. AF_11/2020</v>
          </cell>
          <cell r="C2240" t="str">
            <v>M2</v>
          </cell>
          <cell r="D2240">
            <v>208.13</v>
          </cell>
        </row>
        <row r="2241">
          <cell r="A2241" t="str">
            <v>101974</v>
          </cell>
          <cell r="B2241" t="str">
            <v>MONTAGEM E DESMONTAGEM DE FÔRMA PARA ESCADAS, COM 2 LANCES EM "U" E LAJE PLANA, EM MADEIRA SERRADA, 1 UTILIZAÇÃO. AF_11/2020</v>
          </cell>
          <cell r="C2241" t="str">
            <v>M2</v>
          </cell>
          <cell r="D2241">
            <v>467.89</v>
          </cell>
        </row>
        <row r="2242">
          <cell r="A2242" t="str">
            <v>101975</v>
          </cell>
          <cell r="B2242" t="str">
            <v>MONTAGEM E DESMONTAGEM DE FÔRMA PARA ESCADAS, COM 2 LANCES EM "U"  E LAJE PLANA, EM MADEIRA SERRADA, 2 UTILIZAÇÕES. AF_11/2020</v>
          </cell>
          <cell r="C2242" t="str">
            <v>M2</v>
          </cell>
          <cell r="D2242">
            <v>398.74</v>
          </cell>
        </row>
        <row r="2243">
          <cell r="A2243" t="str">
            <v>101977</v>
          </cell>
          <cell r="B2243" t="str">
            <v>MONTAGEM E DESMONTAGEM DE FÔRMA PARA ESCADAS, COM 2 LANCES EM "U" E LAJE PLANA, EM CHAPA DE MADEIRA COMPENSADA RESINADA, 2 UTILIZAÇÕES. AF_11/2020</v>
          </cell>
          <cell r="C2243" t="str">
            <v>M2</v>
          </cell>
          <cell r="D2243">
            <v>278.57</v>
          </cell>
        </row>
        <row r="2244">
          <cell r="A2244" t="str">
            <v>101980</v>
          </cell>
          <cell r="B2244" t="str">
            <v>MONTAGEM E DESMONTAGEM DE FÔRMA PARA ESCADAS, COM 2 LANCES EM "U" E LAJE PLANA, EM CHAPA DE MADEIRA COMPENSADA RESINADA, 4 UTILIZAÇÕES. AF_11/2020</v>
          </cell>
          <cell r="C2244" t="str">
            <v>M2</v>
          </cell>
          <cell r="D2244">
            <v>249.85</v>
          </cell>
        </row>
        <row r="2245">
          <cell r="A2245" t="str">
            <v>101981</v>
          </cell>
          <cell r="B2245" t="str">
            <v>MONTAGEM E DESMONTAGEM DE FÔRMA PARA ESCADAS, COM 2 LANCES EM "U" E LAJE PLANA, EM CHAPA DE MADEIRA COMPENSADA PLASTIFICADA, 6 UTILIZAÇÕES. AF_11/2020</v>
          </cell>
          <cell r="C2245" t="str">
            <v>M2</v>
          </cell>
          <cell r="D2245">
            <v>214.43</v>
          </cell>
        </row>
        <row r="2246">
          <cell r="A2246" t="str">
            <v>101982</v>
          </cell>
          <cell r="B2246" t="str">
            <v>MONTAGEM E DESMONTAGEM DE FÔRMA PARA ESCADAS, COM 2 LANCES EM "U" E LAJE PLANA, EM CHAPA DE MADEIRA COMPENSADA PLASTIFICADA, 8 UTILIZAÇÕES. AF_11/2020</v>
          </cell>
          <cell r="C2246" t="str">
            <v>M2</v>
          </cell>
          <cell r="D2246">
            <v>187.43</v>
          </cell>
        </row>
        <row r="2247">
          <cell r="A2247" t="str">
            <v>101983</v>
          </cell>
          <cell r="B2247" t="str">
            <v>MONTAGEM E DESMONTAGEM DE FÔRMA PARA ESCADAS, COM 2 LANCES EM "U" E LAJE PLANA, EM CHAPA DE MADEIRA COMPENSADA PLASTIFICADA, 10 UTILIZAÇÕES. AF_11/2020</v>
          </cell>
          <cell r="C2247" t="str">
            <v>M2</v>
          </cell>
          <cell r="D2247">
            <v>170.43</v>
          </cell>
        </row>
        <row r="2248">
          <cell r="A2248" t="str">
            <v>101985</v>
          </cell>
          <cell r="B2248" t="str">
            <v>FABRICAÇÃO DE FÔRMA PARA ESCADAS, COM 2 LANCES EM "U" E LAJE CASCATA, EM CHAPA DE MADEIRA COMPENSADA PLASTIFICADA, E=18 MM. AF_11/2020</v>
          </cell>
          <cell r="C2248" t="str">
            <v>M2</v>
          </cell>
          <cell r="D2248">
            <v>213.11</v>
          </cell>
        </row>
        <row r="2249">
          <cell r="A2249" t="str">
            <v>101986</v>
          </cell>
          <cell r="B2249" t="str">
            <v>FABRICAÇÃO DE FÔRMA PARA ESCADAS, COM 2 LANCES EM "U" E LAJE CASCATA, EM CHAPA DE MADEIRA COMPENSADA RESINADA, E= 17 MM. AF_11/2020</v>
          </cell>
          <cell r="C2249" t="str">
            <v>M2</v>
          </cell>
          <cell r="D2249">
            <v>152.97999999999999</v>
          </cell>
        </row>
        <row r="2250">
          <cell r="A2250" t="str">
            <v>101987</v>
          </cell>
          <cell r="B2250" t="str">
            <v>FABRICAÇÃO DE FÔRMA PARA ESCADAS, COM 2 LANCES EM "U" E LAJE CASCATA, EM MADEIRA SERRADA, E=25 MM. AF_11/2020</v>
          </cell>
          <cell r="C2250" t="str">
            <v>M2</v>
          </cell>
          <cell r="D2250">
            <v>245.27</v>
          </cell>
        </row>
        <row r="2251">
          <cell r="A2251" t="str">
            <v>101988</v>
          </cell>
          <cell r="B2251" t="str">
            <v>FABRICAÇÃO DE FÔRMA PARA ESCADAS, COM 2 LANCES EM "L" E LAJE PLANA, EM CHAPA DE MADEIRA COMPENSADA PLASTIFICADA, E=18 MM. AF_11/2020</v>
          </cell>
          <cell r="C2251" t="str">
            <v>M2</v>
          </cell>
          <cell r="D2251">
            <v>206.51</v>
          </cell>
        </row>
        <row r="2252">
          <cell r="A2252" t="str">
            <v>101989</v>
          </cell>
          <cell r="B2252" t="str">
            <v>FABRICAÇÃO DE FÔRMA PARA ESCADAS, COM 2 LANCES EM "L" E LAJE PLANA, EM CHAPA DE MADEIRA COMPENSADA RESINADA, E= 17 MM. AF_11/2020</v>
          </cell>
          <cell r="C2252" t="str">
            <v>M2</v>
          </cell>
          <cell r="D2252">
            <v>159.80000000000001</v>
          </cell>
        </row>
        <row r="2253">
          <cell r="A2253" t="str">
            <v>101990</v>
          </cell>
          <cell r="B2253" t="str">
            <v>FABRICAÇÃO DE FÔRMA PARA ESCADAS, COM 2 LANCES EM "L" E LAJE PLANA, EM MADEIRA SERRADA, E=25 MM. AF_11/2020</v>
          </cell>
          <cell r="C2253" t="str">
            <v>M2</v>
          </cell>
          <cell r="D2253">
            <v>224</v>
          </cell>
        </row>
        <row r="2254">
          <cell r="A2254" t="str">
            <v>101991</v>
          </cell>
          <cell r="B2254" t="str">
            <v>FABRICAÇÃO DE FÔRMA PARA ESCADAS, COM 2 LANCES EM "L" E LAJE CASCATA, EM CHAPA DE MADEIRA COMPENSADA PLASTIFICADA, E=18 MM. AF_11/2020</v>
          </cell>
          <cell r="C2254" t="str">
            <v>M2</v>
          </cell>
          <cell r="D2254">
            <v>212.42</v>
          </cell>
        </row>
        <row r="2255">
          <cell r="A2255" t="str">
            <v>101992</v>
          </cell>
          <cell r="B2255" t="str">
            <v>FABRICAÇÃO DE FÔRMA PARA ESCADAS, COM 2 LANCES EM "L" E LAJE CASCATA, EM CHAPA DE MADEIRA COMPENSADA RESINADA, E= 17 MM. AF_11/2020</v>
          </cell>
          <cell r="C2255" t="str">
            <v>M2</v>
          </cell>
          <cell r="D2255">
            <v>154.94</v>
          </cell>
        </row>
        <row r="2256">
          <cell r="A2256" t="str">
            <v>101993</v>
          </cell>
          <cell r="B2256" t="str">
            <v>FABRICAÇÃO DE FÔRMA PARA ESCADAS, COM 2 LANCES EM "L" E LAJE CASCATA, EM MADEIRA SERRADA, E=25 MM. AF_11/2020</v>
          </cell>
          <cell r="C2256" t="str">
            <v>M2</v>
          </cell>
          <cell r="D2256">
            <v>288.01</v>
          </cell>
        </row>
        <row r="2257">
          <cell r="A2257" t="str">
            <v>101994</v>
          </cell>
          <cell r="B2257" t="str">
            <v>FABRICAÇÃO DE FÔRMA PARA ESCADAS, COM 1 LANCE E LAJE PLANA, EM CHAPA DE MADEIRA COMPENSADA PLASTIFICADA, E=18 MM. AF_11/2020</v>
          </cell>
          <cell r="C2257" t="str">
            <v>M2</v>
          </cell>
          <cell r="D2257">
            <v>220.21</v>
          </cell>
        </row>
        <row r="2258">
          <cell r="A2258" t="str">
            <v>101995</v>
          </cell>
          <cell r="B2258" t="str">
            <v>FABRICAÇÃO DE FÔRMA PARA ESCADAS, COM 1 LANCE E LAJE PLANA, EM CHAPA DE MADEIRA COMPENSADA RESINADA, E= 17 MM. AF_11/2020</v>
          </cell>
          <cell r="C2258" t="str">
            <v>M2</v>
          </cell>
          <cell r="D2258">
            <v>167.78</v>
          </cell>
        </row>
        <row r="2259">
          <cell r="A2259" t="str">
            <v>101996</v>
          </cell>
          <cell r="B2259" t="str">
            <v>FABRICAÇÃO DE FÔRMA PARA ESCADAS, COM 1 LANCE E LAJE PLANA, EM MADEIRA SERRADA, E=25 MM. AF_11/2020</v>
          </cell>
          <cell r="C2259" t="str">
            <v>M2</v>
          </cell>
          <cell r="D2259">
            <v>240.83</v>
          </cell>
        </row>
        <row r="2260">
          <cell r="A2260" t="str">
            <v>101997</v>
          </cell>
          <cell r="B2260" t="str">
            <v>FABRICAÇÃO DE FÔRMA PARA ESCADAS, COM 1 LANCE E LAJE CASCATA, EM CHAPA DE MADEIRA COMPENSADA PLASTIFICADA, E=18 MM. AF_11/2020</v>
          </cell>
          <cell r="C2260" t="str">
            <v>M2</v>
          </cell>
          <cell r="D2260">
            <v>212.74</v>
          </cell>
        </row>
        <row r="2261">
          <cell r="A2261" t="str">
            <v>101998</v>
          </cell>
          <cell r="B2261" t="str">
            <v>FABRICAÇÃO DE FÔRMA PARA ESCADAS, COM 1 LANCE E LAJE CASCATA, EM CHAPA DE MADEIRA COMPENSADA RESINADA, E= 17 MM. AF_11/2020</v>
          </cell>
          <cell r="C2261" t="str">
            <v>M2</v>
          </cell>
          <cell r="D2261">
            <v>153.94999999999999</v>
          </cell>
        </row>
        <row r="2262">
          <cell r="A2262" t="str">
            <v>101999</v>
          </cell>
          <cell r="B2262" t="str">
            <v>FABRICAÇÃO DE FÔRMA PARA ESCADAS, COM 1 LANCE E LAJE CASCATA, EM MADEIRA SERRADA, E=25 MM. AF_11/2020</v>
          </cell>
          <cell r="C2262" t="str">
            <v>M2</v>
          </cell>
          <cell r="D2262">
            <v>308.66000000000003</v>
          </cell>
        </row>
        <row r="2263">
          <cell r="A2263" t="str">
            <v>102000</v>
          </cell>
          <cell r="B2263" t="str">
            <v>MONTAGEM E DESMONTAGEM DE FÔRMA PARA ESCADAS, COM 2 LANCES EM "U" E LAJE CASCATA, EM MADEIRA SERRADA, 1 UTILIZAÇÃO. AF_11/2020</v>
          </cell>
          <cell r="C2263" t="str">
            <v>M2</v>
          </cell>
          <cell r="D2263">
            <v>479.5</v>
          </cell>
        </row>
        <row r="2264">
          <cell r="A2264" t="str">
            <v>102001</v>
          </cell>
          <cell r="B2264" t="str">
            <v>MONTAGEM E DESMONTAGEM DE FÔRMA PARA ESCADAS, COM 2 LANCES EM "U" E LAJE CASCATA, EM MADEIRA SERRADA, 2 UTILIZAÇÕES. AF_11/2020</v>
          </cell>
          <cell r="C2264" t="str">
            <v>M2</v>
          </cell>
          <cell r="D2264">
            <v>413.98</v>
          </cell>
        </row>
        <row r="2265">
          <cell r="A2265" t="str">
            <v>102002</v>
          </cell>
          <cell r="B2265" t="str">
            <v>MONTAGEM E DESMONTAGEM DE FÔRMA PARA ESCADAS, COM 2 LANCES EM "U" E LAJE CASCATA, EM CHAPA DE MADEIRA COMPENSADA RESINADA, 2 UTILIZAÇÕES. AF_11/2020</v>
          </cell>
          <cell r="C2265" t="str">
            <v>M2</v>
          </cell>
          <cell r="D2265">
            <v>280.20999999999998</v>
          </cell>
        </row>
        <row r="2266">
          <cell r="A2266" t="str">
            <v>102003</v>
          </cell>
          <cell r="B2266" t="str">
            <v>MONTAGEM E DESMONTAGEM DE FÔRMA PARA ESCADAS, COM 2 LANCES EM "U" E LAJE CASCATA, EM CHAPA DE MADEIRA COMPENSADA RESINADA, 4 UTILIZAÇÕES. AF_11/2020</v>
          </cell>
          <cell r="C2266" t="str">
            <v>M2</v>
          </cell>
          <cell r="D2266">
            <v>253.5</v>
          </cell>
        </row>
        <row r="2267">
          <cell r="A2267" t="str">
            <v>102004</v>
          </cell>
          <cell r="B2267" t="str">
            <v>MONTAGEM E DESMONTAGEM DE FÔRMA PARA ESCADAS, COM 2 LANCES EM "U" E LAJE CASCATA, EM CHAPA DE MADEIRA COMPENSADA PLASTIFICADA, 6 UTILIZAÇÕES. AF_11/2020</v>
          </cell>
          <cell r="C2267" t="str">
            <v>M2</v>
          </cell>
          <cell r="D2267">
            <v>223.18</v>
          </cell>
        </row>
        <row r="2268">
          <cell r="A2268" t="str">
            <v>102005</v>
          </cell>
          <cell r="B2268" t="str">
            <v>MONTAGEM E DESMONTAGEM DE FÔRMA PARA ESCADAS, COM 2 LANCES EM "U" E LAJE CASCATA, EM CHAPA DE MADEIRA COMPENSADA PLASTIFICADA, 8 UTILIZAÇÕES. AF_11/2020</v>
          </cell>
          <cell r="C2268" t="str">
            <v>M2</v>
          </cell>
          <cell r="D2268">
            <v>194.7</v>
          </cell>
        </row>
        <row r="2269">
          <cell r="A2269" t="str">
            <v>102006</v>
          </cell>
          <cell r="B2269" t="str">
            <v>MONTAGEM E DESMONTAGEM DE FÔRMA PARA ESCADAS, COM 2 LANCES EM "U" E LAJE CASCATA, EM CHAPA DE MADEIRA COMPENSADA PLASTIFICADA, 10 UTILIZAÇÕES. AF_11/2020</v>
          </cell>
          <cell r="C2269" t="str">
            <v>M2</v>
          </cell>
          <cell r="D2269">
            <v>176.75</v>
          </cell>
        </row>
        <row r="2270">
          <cell r="A2270" t="str">
            <v>102007</v>
          </cell>
          <cell r="B2270" t="str">
            <v>MONTAGEM E DESMONTAGEM DE FÔRMA PARA ESCADAS, COM 2 LANCES EM "L" E LAJE PLANA, EM MADEIRA SERRADA, 1 UTILIZAÇÃO. AF_11/2020</v>
          </cell>
          <cell r="C2270" t="str">
            <v>M2</v>
          </cell>
          <cell r="D2270">
            <v>464.39</v>
          </cell>
        </row>
        <row r="2271">
          <cell r="A2271" t="str">
            <v>102008</v>
          </cell>
          <cell r="B2271" t="str">
            <v>MONTAGEM E DESMONTAGEM DE FÔRMA PARA ESCADAS, COM 2 LANCES EM "L" E LAJE PLANA, EM MADEIRA SERRADA, 2 UTILIZAÇÕES. AF_11/2020</v>
          </cell>
          <cell r="C2271" t="str">
            <v>M2</v>
          </cell>
          <cell r="D2271">
            <v>388.77</v>
          </cell>
        </row>
        <row r="2272">
          <cell r="A2272" t="str">
            <v>102009</v>
          </cell>
          <cell r="B2272" t="str">
            <v>MONTAGEM E DESMONTAGEM DE FÔRMA PARA ESCADAS, COM 2 LANCES EM "L" E LAJE PLANA, EM CHAPA DE MADEIRA COMPENSADA RESINADA, 2 UTILIZAÇÕES. AF_11/2020</v>
          </cell>
          <cell r="C2272" t="str">
            <v>M2</v>
          </cell>
          <cell r="D2272">
            <v>281.81</v>
          </cell>
        </row>
        <row r="2273">
          <cell r="A2273" t="str">
            <v>102010</v>
          </cell>
          <cell r="B2273" t="str">
            <v>MONTAGEM E DESMONTAGEM DE FÔRMA PARA ESCADAS, COM 2 LANCES EM "L" E LAJE PLANA, EM CHAPA DE MADEIRA COMPENSADA RESINADA, 4 UTILIZAÇÕES. AF_11/2020</v>
          </cell>
          <cell r="C2273" t="str">
            <v>M2</v>
          </cell>
          <cell r="D2273">
            <v>251.1</v>
          </cell>
        </row>
        <row r="2274">
          <cell r="A2274" t="str">
            <v>102011</v>
          </cell>
          <cell r="B2274" t="str">
            <v>MONTAGEM E DESMONTAGEM DE FÔRMA PARA ESCADAS, COM 2 LANCES EM "L" E LAJE PLANA, EM CHAPA DE MADEIRA COMPENSADA PLASTIFICADA, 6 UTILIZAÇÕES. AF_11/2020</v>
          </cell>
          <cell r="C2274" t="str">
            <v>M2</v>
          </cell>
          <cell r="D2274">
            <v>213.47</v>
          </cell>
        </row>
        <row r="2275">
          <cell r="A2275" t="str">
            <v>102012</v>
          </cell>
          <cell r="B2275" t="str">
            <v>MONTAGEM E DESMONTAGEM DE FÔRMA PARA ESCADAS, COM 2 LANCES EM "L" E LAJE PLANA, EM CHAPA DE MADEIRA COMPENSADA PLASTIFICADA, 8 UTILIZAÇÕES. AF_11/2020</v>
          </cell>
          <cell r="C2275" t="str">
            <v>M2</v>
          </cell>
          <cell r="D2275">
            <v>185.71</v>
          </cell>
        </row>
        <row r="2276">
          <cell r="A2276" t="str">
            <v>102013</v>
          </cell>
          <cell r="B2276" t="str">
            <v>MONTAGEM E DESMONTAGEM DE FÔRMA PARA ESCADAS, COM 2 LANCES EM "L" E LAJE PLANA, EM CHAPA DE MADEIRA COMPENSADA PLASTIFICADA, 10 UTILIZAÇÕES. AF_11/2020</v>
          </cell>
          <cell r="C2276" t="str">
            <v>M2</v>
          </cell>
          <cell r="D2276">
            <v>170.29</v>
          </cell>
        </row>
        <row r="2277">
          <cell r="A2277" t="str">
            <v>102014</v>
          </cell>
          <cell r="B2277" t="str">
            <v>MONTAGEM E DESMONTAGEM DE FÔRMA PARA ESCADAS, COM 2 LANCES EM "L" E LAJE CASCATA, EM MADEIRA SERRADA, 1 UTILIZAÇÃO. AF_11/2020</v>
          </cell>
          <cell r="C2277" t="str">
            <v>M2</v>
          </cell>
          <cell r="D2277">
            <v>522.38</v>
          </cell>
        </row>
        <row r="2278">
          <cell r="A2278" t="str">
            <v>102015</v>
          </cell>
          <cell r="B2278" t="str">
            <v>MONTAGEM E DESMONTAGEM DE FÔRMA PARA ESCADAS, COM 2 LANCES EM "L" E LAJE CASCATA, EM MADEIRA SERRADA, 2 UTILIZAÇÕES. AF_11/2020</v>
          </cell>
          <cell r="C2278" t="str">
            <v>M2</v>
          </cell>
          <cell r="D2278">
            <v>438.43</v>
          </cell>
        </row>
        <row r="2279">
          <cell r="A2279" t="str">
            <v>102016</v>
          </cell>
          <cell r="B2279" t="str">
            <v>MONTAGEM E DESMONTAGEM DE FÔRMA PARA ESCADAS, COM 2 LANCES EM "L" E LAJE CASCATA, EM CHAPA DE MADEIRA COMPENSADA RESINADA, 2 UTILIZAÇÕES. AF_11/2020</v>
          </cell>
          <cell r="C2279" t="str">
            <v>M2</v>
          </cell>
          <cell r="D2279">
            <v>278.87</v>
          </cell>
        </row>
        <row r="2280">
          <cell r="A2280" t="str">
            <v>102017</v>
          </cell>
          <cell r="B2280" t="str">
            <v>MONTAGEM E DESMONTAGEM DE FÔRMA PARA ESCADAS, COM 2 LANCES EM "L" E LAJE CASCATA, EM CHAPA DE MADEIRA COMPENSADA RESINADA, 4 UTILIZAÇÕES. AF_11/2020</v>
          </cell>
          <cell r="C2280" t="str">
            <v>M2</v>
          </cell>
          <cell r="D2280">
            <v>250.46</v>
          </cell>
        </row>
        <row r="2281">
          <cell r="A2281" t="str">
            <v>102036</v>
          </cell>
          <cell r="B2281" t="str">
            <v>MONTAGEM E DESMONTAGEM DE FÔRMA PARA ESCADAS, COM 2 LANCES EM "L" E LAJE CASCATA, EM CHAPA DE MADEIRA COMPENSADA PLASTIFICADA, 6 UTILIZAÇÕES. AF_11/2020</v>
          </cell>
          <cell r="C2281" t="str">
            <v>M2</v>
          </cell>
          <cell r="D2281">
            <v>218.3</v>
          </cell>
        </row>
        <row r="2282">
          <cell r="A2282" t="str">
            <v>102037</v>
          </cell>
          <cell r="B2282" t="str">
            <v>MONTAGEM E DESMONTAGEM DE FÔRMA PARA ESCADAS, COM 2 LANCES EM "L" E LAJE CASCATA, EM CHAPA DE MADEIRA COMPENSADA PLASTIFICADA, 8 UTILIZAÇÕES. AF_11/2020</v>
          </cell>
          <cell r="C2282" t="str">
            <v>M2</v>
          </cell>
          <cell r="D2282">
            <v>189.89</v>
          </cell>
        </row>
        <row r="2283">
          <cell r="A2283" t="str">
            <v>102038</v>
          </cell>
          <cell r="B2283" t="str">
            <v>MONTAGEM E DESMONTAGEM DE FÔRMA PARA ESCADAS, COM 2 LANCES EM "L" E LAJE CASCATA, EM CHAPA DE MADEIRA COMPENSADA PLASTIFICADA, 10 UTILIZAÇÕES. AF_11/2020</v>
          </cell>
          <cell r="C2283" t="str">
            <v>M2</v>
          </cell>
          <cell r="D2283">
            <v>174.12</v>
          </cell>
        </row>
        <row r="2284">
          <cell r="A2284" t="str">
            <v>102039</v>
          </cell>
          <cell r="B2284" t="str">
            <v>MONTAGEM E DESMONTAGEM DE FÔRMA PARA ESCADAS, COM 1 LANCE E LAJE PLANA, EM MADEIRA SERRADA, 1 UTILIZAÇÃO. AF_11/2020</v>
          </cell>
          <cell r="C2284" t="str">
            <v>M2</v>
          </cell>
          <cell r="D2284">
            <v>484.72</v>
          </cell>
        </row>
        <row r="2285">
          <cell r="A2285" t="str">
            <v>102040</v>
          </cell>
          <cell r="B2285" t="str">
            <v>MONTAGEM E DESMONTAGEM DE FÔRMA PARA ESCADAS, COM 1 LANCE E LAJE PLANA, EM MADEIRA SERRADA, 2 UTILIZAÇÕES. AF_11/2020</v>
          </cell>
          <cell r="C2285" t="str">
            <v>M2</v>
          </cell>
          <cell r="D2285">
            <v>404.52</v>
          </cell>
        </row>
        <row r="2286">
          <cell r="A2286" t="str">
            <v>102041</v>
          </cell>
          <cell r="B2286" t="str">
            <v>MONTAGEM E DESMONTAGEM DE FÔRMA PARA ESCADAS, COM 1 LANCE E LAJE PLANA, EM CHAPA DE MADEIRA COMPENSADA RESINADA, 2 UTILIZAÇÕES. AF_11/2020</v>
          </cell>
          <cell r="C2286" t="str">
            <v>M2</v>
          </cell>
          <cell r="D2286">
            <v>285.14</v>
          </cell>
        </row>
        <row r="2287">
          <cell r="A2287" t="str">
            <v>102042</v>
          </cell>
          <cell r="B2287" t="str">
            <v>MONTAGEM E DESMONTAGEM DE FÔRMA PARA ESCADAS, COM 1 LANCE E LAJE PLANA, EM CHAPA DE MADEIRA COMPENSADA RESINADA, 4 UTILIZAÇÕES. AF_11/2020</v>
          </cell>
          <cell r="C2287" t="str">
            <v>M2</v>
          </cell>
          <cell r="D2287">
            <v>252.3</v>
          </cell>
        </row>
        <row r="2288">
          <cell r="A2288" t="str">
            <v>102043</v>
          </cell>
          <cell r="B2288" t="str">
            <v>MONTAGEM E DESMONTAGEM DE FÔRMA PARA ESCADAS, COM 1 LANCE E LAJE PLANA, EM CHAPA DE MADEIRA COMPENSADA PLASTIFICADA, 6 UTILIZAÇÕES. AF_11/2020</v>
          </cell>
          <cell r="C2288" t="str">
            <v>M2</v>
          </cell>
          <cell r="D2288">
            <v>215.75</v>
          </cell>
        </row>
        <row r="2289">
          <cell r="A2289" t="str">
            <v>102044</v>
          </cell>
          <cell r="B2289" t="str">
            <v>MONTAGEM E DESMONTAGEM DE FÔRMA PARA ESCADAS, COM 1 LANCE E LAJE PLANA, EM CHAPA DE MADEIRA COMPENSADA PLASTIFICADA, 8 UTILIZAÇÕES. AF_11/2020</v>
          </cell>
          <cell r="C2289" t="str">
            <v>M2</v>
          </cell>
          <cell r="D2289">
            <v>188.69</v>
          </cell>
        </row>
        <row r="2290">
          <cell r="A2290" t="str">
            <v>102045</v>
          </cell>
          <cell r="B2290" t="str">
            <v>MONTAGEM E DESMONTAGEM DE FÔRMA PARA ESCADAS, COM 1 LANCE E LAJE PLANA, EM CHAPA DE MADEIRA COMPENSADA PLASTIFICADA, 10 UTILIZAÇÕES. AF_11/2020</v>
          </cell>
          <cell r="C2290" t="str">
            <v>M2</v>
          </cell>
          <cell r="D2290">
            <v>172.45</v>
          </cell>
        </row>
        <row r="2291">
          <cell r="A2291" t="str">
            <v>102046</v>
          </cell>
          <cell r="B2291" t="str">
            <v>MONTAGEM E DESMONTAGEM DE FÔRMA PARA ESCADAS, COM 1 LANCE E LAJE CASCATA, EM MADEIRA SERRADA, 1 UTILIZAÇÃO. AF_11/2020</v>
          </cell>
          <cell r="C2291" t="str">
            <v>M2</v>
          </cell>
          <cell r="D2291">
            <v>532.79999999999995</v>
          </cell>
        </row>
        <row r="2292">
          <cell r="A2292" t="str">
            <v>102047</v>
          </cell>
          <cell r="B2292" t="str">
            <v>MONTAGEM E DESMONTAGEM DE FÔRMA PARA ESCADAS, COM 1 LANCE E LAJE CASCATA, EM MADEIRA SERRADA, 2 UTILIZAÇÕES. AF_11/2020</v>
          </cell>
          <cell r="C2292" t="str">
            <v>M2</v>
          </cell>
          <cell r="D2292">
            <v>455.28</v>
          </cell>
        </row>
        <row r="2293">
          <cell r="A2293" t="str">
            <v>102048</v>
          </cell>
          <cell r="B2293" t="str">
            <v>MONTAGEM E DESMONTAGEM DE FÔRMA PARA ESCADAS, COM 1 LANCE E LAJE CASCATA, EM CHAPA DE MADEIRA COMPENSADA RESINADA, 2 UTILIZAÇÕES. AF_11/2020</v>
          </cell>
          <cell r="C2293" t="str">
            <v>M2</v>
          </cell>
          <cell r="D2293">
            <v>275.38</v>
          </cell>
        </row>
        <row r="2294">
          <cell r="A2294" t="str">
            <v>102049</v>
          </cell>
          <cell r="B2294" t="str">
            <v>MONTAGEM E DESMONTAGEM DE FÔRMA PARA ESCADAS, COM 1 LANCE E LAJE CASCATA, EM CHAPA DE MADEIRA COMPENSADA RESINADA, 4 UTILIZAÇÕES. AF_11/2020</v>
          </cell>
          <cell r="C2294" t="str">
            <v>M2</v>
          </cell>
          <cell r="D2294">
            <v>244.83</v>
          </cell>
        </row>
        <row r="2295">
          <cell r="A2295" t="str">
            <v>102050</v>
          </cell>
          <cell r="B2295" t="str">
            <v>MONTAGEM E DESMONTAGEM DE FÔRMA PARA ESCADAS, COM 1 LANCE E LAJE CASCATA, EM CHAPA DE MADEIRA COMPENSADA PLASTIFICADA, 6 UTILIZAÇÕES. AF_11/2020</v>
          </cell>
          <cell r="C2295" t="str">
            <v>M2</v>
          </cell>
          <cell r="D2295">
            <v>214.7</v>
          </cell>
        </row>
        <row r="2296">
          <cell r="A2296" t="str">
            <v>102051</v>
          </cell>
          <cell r="B2296" t="str">
            <v>MONTAGEM E DESMONTAGEM DE FÔRMA PARA ESCADAS, COM 1 LANCE E LAJE CASCATA, EM CHAPA DE MADEIRA COMPENSADA PLASTIFICADA, 8 UTILIZAÇÕES. AF_11/2020</v>
          </cell>
          <cell r="C2296" t="str">
            <v>M2</v>
          </cell>
          <cell r="D2296">
            <v>186.26</v>
          </cell>
        </row>
        <row r="2297">
          <cell r="A2297" t="str">
            <v>102052</v>
          </cell>
          <cell r="B2297" t="str">
            <v>MONTAGEM E DESMONTAGEM DE FÔRMA PARA ESCADAS, COM 1 LANCE E LAJE CASCATA, EM CHAPA DE MADEIRA COMPENSADA PLASTIFICADA, 10 UTILIZAÇÕES. AF_11/2020</v>
          </cell>
          <cell r="C2297" t="str">
            <v>M2</v>
          </cell>
          <cell r="D2297">
            <v>170.47</v>
          </cell>
        </row>
        <row r="2298">
          <cell r="A2298" t="str">
            <v>102059</v>
          </cell>
          <cell r="B2298" t="str">
            <v>MONTAGEM E DESMONTAGEM DE FÔRMA PARA ESCADA DUPLA COM 2 LANCES EM "X" E LAJE PLANA, EM MADEIRA SERRADA, 1 UTILIZAÇÃO. AF_11/2020</v>
          </cell>
          <cell r="C2298" t="str">
            <v>M2</v>
          </cell>
          <cell r="D2298">
            <v>453.34</v>
          </cell>
        </row>
        <row r="2299">
          <cell r="A2299" t="str">
            <v>102060</v>
          </cell>
          <cell r="B2299" t="str">
            <v>MONTAGEM E DESMONTAGEM DE FÔRMA PARA ESCADA DUPLA COM 2 LANCES EM "X" E LAJE PLANA, EM MADEIRA SERRADA, 2 UTILIZAÇÕES. AF_11/2020</v>
          </cell>
          <cell r="C2299" t="str">
            <v>M2</v>
          </cell>
          <cell r="D2299">
            <v>381.69</v>
          </cell>
        </row>
        <row r="2300">
          <cell r="A2300" t="str">
            <v>102061</v>
          </cell>
          <cell r="B2300" t="str">
            <v>MONTAGEM E DESMONTAGEM DE FÔRMA PARA ESCADA DUPLA COM 2 LANCES EM "X" E LAJE PLANA, EM CHAPA DE MADEIRA COMPENSADA RESINADA, 2 UTILIZAÇÕES. AF_11/2020</v>
          </cell>
          <cell r="C2300" t="str">
            <v>M2</v>
          </cell>
          <cell r="D2300">
            <v>262.27</v>
          </cell>
        </row>
        <row r="2301">
          <cell r="A2301" t="str">
            <v>102062</v>
          </cell>
          <cell r="B2301" t="str">
            <v>MONTAGEM E DESMONTAGEM DE FÔRMA PARA ESCADA DUPLA COM 2 LANCES EM "X" E LAJE PLANA, EM CHAPA DE MADEIRA COMPENSADA RESINADA, 4 UTILIZAÇÕES. AF_11/2020</v>
          </cell>
          <cell r="C2301" t="str">
            <v>M2</v>
          </cell>
          <cell r="D2301">
            <v>236.44</v>
          </cell>
        </row>
        <row r="2302">
          <cell r="A2302" t="str">
            <v>102063</v>
          </cell>
          <cell r="B2302" t="str">
            <v>MONTAGEM E DESMONTAGEM DE FÔRMA PARA ESCADA DUPLA COM 2 LANCES EM "X" E LAJE PLANA, EM CHAPA DE MADEIRA COMPENSADA PLASTIFICADA, 6 UTILIZAÇÕES. AF_11/2020</v>
          </cell>
          <cell r="C2302" t="str">
            <v>M2</v>
          </cell>
          <cell r="D2302">
            <v>201.11</v>
          </cell>
        </row>
        <row r="2303">
          <cell r="A2303" t="str">
            <v>102064</v>
          </cell>
          <cell r="B2303" t="str">
            <v>MONTAGEM E DESMONTAGEM DE FÔRMA PARA ESCADA DUPLA COM 2 LANCES EM "X" E LAJE PLANA, EM CHAPA DE MADEIRA COMPENSADA PLASTIFICADA, 8 UTILIZAÇÕES. AF_11/2020</v>
          </cell>
          <cell r="C2303" t="str">
            <v>M2</v>
          </cell>
          <cell r="D2303">
            <v>173.7</v>
          </cell>
        </row>
        <row r="2304">
          <cell r="A2304" t="str">
            <v>102065</v>
          </cell>
          <cell r="B2304" t="str">
            <v>MONTAGEM E DESMONTAGEM DE FÔRMA PARA ESCADA DUPLA COM 2 LANCES EM "X" E LAJE PLANA, EM CHAPA DE MADEIRA COMPENSADA PLASTIFICADA, 10 UTILIZAÇÕES. AF_11/2020</v>
          </cell>
          <cell r="C2304" t="str">
            <v>M2</v>
          </cell>
          <cell r="D2304">
            <v>158.53</v>
          </cell>
        </row>
        <row r="2305">
          <cell r="A2305" t="str">
            <v>102066</v>
          </cell>
          <cell r="B2305" t="str">
            <v>MONTAGEM E DESMONTAGEM DE FÔRMA PARA ESCADA DUPLA COM 2 LANCES EM "X" E LAJE CASCATA, EM MADEIRA SERRADA, 1 UTILIZAÇÃO. AF_11/2020</v>
          </cell>
          <cell r="C2305" t="str">
            <v>M2</v>
          </cell>
          <cell r="D2305">
            <v>473.63</v>
          </cell>
        </row>
        <row r="2306">
          <cell r="A2306" t="str">
            <v>102067</v>
          </cell>
          <cell r="B2306" t="str">
            <v>MONTAGEM E DESMONTAGEM DE FÔRMA PARA ESCADA DUPLA COM 2 LANCES EM "X" E LAJE CASCATA, EM MADEIRA SERRADA, 2 UTILIZAÇÕES. AF_11/2020</v>
          </cell>
          <cell r="C2306" t="str">
            <v>M2</v>
          </cell>
          <cell r="D2306">
            <v>406.64</v>
          </cell>
        </row>
        <row r="2307">
          <cell r="A2307" t="str">
            <v>102068</v>
          </cell>
          <cell r="B2307" t="str">
            <v>MONTAGEM E DESMONTAGEM DE FÔRMA PARA ESCADA DUPLA COM 2 LANCES EM "X" E LAJE CASCATA, EM CHAPA DE MADEIRA COMPENSADA RESINADA, 2 UTILIZAÇÕES. AF_11/2020</v>
          </cell>
          <cell r="C2307" t="str">
            <v>M2</v>
          </cell>
          <cell r="D2307">
            <v>249.77</v>
          </cell>
        </row>
        <row r="2308">
          <cell r="A2308" t="str">
            <v>102069</v>
          </cell>
          <cell r="B2308" t="str">
            <v>MONTAGEM E DESMONTAGEM DE FÔRMA PARA ESCADA DUPLA COM 2 LANCES EM "X" E LAJE CASCATA, EM CHAPA DE MADEIRA COMPENSADA RESINADA, 4 UTILIZAÇÕES. AF_11/2020</v>
          </cell>
          <cell r="C2308" t="str">
            <v>M2</v>
          </cell>
          <cell r="D2308">
            <v>226.28</v>
          </cell>
        </row>
        <row r="2309">
          <cell r="A2309" t="str">
            <v>102070</v>
          </cell>
          <cell r="B2309" t="str">
            <v>MONTAGEM E DESMONTAGEM DE FÔRMA PARA ESCADA DUPLA COM 2 LANCES EM "X" E LAJE CASCATA, EM CHAPA DE MADEIRA COMPENSADA PLASTIFICADA, 6 UTILIZAÇÕES. AF_11/2020</v>
          </cell>
          <cell r="C2309" t="str">
            <v>M2</v>
          </cell>
          <cell r="D2309">
            <v>197.78</v>
          </cell>
        </row>
        <row r="2310">
          <cell r="A2310" t="str">
            <v>102071</v>
          </cell>
          <cell r="B2310" t="str">
            <v>MONTAGEM E DESMONTAGEM DE FÔRMA PARA ESCADA DUPLA COM 2 LANCES EM "X" E LAJE CASCATA, EM CHAPA DE MADEIRA COMPENSADA PLASTIFICADA, 8 UTILIZAÇÕES. AF_11/2020</v>
          </cell>
          <cell r="C2310" t="str">
            <v>M2</v>
          </cell>
          <cell r="D2310">
            <v>171.34</v>
          </cell>
        </row>
        <row r="2311">
          <cell r="A2311" t="str">
            <v>102072</v>
          </cell>
          <cell r="B2311" t="str">
            <v>MONTAGEM E DESMONTAGEM DE FÔRMA PARA ESCADA DUPLA COM 2 LANCES EM "X" E LAJE CASCATA, EM CHAPA DE MADEIRA COMPENSADA PLASTIFICADA, 10 UTILIZAÇÕES. AF_11/2020</v>
          </cell>
          <cell r="C2311" t="str">
            <v>M3</v>
          </cell>
          <cell r="D2311">
            <v>159.91</v>
          </cell>
        </row>
        <row r="2312">
          <cell r="A2312" t="str">
            <v>102073</v>
          </cell>
          <cell r="B2312" t="str">
            <v>ESCADA EM CONCRETO ARMADO MOLDADO IN LOCO, FCK 20 MPA, COM 1 LANCE E LAJE PLANA, FÔRMA EM CHAPA DE MADEIRA COMPENSADA RESINADA. AF_11/2020</v>
          </cell>
          <cell r="C2312" t="str">
            <v>M3</v>
          </cell>
          <cell r="D2312">
            <v>3422.35</v>
          </cell>
        </row>
        <row r="2313">
          <cell r="A2313" t="str">
            <v>102074</v>
          </cell>
          <cell r="B2313" t="str">
            <v>ESCADA EM CONCRETO ARMADO MOLDADO IN LOCO, FCK 20 MPA, COM 2 LANCES EM "U" E LAJE PLANA, FÔRMA EM CHAPA DE MADEIRA COMPENSADA RESINADA. AF_11/2020</v>
          </cell>
          <cell r="C2313" t="str">
            <v>M3</v>
          </cell>
          <cell r="D2313">
            <v>4283.3999999999996</v>
          </cell>
        </row>
        <row r="2314">
          <cell r="A2314" t="str">
            <v>102075</v>
          </cell>
          <cell r="B2314" t="str">
            <v>ESCADA EM CONCRETO ARMADO MOLDADO IN LOCO, FCK 20 MPA, COM 2 LANCES EM "L" E LAJE PLANA, FÔRMA EM CHAPA DE MADEIRA COMPENSADA RESINADA. AF_11/2020</v>
          </cell>
          <cell r="C2314" t="str">
            <v>M3</v>
          </cell>
          <cell r="D2314">
            <v>4557.9399999999996</v>
          </cell>
        </row>
        <row r="2315">
          <cell r="A2315" t="str">
            <v>102076</v>
          </cell>
          <cell r="B2315" t="str">
            <v>ESCADA EM CONCRETO ARMADO MOLDADO IN LOCO, FCK 20 MPA, COM 2 LANCES EM "X" E LAJE PLANA, FÔRMA EM CHAPA DE MADEIRA COMPENSADA RESINADA. AF_11/2020</v>
          </cell>
          <cell r="C2315" t="str">
            <v>M3</v>
          </cell>
          <cell r="D2315">
            <v>4666.8599999999997</v>
          </cell>
        </row>
        <row r="2316">
          <cell r="A2316" t="str">
            <v>102077</v>
          </cell>
          <cell r="B2316" t="str">
            <v>ESCADA EM CONCRETO ARMADO MOLDADO IN LOCO, FCK 20 MPA, COM 1 LANCE E LAJE CASCATA, FÔRMA EM CHAPA DE MADEIRA COMPENSADA RESINADA. AF_11/2020</v>
          </cell>
          <cell r="C2316" t="str">
            <v>M3</v>
          </cell>
          <cell r="D2316">
            <v>5160.3500000000004</v>
          </cell>
        </row>
        <row r="2317">
          <cell r="A2317" t="str">
            <v>102078</v>
          </cell>
          <cell r="B2317" t="str">
            <v>ESCADA EM CONCRETO ARMADO MOLDADO IN LOCO, FCK 20 MPA, COM 2 LANCES EM "U" E LAJE CASCATA, FÔRMA EM CHAPA DE MADEIRA COMPENSADA RESINADA. AF_11/2020</v>
          </cell>
          <cell r="C2317" t="str">
            <v>M3</v>
          </cell>
          <cell r="D2317">
            <v>5174.22</v>
          </cell>
        </row>
        <row r="2318">
          <cell r="A2318" t="str">
            <v>102079</v>
          </cell>
          <cell r="B2318" t="str">
            <v>ESCADA EM CONCRETO ARMADO MOLDADO IN LOCO, FCK 20 MPA, COM 2 LANCES EM "L" E LAJE CASCATA, FÔRMA EM CHAPA DE MADEIRA COMPENSADA RESINADA. AF_11/2020</v>
          </cell>
          <cell r="C2318" t="str">
            <v>M3</v>
          </cell>
          <cell r="D2318">
            <v>5036.1499999999996</v>
          </cell>
        </row>
        <row r="2319">
          <cell r="A2319" t="str">
            <v>102080</v>
          </cell>
          <cell r="B2319" t="str">
            <v>ESCADA EM CONCRETO ARMADO MOLDADO IN LOCO, FCK 20 MPA, COM 2 LANCES EM "X" E LAJE CASCATA, FÔRMA EM CHAPA DE MADEIRA COMPENSADA RESINADA. AF_11/2020</v>
          </cell>
          <cell r="C2319" t="str">
            <v>M2</v>
          </cell>
          <cell r="D2319">
            <v>4459.8100000000004</v>
          </cell>
        </row>
        <row r="2320">
          <cell r="A2320" t="str">
            <v>102086</v>
          </cell>
          <cell r="B2320" t="str">
            <v>FABRICAÇÃO DE FÔRMA PARA ESCADA DUPLA COM 2 LANCES EM "X" E LAJE PLANA, EM CHAPA DE MADEIRA COMPENSADA PLASTIFICADA, E=18 MM. AF_11/2020</v>
          </cell>
          <cell r="C2320" t="str">
            <v>M2</v>
          </cell>
          <cell r="D2320">
            <v>210.67</v>
          </cell>
        </row>
        <row r="2321">
          <cell r="A2321" t="str">
            <v>102087</v>
          </cell>
          <cell r="B2321" t="str">
            <v>FABRICAÇÃO DE FÔRMA PARA ESCADA DUPLA COM 2 LANCES EM "X" E LAJE PLANA, EM CHAPA DE MADEIRA COMPENSADA RESINADA, E= 17 MM. AF_11/2020</v>
          </cell>
          <cell r="C2321" t="str">
            <v>M2</v>
          </cell>
          <cell r="D2321">
            <v>161.63</v>
          </cell>
        </row>
        <row r="2322">
          <cell r="A2322" t="str">
            <v>102088</v>
          </cell>
          <cell r="B2322" t="str">
            <v>FABRICAÇÃO DE FÔRMA PARA ESCADA DUPLA COM 2 LANCES EM X E LAJE PLANA, EM MADEIRA SERRADA, E=25 MM. AF_11/2020</v>
          </cell>
          <cell r="C2322" t="str">
            <v>M2</v>
          </cell>
          <cell r="D2322">
            <v>224.14</v>
          </cell>
        </row>
        <row r="2323">
          <cell r="A2323" t="str">
            <v>102089</v>
          </cell>
          <cell r="B2323" t="str">
            <v>FABRICAÇÃO DE FÔRMA PARA ESCADA DUPLA COM 2 LANCES EM "X" E LAJE CASCATA, EM CHAPA DE MADEIRA COMPENSADA PLASTIFICADA, E=18 MM. AF_11/2020</v>
          </cell>
          <cell r="C2323" t="str">
            <v>M2</v>
          </cell>
          <cell r="D2323">
            <v>201.86</v>
          </cell>
        </row>
        <row r="2324">
          <cell r="A2324" t="str">
            <v>102090</v>
          </cell>
          <cell r="B2324" t="str">
            <v>FABRICAÇÃO DE FÔRMA PARA ESCADA DUPLA COM 2 LANCES EM "X" E LAJE CASCATA, EM CHAPA DE MADEIRA COMPENSADA RESINADA, E= 17 MM. AF_11/2020</v>
          </cell>
          <cell r="C2324" t="str">
            <v>M2</v>
          </cell>
          <cell r="D2324">
            <v>146.22999999999999</v>
          </cell>
        </row>
        <row r="2325">
          <cell r="A2325" t="str">
            <v>102091</v>
          </cell>
          <cell r="B2325" t="str">
            <v>FABRICAÇÃO DE FÔRMA PARA ESCADA DUPLA COM 2 LANCES EM X E LAJE CASCATA, EM MADEIRA SERRADA, E=25 MM. AF_11/2020</v>
          </cell>
          <cell r="C2325" t="str">
            <v>KG</v>
          </cell>
          <cell r="D2325">
            <v>261.06</v>
          </cell>
        </row>
        <row r="2326">
          <cell r="A2326" t="str">
            <v>89996</v>
          </cell>
          <cell r="B2326" t="str">
            <v>ARMAÇÃO VERTICAL DE ALVENARIA ESTRUTURAL; DIÂMETRO DE 10,0 MM. AF_09/2021</v>
          </cell>
          <cell r="C2326" t="str">
            <v>KG</v>
          </cell>
          <cell r="D2326">
            <v>14.05</v>
          </cell>
        </row>
        <row r="2327">
          <cell r="A2327" t="str">
            <v>89997</v>
          </cell>
          <cell r="B2327" t="str">
            <v>ARMAÇÃO VERTICAL DE ALVENARIA ESTRUTURAL; DIÂMETRO DE 12,5 MM. AF_09/2021</v>
          </cell>
          <cell r="C2327" t="str">
            <v>KG</v>
          </cell>
          <cell r="D2327">
            <v>11.64</v>
          </cell>
        </row>
        <row r="2328">
          <cell r="A2328" t="str">
            <v>89998</v>
          </cell>
          <cell r="B2328" t="str">
            <v>ARMAÇÃO DE CINTA DE ALVENARIA ESTRUTURAL; DIÂMETRO DE 10,0 MM. AF_09/2021</v>
          </cell>
          <cell r="C2328" t="str">
            <v>KG</v>
          </cell>
          <cell r="D2328">
            <v>13.57</v>
          </cell>
        </row>
        <row r="2329">
          <cell r="A2329" t="str">
            <v>89999</v>
          </cell>
          <cell r="B2329" t="str">
            <v>ARMAÇÃO DE VERGA E CONTRAVERGA DE ALVENARIA ESTRUTURAL; DIÂMETRO DE 8,0 MM. AF_09/2021</v>
          </cell>
          <cell r="C2329" t="str">
            <v>KG</v>
          </cell>
          <cell r="D2329">
            <v>19.23</v>
          </cell>
        </row>
        <row r="2330">
          <cell r="A2330" t="str">
            <v>90000</v>
          </cell>
          <cell r="B2330" t="str">
            <v>ARMAÇÃO DE VERGA E CONTRAVERGA DE ALVENARIA ESTRUTURAL; DIÂMETRO DE 10,0 MM. AF_09/2021</v>
          </cell>
          <cell r="C2330" t="str">
            <v>KG</v>
          </cell>
          <cell r="D2330">
            <v>16.07</v>
          </cell>
        </row>
        <row r="2331">
          <cell r="A2331" t="str">
            <v>91593</v>
          </cell>
          <cell r="B2331" t="str">
            <v>ARMAÇÃO DO SISTEMA DE PAREDES DE CONCRETO, EXECUTADA EM PAREDES DE EDIFICAÇÕES DE MÚLTIPLOS PAVIMENTOS, TELA Q-138. AF_06/2019</v>
          </cell>
          <cell r="C2331" t="str">
            <v>KG</v>
          </cell>
          <cell r="D2331">
            <v>18.96</v>
          </cell>
        </row>
        <row r="2332">
          <cell r="A2332" t="str">
            <v>91594</v>
          </cell>
          <cell r="B2332" t="str">
            <v>ARMAÇÃO DO SISTEMA DE PAREDES DE CONCRETO, EXECUTADA EM PAREDES DE EDIFICAÇÕES TÉRREAS OU DE MÚLTIPLOS PAVIMENTOS, TELA Q-92. AF_06/2019</v>
          </cell>
          <cell r="C2332" t="str">
            <v>KG</v>
          </cell>
          <cell r="D2332">
            <v>19.34</v>
          </cell>
        </row>
        <row r="2333">
          <cell r="A2333" t="str">
            <v>91595</v>
          </cell>
          <cell r="B2333" t="str">
            <v>ARMAÇÃO DO SISTEMA DE PAREDES DE CONCRETO, EXECUTADA EM PAREDES DE EDIFICAÇÕES TÉRREAS, TELA Q-61. AF_06/2019</v>
          </cell>
          <cell r="C2333" t="str">
            <v>KG</v>
          </cell>
          <cell r="D2333">
            <v>19.88</v>
          </cell>
        </row>
        <row r="2334">
          <cell r="A2334" t="str">
            <v>91596</v>
          </cell>
          <cell r="B2334" t="str">
            <v>ARMAÇÃO DO SISTEMA DE PAREDES DE CONCRETO, EXECUTADA COMO ARMADURA POSITIVA DE LAJES, TELA Q-138. AF_06/2019</v>
          </cell>
          <cell r="C2334" t="str">
            <v>KG</v>
          </cell>
          <cell r="D2334">
            <v>19.260000000000002</v>
          </cell>
        </row>
        <row r="2335">
          <cell r="A2335" t="str">
            <v>91597</v>
          </cell>
          <cell r="B2335" t="str">
            <v>ARMAÇÃO DO SISTEMA DE PAREDES DE CONCRETO, EXECUTADA COMO ARMADURA NEGATIVA DE LAJES, TELA T-196. AF_06/2019</v>
          </cell>
          <cell r="C2335" t="str">
            <v>KG</v>
          </cell>
          <cell r="D2335">
            <v>13.4</v>
          </cell>
        </row>
        <row r="2336">
          <cell r="A2336" t="str">
            <v>91598</v>
          </cell>
          <cell r="B2336" t="str">
            <v>ARMAÇÃO DO SISTEMA DE PAREDES DE CONCRETO, EXECUTADA COMO ARMADURA POSITIVA DE LAJES, TELA Q-113. AF_06/2019</v>
          </cell>
          <cell r="C2336" t="str">
            <v>KG</v>
          </cell>
          <cell r="D2336">
            <v>18.670000000000002</v>
          </cell>
        </row>
        <row r="2337">
          <cell r="A2337" t="str">
            <v>91599</v>
          </cell>
          <cell r="B2337" t="str">
            <v>ARMAÇÃO DO SISTEMA DE PAREDES DE CONCRETO, EXECUTADA COMO ARMADURA NEGATIVA DE LAJES, TELA L-159. AF_06/2019</v>
          </cell>
          <cell r="C2337" t="str">
            <v>KG</v>
          </cell>
          <cell r="D2337">
            <v>13.83</v>
          </cell>
        </row>
        <row r="2338">
          <cell r="A2338" t="str">
            <v>91600</v>
          </cell>
          <cell r="B2338" t="str">
            <v>ARMAÇÃO DO SISTEMA DE PAREDES DE CONCRETO, EXECUTADA EM PLATIBANDAS, TELA Q-92. AF_06/2019</v>
          </cell>
          <cell r="C2338" t="str">
            <v>KG</v>
          </cell>
          <cell r="D2338">
            <v>21.65</v>
          </cell>
        </row>
        <row r="2339">
          <cell r="A2339" t="str">
            <v>91601</v>
          </cell>
          <cell r="B2339" t="str">
            <v>ARMAÇÃO DO SISTEMA DE PAREDES DE CONCRETO, EXECUTADA COMO REFORÇO, VERGALHÃO DE 6,3 MM DE DIÂMETRO. AF_06/2019</v>
          </cell>
          <cell r="C2339" t="str">
            <v>KG</v>
          </cell>
          <cell r="D2339">
            <v>16.46</v>
          </cell>
        </row>
        <row r="2340">
          <cell r="A2340" t="str">
            <v>91602</v>
          </cell>
          <cell r="B2340" t="str">
            <v>ARMAÇÃO DO SISTEMA DE PAREDES DE CONCRETO, EXECUTADA COMO REFORÇO, VERGALHÃO DE 8,0 MM DE DIÂMETRO. AF_06/2019</v>
          </cell>
          <cell r="C2340" t="str">
            <v>KG</v>
          </cell>
          <cell r="D2340">
            <v>15.57</v>
          </cell>
        </row>
        <row r="2341">
          <cell r="A2341" t="str">
            <v>91603</v>
          </cell>
          <cell r="B2341" t="str">
            <v>ARMAÇÃO DO SISTEMA DE PAREDES DE CONCRETO, EXECUTADA COMO REFORÇO, VERGALHÃO DE 10,0 MM DE DIÂMETRO. AF_06/2019</v>
          </cell>
          <cell r="C2341" t="str">
            <v>KG</v>
          </cell>
          <cell r="D2341">
            <v>14.7</v>
          </cell>
        </row>
        <row r="2342">
          <cell r="A2342" t="str">
            <v>92759</v>
          </cell>
          <cell r="B2342" t="str">
            <v>ARMAÇÃO DE PILAR OU VIGA DE UMA ESTRUTURA CONVENCIONAL DE CONCRETO ARMADO EM UM EDIFÍCIO DE MÚLTIPLOS PAVIMENTOS UTILIZANDO AÇO CA-60 DE 5,0 MM - MONTAGEM. AF_12/2015</v>
          </cell>
          <cell r="C2342" t="str">
            <v>KG</v>
          </cell>
          <cell r="D2342">
            <v>18.48</v>
          </cell>
        </row>
        <row r="2343">
          <cell r="A2343" t="str">
            <v>92760</v>
          </cell>
          <cell r="B2343" t="str">
            <v>ARMAÇÃO DE PILAR OU VIGA DE UMA ESTRUTURA CONVENCIONAL DE CONCRETO ARMADO EM UM EDIFÍCIO DE MÚLTIPLOS PAVIMENTOS UTILIZANDO AÇO CA-50 DE 6,3 MM - MONTAGEM. AF_12/2015</v>
          </cell>
          <cell r="C2343" t="str">
            <v>KG</v>
          </cell>
          <cell r="D2343">
            <v>18</v>
          </cell>
        </row>
        <row r="2344">
          <cell r="A2344" t="str">
            <v>92761</v>
          </cell>
          <cell r="B2344" t="str">
            <v>ARMAÇÃO DE PILAR OU VIGA DE UMA ESTRUTURA CONVENCIONAL DE CONCRETO ARMADO EM UM EDIFÍCIO DE MÚLTIPLOS PAVIMENTOS UTILIZANDO AÇO CA-50 DE 8,0 MM - MONTAGEM. AF_12/2015</v>
          </cell>
          <cell r="C2344" t="str">
            <v>KG</v>
          </cell>
          <cell r="D2344">
            <v>17.3</v>
          </cell>
        </row>
        <row r="2345">
          <cell r="A2345" t="str">
            <v>92762</v>
          </cell>
          <cell r="B2345" t="str">
            <v>ARMAÇÃO DE PILAR OU VIGA DE UMA ESTRUTURA CONVENCIONAL DE CONCRETO ARMADO EM UM EDIFÍCIO DE MÚLTIPLOS PAVIMENTOS UTILIZANDO AÇO CA-50 DE 10,0 MM - MONTAGEM. AF_12/2015</v>
          </cell>
          <cell r="C2345" t="str">
            <v>KG</v>
          </cell>
          <cell r="D2345">
            <v>15.68</v>
          </cell>
        </row>
        <row r="2346">
          <cell r="A2346" t="str">
            <v>92763</v>
          </cell>
          <cell r="B2346" t="str">
            <v>ARMAÇÃO DE PILAR OU VIGA DE UMA ESTRUTURA CONVENCIONAL DE CONCRETO ARMADO EM UM EDIFÍCIO DE MÚLTIPLOS PAVIMENTOS UTILIZANDO AÇO CA-50 DE 12,5 MM - MONTAGEM. AF_12/2015</v>
          </cell>
          <cell r="C2346" t="str">
            <v>KG</v>
          </cell>
          <cell r="D2346">
            <v>13.35</v>
          </cell>
        </row>
        <row r="2347">
          <cell r="A2347" t="str">
            <v>92764</v>
          </cell>
          <cell r="B2347" t="str">
            <v>ARMAÇÃO DE PILAR OU VIGA DE UMA ESTRUTURA CONVENCIONAL DE CONCRETO ARMADO EM UM EDIFÍCIO DE MÚLTIPLOS PAVIMENTOS UTILIZANDO AÇO CA-50 DE 16,0 MM - MONTAGEM. AF_12/2015</v>
          </cell>
          <cell r="C2347" t="str">
            <v>KG</v>
          </cell>
          <cell r="D2347">
            <v>12.88</v>
          </cell>
        </row>
        <row r="2348">
          <cell r="A2348" t="str">
            <v>92765</v>
          </cell>
          <cell r="B2348" t="str">
            <v>ARMAÇÃO DE PILAR OU VIGA DE UMA ESTRUTURA CONVENCIONAL DE CONCRETO ARMADO EM UM EDIFÍCIO DE MÚLTIPLOS PAVIMENTOS UTILIZANDO AÇO CA-50 DE 20,0 MM - MONTAGEM. AF_12/2015</v>
          </cell>
          <cell r="C2348" t="str">
            <v>KG</v>
          </cell>
          <cell r="D2348">
            <v>14.64</v>
          </cell>
        </row>
        <row r="2349">
          <cell r="A2349" t="str">
            <v>92766</v>
          </cell>
          <cell r="B2349" t="str">
            <v>ARMAÇÃO DE PILAR OU VIGA DE UMA ESTRUTURA CONVENCIONAL DE CONCRETO ARMADO EM UM EDIFÍCIO DE MÚLTIPLOS PAVIMENTOS UTILIZANDO AÇO CA-50 DE 25,0 MM - MONTAGEM. AF_12/2015</v>
          </cell>
          <cell r="C2349" t="str">
            <v>KG</v>
          </cell>
          <cell r="D2349">
            <v>14.39</v>
          </cell>
        </row>
        <row r="2350">
          <cell r="A2350" t="str">
            <v>92767</v>
          </cell>
          <cell r="B2350" t="str">
            <v>ARMAÇÃO DE LAJE DE UMA ESTRUTURA CONVENCIONAL DE CONCRETO ARMADO EM UM EDIFÍCIO DE MÚLTIPLOS PAVIMENTOS UTILIZANDO AÇO CA-60 DE 4,2 MM - MONTAGEM. AF_12/2015</v>
          </cell>
          <cell r="C2350" t="str">
            <v>KG</v>
          </cell>
          <cell r="D2350">
            <v>18.73</v>
          </cell>
        </row>
        <row r="2351">
          <cell r="A2351" t="str">
            <v>92768</v>
          </cell>
          <cell r="B2351" t="str">
            <v>ARMAÇÃO DE LAJE DE UMA ESTRUTURA CONVENCIONAL DE CONCRETO ARMADO EM UM EDIFÍCIO DE MÚLTIPLOS PAVIMENTOS UTILIZANDO AÇO CA-60 DE 5,0 MM - MONTAGEM. AF_12/2015</v>
          </cell>
          <cell r="C2351" t="str">
            <v>KG</v>
          </cell>
          <cell r="D2351">
            <v>17.05</v>
          </cell>
        </row>
        <row r="2352">
          <cell r="A2352" t="str">
            <v>92769</v>
          </cell>
          <cell r="B2352" t="str">
            <v>ARMAÇÃO DE LAJE DE UMA ESTRUTURA CONVENCIONAL DE CONCRETO ARMADO EM UM EDIFÍCIO DE MÚLTIPLOS PAVIMENTOS UTILIZANDO AÇO CA-50 DE 6,3 MM - MONTAGEM. AF_12/2015</v>
          </cell>
          <cell r="C2352" t="str">
            <v>KG</v>
          </cell>
          <cell r="D2352">
            <v>16.91</v>
          </cell>
        </row>
        <row r="2353">
          <cell r="A2353" t="str">
            <v>92770</v>
          </cell>
          <cell r="B2353" t="str">
            <v>ARMAÇÃO DE LAJE DE UMA ESTRUTURA CONVENCIONAL DE CONCRETO ARMADO EM UM EDIFÍCIO DE MÚLTIPLOS PAVIMENTOS UTILIZANDO AÇO CA-50 DE 8,0 MM - MONTAGEM. AF_12/2015</v>
          </cell>
          <cell r="C2353" t="str">
            <v>KG</v>
          </cell>
          <cell r="D2353">
            <v>16.47</v>
          </cell>
        </row>
        <row r="2354">
          <cell r="A2354" t="str">
            <v>92771</v>
          </cell>
          <cell r="B2354" t="str">
            <v>ARMAÇÃO DE LAJE DE UMA ESTRUTURA CONVENCIONAL DE CONCRETO ARMADO EM UM EDIFÍCIO DE MÚLTIPLOS PAVIMENTOS UTILIZANDO AÇO CA-50 DE 10,0 MM - MONTAGEM. AF_12/2015</v>
          </cell>
          <cell r="C2354" t="str">
            <v>KG</v>
          </cell>
          <cell r="D2354">
            <v>15.05</v>
          </cell>
        </row>
        <row r="2355">
          <cell r="A2355" t="str">
            <v>92772</v>
          </cell>
          <cell r="B2355" t="str">
            <v>ARMAÇÃO DE LAJE DE UMA ESTRUTURA CONVENCIONAL DE CONCRETO ARMADO EM UM EDIFÍCIO DE MÚLTIPLOS PAVIMENTOS UTILIZANDO AÇO CA-50 DE 12,5 MM - MONTAGEM. AF_12/2015</v>
          </cell>
          <cell r="C2355" t="str">
            <v>KG</v>
          </cell>
          <cell r="D2355">
            <v>12.85</v>
          </cell>
        </row>
        <row r="2356">
          <cell r="A2356" t="str">
            <v>92773</v>
          </cell>
          <cell r="B2356" t="str">
            <v>ARMAÇÃO DE LAJE DE UMA ESTRUTURA CONVENCIONAL DE CONCRETO ARMADO EM UM EDIFÍCIO DE MÚLTIPLOS PAVIMENTOS UTILIZANDO AÇO CA-50 DE 16,0 MM - MONTAGEM. AF_12/2015</v>
          </cell>
          <cell r="C2356" t="str">
            <v>KG</v>
          </cell>
          <cell r="D2356">
            <v>12.52</v>
          </cell>
        </row>
        <row r="2357">
          <cell r="A2357" t="str">
            <v>92774</v>
          </cell>
          <cell r="B2357" t="str">
            <v>ARMAÇÃO DE LAJE DE UMA ESTRUTURA CONVENCIONAL DE CONCRETO ARMADO EM UM EDIFÍCIO DE MÚLTIPLOS PAVIMENTOS UTILIZANDO AÇO CA-50 DE 20,0 MM - MONTAGEM. AF_12/2015</v>
          </cell>
          <cell r="C2357" t="str">
            <v>KG</v>
          </cell>
          <cell r="D2357">
            <v>14.37</v>
          </cell>
        </row>
        <row r="2358">
          <cell r="A2358" t="str">
            <v>92775</v>
          </cell>
          <cell r="B2358" t="str">
            <v>ARMAÇÃO DE PILAR OU VIGA DE UMA ESTRUTURA CONVENCIONAL DE CONCRETO ARMADO EM UMA EDIFICAÇÃO TÉRREA OU SOBRADO UTILIZANDO AÇO CA-60 DE 5,0 MM - MONTAGEM. AF_12/2015</v>
          </cell>
          <cell r="C2358" t="str">
            <v>KG</v>
          </cell>
          <cell r="D2358">
            <v>21.32</v>
          </cell>
        </row>
        <row r="2359">
          <cell r="A2359" t="str">
            <v>92776</v>
          </cell>
          <cell r="B2359" t="str">
            <v>ARMAÇÃO DE PILAR OU VIGA DE UMA ESTRUTURA CONVENCIONAL DE CONCRETO ARMADO EM UMA EDIFICAÇÃO TÉRREA OU SOBRADO UTILIZANDO AÇO CA-50 DE 6,3 MM - MONTAGEM. AF_12/2015</v>
          </cell>
          <cell r="C2359" t="str">
            <v>KG</v>
          </cell>
          <cell r="D2359">
            <v>20.16</v>
          </cell>
        </row>
        <row r="2360">
          <cell r="A2360" t="str">
            <v>92777</v>
          </cell>
          <cell r="B2360" t="str">
            <v>ARMAÇÃO DE PILAR OU VIGA DE UMA ESTRUTURA CONVENCIONAL DE CONCRETO ARMADO EM UMA EDIFICAÇÃO TÉRREA OU SOBRADO UTILIZANDO AÇO CA-50 DE 8,0 MM - MONTAGEM. AF_12/2015</v>
          </cell>
          <cell r="C2360" t="str">
            <v>KG</v>
          </cell>
          <cell r="D2360">
            <v>18.91</v>
          </cell>
        </row>
        <row r="2361">
          <cell r="A2361" t="str">
            <v>92778</v>
          </cell>
          <cell r="B2361" t="str">
            <v>ARMAÇÃO DE PILAR OU VIGA DE UMA ESTRUTURA CONVENCIONAL DE CONCRETO ARMADO EM UMA EDIFICAÇÃO TÉRREA OU SOBRADO UTILIZANDO AÇO CA-50 DE 10,0 MM - MONTAGEM. AF_12/2015</v>
          </cell>
          <cell r="C2361" t="str">
            <v>KG</v>
          </cell>
          <cell r="D2361">
            <v>16.89</v>
          </cell>
        </row>
        <row r="2362">
          <cell r="A2362" t="str">
            <v>92779</v>
          </cell>
          <cell r="B2362" t="str">
            <v>ARMAÇÃO DE PILAR OU VIGA DE UMA ESTRUTURA CONVENCIONAL DE CONCRETO ARMADO EM UMA EDIFICAÇÃO TÉRREA OU SOBRADO UTILIZANDO AÇO CA-50 DE 12,5 MM - MONTAGEM. AF_12/2015</v>
          </cell>
          <cell r="C2362" t="str">
            <v>KG</v>
          </cell>
          <cell r="D2362">
            <v>14.24</v>
          </cell>
        </row>
        <row r="2363">
          <cell r="A2363" t="str">
            <v>92780</v>
          </cell>
          <cell r="B2363" t="str">
            <v>ARMAÇÃO DE PILAR OU VIGA DE UMA ESTRUTURA CONVENCIONAL DE CONCRETO ARMADO EM UMA EDIFICAÇÃO TÉRREA OU SOBRADO UTILIZANDO AÇO CA-50 DE 16,0 MM - MONTAGEM. AF_12/2015</v>
          </cell>
          <cell r="C2363" t="str">
            <v>KG</v>
          </cell>
          <cell r="D2363">
            <v>13.47</v>
          </cell>
        </row>
        <row r="2364">
          <cell r="A2364" t="str">
            <v>92781</v>
          </cell>
          <cell r="B2364" t="str">
            <v>ARMAÇÃO DE PILAR OU VIGA DE UMA ESTRUTURA CONVENCIONAL DE CONCRETO ARMADO EM UMA EDIFICAÇÃO TÉRREA OU SOBRADO UTILIZANDO AÇO CA-50 DE 20,0 MM - MONTAGEM. AF_12/2015</v>
          </cell>
          <cell r="C2364" t="str">
            <v>KG</v>
          </cell>
          <cell r="D2364">
            <v>15.03</v>
          </cell>
        </row>
        <row r="2365">
          <cell r="A2365" t="str">
            <v>92782</v>
          </cell>
          <cell r="B2365" t="str">
            <v>ARMAÇÃO DE PILAR OU VIGA DE UMA ESTRUTURA CONVENCIONAL DE CONCRETO ARMADO EM UMA EDIFICAÇÃO TÉRREA OU SOBRADO UTILIZANDO AÇO CA-50 DE 25,0 MM - MONTAGEM. AF_12/2015</v>
          </cell>
          <cell r="C2365" t="str">
            <v>KG</v>
          </cell>
          <cell r="D2365">
            <v>14.61</v>
          </cell>
        </row>
        <row r="2366">
          <cell r="A2366" t="str">
            <v>92783</v>
          </cell>
          <cell r="B2366" t="str">
            <v>ARMAÇÃO DE LAJE DE UMA ESTRUTURA CONVENCIONAL DE CONCRETO ARMADO EM UMA EDIFICAÇÃO TÉRREA OU SOBRADO UTILIZANDO AÇO CA-60 DE 4,2 MM - MONTAGEM. AF_12/2015</v>
          </cell>
          <cell r="C2366" t="str">
            <v>KG</v>
          </cell>
          <cell r="D2366">
            <v>21.12</v>
          </cell>
        </row>
        <row r="2367">
          <cell r="A2367" t="str">
            <v>92784</v>
          </cell>
          <cell r="B2367" t="str">
            <v>ARMAÇÃO DE LAJE DE UMA ESTRUTURA CONVENCIONAL DE CONCRETO ARMADO EM UMA EDIFICAÇÃO TÉRREA OU SOBRADO UTILIZANDO AÇO CA-60 DE 5,0 MM - MONTAGEM. AF_12/2015</v>
          </cell>
          <cell r="C2367" t="str">
            <v>KG</v>
          </cell>
          <cell r="D2367">
            <v>19.010000000000002</v>
          </cell>
        </row>
        <row r="2368">
          <cell r="A2368" t="str">
            <v>92785</v>
          </cell>
          <cell r="B2368" t="str">
            <v>ARMAÇÃO DE LAJE DE UMA ESTRUTURA CONVENCIONAL DE CONCRETO ARMADO EM UMA EDIFICAÇÃO TÉRREA OU SOBRADO UTILIZANDO AÇO CA-50 DE 6,3 MM - MONTAGEM. AF_12/2015</v>
          </cell>
          <cell r="C2368" t="str">
            <v>KG</v>
          </cell>
          <cell r="D2368">
            <v>18.39</v>
          </cell>
        </row>
        <row r="2369">
          <cell r="A2369" t="str">
            <v>92786</v>
          </cell>
          <cell r="B2369" t="str">
            <v>ARMAÇÃO DE LAJE DE UMA ESTRUTURA CONVENCIONAL DE CONCRETO ARMADO EM UMA EDIFICAÇÃO TÉRREA OU SOBRADO UTILIZANDO AÇO CA-50 DE 8,0 MM - MONTAGEM. AF_12/2015</v>
          </cell>
          <cell r="C2369" t="str">
            <v>KG</v>
          </cell>
          <cell r="D2369">
            <v>17.55</v>
          </cell>
        </row>
        <row r="2370">
          <cell r="A2370" t="str">
            <v>92787</v>
          </cell>
          <cell r="B2370" t="str">
            <v>ARMAÇÃO DE LAJE DE UMA ESTRUTURA CONVENCIONAL DE CONCRETO ARMADO EM UMA EDIFICAÇÃO TÉRREA OU SOBRADO UTILIZANDO AÇO CA-50 DE 10,0 MM - MONTAGEM. AF_12/2015</v>
          </cell>
          <cell r="C2370" t="str">
            <v>KG</v>
          </cell>
          <cell r="D2370">
            <v>15.83</v>
          </cell>
        </row>
        <row r="2371">
          <cell r="A2371" t="str">
            <v>92788</v>
          </cell>
          <cell r="B2371" t="str">
            <v>ARMAÇÃO DE LAJE DE UMA ESTRUTURA CONVENCIONAL DE CONCRETO ARMADO EM UMA EDIFICAÇÃO TÉRREA OU SOBRADO UTILIZANDO AÇO CA-50 DE 12,5 MM - MONTAGEM. AF_12/2015</v>
          </cell>
          <cell r="C2371" t="str">
            <v>KG</v>
          </cell>
          <cell r="D2371">
            <v>13.42</v>
          </cell>
        </row>
        <row r="2372">
          <cell r="A2372" t="str">
            <v>92789</v>
          </cell>
          <cell r="B2372" t="str">
            <v>ARMAÇÃO DE LAJE DE UMA ESTRUTURA CONVENCIONAL DE CONCRETO ARMADO EM UMA EDIFICAÇÃO TÉRREA OU SOBRADO UTILIZANDO AÇO CA-50 DE 16,0 MM - MONTAGEM. AF_12/2015</v>
          </cell>
          <cell r="C2372" t="str">
            <v>KG</v>
          </cell>
          <cell r="D2372">
            <v>12.88</v>
          </cell>
        </row>
        <row r="2373">
          <cell r="A2373" t="str">
            <v>92790</v>
          </cell>
          <cell r="B2373" t="str">
            <v>ARMAÇÃO DE LAJE DE UMA ESTRUTURA CONVENCIONAL DE CONCRETO ARMADO EM UMA EDIFICAÇÃO TÉRREA OU SOBRADO UTILIZANDO AÇO CA-50 DE 20,0 MM - MONTAGEM. AF_12/2015</v>
          </cell>
          <cell r="C2373" t="str">
            <v>KG</v>
          </cell>
          <cell r="D2373">
            <v>14.59</v>
          </cell>
        </row>
        <row r="2374">
          <cell r="A2374" t="str">
            <v>92791</v>
          </cell>
          <cell r="B2374" t="str">
            <v>CORTE E DOBRA DE AÇO CA-60, DIÂMETRO DE 5,0 MM, UTILIZADO EM ESTRUTURAS DIVERSAS, EXCETO LAJES. AF_12/2015</v>
          </cell>
          <cell r="C2374" t="str">
            <v>KG</v>
          </cell>
          <cell r="D2374">
            <v>13.99</v>
          </cell>
        </row>
        <row r="2375">
          <cell r="A2375" t="str">
            <v>92792</v>
          </cell>
          <cell r="B2375" t="str">
            <v>CORTE E DOBRA DE AÇO CA-50, DIÂMETRO DE 6,3 MM, UTILIZADO EM ESTRUTURAS DIVERSAS, EXCETO LAJES. AF_12/2015</v>
          </cell>
          <cell r="C2375" t="str">
            <v>KG</v>
          </cell>
          <cell r="D2375">
            <v>14.38</v>
          </cell>
        </row>
        <row r="2376">
          <cell r="A2376" t="str">
            <v>92793</v>
          </cell>
          <cell r="B2376" t="str">
            <v>CORTE E DOBRA DE AÇO CA-50, DIÂMETRO DE 8,0 MM, UTILIZADO EM ESTRUTURAS DIVERSAS, EXCETO LAJES. AF_12/2015</v>
          </cell>
          <cell r="C2376" t="str">
            <v>KG</v>
          </cell>
          <cell r="D2376">
            <v>14.41</v>
          </cell>
        </row>
        <row r="2377">
          <cell r="A2377" t="str">
            <v>92794</v>
          </cell>
          <cell r="B2377" t="str">
            <v>CORTE E DOBRA DE AÇO CA-50, DIÂMETRO DE 10,0 MM, UTILIZADO EM ESTRUTURAS DIVERSAS, EXCETO LAJES. AF_12/2015</v>
          </cell>
          <cell r="C2377" t="str">
            <v>KG</v>
          </cell>
          <cell r="D2377">
            <v>13.34</v>
          </cell>
        </row>
        <row r="2378">
          <cell r="A2378" t="str">
            <v>92795</v>
          </cell>
          <cell r="B2378" t="str">
            <v>CORTE E DOBRA DE AÇO CA-50, DIÂMETRO DE 12,5 MM, UTILIZADO EM ESTRUTURAS DIVERSAS, EXCETO LAJES. AF_12/2015</v>
          </cell>
          <cell r="C2378" t="str">
            <v>KG</v>
          </cell>
          <cell r="D2378">
            <v>11.44</v>
          </cell>
        </row>
        <row r="2379">
          <cell r="A2379" t="str">
            <v>92796</v>
          </cell>
          <cell r="B2379" t="str">
            <v>CORTE E DOBRA DE AÇO CA-50, DIÂMETRO DE 16,0 MM, UTILIZADO EM ESTRUTURAS DIVERSAS, EXCETO LAJES. AF_12/2015</v>
          </cell>
          <cell r="C2379" t="str">
            <v>KG</v>
          </cell>
          <cell r="D2379">
            <v>11.35</v>
          </cell>
        </row>
        <row r="2380">
          <cell r="A2380" t="str">
            <v>92797</v>
          </cell>
          <cell r="B2380" t="str">
            <v>CORTE E DOBRA DE AÇO CA-50, DIÂMETRO DE 20,0 MM, UTILIZADO EM ESTRUTURAS DIVERSAS, EXCETO LAJES. AF_12/2015</v>
          </cell>
          <cell r="C2380" t="str">
            <v>KG</v>
          </cell>
          <cell r="D2380">
            <v>13.38</v>
          </cell>
        </row>
        <row r="2381">
          <cell r="A2381" t="str">
            <v>92798</v>
          </cell>
          <cell r="B2381" t="str">
            <v>CORTE E DOBRA DE AÇO CA-50, DIÂMETRO DE 25,0 MM, UTILIZADO EM ESTRUTURAS DIVERSAS, EXCETO LAJES. AF_12/2015</v>
          </cell>
          <cell r="C2381" t="str">
            <v>KG</v>
          </cell>
          <cell r="D2381">
            <v>13.35</v>
          </cell>
        </row>
        <row r="2382">
          <cell r="A2382" t="str">
            <v>92799</v>
          </cell>
          <cell r="B2382" t="str">
            <v>CORTE E DOBRA DE AÇO CA-60, DIÂMETRO DE 4,2 MM, UTILIZADO EM LAJE. AF_12/2015</v>
          </cell>
          <cell r="C2382" t="str">
            <v>KG</v>
          </cell>
          <cell r="D2382">
            <v>14.45</v>
          </cell>
        </row>
        <row r="2383">
          <cell r="A2383" t="str">
            <v>92800</v>
          </cell>
          <cell r="B2383" t="str">
            <v>CORTE E DOBRA DE AÇO CA-60, DIÂMETRO DE 5,0 MM, UTILIZADO EM LAJE. AF_12/2015</v>
          </cell>
          <cell r="C2383" t="str">
            <v>KG</v>
          </cell>
          <cell r="D2383">
            <v>13.46</v>
          </cell>
        </row>
        <row r="2384">
          <cell r="A2384" t="str">
            <v>92801</v>
          </cell>
          <cell r="B2384" t="str">
            <v>CORTE E DOBRA DE AÇO CA-50, DIÂMETRO DE 6,3 MM, UTILIZADO EM LAJE. AF_12/2015</v>
          </cell>
          <cell r="C2384" t="str">
            <v>KG</v>
          </cell>
          <cell r="D2384">
            <v>14.07</v>
          </cell>
        </row>
        <row r="2385">
          <cell r="A2385" t="str">
            <v>92802</v>
          </cell>
          <cell r="B2385" t="str">
            <v>CORTE E DOBRA DE AÇO CA-50, DIÂMETRO DE 8,0 MM, UTILIZADO EM LAJE. AF_12/2015</v>
          </cell>
          <cell r="C2385" t="str">
            <v>KG</v>
          </cell>
          <cell r="D2385">
            <v>14.23</v>
          </cell>
        </row>
        <row r="2386">
          <cell r="A2386" t="str">
            <v>92803</v>
          </cell>
          <cell r="B2386" t="str">
            <v>CORTE E DOBRA DE AÇO CA-50, DIÂMETRO DE 10,0 MM, UTILIZADO EM LAJE. AF_12/2015</v>
          </cell>
          <cell r="C2386" t="str">
            <v>KG</v>
          </cell>
          <cell r="D2386">
            <v>13.24</v>
          </cell>
        </row>
        <row r="2387">
          <cell r="A2387" t="str">
            <v>92804</v>
          </cell>
          <cell r="B2387" t="str">
            <v>CORTE E DOBRA DE AÇO CA-50, DIÂMETRO DE 12,5 MM, UTILIZADO EM LAJE. AF_12/2015</v>
          </cell>
          <cell r="C2387" t="str">
            <v>KG</v>
          </cell>
          <cell r="D2387">
            <v>11.39</v>
          </cell>
        </row>
        <row r="2388">
          <cell r="A2388" t="str">
            <v>92805</v>
          </cell>
          <cell r="B2388" t="str">
            <v>CORTE E DOBRA DE AÇO CA-50, DIÂMETRO DE 16,0 MM, UTILIZADO EM LAJE. AF_12/2015</v>
          </cell>
          <cell r="C2388" t="str">
            <v>KG</v>
          </cell>
          <cell r="D2388">
            <v>11.32</v>
          </cell>
        </row>
        <row r="2389">
          <cell r="A2389" t="str">
            <v>92806</v>
          </cell>
          <cell r="B2389" t="str">
            <v>CORTE E DOBRA DE AÇO CA-50, DIÂMETRO DE 20,0 MM, UTILIZADO EM LAJE. AF_12/2015</v>
          </cell>
          <cell r="C2389" t="str">
            <v>KG</v>
          </cell>
          <cell r="D2389">
            <v>13.36</v>
          </cell>
        </row>
        <row r="2390">
          <cell r="A2390" t="str">
            <v>92875</v>
          </cell>
          <cell r="B2390" t="str">
            <v>CORTE E DOBRA DE AÇO CA-25, DIÂMETRO DE 6,3 MM. AF_12/2015</v>
          </cell>
          <cell r="C2390" t="str">
            <v>KG</v>
          </cell>
          <cell r="D2390">
            <v>13.19</v>
          </cell>
        </row>
        <row r="2391">
          <cell r="A2391" t="str">
            <v>92876</v>
          </cell>
          <cell r="B2391" t="str">
            <v>CORTE E DOBRA DE AÇO CA-25, DIÂMETRO DE 8,0 MM. AF_12/2015</v>
          </cell>
          <cell r="C2391" t="str">
            <v>KG</v>
          </cell>
          <cell r="D2391">
            <v>13.1</v>
          </cell>
        </row>
        <row r="2392">
          <cell r="A2392" t="str">
            <v>92877</v>
          </cell>
          <cell r="B2392" t="str">
            <v>CORTE E DOBRA DE AÇO CA-25, DIÂMETRO DE 10,0 MM. AF_12/2015</v>
          </cell>
          <cell r="C2392" t="str">
            <v>KG</v>
          </cell>
          <cell r="D2392">
            <v>14.31</v>
          </cell>
        </row>
        <row r="2393">
          <cell r="A2393" t="str">
            <v>92878</v>
          </cell>
          <cell r="B2393" t="str">
            <v>CORTE E DOBRA DE AÇO CA-25, DIÂMETRO DE 12,5 MM. AF_12/2015</v>
          </cell>
          <cell r="C2393" t="str">
            <v>KG</v>
          </cell>
          <cell r="D2393">
            <v>14.15</v>
          </cell>
        </row>
        <row r="2394">
          <cell r="A2394" t="str">
            <v>92879</v>
          </cell>
          <cell r="B2394" t="str">
            <v>CORTE E DOBRA DE AÇO CA-25, DIÂMETRO DE 16,0 MM. AF_12/2015</v>
          </cell>
          <cell r="C2394" t="str">
            <v>KG</v>
          </cell>
          <cell r="D2394">
            <v>14.06</v>
          </cell>
        </row>
        <row r="2395">
          <cell r="A2395" t="str">
            <v>92880</v>
          </cell>
          <cell r="B2395" t="str">
            <v>CORTE E DOBRA DE AÇO CA-25, DIÂMETRO DE 20,0 MM. AF_12/2015</v>
          </cell>
          <cell r="C2395" t="str">
            <v>KG</v>
          </cell>
          <cell r="D2395">
            <v>14.4</v>
          </cell>
        </row>
        <row r="2396">
          <cell r="A2396" t="str">
            <v>92881</v>
          </cell>
          <cell r="B2396" t="str">
            <v>CORTE E DOBRA DE AÇO CA-25, DIÂMETRO DE 25,0 MM. AF_12/2015</v>
          </cell>
          <cell r="C2396" t="str">
            <v>KG</v>
          </cell>
          <cell r="D2396">
            <v>14.37</v>
          </cell>
        </row>
        <row r="2397">
          <cell r="A2397" t="str">
            <v>92882</v>
          </cell>
          <cell r="B2397" t="str">
            <v>ARMAÇÃO UTILIZANDO AÇO CA-25 DE 6,3 MM - MONTAGEM. AF_12/2015</v>
          </cell>
          <cell r="C2397" t="str">
            <v>KG</v>
          </cell>
          <cell r="D2397">
            <v>16.809999999999999</v>
          </cell>
        </row>
        <row r="2398">
          <cell r="A2398" t="str">
            <v>92883</v>
          </cell>
          <cell r="B2398" t="str">
            <v>ARMAÇÃO UTILIZANDO AÇO CA-25 DE 8,0 MM - MONTAGEM. AF_12/2015</v>
          </cell>
          <cell r="C2398" t="str">
            <v>KG</v>
          </cell>
          <cell r="D2398">
            <v>15.99</v>
          </cell>
        </row>
        <row r="2399">
          <cell r="A2399" t="str">
            <v>92884</v>
          </cell>
          <cell r="B2399" t="str">
            <v>ARMAÇÃO UTILIZANDO AÇO CA-25 DE 10,0 MM - MONTAGEM. AF_12/2015</v>
          </cell>
          <cell r="C2399" t="str">
            <v>KG</v>
          </cell>
          <cell r="D2399">
            <v>16.649999999999999</v>
          </cell>
        </row>
        <row r="2400">
          <cell r="A2400" t="str">
            <v>92885</v>
          </cell>
          <cell r="B2400" t="str">
            <v>ARMAÇÃO UTILIZANDO AÇO CA-25 DE 12,5 MM - MONTAGEM. AF_12/2015</v>
          </cell>
          <cell r="C2400" t="str">
            <v>KG</v>
          </cell>
          <cell r="D2400">
            <v>16.059999999999999</v>
          </cell>
        </row>
        <row r="2401">
          <cell r="A2401" t="str">
            <v>92886</v>
          </cell>
          <cell r="B2401" t="str">
            <v>ARMAÇÃO UTILIZANDO AÇO CA-25 DE 16,0 MM - MONTAGEM. AF_12/2015</v>
          </cell>
          <cell r="C2401" t="str">
            <v>KG</v>
          </cell>
          <cell r="D2401">
            <v>15.59</v>
          </cell>
        </row>
        <row r="2402">
          <cell r="A2402" t="str">
            <v>92887</v>
          </cell>
          <cell r="B2402" t="str">
            <v>ARMAÇÃO UTILIZANDO AÇO CA-25 DE 20,0 MM - MONTAGEM. AF_12/2015</v>
          </cell>
          <cell r="C2402" t="str">
            <v>KG</v>
          </cell>
          <cell r="D2402">
            <v>15.66</v>
          </cell>
        </row>
        <row r="2403">
          <cell r="A2403" t="str">
            <v>92888</v>
          </cell>
          <cell r="B2403" t="str">
            <v>ARMAÇÃO UTILIZANDO AÇO CA-25 DE 25,0 MM - MONTAGEM. AF_12/2015</v>
          </cell>
          <cell r="C2403" t="str">
            <v>KG</v>
          </cell>
          <cell r="D2403">
            <v>15.41</v>
          </cell>
        </row>
        <row r="2404">
          <cell r="A2404" t="str">
            <v>92915</v>
          </cell>
          <cell r="B2404" t="str">
            <v>ARMAÇÃO DE ESTRUTURAS DE CONCRETO ARMADO, EXCETO VIGAS, PILARES, LAJES E FUNDAÇÕES, UTILIZANDO AÇO CA-60 DE 5,0 MM - MONTAGEM. AF_12/2015</v>
          </cell>
          <cell r="C2404" t="str">
            <v>KG</v>
          </cell>
          <cell r="D2404">
            <v>19.899999999999999</v>
          </cell>
        </row>
        <row r="2405">
          <cell r="A2405" t="str">
            <v>92916</v>
          </cell>
          <cell r="B2405" t="str">
            <v>ARMAÇÃO DE ESTRUTURAS DE CONCRETO ARMADO, EXCETO VIGAS, PILARES, LAJES E FUNDAÇÕES, UTILIZANDO AÇO CA-50 DE 6,3 MM - MONTAGEM. AF_12/2015</v>
          </cell>
          <cell r="C2405" t="str">
            <v>KG</v>
          </cell>
          <cell r="D2405">
            <v>19.079999999999998</v>
          </cell>
        </row>
        <row r="2406">
          <cell r="A2406" t="str">
            <v>92917</v>
          </cell>
          <cell r="B2406" t="str">
            <v>ARMAÇÃO DE ESTRUTURAS DE CONCRETO ARMADO, EXCETO VIGAS, PILARES, LAJES E FUNDAÇÕES, UTILIZANDO AÇO CA-50 DE 8,0 MM - MONTAGEM. AF_12/2015</v>
          </cell>
          <cell r="C2406" t="str">
            <v>KG</v>
          </cell>
          <cell r="D2406">
            <v>18.11</v>
          </cell>
        </row>
        <row r="2407">
          <cell r="A2407" t="str">
            <v>92919</v>
          </cell>
          <cell r="B2407" t="str">
            <v>ARMAÇÃO DE ESTRUTURAS DE CONCRETO ARMADO, EXCETO VIGAS, PILARES, LAJES E FUNDAÇÕES, UTILIZANDO AÇO CA-50 DE 10,0 MM - MONTAGEM. AF_12/2015</v>
          </cell>
          <cell r="C2407" t="str">
            <v>KG</v>
          </cell>
          <cell r="D2407">
            <v>16.29</v>
          </cell>
        </row>
        <row r="2408">
          <cell r="A2408" t="str">
            <v>92921</v>
          </cell>
          <cell r="B2408" t="str">
            <v>ARMAÇÃO DE ESTRUTURAS DE CONCRETO ARMADO, EXCETO VIGAS, PILARES, LAJES E FUNDAÇÕES, UTILIZANDO AÇO CA-50 DE 12,5 MM - MONTAGEM. AF_12/2015</v>
          </cell>
          <cell r="C2408" t="str">
            <v>KG</v>
          </cell>
          <cell r="D2408">
            <v>13.8</v>
          </cell>
        </row>
        <row r="2409">
          <cell r="A2409" t="str">
            <v>92922</v>
          </cell>
          <cell r="B2409" t="str">
            <v>ARMAÇÃO DE ESTRUTURAS DE CONCRETO ARMADO, EXCETO VIGAS, PILARES, LAJES E FUNDAÇÕES, UTILIZANDO AÇO CA-50 DE 16,0 MM - MONTAGEM. AF_12/2015</v>
          </cell>
          <cell r="C2409" t="str">
            <v>KG</v>
          </cell>
          <cell r="D2409">
            <v>13.18</v>
          </cell>
        </row>
        <row r="2410">
          <cell r="A2410" t="str">
            <v>92923</v>
          </cell>
          <cell r="B2410" t="str">
            <v>ARMAÇÃO DE ESTRUTURAS DE CONCRETO ARMADO, EXCETO VIGAS, PILARES, LAJES E FUNDAÇÕES, UTILIZANDO AÇO CA-50 DE 20,0 MM - MONTAGEM. AF_12/2015</v>
          </cell>
          <cell r="C2410" t="str">
            <v>KG</v>
          </cell>
          <cell r="D2410">
            <v>14.83</v>
          </cell>
        </row>
        <row r="2411">
          <cell r="A2411" t="str">
            <v>92924</v>
          </cell>
          <cell r="B2411" t="str">
            <v>ARMAÇÃO DE ESTRUTURAS DE CONCRETO ARMADO, EXCETO VIGAS, PILARES, LAJES E FUNDAÇÕES, UTILIZANDO AÇO CA-50 DE 25,0 MM - MONTAGEM. AF_12/2015</v>
          </cell>
          <cell r="C2411" t="str">
            <v>KG</v>
          </cell>
          <cell r="D2411">
            <v>14.5</v>
          </cell>
        </row>
        <row r="2412">
          <cell r="A2412" t="str">
            <v>95445</v>
          </cell>
          <cell r="B2412" t="str">
            <v>CORTE E DOBRA DE AÇO CA-60, DIÂMETRO DE 5,0 MM, UTILIZADO EM ESTRIBO CONTÍNUO HELICOIDAL. AF_09/2021</v>
          </cell>
          <cell r="C2412" t="str">
            <v>KG</v>
          </cell>
          <cell r="D2412">
            <v>12.49</v>
          </cell>
        </row>
        <row r="2413">
          <cell r="A2413" t="str">
            <v>95446</v>
          </cell>
          <cell r="B2413" t="str">
            <v>CORTE E DOBRA DE AÇO CA-50, DIÂMETRO DE 6,3 MM, UTILIZADO EM ESTRIBO CONTÍNUO HELICOIDAL. AF_09/2021</v>
          </cell>
          <cell r="C2413" t="str">
            <v>KG</v>
          </cell>
          <cell r="D2413">
            <v>13.56</v>
          </cell>
        </row>
        <row r="2414">
          <cell r="A2414" t="str">
            <v>95448</v>
          </cell>
          <cell r="B2414" t="str">
            <v>CORTE E DOBRA DE AÇO CA-50, DIÂMERO DE 32 MM, UTILIZADO EM ESTRUTURAS DIVERSAS, EXCETO LAJE. AF_10/2016</v>
          </cell>
          <cell r="C2414" t="str">
            <v>KG</v>
          </cell>
          <cell r="D2414">
            <v>14.68</v>
          </cell>
        </row>
        <row r="2415">
          <cell r="A2415" t="str">
            <v>95576</v>
          </cell>
          <cell r="B2415" t="str">
            <v>MONTAGEM DE ARMADURA DE ESTACAS, DIÂMETRO = 8,0 MM. AF_09/2021</v>
          </cell>
          <cell r="C2415" t="str">
            <v>KG</v>
          </cell>
          <cell r="D2415">
            <v>16.87</v>
          </cell>
        </row>
        <row r="2416">
          <cell r="A2416" t="str">
            <v>95577</v>
          </cell>
          <cell r="B2416" t="str">
            <v>MONTAGEM DE ARMADURA DE ESTACAS, DIÂMETRO = 10,0 MM. AF_09/2021</v>
          </cell>
          <cell r="C2416" t="str">
            <v>KG</v>
          </cell>
          <cell r="D2416">
            <v>14.81</v>
          </cell>
        </row>
        <row r="2417">
          <cell r="A2417" t="str">
            <v>95578</v>
          </cell>
          <cell r="B2417" t="str">
            <v>MONTAGEM DE ARMADURA DE ESTACAS, DIÂMETRO = 12,5 MM. AF_09/2021</v>
          </cell>
          <cell r="C2417" t="str">
            <v>KG</v>
          </cell>
          <cell r="D2417">
            <v>12.51</v>
          </cell>
        </row>
        <row r="2418">
          <cell r="A2418" t="str">
            <v>95579</v>
          </cell>
          <cell r="B2418" t="str">
            <v>MONTAGEM DE ARMADURA DE ESTACAS, DIÂMETRO = 16,0 MM. AF_09/2021</v>
          </cell>
          <cell r="C2418" t="str">
            <v>KG</v>
          </cell>
          <cell r="D2418">
            <v>12.25</v>
          </cell>
        </row>
        <row r="2419">
          <cell r="A2419" t="str">
            <v>95580</v>
          </cell>
          <cell r="B2419" t="str">
            <v>MONTAGEM DE ARMADURA DE ESTACAS, DIÂMETRO = 20,0 MM. AF_09/2021</v>
          </cell>
          <cell r="C2419" t="str">
            <v>KG</v>
          </cell>
          <cell r="D2419">
            <v>14.22</v>
          </cell>
        </row>
        <row r="2420">
          <cell r="A2420" t="str">
            <v>95581</v>
          </cell>
          <cell r="B2420" t="str">
            <v>MONTAGEM DE ARMADURA DE ESTACAS, DIÂMETRO = 25,0 MM. AF_09/2021</v>
          </cell>
          <cell r="C2420" t="str">
            <v>KG</v>
          </cell>
          <cell r="D2420">
            <v>14.16</v>
          </cell>
        </row>
        <row r="2421">
          <cell r="A2421" t="str">
            <v>95582</v>
          </cell>
          <cell r="B2421" t="str">
            <v>MONTAGEM DE ARMADURA DE ESTACAS, DIÂMETRO = 32,0 MM. AF_09/2021</v>
          </cell>
          <cell r="C2421" t="str">
            <v>KG</v>
          </cell>
          <cell r="D2421">
            <v>15.48</v>
          </cell>
        </row>
        <row r="2422">
          <cell r="A2422" t="str">
            <v>95583</v>
          </cell>
          <cell r="B2422" t="str">
            <v>MONTAGEM DE ARMADURA TRANSVERSAL DE ESTACAS DE SEÇÃO CIRCULAR, DIÂMETRO = 5,0 MM. AF_09/2021</v>
          </cell>
          <cell r="C2422" t="str">
            <v>KG</v>
          </cell>
          <cell r="D2422">
            <v>17.87</v>
          </cell>
        </row>
        <row r="2423">
          <cell r="A2423" t="str">
            <v>95584</v>
          </cell>
          <cell r="B2423" t="str">
            <v>MONTAGEM DE ARMADURA TRANSVERSAL DE ESTACAS DE SEÇÃO CIRCULAR, DIÂMETRO = 6,30 MM. AF_09/2021</v>
          </cell>
          <cell r="C2423" t="str">
            <v>KG</v>
          </cell>
          <cell r="D2423">
            <v>17.170000000000002</v>
          </cell>
        </row>
        <row r="2424">
          <cell r="A2424" t="str">
            <v>95592</v>
          </cell>
          <cell r="B2424" t="str">
            <v>MONTAGEM DE ARMADURA TRANVERSAL DE ESTACAS DE SEÇÃO RETANGULAR, DIÂMETRO = 5,0 MM. AF_09/2021</v>
          </cell>
          <cell r="C2424" t="str">
            <v>KG</v>
          </cell>
          <cell r="D2424">
            <v>19.37</v>
          </cell>
        </row>
        <row r="2425">
          <cell r="A2425" t="str">
            <v>95593</v>
          </cell>
          <cell r="B2425" t="str">
            <v>MONTAGEM DE ARMADURA TRANSVERSAL DE ESTACAS DE SEÇÃO RETANGULAR, DIÂMETRO = 6,30 MM. AF_09/2021</v>
          </cell>
          <cell r="C2425" t="str">
            <v>KG</v>
          </cell>
          <cell r="D2425">
            <v>17.989999999999998</v>
          </cell>
        </row>
        <row r="2426">
          <cell r="A2426" t="str">
            <v>95943</v>
          </cell>
          <cell r="B2426" t="str">
            <v>ARMAÇÃO DE ESCADA, DE UMA ESTRUTURA CONVENCIONAL DE CONCRETO ARMADO UTILIZANDO AÇO CA-60 DE 5,0 MM - MONTAGEM. AF_11/2020</v>
          </cell>
          <cell r="C2426" t="str">
            <v>KG</v>
          </cell>
          <cell r="D2426">
            <v>24.72</v>
          </cell>
        </row>
        <row r="2427">
          <cell r="A2427" t="str">
            <v>95944</v>
          </cell>
          <cell r="B2427" t="str">
            <v>ARMAÇÃO DE ESCADA, DE UMA ESTRUTURA CONVENCIONAL DE CONCRETO ARMADO UTILIZANDO AÇO CA-50 DE 6,3 MM - MONTAGEM. AF_11/2020</v>
          </cell>
          <cell r="C2427" t="str">
            <v>KG</v>
          </cell>
          <cell r="D2427">
            <v>23.35</v>
          </cell>
        </row>
        <row r="2428">
          <cell r="A2428" t="str">
            <v>95945</v>
          </cell>
          <cell r="B2428" t="str">
            <v>ARMAÇÃO DE ESCADA, DE UMA ESTRUTURA CONVENCIONAL DE CONCRETO ARMADO UTILIZANDO AÇO CA-50 DE 8,0 MM - MONTAGEM. AF_11/2020</v>
          </cell>
          <cell r="C2428" t="str">
            <v>KG</v>
          </cell>
          <cell r="D2428">
            <v>20.04</v>
          </cell>
        </row>
        <row r="2429">
          <cell r="A2429" t="str">
            <v>95946</v>
          </cell>
          <cell r="B2429" t="str">
            <v>ARMAÇÃO DE ESCADA, DE UMA ESTRUTURA CONVENCIONAL DE CONCRETO ARMADO UTILIZANDO AÇO CA-50 DE 10,0 MM - MONTAGEM. AF_11/2020</v>
          </cell>
          <cell r="C2429" t="str">
            <v>KG</v>
          </cell>
          <cell r="D2429">
            <v>16.72</v>
          </cell>
        </row>
        <row r="2430">
          <cell r="A2430" t="str">
            <v>95947</v>
          </cell>
          <cell r="B2430" t="str">
            <v>ARMAÇÃO DE ESCADA, DE UMA ESTRUTURA CONVENCIONAL DE CONCRETO ARMADO UTILIZANDO AÇO CA-50 DE 12,5 MM - MONTAGEM. AF_11/2020</v>
          </cell>
          <cell r="C2430" t="str">
            <v>KG</v>
          </cell>
          <cell r="D2430">
            <v>13.38</v>
          </cell>
        </row>
        <row r="2431">
          <cell r="A2431" t="str">
            <v>95948</v>
          </cell>
          <cell r="B2431" t="str">
            <v>ARMAÇÃO DE ESCADA, DE UMA ESTRUTURA CONVENCIONAL DE CONCRETO ARMADO UTILIZANDO AÇO CA-50 DE 16,0 MM - MONTAGEM. AF_11/2020</v>
          </cell>
          <cell r="C2431" t="str">
            <v>KG</v>
          </cell>
          <cell r="D2431">
            <v>12.29</v>
          </cell>
        </row>
        <row r="2432">
          <cell r="A2432" t="str">
            <v>96544</v>
          </cell>
          <cell r="B2432" t="str">
            <v>ARMAÇÃO DE BLOCO, VIGA BALDRAME OU SAPATA UTILIZANDO AÇO CA-50 DE 6,3 MM - MONTAGEM. AF_06/2017</v>
          </cell>
          <cell r="C2432" t="str">
            <v>KG</v>
          </cell>
          <cell r="D2432">
            <v>20.11</v>
          </cell>
        </row>
        <row r="2433">
          <cell r="A2433" t="str">
            <v>96545</v>
          </cell>
          <cell r="B2433" t="str">
            <v>ARMAÇÃO DE BLOCO, VIGA BALDRAME OU SAPATA UTILIZANDO AÇO CA-50 DE 8 MM - MONTAGEM. AF_06/2017</v>
          </cell>
          <cell r="C2433" t="str">
            <v>KG</v>
          </cell>
          <cell r="D2433">
            <v>18.920000000000002</v>
          </cell>
        </row>
        <row r="2434">
          <cell r="A2434" t="str">
            <v>96546</v>
          </cell>
          <cell r="B2434" t="str">
            <v>ARMAÇÃO DE BLOCO, VIGA BALDRAME OU SAPATA UTILIZANDO AÇO CA-50 DE 10 MM - MONTAGEM. AF_06/2017</v>
          </cell>
          <cell r="C2434" t="str">
            <v>KG</v>
          </cell>
          <cell r="D2434">
            <v>16.98</v>
          </cell>
        </row>
        <row r="2435">
          <cell r="A2435" t="str">
            <v>96547</v>
          </cell>
          <cell r="B2435" t="str">
            <v>ARMAÇÃO DE BLOCO, VIGA BALDRAME OU SAPATA UTILIZANDO AÇO CA-50 DE 12,5 MM - MONTAGEM. AF_06/2017</v>
          </cell>
          <cell r="C2435" t="str">
            <v>KG</v>
          </cell>
          <cell r="D2435">
            <v>14.38</v>
          </cell>
        </row>
        <row r="2436">
          <cell r="A2436" t="str">
            <v>96548</v>
          </cell>
          <cell r="B2436" t="str">
            <v>ARMAÇÃO DE BLOCO, VIGA BALDRAME OU SAPATA UTILIZANDO AÇO CA-50 DE 16 MM - MONTAGEM. AF_06/2017</v>
          </cell>
          <cell r="C2436" t="str">
            <v>KG</v>
          </cell>
          <cell r="D2436">
            <v>13.69</v>
          </cell>
        </row>
        <row r="2437">
          <cell r="A2437" t="str">
            <v>96549</v>
          </cell>
          <cell r="B2437" t="str">
            <v>ARMAÇÃO DE BLOCO, VIGA BALDRAME OU SAPATA UTILIZANDO AÇO CA-50 DE 20 MM - MONTAGEM. AF_06/2017</v>
          </cell>
          <cell r="C2437" t="str">
            <v>KG</v>
          </cell>
          <cell r="D2437">
            <v>15.3</v>
          </cell>
        </row>
        <row r="2438">
          <cell r="A2438" t="str">
            <v>96550</v>
          </cell>
          <cell r="B2438" t="str">
            <v>ARMAÇÃO DE BLOCO, VIGA BALDRAME OU SAPATA UTILIZANDO AÇO CA-50 DE 25 MM - MONTAGEM. AF_06/2017</v>
          </cell>
          <cell r="C2438" t="str">
            <v>KG</v>
          </cell>
          <cell r="D2438">
            <v>14.93</v>
          </cell>
        </row>
        <row r="2439">
          <cell r="A2439" t="str">
            <v>100064</v>
          </cell>
          <cell r="B2439" t="str">
            <v>ARMAÇÃO DO SISTEMA DE PAREDES DE CONCRETO, EXECUTADA COMO ARMADURA POSITIVA DE LAJES, TELA Q-159. AF_06/2019</v>
          </cell>
          <cell r="C2439" t="str">
            <v>KG</v>
          </cell>
          <cell r="D2439">
            <v>19.22</v>
          </cell>
        </row>
        <row r="2440">
          <cell r="A2440" t="str">
            <v>100066</v>
          </cell>
          <cell r="B2440" t="str">
            <v>ARMAÇÃO DO SISTEMA DE PAREDES DE CONCRETO, EXECUTADA COMO ARMADURA POSITIVA DE LAJES, TELA Q-196. AF_06/2019</v>
          </cell>
          <cell r="C2440" t="str">
            <v>KG</v>
          </cell>
          <cell r="D2440">
            <v>19.27</v>
          </cell>
        </row>
        <row r="2441">
          <cell r="A2441" t="str">
            <v>100067</v>
          </cell>
          <cell r="B2441" t="str">
            <v>ARMAÇÃO DO SISTEMA DE PAREDES DE CONCRETO, EXECUTADA COMO REFORÇO, VERGALHÃO DE 5,0 MM DE DIÂMETRO. AF_06/2019</v>
          </cell>
          <cell r="C2441" t="str">
            <v>KG</v>
          </cell>
          <cell r="D2441">
            <v>15.66</v>
          </cell>
        </row>
        <row r="2442">
          <cell r="A2442" t="str">
            <v>100068</v>
          </cell>
          <cell r="B2442" t="str">
            <v>ARMAÇÃO DO SISTEMA DE PAREDES DE CONCRETO, EXECUTADA COMO REFORÇO, VERGALHÃO DE 12,5 MM DE DIÂMETRO. AF_06/2019</v>
          </cell>
          <cell r="C2442" t="str">
            <v>KG</v>
          </cell>
          <cell r="D2442">
            <v>12.65</v>
          </cell>
        </row>
        <row r="2443">
          <cell r="A2443" t="str">
            <v>102920</v>
          </cell>
          <cell r="B2443" t="str">
            <v>ARMAÇÃO DE CINTA DE ALVENARIA ESTRUTURAL; DIÂMETRO DE 12,5 MM. AF_09/2021</v>
          </cell>
          <cell r="C2443" t="str">
            <v>KG</v>
          </cell>
          <cell r="D2443">
            <v>11.33</v>
          </cell>
        </row>
        <row r="2444">
          <cell r="A2444" t="str">
            <v>102921</v>
          </cell>
          <cell r="B2444" t="str">
            <v>ARMAÇÃO VERTICAL DE ALVENARIA ESTRUTURAL; DIÂMETRO DE 16,0 MM. AF_09/2021</v>
          </cell>
          <cell r="C2444" t="str">
            <v>KG</v>
          </cell>
          <cell r="D2444">
            <v>11.06</v>
          </cell>
        </row>
        <row r="2445">
          <cell r="A2445" t="str">
            <v>102922</v>
          </cell>
          <cell r="B2445" t="str">
            <v>ARMAÇÃO DE VERGA E CONTRAVERGA DE ALVENARIA ESTRUTURAL; DIÂMETRO DE 16,0 MM. AF_09/2021</v>
          </cell>
          <cell r="C2445" t="str">
            <v>KG</v>
          </cell>
          <cell r="D2445">
            <v>11.85</v>
          </cell>
        </row>
        <row r="2446">
          <cell r="A2446" t="str">
            <v>102923</v>
          </cell>
          <cell r="B2446" t="str">
            <v>ARMAÇÃO DE CINTA DE ALVENARIA ESTRUTURAL; DIÂMETRO DE 16,0 MM. AF_09/2021</v>
          </cell>
          <cell r="C2446" t="str">
            <v>KG</v>
          </cell>
          <cell r="D2446">
            <v>10.86</v>
          </cell>
        </row>
        <row r="2447">
          <cell r="A2447" t="str">
            <v>103088</v>
          </cell>
          <cell r="B2447" t="str">
            <v>ARMAÇÃO DE VERGA E CONTRAVERGA DE ALVENARIA ESTRUTURAL; DIÂMETRO DE 12,5 MM. AF_09/2021</v>
          </cell>
          <cell r="C2447" t="str">
            <v>M3</v>
          </cell>
          <cell r="D2447">
            <v>12.94</v>
          </cell>
        </row>
        <row r="2448">
          <cell r="A2448" t="str">
            <v>89993</v>
          </cell>
          <cell r="B2448" t="str">
            <v>GRAUTEAMENTO VERTICAL EM ALVENARIA ESTRUTURAL. AF_09/2021</v>
          </cell>
          <cell r="C2448" t="str">
            <v>M3</v>
          </cell>
          <cell r="D2448">
            <v>828.39</v>
          </cell>
        </row>
        <row r="2449">
          <cell r="A2449" t="str">
            <v>89994</v>
          </cell>
          <cell r="B2449" t="str">
            <v>GRAUTEAMENTO DE CINTA INTERMEDIÁRIA OU DE CONTRAVERGA EM ALVENARIA ESTRUTURAL. AF_09/2021</v>
          </cell>
          <cell r="C2449" t="str">
            <v>M3</v>
          </cell>
          <cell r="D2449">
            <v>699.61</v>
          </cell>
        </row>
        <row r="2450">
          <cell r="A2450" t="str">
            <v>89995</v>
          </cell>
          <cell r="B2450" t="str">
            <v>GRAUTEAMENTO DE CINTA SUPERIOR OU DE VERGA EM ALVENARIA ESTRUTURAL. AF_09/2021</v>
          </cell>
          <cell r="C2450" t="str">
            <v>M3</v>
          </cell>
          <cell r="D2450">
            <v>795.46</v>
          </cell>
        </row>
        <row r="2451">
          <cell r="A2451" t="str">
            <v>90278</v>
          </cell>
          <cell r="B2451" t="str">
            <v>GRAUTE FGK=15 MPA; TRAÇO 1:0,04:2,2:2,5 (EM MASSA SECA DE CIMENTO/CAL/AREIA GROSSA/BRITA 0) - PREPARO MECÂNICO COM BETONEIRA 400 L. AF_09/2021</v>
          </cell>
          <cell r="C2451" t="str">
            <v>M3</v>
          </cell>
          <cell r="D2451">
            <v>388.8</v>
          </cell>
        </row>
        <row r="2452">
          <cell r="A2452" t="str">
            <v>90279</v>
          </cell>
          <cell r="B2452" t="str">
            <v>GRAUTE FGK=20 MPA; TRAÇO 1:0,04:1,8:2,1 (EM MASSA SECA DE CIMENTO/ CAL/ AREIA GROSSA/ BRITA 0) - PREPARO MECÂNICO COM BETONEIRA 400 L. AF_09/2021</v>
          </cell>
          <cell r="C2452" t="str">
            <v>M3</v>
          </cell>
          <cell r="D2452">
            <v>431.19</v>
          </cell>
        </row>
        <row r="2453">
          <cell r="A2453" t="str">
            <v>90280</v>
          </cell>
          <cell r="B2453" t="str">
            <v>GRAUTE FGK=25 MPA; TRAÇO 1:0,02:1,3:1,6 (EM MASSA SECA DE CIMENTO/ CAL/ AREIA GROSSA/ BRITA 0) - PREPARO MECÂNICO COM BETONEIRA 400 L. AF_09/2021</v>
          </cell>
          <cell r="C2453" t="str">
            <v>M3</v>
          </cell>
          <cell r="D2453">
            <v>477.87</v>
          </cell>
        </row>
        <row r="2454">
          <cell r="A2454" t="str">
            <v>90281</v>
          </cell>
          <cell r="B2454" t="str">
            <v>GRAUTE FGK=30 MPA; TRAÇO 1:0,02:0,9:1,2 (EM MASSA SECA DE CIMENTO/ CAL/ AREIA GROSSA/ BRITA 0) - PREPARO MECÂNICO COM BETONEIRA 400 L. AF_09/2021</v>
          </cell>
          <cell r="C2454" t="str">
            <v>M3</v>
          </cell>
          <cell r="D2454">
            <v>556.22</v>
          </cell>
        </row>
        <row r="2455">
          <cell r="A2455" t="str">
            <v>90282</v>
          </cell>
          <cell r="B2455" t="str">
            <v>GRAUTE FGK=15 MPA; TRAÇO 1:2,2:2,5:0,3 (EM MASSA SECA DE CIMENTO/ AREIA GROSSA/ BRITA 0/ ADITIVO) - PREPARO MECÂNICO COM BETONEIRA 400 L. AF_09/2021</v>
          </cell>
          <cell r="C2455" t="str">
            <v>M3</v>
          </cell>
          <cell r="D2455">
            <v>378.82</v>
          </cell>
        </row>
        <row r="2456">
          <cell r="A2456" t="str">
            <v>90283</v>
          </cell>
          <cell r="B2456" t="str">
            <v>GRAUTE FGK=20 MPA; TRAÇO 1:1,8:2,1:0,4 (EM MASSA SECA DE CIMENTO/ AREIA GROSSA/ BRITA 0/ ADITIVO) - PREPARO MECÂNICO COM BETONEIRA 400 L. AF_09/2021</v>
          </cell>
          <cell r="C2456" t="str">
            <v>M3</v>
          </cell>
          <cell r="D2456">
            <v>421.15</v>
          </cell>
        </row>
        <row r="2457">
          <cell r="A2457" t="str">
            <v>90284</v>
          </cell>
          <cell r="B2457" t="str">
            <v>GRAUTE FGK=25 MPA; TRAÇO 1:1,3:1,6:0,4 (EM MASSA SECA DE CIMENTO/ AREIA GROSSA/ BRITA 0/ ADITIVO) - PREPARO MECÂNICO COM BETONEIRA 400 L. AF_09/2021</v>
          </cell>
          <cell r="C2457" t="str">
            <v>M3</v>
          </cell>
          <cell r="D2457">
            <v>471.54</v>
          </cell>
        </row>
        <row r="2458">
          <cell r="A2458" t="str">
            <v>90285</v>
          </cell>
          <cell r="B2458" t="str">
            <v>GRAUTE FGK=30 MPA; TRAÇO 1:0,9:1,2:0,6 (EM MASSA SECA DE CIMENTO/ AREIA GROSSA/ BRITA 0/ ADITIVO) - PREPARO MECÂNICO COM BETONEIRA 400 L. AF_09/2021</v>
          </cell>
          <cell r="C2458" t="str">
            <v>M3</v>
          </cell>
          <cell r="D2458">
            <v>554.82000000000005</v>
          </cell>
        </row>
        <row r="2459">
          <cell r="A2459" t="str">
            <v>92718</v>
          </cell>
          <cell r="B2459" t="str">
            <v>CONCRETAGEM DE PILARES, FCK = 25 MPA,  COM USO DE BALDES EM EDIFICAÇÃO COM SEÇÃO MÉDIA DE PILARES MENOR OU IGUAL A 0,25 M² - LANÇAMENTO, ADENSAMENTO E ACABAMENTO. AF_12/2015</v>
          </cell>
          <cell r="C2459" t="str">
            <v>M3</v>
          </cell>
          <cell r="D2459">
            <v>536.5</v>
          </cell>
        </row>
        <row r="2460">
          <cell r="A2460" t="str">
            <v>92719</v>
          </cell>
          <cell r="B2460" t="str">
            <v>CONCRETAGEM DE PILARES, FCK = 25 MPA, COM USO DE GRUA EM EDIFICAÇÃO COM SEÇÃO MÉDIA DE PILARES MENOR OU IGUAL A 0,25 M² - LANÇAMENTO, ADENSAMENTO E ACABAMENTO. AF_12/2015</v>
          </cell>
          <cell r="C2460" t="str">
            <v>M3</v>
          </cell>
          <cell r="D2460">
            <v>378.67</v>
          </cell>
        </row>
        <row r="2461">
          <cell r="A2461" t="str">
            <v>92720</v>
          </cell>
          <cell r="B2461" t="str">
            <v>CONCRETAGEM DE PILARES, FCK = 25 MPA, COM USO DE BOMBA EM EDIFICAÇÃO COM SEÇÃO MÉDIA DE PILARES MENOR OU IGUAL A 0,25 M² - LANÇAMENTO, ADENSAMENTO E ACABAMENTO. AF_12/2015</v>
          </cell>
          <cell r="C2461" t="str">
            <v>M3</v>
          </cell>
          <cell r="D2461">
            <v>401.58</v>
          </cell>
        </row>
        <row r="2462">
          <cell r="A2462" t="str">
            <v>92721</v>
          </cell>
          <cell r="B2462" t="str">
            <v>CONCRETAGEM DE PILARES, FCK = 25 MPA, COM USO DE GRUA EM EDIFICAÇÃO COM SEÇÃO MÉDIA DE PILARES MAIOR QUE 0,25 M² - LANÇAMENTO, ADENSAMENTO E ACABAMENTO. AF_12/2015</v>
          </cell>
          <cell r="C2462" t="str">
            <v>M3</v>
          </cell>
          <cell r="D2462">
            <v>369.01</v>
          </cell>
        </row>
        <row r="2463">
          <cell r="A2463" t="str">
            <v>92722</v>
          </cell>
          <cell r="B2463" t="str">
            <v>CONCRETAGEM DE PILARES, FCK = 25 MPA, COM USO DE BOMBA EM EDIFICAÇÃO COM SEÇÃO MÉDIA DE PILARES MAIOR QUE 0,25 M² - LANÇAMENTO, ADENSAMENTO E ACABAMENTO. AF_12/2015</v>
          </cell>
          <cell r="C2463" t="str">
            <v>M3</v>
          </cell>
          <cell r="D2463">
            <v>397.64</v>
          </cell>
        </row>
        <row r="2464">
          <cell r="A2464" t="str">
            <v>92723</v>
          </cell>
          <cell r="B2464" t="str">
            <v>CONCRETAGEM DE VIGAS E LAJES, FCK=20 MPA, PARA LAJES PREMOLDADAS COM USO DE BOMBA EM EDIFICAÇÃO COM ÁREA MÉDIA DE LAJES MENOR OU IGUAL A 20 M² - LANÇAMENTO, ADENSAMENTO E ACABAMENTO. AF_12/2015</v>
          </cell>
          <cell r="C2464" t="str">
            <v>M3</v>
          </cell>
          <cell r="D2464">
            <v>391.82</v>
          </cell>
        </row>
        <row r="2465">
          <cell r="A2465" t="str">
            <v>92724</v>
          </cell>
          <cell r="B2465" t="str">
            <v>CONCRETAGEM DE VIGAS E LAJES, FCK=20 MPA, PARA LAJES PREMOLDADAS COM USO DE BOMBA EM EDIFICAÇÃO COM ÁREA MÉDIA DE LAJES MAIOR QUE 20 M² - LANÇAMENTO, ADENSAMENTO E ACABAMENTO. AF_12/2015</v>
          </cell>
          <cell r="C2465" t="str">
            <v>M3</v>
          </cell>
          <cell r="D2465">
            <v>388.23</v>
          </cell>
        </row>
        <row r="2466">
          <cell r="A2466" t="str">
            <v>92725</v>
          </cell>
          <cell r="B2466" t="str">
            <v>CONCRETAGEM DE VIGAS E LAJES, FCK=20 MPA, PARA LAJES MACIÇAS OU NERVURADAS COM USO DE BOMBA EM EDIFICAÇÃO COM ÁREA MÉDIA DE LAJES MENOR OU IGUAL A 20 M² - LANÇAMENTO, ADENSAMENTO E ACABAMENTO. AF_12/2015</v>
          </cell>
          <cell r="C2466" t="str">
            <v>M3</v>
          </cell>
          <cell r="D2466">
            <v>386.73</v>
          </cell>
        </row>
        <row r="2467">
          <cell r="A2467" t="str">
            <v>92726</v>
          </cell>
          <cell r="B2467" t="str">
            <v>CONCRETAGEM DE VIGAS E LAJES, FCK=20 MPA, PARA LAJES MACIÇAS OU NERVURADAS COM USO DE BOMBA EM EDIFICAÇÃO COM ÁREA MÉDIA DE LAJES MAIOR QUE 20 M² - LANÇAMENTO, ADENSAMENTO E ACABAMENTO. AF_12/2015</v>
          </cell>
          <cell r="C2467" t="str">
            <v>M3</v>
          </cell>
          <cell r="D2467">
            <v>384.21</v>
          </cell>
        </row>
        <row r="2468">
          <cell r="A2468" t="str">
            <v>92727</v>
          </cell>
          <cell r="B2468" t="str">
            <v>CONCRETAGEM DE VIGAS E LAJES, FCK=20 MPA, PARA LAJES PREMOLDADAS COM JERICAS EM ELEVADOR DE CABO EM EDIFICAÇÃO DE MULTIPAVIMENTOS ATÉ 16 ANDARES, COM ÁREA MÉDIA DE LAJES MENOR OU IGUAL A 20 M² - LANÇAMENTO, ADENSAMENTO E ACABAMENTO. AF_12/2015</v>
          </cell>
          <cell r="C2468" t="str">
            <v>M3</v>
          </cell>
          <cell r="D2468">
            <v>467.57</v>
          </cell>
        </row>
        <row r="2469">
          <cell r="A2469" t="str">
            <v>92728</v>
          </cell>
          <cell r="B2469" t="str">
            <v>CONCRETAGEM DE VIGAS E LAJES, FCK=20 MPA, PARA LAJES PREMOLDADAS COM JERICAS EM ELEVADOR DE CABO EM EDIFICAÇÃO DE MULTIPAVIMENTOS ATÉ 16 ANDARES, COM ÁREA MÉDIA DE LAJES MAIOR QUE 20 M² - LANÇAMENTO, ADENSAMENTO E ACABAMENTO. AF_12/2015</v>
          </cell>
          <cell r="C2469" t="str">
            <v>M3</v>
          </cell>
          <cell r="D2469">
            <v>442.66</v>
          </cell>
        </row>
        <row r="2470">
          <cell r="A2470" t="str">
            <v>92729</v>
          </cell>
          <cell r="B2470" t="str">
            <v>CONCRETAGEM DE VIGAS E LAJES, FCK=20 MPA, PARA LAJES MACIÇAS OU NERVURADAS COM JERICAS EM ELEVADOR DE CABO EM EDIFICAÇÃO DE ATÉ 16 ANDARES, COM ÁREA MÉDIA DE LAJES MENOR OU IGUAL A 20 M² - LANÇAMENTO, ADENSAMENTO E ACABAMENTO. AF_12/2015</v>
          </cell>
          <cell r="C2470" t="str">
            <v>M3</v>
          </cell>
          <cell r="D2470">
            <v>432.11</v>
          </cell>
        </row>
        <row r="2471">
          <cell r="A2471" t="str">
            <v>92730</v>
          </cell>
          <cell r="B2471" t="str">
            <v>CONCRETAGEM DE VIGAS E LAJES, FCK=20 MPA, PARA LAJES MACIÇAS OU NERVURADAS COM JERICAS EM ELEVADOR DE CABO EM EDIFICAÇÃO DE MULTIPAVIMENTOS ATÉ 16 ANDARES, COM ÁREA MÉDIA DE LAJES MAIOR QUE 20 M² - LANÇAMENTO, ADENSAMENTO E ACABAMENTO. AF_12/2015</v>
          </cell>
          <cell r="C2471" t="str">
            <v>M3</v>
          </cell>
          <cell r="D2471">
            <v>414.52</v>
          </cell>
        </row>
        <row r="2472">
          <cell r="A2472" t="str">
            <v>92731</v>
          </cell>
          <cell r="B2472" t="str">
            <v>CONCRETAGEM DE VIGAS E LAJES, FCK=20 MPA, PARA LAJES PREMOLDADAS COM JERICAS EM CREMALHEIRA EM EDIFICAÇÃO DE MULTIPAVIMENTOS ATÉ 16 ANDARES, COM ÁREA MÉDIA DE LAJES MENOR OU IGUAL A 20 M² - LANÇAMENTO, ADENSAMENTO E ACABAMENTO. AF_12/2015</v>
          </cell>
          <cell r="C2472" t="str">
            <v>M3</v>
          </cell>
          <cell r="D2472">
            <v>434.56</v>
          </cell>
        </row>
        <row r="2473">
          <cell r="A2473" t="str">
            <v>92732</v>
          </cell>
          <cell r="B2473" t="str">
            <v>CONCRETAGEM DE VIGAS E LAJES, FCK=20 MPA, PARA LAJES PREMOLDADAS COM JERICAS EM CREMALHEIRA EM EDIFICAÇÃO DE MULTIPAVIMENTOS ATÉ 16 ANDARES, COM ÁREA MÉDIA DE LAJES MAIOR QUE 20 M² - LANÇAMENTO, ADENSAMENTO E ACABAMENTO. AF_12/2015</v>
          </cell>
          <cell r="C2473" t="str">
            <v>M3</v>
          </cell>
          <cell r="D2473">
            <v>417.54</v>
          </cell>
        </row>
        <row r="2474">
          <cell r="A2474" t="str">
            <v>92733</v>
          </cell>
          <cell r="B2474" t="str">
            <v>CONCRETAGEM DE VIGAS E LAJES, FCK=20 MPA, PARA LAJES MACIÇAS OU NERVURADAS COM JERICAS EM CREMALHEIRA EM EDIFICAÇÃO DE MULTIPAVIMENTOS ATÉ 16 ANDARES, COM ÁREA MÉDIA DE LAJES MENOR OU IGUAL A 20 M² - LANÇAMENTO, ADENSAMENTO E ACABAMENTO. AF_12/2015</v>
          </cell>
          <cell r="C2474" t="str">
            <v>M3</v>
          </cell>
          <cell r="D2474">
            <v>410.3</v>
          </cell>
        </row>
        <row r="2475">
          <cell r="A2475" t="str">
            <v>92734</v>
          </cell>
          <cell r="B2475" t="str">
            <v>CONCRETAGEM DE VIGAS E LAJES, FCK=20 MPA, PARA LAJES MACIÇAS OU NERVURADAS COM JERICAS EM CREMALHEIRA EM EDIFICAÇÃO DE MULTIPAVIMENTOS ATÉ 16 ANDARES, COM ÁREA MÉDIA DE LAJES MAIOR QUE 20 M² - LANÇAMENTO, ADENSAMENTO E ACABAMENTO. AF_12/2015</v>
          </cell>
          <cell r="C2475" t="str">
            <v>M3</v>
          </cell>
          <cell r="D2475">
            <v>398.3</v>
          </cell>
        </row>
        <row r="2476">
          <cell r="A2476" t="str">
            <v>92735</v>
          </cell>
          <cell r="B2476" t="str">
            <v>CONCRETAGEM DE VIGAS E LAJES, FCK=20 MPA, PARA LAJES PREMOLDADAS COM GRUA DE CAÇAMBA DE 350 L EM EDIFICAÇÃO DE MULTIPAVIMENTOS ATÉ 16 ANDARES, COM ÁREA MÉDIA DE LAJES MENOR OU IGUAL A 20 M² - LANÇAMENTO, ADENSAMENTO E ACABAMENTO. AF_12/2015</v>
          </cell>
          <cell r="C2476" t="str">
            <v>M3</v>
          </cell>
          <cell r="D2476">
            <v>407.84</v>
          </cell>
        </row>
        <row r="2477">
          <cell r="A2477" t="str">
            <v>92736</v>
          </cell>
          <cell r="B2477" t="str">
            <v>CONCRETAGEM DE VIGAS E LAJES, FCK=20 MPA, PARA LAJES PREMOLDADAS COM GRUA DE CAÇAMBA DE 350 L EM EDIFICAÇÃO DE MULTIPAVIMENTOS ATÉ 16 ANDARES, COM ÁREA MÉDIA DE LAJES MAIOR QUE 20 M² - LANÇAMENTO, ADENSAMENTO E ACABAMENTO. AF_12/2015</v>
          </cell>
          <cell r="C2477" t="str">
            <v>M3</v>
          </cell>
          <cell r="D2477">
            <v>394.39</v>
          </cell>
        </row>
        <row r="2478">
          <cell r="A2478" t="str">
            <v>92739</v>
          </cell>
          <cell r="B2478" t="str">
            <v>CONCRETAGEM DE VIGAS E LAJES, FCK=20 MPA, PARA LAJES MACIÇAS OU NERVURADAS COM GRUA DE CAÇAMBA DE 500 L EM EDIFICAÇÃO DE MULTIPAVIMENTOS ATÉ 16 ANDARES, COM ÁREA MÉDIA DE LAJES MENOR OU IGUAL A 20 M² - LANÇAMENTO, ADENSAMENTO E ACABAMENTO. AF_12/2015</v>
          </cell>
          <cell r="C2478" t="str">
            <v>M3</v>
          </cell>
          <cell r="D2478">
            <v>374.88</v>
          </cell>
        </row>
        <row r="2479">
          <cell r="A2479" t="str">
            <v>92740</v>
          </cell>
          <cell r="B2479" t="str">
            <v>CONCRETAGEM DE VIGAS E LAJES, FCK=20 MPA, PARA LAJES MACIÇAS OU NERVURADAS COM GRUA DE CAÇAMBA DE 500 L EM EDIFICAÇÃO DE MULTIPAVIMENTOS ATÉ 16 ANDARES, COM ÁREA MÉDIA DE LAJES MAIOR QUE 20 M² - LANÇAMENTO, ADENSAMENTO E ACABAMENTO. AF_12/2015</v>
          </cell>
          <cell r="C2479" t="str">
            <v>M3</v>
          </cell>
          <cell r="D2479">
            <v>368.22</v>
          </cell>
        </row>
        <row r="2480">
          <cell r="A2480" t="str">
            <v>92741</v>
          </cell>
          <cell r="B2480" t="str">
            <v>CONCRETAGEM DE VIGAS E LAJES, FCK=20 MPA, PARA QUALQUER TIPO DE LAJE COM BALDES EM EDIFICAÇÃO TÉRREA, COM ÁREA MÉDIA DE LAJES MENOR OU IGUAL A 20 M² - LANÇAMENTO, ADENSAMENTO E ACABAMENTO. AF_12/2015</v>
          </cell>
          <cell r="C2480" t="str">
            <v>M3</v>
          </cell>
          <cell r="D2480">
            <v>605.77</v>
          </cell>
        </row>
        <row r="2481">
          <cell r="A2481" t="str">
            <v>92742</v>
          </cell>
          <cell r="B2481" t="str">
            <v>CONCRETAGEM DE VIGAS E LAJES, FCK=20 MPA, PARA QUALQUER TIPO DE LAJE COM BALDES EM EDIFICAÇÃO DE MULTIPAVIMENTOS ATÉ 04 ANDARES, COM ÁREA MÉDIA DE LAJES MENOR OU IGUAL A 20 M² - LANÇAMENTO, ADENSAMENTO E ACABAMENTO. AF_12/2015</v>
          </cell>
          <cell r="C2481" t="str">
            <v>M3</v>
          </cell>
          <cell r="D2481">
            <v>856.5</v>
          </cell>
        </row>
        <row r="2482">
          <cell r="A2482" t="str">
            <v>92873</v>
          </cell>
          <cell r="B2482" t="str">
            <v>LANÇAMENTO COM USO DE BALDES, ADENSAMENTO E ACABAMENTO DE CONCRETO EM ESTRUTURAS. AF_12/2015</v>
          </cell>
          <cell r="C2482" t="str">
            <v>M3</v>
          </cell>
          <cell r="D2482">
            <v>195.15</v>
          </cell>
        </row>
        <row r="2483">
          <cell r="A2483" t="str">
            <v>92874</v>
          </cell>
          <cell r="B2483" t="str">
            <v>LANÇAMENTO COM USO DE BOMBA, ADENSAMENTO E ACABAMENTO DE CONCRETO EM ESTRUTURAS. AF_12/2015</v>
          </cell>
          <cell r="C2483" t="str">
            <v>M3</v>
          </cell>
          <cell r="D2483">
            <v>31.78</v>
          </cell>
        </row>
        <row r="2484">
          <cell r="A2484" t="str">
            <v>94962</v>
          </cell>
          <cell r="B2484" t="str">
            <v>CONCRETO MAGRO PARA LASTRO, TRAÇO 1:4,5:4,5 (EM MASSA SECA DE CIMENTO/ AREIA MÉDIA/ BRITA 1) - PREPARO MECÂNICO COM BETONEIRA 400 L. AF_05/2021</v>
          </cell>
          <cell r="C2484" t="str">
            <v>M3</v>
          </cell>
          <cell r="D2484">
            <v>282.29000000000002</v>
          </cell>
        </row>
        <row r="2485">
          <cell r="A2485" t="str">
            <v>94963</v>
          </cell>
          <cell r="B2485" t="str">
            <v>CONCRETO FCK = 15MPA, TRAÇO 1:3,4:3,5 (EM MASSA SECA DE CIMENTO/ AREIA MÉDIA/ BRITA 1) - PREPARO MECÂNICO COM BETONEIRA 400 L. AF_05/2021</v>
          </cell>
          <cell r="C2485" t="str">
            <v>M3</v>
          </cell>
          <cell r="D2485">
            <v>315.58999999999997</v>
          </cell>
        </row>
        <row r="2486">
          <cell r="A2486" t="str">
            <v>94964</v>
          </cell>
          <cell r="B2486" t="str">
            <v>CONCRETO FCK = 20MPA, TRAÇO 1:2,7:3 (EM MASSA SECA DE CIMENTO/ AREIA MÉDIA/ BRITA 1) - PREPARO MECÂNICO COM BETONEIRA 400 L. AF_05/2021</v>
          </cell>
          <cell r="C2486" t="str">
            <v>M3</v>
          </cell>
          <cell r="D2486">
            <v>349.42</v>
          </cell>
        </row>
        <row r="2487">
          <cell r="A2487" t="str">
            <v>94965</v>
          </cell>
          <cell r="B2487" t="str">
            <v>CONCRETO FCK = 25MPA, TRAÇO 1:2,3:2,7 (EM MASSA SECA DE CIMENTO/ AREIA MÉDIA/ BRITA 1) - PREPARO MECÂNICO COM BETONEIRA 400 L. AF_05/2021</v>
          </cell>
          <cell r="C2487" t="str">
            <v>M3</v>
          </cell>
          <cell r="D2487">
            <v>363.72</v>
          </cell>
        </row>
        <row r="2488">
          <cell r="A2488" t="str">
            <v>94966</v>
          </cell>
          <cell r="B2488" t="str">
            <v>CONCRETO FCK = 30MPA, TRAÇO 1:2,1:2,5 (EM MASSA SECA DE CIMENTO/ AREIA MÉDIA/ BRITA 1) - PREPARO MECÂNICO COM BETONEIRA 400 L. AF_05/2021</v>
          </cell>
          <cell r="C2488" t="str">
            <v>M3</v>
          </cell>
          <cell r="D2488">
            <v>377.01</v>
          </cell>
        </row>
        <row r="2489">
          <cell r="A2489">
            <v>94967</v>
          </cell>
          <cell r="B2489" t="str">
            <v>CONCRETO FCK = 40MPA, TRAÇO 1:1,6:1,9 (EM MASSA SECA DE CIMENTO/ AREIA MÉDIA/ BRITA 1) - PREPARO MECÂNICO COM BETONEIRA 400 L. AF_05/2021</v>
          </cell>
          <cell r="C2489" t="str">
            <v>M3</v>
          </cell>
          <cell r="D2489">
            <v>433.83</v>
          </cell>
        </row>
        <row r="2490">
          <cell r="A2490" t="str">
            <v>94968</v>
          </cell>
          <cell r="B2490" t="str">
            <v>CONCRETO MAGRO PARA LASTRO, TRAÇO 1:4,5:4,5 (EM MASSA SECA DE CIMENTO/ AREIA MÉDIA/ BRITA 1) - PREPARO MECÂNICO COM BETONEIRA 600 L. AF_05/2021</v>
          </cell>
          <cell r="C2490" t="str">
            <v>M3</v>
          </cell>
          <cell r="D2490">
            <v>278.75</v>
          </cell>
        </row>
        <row r="2491">
          <cell r="A2491" t="str">
            <v>94969</v>
          </cell>
          <cell r="B2491" t="str">
            <v>CONCRETO FCK = 15MPA, TRAÇO 1:3,4:3,5 (EM MASSA SECA DE CIMENTO/ AREIA MÉDIA/ BRITA 1) - PREPARO MECÂNICO COM BETONEIRA 600 L. AF_05/2021</v>
          </cell>
          <cell r="C2491" t="str">
            <v>M3</v>
          </cell>
          <cell r="D2491">
            <v>309.41000000000003</v>
          </cell>
        </row>
        <row r="2492">
          <cell r="A2492" t="str">
            <v>94970</v>
          </cell>
          <cell r="B2492" t="str">
            <v>CONCRETO FCK = 20MPA, TRAÇO 1:2,7:3 (EM MASSA SECA DE CIMENTO/ AREIA MÉDIA/ BRITA 1) - PREPARO MECÂNICO COM BETONEIRA 600 L. AF_05/2021</v>
          </cell>
          <cell r="C2492" t="str">
            <v>M3</v>
          </cell>
          <cell r="D2492">
            <v>337.09</v>
          </cell>
        </row>
        <row r="2493">
          <cell r="A2493" t="str">
            <v>94971</v>
          </cell>
          <cell r="B2493" t="str">
            <v>CONCRETO FCK = 25MPA, TRAÇO 1:2,3:2,7 (EM MASSA SECA DE CIMENTO/ AREIA MÉDIA/ BRITA 1) - PREPARO MECÂNICO COM BETONEIRA 600 L. AF_05/2021</v>
          </cell>
          <cell r="C2493" t="str">
            <v>M3</v>
          </cell>
          <cell r="D2493">
            <v>357.18</v>
          </cell>
        </row>
        <row r="2494">
          <cell r="A2494" t="str">
            <v>94972</v>
          </cell>
          <cell r="B2494" t="str">
            <v>CONCRETO FCK = 30MPA, TRAÇO 1:2,1:2,5 (EM MASSA SECA DE CIMENTO/ AREIA MÉDIA/ BRITA 1) - PREPARO MECÂNICO COM BETONEIRA 600 L. AF_05/2021</v>
          </cell>
          <cell r="C2494" t="str">
            <v>M3</v>
          </cell>
          <cell r="D2494">
            <v>370.54</v>
          </cell>
        </row>
        <row r="2495">
          <cell r="A2495" t="str">
            <v>94973</v>
          </cell>
          <cell r="B2495" t="str">
            <v>CONCRETO FCK = 40MPA, TRAÇO 1:1,6:1,9 (EM MASSA SECA DE CIMENTO/ AREIA MÉDIA/ BRITA 1) - PREPARO MECÂNICO COM BETONEIRA 600 L. AF_05/2021</v>
          </cell>
          <cell r="C2495" t="str">
            <v>M3</v>
          </cell>
          <cell r="D2495">
            <v>425.48</v>
          </cell>
        </row>
        <row r="2496">
          <cell r="A2496" t="str">
            <v>94974</v>
          </cell>
          <cell r="B2496" t="str">
            <v>CONCRETO MAGRO PARA LASTRO, TRAÇO 1:4,5:4,5 (EM MASSA SECA DE CIMENTO/ AREIA MÉDIA/ BRITA 1) - PREPARO MANUAL. AF_05/2021</v>
          </cell>
          <cell r="C2496" t="str">
            <v>M3</v>
          </cell>
          <cell r="D2496">
            <v>325.41000000000003</v>
          </cell>
        </row>
        <row r="2497">
          <cell r="A2497" t="str">
            <v>94975</v>
          </cell>
          <cell r="B2497" t="str">
            <v>CONCRETO FCK = 15MPA, TRAÇO 1:3,4:3,5 (EM MASSA SECA DE CIMENTO/ AREIA MÉDIA/ BRITA 1) - PREPARO MANUAL. AF_05/2021</v>
          </cell>
          <cell r="C2497" t="str">
            <v>M3</v>
          </cell>
          <cell r="D2497">
            <v>355.35</v>
          </cell>
        </row>
        <row r="2498">
          <cell r="A2498" t="str">
            <v>96555</v>
          </cell>
          <cell r="B2498" t="str">
            <v>CONCRETAGEM DE BLOCOS DE COROAMENTO E VIGAS BALDRAME, FCK 30 MPA, COM USO DE JERICA  LANÇAMENTO, ADENSAMENTO E ACABAMENTO. AF_06/2017</v>
          </cell>
          <cell r="C2498" t="str">
            <v>M3</v>
          </cell>
          <cell r="D2498">
            <v>531.70000000000005</v>
          </cell>
        </row>
        <row r="2499">
          <cell r="A2499" t="str">
            <v>96556</v>
          </cell>
          <cell r="B2499" t="str">
            <v>CONCRETAGEM DE SAPATAS, FCK 30 MPA, COM USO DE JERICA  LANÇAMENTO, ADENSAMENTO E ACABAMENTO. AF_06/2017</v>
          </cell>
          <cell r="C2499" t="str">
            <v>M3</v>
          </cell>
          <cell r="D2499">
            <v>611</v>
          </cell>
        </row>
        <row r="2500">
          <cell r="A2500" t="str">
            <v>96557</v>
          </cell>
          <cell r="B2500" t="str">
            <v>CONCRETAGEM DE BLOCOS DE COROAMENTO E VIGAS BALDRAMES, FCK 30 MPA, COM USO DE BOMBA  LANÇAMENTO, ADENSAMENTO E ACABAMENTO. AF_06/2017</v>
          </cell>
          <cell r="C2500" t="str">
            <v>M3</v>
          </cell>
          <cell r="D2500">
            <v>416.62</v>
          </cell>
        </row>
        <row r="2501">
          <cell r="A2501" t="str">
            <v>96558</v>
          </cell>
          <cell r="B2501" t="str">
            <v>CONCRETAGEM DE SAPATAS, FCK 30 MPA, COM USO DE BOMBA  LANÇAMENTO, ADENSAMENTO E ACABAMENTO. AF_11/2016</v>
          </cell>
          <cell r="C2501" t="str">
            <v>M3</v>
          </cell>
          <cell r="D2501">
            <v>423.53</v>
          </cell>
        </row>
        <row r="2502">
          <cell r="A2502" t="str">
            <v>99235</v>
          </cell>
          <cell r="B2502" t="str">
            <v>CONCRETAGEM DE EDIFICAÇÕES (PAREDES E LAJES) FEITAS COM SISTEMA DE FÔRMAS MANUSEÁVEIS, COM CONCRETO USINADO AUTOADENSÁVEL FCK 25 MPA - LANÇAMENTO E ACABAMENTO. AF_10/2021</v>
          </cell>
          <cell r="C2502" t="str">
            <v>M3</v>
          </cell>
          <cell r="D2502">
            <v>402.82</v>
          </cell>
        </row>
        <row r="2503">
          <cell r="A2503" t="str">
            <v>99431</v>
          </cell>
          <cell r="B2503" t="str">
            <v>CONCRETAGEM DE LAJES EM EDIFICAÇÕES UNIFAMILIARES FEITAS COM SISTEMA DE FÔRMAS MANUSEÁVEIS, COM CONCRETO USINADO BOMBEÁVEL FCK 25 MPA - LANÇAMENTO, ADENSAMENTO E ACABAMENTO (EXCLUSIVE BOMBA LANÇA). AF_10/2021</v>
          </cell>
          <cell r="C2503" t="str">
            <v>M3</v>
          </cell>
          <cell r="D2503">
            <v>420.13</v>
          </cell>
        </row>
        <row r="2504">
          <cell r="A2504" t="str">
            <v>99432</v>
          </cell>
          <cell r="B2504" t="str">
            <v>CONCRETAGEM DE PAREDES EM EDIFICAÇÕES UNIFAMILIARES FEITAS COM SISTEMA DE FÔRMAS MANUSEÁVEIS, COM CONCRETO USINADO BOMBEÁVEL FCK 25 MPA - LANÇAMENTO, ADENSAMENTO E ACABAMENTO (EXCLUSIVE BOMBA LANÇA). AF_10/2021</v>
          </cell>
          <cell r="C2504" t="str">
            <v>M3</v>
          </cell>
          <cell r="D2504">
            <v>407.62</v>
          </cell>
        </row>
        <row r="2505">
          <cell r="A2505" t="str">
            <v>99433</v>
          </cell>
          <cell r="B2505" t="str">
            <v>CONCRETAGEM DE PLATIBANDA EM EDIFICAÇÕES UNIFAMILIARES FEITAS COM SISTEMA DE FÔRMAS MANUSEÁVEIS, COM CONCRETO USINADO BOMBEÁVEL FCK 25 MPA, - LANÇAMENTO, ADENSAMENTO E ACABAMENTO (EXCLUSIVE BOMBA LANÇA). AF_10/2021</v>
          </cell>
          <cell r="C2505" t="str">
            <v>M3</v>
          </cell>
          <cell r="D2505">
            <v>445.75</v>
          </cell>
        </row>
        <row r="2506">
          <cell r="A2506" t="str">
            <v>99434</v>
          </cell>
          <cell r="B2506" t="str">
            <v>CONCRETAGEM DE LAJES EM EDIFICAÇÕES MULTIFAMILIARES FEITAS COM SISTEMA DE FÔRMAS MANUSEÁVEIS, COM CONCRETO USINADO BOMBEÁVEL FCK 25 MPA - LANÇAMENTO, ADENSAMENTO E ACABAMENTO (EXCLUSIVE BOMBA LANÇA). AF_10/2021</v>
          </cell>
          <cell r="C2506" t="str">
            <v>M3</v>
          </cell>
          <cell r="D2506">
            <v>423.89</v>
          </cell>
        </row>
        <row r="2507">
          <cell r="A2507" t="str">
            <v>99435</v>
          </cell>
          <cell r="B2507" t="str">
            <v>CONCRETAGEM DE PAREDES EM EDIFICAÇÕES MULTIFAMILIARES FEITAS COM SISTEMA DE FÔRMAS MANUSEÁVEIS, COM CONCRETO USINADO BOMBEÁVEL FCK 25 MPA - LANÇAMENTO, ADENSAMENTO E ACABAMENTO (EXCLUSIVE BOMBA LANÇA). AF_10/2021</v>
          </cell>
          <cell r="C2507" t="str">
            <v>M3</v>
          </cell>
          <cell r="D2507">
            <v>410.19</v>
          </cell>
        </row>
        <row r="2508">
          <cell r="A2508" t="str">
            <v>99436</v>
          </cell>
          <cell r="B2508" t="str">
            <v>CONCRETAGEM DE PLATIBANDA EM EDIFICAÇÕES MULTIFAMILIARES FEITAS COM SISTEMA DE FÔRMAS MANUSEÁVEIS, COM CONCRETO USINADO BOMBEÁVEL FCK 25 MPA - LANÇAMENTO, ADENSAMENTO E ACABAMENTO (EXCLUSIVE BOMBA LANÇA). AF_10/2021</v>
          </cell>
          <cell r="C2508" t="str">
            <v>M3</v>
          </cell>
          <cell r="D2508">
            <v>465.34</v>
          </cell>
        </row>
        <row r="2509">
          <cell r="A2509" t="str">
            <v>99437</v>
          </cell>
          <cell r="B2509" t="str">
            <v>CONCRETAGEM DE PLATIBANDA EM EDIFICAÇÕES UNIFAMILIARES FEITAS COM SISTEMA DE FÔRMAS MANUSEÁVEIS, COM CONCRETO USINADO AUTOADENSÁVEL FCK 25 MPA - LANÇAMENTO E ACABAMENTO. AF_10/2021</v>
          </cell>
          <cell r="C2509" t="str">
            <v>M3</v>
          </cell>
          <cell r="D2509">
            <v>428.16</v>
          </cell>
        </row>
        <row r="2510">
          <cell r="A2510" t="str">
            <v>99438</v>
          </cell>
          <cell r="B2510" t="str">
            <v>CONCRETAGEM DE PLATIBANDA EM EDIFICAÇÕES MULTIFAMILIARES FEITAS COM SISTEMA DE FÔRMAS MANUSEÁVEIS, COM CONCRETO USINADO AUTOADENSÁVEL FCK 25 MPA - LANÇAMENTO E ACABAMENTO. AF_10/2021</v>
          </cell>
          <cell r="C2510" t="str">
            <v>M3</v>
          </cell>
          <cell r="D2510">
            <v>433.53</v>
          </cell>
        </row>
        <row r="2511">
          <cell r="A2511" t="str">
            <v>99439</v>
          </cell>
          <cell r="B2511" t="str">
            <v>CONCRETAGEM DE EDIFICAÇÕES (PAREDES E LAJES) FEITAS COM SISTEMA DE FÔRMAS MANUSEÁVEIS, COM CONCRETO USINADO BOMBEÁVEL FCK 25 MPA - LANÇAMENTO, ADENSAMENTO E ACABAMENTO (EXCLUSIVE BOMBA LANÇA). AF_10/2021</v>
          </cell>
          <cell r="C2511" t="str">
            <v>M3</v>
          </cell>
          <cell r="D2511">
            <v>414.09</v>
          </cell>
        </row>
        <row r="2512">
          <cell r="A2512" t="str">
            <v>102473</v>
          </cell>
          <cell r="B2512" t="str">
            <v>CONCRETO MAGRO PARA LASTRO, TRAÇO 1:4,5:4,5 (EM MASSA SECA DE CIMENTO/ AREIA MÉDIA/ SEIXO ROLADO) - PREPARO MECÂNICO COM BETONEIRA 400 L. AF_05/2021</v>
          </cell>
          <cell r="C2512" t="str">
            <v>M3</v>
          </cell>
          <cell r="D2512">
            <v>302.11</v>
          </cell>
        </row>
        <row r="2513">
          <cell r="A2513" t="str">
            <v>102474</v>
          </cell>
          <cell r="B2513" t="str">
            <v>CONCRETO FCK = 15MPA, TRAÇO 1:3,4:3,4 (EM MASSA SECA DE CIMENTO/ AREIA MÉDIA/ SEIXO ROLADO) - PREPARO MECÂNICO COM BETONEIRA 400 L. AF_05/2021</v>
          </cell>
          <cell r="C2513" t="str">
            <v>M3</v>
          </cell>
          <cell r="D2513">
            <v>335.07</v>
          </cell>
        </row>
        <row r="2514">
          <cell r="A2514" t="str">
            <v>102475</v>
          </cell>
          <cell r="B2514" t="str">
            <v>CONCRETO FCK = 20MPA, TRAÇO 1:2,6:2,9 (EM MASSA SECA DE CIMENTO/ AREIA MÉDIA/ SEIXO ROLADO) - PREPARO MECÂNICO COM BETONEIRA 400 L. AF_05/2021</v>
          </cell>
          <cell r="C2514" t="str">
            <v>M3</v>
          </cell>
          <cell r="D2514">
            <v>372.01</v>
          </cell>
        </row>
        <row r="2515">
          <cell r="A2515" t="str">
            <v>102476</v>
          </cell>
          <cell r="B2515" t="str">
            <v>CONCRETO FCK = 25MPA, TRAÇO 1:2,2:2,5 (EM MASSA SECA DE CIMENTO/ AREIA MÉDIA/ SEIXO ROLADO) - PREPARO MECÂNICO COM BETONEIRA 400 L. AF_05/2021</v>
          </cell>
          <cell r="C2515" t="str">
            <v>M3</v>
          </cell>
          <cell r="D2515">
            <v>385.95</v>
          </cell>
        </row>
        <row r="2516">
          <cell r="A2516" t="str">
            <v>102477</v>
          </cell>
          <cell r="B2516" t="str">
            <v>CONCRETO FCK = 30MPA, TRAÇO 1:1,9:2,3 (EM MASSA SECA DE CIMENTO/ AREIA MÉDIA/ SEIXO ROLADO) - PREPARO MECÂNICO COM BETONEIRA 400 L. AF_05/2021</v>
          </cell>
          <cell r="C2516" t="str">
            <v>M3</v>
          </cell>
          <cell r="D2516">
            <v>414.66</v>
          </cell>
        </row>
        <row r="2517">
          <cell r="A2517" t="str">
            <v>102478</v>
          </cell>
          <cell r="B2517" t="str">
            <v>CONCRETO FCK = 40MPA, TRAÇO 1:1,4:1,8 (EM MASSA SECA DE CIMENTO/ AREIA MÉDIA/ SEIXO ROLADO) - PREPARO MECÂNICO COM BETONEIRA 400 L. AF_05/2021</v>
          </cell>
          <cell r="C2517" t="str">
            <v>M3</v>
          </cell>
          <cell r="D2517">
            <v>458.49</v>
          </cell>
        </row>
        <row r="2518">
          <cell r="A2518" t="str">
            <v>102479</v>
          </cell>
          <cell r="B2518" t="str">
            <v>CONCRETO MAGRO PARA LASTRO, TRAÇO 1:4,5:4,5 (EM MASSA SECA DE CIMENTO/ AREIA MÉDIA/ SEIXO ROLADO) - PREPARO MECÂNICO COM BETONEIRA 600 L. AF_05/2021</v>
          </cell>
          <cell r="C2518" t="str">
            <v>M3</v>
          </cell>
          <cell r="D2518">
            <v>298.38</v>
          </cell>
        </row>
        <row r="2519">
          <cell r="A2519" t="str">
            <v>102480</v>
          </cell>
          <cell r="B2519" t="str">
            <v>CONCRETO FCK = 15MPA, TRAÇO 1:3,4:3,4 (EM MASSA SECA DE CIMENTO/ AREIA MÉDIA/ SEIXO ROLADO) - PREPARO MECÂNICO COM BETONEIRA 600 L. AF_05/2021</v>
          </cell>
          <cell r="C2519" t="str">
            <v>M3</v>
          </cell>
          <cell r="D2519">
            <v>328.91</v>
          </cell>
        </row>
        <row r="2520">
          <cell r="A2520" t="str">
            <v>102481</v>
          </cell>
          <cell r="B2520" t="str">
            <v>CONCRETO FCK = 20MPA, TRAÇO 1:2,6:2,9 (EM MASSA SECA DE CIMENTO/ AREIA MÉDIA/ SEIXO ROLADO) - PREPARO MECÂNICO COM BETONEIRA 600 L. AF_05/2021</v>
          </cell>
          <cell r="C2520" t="str">
            <v>M3</v>
          </cell>
          <cell r="D2520">
            <v>359.36</v>
          </cell>
        </row>
        <row r="2521">
          <cell r="A2521" t="str">
            <v>102482</v>
          </cell>
          <cell r="B2521" t="str">
            <v>CONCRETO FCK = 25MPA, TRAÇO 1:2,2:2,5 (EM MASSA SECA DE CIMENTO/ AREIA MÉDIA/ SEIXO ROLADO) - PREPARO MECÂNICO COM BETONEIRA 600 L. AF_05/2021</v>
          </cell>
          <cell r="C2521" t="str">
            <v>M3</v>
          </cell>
          <cell r="D2521">
            <v>382.32</v>
          </cell>
        </row>
        <row r="2522">
          <cell r="A2522" t="str">
            <v>102483</v>
          </cell>
          <cell r="B2522" t="str">
            <v>CONCRETO FCK = 30MPA, TRAÇO 1:1,9:2,3 (EM MASSA SECA DE CIMENTO/ AREIA MÉDIA/ SEIXO ROLADO) - PREPARO MECÂNICO COM BETONEIRA 600 L. AF_05/2021</v>
          </cell>
          <cell r="C2522" t="str">
            <v>M3</v>
          </cell>
          <cell r="D2522">
            <v>406.62</v>
          </cell>
        </row>
        <row r="2523">
          <cell r="A2523" t="str">
            <v>102484</v>
          </cell>
          <cell r="B2523" t="str">
            <v>CONCRETO FCK = 40MPA, TRAÇO 1:1,4:1,8 (EM MASSA SECA DE CIMENTO/ AREIA MÉDIA/ SEIXO ROLADO) - PREPARO MECÂNICO COM BETONEIRA 600 L. AF_05/2021</v>
          </cell>
          <cell r="C2523" t="str">
            <v>M3</v>
          </cell>
          <cell r="D2523">
            <v>456.86</v>
          </cell>
        </row>
        <row r="2524">
          <cell r="A2524" t="str">
            <v>102485</v>
          </cell>
          <cell r="B2524" t="str">
            <v>CONCRETO MAGRO PARA LASTRO, TRAÇO 1:4,5:4,5 (EM MASSA SECA DE CIMENTO/ AREIA MÉDIA/ SEIXO ROLADO) - PREPARO MANUAL. AF_05/2021</v>
          </cell>
          <cell r="C2524" t="str">
            <v>M3</v>
          </cell>
          <cell r="D2524">
            <v>344.48</v>
          </cell>
        </row>
        <row r="2525">
          <cell r="A2525" t="str">
            <v>102486</v>
          </cell>
          <cell r="B2525" t="str">
            <v>CONCRETO FCK = 15MPA, TRAÇO 1:3,4:3,4 (EM MASSA SECA DE CIMENTO/ AREIA MÉDIA/ SEIXO ROLADO) - PREPARO MANUAL. AF_05/2021</v>
          </cell>
          <cell r="C2525" t="str">
            <v>M3</v>
          </cell>
          <cell r="D2525">
            <v>373.97</v>
          </cell>
        </row>
        <row r="2526">
          <cell r="A2526" t="str">
            <v>102487</v>
          </cell>
          <cell r="B2526" t="str">
            <v>CONCRETO CICLÓPICO FCK = 15MPA, 30% PEDRA DE MÃO EM VOLUME REAL, INCLUSIVE LANÇAMENTO. AF_05/2021</v>
          </cell>
          <cell r="C2526" t="str">
            <v>M3</v>
          </cell>
          <cell r="D2526">
            <v>448.62</v>
          </cell>
        </row>
        <row r="2527">
          <cell r="A2527" t="str">
            <v>103183</v>
          </cell>
          <cell r="B2527" t="str">
            <v>CONCRETAGEM DE ESCADAS EM EDIFICAÇÕES MULTIFAMILIARES FEITAS COM SISTEMA DE FÔRMAS MANUSEÁVEIS - CONCRETO USINADO BOMBEÁVEL, FCK 25 MPA - LANÇAMENTO, ADENSAMENTO E ACABAMENTO (EXCLUSIVE BOMBA LANÇA). AF_10/2021</v>
          </cell>
          <cell r="C2527" t="str">
            <v>M3</v>
          </cell>
          <cell r="D2527">
            <v>451.13</v>
          </cell>
        </row>
        <row r="2528">
          <cell r="A2528" t="str">
            <v>103184</v>
          </cell>
          <cell r="B2528" t="str">
            <v>CONCRETAGEM DE ESCADAS EM EDIFICAÇÕES MULTIFAMILIARES FEITAS COM SISTEMA DE FÔRMAS MANUSEÁVEIS - CONCRETO USINADO AUTOADENSÁVEL, FCK 25 MPA - LANÇAMENTO, ADENSAMENTO E ACABAMENTO. AF_10/2021</v>
          </cell>
          <cell r="C2528" t="str">
            <v>M2</v>
          </cell>
          <cell r="D2528">
            <v>413.67</v>
          </cell>
        </row>
        <row r="2529">
          <cell r="A2529" t="str">
            <v>101963</v>
          </cell>
          <cell r="B2529" t="str">
            <v>LAJE PRÉ-MOLDADA UNIDIRECIONAL, BIAPOIADA, PARA PISO, ENCHIMENTO EM CERÂMICA, VIGOTA CONVENCIONAL, ALTURA TOTAL DA LAJE (ENCHIMENTO+CAPA) = (8+4). AF_11/2020</v>
          </cell>
          <cell r="C2529" t="str">
            <v>M2</v>
          </cell>
          <cell r="D2529">
            <v>163.68</v>
          </cell>
        </row>
        <row r="2530">
          <cell r="A2530" t="str">
            <v>101964</v>
          </cell>
          <cell r="B2530" t="str">
            <v>LAJE PRÉ-MOLDADA UNIDIRECIONAL, BIAPOIADA, PARA FORRO, ENCHIMENTO EM CERÂMICA, VIGOTA CONVENCIONAL, ALTURA TOTAL DA LAJE (ENCHIMENTO+CAPA) = (8+3). AF_11/2020</v>
          </cell>
          <cell r="C2530" t="str">
            <v>M3</v>
          </cell>
          <cell r="D2530">
            <v>153.38</v>
          </cell>
        </row>
        <row r="2531">
          <cell r="A2531" t="str">
            <v>101165</v>
          </cell>
          <cell r="B2531" t="str">
            <v>ALVENARIA DE EMBASAMENTO COM BLOCO ESTRUTURAL DE CONCRETO, DE 14X19X29CM E ARGAMASSA DE ASSENTAMENTO COM PREPARO EM BETONEIRA. AF_05/2020</v>
          </cell>
          <cell r="C2531" t="str">
            <v>M3</v>
          </cell>
          <cell r="D2531">
            <v>739.8</v>
          </cell>
        </row>
        <row r="2532">
          <cell r="A2532" t="str">
            <v>101166</v>
          </cell>
          <cell r="B2532" t="str">
            <v>ALVENARIA DE EMBASAMENTO COM BLOCO ESTRUTURAL DE CERÂMICA, DE 14X19X29CM E ARGAMASSA DE ASSENTAMENTO COM PREPARO EM BETONEIRA. AF_05/2020</v>
          </cell>
          <cell r="C2532" t="str">
            <v>M</v>
          </cell>
          <cell r="D2532">
            <v>513.77</v>
          </cell>
        </row>
        <row r="2533">
          <cell r="A2533" t="str">
            <v>98575</v>
          </cell>
          <cell r="B2533" t="str">
            <v>TRATAMENTO DE JUNTA DE DILATAÇÃO, COM TARUGO DE POLIETILENO E SELANTE PU, INCLUSO PREENCHIMENTO COM ESPUMA EXPANSIVA PU. AF_06/2018</v>
          </cell>
          <cell r="C2533" t="str">
            <v>M</v>
          </cell>
          <cell r="D2533">
            <v>93.49</v>
          </cell>
        </row>
        <row r="2534">
          <cell r="A2534" t="str">
            <v>98576</v>
          </cell>
          <cell r="B2534" t="str">
            <v>TRATAMENTO DE JUNTA DE DILATAÇÃO COM MANTA ASFÁLTICA ADERIDA COM MAÇARICO. AF_06/2018</v>
          </cell>
          <cell r="C2534" t="str">
            <v>M</v>
          </cell>
          <cell r="D2534">
            <v>22.91</v>
          </cell>
        </row>
        <row r="2535">
          <cell r="A2535" t="str">
            <v>98577</v>
          </cell>
          <cell r="B2535" t="str">
            <v>TRATAMENTO DE JUNTA SERRADA, COM TARUGO DE POLIETILENO E SELANTE À BASE DE SILICONE. AF_06/2018</v>
          </cell>
          <cell r="C2535" t="str">
            <v>M</v>
          </cell>
          <cell r="D2535">
            <v>43.03</v>
          </cell>
        </row>
        <row r="2536">
          <cell r="A2536" t="str">
            <v>93182</v>
          </cell>
          <cell r="B2536" t="str">
            <v>VERGA PRÉ-MOLDADA PARA JANELAS COM ATÉ 1,5 M DE VÃO. AF_03/2016</v>
          </cell>
          <cell r="C2536" t="str">
            <v>M</v>
          </cell>
          <cell r="D2536">
            <v>48.13</v>
          </cell>
        </row>
        <row r="2537">
          <cell r="A2537" t="str">
            <v>93183</v>
          </cell>
          <cell r="B2537" t="str">
            <v>VERGA PRÉ-MOLDADA PARA JANELAS COM MAIS DE 1,5 M DE VÃO. AF_03/2016</v>
          </cell>
          <cell r="C2537" t="str">
            <v>M</v>
          </cell>
          <cell r="D2537">
            <v>62</v>
          </cell>
        </row>
        <row r="2538">
          <cell r="A2538" t="str">
            <v>93184</v>
          </cell>
          <cell r="B2538" t="str">
            <v>VERGA PRÉ-MOLDADA PARA PORTAS COM ATÉ 1,5 M DE VÃO. AF_03/2016</v>
          </cell>
          <cell r="C2538" t="str">
            <v>M</v>
          </cell>
          <cell r="D2538">
            <v>35.49</v>
          </cell>
        </row>
        <row r="2539">
          <cell r="A2539" t="str">
            <v>93185</v>
          </cell>
          <cell r="B2539" t="str">
            <v>VERGA PRÉ-MOLDADA PARA PORTAS COM MAIS DE 1,5 M DE VÃO. AF_03/2016</v>
          </cell>
          <cell r="C2539" t="str">
            <v>M</v>
          </cell>
          <cell r="D2539">
            <v>61.09</v>
          </cell>
        </row>
        <row r="2540">
          <cell r="A2540" t="str">
            <v>93186</v>
          </cell>
          <cell r="B2540" t="str">
            <v>VERGA MOLDADA IN LOCO EM CONCRETO PARA JANELAS COM ATÉ 1,5 M DE VÃO. AF_03/2016</v>
          </cell>
          <cell r="C2540" t="str">
            <v>M</v>
          </cell>
          <cell r="D2540">
            <v>89.76</v>
          </cell>
        </row>
        <row r="2541">
          <cell r="A2541" t="str">
            <v>93187</v>
          </cell>
          <cell r="B2541" t="str">
            <v>VERGA MOLDADA IN LOCO EM CONCRETO PARA JANELAS COM MAIS DE 1,5 M DE VÃO. AF_03/2016</v>
          </cell>
          <cell r="C2541" t="str">
            <v>M</v>
          </cell>
          <cell r="D2541">
            <v>103.15</v>
          </cell>
        </row>
        <row r="2542">
          <cell r="A2542" t="str">
            <v>93188</v>
          </cell>
          <cell r="B2542" t="str">
            <v>VERGA MOLDADA IN LOCO EM CONCRETO PARA PORTAS COM ATÉ 1,5 M DE VÃO. AF_03/2016</v>
          </cell>
          <cell r="C2542" t="str">
            <v>M</v>
          </cell>
          <cell r="D2542">
            <v>83.43</v>
          </cell>
        </row>
        <row r="2543">
          <cell r="A2543" t="str">
            <v>93189</v>
          </cell>
          <cell r="B2543" t="str">
            <v>VERGA MOLDADA IN LOCO EM CONCRETO PARA PORTAS COM MAIS DE 1,5 M DE VÃO. AF_03/2016</v>
          </cell>
          <cell r="C2543" t="str">
            <v>M</v>
          </cell>
          <cell r="D2543">
            <v>104.01</v>
          </cell>
        </row>
        <row r="2544">
          <cell r="A2544" t="str">
            <v>93190</v>
          </cell>
          <cell r="B2544" t="str">
            <v>VERGA MOLDADA IN LOCO COM UTILIZAÇÃO DE BLOCOS CANALETA PARA JANELAS COM ATÉ 1,5 M DE VÃO. AF_03/2016</v>
          </cell>
          <cell r="C2544" t="str">
            <v>M</v>
          </cell>
          <cell r="D2544">
            <v>40.909999999999997</v>
          </cell>
        </row>
        <row r="2545">
          <cell r="A2545" t="str">
            <v>93191</v>
          </cell>
          <cell r="B2545" t="str">
            <v>VERGA MOLDADA IN LOCO COM UTILIZAÇÃO DE BLOCOS CANALETA PARA JANELAS COM MAIS DE 1,5 M DE VÃO. AF_03/2016</v>
          </cell>
          <cell r="C2545" t="str">
            <v>M</v>
          </cell>
          <cell r="D2545">
            <v>43.83</v>
          </cell>
        </row>
        <row r="2546">
          <cell r="A2546" t="str">
            <v>93192</v>
          </cell>
          <cell r="B2546" t="str">
            <v>VERGA MOLDADA IN LOCO COM UTILIZAÇÃO DE BLOCOS CANALETA PARA PORTAS COM ATÉ 1,5 M DE VÃO. AF_03/2016</v>
          </cell>
          <cell r="C2546" t="str">
            <v>M</v>
          </cell>
          <cell r="D2546">
            <v>45.06</v>
          </cell>
        </row>
        <row r="2547">
          <cell r="A2547" t="str">
            <v>93193</v>
          </cell>
          <cell r="B2547" t="str">
            <v>VERGA MOLDADA IN LOCO COM UTILIZAÇÃO DE BLOCOS CANALETA PARA PORTAS COM MAIS DE 1,5 M DE VÃO. AF_03/2016</v>
          </cell>
          <cell r="C2547" t="str">
            <v>M</v>
          </cell>
          <cell r="D2547">
            <v>44.84</v>
          </cell>
        </row>
        <row r="2548">
          <cell r="A2548" t="str">
            <v>93194</v>
          </cell>
          <cell r="B2548" t="str">
            <v>CONTRAVERGA PRÉ-MOLDADA PARA VÃOS DE ATÉ 1,5 M DE COMPRIMENTO. AF_03/2016</v>
          </cell>
          <cell r="C2548" t="str">
            <v>M</v>
          </cell>
          <cell r="D2548">
            <v>47.11</v>
          </cell>
        </row>
        <row r="2549">
          <cell r="A2549" t="str">
            <v>93195</v>
          </cell>
          <cell r="B2549" t="str">
            <v>CONTRAVERGA PRÉ-MOLDADA PARA VÃOS DE MAIS DE 1,5 M DE COMPRIMENTO. AF_03/2016</v>
          </cell>
          <cell r="C2549" t="str">
            <v>M</v>
          </cell>
          <cell r="D2549">
            <v>56.98</v>
          </cell>
        </row>
        <row r="2550">
          <cell r="A2550" t="str">
            <v>93196</v>
          </cell>
          <cell r="B2550" t="str">
            <v>CONTRAVERGA MOLDADA IN LOCO EM CONCRETO PARA VÃOS DE ATÉ 1,5 M DE COMPRIMENTO. AF_03/2016</v>
          </cell>
          <cell r="C2550" t="str">
            <v>M</v>
          </cell>
          <cell r="D2550">
            <v>87.08</v>
          </cell>
        </row>
        <row r="2551">
          <cell r="A2551" t="str">
            <v>93197</v>
          </cell>
          <cell r="B2551" t="str">
            <v>CONTRAVERGA MOLDADA IN LOCO EM CONCRETO PARA VÃOS DE MAIS DE 1,5 M DE COMPRIMENTO. AF_03/2016</v>
          </cell>
          <cell r="C2551" t="str">
            <v>M</v>
          </cell>
          <cell r="D2551">
            <v>97.13</v>
          </cell>
        </row>
        <row r="2552">
          <cell r="A2552" t="str">
            <v>93198</v>
          </cell>
          <cell r="B2552" t="str">
            <v>CONTRAVERGA MOLDADA IN LOCO COM UTILIZAÇÃO DE BLOCOS CANALETA PARA VÃOS DE ATÉ 1,5 M DE COMPRIMENTO. AF_03/2016</v>
          </cell>
          <cell r="C2552" t="str">
            <v>M</v>
          </cell>
          <cell r="D2552">
            <v>34.85</v>
          </cell>
        </row>
        <row r="2553">
          <cell r="A2553" t="str">
            <v>93199</v>
          </cell>
          <cell r="B2553" t="str">
            <v>CONTRAVERGA MOLDADA IN LOCO COM UTILIZAÇÃO DE BLOCOS CANALETA PARA VÃOS DE MAIS DE 1,5 M DE COMPRIMENTO. AF_03/2016</v>
          </cell>
          <cell r="C2553" t="str">
            <v>M</v>
          </cell>
          <cell r="D2553">
            <v>34.299999999999997</v>
          </cell>
        </row>
        <row r="2554">
          <cell r="A2554" t="str">
            <v>93200</v>
          </cell>
          <cell r="B2554" t="str">
            <v>FIXAÇÃO (ENCUNHAMENTO) DE ALVENARIA DE VEDAÇÃO COM ARGAMASSA APLICADA COM BISNAGA. AF_03/2016</v>
          </cell>
          <cell r="C2554" t="str">
            <v>M</v>
          </cell>
          <cell r="D2554">
            <v>2.66</v>
          </cell>
        </row>
        <row r="2555">
          <cell r="A2555" t="str">
            <v>93201</v>
          </cell>
          <cell r="B2555" t="str">
            <v>FIXAÇÃO (ENCUNHAMENTO) DE ALVENARIA DE VEDAÇÃO COM ARGAMASSA APLICADA COM COLHER. AF_03/2016</v>
          </cell>
          <cell r="C2555" t="str">
            <v>M</v>
          </cell>
          <cell r="D2555">
            <v>5.74</v>
          </cell>
        </row>
        <row r="2556">
          <cell r="A2556" t="str">
            <v>93202</v>
          </cell>
          <cell r="B2556" t="str">
            <v>FIXAÇÃO (ENCUNHAMENTO) DE ALVENARIA DE VEDAÇÃO COM TIJOLO MACIÇO. AF_03/2016</v>
          </cell>
          <cell r="C2556" t="str">
            <v>M</v>
          </cell>
          <cell r="D2556">
            <v>22.19</v>
          </cell>
        </row>
        <row r="2557">
          <cell r="A2557" t="str">
            <v>93203</v>
          </cell>
          <cell r="B2557" t="str">
            <v>FIXAÇÃO (ENCUNHAMENTO) DE ALVENARIA DE VEDAÇÃO COM ESPUMA DE POLIURETANO EXPANSIVA. AF_03/2016</v>
          </cell>
          <cell r="C2557" t="str">
            <v>M</v>
          </cell>
          <cell r="D2557">
            <v>13.05</v>
          </cell>
        </row>
        <row r="2558">
          <cell r="A2558" t="str">
            <v>93204</v>
          </cell>
          <cell r="B2558" t="str">
            <v>CINTA DE AMARRAÇÃO DE ALVENARIA MOLDADA IN LOCO EM CONCRETO. AF_03/2016</v>
          </cell>
          <cell r="C2558" t="str">
            <v>M</v>
          </cell>
          <cell r="D2558">
            <v>64.34</v>
          </cell>
        </row>
        <row r="2559">
          <cell r="A2559" t="str">
            <v>93205</v>
          </cell>
          <cell r="B2559" t="str">
            <v>CINTA DE AMARRAÇÃO DE ALVENARIA MOLDADA IN LOCO COM UTILIZAÇÃO DE BLOCOS CANALETA. AF_03/2016</v>
          </cell>
          <cell r="C2559" t="str">
            <v>M3</v>
          </cell>
          <cell r="D2559">
            <v>35.39</v>
          </cell>
        </row>
        <row r="2560">
          <cell r="A2560" t="str">
            <v>95952</v>
          </cell>
          <cell r="B2560" t="str">
            <v>(COMPOSIÇÃO REPRESENTATIVA) EXECUÇÃO DE ESTRUTURAS DE CONCRETO ARMADO CONVENCIONAL, PARA EDIFICAÇÃO HABITACIONAL MULTIFAMILIAR (PRÉDIO), FCK = 25 MPA. AF_01/2017</v>
          </cell>
          <cell r="C2560" t="str">
            <v>M3</v>
          </cell>
          <cell r="D2560">
            <v>2229.91</v>
          </cell>
        </row>
        <row r="2561">
          <cell r="A2561" t="str">
            <v>95953</v>
          </cell>
          <cell r="B2561" t="str">
            <v>(COMPOSIÇÃO REPRESENTATIVA) EXECUÇÃO DE ESTRUTURAS DE CONCRETO ARMADO, PARA EDIFICAÇÃO HABITACIONAL UNIFAMILIAR COM DOIS PAVIMENTOS (CASA ISOLADA), FCK = 25 MPA. AF_01/2017</v>
          </cell>
          <cell r="C2561" t="str">
            <v>M3</v>
          </cell>
          <cell r="D2561">
            <v>3716.06</v>
          </cell>
        </row>
        <row r="2562">
          <cell r="A2562" t="str">
            <v>95954</v>
          </cell>
          <cell r="B2562" t="str">
            <v>(COMPOSIÇÃO REPRESENTATIVA) EXECUÇÃO DE ESTRUTURAS DE CONCRETO ARMADO, PARA EDIFICAÇÃO HABITACIONAL UNIFAMILIAR COM DOIS PAVIMENTOS (CASA EM EMPREENDIMENTOS), FCK = 25 MPA. AF_01/2017</v>
          </cell>
          <cell r="C2562" t="str">
            <v>M3</v>
          </cell>
          <cell r="D2562">
            <v>2601.27</v>
          </cell>
        </row>
        <row r="2563">
          <cell r="A2563" t="str">
            <v>95955</v>
          </cell>
          <cell r="B2563" t="str">
            <v>(COMPOSIÇÃO REPRESENTATIVA) EXECUÇÃO DE ESTRUTURAS DE CONCRETO ARMADO, PARA EDIFICAÇÃO HABITACIONAL UNIFAMILIAR TÉRREA (CASA ISOLADA), FCK = 25 MPA. AF_01/2017</v>
          </cell>
          <cell r="C2563" t="str">
            <v>M3</v>
          </cell>
          <cell r="D2563">
            <v>3281.04</v>
          </cell>
        </row>
        <row r="2564">
          <cell r="A2564" t="str">
            <v>95956</v>
          </cell>
          <cell r="B2564" t="str">
            <v>(COMPOSIÇÃO REPRESENTATIVA) EXECUÇÃO DE ESTRUTURAS DE CONCRETO ARMADO, PARA EDIFICAÇÃO HABITACIONAL UNIFAMILIAR TÉRREA (CASA EM EMPREENDIMENTOS), FCK = 25 MPA. AF_01/2017</v>
          </cell>
          <cell r="C2564" t="str">
            <v>M3</v>
          </cell>
          <cell r="D2564">
            <v>2535.3200000000002</v>
          </cell>
        </row>
        <row r="2565">
          <cell r="A2565" t="str">
            <v>95957</v>
          </cell>
          <cell r="B2565" t="str">
            <v>(COMPOSIÇÃO REPRESENTATIVA) EXECUÇÃO DE ESTRUTURAS DE CONCRETO ARMADO, PARA EDIFICAÇÃO INSTITUCIONAL TÉRREA, FCK = 25 MPA. AF_01/2017</v>
          </cell>
          <cell r="C2565" t="str">
            <v>M3</v>
          </cell>
          <cell r="D2565">
            <v>3390.12</v>
          </cell>
        </row>
        <row r="2566">
          <cell r="A2566" t="str">
            <v>95969</v>
          </cell>
          <cell r="B2566" t="str">
            <v>(COMPOSIÇÃO REPRESENTATIVA) EXECUÇÃO DE ESCADA EM CONCRETO ARMADO, MOLDADA IN LOCO, FCK = 25 MPA. AF_02/2017</v>
          </cell>
          <cell r="C2566" t="str">
            <v>M3</v>
          </cell>
          <cell r="D2566">
            <v>3121.39</v>
          </cell>
        </row>
        <row r="2567">
          <cell r="A2567" t="str">
            <v>97733</v>
          </cell>
          <cell r="B2567" t="str">
            <v>PEÇA RETANGULAR PRÉ-MOLDADA, VOLUME DE CONCRETO DE ATÉ 10 LITROS, TAXA DE AÇO APROXIMADA DE 30KG/M³. AF_01/2018</v>
          </cell>
          <cell r="C2567" t="str">
            <v>M3</v>
          </cell>
          <cell r="D2567">
            <v>3228.42</v>
          </cell>
        </row>
        <row r="2568">
          <cell r="A2568" t="str">
            <v>97734</v>
          </cell>
          <cell r="B2568" t="str">
            <v>PEÇA RETANGULAR PRÉ-MOLDADA, VOLUME DE CONCRETO DE 10 A 30 LITROS, TAXA DE AÇO APROXIMADA DE 30KG/M³. AF_01/2018</v>
          </cell>
          <cell r="C2568" t="str">
            <v>M3</v>
          </cell>
          <cell r="D2568">
            <v>2737.77</v>
          </cell>
        </row>
        <row r="2569">
          <cell r="A2569" t="str">
            <v>97735</v>
          </cell>
          <cell r="B2569" t="str">
            <v>PEÇA RETANGULAR PRÉ-MOLDADA, VOLUME DE CONCRETO DE 30 A 100 LITROS, TAXA DE AÇO APROXIMADA DE 30KG/M³. AF_01/2018</v>
          </cell>
          <cell r="C2569" t="str">
            <v>M3</v>
          </cell>
          <cell r="D2569">
            <v>2276.5300000000002</v>
          </cell>
        </row>
        <row r="2570">
          <cell r="A2570" t="str">
            <v>97736</v>
          </cell>
          <cell r="B2570" t="str">
            <v>PEÇA RETANGULAR PRÉ-MOLDADA, VOLUME DE CONCRETO ACIMA DE 100 LITROS, TAXA DE AÇO APROXIMADA DE 30KG/M³. AF_01/2018</v>
          </cell>
          <cell r="C2570" t="str">
            <v>M3</v>
          </cell>
          <cell r="D2570">
            <v>1447.65</v>
          </cell>
        </row>
        <row r="2571">
          <cell r="A2571" t="str">
            <v>97737</v>
          </cell>
          <cell r="B2571" t="str">
            <v>PEÇA RETANGULAR PRÉ-MOLDADA, VOLUME DE CONCRETO DE 30 A 70 LITROS , TAXA DE AÇO APROXIMADA DE 70KG/M³. AF_01/2018</v>
          </cell>
          <cell r="C2571" t="str">
            <v>M3</v>
          </cell>
          <cell r="D2571">
            <v>3354.7</v>
          </cell>
        </row>
        <row r="2572">
          <cell r="A2572" t="str">
            <v>97738</v>
          </cell>
          <cell r="B2572" t="str">
            <v>PEÇA CIRCULAR PRÉ-MOLDADA, VOLUME DE CONCRETO DE 10 A 30 LITROS, TAXA DE FIBRA DE POLIPROPILENO APROXIMADA DE 6 KG/M³. AF_01/2018_P</v>
          </cell>
          <cell r="C2572" t="str">
            <v>M3</v>
          </cell>
          <cell r="D2572">
            <v>4913.55</v>
          </cell>
        </row>
        <row r="2573">
          <cell r="A2573" t="str">
            <v>97739</v>
          </cell>
          <cell r="B2573" t="str">
            <v>PEÇA CIRCULAR PRÉ-MOLDADA, VOLUME DE CONCRETO DE 30 A 100 LITROS, TAXA DE AÇO APROXIMADA DE 30KG/M³. AF_01/2018</v>
          </cell>
          <cell r="C2573" t="str">
            <v>M3</v>
          </cell>
          <cell r="D2573">
            <v>2729.14</v>
          </cell>
        </row>
        <row r="2574">
          <cell r="A2574" t="str">
            <v>97740</v>
          </cell>
          <cell r="B2574" t="str">
            <v>PEÇA CIRCULAR PRÉ-MOLDADA, VOLUME DE CONCRETO ACIMA DE 100 LITROS, TAXA DE AÇO APROXIMADA DE 30KG/M³. AF_01/2018</v>
          </cell>
          <cell r="C2574" t="str">
            <v>M2</v>
          </cell>
          <cell r="D2574">
            <v>2031.14</v>
          </cell>
        </row>
        <row r="2575">
          <cell r="A2575" t="str">
            <v>98615</v>
          </cell>
          <cell r="B2575" t="str">
            <v>CONTENÇÃO EM CORTINA COM ESTACAS ESPAÇADAS COM 30 CM DE DIÂMETRO E PROFUNDIDADE MENOR OU IGUAL A 10 M. AF_06/2018</v>
          </cell>
          <cell r="C2575" t="str">
            <v>M2</v>
          </cell>
          <cell r="D2575">
            <v>110.78</v>
          </cell>
        </row>
        <row r="2576">
          <cell r="A2576" t="str">
            <v>98616</v>
          </cell>
          <cell r="B2576" t="str">
            <v>CONTENÇÃO EM CORTINA COM ESTACAS ESPAÇADAS COM 30 CM DE DIÂMETRO E PROFUNDIDADE MAIOR QUE 10 M E MENOR OU IGUAL A 15 M. AF_06/2018</v>
          </cell>
          <cell r="C2576" t="str">
            <v>M2</v>
          </cell>
          <cell r="D2576">
            <v>83.11</v>
          </cell>
        </row>
        <row r="2577">
          <cell r="A2577" t="str">
            <v>98617</v>
          </cell>
          <cell r="B2577" t="str">
            <v>CONTENÇÃO EM CORTINA COM ESTACAS ESPAÇADAS COM 30 CM DE DIÂMETRO E PROFUNDIDADE MAIOR QUE 15 M. AF_06/2018</v>
          </cell>
          <cell r="C2577" t="str">
            <v>M2</v>
          </cell>
          <cell r="D2577">
            <v>75.19</v>
          </cell>
        </row>
        <row r="2578">
          <cell r="A2578" t="str">
            <v>98618</v>
          </cell>
          <cell r="B2578" t="str">
            <v>CONTENÇÃO EM CORTINA COM ESTACAS ESPAÇADAS COM 40 CM DE DIÂMETRO E PROFUNDIDADE MENOR OU IGUAL A 10 M. AF_06/2018</v>
          </cell>
          <cell r="C2578" t="str">
            <v>M2</v>
          </cell>
          <cell r="D2578">
            <v>104.09</v>
          </cell>
        </row>
        <row r="2579">
          <cell r="A2579" t="str">
            <v>98619</v>
          </cell>
          <cell r="B2579" t="str">
            <v>CONTENÇÃO EM CORTINA COM ESTACAS ESPAÇADAS COM 40 CM DE DIÂMETRO E PROFUNDIDADE MAIOR QUE 10 M E MENOR OU IGUAL A 15 M. AF_06/2018</v>
          </cell>
          <cell r="C2579" t="str">
            <v>M2</v>
          </cell>
          <cell r="D2579">
            <v>92.13</v>
          </cell>
        </row>
        <row r="2580">
          <cell r="A2580" t="str">
            <v>98620</v>
          </cell>
          <cell r="B2580" t="str">
            <v>CONTENÇÃO EM CORTINA COM ESTACAS ESPAÇADAS COM 40 CM DE DIÂMETRO E PROFUNDIDADE MAIOR QUE 15 M. AF_06/2018</v>
          </cell>
          <cell r="C2580" t="str">
            <v>M2</v>
          </cell>
          <cell r="D2580">
            <v>86.12</v>
          </cell>
        </row>
        <row r="2581">
          <cell r="A2581" t="str">
            <v>98621</v>
          </cell>
          <cell r="B2581" t="str">
            <v>CONTENÇÃO EM CORTINA COM ESTACAS ESPAÇADAS COM 50 CM DE DIÂMETRO E PROFUNDIDADE MENOR OU IGUAL A 10 M. AF_06/2018</v>
          </cell>
          <cell r="C2581" t="str">
            <v>M2</v>
          </cell>
          <cell r="D2581">
            <v>114.57</v>
          </cell>
        </row>
        <row r="2582">
          <cell r="A2582" t="str">
            <v>98622</v>
          </cell>
          <cell r="B2582" t="str">
            <v>CONTENÇÃO EM CORTINA COM ESTACAS ESPAÇADAS COM 50 CM DE DIÂMETRO E PROFUNDIDADE MAIOR QUE 10 M E MENOR OU IGUAL A 15 M. AF_06/2018</v>
          </cell>
          <cell r="C2582" t="str">
            <v>M2</v>
          </cell>
          <cell r="D2582">
            <v>105</v>
          </cell>
        </row>
        <row r="2583">
          <cell r="A2583" t="str">
            <v>98623</v>
          </cell>
          <cell r="B2583" t="str">
            <v>CONTENÇÃO EM CORTINA COM ESTACAS ESPAÇADAS COM 50 CM DE DIÂMETRO E PROFUNDIDADE MAIOR QUE 15 M. AF_06/2018</v>
          </cell>
          <cell r="C2583" t="str">
            <v>M2</v>
          </cell>
          <cell r="D2583">
            <v>100.12</v>
          </cell>
        </row>
        <row r="2584">
          <cell r="A2584" t="str">
            <v>98624</v>
          </cell>
          <cell r="B2584" t="str">
            <v>CONTENÇÃO EM CORTINA COM ESTACAS ESPAÇADAS COM 60 CM DE DIÂMETRO E PROFUNDIDADE MENOR OU IGUAL A 10 M. AF_06/2018</v>
          </cell>
          <cell r="C2584" t="str">
            <v>M2</v>
          </cell>
          <cell r="D2584">
            <v>126.75</v>
          </cell>
        </row>
        <row r="2585">
          <cell r="A2585" t="str">
            <v>98625</v>
          </cell>
          <cell r="B2585" t="str">
            <v>CONTENÇÃO EM CORTINA COM ESTACAS ESPAÇADAS COM 60 CM DE DIÂMETRO E PROFUNDIDADE MAIOR QUE 10 M E MENOR OU IGUAL A 15 M. AF_06/2018</v>
          </cell>
          <cell r="C2585" t="str">
            <v>M2</v>
          </cell>
          <cell r="D2585">
            <v>118.68</v>
          </cell>
        </row>
        <row r="2586">
          <cell r="A2586" t="str">
            <v>98626</v>
          </cell>
          <cell r="B2586" t="str">
            <v>CONTENÇÃO EM CORTINA COM ESTACAS ESPAÇADAS COM 60 CM DE DIÂMETRO E PROFUNDIDADE MAIOR QUE 15 M. AF_06/2018</v>
          </cell>
          <cell r="C2586" t="str">
            <v>M</v>
          </cell>
          <cell r="D2586">
            <v>114.56</v>
          </cell>
        </row>
        <row r="2587">
          <cell r="A2587" t="str">
            <v>98655</v>
          </cell>
          <cell r="B2587" t="str">
            <v>EXECUÇÃO DE MURETA GUIA PARA CONTENÇÃO/ FUNDAÇÃO COM 30 CM DE ESPESSURA. AF_06/2018</v>
          </cell>
          <cell r="C2587" t="str">
            <v>M</v>
          </cell>
          <cell r="D2587">
            <v>660.64</v>
          </cell>
        </row>
        <row r="2588">
          <cell r="A2588" t="str">
            <v>98656</v>
          </cell>
          <cell r="B2588" t="str">
            <v>EXECUÇÃO DE MURETA GUIA PARA CONTENÇÃO/ FUNDAÇÃO COM 40 CM DE ESPESSURA. AF_06/2018</v>
          </cell>
          <cell r="C2588" t="str">
            <v>M</v>
          </cell>
          <cell r="D2588">
            <v>670.34</v>
          </cell>
        </row>
        <row r="2589">
          <cell r="A2589" t="str">
            <v>98657</v>
          </cell>
          <cell r="B2589" t="str">
            <v>EXECUÇÃO DE MURETA GUIA PARA CONTENÇÃO/ FUNDAÇÃO COM 50 CM DE ESPESSURA. AF_06/2018</v>
          </cell>
          <cell r="C2589" t="str">
            <v>M</v>
          </cell>
          <cell r="D2589">
            <v>680.03</v>
          </cell>
        </row>
        <row r="2590">
          <cell r="A2590" t="str">
            <v>98658</v>
          </cell>
          <cell r="B2590" t="str">
            <v>EXECUÇÃO DE MURETA GUIA PARA CONTENÇÃO/ FUNDAÇÃO COM 60 CM DE ESPESSURA. AF_06/2018</v>
          </cell>
          <cell r="C2590" t="str">
            <v>M</v>
          </cell>
          <cell r="D2590">
            <v>689.72</v>
          </cell>
        </row>
        <row r="2591">
          <cell r="A2591" t="str">
            <v>98659</v>
          </cell>
          <cell r="B2591" t="str">
            <v>EXECUÇÃO DE MURETA GUIA PARA CONTENÇÃO/ FUNDAÇÃO COM 80 CM DE ESPESSURA. AF_06/2018</v>
          </cell>
          <cell r="C2591" t="str">
            <v>M</v>
          </cell>
          <cell r="D2591">
            <v>709.12</v>
          </cell>
        </row>
        <row r="2592">
          <cell r="A2592" t="str">
            <v>98746</v>
          </cell>
          <cell r="B2592" t="str">
            <v>SOLDA DE TOPO EM CHAPA/PERFIL/TUBO DE AÇO CHANFRADO, ESPESSURA=1/4''. AF_06/2018</v>
          </cell>
          <cell r="C2592" t="str">
            <v>M</v>
          </cell>
          <cell r="D2592">
            <v>63.64</v>
          </cell>
        </row>
        <row r="2593">
          <cell r="A2593" t="str">
            <v>98749</v>
          </cell>
          <cell r="B2593" t="str">
            <v>SOLDA DE TOPO EM CHAPA/PERFIL/TUBO DE AÇO CHANFRADO, ESPESSURA=5/16''. AF_06/2018</v>
          </cell>
          <cell r="C2593" t="str">
            <v>M</v>
          </cell>
          <cell r="D2593">
            <v>75.040000000000006</v>
          </cell>
        </row>
        <row r="2594">
          <cell r="A2594" t="str">
            <v>98750</v>
          </cell>
          <cell r="B2594" t="str">
            <v>SOLDA DE TOPO EM CHAPA/PERFIL/TUBO DE AÇO CHANFRADO, ESPESSURA=3/8''. AF_06/2018</v>
          </cell>
          <cell r="C2594" t="str">
            <v>M</v>
          </cell>
          <cell r="D2594">
            <v>88.73</v>
          </cell>
        </row>
        <row r="2595">
          <cell r="A2595" t="str">
            <v>98751</v>
          </cell>
          <cell r="B2595" t="str">
            <v>SOLDA DE TOPO EM CHAPA/PERFIL/TUBO DE AÇO CHANFRADO, ESPESSURA=1/2''. AF_06/2018</v>
          </cell>
          <cell r="C2595" t="str">
            <v>M</v>
          </cell>
          <cell r="D2595">
            <v>124.42</v>
          </cell>
        </row>
        <row r="2596">
          <cell r="A2596" t="str">
            <v>98752</v>
          </cell>
          <cell r="B2596" t="str">
            <v>SOLDA DE TOPO EM CHAPA/PERFIL/TUBO DE AÇO CHANFRADO, ESPESSURA=5/8''. AF_06/2018</v>
          </cell>
          <cell r="C2596" t="str">
            <v>M</v>
          </cell>
          <cell r="D2596">
            <v>167.25</v>
          </cell>
        </row>
        <row r="2597">
          <cell r="A2597" t="str">
            <v>98753</v>
          </cell>
          <cell r="B2597" t="str">
            <v>SOLDA DE TOPO EM CHAPA/PERFIL/TUBO DE AÇO CHANFRADO, ESPESSURA=3/4''. AF_06/2018</v>
          </cell>
          <cell r="C2597" t="str">
            <v>KG</v>
          </cell>
          <cell r="D2597">
            <v>220.39</v>
          </cell>
        </row>
        <row r="2598">
          <cell r="A2598" t="str">
            <v>100763</v>
          </cell>
          <cell r="B2598" t="str">
            <v>VIGA METÁLICA EM PERFIL LAMINADO OU SOLDADO EM AÇO ESTRUTURAL, COM CONEXÕES PARAFUSADAS, INCLUSOS MÃO DE OBRA, TRANSPORTE E IÇAMENTO UTILIZANDO GUINDASTE - FORNECIMENTO E INSTALAÇÃO. AF_01/2020_P</v>
          </cell>
          <cell r="C2598" t="str">
            <v>KG</v>
          </cell>
          <cell r="D2598">
            <v>23.22</v>
          </cell>
        </row>
        <row r="2599">
          <cell r="A2599" t="str">
            <v>100764</v>
          </cell>
          <cell r="B2599" t="str">
            <v>VIGA METÁLICA EM PERFIL LAMINADO OU SOLDADO EM AÇO ESTRUTURAL, COM CONEXÕES SOLDADAS, INCLUSOS MÃO DE OBRA, TRANSPORTE E IÇAMENTO UTILIZANDO GUINDASTE - FORNECIMENTO E INSTALAÇÃO. AF_01/2020_P</v>
          </cell>
          <cell r="C2599" t="str">
            <v>KG</v>
          </cell>
          <cell r="D2599">
            <v>23.1</v>
          </cell>
        </row>
        <row r="2600">
          <cell r="A2600" t="str">
            <v>100765</v>
          </cell>
          <cell r="B2600" t="str">
            <v>PILAR METÁLICO PERFIL LAMINADO/SOLDADO EM AÇO ESTRUTURAL, COM CONEXÕES PARAFUSADAS, INCLUSOS MÃO DE OBRA, TRANSPORTE E IÇAMENTO UTILIZANDO GUINDASTE - FORNECIMENTO E INSTALAÇÃO. AF_01/2020_P</v>
          </cell>
          <cell r="C2600" t="str">
            <v>KG</v>
          </cell>
          <cell r="D2600">
            <v>22.81</v>
          </cell>
        </row>
        <row r="2601">
          <cell r="A2601" t="str">
            <v>100766</v>
          </cell>
          <cell r="B2601" t="str">
            <v>PILAR METÁLICO PERFIL LAMINADO OU SOLDADO EM AÇO ESTRUTURAL, COM CONEXÕES SOLDADAS, INCLUSOS MÃO DE OBRA, TRANSPORTE E IÇAMENTO UTILIZANDO GUINDASTE - FORNECIMENTO E INSTALAÇÃO. AF_01/2020_P</v>
          </cell>
          <cell r="C2601" t="str">
            <v>KG</v>
          </cell>
          <cell r="D2601">
            <v>23.11</v>
          </cell>
        </row>
        <row r="2602">
          <cell r="A2602" t="str">
            <v>100767</v>
          </cell>
          <cell r="B2602" t="str">
            <v>CONTRAVENTAMENTO COM CANTONEIRAS DE AÇO, ABAS IGUAIS, COM CONEXÕES PARAFUSADAS, INCLUSOS MÃO DE OBRA, TRANSPORTE E IÇAMENTO UTILIZANDO TALHA MANUAL, PARA EDIFÍCIOS DE ATÉ 2 PAVIMENTOS - FORNECIMENTO E INSTALAÇÃO. AF_01/2020_P</v>
          </cell>
          <cell r="C2602" t="str">
            <v>KG</v>
          </cell>
          <cell r="D2602">
            <v>22.07</v>
          </cell>
        </row>
        <row r="2603">
          <cell r="A2603" t="str">
            <v>100768</v>
          </cell>
          <cell r="B2603" t="str">
            <v>CONTRAVENTAMENTO COM CANTONEIRAS DE AÇO, ABAS IGUAIS, COM CONEXÕES SOLDADAS, INCLUSOS MÃO DE OBRA, TRANSPORTE E IÇAMENTO UTILIZANDO TALHA MANUAL, PARA EDIFÍCIOS DE ATÉ 2 PAVIMENTOS - FORNECIMENTO E INSTALAÇÃO. AF_01/2020_P</v>
          </cell>
          <cell r="C2603" t="str">
            <v>KG</v>
          </cell>
          <cell r="D2603">
            <v>27.68</v>
          </cell>
        </row>
        <row r="2604">
          <cell r="A2604" t="str">
            <v>100769</v>
          </cell>
          <cell r="B2604" t="str">
            <v>CONTRAVENTAMENTO COM CANTONEIRAS DE AÇO, ABAS IGUAIS, COM CONEXÕES PARAFUSADAS, INCLUSOS MÃO DE OBRA, TRANSPORTE E IÇAMENTO UTILIZANDO GUINDASTE, PARA EDIFÍCIOS DE 3 A 5 PAVIMENTOS - FORNECIMENTO E INSTALAÇÃO. AF_01/2020_P</v>
          </cell>
          <cell r="C2604" t="str">
            <v>KG</v>
          </cell>
          <cell r="D2604">
            <v>29.29</v>
          </cell>
        </row>
        <row r="2605">
          <cell r="A2605" t="str">
            <v>100770</v>
          </cell>
          <cell r="B2605" t="str">
            <v>CONTRAVENTAMENTO COM CANTONEIRAS DE AÇO, ABAS IGUAIS, COM CONEXÕES SOLDADAS, INCLUSOS MÃO DE OBRA, TRANSPORTE E IÇAMENTO UTILIZANDO GUINDASTE, PARA EDIFÍCIOS DE 3 A 5 PAVIMENTOS - FORNECIMENTO E INSTALAÇÃO. AF_01/2020_P</v>
          </cell>
          <cell r="C2605" t="str">
            <v>KG</v>
          </cell>
          <cell r="D2605">
            <v>28.63</v>
          </cell>
        </row>
        <row r="2606">
          <cell r="A2606" t="str">
            <v>100771</v>
          </cell>
          <cell r="B2606" t="str">
            <v>CONTRAVENTAMENTO COM CANTONEIRAS DE AÇO, ABAS IGUAIS, COM CONEXÕES PARAFUSADAS, INCLUSOS MÃO DE OBRA, TRANSPORTE E IÇAMENTO UTILIZANDO GRUA, PARA EDIFÍCIOS DE 6 A 10 PAVIMENTOS - FORNECIMENTO E INSTALAÇÃO. AF_01/2020_P</v>
          </cell>
          <cell r="C2606" t="str">
            <v>KG</v>
          </cell>
          <cell r="D2606">
            <v>33.93</v>
          </cell>
        </row>
        <row r="2607">
          <cell r="A2607" t="str">
            <v>100772</v>
          </cell>
          <cell r="B2607" t="str">
            <v>CONTRAVENTAMENTO COM CANTONEIRAS DE AÇO, ABAS IGUAIS, COM CONEXÕES SOLDADAS, INCLUSOS MÃO DE OBRA, TRANSPORTE E IÇAMENTO UTILIZANDO GRUA, PARA EDIFÍCIOS DE 6 A 10 PAVIMENTOS - FORNECIMENTO E INSTALAÇÃO. AF_01/2020_P</v>
          </cell>
          <cell r="C2607" t="str">
            <v>KG</v>
          </cell>
          <cell r="D2607">
            <v>22.13</v>
          </cell>
        </row>
        <row r="2608">
          <cell r="A2608" t="str">
            <v>100773</v>
          </cell>
          <cell r="B2608" t="str">
            <v>ESTRUTURA TRELIÇADA DE COBERTURA, TIPO ARCO, COM LIGAÇÕES SOLDADAS, INCLUSOS PERFIS METÁLICOS, CHAPAS METÁLICAS, MÃO DE OBRA E TRANSPORTE COM GUINDASTE - FORNECIMENTO E INSTALAÇÃO. AF_01/2020_P</v>
          </cell>
          <cell r="C2608" t="str">
            <v>KG</v>
          </cell>
          <cell r="D2608">
            <v>24.99</v>
          </cell>
        </row>
        <row r="2609">
          <cell r="A2609" t="str">
            <v>100774</v>
          </cell>
          <cell r="B2609" t="str">
            <v>ESTRUTURA TRELIÇADA DE COBERTURA, TIPO SHED, COM LIGAÇÕES SOLDADAS, INCLUSOS PERFIS METÁLICOS, CHAPAS METÁLICAS, MÃO DE OBRA E TRANSPORTE COM GUINDASTE - FORNECIMENTO E INSTALAÇÃO. AF_01/2020_P</v>
          </cell>
          <cell r="C2609" t="str">
            <v>KG</v>
          </cell>
          <cell r="D2609">
            <v>17.350000000000001</v>
          </cell>
        </row>
        <row r="2610">
          <cell r="A2610" t="str">
            <v>100775</v>
          </cell>
          <cell r="B2610" t="str">
            <v>ESTRUTURA TRELIÇADA DE COBERTURA, TIPO FINK, COM LIGAÇÕES SOLDADAS, INCLUSOS PERFIS METÁLICOS, CHAPAS METÁLICAS, MÃO DE OBRA E TRANSPORTE COM GUINDASTE - FORNECIMENTO E INSTALAÇÃO. AF_01/2020_P</v>
          </cell>
          <cell r="C2610" t="str">
            <v>KG</v>
          </cell>
          <cell r="D2610">
            <v>19.38</v>
          </cell>
        </row>
        <row r="2611">
          <cell r="A2611" t="str">
            <v>100776</v>
          </cell>
          <cell r="B2611" t="str">
            <v>ESTRUTURA TRELIÇADA DE COBERTURA, TIPO ARCO, COM LIGAÇÕES PARAFUSADAS, INCLUSOS PERFIS METÁLICOS, CHAPAS METÁLICAS, MÃO DE OBRA E TRANSPORTE COM GUINDASTE - FORNECIMENTO E INSTALAÇÃO. AF_01/2020_P</v>
          </cell>
          <cell r="C2611" t="str">
            <v>KG</v>
          </cell>
          <cell r="D2611">
            <v>25.05</v>
          </cell>
        </row>
        <row r="2612">
          <cell r="A2612" t="str">
            <v>100777</v>
          </cell>
          <cell r="B2612" t="str">
            <v>ESTRUTURA TRELIÇADA DE COBERTURA, TIPO SHED, COM LIGAÇÕES PARAFUSADAS, INCLUSOS PERFIS METÁLICOS, CHAPAS METÁLICAS, MÃO DE OBRA E TRANSPORTE COM GUINDASTE - FORNECIMENTO E INSTALAÇÃO. AF_01/2020_P</v>
          </cell>
          <cell r="C2612" t="str">
            <v>KG</v>
          </cell>
          <cell r="D2612">
            <v>20.54</v>
          </cell>
        </row>
        <row r="2613">
          <cell r="A2613" t="str">
            <v>100778</v>
          </cell>
          <cell r="B2613" t="str">
            <v>ESTRUTURA TRELIÇADA DE COBERTURA, TIPO FINK, COM LIGAÇÕES PARAFUSADAS, INCLUSOS PERFIS METÁLICOS, CHAPAS METÁLICAS, MÃO DE OBRA E TRANSPORTE COM GUINDASTE - FORNECIMENTO E INSTALAÇÃO. AF_01/2020_P</v>
          </cell>
          <cell r="C2613" t="str">
            <v>M2</v>
          </cell>
          <cell r="D2613">
            <v>15.74</v>
          </cell>
        </row>
        <row r="2614">
          <cell r="A2614" t="str">
            <v>98560</v>
          </cell>
          <cell r="B2614" t="str">
            <v>IMPERMEABILIZAÇÃO DE PISO COM ARGAMASSA DE CIMENTO E AREIA, COM ADITIVO IMPERMEABILIZANTE, E = 2CM. AF_06/2018</v>
          </cell>
          <cell r="C2614" t="str">
            <v>M2</v>
          </cell>
          <cell r="D2614">
            <v>42.07</v>
          </cell>
        </row>
        <row r="2615">
          <cell r="A2615" t="str">
            <v>98561</v>
          </cell>
          <cell r="B2615" t="str">
            <v>IMPERMEABILIZAÇÃO DE PAREDES COM ARGAMASSA DE CIMENTO E AREIA, COM ADITIVO IMPERMEABILIZANTE, E = 2CM. AF_06/2018</v>
          </cell>
          <cell r="C2615" t="str">
            <v>M2</v>
          </cell>
          <cell r="D2615">
            <v>38.33</v>
          </cell>
        </row>
        <row r="2616">
          <cell r="A2616" t="str">
            <v>98562</v>
          </cell>
          <cell r="B2616" t="str">
            <v>IMPERMEABILIZAÇÃO DE FLOREIRA OU VIGA BALDRAME COM ARGAMASSA DE CIMENTO E AREIA, COM ADITIVO IMPERMEABILIZANTE, E = 2 CM. AF_06/2018</v>
          </cell>
          <cell r="C2616" t="str">
            <v>M2</v>
          </cell>
          <cell r="D2616">
            <v>36.75</v>
          </cell>
        </row>
        <row r="2617">
          <cell r="A2617" t="str">
            <v>98555</v>
          </cell>
          <cell r="B2617" t="str">
            <v>IMPERMEABILIZAÇÃO DE SUPERFÍCIE COM ARGAMASSA POLIMÉRICA / MEMBRANA ACRÍLICA, 3 DEMÃOS. AF_06/2018</v>
          </cell>
          <cell r="C2617" t="str">
            <v>M2</v>
          </cell>
          <cell r="D2617">
            <v>24.16</v>
          </cell>
        </row>
        <row r="2618">
          <cell r="A2618" t="str">
            <v>98556</v>
          </cell>
          <cell r="B2618" t="str">
            <v>IMPERMEABILIZAÇÃO DE SUPERFÍCIE COM ARGAMASSA POLIMÉRICA / MEMBRANA ACRÍLICA, 4 DEMÃOS, REFORÇADA COM VÉU DE POLIÉSTER (MAV). AF_06/2018</v>
          </cell>
          <cell r="C2618" t="str">
            <v>UN</v>
          </cell>
          <cell r="D2618">
            <v>47.87</v>
          </cell>
        </row>
        <row r="2619">
          <cell r="A2619" t="str">
            <v>98558</v>
          </cell>
          <cell r="B2619" t="str">
            <v>TRATAMENTO DE RALO OU PONTO EMERGENTE COM ARGAMASSA POLIMÉRICA / MEMBRANA ACRÍLICA REFORÇADO COM VÉU DE POLIÉSTER (MAV). AF_06/2018</v>
          </cell>
          <cell r="C2619" t="str">
            <v>M</v>
          </cell>
          <cell r="D2619">
            <v>7.44</v>
          </cell>
        </row>
        <row r="2620">
          <cell r="A2620" t="str">
            <v>98559</v>
          </cell>
          <cell r="B2620" t="str">
            <v>TRATAMENTO DE RODAPÉ COM VÉU DE POLIÉSTER. AF_06/2018</v>
          </cell>
          <cell r="C2620" t="str">
            <v>M2</v>
          </cell>
          <cell r="D2620">
            <v>4.91</v>
          </cell>
        </row>
        <row r="2621">
          <cell r="A2621" t="str">
            <v>98546</v>
          </cell>
          <cell r="B2621" t="str">
            <v>IMPERMEABILIZAÇÃO DE SUPERFÍCIE COM MANTA ASFÁLTICA, UMA CAMADA, INCLUSIVE APLICAÇÃO DE PRIMER ASFÁLTICO, E=3MM. AF_06/2018</v>
          </cell>
          <cell r="C2621" t="str">
            <v>M2</v>
          </cell>
          <cell r="D2621">
            <v>104.72</v>
          </cell>
        </row>
        <row r="2622">
          <cell r="A2622" t="str">
            <v>98547</v>
          </cell>
          <cell r="B2622" t="str">
            <v>IMPERMEABILIZAÇÃO DE SUPERFÍCIE COM MANTA ASFÁLTICA, DUAS CAMADAS, INCLUSIVE APLICAÇÃO DE PRIMER ASFÁLTICO, E=3MM E E=4MM. AF_06/2018</v>
          </cell>
          <cell r="C2622" t="str">
            <v>M2</v>
          </cell>
          <cell r="D2622">
            <v>204.62</v>
          </cell>
        </row>
        <row r="2623">
          <cell r="A2623" t="str">
            <v>98553</v>
          </cell>
          <cell r="B2623" t="str">
            <v>IMPERMEABILIZAÇÃO DE SUPERFÍCIE COM MEMBRANA À BASE DE POLIURETANO, 2 DEMÃOS. AF_06/2018</v>
          </cell>
          <cell r="C2623" t="str">
            <v>M2</v>
          </cell>
          <cell r="D2623">
            <v>117.21</v>
          </cell>
        </row>
        <row r="2624">
          <cell r="A2624" t="str">
            <v>98554</v>
          </cell>
          <cell r="B2624" t="str">
            <v>IMPERMEABILIZAÇÃO DE SUPERFÍCIE COM MEMBRANA À BASE DE RESINA ACRÍLICA, 3 DEMÃOS. AF_06/2018</v>
          </cell>
          <cell r="C2624" t="str">
            <v>M2</v>
          </cell>
          <cell r="D2624">
            <v>40.43</v>
          </cell>
        </row>
        <row r="2625">
          <cell r="A2625" t="str">
            <v>98557</v>
          </cell>
          <cell r="B2625" t="str">
            <v>IMPERMEABILIZAÇÃO DE SUPERFÍCIE COM EMULSÃO ASFÁLTICA, 2 DEMÃOS AF_06/2018</v>
          </cell>
          <cell r="C2625" t="str">
            <v>M2</v>
          </cell>
          <cell r="D2625">
            <v>34.700000000000003</v>
          </cell>
        </row>
        <row r="2626">
          <cell r="A2626" t="str">
            <v>98563</v>
          </cell>
          <cell r="B2626" t="str">
            <v>PROTEÇÃO MECÂNICA DE SUPERFÍCIE HORIZONTAL COM ARGAMASSA DE CIMENTO E AREIA, TRAÇO 1:3, E=2CM. AF_06/2018</v>
          </cell>
          <cell r="C2626" t="str">
            <v>M2</v>
          </cell>
          <cell r="D2626">
            <v>29.31</v>
          </cell>
        </row>
        <row r="2627">
          <cell r="A2627" t="str">
            <v>98564</v>
          </cell>
          <cell r="B2627" t="str">
            <v>PROTEÇÃO MECÂNICA DE SUPERFÍCIE VERTICAL COM ARGAMASSA DE CIMENTO E AREIA, TRAÇO 1:3, E=2CM. AF_06/2018</v>
          </cell>
          <cell r="C2627" t="str">
            <v>M2</v>
          </cell>
          <cell r="D2627">
            <v>42.3</v>
          </cell>
        </row>
        <row r="2628">
          <cell r="A2628" t="str">
            <v>98565</v>
          </cell>
          <cell r="B2628" t="str">
            <v>PROTEÇÃO MECÂNICA DE SUPERFICIE HORIZONTAL COM ARGAMASSA DE CIMENTO E AREIA, TRAÇO 1:3, E=3CM. AF_06/2018</v>
          </cell>
          <cell r="C2628" t="str">
            <v>M2</v>
          </cell>
          <cell r="D2628">
            <v>42.12</v>
          </cell>
        </row>
        <row r="2629">
          <cell r="A2629" t="str">
            <v>98566</v>
          </cell>
          <cell r="B2629" t="str">
            <v>PROTEÇÃO MECÂNICA DE SUPERFÍCIE VERTICAL COM ARGAMASSA DE CIMENTO E AREIA, TRAÇO 1:3, E=3CM. AF_06/2018</v>
          </cell>
          <cell r="C2629" t="str">
            <v>M2</v>
          </cell>
          <cell r="D2629">
            <v>55.09</v>
          </cell>
        </row>
        <row r="2630">
          <cell r="A2630" t="str">
            <v>98567</v>
          </cell>
          <cell r="B2630" t="str">
            <v>PROTEÇÃO MECÂNICA DE SUPERFICIE HORIZONTAL COM ARGAMASSA DE CIMENTO E AREIA, TRAÇO 1:3, E=4CM. AF_06/2018</v>
          </cell>
          <cell r="C2630" t="str">
            <v>M2</v>
          </cell>
          <cell r="D2630">
            <v>54.37</v>
          </cell>
        </row>
        <row r="2631">
          <cell r="A2631" t="str">
            <v>98568</v>
          </cell>
          <cell r="B2631" t="str">
            <v>PROTEÇÃO MECÂNICA DE SUPERFÍCIE VERTICAL COM ARGAMASSA DE CIMENTO E AREIA, TRAÇO 1:3, E=4CM. AF_06/2018</v>
          </cell>
          <cell r="C2631" t="str">
            <v>M2</v>
          </cell>
          <cell r="D2631">
            <v>67.319999999999993</v>
          </cell>
        </row>
        <row r="2632">
          <cell r="A2632" t="str">
            <v>98569</v>
          </cell>
          <cell r="B2632" t="str">
            <v>PROTEÇÃO MECÂNICA DE SUPERFICIE HORIZONTAL COM ARGAMASSA DE CIMENTO E AREIA, TRAÇO 1:3, E=5CM. AF_06/2018</v>
          </cell>
          <cell r="C2632" t="str">
            <v>M2</v>
          </cell>
          <cell r="D2632">
            <v>67.16</v>
          </cell>
        </row>
        <row r="2633">
          <cell r="A2633" t="str">
            <v>98570</v>
          </cell>
          <cell r="B2633" t="str">
            <v>PROTEÇÃO MECÂNICA DE SUPERFÍCIE VERTICAL COM ARGAMASSA DE CIMENTO E AREIA, TRAÇO 1:3, E=5CM. AF_06/2018</v>
          </cell>
          <cell r="C2633" t="str">
            <v>M2</v>
          </cell>
          <cell r="D2633">
            <v>80.150000000000006</v>
          </cell>
        </row>
        <row r="2634">
          <cell r="A2634" t="str">
            <v>98571</v>
          </cell>
          <cell r="B2634" t="str">
            <v>PROTEÇÃO MECÂNICA DE SUPERFICIE HORIZONTAL COM CONCRETO 15 MPA, E=4CM. AF_06/2018</v>
          </cell>
          <cell r="C2634" t="str">
            <v>M2</v>
          </cell>
          <cell r="D2634">
            <v>33.61</v>
          </cell>
        </row>
        <row r="2635">
          <cell r="A2635" t="str">
            <v>98572</v>
          </cell>
          <cell r="B2635" t="str">
            <v>PROTEÇÃO MECÂNICA DE SUPERFICIE HORIZONTAL COM CONCRETO 15 MPA, E=5CM. AF_06/2018</v>
          </cell>
          <cell r="C2635" t="str">
            <v>M2</v>
          </cell>
          <cell r="D2635">
            <v>41.36</v>
          </cell>
        </row>
        <row r="2636">
          <cell r="A2636" t="str">
            <v>98573</v>
          </cell>
          <cell r="B2636" t="str">
            <v>PROTEÇÃO MECÂNICA DE SUPERFÍCIE VERTICAL COM CONCRETO 15 MPA, E=5CM. AF_06/2018</v>
          </cell>
          <cell r="C2636" t="str">
            <v>M</v>
          </cell>
          <cell r="D2636">
            <v>53.94</v>
          </cell>
        </row>
        <row r="2637">
          <cell r="A2637" t="str">
            <v>91831</v>
          </cell>
          <cell r="B2637" t="str">
            <v>ELETRODUTO FLEXÍVEL CORRUGADO, PVC, DN 20 MM (1/2"), PARA CIRCUITOS TERMINAIS, INSTALADO EM FORRO - FORNECIMENTO E INSTALAÇÃO. AF_12/2015</v>
          </cell>
          <cell r="C2637" t="str">
            <v>M</v>
          </cell>
          <cell r="D2637">
            <v>7.87</v>
          </cell>
        </row>
        <row r="2638">
          <cell r="A2638" t="str">
            <v>91833</v>
          </cell>
          <cell r="B2638" t="str">
            <v>ELETRODUTO FLEXÍVEL CORRUGADO REFORÇADO, PVC, DN 20 MM (1/2"), PARA CIRCUITOS TERMINAIS, INSTALADO EM FORRO - FORNECIMENTO E INSTALAÇÃO. AF_12/2015</v>
          </cell>
          <cell r="C2638" t="str">
            <v>M</v>
          </cell>
          <cell r="D2638">
            <v>8.4</v>
          </cell>
        </row>
        <row r="2639">
          <cell r="A2639" t="str">
            <v>91834</v>
          </cell>
          <cell r="B2639" t="str">
            <v>ELETRODUTO FLEXÍVEL CORRUGADO, PVC, DN 25 MM (3/4"), PARA CIRCUITOS TERMINAIS, INSTALADO EM FORRO - FORNECIMENTO E INSTALAÇÃO. AF_12/2015</v>
          </cell>
          <cell r="C2639" t="str">
            <v>M</v>
          </cell>
          <cell r="D2639">
            <v>8.7799999999999994</v>
          </cell>
        </row>
        <row r="2640">
          <cell r="A2640" t="str">
            <v>91835</v>
          </cell>
          <cell r="B2640" t="str">
            <v>ELETRODUTO FLEXÍVEL CORRUGADO REFORÇADO, PVC, DN 25 MM (3/4"), PARA CIRCUITOS TERMINAIS, INSTALADO EM FORRO - FORNECIMENTO E INSTALAÇÃO. AF_12/2015</v>
          </cell>
          <cell r="C2640" t="str">
            <v>M</v>
          </cell>
          <cell r="D2640">
            <v>10.130000000000001</v>
          </cell>
        </row>
        <row r="2641">
          <cell r="A2641" t="str">
            <v>91836</v>
          </cell>
          <cell r="B2641" t="str">
            <v>ELETRODUTO FLEXÍVEL CORRUGADO, PVC, DN 32 MM (1"), PARA CIRCUITOS TERMINAIS, INSTALADO EM FORRO - FORNECIMENTO E INSTALAÇÃO. AF_12/2015</v>
          </cell>
          <cell r="C2641" t="str">
            <v>M</v>
          </cell>
          <cell r="D2641">
            <v>11.56</v>
          </cell>
        </row>
        <row r="2642">
          <cell r="A2642" t="str">
            <v>91837</v>
          </cell>
          <cell r="B2642" t="str">
            <v>ELETRODUTO FLEXÍVEL CORRUGADO REFORÇADO, PVC, DN 32 MM (1"), PARA CIRCUITOS TERMINAIS, INSTALADO EM FORRO - FORNECIMENTO E INSTALAÇÃO. AF_12/2015</v>
          </cell>
          <cell r="C2642" t="str">
            <v>M</v>
          </cell>
          <cell r="D2642">
            <v>14.7</v>
          </cell>
        </row>
        <row r="2643">
          <cell r="A2643" t="str">
            <v>91839</v>
          </cell>
          <cell r="B2643" t="str">
            <v>ELETRODUTO FLEXÍVEL LISO, PEAD, DN 32 MM (1"), PARA CIRCUITOS TERMINAIS, INSTALADO EM FORRO - FORNECIMENTO E INSTALAÇÃO. AF_12/2015</v>
          </cell>
          <cell r="C2643" t="str">
            <v>M</v>
          </cell>
          <cell r="D2643">
            <v>9.9</v>
          </cell>
        </row>
        <row r="2644">
          <cell r="A2644" t="str">
            <v>91840</v>
          </cell>
          <cell r="B2644" t="str">
            <v>ELETRODUTO FLEXÍVEL CORRUGADO, PEAD, DN 40 MM (1 1/4"), PARA CIRCUITOS TERMINAIS, INSTALADO EM FORRO - FORNECIMENTO E INSTALAÇÃO. AF_12/2015</v>
          </cell>
          <cell r="C2644" t="str">
            <v>M</v>
          </cell>
          <cell r="D2644">
            <v>12.41</v>
          </cell>
        </row>
        <row r="2645">
          <cell r="A2645" t="str">
            <v>91841</v>
          </cell>
          <cell r="B2645" t="str">
            <v>ELETRODUTO FLEXÍVEL LISO, PEAD, DN 40 MM (1 1/4"), PARA CIRCUITOS TERMINAIS, INSTALADO EM FORRO - FORNECIMENTO E INSTALAÇÃO. AF_12/2015</v>
          </cell>
          <cell r="C2645" t="str">
            <v>M</v>
          </cell>
          <cell r="D2645">
            <v>11.78</v>
          </cell>
        </row>
        <row r="2646">
          <cell r="A2646" t="str">
            <v>91842</v>
          </cell>
          <cell r="B2646" t="str">
            <v>ELETRODUTO FLEXÍVEL CORRUGADO, PVC, DN 20 MM (1/2"), PARA CIRCUITOS TERMINAIS, INSTALADO EM LAJE - FORNECIMENTO E INSTALAÇÃO. AF_12/2015</v>
          </cell>
          <cell r="C2646" t="str">
            <v>M</v>
          </cell>
          <cell r="D2646">
            <v>5.81</v>
          </cell>
        </row>
        <row r="2647">
          <cell r="A2647" t="str">
            <v>91843</v>
          </cell>
          <cell r="B2647" t="str">
            <v>ELETRODUTO FLEXÍVEL CORRUGADO REFORÇADO, PVC, DN 20 MM (1/2"), PARA CIRCUITOS TERMINAIS, INSTALADO EM LAJE - FORNECIMENTO E INSTALAÇÃO. AF_12/2015</v>
          </cell>
          <cell r="C2647" t="str">
            <v>M</v>
          </cell>
          <cell r="D2647">
            <v>6.34</v>
          </cell>
        </row>
        <row r="2648">
          <cell r="A2648" t="str">
            <v>91844</v>
          </cell>
          <cell r="B2648" t="str">
            <v>ELETRODUTO FLEXÍVEL CORRUGADO, PVC, DN 25 MM (3/4"), PARA CIRCUITOS TERMINAIS, INSTALADO EM LAJE - FORNECIMENTO E INSTALAÇÃO. AF_12/2015</v>
          </cell>
          <cell r="C2648" t="str">
            <v>M</v>
          </cell>
          <cell r="D2648">
            <v>6.73</v>
          </cell>
        </row>
        <row r="2649">
          <cell r="A2649" t="str">
            <v>91845</v>
          </cell>
          <cell r="B2649" t="str">
            <v>ELETRODUTO FLEXÍVEL CORRUGADO REFORÇADO, PVC, DN 25 MM (3/4"), PARA CIRCUITOS TERMINAIS, INSTALADO EM LAJE - FORNECIMENTO E INSTALAÇÃO. AF_12/2015</v>
          </cell>
          <cell r="C2649" t="str">
            <v>M</v>
          </cell>
          <cell r="D2649">
            <v>8.08</v>
          </cell>
        </row>
        <row r="2650">
          <cell r="A2650" t="str">
            <v>91846</v>
          </cell>
          <cell r="B2650" t="str">
            <v>ELETRODUTO FLEXÍVEL CORRUGADO, PVC, DN 32 MM (1"), PARA CIRCUITOS TERMINAIS, INSTALADO EM LAJE - FORNECIMENTO E INSTALAÇÃO. AF_12/2015</v>
          </cell>
          <cell r="C2650" t="str">
            <v>M</v>
          </cell>
          <cell r="D2650">
            <v>9.5299999999999994</v>
          </cell>
        </row>
        <row r="2651">
          <cell r="A2651" t="str">
            <v>91847</v>
          </cell>
          <cell r="B2651" t="str">
            <v>ELETRODUTO FLEXÍVEL CORRUGADO REFORÇADO, PVC, DN 32 MM (1"), PARA CIRCUITOS TERMINAIS, INSTALADO EM LAJE - FORNECIMENTO E INSTALAÇÃO. AF_12/2015</v>
          </cell>
          <cell r="C2651" t="str">
            <v>M</v>
          </cell>
          <cell r="D2651">
            <v>12.67</v>
          </cell>
        </row>
        <row r="2652">
          <cell r="A2652" t="str">
            <v>91849</v>
          </cell>
          <cell r="B2652" t="str">
            <v>ELETRODUTO FLEXÍVEL LISO, PEAD, DN 32 MM (1"), PARA CIRCUITOS TERMINAIS, INSTALADO EM LAJE - FORNECIMENTO E INSTALAÇÃO. AF_12/2015</v>
          </cell>
          <cell r="C2652" t="str">
            <v>M</v>
          </cell>
          <cell r="D2652">
            <v>7.87</v>
          </cell>
        </row>
        <row r="2653">
          <cell r="A2653" t="str">
            <v>91850</v>
          </cell>
          <cell r="B2653" t="str">
            <v>ELETRODUTO FLEXÍVEL CORRUGADO, PEAD, DN 40 MM (1 1/4"), PARA CIRCUITOS TERMINAIS, INSTALADO EM LAJE - FORNECIMENTO E INSTALAÇÃO. AF_12/2015</v>
          </cell>
          <cell r="C2653" t="str">
            <v>M</v>
          </cell>
          <cell r="D2653">
            <v>10.43</v>
          </cell>
        </row>
        <row r="2654">
          <cell r="A2654" t="str">
            <v>91851</v>
          </cell>
          <cell r="B2654" t="str">
            <v>ELETRODUTO FLEXÍVEL LISO, PEAD, DN 40 MM (1 1/4"), PARA CIRCUITOS TERMINAIS, INSTALADO EM LAJE - FORNECIMENTO E INSTALAÇÃO. AF_12/2015</v>
          </cell>
          <cell r="C2654" t="str">
            <v>M</v>
          </cell>
          <cell r="D2654">
            <v>9.8000000000000007</v>
          </cell>
        </row>
        <row r="2655">
          <cell r="A2655" t="str">
            <v>91852</v>
          </cell>
          <cell r="B2655" t="str">
            <v>ELETRODUTO FLEXÍVEL CORRUGADO, PVC, DN 20 MM (1/2"), PARA CIRCUITOS TERMINAIS, INSTALADO EM PAREDE - FORNECIMENTO E INSTALAÇÃO. AF_12/2015</v>
          </cell>
          <cell r="C2655" t="str">
            <v>M</v>
          </cell>
          <cell r="D2655">
            <v>8.2899999999999991</v>
          </cell>
        </row>
        <row r="2656">
          <cell r="A2656" t="str">
            <v>91853</v>
          </cell>
          <cell r="B2656" t="str">
            <v>ELETRODUTO FLEXÍVEL CORRUGADO REFORÇADO, PVC, DN 20 MM (1/2"), PARA CIRCUITOS TERMINAIS, INSTALADO EM PAREDE - FORNECIMENTO E INSTALAÇÃO. AF_12/2015</v>
          </cell>
          <cell r="C2656" t="str">
            <v>M</v>
          </cell>
          <cell r="D2656">
            <v>8.7799999999999994</v>
          </cell>
        </row>
        <row r="2657">
          <cell r="A2657" t="str">
            <v>91854</v>
          </cell>
          <cell r="B2657" t="str">
            <v>ELETRODUTO FLEXÍVEL CORRUGADO, PVC, DN 25 MM (3/4"), PARA CIRCUITOS TERMINAIS, INSTALADO EM PAREDE - FORNECIMENTO E INSTALAÇÃO. AF_12/2015</v>
          </cell>
          <cell r="C2657" t="str">
            <v>M</v>
          </cell>
          <cell r="D2657">
            <v>9.18</v>
          </cell>
        </row>
        <row r="2658">
          <cell r="A2658" t="str">
            <v>91855</v>
          </cell>
          <cell r="B2658" t="str">
            <v>ELETRODUTO FLEXÍVEL CORRUGADO REFORÇADO, PVC, DN 25 MM (3/4"), PARA CIRCUITOS TERMINAIS, INSTALADO EM PAREDE - FORNECIMENTO E INSTALAÇÃO. AF_12/2015</v>
          </cell>
          <cell r="C2658" t="str">
            <v>M</v>
          </cell>
          <cell r="D2658">
            <v>10.44</v>
          </cell>
        </row>
        <row r="2659">
          <cell r="A2659" t="str">
            <v>91856</v>
          </cell>
          <cell r="B2659" t="str">
            <v>ELETRODUTO FLEXÍVEL CORRUGADO, PVC, DN 32 MM (1"), PARA CIRCUITOS TERMINAIS, INSTALADO EM PAREDE - FORNECIMENTO E INSTALAÇÃO. AF_12/2015</v>
          </cell>
          <cell r="C2659" t="str">
            <v>M</v>
          </cell>
          <cell r="D2659">
            <v>11.83</v>
          </cell>
        </row>
        <row r="2660">
          <cell r="A2660" t="str">
            <v>91857</v>
          </cell>
          <cell r="B2660" t="str">
            <v>ELETRODUTO FLEXÍVEL CORRUGADO REFORÇADO, PVC, DN 32 MM (1"), PARA CIRCUITOS TERMINAIS, INSTALADO EM PAREDE - FORNECIMENTO E INSTALAÇÃO. AF_12/2015</v>
          </cell>
          <cell r="C2660" t="str">
            <v>M</v>
          </cell>
          <cell r="D2660">
            <v>14.74</v>
          </cell>
        </row>
        <row r="2661">
          <cell r="A2661" t="str">
            <v>91859</v>
          </cell>
          <cell r="B2661" t="str">
            <v>ELETRODUTO FLEXÍVEL LISO, PEAD, DN 32 MM (1"), PARA CIRCUITOS TERMINAIS, INSTALADO EM PAREDE - FORNECIMENTO E INSTALAÇÃO. AF_12/2015</v>
          </cell>
          <cell r="C2661" t="str">
            <v>M</v>
          </cell>
          <cell r="D2661">
            <v>10.3</v>
          </cell>
        </row>
        <row r="2662">
          <cell r="A2662" t="str">
            <v>91860</v>
          </cell>
          <cell r="B2662" t="str">
            <v>ELETRODUTO FLEXÍVEL CORRUGADO, PEAD, DN 40 MM (1 1/4"), PARA CIRCUITOS TERMINAIS, INSTALADO EM PAREDE - FORNECIMENTO E INSTALAÇÃO. AF_12/2015</v>
          </cell>
          <cell r="C2662" t="str">
            <v>M</v>
          </cell>
          <cell r="D2662">
            <v>12.75</v>
          </cell>
        </row>
        <row r="2663">
          <cell r="A2663" t="str">
            <v>91861</v>
          </cell>
          <cell r="B2663" t="str">
            <v>ELETRODUTO FLEXÍVEL LISO, PEAD, DN 40 MM (1 1/4"), PARA CIRCUITOS TERMINAIS, INSTALADO EM PAREDE - FORNECIMENTO E INSTALAÇÃO. AF_12/2015</v>
          </cell>
          <cell r="C2663" t="str">
            <v>M</v>
          </cell>
          <cell r="D2663">
            <v>12.16</v>
          </cell>
        </row>
        <row r="2664">
          <cell r="A2664" t="str">
            <v>91862</v>
          </cell>
          <cell r="B2664" t="str">
            <v>ELETRODUTO RÍGIDO ROSCÁVEL, PVC, DN 20 MM (1/2"), PARA CIRCUITOS TERMINAIS, INSTALADO EM FORRO - FORNECIMENTO E INSTALAÇÃO. AF_12/2015</v>
          </cell>
          <cell r="C2664" t="str">
            <v>M</v>
          </cell>
          <cell r="D2664">
            <v>9.61</v>
          </cell>
        </row>
        <row r="2665">
          <cell r="A2665" t="str">
            <v>91863</v>
          </cell>
          <cell r="B2665" t="str">
            <v>ELETRODUTO RÍGIDO ROSCÁVEL, PVC, DN 25 MM (3/4"), PARA CIRCUITOS TERMINAIS, INSTALADO EM FORRO - FORNECIMENTO E INSTALAÇÃO. AF_12/2015</v>
          </cell>
          <cell r="C2665" t="str">
            <v>M</v>
          </cell>
          <cell r="D2665">
            <v>11.3</v>
          </cell>
        </row>
        <row r="2666">
          <cell r="A2666" t="str">
            <v>91864</v>
          </cell>
          <cell r="B2666" t="str">
            <v>ELETRODUTO RÍGIDO ROSCÁVEL, PVC, DN 32 MM (1"), PARA CIRCUITOS TERMINAIS, INSTALADO EM FORRO - FORNECIMENTO E INSTALAÇÃO. AF_12/2015</v>
          </cell>
          <cell r="C2666" t="str">
            <v>M</v>
          </cell>
          <cell r="D2666">
            <v>14.98</v>
          </cell>
        </row>
        <row r="2667">
          <cell r="A2667" t="str">
            <v>91865</v>
          </cell>
          <cell r="B2667" t="str">
            <v>ELETRODUTO RÍGIDO ROSCÁVEL, PVC, DN 40 MM (1 1/4"), PARA CIRCUITOS TERMINAIS, INSTALADO EM FORRO - FORNECIMENTO E INSTALAÇÃO. AF_12/2015</v>
          </cell>
          <cell r="C2667" t="str">
            <v>M</v>
          </cell>
          <cell r="D2667">
            <v>18.66</v>
          </cell>
        </row>
        <row r="2668">
          <cell r="A2668" t="str">
            <v>91866</v>
          </cell>
          <cell r="B2668" t="str">
            <v>ELETRODUTO RÍGIDO ROSCÁVEL, PVC, DN 20 MM (1/2"), PARA CIRCUITOS TERMINAIS, INSTALADO EM LAJE - FORNECIMENTO E INSTALAÇÃO. AF_12/2015</v>
          </cell>
          <cell r="C2668" t="str">
            <v>M</v>
          </cell>
          <cell r="D2668">
            <v>7.7</v>
          </cell>
        </row>
        <row r="2669">
          <cell r="A2669" t="str">
            <v>91867</v>
          </cell>
          <cell r="B2669" t="str">
            <v>ELETRODUTO RÍGIDO ROSCÁVEL, PVC, DN 25 MM (3/4"), PARA CIRCUITOS TERMINAIS, INSTALADO EM LAJE - FORNECIMENTO E INSTALAÇÃO. AF_12/2015</v>
          </cell>
          <cell r="C2669" t="str">
            <v>M</v>
          </cell>
          <cell r="D2669">
            <v>9.39</v>
          </cell>
        </row>
        <row r="2670">
          <cell r="A2670" t="str">
            <v>91868</v>
          </cell>
          <cell r="B2670" t="str">
            <v>ELETRODUTO RÍGIDO ROSCÁVEL, PVC, DN 32 MM (1"), PARA CIRCUITOS TERMINAIS, INSTALADO EM LAJE - FORNECIMENTO E INSTALAÇÃO. AF_12/2015</v>
          </cell>
          <cell r="C2670" t="str">
            <v>M</v>
          </cell>
          <cell r="D2670">
            <v>13.09</v>
          </cell>
        </row>
        <row r="2671">
          <cell r="A2671" t="str">
            <v>91869</v>
          </cell>
          <cell r="B2671" t="str">
            <v>ELETRODUTO RÍGIDO ROSCÁVEL, PVC, DN 40 MM (1 1/4"), PARA CIRCUITOS TERMINAIS, INSTALADO EM LAJE - FORNECIMENTO E INSTALAÇÃO. AF_12/2015</v>
          </cell>
          <cell r="C2671" t="str">
            <v>M</v>
          </cell>
          <cell r="D2671">
            <v>16.78</v>
          </cell>
        </row>
        <row r="2672">
          <cell r="A2672" t="str">
            <v>91870</v>
          </cell>
          <cell r="B2672" t="str">
            <v>ELETRODUTO RÍGIDO ROSCÁVEL, PVC, DN 20 MM (1/2"), PARA CIRCUITOS TERMINAIS, INSTALADO EM PAREDE - FORNECIMENTO E INSTALAÇÃO. AF_12/2015</v>
          </cell>
          <cell r="C2672" t="str">
            <v>M</v>
          </cell>
          <cell r="D2672">
            <v>10.83</v>
          </cell>
        </row>
        <row r="2673">
          <cell r="A2673" t="str">
            <v>91871</v>
          </cell>
          <cell r="B2673" t="str">
            <v>ELETRODUTO RÍGIDO ROSCÁVEL, PVC, DN 25 MM (3/4"), PARA CIRCUITOS TERMINAIS, INSTALADO EM PAREDE - FORNECIMENTO E INSTALAÇÃO. AF_12/2015</v>
          </cell>
          <cell r="C2673" t="str">
            <v>M</v>
          </cell>
          <cell r="D2673">
            <v>12.57</v>
          </cell>
        </row>
        <row r="2674">
          <cell r="A2674" t="str">
            <v>91872</v>
          </cell>
          <cell r="B2674" t="str">
            <v>ELETRODUTO RÍGIDO ROSCÁVEL, PVC, DN 32 MM (1"), PARA CIRCUITOS TERMINAIS, INSTALADO EM PAREDE - FORNECIMENTO E INSTALAÇÃO. AF_12/2015</v>
          </cell>
          <cell r="C2674" t="str">
            <v>M</v>
          </cell>
          <cell r="D2674">
            <v>16.25</v>
          </cell>
        </row>
        <row r="2675">
          <cell r="A2675" t="str">
            <v>91873</v>
          </cell>
          <cell r="B2675" t="str">
            <v>ELETRODUTO RÍGIDO ROSCÁVEL, PVC, DN 40 MM (1 1/4"), PARA CIRCUITOS TERMINAIS, INSTALADO EM PAREDE - FORNECIMENTO E INSTALAÇÃO. AF_12/2015</v>
          </cell>
          <cell r="C2675" t="str">
            <v>M</v>
          </cell>
          <cell r="D2675">
            <v>19.88</v>
          </cell>
        </row>
        <row r="2676">
          <cell r="A2676" t="str">
            <v>93008</v>
          </cell>
          <cell r="B2676" t="str">
            <v>ELETRODUTO RÍGIDO ROSCÁVEL, PVC, DN 50 MM (1 1/2") - FORNECIMENTO E INSTALAÇÃO. AF_12/2015</v>
          </cell>
          <cell r="C2676" t="str">
            <v>M</v>
          </cell>
          <cell r="D2676">
            <v>16.5</v>
          </cell>
        </row>
        <row r="2677">
          <cell r="A2677" t="str">
            <v>93009</v>
          </cell>
          <cell r="B2677" t="str">
            <v>ELETRODUTO RÍGIDO ROSCÁVEL, PVC, DN 60 MM (2") - FORNECIMENTO E INSTALAÇÃO. AF_12/2015</v>
          </cell>
          <cell r="C2677" t="str">
            <v>M</v>
          </cell>
          <cell r="D2677">
            <v>24.42</v>
          </cell>
        </row>
        <row r="2678">
          <cell r="A2678" t="str">
            <v>93010</v>
          </cell>
          <cell r="B2678" t="str">
            <v>ELETRODUTO RÍGIDO ROSCÁVEL, PVC, DN 75 MM (2 1/2") - FORNECIMENTO E INSTALAÇÃO. AF_12/2015</v>
          </cell>
          <cell r="C2678" t="str">
            <v>M</v>
          </cell>
          <cell r="D2678">
            <v>34.020000000000003</v>
          </cell>
        </row>
        <row r="2679">
          <cell r="A2679" t="str">
            <v>93011</v>
          </cell>
          <cell r="B2679" t="str">
            <v>ELETRODUTO RÍGIDO ROSCÁVEL, PVC, DN 85 MM (3") - FORNECIMENTO E INSTALAÇÃO. AF_12/2015</v>
          </cell>
          <cell r="C2679" t="str">
            <v>M</v>
          </cell>
          <cell r="D2679">
            <v>41.62</v>
          </cell>
        </row>
        <row r="2680">
          <cell r="A2680" t="str">
            <v>93012</v>
          </cell>
          <cell r="B2680" t="str">
            <v>ELETRODUTO RÍGIDO ROSCÁVEL, PVC, DN 110 MM (4") - FORNECIMENTO E INSTALAÇÃO. AF_12/2015</v>
          </cell>
          <cell r="C2680" t="str">
            <v>M</v>
          </cell>
          <cell r="D2680">
            <v>62.9</v>
          </cell>
        </row>
        <row r="2681">
          <cell r="A2681" t="str">
            <v>95726</v>
          </cell>
          <cell r="B2681" t="str">
            <v>ELETRODUTO RÍGIDO SOLDÁVEL, PVC, DN 20 MM (½), APARENTE, INSTALADO EM TETO - FORNECIMENTO E INSTALAÇÃO. AF_11/2016_P</v>
          </cell>
          <cell r="C2681" t="str">
            <v>M</v>
          </cell>
          <cell r="D2681">
            <v>6.53</v>
          </cell>
        </row>
        <row r="2682">
          <cell r="A2682" t="str">
            <v>95727</v>
          </cell>
          <cell r="B2682" t="str">
            <v>ELETRODUTO RÍGIDO SOLDÁVEL, PVC, DN 25 MM (3/4), APARENTE, INSTALADO EM TETO - FORNECIMENTO E INSTALAÇÃO. AF_11/2016_P</v>
          </cell>
          <cell r="C2682" t="str">
            <v>M</v>
          </cell>
          <cell r="D2682">
            <v>7.46</v>
          </cell>
        </row>
        <row r="2683">
          <cell r="A2683" t="str">
            <v>95728</v>
          </cell>
          <cell r="B2683" t="str">
            <v>ELETRODUTO RÍGIDO SOLDÁVEL, PVC, DN 32 MM (1), APARENTE, INSTALADO EM TETO - FORNECIMENTO E INSTALAÇÃO. AF_11/2016_P</v>
          </cell>
          <cell r="C2683" t="str">
            <v>M</v>
          </cell>
          <cell r="D2683">
            <v>9.5</v>
          </cell>
        </row>
        <row r="2684">
          <cell r="A2684" t="str">
            <v>95729</v>
          </cell>
          <cell r="B2684" t="str">
            <v>ELETRODUTO RÍGIDO SOLDÁVEL, PVC, DN 20 MM (½), APARENTE, INSTALADO EM PAREDE - FORNECIMENTO E INSTALAÇÃO. AF_11/2016_P</v>
          </cell>
          <cell r="C2684" t="str">
            <v>M</v>
          </cell>
          <cell r="D2684">
            <v>8.5399999999999991</v>
          </cell>
        </row>
        <row r="2685">
          <cell r="A2685" t="str">
            <v>95730</v>
          </cell>
          <cell r="B2685" t="str">
            <v>ELETRODUTO RÍGIDO SOLDÁVEL, PVC, DN 25 MM (3/4), APARENTE, INSTALADO EM PAREDE - FORNECIMENTO E INSTALAÇÃO. AF_11/2016_P</v>
          </cell>
          <cell r="C2685" t="str">
            <v>M</v>
          </cell>
          <cell r="D2685">
            <v>9.4700000000000006</v>
          </cell>
        </row>
        <row r="2686">
          <cell r="A2686" t="str">
            <v>95731</v>
          </cell>
          <cell r="B2686" t="str">
            <v>ELETRODUTO RÍGIDO SOLDÁVEL, PVC, DN 32 MM (1), APARENTE, INSTALADO EM PAREDE - FORNECIMENTO E INSTALAÇÃO. AF_11/2016_P</v>
          </cell>
          <cell r="C2686" t="str">
            <v>UN</v>
          </cell>
          <cell r="D2686">
            <v>11.51</v>
          </cell>
        </row>
        <row r="2687">
          <cell r="A2687" t="str">
            <v>95732</v>
          </cell>
          <cell r="B2687" t="str">
            <v>LUVA PARA ELETRODUTO, PVC, SOLDÁVEL, DN 20 MM (1/2), APARENTE, INSTALADA EM TETO - FORNECIMENTO E INSTALAÇÃO. AF_11/2016_P</v>
          </cell>
          <cell r="C2687" t="str">
            <v>M</v>
          </cell>
          <cell r="D2687">
            <v>4.45</v>
          </cell>
        </row>
        <row r="2688">
          <cell r="A2688" t="str">
            <v>95745</v>
          </cell>
          <cell r="B2688" t="str">
            <v>ELETRODUTO DE AÇO GALVANIZADO, CLASSE LEVE, DN 20 MM (3/4), APARENTE, INSTALADO EM TETO - FORNECIMENTO E INSTALAÇÃO. AF_11/2016_P</v>
          </cell>
          <cell r="C2688" t="str">
            <v>M</v>
          </cell>
          <cell r="D2688">
            <v>22.4</v>
          </cell>
        </row>
        <row r="2689">
          <cell r="A2689" t="str">
            <v>95746</v>
          </cell>
          <cell r="B2689" t="str">
            <v>ELETRODUTO DE AÇO GALVANIZADO, CLASSE LEVE, DN 25 MM (1), APARENTE, INSTALADO EM TETO - FORNECIMENTO E INSTALAÇÃO. AF_11/2016_P</v>
          </cell>
          <cell r="C2689" t="str">
            <v>M</v>
          </cell>
          <cell r="D2689">
            <v>27.89</v>
          </cell>
        </row>
        <row r="2690">
          <cell r="A2690" t="str">
            <v>95747</v>
          </cell>
          <cell r="B2690" t="str">
            <v>ELETRODUTO DE AÇO GALVANIZADO, CLASSE SEMI PESADO, DN 32 MM (1 1/4), APARENTE, INSTALADO EM TETO - FORNECIMENTO E INSTALAÇÃO. AF_11/2016_P</v>
          </cell>
          <cell r="C2690" t="str">
            <v>M</v>
          </cell>
          <cell r="D2690">
            <v>46.41</v>
          </cell>
        </row>
        <row r="2691">
          <cell r="A2691" t="str">
            <v>95748</v>
          </cell>
          <cell r="B2691" t="str">
            <v>ELETRODUTO DE AÇO GALVANIZADO, CLASSE SEMI PESADO, DN 40 MM (1 1/2 ), APARENTE, INSTALADO EM TETO - FORNECIMENTO E INSTALAÇÃO. AF_11/2016_P</v>
          </cell>
          <cell r="C2691" t="str">
            <v>M</v>
          </cell>
          <cell r="D2691">
            <v>50.07</v>
          </cell>
        </row>
        <row r="2692">
          <cell r="A2692" t="str">
            <v>95749</v>
          </cell>
          <cell r="B2692" t="str">
            <v>ELETRODUTO DE AÇO GALVANIZADO, CLASSE LEVE, DN 20 MM (3/4), APARENTE, INSTALADO EM PAREDE - FORNECIMENTO E INSTALAÇÃO. AF_11/2016_P</v>
          </cell>
          <cell r="C2692" t="str">
            <v>M</v>
          </cell>
          <cell r="D2692">
            <v>28.94</v>
          </cell>
        </row>
        <row r="2693">
          <cell r="A2693" t="str">
            <v>95750</v>
          </cell>
          <cell r="B2693" t="str">
            <v>ELETRODUTO DE AÇO GALVANIZADO, CLASSE LEVE, DN 25 MM (1), APARENTE, INSTALADO EM PAREDE - FORNECIMENTO E INSTALAÇÃO. AF_11/2016_P</v>
          </cell>
          <cell r="C2693" t="str">
            <v>M</v>
          </cell>
          <cell r="D2693">
            <v>34.29</v>
          </cell>
        </row>
        <row r="2694">
          <cell r="A2694" t="str">
            <v>95751</v>
          </cell>
          <cell r="B2694" t="str">
            <v>ELETRODUTO DE AÇO GALVANIZADO, CLASSE SEMI PESADO, DN 32 MM (1 1/4), APARENTE, INSTALADO EM PAREDE - FORNECIMENTO E INSTALAÇÃO. AF_11/2016_P</v>
          </cell>
          <cell r="C2694" t="str">
            <v>M</v>
          </cell>
          <cell r="D2694">
            <v>52.62</v>
          </cell>
        </row>
        <row r="2695">
          <cell r="A2695" t="str">
            <v>95752</v>
          </cell>
          <cell r="B2695" t="str">
            <v>ELETRODUTO DE AÇO GALVANIZADO, CLASSE SEMI PESADO, DN 40 MM (1 1/2  ), APARENTE, INSTALADO EM PAREDE - FORNECIMENTO E INSTALAÇÃO. AF_11/2016_P</v>
          </cell>
          <cell r="C2695" t="str">
            <v>M</v>
          </cell>
          <cell r="D2695">
            <v>56.04</v>
          </cell>
        </row>
        <row r="2696">
          <cell r="A2696" t="str">
            <v>97667</v>
          </cell>
          <cell r="B2696" t="str">
            <v>ELETRODUTO FLEXÍVEL CORRUGADO, PEAD, DN 50 (1 ½)  - FORNECIMENTO E INSTALAÇÃO. AF_04/2016</v>
          </cell>
          <cell r="C2696" t="str">
            <v>M</v>
          </cell>
          <cell r="D2696">
            <v>7.71</v>
          </cell>
        </row>
        <row r="2697">
          <cell r="A2697" t="str">
            <v>97668</v>
          </cell>
          <cell r="B2697" t="str">
            <v>ELETRODUTO FLEXÍVEL CORRUGADO, PEAD, DN 63 (2")  - FORNECIMENTO E INSTALAÇÃO. AF_04/2016</v>
          </cell>
          <cell r="C2697" t="str">
            <v>M</v>
          </cell>
          <cell r="D2697">
            <v>11.83</v>
          </cell>
        </row>
        <row r="2698">
          <cell r="A2698" t="str">
            <v>97669</v>
          </cell>
          <cell r="B2698" t="str">
            <v>ELETRODUTO FLEXÍVEL CORRUGADO, PEAD, DN 90 (3) - FORNECIMENTO E INSTALAÇÃO. AF_04/2016</v>
          </cell>
          <cell r="C2698" t="str">
            <v>M</v>
          </cell>
          <cell r="D2698">
            <v>18.89</v>
          </cell>
        </row>
        <row r="2699">
          <cell r="A2699" t="str">
            <v>97670</v>
          </cell>
          <cell r="B2699" t="str">
            <v>ELETRODUTO FLEXÍVEL CORRUGADO, PEAD, DN 100 (4) - FORNECIMENTO E INSTALAÇÃO. AF_04/2016</v>
          </cell>
          <cell r="C2699" t="str">
            <v>UN</v>
          </cell>
          <cell r="D2699">
            <v>24.3</v>
          </cell>
        </row>
        <row r="2700">
          <cell r="A2700" t="str">
            <v>91874</v>
          </cell>
          <cell r="B2700" t="str">
            <v>LUVA PARA ELETRODUTO, PVC, ROSCÁVEL, DN 20 MM (1/2"), PARA CIRCUITOS TERMINAIS, INSTALADA EM FORRO - FORNECIMENTO E INSTALAÇÃO. AF_12/2015</v>
          </cell>
          <cell r="C2700" t="str">
            <v>UN</v>
          </cell>
          <cell r="D2700">
            <v>4.8899999999999997</v>
          </cell>
        </row>
        <row r="2701">
          <cell r="A2701" t="str">
            <v>91875</v>
          </cell>
          <cell r="B2701" t="str">
            <v>LUVA PARA ELETRODUTO, PVC, ROSCÁVEL, DN 25 MM (3/4"), PARA CIRCUITOS TERMINAIS, INSTALADA EM FORRO - FORNECIMENTO E INSTALAÇÃO. AF_12/2015</v>
          </cell>
          <cell r="C2701" t="str">
            <v>UN</v>
          </cell>
          <cell r="D2701">
            <v>6.5</v>
          </cell>
        </row>
        <row r="2702">
          <cell r="A2702" t="str">
            <v>91876</v>
          </cell>
          <cell r="B2702" t="str">
            <v>LUVA PARA ELETRODUTO, PVC, ROSCÁVEL, DN 32 MM (1"), PARA CIRCUITOS TERMINAIS, INSTALADA EM FORRO - FORNECIMENTO E INSTALAÇÃO. AF_12/2015</v>
          </cell>
          <cell r="C2702" t="str">
            <v>UN</v>
          </cell>
          <cell r="D2702">
            <v>8.58</v>
          </cell>
        </row>
        <row r="2703">
          <cell r="A2703" t="str">
            <v>91877</v>
          </cell>
          <cell r="B2703" t="str">
            <v>LUVA PARA ELETRODUTO, PVC, ROSCÁVEL, DN 40 MM (1 1/4"), PARA CIRCUITOS TERMINAIS, INSTALADA EM FORRO - FORNECIMENTO E INSTALAÇÃO. AF_12/2015</v>
          </cell>
          <cell r="C2703" t="str">
            <v>UN</v>
          </cell>
          <cell r="D2703">
            <v>11.44</v>
          </cell>
        </row>
        <row r="2704">
          <cell r="A2704" t="str">
            <v>91878</v>
          </cell>
          <cell r="B2704" t="str">
            <v>LUVA PARA ELETRODUTO, PVC, ROSCÁVEL, DN 20 MM (1/2"), PARA CIRCUITOS TERMINAIS, INSTALADA EM LAJE - FORNECIMENTO E INSTALAÇÃO. AF_12/2015</v>
          </cell>
          <cell r="C2704" t="str">
            <v>UN</v>
          </cell>
          <cell r="D2704">
            <v>6.27</v>
          </cell>
        </row>
        <row r="2705">
          <cell r="A2705" t="str">
            <v>91879</v>
          </cell>
          <cell r="B2705" t="str">
            <v>LUVA PARA ELETRODUTO, PVC, ROSCÁVEL, DN 25 MM (3/4"), PARA CIRCUITOS TERMINAIS, INSTALADA EM LAJE - FORNECIMENTO E INSTALAÇÃO. AF_12/2015</v>
          </cell>
          <cell r="C2705" t="str">
            <v>UN</v>
          </cell>
          <cell r="D2705">
            <v>7.82</v>
          </cell>
        </row>
        <row r="2706">
          <cell r="A2706" t="str">
            <v>91880</v>
          </cell>
          <cell r="B2706" t="str">
            <v>LUVA PARA ELETRODUTO, PVC, ROSCÁVEL, DN 32 MM (1"), PARA CIRCUITOS TERMINAIS, INSTALADA EM LAJE - FORNECIMENTO E INSTALAÇÃO. AF_12/2015</v>
          </cell>
          <cell r="C2706" t="str">
            <v>UN</v>
          </cell>
          <cell r="D2706">
            <v>9.9499999999999993</v>
          </cell>
        </row>
        <row r="2707">
          <cell r="A2707" t="str">
            <v>91881</v>
          </cell>
          <cell r="B2707" t="str">
            <v>LUVA PARA ELETRODUTO, PVC, ROSCÁVEL, DN 40 MM (1 1/4"), PARA CIRCUITOS TERMINAIS, INSTALADA EM LAJE - FORNECIMENTO E INSTALAÇÃO. AF_12/2015</v>
          </cell>
          <cell r="C2707" t="str">
            <v>UN</v>
          </cell>
          <cell r="D2707">
            <v>12.81</v>
          </cell>
        </row>
        <row r="2708">
          <cell r="A2708" t="str">
            <v>91882</v>
          </cell>
          <cell r="B2708" t="str">
            <v>LUVA PARA ELETRODUTO, PVC, ROSCÁVEL, DN 20 MM (1/2"), PARA CIRCUITOS TERMINAIS, INSTALADA EM PAREDE - FORNECIMENTO E INSTALAÇÃO. AF_12/2015</v>
          </cell>
          <cell r="C2708" t="str">
            <v>UN</v>
          </cell>
          <cell r="D2708">
            <v>7.74</v>
          </cell>
        </row>
        <row r="2709">
          <cell r="A2709" t="str">
            <v>91884</v>
          </cell>
          <cell r="B2709" t="str">
            <v>LUVA PARA ELETRODUTO, PVC, ROSCÁVEL, DN 25 MM (3/4"), PARA CIRCUITOS TERMINAIS, INSTALADA EM PAREDE - FORNECIMENTO E INSTALAÇÃO. AF_12/2015</v>
          </cell>
          <cell r="C2709" t="str">
            <v>UN</v>
          </cell>
          <cell r="D2709">
            <v>8.9700000000000006</v>
          </cell>
        </row>
        <row r="2710">
          <cell r="A2710" t="str">
            <v>91885</v>
          </cell>
          <cell r="B2710" t="str">
            <v>LUVA PARA ELETRODUTO, PVC, ROSCÁVEL, DN 32 MM (1"), PARA CIRCUITOS TERMINAIS, INSTALADA EM PAREDE - FORNECIMENTO E INSTALAÇÃO. AF_12/2015</v>
          </cell>
          <cell r="C2710" t="str">
            <v>UN</v>
          </cell>
          <cell r="D2710">
            <v>10.61</v>
          </cell>
        </row>
        <row r="2711">
          <cell r="A2711" t="str">
            <v>91886</v>
          </cell>
          <cell r="B2711" t="str">
            <v>LUVA PARA ELETRODUTO, PVC, ROSCÁVEL, DN 40 MM (1 1/4"), PARA CIRCUITOS TERMINAIS, INSTALADA EM PAREDE - FORNECIMENTO E INSTALAÇÃO. AF_12/2015</v>
          </cell>
          <cell r="C2711" t="str">
            <v>UN</v>
          </cell>
          <cell r="D2711">
            <v>12.95</v>
          </cell>
        </row>
        <row r="2712">
          <cell r="A2712" t="str">
            <v>91887</v>
          </cell>
          <cell r="B2712" t="str">
            <v>CURVA 90 GRAUS PARA ELETRODUTO, PVC, ROSCÁVEL, DN 20 MM (1/2"), PARA CIRCUITOS TERMINAIS, INSTALADA EM FORRO - FORNECIMENTO E INSTALAÇÃO. AF_12/2015</v>
          </cell>
          <cell r="C2712" t="str">
            <v>UN</v>
          </cell>
          <cell r="D2712">
            <v>9.19</v>
          </cell>
        </row>
        <row r="2713">
          <cell r="A2713" t="str">
            <v>91889</v>
          </cell>
          <cell r="B2713" t="str">
            <v>CURVA 180 GRAUS PARA ELETRODUTO, PVC, ROSCÁVEL, DN 20 MM (1/2"), PARA CIRCUITOS TERMINAIS, INSTALADA EM FORRO - FORNECIMENTO E INSTALAÇÃO. AF_12/2015</v>
          </cell>
          <cell r="C2713" t="str">
            <v>UN</v>
          </cell>
          <cell r="D2713">
            <v>8.83</v>
          </cell>
        </row>
        <row r="2714">
          <cell r="A2714" t="str">
            <v>91890</v>
          </cell>
          <cell r="B2714" t="str">
            <v>CURVA 90 GRAUS PARA ELETRODUTO, PVC, ROSCÁVEL, DN 25 MM (3/4"), PARA CIRCUITOS TERMINAIS, INSTALADA EM FORRO - FORNECIMENTO E INSTALAÇÃO. AF_12/2015</v>
          </cell>
          <cell r="C2714" t="str">
            <v>UN</v>
          </cell>
          <cell r="D2714">
            <v>10.88</v>
          </cell>
        </row>
        <row r="2715">
          <cell r="A2715" t="str">
            <v>91892</v>
          </cell>
          <cell r="B2715" t="str">
            <v>CURVA 180 GRAUS PARA ELETRODUTO, PVC, ROSCÁVEL, DN 25 MM (3/4"), PARA CIRCUITOS TERMINAIS, INSTALADA EM FORRO - FORNECIMENTO E INSTALAÇÃO. AF_12/2015</v>
          </cell>
          <cell r="C2715" t="str">
            <v>UN</v>
          </cell>
          <cell r="D2715">
            <v>13.25</v>
          </cell>
        </row>
        <row r="2716">
          <cell r="A2716" t="str">
            <v>91893</v>
          </cell>
          <cell r="B2716" t="str">
            <v>CURVA 90 GRAUS PARA ELETRODUTO, PVC, ROSCÁVEL, DN 32 MM (1"), PARA CIRCUITOS TERMINAIS, INSTALADA EM FORRO - FORNECIMENTO E INSTALAÇÃO. AF_12/2015</v>
          </cell>
          <cell r="C2716" t="str">
            <v>UN</v>
          </cell>
          <cell r="D2716">
            <v>14.91</v>
          </cell>
        </row>
        <row r="2717">
          <cell r="A2717" t="str">
            <v>91895</v>
          </cell>
          <cell r="B2717" t="str">
            <v>CURVA 180 GRAUS PARA ELETRODUTO, PVC, ROSCÁVEL, DN 32 MM (1"), PARA CIRCUITOS TERMINAIS, INSTALADA EM FORRO - FORNECIMENTO E INSTALAÇÃO. AF_12/2015</v>
          </cell>
          <cell r="C2717" t="str">
            <v>UN</v>
          </cell>
          <cell r="D2717">
            <v>17.32</v>
          </cell>
        </row>
        <row r="2718">
          <cell r="A2718" t="str">
            <v>91896</v>
          </cell>
          <cell r="B2718" t="str">
            <v>CURVA 90 GRAUS PARA ELETRODUTO, PVC, ROSCÁVEL, DN 40 MM (1 1/4"), PARA CIRCUITOS TERMINAIS, INSTALADA EM FORRO - FORNECIMENTO E INSTALAÇÃO. AF_12/2015</v>
          </cell>
          <cell r="C2718" t="str">
            <v>UN</v>
          </cell>
          <cell r="D2718">
            <v>18.16</v>
          </cell>
        </row>
        <row r="2719">
          <cell r="A2719" t="str">
            <v>91898</v>
          </cell>
          <cell r="B2719" t="str">
            <v>CURVA 180 GRAUS PARA ELETRODUTO, PVC, ROSCÁVEL, DN 40 MM (1 1/4"), PARA CIRCUITOS TERMINAIS, INSTALADA EM FORRO - FORNECIMENTO E INSTALAÇÃO. AF_12/2015</v>
          </cell>
          <cell r="C2719" t="str">
            <v>UN</v>
          </cell>
          <cell r="D2719">
            <v>20.74</v>
          </cell>
        </row>
        <row r="2720">
          <cell r="A2720" t="str">
            <v>91899</v>
          </cell>
          <cell r="B2720" t="str">
            <v>CURVA 90 GRAUS PARA ELETRODUTO, PVC, ROSCÁVEL, DN 20 MM (1/2"), PARA CIRCUITOS TERMINAIS, INSTALADA EM LAJE - FORNECIMENTO E INSTALAÇÃO. AF_12/2015</v>
          </cell>
          <cell r="C2720" t="str">
            <v>UN</v>
          </cell>
          <cell r="D2720">
            <v>11.17</v>
          </cell>
        </row>
        <row r="2721">
          <cell r="A2721" t="str">
            <v>91901</v>
          </cell>
          <cell r="B2721" t="str">
            <v>CURVA 180 GRAUS PARA ELETRODUTO, PVC, ROSCÁVEL, DN 20 MM (1/2"), PARA CIRCUITOS TERMINAIS, INSTALADA EM LAJE - FORNECIMENTO E INSTALAÇÃO. AF_12/2015</v>
          </cell>
          <cell r="C2721" t="str">
            <v>UN</v>
          </cell>
          <cell r="D2721">
            <v>10.81</v>
          </cell>
        </row>
        <row r="2722">
          <cell r="A2722" t="str">
            <v>91902</v>
          </cell>
          <cell r="B2722" t="str">
            <v>CURVA 90 GRAUS PARA ELETRODUTO, PVC, ROSCÁVEL, DN 25 MM (3/4"), PARA CIRCUITOS TERMINAIS, INSTALADA EM LAJE - FORNECIMENTO E INSTALAÇÃO. AF_12/2015</v>
          </cell>
          <cell r="C2722" t="str">
            <v>UN</v>
          </cell>
          <cell r="D2722">
            <v>12.87</v>
          </cell>
        </row>
        <row r="2723">
          <cell r="A2723" t="str">
            <v>91904</v>
          </cell>
          <cell r="B2723" t="str">
            <v>CURVA 180 GRAUS PARA ELETRODUTO, PVC, ROSCÁVEL, DN 25 MM (3/4"), PARA CIRCUITOS TERMINAIS, INSTALADA EM LAJE - FORNECIMENTO E INSTALAÇÃO. AF_12/2015</v>
          </cell>
          <cell r="C2723" t="str">
            <v>UN</v>
          </cell>
          <cell r="D2723">
            <v>15.24</v>
          </cell>
        </row>
        <row r="2724">
          <cell r="A2724" t="str">
            <v>91905</v>
          </cell>
          <cell r="B2724" t="str">
            <v>CURVA 90 GRAUS PARA ELETRODUTO, PVC, ROSCÁVEL, DN 32 MM (1"), PARA CIRCUITOS TERMINAIS, INSTALADA EM LAJE - FORNECIMENTO E INSTALAÇÃO. AF_12/2015</v>
          </cell>
          <cell r="C2724" t="str">
            <v>UN</v>
          </cell>
          <cell r="D2724">
            <v>16.899999999999999</v>
          </cell>
        </row>
        <row r="2725">
          <cell r="A2725" t="str">
            <v>91907</v>
          </cell>
          <cell r="B2725" t="str">
            <v>CURVA 180 GRAUS PARA ELETRODUTO, PVC, ROSCÁVEL, DN 32 MM (1), PARA CIRCUITOS TERMINAIS, INSTALADA EM LAJE - FORNECIMENTO E INSTALAÇÃO. AF_12/2015</v>
          </cell>
          <cell r="C2725" t="str">
            <v>UN</v>
          </cell>
          <cell r="D2725">
            <v>19.309999999999999</v>
          </cell>
        </row>
        <row r="2726">
          <cell r="A2726" t="str">
            <v>91908</v>
          </cell>
          <cell r="B2726" t="str">
            <v>CURVA 90 GRAUS PARA ELETRODUTO, PVC, ROSCÁVEL, DN 40 MM (1 1/4"), PARA CIRCUITOS TERMINAIS, INSTALADA EM LAJE - FORNECIMENTO E INSTALAÇÃO. AF_12/2015</v>
          </cell>
          <cell r="C2726" t="str">
            <v>UN</v>
          </cell>
          <cell r="D2726">
            <v>20.190000000000001</v>
          </cell>
        </row>
        <row r="2727">
          <cell r="A2727" t="str">
            <v>91910</v>
          </cell>
          <cell r="B2727" t="str">
            <v>CURVA 180 GRAUS PARA ELETRODUTO, PVC, ROSCÁVEL, DN 40 MM (1 1/4"), PARA CIRCUITOS TERMINAIS, INSTALADA EM LAJE - FORNECIMENTO E INSTALAÇÃO. AF_12/2015</v>
          </cell>
          <cell r="C2727" t="str">
            <v>UN</v>
          </cell>
          <cell r="D2727">
            <v>22.77</v>
          </cell>
        </row>
        <row r="2728">
          <cell r="A2728" t="str">
            <v>91911</v>
          </cell>
          <cell r="B2728" t="str">
            <v>CURVA 90 GRAUS PARA ELETRODUTO, PVC, ROSCÁVEL, DN 20 MM (1/2"), PARA CIRCUITOS TERMINAIS, INSTALADA EM PAREDE - FORNECIMENTO E INSTALAÇÃO. AF_12/2015</v>
          </cell>
          <cell r="C2728" t="str">
            <v>UN</v>
          </cell>
          <cell r="D2728">
            <v>13.44</v>
          </cell>
        </row>
        <row r="2729">
          <cell r="A2729" t="str">
            <v>91913</v>
          </cell>
          <cell r="B2729" t="str">
            <v>CURVA 180 GRAUS PARA ELETRODUTO, PVC, ROSCÁVEL, DN 20 MM (1/2"), PARA CIRCUITOS TERMINAIS, INSTALADA EM PAREDE - FORNECIMENTO E INSTALAÇÃO. AF_12/2015</v>
          </cell>
          <cell r="C2729" t="str">
            <v>UN</v>
          </cell>
          <cell r="D2729">
            <v>13.08</v>
          </cell>
        </row>
        <row r="2730">
          <cell r="A2730" t="str">
            <v>91914</v>
          </cell>
          <cell r="B2730" t="str">
            <v>CURVA 90 GRAUS PARA ELETRODUTO, PVC, ROSCÁVEL, DN 25 MM (3/4"), PARA CIRCUITOS TERMINAIS, INSTALADA EM PAREDE - FORNECIMENTO E INSTALAÇÃO. AF_12/2015</v>
          </cell>
          <cell r="C2730" t="str">
            <v>UN</v>
          </cell>
          <cell r="D2730">
            <v>14.62</v>
          </cell>
        </row>
        <row r="2731">
          <cell r="A2731" t="str">
            <v>91916</v>
          </cell>
          <cell r="B2731" t="str">
            <v>CURVA 180 GRAUS PARA ELETRODUTO, PVC, ROSCÁVEL, DN 25 MM (3/4"), PARA CIRCUITOS TERMINAIS, INSTALADA EM PAREDE - FORNECIMENTO E INSTALAÇÃO. AF_12/2015</v>
          </cell>
          <cell r="C2731" t="str">
            <v>UN</v>
          </cell>
          <cell r="D2731">
            <v>16.989999999999998</v>
          </cell>
        </row>
        <row r="2732">
          <cell r="A2732" t="str">
            <v>91917</v>
          </cell>
          <cell r="B2732" t="str">
            <v>CURVA 90 GRAUS PARA ELETRODUTO, PVC, ROSCÁVEL, DN 32 MM (1"), PARA CIRCUITOS TERMINAIS, INSTALADA EM PAREDE - FORNECIMENTO E INSTALAÇÃO. AF_12/2015</v>
          </cell>
          <cell r="C2732" t="str">
            <v>UN</v>
          </cell>
          <cell r="D2732">
            <v>17.940000000000001</v>
          </cell>
        </row>
        <row r="2733">
          <cell r="A2733" t="str">
            <v>91919</v>
          </cell>
          <cell r="B2733" t="str">
            <v>CURVA 180 GRAUS PARA ELETRODUTO, PVC, ROSCÁVEL, DN 32 MM (1), PARA CIRCUITOS TERMINAIS, INSTALADA EM PAREDE - FORNECIMENTO E INSTALAÇÃO. AF_12/2015</v>
          </cell>
          <cell r="C2733" t="str">
            <v>UN</v>
          </cell>
          <cell r="D2733">
            <v>20.350000000000001</v>
          </cell>
        </row>
        <row r="2734">
          <cell r="A2734" t="str">
            <v>91920</v>
          </cell>
          <cell r="B2734" t="str">
            <v>CURVA 90 GRAUS PARA ELETRODUTO, PVC, ROSCÁVEL, DN 40 MM (1 1/4"), PARA CIRCUITOS TERMINAIS, INSTALADA EM PAREDE - FORNECIMENTO E INSTALAÇÃO. AF_12/2015</v>
          </cell>
          <cell r="C2734" t="str">
            <v>UN</v>
          </cell>
          <cell r="D2734">
            <v>20.43</v>
          </cell>
        </row>
        <row r="2735">
          <cell r="A2735" t="str">
            <v>91922</v>
          </cell>
          <cell r="B2735" t="str">
            <v>CURVA 180 GRAUS PARA ELETRODUTO, PVC, ROSCÁVEL, DN 40 MM (1 1/4"), PARA CIRCUITOS TERMINAIS, INSTALADA EM PAREDE - FORNECIMENTO E INSTALAÇÃO. AF_12/2015</v>
          </cell>
          <cell r="C2735" t="str">
            <v>UN</v>
          </cell>
          <cell r="D2735">
            <v>23.01</v>
          </cell>
        </row>
        <row r="2736">
          <cell r="A2736" t="str">
            <v>93013</v>
          </cell>
          <cell r="B2736" t="str">
            <v>LUVA PARA ELETRODUTO, PVC, ROSCÁVEL, DN 50 MM (1 1/2") - FORNECIMENTO E INSTALAÇÃO. AF_12/2015</v>
          </cell>
          <cell r="C2736" t="str">
            <v>UN</v>
          </cell>
          <cell r="D2736">
            <v>14.88</v>
          </cell>
        </row>
        <row r="2737">
          <cell r="A2737" t="str">
            <v>93014</v>
          </cell>
          <cell r="B2737" t="str">
            <v>LUVA PARA ELETRODUTO, PVC, ROSCÁVEL, DN 60 MM (2") - FORNECIMENTO E INSTALAÇÃO. AF_12/2015</v>
          </cell>
          <cell r="C2737" t="str">
            <v>UN</v>
          </cell>
          <cell r="D2737">
            <v>18.399999999999999</v>
          </cell>
        </row>
        <row r="2738">
          <cell r="A2738" t="str">
            <v>93015</v>
          </cell>
          <cell r="B2738" t="str">
            <v>LUVA PARA ELETRODUTO, PVC, ROSCÁVEL, DN 75 MM (2 1/2") - FORNECIMENTO E INSTALAÇÃO. AF_12/2015</v>
          </cell>
          <cell r="C2738" t="str">
            <v>UN</v>
          </cell>
          <cell r="D2738">
            <v>28.37</v>
          </cell>
        </row>
        <row r="2739">
          <cell r="A2739" t="str">
            <v>93016</v>
          </cell>
          <cell r="B2739" t="str">
            <v>LUVA PARA ELETRODUTO, PVC, ROSCÁVEL, DN 85 MM (3") - FORNECIMENTO E INSTALAÇÃO. AF_12/2015</v>
          </cell>
          <cell r="C2739" t="str">
            <v>UN</v>
          </cell>
          <cell r="D2739">
            <v>34.700000000000003</v>
          </cell>
        </row>
        <row r="2740">
          <cell r="A2740" t="str">
            <v>93017</v>
          </cell>
          <cell r="B2740" t="str">
            <v>LUVA PARA ELETRODUTO, PVC, ROSCÁVEL, DN 110 MM (4") - FORNECIMENTO E INSTALAÇÃO. AF_12/2015</v>
          </cell>
          <cell r="C2740" t="str">
            <v>UN</v>
          </cell>
          <cell r="D2740">
            <v>52.68</v>
          </cell>
        </row>
        <row r="2741">
          <cell r="A2741" t="str">
            <v>93018</v>
          </cell>
          <cell r="B2741" t="str">
            <v>CURVA 90 GRAUS PARA ELETRODUTO, PVC, ROSCÁVEL, DN 50 MM (1 1/2") - FORNECIMENTO E INSTALAÇÃO. AF_12/2015</v>
          </cell>
          <cell r="C2741" t="str">
            <v>UN</v>
          </cell>
          <cell r="D2741">
            <v>22.77</v>
          </cell>
        </row>
        <row r="2742">
          <cell r="A2742" t="str">
            <v>93020</v>
          </cell>
          <cell r="B2742" t="str">
            <v>CURVA 90 GRAUS PARA ELETRODUTO, PVC, ROSCÁVEL, DN 60 MM (2") - FORNECIMENTO E INSTALAÇÃO. AF_12/2015</v>
          </cell>
          <cell r="C2742" t="str">
            <v>UN</v>
          </cell>
          <cell r="D2742">
            <v>29.47</v>
          </cell>
        </row>
        <row r="2743">
          <cell r="A2743" t="str">
            <v>93022</v>
          </cell>
          <cell r="B2743" t="str">
            <v>CURVA 90 GRAUS PARA ELETRODUTO, PVC, ROSCÁVEL, DN 75 MM (2 1/2") - FORNECIMENTO E INSTALAÇÃO. AF_12/2015</v>
          </cell>
          <cell r="C2743" t="str">
            <v>UN</v>
          </cell>
          <cell r="D2743">
            <v>50.36</v>
          </cell>
        </row>
        <row r="2744">
          <cell r="A2744" t="str">
            <v>93024</v>
          </cell>
          <cell r="B2744" t="str">
            <v>CURVA 90 GRAUS PARA ELETRODUTO, PVC, ROSCÁVEL, DN 85 MM (3") - FORNECIMENTO E INSTALAÇÃO. AF_12/2015</v>
          </cell>
          <cell r="C2744" t="str">
            <v>UN</v>
          </cell>
          <cell r="D2744">
            <v>52.77</v>
          </cell>
        </row>
        <row r="2745">
          <cell r="A2745" t="str">
            <v>93026</v>
          </cell>
          <cell r="B2745" t="str">
            <v>CURVA 90 GRAUS PARA ELETRODUTO, PVC, ROSCÁVEL, DN 110 MM (4") - FORNECIMENTO E INSTALAÇÃO. AF_12/2015</v>
          </cell>
          <cell r="C2745" t="str">
            <v>UN</v>
          </cell>
          <cell r="D2745">
            <v>87.47</v>
          </cell>
        </row>
        <row r="2746">
          <cell r="A2746" t="str">
            <v>95733</v>
          </cell>
          <cell r="B2746" t="str">
            <v>LUVA PARA ELETRODUTO, PVC, SOLDÁVEL, DN 25 MM (3/4), APARENTE, INSTALADA EM TETO - FORNECIMENTO E INSTALAÇÃO. AF_11/2016_P</v>
          </cell>
          <cell r="C2746" t="str">
            <v>UN</v>
          </cell>
          <cell r="D2746">
            <v>5.85</v>
          </cell>
        </row>
        <row r="2747">
          <cell r="A2747" t="str">
            <v>95734</v>
          </cell>
          <cell r="B2747" t="str">
            <v>LUVA PARA ELETRODUTO, PVC, SOLDÁVEL, DN 32 MM (1), APARENTE, INSTALADA EM TETO - FORNECIMENTO E INSTALAÇÃO. AF_11/2016_P</v>
          </cell>
          <cell r="C2747" t="str">
            <v>UN</v>
          </cell>
          <cell r="D2747">
            <v>7.79</v>
          </cell>
        </row>
        <row r="2748">
          <cell r="A2748" t="str">
            <v>95735</v>
          </cell>
          <cell r="B2748" t="str">
            <v>LUVA PARA ELETRODUTO, PVC, SOLDÁVEL, DN 20 MM (1/2), APARENTE, INSTALADA EM PAREDE - FORNECIMENTO E INSTALAÇÃO. AF_11/2016_P</v>
          </cell>
          <cell r="C2748" t="str">
            <v>UN</v>
          </cell>
          <cell r="D2748">
            <v>6.55</v>
          </cell>
        </row>
        <row r="2749">
          <cell r="A2749" t="str">
            <v>95736</v>
          </cell>
          <cell r="B2749" t="str">
            <v>LUVA PARA ELETRODUTO, PVC, SOLDÁVEL, DN 25 MM (3/4), APARENTE, INSTALADA EM PAREDE - FORNECIMENTO E INSTALAÇÃO. AF_11/2016_P</v>
          </cell>
          <cell r="C2749" t="str">
            <v>UN</v>
          </cell>
          <cell r="D2749">
            <v>7.7</v>
          </cell>
        </row>
        <row r="2750">
          <cell r="A2750" t="str">
            <v>95738</v>
          </cell>
          <cell r="B2750" t="str">
            <v>LUVA PARA ELETRODUTO, PVC, SOLDÁVEL, DN 32 MM (1), APARENTE, INSTALADA EM PAREDE - FORNECIMENTO E INSTALAÇÃO. AF_11/2016_P</v>
          </cell>
          <cell r="C2750" t="str">
            <v>UN</v>
          </cell>
          <cell r="D2750">
            <v>9.2899999999999991</v>
          </cell>
        </row>
        <row r="2751">
          <cell r="A2751" t="str">
            <v>95753</v>
          </cell>
          <cell r="B2751" t="str">
            <v>LUVA DE EMENDA PARA ELETRODUTO, AÇO GALVANIZADO, DN 20 MM (3/4  ), APARENTE, INSTALADA EM TETO - FORNECIMENTO E INSTALAÇÃO. AF_11/2016_P</v>
          </cell>
          <cell r="C2751" t="str">
            <v>UN</v>
          </cell>
          <cell r="D2751">
            <v>7.31</v>
          </cell>
        </row>
        <row r="2752">
          <cell r="A2752" t="str">
            <v>95754</v>
          </cell>
          <cell r="B2752" t="str">
            <v>LUVA DE EMENDA PARA ELETRODUTO, AÇO GALVANIZADO, DN 25 MM (1''), APARENTE, INSTALADA EM TETO - FORNECIMENTO E INSTALAÇÃO. AF_11/2016_P</v>
          </cell>
          <cell r="C2752" t="str">
            <v>UN</v>
          </cell>
          <cell r="D2752">
            <v>9.09</v>
          </cell>
        </row>
        <row r="2753">
          <cell r="A2753" t="str">
            <v>95755</v>
          </cell>
          <cell r="B2753" t="str">
            <v>LUVA DE EMENDA PARA ELETRODUTO, AÇO GALVANIZADO, DN 32 MM (1 1/4''), APARENTE, INSTALADA EM TETO - FORNECIMENTO E INSTALAÇÃO. AF_11/2016_P</v>
          </cell>
          <cell r="C2753" t="str">
            <v>UN</v>
          </cell>
          <cell r="D2753">
            <v>13.14</v>
          </cell>
        </row>
        <row r="2754">
          <cell r="A2754" t="str">
            <v>95756</v>
          </cell>
          <cell r="B2754" t="str">
            <v>LUVA DE EMENDA PARA ELETRODUTO, AÇO GALVANIZADO, DN 40 MM (1 1/2''), APARENTE, INSTALADA EM TETO - FORNECIMENTO E INSTALAÇÃO. AF_11/2016_P</v>
          </cell>
          <cell r="C2754" t="str">
            <v>UN</v>
          </cell>
          <cell r="D2754">
            <v>17.53</v>
          </cell>
        </row>
        <row r="2755">
          <cell r="A2755" t="str">
            <v>95757</v>
          </cell>
          <cell r="B2755" t="str">
            <v>LUVA DE EMENDA PARA ELETRODUTO, AÇO GALVANIZADO, DN 20 MM (3/4''), APARENTE, INSTALADA EM PAREDE - FORNECIMENTO E INSTALAÇÃO. AF_11/2016_P</v>
          </cell>
          <cell r="C2755" t="str">
            <v>UN</v>
          </cell>
          <cell r="D2755">
            <v>10.96</v>
          </cell>
        </row>
        <row r="2756">
          <cell r="A2756" t="str">
            <v>95758</v>
          </cell>
          <cell r="B2756" t="str">
            <v>LUVA DE EMENDA PARA ELETRODUTO, AÇO GALVANIZADO, DN 25 MM (1''), APARENTE, INSTALADA EM PAREDE - FORNECIMENTO E INSTALAÇÃO. AF_11/2016_P</v>
          </cell>
          <cell r="C2756" t="str">
            <v>UN</v>
          </cell>
          <cell r="D2756">
            <v>12.31</v>
          </cell>
        </row>
        <row r="2757">
          <cell r="A2757" t="str">
            <v>95759</v>
          </cell>
          <cell r="B2757" t="str">
            <v>LUVA DE EMENDA PARA ELETRODUTO, AÇO GALVANIZADO, DN 32 MM (1 1/4''), APARENTE, INSTALADA EM PAREDE - FORNECIMENTO E INSTALAÇÃO. AF_11/2016_P</v>
          </cell>
          <cell r="C2757" t="str">
            <v>UN</v>
          </cell>
          <cell r="D2757">
            <v>15.75</v>
          </cell>
        </row>
        <row r="2758">
          <cell r="A2758" t="str">
            <v>95760</v>
          </cell>
          <cell r="B2758" t="str">
            <v>LUVA DE EMENDA PARA ELETRODUTO, AÇO GALVANIZADO, DN 40 MM (1 1/2''), APARENTE, INSTALADA EM PAREDE - FORNECIMENTO E INSTALAÇÃO. AF_11/2016_P</v>
          </cell>
          <cell r="C2758" t="str">
            <v>UN</v>
          </cell>
          <cell r="D2758">
            <v>19.45</v>
          </cell>
        </row>
        <row r="2759">
          <cell r="A2759" t="str">
            <v>97559</v>
          </cell>
          <cell r="B2759" t="str">
            <v>CURVA 135 GRAUS PARA ELETRODUTO, PVC, ROSCÁVEL, DN 25 MM (3/4), PARA CIRCUITOS TERMINAIS, INSTALADA EM FORRO - FORNECIMENTO E INSTALAÇÃO. AF_12/2015</v>
          </cell>
          <cell r="C2759" t="str">
            <v>UN</v>
          </cell>
          <cell r="D2759">
            <v>10.62</v>
          </cell>
        </row>
        <row r="2760">
          <cell r="A2760" t="str">
            <v>97562</v>
          </cell>
          <cell r="B2760" t="str">
            <v>CURVA 135 GRAUS PARA ELETRODUTO, PVC, ROSCÁVEL, DN 25 MM (3/4), PARA CIRCUITOS TERMINAIS, INSTALADA EM LAJE - FORNECIMENTO E INSTALAÇÃO. AF_12/2015</v>
          </cell>
          <cell r="C2760" t="str">
            <v>UN</v>
          </cell>
          <cell r="D2760">
            <v>12.61</v>
          </cell>
        </row>
        <row r="2761">
          <cell r="A2761" t="str">
            <v>97564</v>
          </cell>
          <cell r="B2761" t="str">
            <v>CURVA 135 GRAUS PARA ELETRODUTO, PVC, ROSCÁVEL, DN 25 MM (3/4), PARA CIRCUITOS TERMINAIS, INSTALADA EM PAREDE - FORNECIMENTO E INSTALAÇÃO. AF_12/2015</v>
          </cell>
          <cell r="C2761" t="str">
            <v>M</v>
          </cell>
          <cell r="D2761">
            <v>14.36</v>
          </cell>
        </row>
        <row r="2762">
          <cell r="A2762" t="str">
            <v>91924</v>
          </cell>
          <cell r="B2762" t="str">
            <v>CABO DE COBRE FLEXÍVEL ISOLADO, 1,5 MM², ANTI-CHAMA 450/750 V, PARA CIRCUITOS TERMINAIS - FORNECIMENTO E INSTALAÇÃO. AF_12/2015</v>
          </cell>
          <cell r="C2762" t="str">
            <v>M</v>
          </cell>
          <cell r="D2762">
            <v>2.83</v>
          </cell>
        </row>
        <row r="2763">
          <cell r="A2763" t="str">
            <v>91925</v>
          </cell>
          <cell r="B2763" t="str">
            <v>CABO DE COBRE FLEXÍVEL ISOLADO, 1,5 MM², ANTI-CHAMA 0,6/1,0 KV, PARA CIRCUITOS TERMINAIS - FORNECIMENTO E INSTALAÇÃO. AF_12/2015</v>
          </cell>
          <cell r="C2763" t="str">
            <v>M</v>
          </cell>
          <cell r="D2763">
            <v>4.01</v>
          </cell>
        </row>
        <row r="2764">
          <cell r="A2764" t="str">
            <v>91926</v>
          </cell>
          <cell r="B2764" t="str">
            <v>CABO DE COBRE FLEXÍVEL ISOLADO, 2,5 MM², ANTI-CHAMA 450/750 V, PARA CIRCUITOS TERMINAIS - FORNECIMENTO E INSTALAÇÃO. AF_12/2015</v>
          </cell>
          <cell r="C2764" t="str">
            <v>M</v>
          </cell>
          <cell r="D2764">
            <v>4.1100000000000003</v>
          </cell>
        </row>
        <row r="2765">
          <cell r="A2765" t="str">
            <v>91927</v>
          </cell>
          <cell r="B2765" t="str">
            <v>CABO DE COBRE FLEXÍVEL ISOLADO, 2,5 MM², ANTI-CHAMA 0,6/1,0 KV, PARA CIRCUITOS TERMINAIS - FORNECIMENTO E INSTALAÇÃO. AF_12/2015</v>
          </cell>
          <cell r="C2765" t="str">
            <v>M</v>
          </cell>
          <cell r="D2765">
            <v>5.4</v>
          </cell>
        </row>
        <row r="2766">
          <cell r="A2766" t="str">
            <v>91928</v>
          </cell>
          <cell r="B2766" t="str">
            <v>CABO DE COBRE FLEXÍVEL ISOLADO, 4 MM², ANTI-CHAMA 450/750 V, PARA CIRCUITOS TERMINAIS - FORNECIMENTO E INSTALAÇÃO. AF_12/2015</v>
          </cell>
          <cell r="C2766" t="str">
            <v>M</v>
          </cell>
          <cell r="D2766">
            <v>6.68</v>
          </cell>
        </row>
        <row r="2767">
          <cell r="A2767" t="str">
            <v>91929</v>
          </cell>
          <cell r="B2767" t="str">
            <v>CABO DE COBRE FLEXÍVEL ISOLADO, 4 MM², ANTI-CHAMA 0,6/1,0 KV, PARA CIRCUITOS TERMINAIS - FORNECIMENTO E INSTALAÇÃO. AF_12/2015</v>
          </cell>
          <cell r="C2767" t="str">
            <v>M</v>
          </cell>
          <cell r="D2767">
            <v>7.58</v>
          </cell>
        </row>
        <row r="2768">
          <cell r="A2768" t="str">
            <v>91930</v>
          </cell>
          <cell r="B2768" t="str">
            <v>CABO DE COBRE FLEXÍVEL ISOLADO, 6 MM², ANTI-CHAMA 450/750 V, PARA CIRCUITOS TERMINAIS - FORNECIMENTO E INSTALAÇÃO. AF_12/2015</v>
          </cell>
          <cell r="C2768" t="str">
            <v>M</v>
          </cell>
          <cell r="D2768">
            <v>9.14</v>
          </cell>
        </row>
        <row r="2769">
          <cell r="A2769" t="str">
            <v>91931</v>
          </cell>
          <cell r="B2769" t="str">
            <v>CABO DE COBRE FLEXÍVEL ISOLADO, 6 MM², ANTI-CHAMA 0,6/1,0 KV, PARA CIRCUITOS TERMINAIS - FORNECIMENTO E INSTALAÇÃO. AF_12/2015</v>
          </cell>
          <cell r="C2769" t="str">
            <v>M</v>
          </cell>
          <cell r="D2769">
            <v>10.23</v>
          </cell>
        </row>
        <row r="2770">
          <cell r="A2770" t="str">
            <v>91932</v>
          </cell>
          <cell r="B2770" t="str">
            <v>CABO DE COBRE FLEXÍVEL ISOLADO, 10 MM², ANTI-CHAMA 450/750 V, PARA CIRCUITOS TERMINAIS - FORNECIMENTO E INSTALAÇÃO. AF_12/2015</v>
          </cell>
          <cell r="C2770" t="str">
            <v>M</v>
          </cell>
          <cell r="D2770">
            <v>15.05</v>
          </cell>
        </row>
        <row r="2771">
          <cell r="A2771" t="str">
            <v>91933</v>
          </cell>
          <cell r="B2771" t="str">
            <v>CABO DE COBRE FLEXÍVEL ISOLADO, 10 MM², ANTI-CHAMA 0,6/1,0 KV, PARA CIRCUITOS TERMINAIS - FORNECIMENTO E INSTALAÇÃO. AF_12/2015</v>
          </cell>
          <cell r="C2771" t="str">
            <v>M</v>
          </cell>
          <cell r="D2771">
            <v>16.09</v>
          </cell>
        </row>
        <row r="2772">
          <cell r="A2772" t="str">
            <v>91934</v>
          </cell>
          <cell r="B2772" t="str">
            <v>CABO DE COBRE FLEXÍVEL ISOLADO, 16 MM², ANTI-CHAMA 450/750 V, PARA CIRCUITOS TERMINAIS - FORNECIMENTO E INSTALAÇÃO. AF_12/2015</v>
          </cell>
          <cell r="C2772" t="str">
            <v>M</v>
          </cell>
          <cell r="D2772">
            <v>23</v>
          </cell>
        </row>
        <row r="2773">
          <cell r="A2773" t="str">
            <v>91935</v>
          </cell>
          <cell r="B2773" t="str">
            <v>CABO DE COBRE FLEXÍVEL ISOLADO, 16 MM², ANTI-CHAMA 0,6/1,0 KV, PARA CIRCUITOS TERMINAIS - FORNECIMENTO E INSTALAÇÃO. AF_12/2015</v>
          </cell>
          <cell r="C2773" t="str">
            <v>M</v>
          </cell>
          <cell r="D2773">
            <v>24.5</v>
          </cell>
        </row>
        <row r="2774">
          <cell r="A2774" t="str">
            <v>92979</v>
          </cell>
          <cell r="B2774" t="str">
            <v>CABO DE COBRE FLEXÍVEL ISOLADO, 10 MM², ANTI-CHAMA 450/750 V, PARA DISTRIBUIÇÃO - FORNECIMENTO E INSTALAÇÃO. AF_12/2015</v>
          </cell>
          <cell r="C2774" t="str">
            <v>M</v>
          </cell>
          <cell r="D2774">
            <v>10.27</v>
          </cell>
        </row>
        <row r="2775">
          <cell r="A2775" t="str">
            <v>92980</v>
          </cell>
          <cell r="B2775" t="str">
            <v>CABO DE COBRE FLEXÍVEL ISOLADO, 10 MM², ANTI-CHAMA 0,6/1,0 KV, PARA DISTRIBUIÇÃO - FORNECIMENTO E INSTALAÇÃO. AF_12/2015</v>
          </cell>
          <cell r="C2775" t="str">
            <v>M</v>
          </cell>
          <cell r="D2775">
            <v>11.17</v>
          </cell>
        </row>
        <row r="2776">
          <cell r="A2776" t="str">
            <v>92981</v>
          </cell>
          <cell r="B2776" t="str">
            <v>CABO DE COBRE FLEXÍVEL ISOLADO, 16 MM², ANTI-CHAMA 450/750 V, PARA DISTRIBUIÇÃO - FORNECIMENTO E INSTALAÇÃO. AF_12/2015</v>
          </cell>
          <cell r="C2776" t="str">
            <v>M</v>
          </cell>
          <cell r="D2776">
            <v>15.76</v>
          </cell>
        </row>
        <row r="2777">
          <cell r="A2777" t="str">
            <v>92982</v>
          </cell>
          <cell r="B2777" t="str">
            <v>CABO DE COBRE FLEXÍVEL ISOLADO, 16 MM², ANTI-CHAMA 0,6/1,0 KV, PARA DISTRIBUIÇÃO - FORNECIMENTO E INSTALAÇÃO. AF_12/2015</v>
          </cell>
          <cell r="C2777" t="str">
            <v>M</v>
          </cell>
          <cell r="D2777">
            <v>17.059999999999999</v>
          </cell>
        </row>
        <row r="2778">
          <cell r="A2778" t="str">
            <v>92983</v>
          </cell>
          <cell r="B2778" t="str">
            <v>CABO DE COBRE FLEXÍVEL ISOLADO, 25 MM², ANTI-CHAMA 450/750 V, PARA DISTRIBUIÇÃO - FORNECIMENTO E INSTALAÇÃO. AF_12/2015</v>
          </cell>
          <cell r="C2778" t="str">
            <v>M</v>
          </cell>
          <cell r="D2778">
            <v>27.06</v>
          </cell>
        </row>
        <row r="2779">
          <cell r="A2779" t="str">
            <v>92984</v>
          </cell>
          <cell r="B2779" t="str">
            <v>CABO DE COBRE FLEXÍVEL ISOLADO, 25 MM², ANTI-CHAMA 0,6/1,0 KV, PARA DISTRIBUIÇÃO - FORNECIMENTO E INSTALAÇÃO. AF_12/2015</v>
          </cell>
          <cell r="C2779" t="str">
            <v>M</v>
          </cell>
          <cell r="D2779">
            <v>27.78</v>
          </cell>
        </row>
        <row r="2780">
          <cell r="A2780" t="str">
            <v>92985</v>
          </cell>
          <cell r="B2780" t="str">
            <v>CABO DE COBRE FLEXÍVEL ISOLADO, 35 MM², ANTI-CHAMA 450/750 V, PARA DISTRIBUIÇÃO - FORNECIMENTO E INSTALAÇÃO. AF_12/2015</v>
          </cell>
          <cell r="C2780" t="str">
            <v>M</v>
          </cell>
          <cell r="D2780">
            <v>36.479999999999997</v>
          </cell>
        </row>
        <row r="2781">
          <cell r="A2781" t="str">
            <v>92986</v>
          </cell>
          <cell r="B2781" t="str">
            <v>CABO DE COBRE FLEXÍVEL ISOLADO, 35 MM², ANTI-CHAMA 0,6/1,0 KV, PARA DISTRIBUIÇÃO - FORNECIMENTO E INSTALAÇÃO. AF_12/2015</v>
          </cell>
          <cell r="C2781" t="str">
            <v>M</v>
          </cell>
          <cell r="D2781">
            <v>37.549999999999997</v>
          </cell>
        </row>
        <row r="2782">
          <cell r="A2782" t="str">
            <v>92987</v>
          </cell>
          <cell r="B2782" t="str">
            <v>CABO DE COBRE FLEXÍVEL ISOLADO, 50 MM², ANTI-CHAMA 450/750 V, PARA DISTRIBUIÇÃO - FORNECIMENTO E INSTALAÇÃO. AF_12/2015</v>
          </cell>
          <cell r="C2782" t="str">
            <v>M</v>
          </cell>
          <cell r="D2782">
            <v>52.57</v>
          </cell>
        </row>
        <row r="2783">
          <cell r="A2783" t="str">
            <v>92988</v>
          </cell>
          <cell r="B2783" t="str">
            <v>CABO DE COBRE FLEXÍVEL ISOLADO, 50 MM², ANTI-CHAMA 0,6/1,0 KV, PARA DISTRIBUIÇÃO - FORNECIMENTO E INSTALAÇÃO. AF_12/2015</v>
          </cell>
          <cell r="C2783" t="str">
            <v>M</v>
          </cell>
          <cell r="D2783">
            <v>52.69</v>
          </cell>
        </row>
        <row r="2784">
          <cell r="A2784" t="str">
            <v>92989</v>
          </cell>
          <cell r="B2784" t="str">
            <v>CABO DE COBRE FLEXÍVEL ISOLADO, 70 MM², ANTI-CHAMA 450/750 V, PARA DISTRIBUIÇÃO - FORNECIMENTO E INSTALAÇÃO. AF_12/2015</v>
          </cell>
          <cell r="C2784" t="str">
            <v>M</v>
          </cell>
          <cell r="D2784">
            <v>73.099999999999994</v>
          </cell>
        </row>
        <row r="2785">
          <cell r="A2785" t="str">
            <v>92990</v>
          </cell>
          <cell r="B2785" t="str">
            <v>CABO DE COBRE FLEXÍVEL ISOLADO, 70 MM², ANTI-CHAMA 0,6/1,0 KV, PARA DISTRIBUIÇÃO - FORNECIMENTO E INSTALAÇÃO. AF_12/2015</v>
          </cell>
          <cell r="C2785" t="str">
            <v>M</v>
          </cell>
          <cell r="D2785">
            <v>72.260000000000005</v>
          </cell>
        </row>
        <row r="2786">
          <cell r="A2786" t="str">
            <v>92991</v>
          </cell>
          <cell r="B2786" t="str">
            <v>CABO DE COBRE FLEXÍVEL ISOLADO, 95 MM², ANTI-CHAMA 450/750 V, PARA DISTRIBUIÇÃO - FORNECIMENTO E INSTALAÇÃO. AF_12/2015</v>
          </cell>
          <cell r="C2786" t="str">
            <v>M</v>
          </cell>
          <cell r="D2786">
            <v>95.37</v>
          </cell>
        </row>
        <row r="2787">
          <cell r="A2787" t="str">
            <v>92992</v>
          </cell>
          <cell r="B2787" t="str">
            <v>CABO DE COBRE FLEXÍVEL ISOLADO, 95 MM², ANTI-CHAMA 0,6/1,0 KV, PARA DISTRIBUIÇÃO - FORNECIMENTO E INSTALAÇÃO. AF_12/2015</v>
          </cell>
          <cell r="C2787" t="str">
            <v>M</v>
          </cell>
          <cell r="D2787">
            <v>95.45</v>
          </cell>
        </row>
        <row r="2788">
          <cell r="A2788" t="str">
            <v>92993</v>
          </cell>
          <cell r="B2788" t="str">
            <v>CABO DE COBRE FLEXÍVEL ISOLADO, 120 MM², ANTI-CHAMA 450/750 V, PARA DISTRIBUIÇÃO - FORNECIMENTO E INSTALAÇÃO. AF_12/2015</v>
          </cell>
          <cell r="C2788" t="str">
            <v>M</v>
          </cell>
          <cell r="D2788">
            <v>122.32</v>
          </cell>
        </row>
        <row r="2789">
          <cell r="A2789" t="str">
            <v>92994</v>
          </cell>
          <cell r="B2789" t="str">
            <v>CABO DE COBRE FLEXÍVEL ISOLADO, 120 MM², ANTI-CHAMA 0,6/1,0 KV, PARA DISTRIBUIÇÃO - FORNECIMENTO E INSTALAÇÃO. AF_12/2015</v>
          </cell>
          <cell r="C2789" t="str">
            <v>M</v>
          </cell>
          <cell r="D2789">
            <v>123.53</v>
          </cell>
        </row>
        <row r="2790">
          <cell r="A2790" t="str">
            <v>92995</v>
          </cell>
          <cell r="B2790" t="str">
            <v>CABO DE COBRE FLEXÍVEL ISOLADO, 150 MM², ANTI-CHAMA 450/750 V, PARA DISTRIBUIÇÃO - FORNECIMENTO E INSTALAÇÃO. AF_12/2015</v>
          </cell>
          <cell r="C2790" t="str">
            <v>M</v>
          </cell>
          <cell r="D2790">
            <v>152.19</v>
          </cell>
        </row>
        <row r="2791">
          <cell r="A2791" t="str">
            <v>92996</v>
          </cell>
          <cell r="B2791" t="str">
            <v>CABO DE COBRE FLEXÍVEL ISOLADO, 150 MM², ANTI-CHAMA 0,6/1,0 KV, PARA DISTRIBUIÇÃO - FORNECIMENTO E INSTALAÇÃO. AF_12/2015</v>
          </cell>
          <cell r="C2791" t="str">
            <v>M</v>
          </cell>
          <cell r="D2791">
            <v>152.61000000000001</v>
          </cell>
        </row>
        <row r="2792">
          <cell r="A2792" t="str">
            <v>92997</v>
          </cell>
          <cell r="B2792" t="str">
            <v>CABO DE COBRE FLEXÍVEL ISOLADO, 185 MM², ANTI-CHAMA 450/750 V, PARA DISTRIBUIÇÃO - FORNECIMENTO E INSTALAÇÃO. AF_12/2015</v>
          </cell>
          <cell r="C2792" t="str">
            <v>M</v>
          </cell>
          <cell r="D2792">
            <v>184.93</v>
          </cell>
        </row>
        <row r="2793">
          <cell r="A2793" t="str">
            <v>92998</v>
          </cell>
          <cell r="B2793" t="str">
            <v>CABO DE COBRE FLEXÍVEL ISOLADO, 185 MM², ANTI-CHAMA 0,6/1,0 KV, PARA DISTRIBUIÇÃO - FORNECIMENTO E INSTALAÇÃO. AF_12/2015</v>
          </cell>
          <cell r="C2793" t="str">
            <v>M</v>
          </cell>
          <cell r="D2793">
            <v>186.72</v>
          </cell>
        </row>
        <row r="2794">
          <cell r="A2794" t="str">
            <v>92999</v>
          </cell>
          <cell r="B2794" t="str">
            <v>CABO DE COBRE FLEXÍVEL ISOLADO, 240 MM², ANTI-CHAMA 450/750 V, PARA DISTRIBUIÇÃO - FORNECIMENTO E INSTALAÇÃO. AF_12/2015</v>
          </cell>
          <cell r="C2794" t="str">
            <v>M</v>
          </cell>
          <cell r="D2794">
            <v>243.6</v>
          </cell>
        </row>
        <row r="2795">
          <cell r="A2795" t="str">
            <v>93000</v>
          </cell>
          <cell r="B2795" t="str">
            <v>CABO DE COBRE FLEXÍVEL ISOLADO, 240 MM², ANTI-CHAMA 0,6/1,0 KV, PARA DISTRIBUIÇÃO - FORNECIMENTO E INSTALAÇÃO. AF_12/2015</v>
          </cell>
          <cell r="C2795" t="str">
            <v>M</v>
          </cell>
          <cell r="D2795">
            <v>245.1</v>
          </cell>
        </row>
        <row r="2796">
          <cell r="A2796" t="str">
            <v>93001</v>
          </cell>
          <cell r="B2796" t="str">
            <v>CABO DE COBRE RÍGIDO ISOLADO, 300 MM², ANTI-CHAMA 450/750 V, PARA DISTRIBUIÇÃO - FORNECIMENTO E INSTALAÇÃO. AF_12/2015</v>
          </cell>
          <cell r="C2796" t="str">
            <v>M</v>
          </cell>
          <cell r="D2796">
            <v>297.55</v>
          </cell>
        </row>
        <row r="2797">
          <cell r="A2797" t="str">
            <v>93002</v>
          </cell>
          <cell r="B2797" t="str">
            <v>CABO DE COBRE FLEXÍVEL ISOLADO, 300 MM², ANTI-CHAMA 0,6/1,0 KV, PARA DISTRIBUIÇÃO - FORNECIMENTO E INSTALAÇÃO. AF_12/2015</v>
          </cell>
          <cell r="C2797" t="str">
            <v>M</v>
          </cell>
          <cell r="D2797">
            <v>305.87</v>
          </cell>
        </row>
        <row r="2798">
          <cell r="A2798" t="str">
            <v>101884</v>
          </cell>
          <cell r="B2798" t="str">
            <v>CABO DE COBRE ISOLADO, 10 MM², ANTI-CHAMA 450/750 V, INSTALADO EM ELETROCALHA OU PERFILADO - FORNECIMENTO E INSTALAÇÃO. AF_10/2020</v>
          </cell>
          <cell r="C2798" t="str">
            <v>M</v>
          </cell>
          <cell r="D2798">
            <v>10.02</v>
          </cell>
        </row>
        <row r="2799">
          <cell r="A2799" t="str">
            <v>101885</v>
          </cell>
          <cell r="B2799" t="str">
            <v>CABO DE COBRE ISOLADO, 10 MM², ANTI-CHAMA 0,6/1 KV, INSTALADO EM ELETROCALHA OU PERFILADO - FORNECIMENTO E INSTALAÇÃO. AF_10/2020</v>
          </cell>
          <cell r="C2799" t="str">
            <v>M</v>
          </cell>
          <cell r="D2799">
            <v>10.92</v>
          </cell>
        </row>
        <row r="2800">
          <cell r="A2800" t="str">
            <v>101886</v>
          </cell>
          <cell r="B2800" t="str">
            <v>CABO DE COBRE ISOLADO, 16 MM², ANTI-CHAMA 450/750 V, INSTALADO EM ELETROCALHA OU PERFILADO - FORNECIMENTO E INSTALAÇÃO. AF_10/2020</v>
          </cell>
          <cell r="C2800" t="str">
            <v>M</v>
          </cell>
          <cell r="D2800">
            <v>15.48</v>
          </cell>
        </row>
        <row r="2801">
          <cell r="A2801" t="str">
            <v>101887</v>
          </cell>
          <cell r="B2801" t="str">
            <v>CABO DE COBRE ISOLADO, 16 MM², ANTI-CHAMA 0,6/1 KV, INSTALADO EM ELETROCALHA OU PERFILADO - FORNECIMENTO E INSTALAÇÃO. AF_10/2020</v>
          </cell>
          <cell r="C2801" t="str">
            <v>M</v>
          </cell>
          <cell r="D2801">
            <v>16.78</v>
          </cell>
        </row>
        <row r="2802">
          <cell r="A2802" t="str">
            <v>101888</v>
          </cell>
          <cell r="B2802" t="str">
            <v>CABO DE COBRE ISOLADO, 25 MM², ANTI-CHAMA 450/750 V, INSTALADO EM ELETROCALHA OU PERFILADO - FORNECIMENTO E INSTALAÇÃO. AF_10/2020</v>
          </cell>
          <cell r="C2802" t="str">
            <v>M</v>
          </cell>
          <cell r="D2802">
            <v>24.86</v>
          </cell>
        </row>
        <row r="2803">
          <cell r="A2803" t="str">
            <v>101889</v>
          </cell>
          <cell r="B2803" t="str">
            <v>CABO DE COBRE ISOLADO, 25 MM², ANTI-CHAMA 0,6/1 KV, INSTALADO EM ELETROCALHA OU PERFILADO - FORNECIMENTO E INSTALAÇÃO. AF_10/2020</v>
          </cell>
          <cell r="C2803" t="str">
            <v>UN</v>
          </cell>
          <cell r="D2803">
            <v>25.59</v>
          </cell>
        </row>
        <row r="2804">
          <cell r="A2804" t="str">
            <v>91936</v>
          </cell>
          <cell r="B2804" t="str">
            <v>CAIXA OCTOGONAL 4" X 4", PVC, INSTALADA EM LAJE - FORNECIMENTO E INSTALAÇÃO. AF_12/2015</v>
          </cell>
          <cell r="C2804" t="str">
            <v>UN</v>
          </cell>
          <cell r="D2804">
            <v>14.16</v>
          </cell>
        </row>
        <row r="2805">
          <cell r="A2805" t="str">
            <v>91937</v>
          </cell>
          <cell r="B2805" t="str">
            <v>CAIXA OCTOGONAL 3" X 3", PVC, INSTALADA EM LAJE - FORNECIMENTO E INSTALAÇÃO. AF_12/2015</v>
          </cell>
          <cell r="C2805" t="str">
            <v>UN</v>
          </cell>
          <cell r="D2805">
            <v>11.88</v>
          </cell>
        </row>
        <row r="2806">
          <cell r="A2806" t="str">
            <v>91939</v>
          </cell>
          <cell r="B2806" t="str">
            <v>CAIXA RETANGULAR 4" X 2" ALTA (2,00 M DO PISO), PVC, INSTALADA EM PAREDE - FORNECIMENTO E INSTALAÇÃO. AF_12/2015</v>
          </cell>
          <cell r="C2806" t="str">
            <v>UN</v>
          </cell>
          <cell r="D2806">
            <v>27.87</v>
          </cell>
        </row>
        <row r="2807">
          <cell r="A2807" t="str">
            <v>91940</v>
          </cell>
          <cell r="B2807" t="str">
            <v>CAIXA RETANGULAR 4" X 2" MÉDIA (1,30 M DO PISO), PVC, INSTALADA EM PAREDE - FORNECIMENTO E INSTALAÇÃO. AF_12/2015</v>
          </cell>
          <cell r="C2807" t="str">
            <v>UN</v>
          </cell>
          <cell r="D2807">
            <v>14.99</v>
          </cell>
        </row>
        <row r="2808">
          <cell r="A2808" t="str">
            <v>91941</v>
          </cell>
          <cell r="B2808" t="str">
            <v>CAIXA RETANGULAR 4" X 2" BAIXA (0,30 M DO PISO), PVC, INSTALADA EM PAREDE - FORNECIMENTO E INSTALAÇÃO. AF_12/2015</v>
          </cell>
          <cell r="C2808" t="str">
            <v>UN</v>
          </cell>
          <cell r="D2808">
            <v>10.15</v>
          </cell>
        </row>
        <row r="2809">
          <cell r="A2809" t="str">
            <v>91942</v>
          </cell>
          <cell r="B2809" t="str">
            <v>CAIXA RETANGULAR 4" X 4" ALTA (2,00 M DO PISO), PVC, INSTALADA EM PAREDE - FORNECIMENTO E INSTALAÇÃO. AF_12/2015</v>
          </cell>
          <cell r="C2809" t="str">
            <v>UN</v>
          </cell>
          <cell r="D2809">
            <v>34.479999999999997</v>
          </cell>
        </row>
        <row r="2810">
          <cell r="A2810" t="str">
            <v>91943</v>
          </cell>
          <cell r="B2810" t="str">
            <v>CAIXA RETANGULAR 4" X 4" MÉDIA (1,30 M DO PISO), PVC, INSTALADA EM PAREDE - FORNECIMENTO E INSTALAÇÃO. AF_12/2015</v>
          </cell>
          <cell r="C2810" t="str">
            <v>UN</v>
          </cell>
          <cell r="D2810">
            <v>19.649999999999999</v>
          </cell>
        </row>
        <row r="2811">
          <cell r="A2811" t="str">
            <v>91944</v>
          </cell>
          <cell r="B2811" t="str">
            <v>CAIXA RETANGULAR 4" X 4" BAIXA (0,30 M DO PISO), PVC, INSTALADA EM PAREDE - FORNECIMENTO E INSTALAÇÃO. AF_12/2015</v>
          </cell>
          <cell r="C2811" t="str">
            <v>UN</v>
          </cell>
          <cell r="D2811">
            <v>14.1</v>
          </cell>
        </row>
        <row r="2812">
          <cell r="A2812" t="str">
            <v>92865</v>
          </cell>
          <cell r="B2812" t="str">
            <v>CAIXA OCTOGONAL 4" X 4", METÁLICA, INSTALADA EM LAJE - FORNECIMENTO E INSTALAÇÃO. AF_12/2015</v>
          </cell>
          <cell r="C2812" t="str">
            <v>UN</v>
          </cell>
          <cell r="D2812">
            <v>11.82</v>
          </cell>
        </row>
        <row r="2813">
          <cell r="A2813" t="str">
            <v>92866</v>
          </cell>
          <cell r="B2813" t="str">
            <v>CAIXA SEXTAVADA 3" X 3", METÁLICA, INSTALADA EM LAJE - FORNECIMENTO E INSTALAÇÃO. AF_12/2015</v>
          </cell>
          <cell r="C2813" t="str">
            <v>UN</v>
          </cell>
          <cell r="D2813">
            <v>9.08</v>
          </cell>
        </row>
        <row r="2814">
          <cell r="A2814" t="str">
            <v>92867</v>
          </cell>
          <cell r="B2814" t="str">
            <v>CAIXA RETANGULAR 4" X 2" ALTA (2,00 M DO PISO), METÁLICA, INSTALADA EM PAREDE - FORNECIMENTO E INSTALAÇÃO. AF_12/2015</v>
          </cell>
          <cell r="C2814" t="str">
            <v>UN</v>
          </cell>
          <cell r="D2814">
            <v>27.4</v>
          </cell>
        </row>
        <row r="2815">
          <cell r="A2815" t="str">
            <v>92868</v>
          </cell>
          <cell r="B2815" t="str">
            <v>CAIXA RETANGULAR 4" X 2" MÉDIA (1,30 M DO PISO), METÁLICA, INSTALADA EM PAREDE - FORNECIMENTO E INSTALAÇÃO. AF_12/2015</v>
          </cell>
          <cell r="C2815" t="str">
            <v>UN</v>
          </cell>
          <cell r="D2815">
            <v>14.52</v>
          </cell>
        </row>
        <row r="2816">
          <cell r="A2816" t="str">
            <v>92869</v>
          </cell>
          <cell r="B2816" t="str">
            <v>CAIXA RETANGULAR 4" X 2" BAIXA (0,30 M DO PISO), METÁLICA, INSTALADA EM PAREDE - FORNECIMENTO E INSTALAÇÃO. AF_12/2015</v>
          </cell>
          <cell r="C2816" t="str">
            <v>UN</v>
          </cell>
          <cell r="D2816">
            <v>9.68</v>
          </cell>
        </row>
        <row r="2817">
          <cell r="A2817" t="str">
            <v>92870</v>
          </cell>
          <cell r="B2817" t="str">
            <v>CAIXA RETANGULAR 4" X 4" ALTA (2,00 M DO PISO), METÁLICA, INSTALADA EM PAREDE - FORNECIMENTO E INSTALAÇÃO. AF_12/2015</v>
          </cell>
          <cell r="C2817" t="str">
            <v>UN</v>
          </cell>
          <cell r="D2817">
            <v>33.85</v>
          </cell>
        </row>
        <row r="2818">
          <cell r="A2818" t="str">
            <v>92871</v>
          </cell>
          <cell r="B2818" t="str">
            <v>CAIXA RETANGULAR 4" X 4" MÉDIA (1,30 M DO PISO), METÁLICA, INSTALADA EM PAREDE - FORNECIMENTO E INSTALAÇÃO. AF_12/2015</v>
          </cell>
          <cell r="C2818" t="str">
            <v>UN</v>
          </cell>
          <cell r="D2818">
            <v>19.02</v>
          </cell>
        </row>
        <row r="2819">
          <cell r="A2819" t="str">
            <v>92872</v>
          </cell>
          <cell r="B2819" t="str">
            <v>CAIXA RETANGULAR 4" X 4" BAIXA (0,30 M DO PISO), METÁLICA, INSTALADA EM PAREDE - FORNECIMENTO E INSTALAÇÃO. AF_12/2015</v>
          </cell>
          <cell r="C2819" t="str">
            <v>UN</v>
          </cell>
          <cell r="D2819">
            <v>13.47</v>
          </cell>
        </row>
        <row r="2820">
          <cell r="A2820" t="str">
            <v>95777</v>
          </cell>
          <cell r="B2820" t="str">
            <v>CONDULETE DE ALUMÍNIO, TIPO B, PARA ELETRODUTO DE AÇO GALVANIZADO DN 20 MM (3/4''), APARENTE - FORNECIMENTO E INSTALAÇÃO. AF_11/2016_P</v>
          </cell>
          <cell r="C2820" t="str">
            <v>UN</v>
          </cell>
          <cell r="D2820">
            <v>29.87</v>
          </cell>
        </row>
        <row r="2821">
          <cell r="A2821" t="str">
            <v>95778</v>
          </cell>
          <cell r="B2821" t="str">
            <v>CONDULETE DE ALUMÍNIO, TIPO C, PARA ELETRODUTO DE AÇO GALVANIZADO DN 20 MM (3/4''), APARENTE - FORNECIMENTO E INSTALAÇÃO. AF_11/2016_P</v>
          </cell>
          <cell r="C2821" t="str">
            <v>UN</v>
          </cell>
          <cell r="D2821">
            <v>30.66</v>
          </cell>
        </row>
        <row r="2822">
          <cell r="A2822" t="str">
            <v>95779</v>
          </cell>
          <cell r="B2822" t="str">
            <v>CONDULETE DE ALUMÍNIO, TIPO E, PARA ELETRODUTO DE AÇO GALVANIZADO DN 20 MM (3/4''), APARENTE - FORNECIMENTO E INSTALAÇÃO. AF_11/2016_P</v>
          </cell>
          <cell r="C2822" t="str">
            <v>UN</v>
          </cell>
          <cell r="D2822">
            <v>28</v>
          </cell>
        </row>
        <row r="2823">
          <cell r="A2823" t="str">
            <v>95780</v>
          </cell>
          <cell r="B2823" t="str">
            <v>CONDULETE DE ALUMÍNIO, TIPO B, PARA ELETRODUTO DE AÇO GALVANIZADO DN 25 MM (1''), APARENTE - FORNECIMENTO E INSTALAÇÃO. AF_11/2016_P</v>
          </cell>
          <cell r="C2823" t="str">
            <v>UN</v>
          </cell>
          <cell r="D2823">
            <v>34.22</v>
          </cell>
        </row>
        <row r="2824">
          <cell r="A2824" t="str">
            <v>95781</v>
          </cell>
          <cell r="B2824" t="str">
            <v>CONDULETE DE ALUMÍNIO, TIPO C, PARA ELETRODUTO DE AÇO GALVANIZADO DN 25 MM (1''), APARENTE - FORNECIMENTO E INSTALAÇÃO. AF_11/2016_P</v>
          </cell>
          <cell r="C2824" t="str">
            <v>UN</v>
          </cell>
          <cell r="D2824">
            <v>34.81</v>
          </cell>
        </row>
        <row r="2825">
          <cell r="A2825" t="str">
            <v>95782</v>
          </cell>
          <cell r="B2825" t="str">
            <v>CONDULETE DE ALUMÍNIO, TIPO E, ELETRODUTO DE AÇO GALVANIZADO DN 25 MM (1''), APARENTE - FORNECIMENTO E INSTALAÇÃO. AF_11/2016_P</v>
          </cell>
          <cell r="C2825" t="str">
            <v>UN</v>
          </cell>
          <cell r="D2825">
            <v>36.36</v>
          </cell>
        </row>
        <row r="2826">
          <cell r="A2826" t="str">
            <v>95785</v>
          </cell>
          <cell r="B2826" t="str">
            <v>CONDULETE DE ALUMÍNIO, TIPO E, PARA ELETRODUTO DE AÇO GALVANIZADO DN 32 MM (1 1/4''), APARENTE - FORNECIMENTO E INSTALAÇÃO. AF_11/2016_P</v>
          </cell>
          <cell r="C2826" t="str">
            <v>UN</v>
          </cell>
          <cell r="D2826">
            <v>41.56</v>
          </cell>
        </row>
        <row r="2827">
          <cell r="A2827" t="str">
            <v>95787</v>
          </cell>
          <cell r="B2827" t="str">
            <v>CONDULETE DE ALUMÍNIO, TIPO LR, PARA ELETRODUTO DE AÇO GALVANIZADO DN 20 MM (3/4''), APARENTE - FORNECIMENTO E INSTALAÇÃO. AF_11/2016_P</v>
          </cell>
          <cell r="C2827" t="str">
            <v>UN</v>
          </cell>
          <cell r="D2827">
            <v>29.96</v>
          </cell>
        </row>
        <row r="2828">
          <cell r="A2828" t="str">
            <v>95789</v>
          </cell>
          <cell r="B2828" t="str">
            <v>CONDULETE DE ALUMÍNIO, TIPO LR, PARA ELETRODUTO DE AÇO GALVANIZADO DN 25 MM (1''), APARENTE - FORNECIMENTO E INSTALAÇÃO. AF_11/2016_P</v>
          </cell>
          <cell r="C2828" t="str">
            <v>UN</v>
          </cell>
          <cell r="D2828">
            <v>37.659999999999997</v>
          </cell>
        </row>
        <row r="2829">
          <cell r="A2829" t="str">
            <v>95791</v>
          </cell>
          <cell r="B2829" t="str">
            <v>CONDULETE DE ALUMÍNIO, TIPO LR, PARA ELETRODUTO DE AÇO GALVANIZADO DN 32 MM (1 1/4''), APARENTE - FORNECIMENTO E INSTALAÇÃO. AF_11/2016_P</v>
          </cell>
          <cell r="C2829" t="str">
            <v>UN</v>
          </cell>
          <cell r="D2829">
            <v>49.14</v>
          </cell>
        </row>
        <row r="2830">
          <cell r="A2830" t="str">
            <v>95795</v>
          </cell>
          <cell r="B2830" t="str">
            <v>CONDULETE DE ALUMÍNIO, TIPO T, PARA ELETRODUTO DE AÇO GALVANIZADO DN 20 MM (3/4''), APARENTE - FORNECIMENTO E INSTALAÇÃO. AF_11/2016_P</v>
          </cell>
          <cell r="C2830" t="str">
            <v>UN</v>
          </cell>
          <cell r="D2830">
            <v>34.590000000000003</v>
          </cell>
        </row>
        <row r="2831">
          <cell r="A2831" t="str">
            <v>95796</v>
          </cell>
          <cell r="B2831" t="str">
            <v>CONDULETE DE ALUMÍNIO, TIPO T, PARA ELETRODUTO DE AÇO GALVANIZADO DN 25 MM (1''), APARENTE - FORNECIMENTO E INSTALAÇÃO. AF_11/2016_P</v>
          </cell>
          <cell r="C2831" t="str">
            <v>UN</v>
          </cell>
          <cell r="D2831">
            <v>44.33</v>
          </cell>
        </row>
        <row r="2832">
          <cell r="A2832" t="str">
            <v>95797</v>
          </cell>
          <cell r="B2832" t="str">
            <v>CONDULETE DE ALUMÍNIO, TIPO T, PARA ELETRODUTO DE AÇO GALVANIZADO DN 32 MM (1 1/4''), APARENTE - FORNECIMENTO E INSTALAÇÃO. AF_11/2016_P</v>
          </cell>
          <cell r="C2832" t="str">
            <v>UN</v>
          </cell>
          <cell r="D2832">
            <v>56.98</v>
          </cell>
        </row>
        <row r="2833">
          <cell r="A2833" t="str">
            <v>95801</v>
          </cell>
          <cell r="B2833" t="str">
            <v>CONDULETE DE ALUMÍNIO, TIPO X, PARA ELETRODUTO DE AÇO GALVANIZADO DN 20 MM (3/4''), APARENTE - FORNECIMENTO E INSTALAÇÃO. AF_11/2016_P</v>
          </cell>
          <cell r="C2833" t="str">
            <v>UN</v>
          </cell>
          <cell r="D2833">
            <v>41.76</v>
          </cell>
        </row>
        <row r="2834">
          <cell r="A2834" t="str">
            <v>95802</v>
          </cell>
          <cell r="B2834" t="str">
            <v>CONDULETE DE ALUMÍNIO, TIPO X, PARA ELETRODUTO DE AÇO GALVANIZADO DN 25 MM (1''), APARENTE - FORNECIMENTO E INSTALAÇÃO. AF_11/2016_P</v>
          </cell>
          <cell r="C2834" t="str">
            <v>UN</v>
          </cell>
          <cell r="D2834">
            <v>46.74</v>
          </cell>
        </row>
        <row r="2835">
          <cell r="A2835" t="str">
            <v>95803</v>
          </cell>
          <cell r="B2835" t="str">
            <v>CONDULETE DE ALUMÍNIO, TIPO X, PARA ELETRODUTO DE AÇO GALVANIZADO DN 32 MM (1 1/4''), APARENTE - FORNECIMENTO E INSTALAÇÃO. AF_11/2016_P</v>
          </cell>
          <cell r="C2835" t="str">
            <v>UN</v>
          </cell>
          <cell r="D2835">
            <v>62.88</v>
          </cell>
        </row>
        <row r="2836">
          <cell r="A2836" t="str">
            <v>95804</v>
          </cell>
          <cell r="B2836" t="str">
            <v>CONDULETE DE PVC, TIPO B, PARA ELETRODUTO DE PVC SOLDÁVEL DN 20 MM (1/2''), APARENTE - FORNECIMENTO E INSTALAÇÃO. AF_11/2016</v>
          </cell>
          <cell r="C2836" t="str">
            <v>UN</v>
          </cell>
          <cell r="D2836">
            <v>25.86</v>
          </cell>
        </row>
        <row r="2837">
          <cell r="A2837" t="str">
            <v>95805</v>
          </cell>
          <cell r="B2837" t="str">
            <v>CONDULETE DE PVC, TIPO B, PARA ELETRODUTO DE PVC SOLDÁVEL DN 25 MM (3/4''), APARENTE - FORNECIMENTO E INSTALAÇÃO. AF_11/2016</v>
          </cell>
          <cell r="C2837" t="str">
            <v>UN</v>
          </cell>
          <cell r="D2837">
            <v>26.09</v>
          </cell>
        </row>
        <row r="2838">
          <cell r="A2838" t="str">
            <v>95806</v>
          </cell>
          <cell r="B2838" t="str">
            <v>CONDULETE DE PVC, TIPO B, PARA ELETRODUTO DE PVC SOLDÁVEL DN 32 MM (1''), APARENTE - FORNECIMENTO E INSTALAÇÃO. AF_11/2016</v>
          </cell>
          <cell r="C2838" t="str">
            <v>UN</v>
          </cell>
          <cell r="D2838">
            <v>26.95</v>
          </cell>
        </row>
        <row r="2839">
          <cell r="A2839" t="str">
            <v>95807</v>
          </cell>
          <cell r="B2839" t="str">
            <v>CONDULETE DE PVC, TIPO LL, PARA ELETRODUTO DE PVC SOLDÁVEL DN 20 MM (1/2''), APARENTE - FORNECIMENTO E INSTALAÇÃO. AF_11/2016</v>
          </cell>
          <cell r="C2839" t="str">
            <v>UN</v>
          </cell>
          <cell r="D2839">
            <v>29.66</v>
          </cell>
        </row>
        <row r="2840">
          <cell r="A2840" t="str">
            <v>95808</v>
          </cell>
          <cell r="B2840" t="str">
            <v>CONDULETE DE PVC, TIPO LL, PARA ELETRODUTO DE PVC SOLDÁVEL DN 25 MM (3/4''), APARENTE - FORNECIMENTO E INSTALAÇÃO. AF_11/2016</v>
          </cell>
          <cell r="C2840" t="str">
            <v>UN</v>
          </cell>
          <cell r="D2840">
            <v>30.32</v>
          </cell>
        </row>
        <row r="2841">
          <cell r="A2841" t="str">
            <v>95809</v>
          </cell>
          <cell r="B2841" t="str">
            <v>CONDULETE DE PVC, TIPO LL, PARA ELETRODUTO DE PVC SOLDÁVEL DN 32 MM (1''), APARENTE - FORNECIMENTO E INSTALAÇÃO. AF_11/2016</v>
          </cell>
          <cell r="C2841" t="str">
            <v>UN</v>
          </cell>
          <cell r="D2841">
            <v>33.43</v>
          </cell>
        </row>
        <row r="2842">
          <cell r="A2842" t="str">
            <v>95810</v>
          </cell>
          <cell r="B2842" t="str">
            <v>CONDULETE DE PVC, TIPO LB, PARA ELETRODUTO DE PVC SOLDÁVEL DN 20 MM (1/2''), APARENTE - FORNECIMENTO E INSTALAÇÃO. AF_11/2016</v>
          </cell>
          <cell r="C2842" t="str">
            <v>UN</v>
          </cell>
          <cell r="D2842">
            <v>17.07</v>
          </cell>
        </row>
        <row r="2843">
          <cell r="A2843" t="str">
            <v>95811</v>
          </cell>
          <cell r="B2843" t="str">
            <v>CONDULETE DE PVC, TIPO LB, PARA ELETRODUTO DE PVC SOLDÁVEL DN 25 MM (3/4''), APARENTE - FORNECIMENTO E INSTALAÇÃO. AF_11/2016</v>
          </cell>
          <cell r="C2843" t="str">
            <v>UN</v>
          </cell>
          <cell r="D2843">
            <v>17.739999999999998</v>
          </cell>
        </row>
        <row r="2844">
          <cell r="A2844" t="str">
            <v>95812</v>
          </cell>
          <cell r="B2844" t="str">
            <v>CONDULETE DE PVC, TIPO LB, PARA ELETRODUTO DE PVC SOLDÁVEL DN 32 MM (1''), APARENTE - FORNECIMENTO E INSTALAÇÃO. AF_11/2016</v>
          </cell>
          <cell r="C2844" t="str">
            <v>UN</v>
          </cell>
          <cell r="D2844">
            <v>20.85</v>
          </cell>
        </row>
        <row r="2845">
          <cell r="A2845" t="str">
            <v>95813</v>
          </cell>
          <cell r="B2845" t="str">
            <v>CONDULETE DE PVC, TIPO TB, PARA ELETRODUTO DE PVC SOLDÁVEL DN 20 MM (1/2''), APARENTE - FORNECIMENTO E INSTALAÇÃO. AF_11/2016</v>
          </cell>
          <cell r="C2845" t="str">
            <v>UN</v>
          </cell>
          <cell r="D2845">
            <v>20.36</v>
          </cell>
        </row>
        <row r="2846">
          <cell r="A2846" t="str">
            <v>95814</v>
          </cell>
          <cell r="B2846" t="str">
            <v>CONDULETE DE PVC, TIPO TB, PARA ELETRODUTO DE PVC SOLDÁVEL DN 25 MM (3/4''), APARENTE - FORNECIMENTO E INSTALAÇÃO. AF_11/2016</v>
          </cell>
          <cell r="C2846" t="str">
            <v>UN</v>
          </cell>
          <cell r="D2846">
            <v>21.35</v>
          </cell>
        </row>
        <row r="2847">
          <cell r="A2847" t="str">
            <v>95815</v>
          </cell>
          <cell r="B2847" t="str">
            <v>CONDULETE DE PVC, TIPO TB, PARA ELETRODUTO DE PVC SOLDÁVEL DN 32 MM (1''), APARENTE - FORNECIMENTO E INSTALAÇÃO. AF_11/2016</v>
          </cell>
          <cell r="C2847" t="str">
            <v>UN</v>
          </cell>
          <cell r="D2847">
            <v>27.42</v>
          </cell>
        </row>
        <row r="2848">
          <cell r="A2848" t="str">
            <v>95816</v>
          </cell>
          <cell r="B2848" t="str">
            <v>CONDULETE DE PVC, TIPO X, PARA ELETRODUTO DE PVC SOLDÁVEL DN 20 MM (1/2''), APARENTE - FORNECIMENTO E INSTALAÇÃO. AF_11/2016</v>
          </cell>
          <cell r="C2848" t="str">
            <v>UN</v>
          </cell>
          <cell r="D2848">
            <v>36.51</v>
          </cell>
        </row>
        <row r="2849">
          <cell r="A2849" t="str">
            <v>95817</v>
          </cell>
          <cell r="B2849" t="str">
            <v>CONDULETE DE PVC, TIPO X, PARA ELETRODUTO DE PVC SOLDÁVEL DN 25 MM (3/4''), APARENTE - FORNECIMENTO E INSTALAÇÃO. AF_11/2016</v>
          </cell>
          <cell r="C2849" t="str">
            <v>UN</v>
          </cell>
          <cell r="D2849">
            <v>37.32</v>
          </cell>
        </row>
        <row r="2850">
          <cell r="A2850" t="str">
            <v>95818</v>
          </cell>
          <cell r="B2850" t="str">
            <v>CONDULETE DE PVC, TIPO X, PARA ELETRODUTO DE PVC SOLDÁVEL DN 32 MM (1''), APARENTE - FORNECIMENTO E INSTALAÇÃO. AF_11/2016</v>
          </cell>
          <cell r="C2850" t="str">
            <v>UN</v>
          </cell>
          <cell r="D2850">
            <v>45.48</v>
          </cell>
        </row>
        <row r="2851">
          <cell r="A2851" t="str">
            <v>97881</v>
          </cell>
          <cell r="B2851" t="str">
            <v>CAIXA ENTERRADA ELÉTRICA RETANGULAR, EM CONCRETO PRÉ-MOLDADO, FUNDO COM BRITA, DIMENSÕES INTERNAS: 0,3X0,3X0,3 M. AF_12/2020</v>
          </cell>
          <cell r="C2851" t="str">
            <v>UN</v>
          </cell>
          <cell r="D2851">
            <v>100.83</v>
          </cell>
        </row>
        <row r="2852">
          <cell r="A2852" t="str">
            <v>97882</v>
          </cell>
          <cell r="B2852" t="str">
            <v>CAIXA ENTERRADA ELÉTRICA RETANGULAR, EM CONCRETO PRÉ-MOLDADO, FUNDO COM BRITA, DIMENSÕES INTERNAS: 0,4X0,4X0,4 M. AF_12/2020</v>
          </cell>
          <cell r="C2852" t="str">
            <v>UN</v>
          </cell>
          <cell r="D2852">
            <v>155.6</v>
          </cell>
        </row>
        <row r="2853">
          <cell r="A2853" t="str">
            <v>97883</v>
          </cell>
          <cell r="B2853" t="str">
            <v>CAIXA ENTERRADA ELÉTRICA RETANGULAR, EM CONCRETO PRÉ-MOLDADO, FUNDO COM BRITA, DIMENSÕES INTERNAS: 0,6X0,6X0,5 M. AF_12/2020</v>
          </cell>
          <cell r="C2853" t="str">
            <v>UN</v>
          </cell>
          <cell r="D2853">
            <v>299.07</v>
          </cell>
        </row>
        <row r="2854">
          <cell r="A2854" t="str">
            <v>97884</v>
          </cell>
          <cell r="B2854" t="str">
            <v>CAIXA ENTERRADA ELÉTRICA RETANGULAR, EM CONCRETO PRÉ-MOLDADO, FUNDO COM BRITA, DIMENSÕES INTERNAS: 0,8X0,8X0,5 M. AF_12/2020</v>
          </cell>
          <cell r="C2854" t="str">
            <v>UN</v>
          </cell>
          <cell r="D2854">
            <v>573.22</v>
          </cell>
        </row>
        <row r="2855">
          <cell r="A2855" t="str">
            <v>97885</v>
          </cell>
          <cell r="B2855" t="str">
            <v>CAIXA ENTERRADA ELÉTRICA RETANGULAR, EM CONCRETO PRÉ-MOLDADO, FUNDO COM BRITA, DIMENSÕES INTERNAS: 1X1X0,5 M. AF_12/2020</v>
          </cell>
          <cell r="C2855" t="str">
            <v>UN</v>
          </cell>
          <cell r="D2855">
            <v>882.73</v>
          </cell>
        </row>
        <row r="2856">
          <cell r="A2856" t="str">
            <v>97886</v>
          </cell>
          <cell r="B2856" t="str">
            <v>CAIXA ENTERRADA ELÉTRICA RETANGULAR, EM ALVENARIA COM TIJOLOS CERÂMICOS MACIÇOS, FUNDO COM BRITA, DIMENSÕES INTERNAS: 0,3X0,3X0,3 M. AF_12/2020</v>
          </cell>
          <cell r="C2856" t="str">
            <v>UN</v>
          </cell>
          <cell r="D2856">
            <v>155.38</v>
          </cell>
        </row>
        <row r="2857">
          <cell r="A2857" t="str">
            <v>97887</v>
          </cell>
          <cell r="B2857" t="str">
            <v>CAIXA ENTERRADA ELÉTRICA RETANGULAR, EM ALVENARIA COM TIJOLOS CERÂMICOS MACIÇOS, FUNDO COM BRITA, DIMENSÕES INTERNAS: 0,4X0,4X0,4 M. AF_12/2020</v>
          </cell>
          <cell r="C2857" t="str">
            <v>UN</v>
          </cell>
          <cell r="D2857">
            <v>244.87</v>
          </cell>
        </row>
        <row r="2858">
          <cell r="A2858" t="str">
            <v>97888</v>
          </cell>
          <cell r="B2858" t="str">
            <v>CAIXA ENTERRADA ELÉTRICA RETANGULAR, EM ALVENARIA COM TIJOLOS CERÂMICOS MACIÇOS, FUNDO COM BRITA, DIMENSÕES INTERNAS: 0,6X0,6X0,6 M. AF_12/2020</v>
          </cell>
          <cell r="C2858" t="str">
            <v>UN</v>
          </cell>
          <cell r="D2858">
            <v>471.99</v>
          </cell>
        </row>
        <row r="2859">
          <cell r="A2859" t="str">
            <v>97889</v>
          </cell>
          <cell r="B2859" t="str">
            <v>CAIXA ENTERRADA ELÉTRICA RETANGULAR, EM ALVENARIA COM TIJOLOS CERÂMICOS MACIÇOS, FUNDO COM BRITA, DIMENSÕES INTERNAS: 0,8X0,8X0,6 M. AF_12/2020</v>
          </cell>
          <cell r="C2859" t="str">
            <v>UN</v>
          </cell>
          <cell r="D2859">
            <v>634.07000000000005</v>
          </cell>
        </row>
        <row r="2860">
          <cell r="A2860" t="str">
            <v>97890</v>
          </cell>
          <cell r="B2860" t="str">
            <v>CAIXA ENTERRADA ELÉTRICA RETANGULAR, EM ALVENARIA COM TIJOLOS CERÂMICOS MACIÇOS, FUNDO COM BRITA, DIMENSÕES INTERNAS: 1X1X0,6 M. AF_12/2020</v>
          </cell>
          <cell r="C2860" t="str">
            <v>UN</v>
          </cell>
          <cell r="D2860">
            <v>728.84</v>
          </cell>
        </row>
        <row r="2861">
          <cell r="A2861" t="str">
            <v>97891</v>
          </cell>
          <cell r="B2861" t="str">
            <v>CAIXA ENTERRADA ELÉTRICA RETANGULAR, EM ALVENARIA COM BLOCOS DE CONCRETO, FUNDO COM BRITA, DIMENSÕES INTERNAS: 0,4X0,4X0,4 M. AF_12/2020</v>
          </cell>
          <cell r="C2861" t="str">
            <v>UN</v>
          </cell>
          <cell r="D2861">
            <v>184.56</v>
          </cell>
        </row>
        <row r="2862">
          <cell r="A2862" t="str">
            <v>97892</v>
          </cell>
          <cell r="B2862" t="str">
            <v>CAIXA ENTERRADA ELÉTRICA RETANGULAR, EM ALVENARIA COM BLOCOS DE CONCRETO, FUNDO COM BRITA, DIMENSÕES INTERNAS: 0,6X0,6X0,6 M. AF_12/2020</v>
          </cell>
          <cell r="C2862" t="str">
            <v>UN</v>
          </cell>
          <cell r="D2862">
            <v>344.45</v>
          </cell>
        </row>
        <row r="2863">
          <cell r="A2863" t="str">
            <v>97893</v>
          </cell>
          <cell r="B2863" t="str">
            <v>CAIXA ENTERRADA ELÉTRICA RETANGULAR, EM ALVENARIA COM BLOCOS DE CONCRETO, FUNDO COM BRITA, DIMENSÕES INTERNAS: 0,8X0,8X0,6 M. AF_12/2020</v>
          </cell>
          <cell r="C2863" t="str">
            <v>UN</v>
          </cell>
          <cell r="D2863">
            <v>471.43</v>
          </cell>
        </row>
        <row r="2864">
          <cell r="A2864" t="str">
            <v>97894</v>
          </cell>
          <cell r="B2864" t="str">
            <v>CAIXA ENTERRADA ELÉTRICA RETANGULAR, EM ALVENARIA COM BLOCOS DE CONCRETO, FUNDO COM BRITA, DIMENSÕES INTERNAS: 1X1X0,6 M. AF_12/2020</v>
          </cell>
          <cell r="C2864" t="str">
            <v>UN</v>
          </cell>
          <cell r="D2864">
            <v>531.75</v>
          </cell>
        </row>
        <row r="2865">
          <cell r="A2865" t="str">
            <v>93653</v>
          </cell>
          <cell r="B2865" t="str">
            <v>DISJUNTOR MONOPOLAR TIPO DIN, CORRENTE NOMINAL DE 10A - FORNECIMENTO E INSTALAÇÃO. AF_10/2020</v>
          </cell>
          <cell r="C2865" t="str">
            <v>UN</v>
          </cell>
          <cell r="D2865">
            <v>11.2</v>
          </cell>
        </row>
        <row r="2866">
          <cell r="A2866" t="str">
            <v>93654</v>
          </cell>
          <cell r="B2866" t="str">
            <v>DISJUNTOR MONOPOLAR TIPO DIN, CORRENTE NOMINAL DE 16A - FORNECIMENTO E INSTALAÇÃO. AF_10/2020</v>
          </cell>
          <cell r="C2866" t="str">
            <v>UN</v>
          </cell>
          <cell r="D2866">
            <v>11.79</v>
          </cell>
        </row>
        <row r="2867">
          <cell r="A2867" t="str">
            <v>93655</v>
          </cell>
          <cell r="B2867" t="str">
            <v>DISJUNTOR MONOPOLAR TIPO DIN, CORRENTE NOMINAL DE 20A - FORNECIMENTO E INSTALAÇÃO. AF_10/2020</v>
          </cell>
          <cell r="C2867" t="str">
            <v>UN</v>
          </cell>
          <cell r="D2867">
            <v>12.93</v>
          </cell>
        </row>
        <row r="2868">
          <cell r="A2868" t="str">
            <v>93656</v>
          </cell>
          <cell r="B2868" t="str">
            <v>DISJUNTOR MONOPOLAR TIPO DIN, CORRENTE NOMINAL DE 25A - FORNECIMENTO E INSTALAÇÃO. AF_10/2020</v>
          </cell>
          <cell r="C2868" t="str">
            <v>UN</v>
          </cell>
          <cell r="D2868">
            <v>12.93</v>
          </cell>
        </row>
        <row r="2869">
          <cell r="A2869" t="str">
            <v>93657</v>
          </cell>
          <cell r="B2869" t="str">
            <v>DISJUNTOR MONOPOLAR TIPO DIN, CORRENTE NOMINAL DE 32A - FORNECIMENTO E INSTALAÇÃO. AF_10/2020</v>
          </cell>
          <cell r="C2869" t="str">
            <v>UN</v>
          </cell>
          <cell r="D2869">
            <v>14.33</v>
          </cell>
        </row>
        <row r="2870">
          <cell r="A2870" t="str">
            <v>93658</v>
          </cell>
          <cell r="B2870" t="str">
            <v>DISJUNTOR MONOPOLAR TIPO DIN, CORRENTE NOMINAL DE 40A - FORNECIMENTO E INSTALAÇÃO. AF_10/2020</v>
          </cell>
          <cell r="C2870" t="str">
            <v>UN</v>
          </cell>
          <cell r="D2870">
            <v>20.71</v>
          </cell>
        </row>
        <row r="2871">
          <cell r="A2871" t="str">
            <v>93659</v>
          </cell>
          <cell r="B2871" t="str">
            <v>DISJUNTOR MONOPOLAR TIPO DIN, CORRENTE NOMINAL DE 50A - FORNECIMENTO E INSTALAÇÃO. AF_10/2020</v>
          </cell>
          <cell r="C2871" t="str">
            <v>UN</v>
          </cell>
          <cell r="D2871">
            <v>23.54</v>
          </cell>
        </row>
        <row r="2872">
          <cell r="A2872" t="str">
            <v>93660</v>
          </cell>
          <cell r="B2872" t="str">
            <v>DISJUNTOR BIPOLAR TIPO DIN, CORRENTE NOMINAL DE 10A - FORNECIMENTO E INSTALAÇÃO. AF_10/2020</v>
          </cell>
          <cell r="C2872" t="str">
            <v>UN</v>
          </cell>
          <cell r="D2872">
            <v>54.76</v>
          </cell>
        </row>
        <row r="2873">
          <cell r="A2873" t="str">
            <v>93661</v>
          </cell>
          <cell r="B2873" t="str">
            <v>DISJUNTOR BIPOLAR TIPO DIN, CORRENTE NOMINAL DE 16A - FORNECIMENTO E INSTALAÇÃO. AF_10/2020</v>
          </cell>
          <cell r="C2873" t="str">
            <v>UN</v>
          </cell>
          <cell r="D2873">
            <v>55.94</v>
          </cell>
        </row>
        <row r="2874">
          <cell r="A2874" t="str">
            <v>93662</v>
          </cell>
          <cell r="B2874" t="str">
            <v>DISJUNTOR BIPOLAR TIPO DIN, CORRENTE NOMINAL DE 20A - FORNECIMENTO E INSTALAÇÃO. AF_10/2020</v>
          </cell>
          <cell r="C2874" t="str">
            <v>UN</v>
          </cell>
          <cell r="D2874">
            <v>58.23</v>
          </cell>
        </row>
        <row r="2875">
          <cell r="A2875" t="str">
            <v>93663</v>
          </cell>
          <cell r="B2875" t="str">
            <v>DISJUNTOR BIPOLAR TIPO DIN, CORRENTE NOMINAL DE 25A - FORNECIMENTO E INSTALAÇÃO. AF_10/2020</v>
          </cell>
          <cell r="C2875" t="str">
            <v>UN</v>
          </cell>
          <cell r="D2875">
            <v>58.23</v>
          </cell>
        </row>
        <row r="2876">
          <cell r="A2876" t="str">
            <v>93664</v>
          </cell>
          <cell r="B2876" t="str">
            <v>DISJUNTOR BIPOLAR TIPO DIN, CORRENTE NOMINAL DE 32A - FORNECIMENTO E INSTALAÇÃO. AF_10/2020</v>
          </cell>
          <cell r="C2876" t="str">
            <v>UN</v>
          </cell>
          <cell r="D2876">
            <v>61.03</v>
          </cell>
        </row>
        <row r="2877">
          <cell r="A2877" t="str">
            <v>93665</v>
          </cell>
          <cell r="B2877" t="str">
            <v>DISJUNTOR BIPOLAR TIPO DIN, CORRENTE NOMINAL DE 40A - FORNECIMENTO E INSTALAÇÃO. AF_10/2020</v>
          </cell>
          <cell r="C2877" t="str">
            <v>UN</v>
          </cell>
          <cell r="D2877">
            <v>64.67</v>
          </cell>
        </row>
        <row r="2878">
          <cell r="A2878" t="str">
            <v>93666</v>
          </cell>
          <cell r="B2878" t="str">
            <v>DISJUNTOR BIPOLAR TIPO DIN, CORRENTE NOMINAL DE 50A - FORNECIMENTO E INSTALAÇÃO. AF_10/2020</v>
          </cell>
          <cell r="C2878" t="str">
            <v>UN</v>
          </cell>
          <cell r="D2878">
            <v>70.34</v>
          </cell>
        </row>
        <row r="2879">
          <cell r="A2879" t="str">
            <v>93667</v>
          </cell>
          <cell r="B2879" t="str">
            <v>DISJUNTOR TRIPOLAR TIPO DIN, CORRENTE NOMINAL DE 10A - FORNECIMENTO E INSTALAÇÃO. AF_10/2020</v>
          </cell>
          <cell r="C2879" t="str">
            <v>UN</v>
          </cell>
          <cell r="D2879">
            <v>68.489999999999995</v>
          </cell>
        </row>
        <row r="2880">
          <cell r="A2880" t="str">
            <v>93668</v>
          </cell>
          <cell r="B2880" t="str">
            <v>DISJUNTOR TRIPOLAR TIPO DIN, CORRENTE NOMINAL DE 16A - FORNECIMENTO E INSTALAÇÃO. AF_10/2020</v>
          </cell>
          <cell r="C2880" t="str">
            <v>UN</v>
          </cell>
          <cell r="D2880">
            <v>70.25</v>
          </cell>
        </row>
        <row r="2881">
          <cell r="A2881" t="str">
            <v>93669</v>
          </cell>
          <cell r="B2881" t="str">
            <v>DISJUNTOR TRIPOLAR TIPO DIN, CORRENTE NOMINAL DE 20A - FORNECIMENTO E INSTALAÇÃO. AF_10/2020</v>
          </cell>
          <cell r="C2881" t="str">
            <v>UN</v>
          </cell>
          <cell r="D2881">
            <v>73.69</v>
          </cell>
        </row>
        <row r="2882">
          <cell r="A2882" t="str">
            <v>93670</v>
          </cell>
          <cell r="B2882" t="str">
            <v>DISJUNTOR TRIPOLAR TIPO DIN, CORRENTE NOMINAL DE 25A - FORNECIMENTO E INSTALAÇÃO. AF_10/2020</v>
          </cell>
          <cell r="C2882" t="str">
            <v>UN</v>
          </cell>
          <cell r="D2882">
            <v>73.69</v>
          </cell>
        </row>
        <row r="2883">
          <cell r="A2883" t="str">
            <v>93671</v>
          </cell>
          <cell r="B2883" t="str">
            <v>DISJUNTOR TRIPOLAR TIPO DIN, CORRENTE NOMINAL DE 32A - FORNECIMENTO E INSTALAÇÃO. AF_10/2020</v>
          </cell>
          <cell r="C2883" t="str">
            <v>UN</v>
          </cell>
          <cell r="D2883">
            <v>77.88</v>
          </cell>
        </row>
        <row r="2884">
          <cell r="A2884" t="str">
            <v>93672</v>
          </cell>
          <cell r="B2884" t="str">
            <v>DISJUNTOR TRIPOLAR TIPO DIN, CORRENTE NOMINAL DE 40A - FORNECIMENTO E INSTALAÇÃO. AF_10/2020</v>
          </cell>
          <cell r="C2884" t="str">
            <v>UN</v>
          </cell>
          <cell r="D2884">
            <v>84.48</v>
          </cell>
        </row>
        <row r="2885">
          <cell r="A2885" t="str">
            <v>93673</v>
          </cell>
          <cell r="B2885" t="str">
            <v>DISJUNTOR TRIPOLAR TIPO DIN, CORRENTE NOMINAL DE 50A - FORNECIMENTO E INSTALAÇÃO. AF_10/2020</v>
          </cell>
          <cell r="C2885" t="str">
            <v>UN</v>
          </cell>
          <cell r="D2885">
            <v>93</v>
          </cell>
        </row>
        <row r="2886">
          <cell r="A2886" t="str">
            <v>97359</v>
          </cell>
          <cell r="B2886" t="str">
            <v>QUADRO DE MEDIÇÃO GERAL DE ENERGIA COM 8 MEDIDORES - FORNECIMENTO E INSTALAÇÃO. AF_10/2020</v>
          </cell>
          <cell r="C2886" t="str">
            <v>UN</v>
          </cell>
          <cell r="D2886">
            <v>3133.04</v>
          </cell>
        </row>
        <row r="2887">
          <cell r="A2887" t="str">
            <v>97360</v>
          </cell>
          <cell r="B2887" t="str">
            <v>QUADRO DE MEDIÇÃO GERAL DE ENERGIA COM 12 MEDIDORES - FORNECIMENTO E INSTALAÇÃO. AF_10/2020</v>
          </cell>
          <cell r="C2887" t="str">
            <v>UN</v>
          </cell>
          <cell r="D2887">
            <v>6031.41</v>
          </cell>
        </row>
        <row r="2888">
          <cell r="A2888" t="str">
            <v>97361</v>
          </cell>
          <cell r="B2888" t="str">
            <v>QUADRO DE MEDIÇÃO GERAL DE ENERGIA COM 16 MEDIDORES - FORNECIMENTO E INSTALAÇÃO. AF_10/2020</v>
          </cell>
          <cell r="C2888" t="str">
            <v>UN</v>
          </cell>
          <cell r="D2888">
            <v>8041.89</v>
          </cell>
        </row>
        <row r="2889">
          <cell r="A2889" t="str">
            <v>97362</v>
          </cell>
          <cell r="B2889" t="str">
            <v>QUADRO DE MEDIÇÃO GERAL DE ENERGIA PARA BARRAMENTO BLINDADO COM 4 MEDIDORES - FORNECIMENTO E INSTALAÇÃO. AF_10/2020</v>
          </cell>
          <cell r="C2889" t="str">
            <v>UN</v>
          </cell>
          <cell r="D2889">
            <v>2710.22</v>
          </cell>
        </row>
        <row r="2890">
          <cell r="A2890" t="str">
            <v>101875</v>
          </cell>
          <cell r="B2890" t="str">
            <v>QUADRO DE DISTRIBUIÇÃO DE ENERGIA EM CHAPA DE AÇO GALVANIZADO, DE EMBUTIR, COM BARRAMENTO TRIFÁSICO, PARA 12 DISJUNTORES DIN 100A - FORNECIMENTO E INSTALAÇÃO. AF_10/2020</v>
          </cell>
          <cell r="C2890" t="str">
            <v>UN</v>
          </cell>
          <cell r="D2890">
            <v>569.77</v>
          </cell>
        </row>
        <row r="2891">
          <cell r="A2891" t="str">
            <v>101876</v>
          </cell>
          <cell r="B2891" t="str">
            <v>QUADRO DE DISTRIBUIÇÃO DE ENERGIA EM PVC, DE EMBUTIR, SEM BARRAMENTO, PARA 6 DISJUNTORES - FORNECIMENTO E INSTALAÇÃO. AF_10/2020</v>
          </cell>
          <cell r="C2891" t="str">
            <v>UN</v>
          </cell>
          <cell r="D2891">
            <v>71.239999999999995</v>
          </cell>
        </row>
        <row r="2892">
          <cell r="A2892" t="str">
            <v>101877</v>
          </cell>
          <cell r="B2892" t="str">
            <v>QUADRO DE DISTRIBUIÇÃO DE ENERGIA EM PVC, DE EMBUTIR, SEM BARRAMENTO, PARA 3 DISJUNTORES - FORNECIMENTO E INSTALAÇÃO. AF_10/2020</v>
          </cell>
          <cell r="C2892" t="str">
            <v>UN</v>
          </cell>
          <cell r="D2892">
            <v>49.43</v>
          </cell>
        </row>
        <row r="2893">
          <cell r="A2893" t="str">
            <v>101878</v>
          </cell>
          <cell r="B2893" t="str">
            <v>QUADRO DE DISTRIBUIÇÃO DE ENERGIA EM CHAPA DE AÇO GALVANIZADO, DE SOBREPOR, COM BARRAMENTO TRIFÁSICO, PARA 18 DISJUNTORES DIN 100A - FORNECIMENTO E INSTALAÇÃO. AF_10/2020</v>
          </cell>
          <cell r="C2893" t="str">
            <v>UN</v>
          </cell>
          <cell r="D2893">
            <v>773.8</v>
          </cell>
        </row>
        <row r="2894">
          <cell r="A2894" t="str">
            <v>101879</v>
          </cell>
          <cell r="B2894" t="str">
            <v>QUADRO DE DISTRIBUIÇÃO DE ENERGIA EM CHAPA DE AÇO GALVANIZADO, DE EMBUTIR, COM BARRAMENTO TRIFÁSICO, PARA 24 DISJUNTORES DIN 100A - FORNECIMENTO E INSTALAÇÃO. AF_10/2020</v>
          </cell>
          <cell r="C2894" t="str">
            <v>UN</v>
          </cell>
          <cell r="D2894">
            <v>829.41</v>
          </cell>
        </row>
        <row r="2895">
          <cell r="A2895" t="str">
            <v>101880</v>
          </cell>
          <cell r="B2895" t="str">
            <v>QUADRO DE DISTRIBUIÇÃO DE ENERGIA EM CHAPA DE AÇO GALVANIZADO, DE EMBUTIR, COM BARRAMENTO TRIFÁSICO, PARA 30 DISJUNTORES DIN 150A - FORNECIMENTO E INSTALAÇÃO. AF_10/2020</v>
          </cell>
          <cell r="C2895" t="str">
            <v>UN</v>
          </cell>
          <cell r="D2895">
            <v>953.54</v>
          </cell>
        </row>
        <row r="2896">
          <cell r="A2896" t="str">
            <v>101881</v>
          </cell>
          <cell r="B2896" t="str">
            <v>QUADRO DE DISTRIBUIÇÃO DE ENERGIA EM CHAPA DE AÇO GALVANIZADO, DE EMBUTIR, COM BARRAMENTO TRIFÁSICO, PARA 40 DISJUNTORES DIN 100A - FORNECIMENTO E INSTALAÇÃO. AF_10/2020</v>
          </cell>
          <cell r="C2896" t="str">
            <v>UN</v>
          </cell>
          <cell r="D2896">
            <v>1380.6</v>
          </cell>
        </row>
        <row r="2897">
          <cell r="A2897" t="str">
            <v>101882</v>
          </cell>
          <cell r="B2897" t="str">
            <v>QUADRO DE DISTRIBUIÇÃO DE ENERGIA EM CHAPA DE AÇO GALVANIZADO, DE EMBUTIR, COM BARRAMENTO TRIFÁSICO, PARA 30 DISJUNTORES DIN 225A - FORNECIMENTO E INSTALAÇÃO. AF_10/2020</v>
          </cell>
          <cell r="C2897" t="str">
            <v>UN</v>
          </cell>
          <cell r="D2897">
            <v>1969.03</v>
          </cell>
        </row>
        <row r="2898">
          <cell r="A2898" t="str">
            <v>101883</v>
          </cell>
          <cell r="B2898" t="str">
            <v>QUADRO DE DISTRIBUIÇÃO DE ENERGIA EM CHAPA DE AÇO GALVANIZADO, DE EMBUTIR, COM BARRAMENTO TRIFÁSICO, PARA 18 DISJUNTORES DIN 100A - FORNECIMENTO E INSTALAÇÃO. AF_10/2020</v>
          </cell>
          <cell r="C2898" t="str">
            <v>UN</v>
          </cell>
          <cell r="D2898">
            <v>790.26</v>
          </cell>
        </row>
        <row r="2899">
          <cell r="A2899" t="str">
            <v>101890</v>
          </cell>
          <cell r="B2899" t="str">
            <v>DISJUNTOR MONOPOLAR TIPO NEMA, CORRENTE NOMINAL DE 10 ATÉ 30A - FORNECIMENTO E INSTALAÇÃO. AF_10/2020</v>
          </cell>
          <cell r="C2899" t="str">
            <v>UN</v>
          </cell>
          <cell r="D2899">
            <v>15.49</v>
          </cell>
        </row>
        <row r="2900">
          <cell r="A2900" t="str">
            <v>101891</v>
          </cell>
          <cell r="B2900" t="str">
            <v>DISJUNTOR MONOPOLAR TIPO NEMA, CORRENTE NOMINAL DE 35 ATÉ 50A - FORNECIMENTO E INSTALAÇÃO. AF_10/2020</v>
          </cell>
          <cell r="C2900" t="str">
            <v>UN</v>
          </cell>
          <cell r="D2900">
            <v>26.7</v>
          </cell>
        </row>
        <row r="2901">
          <cell r="A2901" t="str">
            <v>101892</v>
          </cell>
          <cell r="B2901" t="str">
            <v>DISJUNTOR BIPOLAR TIPO NEMA, CORRENTE NOMINAL DE 10 ATÉ 50A - FORNECIMENTO E INSTALAÇÃO. AF_10/2020</v>
          </cell>
          <cell r="C2901" t="str">
            <v>UN</v>
          </cell>
          <cell r="D2901">
            <v>68.97</v>
          </cell>
        </row>
        <row r="2902">
          <cell r="A2902" t="str">
            <v>101893</v>
          </cell>
          <cell r="B2902" t="str">
            <v>DISJUNTOR TRIPOLAR TIPO NEMA, CORRENTE NOMINAL DE 10 ATÉ 50A - FORNECIMENTO E INSTALAÇÃO. AF_10/2020</v>
          </cell>
          <cell r="C2902" t="str">
            <v>UN</v>
          </cell>
          <cell r="D2902">
            <v>88.18</v>
          </cell>
        </row>
        <row r="2903">
          <cell r="A2903" t="str">
            <v>101894</v>
          </cell>
          <cell r="B2903" t="str">
            <v>DISJUNTOR TRIPOLAR TIPO NEMA, CORRENTE NOMINAL DE 60 ATÉ 100A - FORNECIMENTO E INSTALAÇÃO. AF_10/2020</v>
          </cell>
          <cell r="C2903" t="str">
            <v>UN</v>
          </cell>
          <cell r="D2903">
            <v>150.49</v>
          </cell>
        </row>
        <row r="2904">
          <cell r="A2904" t="str">
            <v>101895</v>
          </cell>
          <cell r="B2904" t="str">
            <v>DISJUNTOR TERMOMAGNÉTICO TRIPOLAR , CORRENTE NOMINAL DE 125A - FORNECIMENTO E INSTALAÇÃO. AF_10/2020</v>
          </cell>
          <cell r="C2904" t="str">
            <v>UN</v>
          </cell>
          <cell r="D2904">
            <v>408.96</v>
          </cell>
        </row>
        <row r="2905">
          <cell r="A2905" t="str">
            <v>101896</v>
          </cell>
          <cell r="B2905" t="str">
            <v>DISJUNTOR TERMOMAGNÉTICO TRIPOLAR , CORRENTE NOMINAL DE 200A - FORNECIMENTO E INSTALAÇÃO. AF_10/2020</v>
          </cell>
          <cell r="C2905" t="str">
            <v>UN</v>
          </cell>
          <cell r="D2905">
            <v>613.16999999999996</v>
          </cell>
        </row>
        <row r="2906">
          <cell r="A2906" t="str">
            <v>101897</v>
          </cell>
          <cell r="B2906" t="str">
            <v>DISJUNTOR TERMOMAGNÉTICO TRIPOLAR , CORRENTE NOMINAL DE 250A - FORNECIMENTO E INSTALAÇÃO. AF_10/2020</v>
          </cell>
          <cell r="C2906" t="str">
            <v>UN</v>
          </cell>
          <cell r="D2906">
            <v>978.75</v>
          </cell>
        </row>
        <row r="2907">
          <cell r="A2907" t="str">
            <v>101898</v>
          </cell>
          <cell r="B2907" t="str">
            <v>DISJUNTOR TERMOMAGNÉTICO TRIPOLAR , CORRENTE NOMINAL DE 400A - FORNECIMENTO E INSTALAÇÃO. AF_10/2020</v>
          </cell>
          <cell r="C2907" t="str">
            <v>UN</v>
          </cell>
          <cell r="D2907">
            <v>1309.6400000000001</v>
          </cell>
        </row>
        <row r="2908">
          <cell r="A2908" t="str">
            <v>101899</v>
          </cell>
          <cell r="B2908" t="str">
            <v>DISJUNTOR TERMOMAGNÉTICO TRIPOLAR , CORRENTE NOMINAL DE 600A - FORNECIMENTO E INSTALAÇÃO. AF_10/2020</v>
          </cell>
          <cell r="C2908" t="str">
            <v>UN</v>
          </cell>
          <cell r="D2908">
            <v>2096.6999999999998</v>
          </cell>
        </row>
        <row r="2909">
          <cell r="A2909" t="str">
            <v>101900</v>
          </cell>
          <cell r="B2909" t="str">
            <v>DISJUNTOR BAIXA TENSÃO TRIPOLAR A SECO  800A/600V - FORNECIMENTO E INSTALAÇÃO. AF_10/2020</v>
          </cell>
          <cell r="C2909" t="str">
            <v>UN</v>
          </cell>
          <cell r="D2909">
            <v>4376.37</v>
          </cell>
        </row>
        <row r="2910">
          <cell r="A2910" t="str">
            <v>101901</v>
          </cell>
          <cell r="B2910" t="str">
            <v>CONTATOR TRIPOLAR I NOMINAL 12A - FORNECIMENTO E INSTALAÇÃO. AF_10/2020</v>
          </cell>
          <cell r="C2910" t="str">
            <v>UN</v>
          </cell>
          <cell r="D2910">
            <v>233.28</v>
          </cell>
        </row>
        <row r="2911">
          <cell r="A2911" t="str">
            <v>101902</v>
          </cell>
          <cell r="B2911" t="str">
            <v>CONTATOR TRIPOLAR I NOMINAL 22A - FORNECIMENTO E INSTALAÇÃO. AF_10/2020</v>
          </cell>
          <cell r="C2911" t="str">
            <v>UN</v>
          </cell>
          <cell r="D2911">
            <v>287.37</v>
          </cell>
        </row>
        <row r="2912">
          <cell r="A2912" t="str">
            <v>101903</v>
          </cell>
          <cell r="B2912" t="str">
            <v>CONTATOR TRIPOLAR I NOMINAL 38A - FORNECIMENTO E INSTALAÇÃO. AF_10/2020</v>
          </cell>
          <cell r="C2912" t="str">
            <v>UN</v>
          </cell>
          <cell r="D2912">
            <v>601.97</v>
          </cell>
        </row>
        <row r="2913">
          <cell r="A2913" t="str">
            <v>101904</v>
          </cell>
          <cell r="B2913" t="str">
            <v>CONTATOR TRIPOLAR I NOMIMAL 95A - FORNECIMENTO E INSTALAÇÃO. AF_10/2020</v>
          </cell>
          <cell r="C2913" t="str">
            <v>UN</v>
          </cell>
          <cell r="D2913">
            <v>2244.33</v>
          </cell>
        </row>
        <row r="2914">
          <cell r="A2914" t="str">
            <v>101938</v>
          </cell>
          <cell r="B2914" t="str">
            <v>CAIXA DE PROTEÇÃO PARA MEDIDOR MONOFÁSICO DE EMBUTIR - FORNECIMENTO E INSTALAÇÃO. AF_10/2020</v>
          </cell>
          <cell r="C2914" t="str">
            <v>UN</v>
          </cell>
          <cell r="D2914">
            <v>95.27</v>
          </cell>
        </row>
        <row r="2915">
          <cell r="A2915" t="str">
            <v>101946</v>
          </cell>
          <cell r="B2915" t="str">
            <v>QUADRO DE MEDIÇÃO GERAL DE ENERGIA PARA 1 MEDIDOR DE SOBREPOR - FORNECIMENTO E INSTALAÇÃO. AF_10/2020</v>
          </cell>
          <cell r="C2915" t="str">
            <v>UN</v>
          </cell>
          <cell r="D2915">
            <v>145.1</v>
          </cell>
        </row>
        <row r="2916">
          <cell r="A2916" t="str">
            <v>91945</v>
          </cell>
          <cell r="B2916" t="str">
            <v>SUPORTE PARAFUSADO COM PLACA DE ENCAIXE 4" X 2" ALTO (2,00 M DO PISO) PARA PONTO ELÉTRICO - FORNECIMENTO E INSTALAÇÃO. AF_12/2015</v>
          </cell>
          <cell r="C2916" t="str">
            <v>UN</v>
          </cell>
          <cell r="D2916">
            <v>8.82</v>
          </cell>
        </row>
        <row r="2917">
          <cell r="A2917" t="str">
            <v>91946</v>
          </cell>
          <cell r="B2917" t="str">
            <v>SUPORTE PARAFUSADO COM PLACA DE ENCAIXE 4" X 2" MÉDIO (1,30 M DO PISO) PARA PONTO ELÉTRICO - FORNECIMENTO E INSTALAÇÃO. AF_12/2015</v>
          </cell>
          <cell r="C2917" t="str">
            <v>UN</v>
          </cell>
          <cell r="D2917">
            <v>7.27</v>
          </cell>
        </row>
        <row r="2918">
          <cell r="A2918" t="str">
            <v>91947</v>
          </cell>
          <cell r="B2918" t="str">
            <v>SUPORTE PARAFUSADO COM PLACA DE ENCAIXE 4" X 2" BAIXO (0,30 M DO PISO) PARA PONTO ELÉTRICO - FORNECIMENTO E INSTALAÇÃO. AF_12/2015</v>
          </cell>
          <cell r="C2918" t="str">
            <v>UN</v>
          </cell>
          <cell r="D2918">
            <v>6.31</v>
          </cell>
        </row>
        <row r="2919">
          <cell r="A2919" t="str">
            <v>91949</v>
          </cell>
          <cell r="B2919" t="str">
            <v>SUPORTE PARAFUSADO COM PLACA DE ENCAIXE 4" X 4" ALTO (2,00 M DO PISO) PARA PONTO ELÉTRICO - FORNECIMENTO E INSTALAÇÃO. AF_12/2015</v>
          </cell>
          <cell r="C2919" t="str">
            <v>UN</v>
          </cell>
          <cell r="D2919">
            <v>13.3</v>
          </cell>
        </row>
        <row r="2920">
          <cell r="A2920" t="str">
            <v>91950</v>
          </cell>
          <cell r="B2920" t="str">
            <v>SUPORTE PARAFUSADO COM PLACA DE ENCAIXE 4" X 4" MÉDIO (1,30 M DO PISO) PARA PONTO ELÉTRICO - FORNECIMENTO E INSTALAÇÃO. AF_12/2015</v>
          </cell>
          <cell r="C2920" t="str">
            <v>UN</v>
          </cell>
          <cell r="D2920">
            <v>11.43</v>
          </cell>
        </row>
        <row r="2921">
          <cell r="A2921" t="str">
            <v>91951</v>
          </cell>
          <cell r="B2921" t="str">
            <v>SUPORTE PARAFUSADO COM PLACA DE ENCAIXE 4" X 4" BAIXO (0,30 M DO PISO) PARA PONTO ELÉTRICO - FORNECIMENTO E INSTALAÇÃO. AF_12/2015</v>
          </cell>
          <cell r="C2921" t="str">
            <v>UN</v>
          </cell>
          <cell r="D2921">
            <v>10.3</v>
          </cell>
        </row>
        <row r="2922">
          <cell r="A2922" t="str">
            <v>91952</v>
          </cell>
          <cell r="B2922" t="str">
            <v>INTERRUPTOR SIMPLES (1 MÓDULO), 10A/250V, SEM SUPORTE E SEM PLACA - FORNECIMENTO E INSTALAÇÃO. AF_12/2015</v>
          </cell>
          <cell r="C2922" t="str">
            <v>UN</v>
          </cell>
          <cell r="D2922">
            <v>16.82</v>
          </cell>
        </row>
        <row r="2923">
          <cell r="A2923" t="str">
            <v>91953</v>
          </cell>
          <cell r="B2923" t="str">
            <v>INTERRUPTOR SIMPLES (1 MÓDULO), 10A/250V, INCLUINDO SUPORTE E PLACA - FORNECIMENTO E INSTALAÇÃO. AF_12/2015</v>
          </cell>
          <cell r="C2923" t="str">
            <v>UN</v>
          </cell>
          <cell r="D2923">
            <v>24.09</v>
          </cell>
        </row>
        <row r="2924">
          <cell r="A2924" t="str">
            <v>91954</v>
          </cell>
          <cell r="B2924" t="str">
            <v>INTERRUPTOR PARALELO (1 MÓDULO), 10A/250V, SEM SUPORTE E SEM PLACA - FORNECIMENTO E INSTALAÇÃO. AF_12/2015</v>
          </cell>
          <cell r="C2924" t="str">
            <v>UN</v>
          </cell>
          <cell r="D2924">
            <v>22.62</v>
          </cell>
        </row>
        <row r="2925">
          <cell r="A2925" t="str">
            <v>91955</v>
          </cell>
          <cell r="B2925" t="str">
            <v>INTERRUPTOR PARALELO (1 MÓDULO), 10A/250V, INCLUINDO SUPORTE E PLACA - FORNECIMENTO E INSTALAÇÃO. AF_12/2015</v>
          </cell>
          <cell r="C2925" t="str">
            <v>UN</v>
          </cell>
          <cell r="D2925">
            <v>29.89</v>
          </cell>
        </row>
        <row r="2926">
          <cell r="A2926" t="str">
            <v>91956</v>
          </cell>
          <cell r="B2926" t="str">
            <v>INTERRUPTOR SIMPLES (1 MÓDULO) COM INTERRUPTOR PARALELO (1 MÓDULO), 10A/250V, SEM SUPORTE E SEM PLACA - FORNECIMENTO E INSTALAÇÃO. AF_12/2015</v>
          </cell>
          <cell r="C2926" t="str">
            <v>UN</v>
          </cell>
          <cell r="D2926">
            <v>36.549999999999997</v>
          </cell>
        </row>
        <row r="2927">
          <cell r="A2927" t="str">
            <v>91957</v>
          </cell>
          <cell r="B2927" t="str">
            <v>INTERRUPTOR SIMPLES (1 MÓDULO) COM INTERRUPTOR PARALELO (1 MÓDULO), 10A/250V, INCLUINDO SUPORTE E PLACA - FORNECIMENTO E INSTALAÇÃO. AF_12/2015</v>
          </cell>
          <cell r="C2927" t="str">
            <v>UN</v>
          </cell>
          <cell r="D2927">
            <v>43.82</v>
          </cell>
        </row>
        <row r="2928">
          <cell r="A2928" t="str">
            <v>91958</v>
          </cell>
          <cell r="B2928" t="str">
            <v>INTERRUPTOR SIMPLES (2 MÓDULOS), 10A/250V, SEM SUPORTE E SEM PLACA - FORNECIMENTO E INSTALAÇÃO. AF_12/2015</v>
          </cell>
          <cell r="C2928" t="str">
            <v>UN</v>
          </cell>
          <cell r="D2928">
            <v>30.81</v>
          </cell>
        </row>
        <row r="2929">
          <cell r="A2929" t="str">
            <v>91959</v>
          </cell>
          <cell r="B2929" t="str">
            <v>INTERRUPTOR SIMPLES (2 MÓDULOS), 10A/250V, INCLUINDO SUPORTE E PLACA - FORNECIMENTO E INSTALAÇÃO. AF_12/2015</v>
          </cell>
          <cell r="C2929" t="str">
            <v>UN</v>
          </cell>
          <cell r="D2929">
            <v>38.08</v>
          </cell>
        </row>
        <row r="2930">
          <cell r="A2930" t="str">
            <v>91960</v>
          </cell>
          <cell r="B2930" t="str">
            <v>INTERRUPTOR PARALELO (2 MÓDULOS), 10A/250V, SEM SUPORTE E SEM PLACA - FORNECIMENTO E INSTALAÇÃO. AF_12/2015</v>
          </cell>
          <cell r="C2930" t="str">
            <v>UN</v>
          </cell>
          <cell r="D2930">
            <v>42.35</v>
          </cell>
        </row>
        <row r="2931">
          <cell r="A2931" t="str">
            <v>91961</v>
          </cell>
          <cell r="B2931" t="str">
            <v>INTERRUPTOR PARALELO (2 MÓDULOS), 10A/250V, INCLUINDO SUPORTE E PLACA - FORNECIMENTO E INSTALAÇÃO. AF_12/2015</v>
          </cell>
          <cell r="C2931" t="str">
            <v>UN</v>
          </cell>
          <cell r="D2931">
            <v>49.62</v>
          </cell>
        </row>
        <row r="2932">
          <cell r="A2932" t="str">
            <v>91962</v>
          </cell>
          <cell r="B2932" t="str">
            <v>INTERRUPTOR SIMPLES (1 MÓDULO) COM INTERRUPTOR PARALELO (2 MÓDULOS), 10A/250V, SEM SUPORTE E SEM PLACA - FORNECIMENTO E INSTALAÇÃO. AF_12/2015</v>
          </cell>
          <cell r="C2932" t="str">
            <v>UN</v>
          </cell>
          <cell r="D2932">
            <v>56.33</v>
          </cell>
        </row>
        <row r="2933">
          <cell r="A2933" t="str">
            <v>91963</v>
          </cell>
          <cell r="B2933" t="str">
            <v>INTERRUPTOR SIMPLES (1 MÓDULO) COM INTERRUPTOR PARALELO (2 MÓDULOS), 10A/250V, INCLUINDO SUPORTE E PLACA - FORNECIMENTO E INSTALAÇÃO. AF_12/2015</v>
          </cell>
          <cell r="C2933" t="str">
            <v>UN</v>
          </cell>
          <cell r="D2933">
            <v>63.6</v>
          </cell>
        </row>
        <row r="2934">
          <cell r="A2934" t="str">
            <v>91964</v>
          </cell>
          <cell r="B2934" t="str">
            <v>INTERRUPTOR SIMPLES (2 MÓDULOS) COM INTERRUPTOR PARALELO (1 MÓDULO), 10A/250V, SEM SUPORTE E SEM PLACA - FORNECIMENTO E INSTALAÇÃO. AF_12/2015</v>
          </cell>
          <cell r="C2934" t="str">
            <v>UN</v>
          </cell>
          <cell r="D2934">
            <v>50.54</v>
          </cell>
        </row>
        <row r="2935">
          <cell r="A2935" t="str">
            <v>91965</v>
          </cell>
          <cell r="B2935" t="str">
            <v>INTERRUPTOR SIMPLES (2 MÓDULOS) COM INTERRUPTOR PARALELO (1 MÓDULO), 10A/250V, INCLUINDO SUPORTE E PLACA - FORNECIMENTO E INSTALAÇÃO. AF_12/2015</v>
          </cell>
          <cell r="C2935" t="str">
            <v>UN</v>
          </cell>
          <cell r="D2935">
            <v>57.81</v>
          </cell>
        </row>
        <row r="2936">
          <cell r="A2936" t="str">
            <v>91966</v>
          </cell>
          <cell r="B2936" t="str">
            <v>INTERRUPTOR SIMPLES (3 MÓDULOS), 10A/250V, SEM SUPORTE E SEM PLACA - FORNECIMENTO E INSTALAÇÃO. AF_12/2015</v>
          </cell>
          <cell r="C2936" t="str">
            <v>UN</v>
          </cell>
          <cell r="D2936">
            <v>44.8</v>
          </cell>
        </row>
        <row r="2937">
          <cell r="A2937" t="str">
            <v>91967</v>
          </cell>
          <cell r="B2937" t="str">
            <v>INTERRUPTOR SIMPLES (3 MÓDULOS), 10A/250V, INCLUINDO SUPORTE E PLACA - FORNECIMENTO E INSTALAÇÃO. AF_12/2015</v>
          </cell>
          <cell r="C2937" t="str">
            <v>UN</v>
          </cell>
          <cell r="D2937">
            <v>52.07</v>
          </cell>
        </row>
        <row r="2938">
          <cell r="A2938" t="str">
            <v>91968</v>
          </cell>
          <cell r="B2938" t="str">
            <v>INTERRUPTOR PARALELO (3 MÓDULOS), 10A/250V, SEM SUPORTE E SEM PLACA - FORNECIMENTO E INSTALAÇÃO. AF_12/2015</v>
          </cell>
          <cell r="C2938" t="str">
            <v>UN</v>
          </cell>
          <cell r="D2938">
            <v>62.08</v>
          </cell>
        </row>
        <row r="2939">
          <cell r="A2939" t="str">
            <v>91969</v>
          </cell>
          <cell r="B2939" t="str">
            <v>INTERRUPTOR PARALELO (3 MÓDULOS), 10A/250V, INCLUINDO SUPORTE E PLACA - FORNECIMENTO E INSTALAÇÃO. AF_12/2015</v>
          </cell>
          <cell r="C2939" t="str">
            <v>UN</v>
          </cell>
          <cell r="D2939">
            <v>69.349999999999994</v>
          </cell>
        </row>
        <row r="2940">
          <cell r="A2940" t="str">
            <v>91970</v>
          </cell>
          <cell r="B2940" t="str">
            <v>INTERRUPTOR SIMPLES (3 MÓDULOS) COM INTERRUPTOR PARALELO (1 MÓDULO), 10A/250V, SEM SUPORTE E SEM PLACA - FORNECIMENTO E INSTALAÇÃO. AF_12/2015</v>
          </cell>
          <cell r="C2940" t="str">
            <v>UN</v>
          </cell>
          <cell r="D2940">
            <v>64.86</v>
          </cell>
        </row>
        <row r="2941">
          <cell r="A2941" t="str">
            <v>91971</v>
          </cell>
          <cell r="B2941" t="str">
            <v>INTERRUPTOR SIMPLES (3 MÓDULOS) COM INTERRUPTOR PARALELO (1 MÓDULO), 10A/250V, INCLUINDO SUPORTE E PLACA - FORNECIMENTO E INSTALAÇÃO. AF_12/2015</v>
          </cell>
          <cell r="C2941" t="str">
            <v>UN</v>
          </cell>
          <cell r="D2941">
            <v>76.290000000000006</v>
          </cell>
        </row>
        <row r="2942">
          <cell r="A2942" t="str">
            <v>91972</v>
          </cell>
          <cell r="B2942" t="str">
            <v>INTERRUPTOR SIMPLES (2 MÓDULOS) COM INTERRUPTOR PARALELO (2 MÓDULOS), 10A/250V, SEM SUPORTE E SEM PLACA - FORNECIMENTO E INSTALAÇÃO. AF_12/2015</v>
          </cell>
          <cell r="C2942" t="str">
            <v>UN</v>
          </cell>
          <cell r="D2942">
            <v>70.650000000000006</v>
          </cell>
        </row>
        <row r="2943">
          <cell r="A2943" t="str">
            <v>91973</v>
          </cell>
          <cell r="B2943" t="str">
            <v>INTERRUPTOR SIMPLES (2 MÓDULOS) COM INTERRUPTOR PARALELO (2 MÓDULOS), 10A/250V, INCLUINDO SUPORTE E PLACA - FORNECIMENTO E INSTALAÇÃO. AF_12/2015</v>
          </cell>
          <cell r="C2943" t="str">
            <v>UN</v>
          </cell>
          <cell r="D2943">
            <v>82.08</v>
          </cell>
        </row>
        <row r="2944">
          <cell r="A2944" t="str">
            <v>91974</v>
          </cell>
          <cell r="B2944" t="str">
            <v>INTERRUPTOR SIMPLES (4 MÓDULOS), 10A/250V, SEM SUPORTE E SEM PLACA - FORNECIMENTO E INSTALAÇÃO. AF_12/2015</v>
          </cell>
          <cell r="C2944" t="str">
            <v>UN</v>
          </cell>
          <cell r="D2944">
            <v>59.07</v>
          </cell>
        </row>
        <row r="2945">
          <cell r="A2945" t="str">
            <v>91975</v>
          </cell>
          <cell r="B2945" t="str">
            <v>INTERRUPTOR SIMPLES (4 MÓDULOS), 10A/250V, INCLUINDO SUPORTE E PLACA - FORNECIMENTO E INSTALAÇÃO. AF_12/2015</v>
          </cell>
          <cell r="C2945" t="str">
            <v>UN</v>
          </cell>
          <cell r="D2945">
            <v>70.5</v>
          </cell>
        </row>
        <row r="2946">
          <cell r="A2946" t="str">
            <v>91976</v>
          </cell>
          <cell r="B2946" t="str">
            <v>INTERRUPTOR SIMPLES (6 MÓDULOS), 10A/250V, SEM SUPORTE E SEM PLACA - FORNECIMENTO E INSTALAÇÃO. AF_12/2015</v>
          </cell>
          <cell r="C2946" t="str">
            <v>UN</v>
          </cell>
          <cell r="D2946">
            <v>87.14</v>
          </cell>
        </row>
        <row r="2947">
          <cell r="A2947" t="str">
            <v>91977</v>
          </cell>
          <cell r="B2947" t="str">
            <v>INTERRUPTOR SIMPLES (6 MÓDULOS), 10A/250V, INCLUINDO SUPORTE E PLACA - FORNECIMENTO E INSTALAÇÃO. AF_12/2015</v>
          </cell>
          <cell r="C2947" t="str">
            <v>UN</v>
          </cell>
          <cell r="D2947">
            <v>98.57</v>
          </cell>
        </row>
        <row r="2948">
          <cell r="A2948" t="str">
            <v>91978</v>
          </cell>
          <cell r="B2948" t="str">
            <v>INTERRUPTOR INTERMEDIÁRIO (1 MÓDULO), 10A/250V, SEM SUPORTE E SEM PLACA - FORNECIMENTO E INSTALAÇÃO. AF_09/2017</v>
          </cell>
          <cell r="C2948" t="str">
            <v>UN</v>
          </cell>
          <cell r="D2948">
            <v>35.54</v>
          </cell>
        </row>
        <row r="2949">
          <cell r="A2949" t="str">
            <v>91979</v>
          </cell>
          <cell r="B2949" t="str">
            <v>INTERRUPTOR INTERMEDIÁRIO (1 MÓDULO), 10A/250V, INCLUINDO SUPORTE E PLACA - FORNECIMENTO E INSTALAÇÃO. AF_09/2017</v>
          </cell>
          <cell r="C2949" t="str">
            <v>UN</v>
          </cell>
          <cell r="D2949">
            <v>42.81</v>
          </cell>
        </row>
        <row r="2950">
          <cell r="A2950" t="str">
            <v>91980</v>
          </cell>
          <cell r="B2950" t="str">
            <v>INTERRUPTOR BIPOLAR (1 MÓDULO), 10A/250V, SEM SUPORTE E SEM PLACA - FORNECIMENTO E INSTALAÇÃO. AF_09/2017</v>
          </cell>
          <cell r="C2950" t="str">
            <v>UN</v>
          </cell>
          <cell r="D2950">
            <v>34.450000000000003</v>
          </cell>
        </row>
        <row r="2951">
          <cell r="A2951" t="str">
            <v>91981</v>
          </cell>
          <cell r="B2951" t="str">
            <v>INTERRUPTOR BIPOLAR (1 MÓDULO), 10A/250V, INCLUINDO SUPORTE E PLACA - FORNECIMENTO E INSTALAÇÃO. AF_09/2017</v>
          </cell>
          <cell r="C2951" t="str">
            <v>UN</v>
          </cell>
          <cell r="D2951">
            <v>41.72</v>
          </cell>
        </row>
        <row r="2952">
          <cell r="A2952" t="str">
            <v>91982</v>
          </cell>
          <cell r="B2952" t="str">
            <v>DIMMER ROTATIVO (1 MÓDULO), 220V/600W, SEM SUPORTE E SEM PLACA - FORNECIMENTO E INSTALAÇÃO. AF_09/2017</v>
          </cell>
          <cell r="C2952" t="str">
            <v>UN</v>
          </cell>
          <cell r="D2952">
            <v>79.319999999999993</v>
          </cell>
        </row>
        <row r="2953">
          <cell r="A2953" t="str">
            <v>91983</v>
          </cell>
          <cell r="B2953" t="str">
            <v>DIMMER ROTATIVO (1 MÓDULO), 220V/600W, INCLUINDO SUPORTE E PLACA - FORNECIMENTO E INSTALAÇÃO. AF_09/2017</v>
          </cell>
          <cell r="C2953" t="str">
            <v>UN</v>
          </cell>
          <cell r="D2953">
            <v>86.59</v>
          </cell>
        </row>
        <row r="2954">
          <cell r="A2954" t="str">
            <v>91984</v>
          </cell>
          <cell r="B2954" t="str">
            <v>INTERRUPTOR PULSADOR CAMPAINHA (1 MÓDULO), 10A/250V, SEM SUPORTE E SEM PLACA - FORNECIMENTO E INSTALAÇÃO. AF_09/2017</v>
          </cell>
          <cell r="C2954" t="str">
            <v>UN</v>
          </cell>
          <cell r="D2954">
            <v>15.82</v>
          </cell>
        </row>
        <row r="2955">
          <cell r="A2955" t="str">
            <v>91985</v>
          </cell>
          <cell r="B2955" t="str">
            <v>INTERRUPTOR PULSADOR CAMPAINHA (1 MÓDULO), 10A/250V, INCLUINDO SUPORTE E PLACA - FORNECIMENTO E INSTALAÇÃO. AF_09/2017</v>
          </cell>
          <cell r="C2955" t="str">
            <v>UN</v>
          </cell>
          <cell r="D2955">
            <v>23.09</v>
          </cell>
        </row>
        <row r="2956">
          <cell r="A2956" t="str">
            <v>91986</v>
          </cell>
          <cell r="B2956" t="str">
            <v>CAMPAINHA CIGARRA (1 MÓDULO), 10A/250V, SEM SUPORTE E SEM PLACA - FORNECIMENTO E INSTALAÇÃO. AF_09/2017</v>
          </cell>
          <cell r="C2956" t="str">
            <v>UN</v>
          </cell>
          <cell r="D2956">
            <v>33.15</v>
          </cell>
        </row>
        <row r="2957">
          <cell r="A2957" t="str">
            <v>91987</v>
          </cell>
          <cell r="B2957" t="str">
            <v>CAMPAINHA CIGARRA (1 MÓDULO), 10A/250V, INCLUINDO SUPORTE E PLACA - FORNECIMENTO E INSTALAÇÃO. AF_09/2017</v>
          </cell>
          <cell r="C2957" t="str">
            <v>UN</v>
          </cell>
          <cell r="D2957">
            <v>40.42</v>
          </cell>
        </row>
        <row r="2958">
          <cell r="A2958" t="str">
            <v>91988</v>
          </cell>
          <cell r="B2958" t="str">
            <v>INTERRUPTOR PULSADOR MINUTERIA (1 MÓDULO), 10A/250V, SEM SUPORTE E SEM PLACA - FORNECIMENTO E INSTALAÇÃO. AF_09/2017</v>
          </cell>
          <cell r="C2958" t="str">
            <v>UN</v>
          </cell>
          <cell r="D2958">
            <v>19.45</v>
          </cell>
        </row>
        <row r="2959">
          <cell r="A2959" t="str">
            <v>91989</v>
          </cell>
          <cell r="B2959" t="str">
            <v>INTERRUPTOR PULSADOR MINUTERIA (1 MÓDULO), 10A/250V, INCLUINDO SUPORTE E PLACA - FORNECIMENTO E INSTALAÇÃO. AF_09/2017</v>
          </cell>
          <cell r="C2959" t="str">
            <v>UN</v>
          </cell>
          <cell r="D2959">
            <v>26.72</v>
          </cell>
        </row>
        <row r="2960">
          <cell r="A2960" t="str">
            <v>91990</v>
          </cell>
          <cell r="B2960" t="str">
            <v>TOMADA ALTA DE EMBUTIR (1 MÓDULO), 2P+T 10 A, SEM SUPORTE E SEM PLACA - FORNECIMENTO E INSTALAÇÃO. AF_12/2015</v>
          </cell>
          <cell r="C2960" t="str">
            <v>UN</v>
          </cell>
          <cell r="D2960">
            <v>30.51</v>
          </cell>
        </row>
        <row r="2961">
          <cell r="A2961" t="str">
            <v>91991</v>
          </cell>
          <cell r="B2961" t="str">
            <v>TOMADA ALTA DE EMBUTIR (1 MÓDULO), 2P+T 20 A, SEM SUPORTE E SEM PLACA - FORNECIMENTO E INSTALAÇÃO. AF_12/2015</v>
          </cell>
          <cell r="C2961" t="str">
            <v>UN</v>
          </cell>
          <cell r="D2961">
            <v>32.47</v>
          </cell>
        </row>
        <row r="2962">
          <cell r="A2962" t="str">
            <v>91992</v>
          </cell>
          <cell r="B2962" t="str">
            <v>TOMADA ALTA DE EMBUTIR (1 MÓDULO), 2P+T 10 A, INCLUINDO SUPORTE E PLACA - FORNECIMENTO E INSTALAÇÃO. AF_12/2015</v>
          </cell>
          <cell r="C2962" t="str">
            <v>UN</v>
          </cell>
          <cell r="D2962">
            <v>37.78</v>
          </cell>
        </row>
        <row r="2963">
          <cell r="A2963" t="str">
            <v>91993</v>
          </cell>
          <cell r="B2963" t="str">
            <v>TOMADA ALTA DE EMBUTIR (1 MÓDULO), 2P+T 20 A, INCLUINDO SUPORTE E PLACA - FORNECIMENTO E INSTALAÇÃO. AF_12/2015</v>
          </cell>
          <cell r="C2963" t="str">
            <v>UN</v>
          </cell>
          <cell r="D2963">
            <v>39.74</v>
          </cell>
        </row>
        <row r="2964">
          <cell r="A2964" t="str">
            <v>91994</v>
          </cell>
          <cell r="B2964" t="str">
            <v>TOMADA MÉDIA DE EMBUTIR (1 MÓDULO), 2P+T 10 A, SEM SUPORTE E SEM PLACA - FORNECIMENTO E INSTALAÇÃO. AF_12/2015</v>
          </cell>
          <cell r="C2964" t="str">
            <v>UN</v>
          </cell>
          <cell r="D2964">
            <v>21.61</v>
          </cell>
        </row>
        <row r="2965">
          <cell r="A2965" t="str">
            <v>91995</v>
          </cell>
          <cell r="B2965" t="str">
            <v>TOMADA MÉDIA DE EMBUTIR (1 MÓDULO), 2P+T 20 A, SEM SUPORTE E SEM PLACA - FORNECIMENTO E INSTALAÇÃO. AF_12/2015</v>
          </cell>
          <cell r="C2965" t="str">
            <v>UN</v>
          </cell>
          <cell r="D2965">
            <v>23.57</v>
          </cell>
        </row>
        <row r="2966">
          <cell r="A2966" t="str">
            <v>91996</v>
          </cell>
          <cell r="B2966" t="str">
            <v>TOMADA MÉDIA DE EMBUTIR (1 MÓDULO), 2P+T 10 A, INCLUINDO SUPORTE E PLACA - FORNECIMENTO E INSTALAÇÃO. AF_12/2015</v>
          </cell>
          <cell r="C2966" t="str">
            <v>UN</v>
          </cell>
          <cell r="D2966">
            <v>28.88</v>
          </cell>
        </row>
        <row r="2967">
          <cell r="A2967" t="str">
            <v>91997</v>
          </cell>
          <cell r="B2967" t="str">
            <v>TOMADA MÉDIA DE EMBUTIR (1 MÓDULO), 2P+T 20 A, INCLUINDO SUPORTE E PLACA - FORNECIMENTO E INSTALAÇÃO. AF_12/2015</v>
          </cell>
          <cell r="C2967" t="str">
            <v>UN</v>
          </cell>
          <cell r="D2967">
            <v>30.84</v>
          </cell>
        </row>
        <row r="2968">
          <cell r="A2968" t="str">
            <v>91998</v>
          </cell>
          <cell r="B2968" t="str">
            <v>TOMADA BAIXA DE EMBUTIR (1 MÓDULO), 2P+T 10 A, SEM SUPORTE E SEM PLACA - FORNECIMENTO E INSTALAÇÃO. AF_12/2015</v>
          </cell>
          <cell r="C2968" t="str">
            <v>UN</v>
          </cell>
          <cell r="D2968">
            <v>18.149999999999999</v>
          </cell>
        </row>
        <row r="2969">
          <cell r="A2969" t="str">
            <v>91999</v>
          </cell>
          <cell r="B2969" t="str">
            <v>TOMADA BAIXA DE EMBUTIR (1 MÓDULO), 2P+T 20 A, SEM SUPORTE E SEM PLACA - FORNECIMENTO E INSTALAÇÃO. AF_12/2015</v>
          </cell>
          <cell r="C2969" t="str">
            <v>UN</v>
          </cell>
          <cell r="D2969">
            <v>20.11</v>
          </cell>
        </row>
        <row r="2970">
          <cell r="A2970" t="str">
            <v>92000</v>
          </cell>
          <cell r="B2970" t="str">
            <v>TOMADA BAIXA DE EMBUTIR (1 MÓDULO), 2P+T 10 A, INCLUINDO SUPORTE E PLACA - FORNECIMENTO E INSTALAÇÃO. AF_12/2015</v>
          </cell>
          <cell r="C2970" t="str">
            <v>UN</v>
          </cell>
          <cell r="D2970">
            <v>25.42</v>
          </cell>
        </row>
        <row r="2971">
          <cell r="A2971" t="str">
            <v>92001</v>
          </cell>
          <cell r="B2971" t="str">
            <v>TOMADA BAIXA DE EMBUTIR (1 MÓDULO), 2P+T 20 A, INCLUINDO SUPORTE E PLACA - FORNECIMENTO E INSTALAÇÃO. AF_12/2015</v>
          </cell>
          <cell r="C2971" t="str">
            <v>UN</v>
          </cell>
          <cell r="D2971">
            <v>27.38</v>
          </cell>
        </row>
        <row r="2972">
          <cell r="A2972" t="str">
            <v>92002</v>
          </cell>
          <cell r="B2972" t="str">
            <v>TOMADA MÉDIA DE EMBUTIR (2 MÓDULOS), 2P+T 10 A, SEM SUPORTE E SEM PLACA - FORNECIMENTO E INSTALAÇÃO. AF_12/2015</v>
          </cell>
          <cell r="C2972" t="str">
            <v>UN</v>
          </cell>
          <cell r="D2972">
            <v>40.33</v>
          </cell>
        </row>
        <row r="2973">
          <cell r="A2973" t="str">
            <v>92003</v>
          </cell>
          <cell r="B2973" t="str">
            <v>TOMADA MÉDIA DE EMBUTIR (2 MÓDULOS), 2P+T 20 A, SEM SUPORTE E SEM PLACA - FORNECIMENTO E INSTALAÇÃO. AF_12/2015</v>
          </cell>
          <cell r="C2973" t="str">
            <v>UN</v>
          </cell>
          <cell r="D2973">
            <v>44.25</v>
          </cell>
        </row>
        <row r="2974">
          <cell r="A2974" t="str">
            <v>92004</v>
          </cell>
          <cell r="B2974" t="str">
            <v>TOMADA MÉDIA DE EMBUTIR (2 MÓDULOS), 2P+T 10 A, INCLUINDO SUPORTE E PLACA - FORNECIMENTO E INSTALAÇÃO. AF_12/2015</v>
          </cell>
          <cell r="C2974" t="str">
            <v>UN</v>
          </cell>
          <cell r="D2974">
            <v>47.6</v>
          </cell>
        </row>
        <row r="2975">
          <cell r="A2975" t="str">
            <v>92005</v>
          </cell>
          <cell r="B2975" t="str">
            <v>TOMADA MÉDIA DE EMBUTIR (2 MÓDULOS), 2P+T 20 A, INCLUINDO SUPORTE E PLACA - FORNECIMENTO E INSTALAÇÃO. AF_12/2015</v>
          </cell>
          <cell r="C2975" t="str">
            <v>UN</v>
          </cell>
          <cell r="D2975">
            <v>51.52</v>
          </cell>
        </row>
        <row r="2976">
          <cell r="A2976" t="str">
            <v>92006</v>
          </cell>
          <cell r="B2976" t="str">
            <v>TOMADA BAIXA DE EMBUTIR (2 MÓDULOS), 2P+T 10 A, SEM SUPORTE E SEM PLACA - FORNECIMENTO E INSTALAÇÃO. AF_12/2015</v>
          </cell>
          <cell r="C2976" t="str">
            <v>UN</v>
          </cell>
          <cell r="D2976">
            <v>33.409999999999997</v>
          </cell>
        </row>
        <row r="2977">
          <cell r="A2977" t="str">
            <v>92007</v>
          </cell>
          <cell r="B2977" t="str">
            <v>TOMADA BAIXA DE EMBUTIR (2 MÓDULOS), 2P+T 20 A, SEM SUPORTE E SEM PLACA - FORNECIMENTO E INSTALAÇÃO. AF_12/2015</v>
          </cell>
          <cell r="C2977" t="str">
            <v>UN</v>
          </cell>
          <cell r="D2977">
            <v>37.33</v>
          </cell>
        </row>
        <row r="2978">
          <cell r="A2978" t="str">
            <v>92008</v>
          </cell>
          <cell r="B2978" t="str">
            <v>TOMADA BAIXA DE EMBUTIR (2 MÓDULOS), 2P+T 10 A, INCLUINDO SUPORTE E PLACA - FORNECIMENTO E INSTALAÇÃO. AF_12/2015</v>
          </cell>
          <cell r="C2978" t="str">
            <v>UN</v>
          </cell>
          <cell r="D2978">
            <v>40.68</v>
          </cell>
        </row>
        <row r="2979">
          <cell r="A2979" t="str">
            <v>92009</v>
          </cell>
          <cell r="B2979" t="str">
            <v>TOMADA BAIXA DE EMBUTIR (2 MÓDULOS), 2P+T 20 A, INCLUINDO SUPORTE E PLACA - FORNECIMENTO E INSTALAÇÃO. AF_12/2015</v>
          </cell>
          <cell r="C2979" t="str">
            <v>UN</v>
          </cell>
          <cell r="D2979">
            <v>44.6</v>
          </cell>
        </row>
        <row r="2980">
          <cell r="A2980" t="str">
            <v>92010</v>
          </cell>
          <cell r="B2980" t="str">
            <v>TOMADA MÉDIA DE EMBUTIR (3 MÓDULOS), 2P+T 10 A, SEM SUPORTE E SEM PLACA - FORNECIMENTO E INSTALAÇÃO. AF_12/2015</v>
          </cell>
          <cell r="C2980" t="str">
            <v>UN</v>
          </cell>
          <cell r="D2980">
            <v>59.05</v>
          </cell>
        </row>
        <row r="2981">
          <cell r="A2981" t="str">
            <v>92011</v>
          </cell>
          <cell r="B2981" t="str">
            <v>TOMADA MÉDIA DE EMBUTIR (3 MÓDULOS), 2P+T 20 A, SEM SUPORTE E SEM PLACA - FORNECIMENTO E INSTALAÇÃO. AF_12/2015</v>
          </cell>
          <cell r="C2981" t="str">
            <v>UN</v>
          </cell>
          <cell r="D2981">
            <v>64.930000000000007</v>
          </cell>
        </row>
        <row r="2982">
          <cell r="A2982" t="str">
            <v>92012</v>
          </cell>
          <cell r="B2982" t="str">
            <v>TOMADA MÉDIA DE EMBUTIR (3 MÓDULOS), 2P+T 10 A, INCLUINDO SUPORTE E PLACA - FORNECIMENTO E INSTALAÇÃO. AF_12/2015</v>
          </cell>
          <cell r="C2982" t="str">
            <v>UN</v>
          </cell>
          <cell r="D2982">
            <v>66.319999999999993</v>
          </cell>
        </row>
        <row r="2983">
          <cell r="A2983" t="str">
            <v>92013</v>
          </cell>
          <cell r="B2983" t="str">
            <v>TOMADA MÉDIA DE EMBUTIR (3 MÓDULOS), 2P+T 20 A, INCLUINDO SUPORTE E PLACA - FORNECIMENTO E INSTALAÇÃO. AF_12/2015</v>
          </cell>
          <cell r="C2983" t="str">
            <v>UN</v>
          </cell>
          <cell r="D2983">
            <v>72.2</v>
          </cell>
        </row>
        <row r="2984">
          <cell r="A2984" t="str">
            <v>92014</v>
          </cell>
          <cell r="B2984" t="str">
            <v>TOMADA BAIXA DE EMBUTIR (3 MÓDULOS), 2P+T 10 A, SEM SUPORTE E SEM PLACA - FORNECIMENTO E INSTALAÇÃO. AF_12/2015</v>
          </cell>
          <cell r="C2984" t="str">
            <v>UN</v>
          </cell>
          <cell r="D2984">
            <v>48.67</v>
          </cell>
        </row>
        <row r="2985">
          <cell r="A2985" t="str">
            <v>92015</v>
          </cell>
          <cell r="B2985" t="str">
            <v>TOMADA BAIXA DE EMBUTIR (3 MÓDULOS), 2P+T 20 A, SEM SUPORTE E SEM PLACA - FORNECIMENTO E INSTALAÇÃO. AF_12/2015</v>
          </cell>
          <cell r="C2985" t="str">
            <v>UN</v>
          </cell>
          <cell r="D2985">
            <v>54.55</v>
          </cell>
        </row>
        <row r="2986">
          <cell r="A2986" t="str">
            <v>92016</v>
          </cell>
          <cell r="B2986" t="str">
            <v>TOMADA BAIXA DE EMBUTIR (3 MÓDULOS), 2P+T 10 A, INCLUINDO SUPORTE E PLACA - FORNECIMENTO E INSTALAÇÃO. AF_12/2015</v>
          </cell>
          <cell r="C2986" t="str">
            <v>UN</v>
          </cell>
          <cell r="D2986">
            <v>55.94</v>
          </cell>
        </row>
        <row r="2987">
          <cell r="A2987" t="str">
            <v>92017</v>
          </cell>
          <cell r="B2987" t="str">
            <v>TOMADA BAIXA DE EMBUTIR (3 MÓDULOS), 2P+T 20 A, INCLUINDO SUPORTE E PLACA - FORNECIMENTO E INSTALAÇÃO. AF_12/2015</v>
          </cell>
          <cell r="C2987" t="str">
            <v>UN</v>
          </cell>
          <cell r="D2987">
            <v>61.82</v>
          </cell>
        </row>
        <row r="2988">
          <cell r="A2988" t="str">
            <v>92018</v>
          </cell>
          <cell r="B2988" t="str">
            <v>TOMADA BAIXA DE EMBUTIR (4 MÓDULOS), 2P+T 10 A, SEM SUPORTE E SEM PLACA - FORNECIMENTO E INSTALAÇÃO. AF_12/2015</v>
          </cell>
          <cell r="C2988" t="str">
            <v>UN</v>
          </cell>
          <cell r="D2988">
            <v>64.41</v>
          </cell>
        </row>
        <row r="2989">
          <cell r="A2989" t="str">
            <v>92019</v>
          </cell>
          <cell r="B2989" t="str">
            <v>TOMADA BAIXA DE EMBUTIR (4 MÓDULOS), 2P+T 10 A, INCLUINDO SUPORTE E PLACA - FORNECIMENTO E INSTALAÇÃO. AF_12/2015</v>
          </cell>
          <cell r="C2989" t="str">
            <v>UN</v>
          </cell>
          <cell r="D2989">
            <v>75.84</v>
          </cell>
        </row>
        <row r="2990">
          <cell r="A2990" t="str">
            <v>92020</v>
          </cell>
          <cell r="B2990" t="str">
            <v>TOMADA BAIXA DE EMBUTIR (6 MÓDULOS), 2P+T 10 A, SEM SUPORTE E SEM PLACA - FORNECIMENTO E INSTALAÇÃO. AF_12/2015</v>
          </cell>
          <cell r="C2990" t="str">
            <v>UN</v>
          </cell>
          <cell r="D2990">
            <v>95.17</v>
          </cell>
        </row>
        <row r="2991">
          <cell r="A2991" t="str">
            <v>92021</v>
          </cell>
          <cell r="B2991" t="str">
            <v>TOMADA BAIXA DE EMBUTIR (6 MÓDULOS), 2P+T 10 A, INCLUINDO SUPORTE E PLACA - FORNECIMENTO E INSTALAÇÃO. AF_12/2015</v>
          </cell>
          <cell r="C2991" t="str">
            <v>UN</v>
          </cell>
          <cell r="D2991">
            <v>106.6</v>
          </cell>
        </row>
        <row r="2992">
          <cell r="A2992" t="str">
            <v>92022</v>
          </cell>
          <cell r="B2992" t="str">
            <v>INTERRUPTOR SIMPLES (1 MÓDULO) COM 1 TOMADA DE EMBUTIR 2P+T 10 A,  SEM SUPORTE E SEM PLACA - FORNECIMENTO E INSTALAÇÃO. AF_12/2015</v>
          </cell>
          <cell r="C2992" t="str">
            <v>UN</v>
          </cell>
          <cell r="D2992">
            <v>35.54</v>
          </cell>
        </row>
        <row r="2993">
          <cell r="A2993" t="str">
            <v>92023</v>
          </cell>
          <cell r="B2993" t="str">
            <v>INTERRUPTOR SIMPLES (1 MÓDULO) COM 1 TOMADA DE EMBUTIR 2P+T 10 A,  INCLUINDO SUPORTE E PLACA - FORNECIMENTO E INSTALAÇÃO. AF_12/2015</v>
          </cell>
          <cell r="C2993" t="str">
            <v>UN</v>
          </cell>
          <cell r="D2993">
            <v>42.81</v>
          </cell>
        </row>
        <row r="2994">
          <cell r="A2994" t="str">
            <v>92024</v>
          </cell>
          <cell r="B2994" t="str">
            <v>INTERRUPTOR SIMPLES (1 MÓDULO) COM 2 TOMADAS DE EMBUTIR 2P+T 10 A,  SEM SUPORTE E SEM PLACA - FORNECIMENTO E INSTALAÇÃO. AF_12/2015</v>
          </cell>
          <cell r="C2994" t="str">
            <v>UN</v>
          </cell>
          <cell r="D2994">
            <v>54.31</v>
          </cell>
        </row>
        <row r="2995">
          <cell r="A2995" t="str">
            <v>92025</v>
          </cell>
          <cell r="B2995" t="str">
            <v>INTERRUPTOR SIMPLES (1 MÓDULO) COM 2 TOMADAS DE EMBUTIR 2P+T 10 A,  INCLUINDO SUPORTE E PLACA - FORNECIMENTO E INSTALAÇÃO. AF_12/2015</v>
          </cell>
          <cell r="C2995" t="str">
            <v>UN</v>
          </cell>
          <cell r="D2995">
            <v>61.58</v>
          </cell>
        </row>
        <row r="2996">
          <cell r="A2996" t="str">
            <v>92026</v>
          </cell>
          <cell r="B2996" t="str">
            <v>INTERRUPTOR SIMPLES (2 MÓDULOS) COM 1 TOMADA DE EMBUTIR 2P+T 10 A,  SEM SUPORTE E SEM PLACA - FORNECIMENTO E INSTALAÇÃO. AF_12/2015</v>
          </cell>
          <cell r="C2996" t="str">
            <v>UN</v>
          </cell>
          <cell r="D2996">
            <v>49.53</v>
          </cell>
        </row>
        <row r="2997">
          <cell r="A2997" t="str">
            <v>92027</v>
          </cell>
          <cell r="B2997" t="str">
            <v>INTERRUPTOR SIMPLES (2 MÓDULOS) COM 1 TOMADA DE EMBUTIR 2P+T 10 A,  INCLUINDO SUPORTE E PLACA - FORNECIMENTO E INSTALAÇÃO. AF_12/2015</v>
          </cell>
          <cell r="C2997" t="str">
            <v>UN</v>
          </cell>
          <cell r="D2997">
            <v>56.8</v>
          </cell>
        </row>
        <row r="2998">
          <cell r="A2998" t="str">
            <v>92028</v>
          </cell>
          <cell r="B2998" t="str">
            <v>INTERRUPTOR PARALELO (1 MÓDULO) COM 1 TOMADA DE EMBUTIR 2P+T 10 A,  SEM SUPORTE E SEM PLACA - FORNECIMENTO E INSTALAÇÃO. AF_12/2015</v>
          </cell>
          <cell r="C2998" t="str">
            <v>UN</v>
          </cell>
          <cell r="D2998">
            <v>41.34</v>
          </cell>
        </row>
        <row r="2999">
          <cell r="A2999" t="str">
            <v>92029</v>
          </cell>
          <cell r="B2999" t="str">
            <v>INTERRUPTOR PARALELO (1 MÓDULO) COM 1 TOMADA DE EMBUTIR 2P+T 10 A,  INCLUINDO SUPORTE E PLACA - FORNECIMENTO E INSTALAÇÃO. AF_12/2015</v>
          </cell>
          <cell r="C2999" t="str">
            <v>UN</v>
          </cell>
          <cell r="D2999">
            <v>48.61</v>
          </cell>
        </row>
        <row r="3000">
          <cell r="A3000" t="str">
            <v>92030</v>
          </cell>
          <cell r="B3000" t="str">
            <v>INTERRUPTOR PARALELO (1 MÓDULO) COM 2 TOMADAS DE EMBUTIR 2P+T 10 A,  SEM SUPORTE E SEM PLACA - FORNECIMENTO E INSTALAÇÃO. AF_12/2015</v>
          </cell>
          <cell r="C3000" t="str">
            <v>UN</v>
          </cell>
          <cell r="D3000">
            <v>60.06</v>
          </cell>
        </row>
        <row r="3001">
          <cell r="A3001" t="str">
            <v>92031</v>
          </cell>
          <cell r="B3001" t="str">
            <v>INTERRUPTOR PARALELO (1 MÓDULO) COM 2 TOMADAS DE EMBUTIR 2P+T 10 A,  INCLUINDO SUPORTE E PLACA - FORNECIMENTO E INSTALAÇÃO. AF_12/2015</v>
          </cell>
          <cell r="C3001" t="str">
            <v>UN</v>
          </cell>
          <cell r="D3001">
            <v>67.33</v>
          </cell>
        </row>
        <row r="3002">
          <cell r="A3002" t="str">
            <v>92032</v>
          </cell>
          <cell r="B3002" t="str">
            <v>INTERRUPTOR PARALELO (2 MÓDULOS) COM 1 TOMADA DE EMBUTIR 2P+T 10 A,  SEM SUPORTE E SEM PLACA - FORNECIMENTO E INSTALAÇÃO. AF_12/2015</v>
          </cell>
          <cell r="C3002" t="str">
            <v>UN</v>
          </cell>
          <cell r="D3002">
            <v>61.07</v>
          </cell>
        </row>
        <row r="3003">
          <cell r="A3003" t="str">
            <v>92033</v>
          </cell>
          <cell r="B3003" t="str">
            <v>INTERRUPTOR PARALELO (2 MÓDULOS) COM 1 TOMADA DE EMBUTIR 2P+T 10 A,  INCLUINDO SUPORTE E PLACA - FORNECIMENTO E INSTALAÇÃO. AF_12/2015</v>
          </cell>
          <cell r="C3003" t="str">
            <v>UN</v>
          </cell>
          <cell r="D3003">
            <v>68.34</v>
          </cell>
        </row>
        <row r="3004">
          <cell r="A3004" t="str">
            <v>92034</v>
          </cell>
          <cell r="B3004" t="str">
            <v>INTERRUPTOR SIMPLES (1 MÓDULO), INTERRUPTOR PARALELO (1 MÓDULO) E 1 TOMADA DE EMBUTIR 2P+T 10 A,  SEM SUPORTE E SEM PLACA - FORNECIMENTO E INSTALAÇÃO. AF_12/2015</v>
          </cell>
          <cell r="C3004" t="str">
            <v>UN</v>
          </cell>
          <cell r="D3004">
            <v>55.32</v>
          </cell>
        </row>
        <row r="3005">
          <cell r="A3005" t="str">
            <v>92035</v>
          </cell>
          <cell r="B3005" t="str">
            <v>INTERRUPTOR SIMPLES (1 MÓDULO), INTERRUPTOR PARALELO (1 MÓDULO) E 1 TOMADA DE EMBUTIR 2P+T 10 A,  INCLUINDO SUPORTE E PLACA - FORNECIMENTO E INSTALAÇÃO. AF_12/2015</v>
          </cell>
          <cell r="C3005" t="str">
            <v>UN</v>
          </cell>
          <cell r="D3005">
            <v>62.59</v>
          </cell>
        </row>
        <row r="3006">
          <cell r="A3006" t="str">
            <v>97583</v>
          </cell>
          <cell r="B3006" t="str">
            <v>LUMINÁRIA TIPO CALHA, DE SOBREPOR, COM 1 LÂMPADA TUBULAR FLUORESCENTE DE 18 W, COM REATOR DE PARTIDA RÁPIDA - FORNECIMENTO E INSTALAÇÃO. AF_02/2020</v>
          </cell>
          <cell r="C3006" t="str">
            <v>UN</v>
          </cell>
          <cell r="D3006">
            <v>93.08</v>
          </cell>
        </row>
        <row r="3007">
          <cell r="A3007" t="str">
            <v>97584</v>
          </cell>
          <cell r="B3007" t="str">
            <v>LUMINÁRIA TIPO CALHA, DE SOBREPOR, COM 1 LÂMPADA TUBULAR FLUORESCENTE DE 36 W, COM REATOR DE PARTIDA RÁPIDA - FORNECIMENTO E INSTALAÇÃO. AF_02/2020</v>
          </cell>
          <cell r="C3007" t="str">
            <v>UN</v>
          </cell>
          <cell r="D3007">
            <v>131.21</v>
          </cell>
        </row>
        <row r="3008">
          <cell r="A3008" t="str">
            <v>97585</v>
          </cell>
          <cell r="B3008" t="str">
            <v>LUMINÁRIA TIPO CALHA, DE SOBREPOR, COM 2 LÂMPADAS TUBULARES FLUORESCENTES DE 18 W, COM REATOR DE PARTIDA RÁPIDA - FORNECIMENTO E INSTALAÇÃO. AF_02/2020</v>
          </cell>
          <cell r="C3008" t="str">
            <v>UN</v>
          </cell>
          <cell r="D3008">
            <v>125.79</v>
          </cell>
        </row>
        <row r="3009">
          <cell r="A3009" t="str">
            <v>97586</v>
          </cell>
          <cell r="B3009" t="str">
            <v>LUMINÁRIA TIPO CALHA, DE SOBREPOR, COM 2 LÂMPADAS TUBULARES FLUORESCENTES DE 36 W, COM REATOR DE PARTIDA RÁPIDA - FORNECIMENTO E INSTALAÇÃO. AF_02/2020</v>
          </cell>
          <cell r="C3009" t="str">
            <v>UN</v>
          </cell>
          <cell r="D3009">
            <v>171.83</v>
          </cell>
        </row>
        <row r="3010">
          <cell r="A3010" t="str">
            <v>97587</v>
          </cell>
          <cell r="B3010" t="str">
            <v>LUMINÁRIA TIPO CALHA, DE EMBUTIR, COM 2 LÂMPADAS FLUORESCENTES DE 14 W, COM REATOR DE PARTIDA RÁPIDA - FORNECIMENTO E INSTALAÇÃO. AF_02/2020</v>
          </cell>
          <cell r="C3010" t="str">
            <v>UN</v>
          </cell>
          <cell r="D3010">
            <v>316.32</v>
          </cell>
        </row>
        <row r="3011">
          <cell r="A3011" t="str">
            <v>97589</v>
          </cell>
          <cell r="B3011" t="str">
            <v>LUMINÁRIA TIPO PLAFON EM PLÁSTICO, DE SOBREPOR, COM 1 LÂMPADA FLUORESCENTE DE 15 W, SEM REATOR - FORNECIMENTO E INSTALAÇÃO. AF_02/2020</v>
          </cell>
          <cell r="C3011" t="str">
            <v>UN</v>
          </cell>
          <cell r="D3011">
            <v>41.29</v>
          </cell>
        </row>
        <row r="3012">
          <cell r="A3012" t="str">
            <v>97590</v>
          </cell>
          <cell r="B3012" t="str">
            <v>LUMINÁRIA TIPO PLAFON REDONDO COM VIDRO FOSCO, DE SOBREPOR, COM 1 LÂMPADA FLUORESCENTE DE 15 W, SEM REATOR - FORNECIMENTO E INSTALAÇÃO. AF_02/2020</v>
          </cell>
          <cell r="C3012" t="str">
            <v>UN</v>
          </cell>
          <cell r="D3012">
            <v>104.91</v>
          </cell>
        </row>
        <row r="3013">
          <cell r="A3013" t="str">
            <v>97591</v>
          </cell>
          <cell r="B3013" t="str">
            <v>LUMINÁRIA TIPO PLAFON REDONDO COM VIDRO FOSCO, DE SOBREPOR, COM 2 LÂMPADAS FLUORESCENTES DE 15 W, SEM REATOR - FORNECIMENTO E INSTALAÇÃO. AF_02/2020</v>
          </cell>
          <cell r="C3013" t="str">
            <v>UN</v>
          </cell>
          <cell r="D3013">
            <v>136.51</v>
          </cell>
        </row>
        <row r="3014">
          <cell r="A3014" t="str">
            <v>97592</v>
          </cell>
          <cell r="B3014" t="str">
            <v>LUMINÁRIA TIPO PLAFON, DE SOBREPOR, COM 1 LÂMPADA LED DE 12/13 W, SEM REATOR - FORNECIMENTO E INSTALAÇÃO. AF_02/2020</v>
          </cell>
          <cell r="C3014" t="str">
            <v>UN</v>
          </cell>
          <cell r="D3014">
            <v>39.82</v>
          </cell>
        </row>
        <row r="3015">
          <cell r="A3015" t="str">
            <v>97593</v>
          </cell>
          <cell r="B3015" t="str">
            <v>LUMINÁRIA TIPO SPOT, DE SOBREPOR, COM 1 LÂMPADA FLUORESCENTE DE 15 W, SEM REATOR - FORNECIMENTO E INSTALAÇÃO. AF_02/2020</v>
          </cell>
          <cell r="C3015" t="str">
            <v>UN</v>
          </cell>
          <cell r="D3015">
            <v>154.29</v>
          </cell>
        </row>
        <row r="3016">
          <cell r="A3016" t="str">
            <v>97594</v>
          </cell>
          <cell r="B3016" t="str">
            <v>LUMINÁRIA TIPO SPOT, DE SOBREPOR, COM 2 LÂMPADAS FLUORESCENTES DE 15 W, SEM REATOR - FORNECIMENTO E INSTALAÇÃO. AF_02/2020</v>
          </cell>
          <cell r="C3016" t="str">
            <v>UN</v>
          </cell>
          <cell r="D3016">
            <v>137.91999999999999</v>
          </cell>
        </row>
        <row r="3017">
          <cell r="A3017" t="str">
            <v>97595</v>
          </cell>
          <cell r="B3017" t="str">
            <v>SENSOR DE PRESENÇA COM FOTOCÉLULA, FIXAÇÃO EM PAREDE - FORNECIMENTO E INSTALAÇÃO. AF_02/2020</v>
          </cell>
          <cell r="C3017" t="str">
            <v>UN</v>
          </cell>
          <cell r="D3017">
            <v>110.02</v>
          </cell>
        </row>
        <row r="3018">
          <cell r="A3018" t="str">
            <v>97596</v>
          </cell>
          <cell r="B3018" t="str">
            <v>SENSOR DE PRESENÇA SEM FOTOCÉLULA, FIXAÇÃO EM PAREDE - FORNECIMENTO E INSTALAÇÃO. AF_02/2020</v>
          </cell>
          <cell r="C3018" t="str">
            <v>UN</v>
          </cell>
          <cell r="D3018">
            <v>75.64</v>
          </cell>
        </row>
        <row r="3019">
          <cell r="A3019" t="str">
            <v>97597</v>
          </cell>
          <cell r="B3019" t="str">
            <v>SENSOR DE PRESENÇA COM FOTOCÉLULA, FIXAÇÃO EM TETO - FORNECIMENTO E INSTALAÇÃO. AF_02/2020</v>
          </cell>
          <cell r="C3019" t="str">
            <v>UN</v>
          </cell>
          <cell r="D3019">
            <v>75.98</v>
          </cell>
        </row>
        <row r="3020">
          <cell r="A3020" t="str">
            <v>97598</v>
          </cell>
          <cell r="B3020" t="str">
            <v>SENSOR DE PRESENÇA SEM FOTOCÉLULA, FIXAÇÃO EM TETO - FORNECIMENTO E INSTALAÇÃO. AF_02/2020</v>
          </cell>
          <cell r="C3020" t="str">
            <v>UN</v>
          </cell>
          <cell r="D3020">
            <v>71.58</v>
          </cell>
        </row>
        <row r="3021">
          <cell r="A3021" t="str">
            <v>97599</v>
          </cell>
          <cell r="B3021" t="str">
            <v>LUMINÁRIA DE EMERGÊNCIA, COM 30 LÂMPADAS LED DE 2 W, SEM REATOR - FORNECIMENTO E INSTALAÇÃO. AF_02/2020</v>
          </cell>
          <cell r="C3021" t="str">
            <v>UN</v>
          </cell>
          <cell r="D3021">
            <v>29.19</v>
          </cell>
        </row>
        <row r="3022">
          <cell r="A3022" t="str">
            <v>97609</v>
          </cell>
          <cell r="B3022" t="str">
            <v>LÂMPADA COMPACTA DE LED 6 W, BASE E27 - FORNECIMENTO E INSTALAÇÃO. AF_02/2020</v>
          </cell>
          <cell r="C3022" t="str">
            <v>UN</v>
          </cell>
          <cell r="D3022">
            <v>17.2</v>
          </cell>
        </row>
        <row r="3023">
          <cell r="A3023" t="str">
            <v>97610</v>
          </cell>
          <cell r="B3023" t="str">
            <v>LÂMPADA COMPACTA DE LED 10 W, BASE E27 - FORNECIMENTO E INSTALAÇÃO. AF_02/2020</v>
          </cell>
          <cell r="C3023" t="str">
            <v>UN</v>
          </cell>
          <cell r="D3023">
            <v>18.39</v>
          </cell>
        </row>
        <row r="3024">
          <cell r="A3024" t="str">
            <v>97611</v>
          </cell>
          <cell r="B3024" t="str">
            <v>LÂMPADA COMPACTA FLUORESCENTE DE 15 W, BASE E27 - FORNECIMENTO E INSTALAÇÃO. AF_02/2020</v>
          </cell>
          <cell r="C3024" t="str">
            <v>UN</v>
          </cell>
          <cell r="D3024">
            <v>24.12</v>
          </cell>
        </row>
        <row r="3025">
          <cell r="A3025" t="str">
            <v>97612</v>
          </cell>
          <cell r="B3025" t="str">
            <v>LÂMPADA COMPACTA FLUORESCENTE DE 20 W, BASE E27 - FORNECIMENTO E INSTALAÇÃO. AF_02/2020</v>
          </cell>
          <cell r="C3025" t="str">
            <v>UN</v>
          </cell>
          <cell r="D3025">
            <v>26.22</v>
          </cell>
        </row>
        <row r="3026">
          <cell r="A3026" t="str">
            <v>97613</v>
          </cell>
          <cell r="B3026" t="str">
            <v>LÂMPADA COMPACTA DE VAPOR MERCURIO 125 W, BASE E27 - FORNECIMENTO E INSTALAÇÃO. AF_02/2020</v>
          </cell>
          <cell r="C3026" t="str">
            <v>UN</v>
          </cell>
          <cell r="D3026">
            <v>33.159999999999997</v>
          </cell>
        </row>
        <row r="3027">
          <cell r="A3027" t="str">
            <v>97614</v>
          </cell>
          <cell r="B3027" t="str">
            <v>LÂMPADA COMPACTA DE VAPOR METÁLICO OVOIDE 150 W, BASE E27 - FORNECIMENTO E INSTALAÇÃO. AF_02/2020</v>
          </cell>
          <cell r="C3027" t="str">
            <v>UN</v>
          </cell>
          <cell r="D3027">
            <v>58.24</v>
          </cell>
        </row>
        <row r="3028">
          <cell r="A3028" t="str">
            <v>97615</v>
          </cell>
          <cell r="B3028" t="str">
            <v>LÂMPADA TUBULAR FLUORESCENTE T8 DE 16/18 W, BASE G13 - FORNECIMENTO E INSTALAÇÃO. AF_02/2020_P</v>
          </cell>
          <cell r="C3028" t="str">
            <v>UN</v>
          </cell>
          <cell r="D3028">
            <v>57.49</v>
          </cell>
        </row>
        <row r="3029">
          <cell r="A3029" t="str">
            <v>97616</v>
          </cell>
          <cell r="B3029" t="str">
            <v>LÂMPADA TUBULAR FLUORESCENTE T8 DE 32/36 W, BASE G13 - FORNECIMENTO E INSTALAÇÃO. AF_02/2020_P</v>
          </cell>
          <cell r="C3029" t="str">
            <v>UN</v>
          </cell>
          <cell r="D3029">
            <v>66.239999999999995</v>
          </cell>
        </row>
        <row r="3030">
          <cell r="A3030" t="str">
            <v>97617</v>
          </cell>
          <cell r="B3030" t="str">
            <v>LÂMPADA TUBULAR FLUORESCENTE T10 DE 20/40 W, BASE G13 - FORNECIMENTO E INSTALAÇÃO. AF_02/2020_P</v>
          </cell>
          <cell r="C3030" t="str">
            <v>UN</v>
          </cell>
          <cell r="D3030">
            <v>65.92</v>
          </cell>
        </row>
        <row r="3031">
          <cell r="A3031" t="str">
            <v>97618</v>
          </cell>
          <cell r="B3031" t="str">
            <v>LÂMPADA TUBULAR FLUORESCENTE T5 DE 14 W, BASE G13 - FORNECIMENTO E INSTALAÇÃO. AF_02/2020_P</v>
          </cell>
          <cell r="C3031" t="str">
            <v>UN</v>
          </cell>
          <cell r="D3031">
            <v>60.43</v>
          </cell>
        </row>
        <row r="3032">
          <cell r="A3032" t="str">
            <v>100902</v>
          </cell>
          <cell r="B3032" t="str">
            <v>LÂMPADA TUBULAR LED DE 9/10 W, BASE G13 - FORNECIMENTO E INSTALAÇÃO. AF_02/2020_P</v>
          </cell>
          <cell r="C3032" t="str">
            <v>UN</v>
          </cell>
          <cell r="D3032">
            <v>27.81</v>
          </cell>
        </row>
        <row r="3033">
          <cell r="A3033" t="str">
            <v>100903</v>
          </cell>
          <cell r="B3033" t="str">
            <v>LÂMPADA TUBULAR LED DE 18/20 W, BASE G13 - FORNECIMENTO E INSTALAÇÃO. AF_02/2020_P</v>
          </cell>
          <cell r="C3033" t="str">
            <v>UN</v>
          </cell>
          <cell r="D3033">
            <v>33.1</v>
          </cell>
        </row>
        <row r="3034">
          <cell r="A3034" t="str">
            <v>100904</v>
          </cell>
          <cell r="B3034" t="str">
            <v>LUMINÁRIA TIPO CALHA, DE SOBREPOR, COM 1 LÂMPADA TUBULAR FLUORESCENTE DE 20 W, COM REATOR DE PARTIDA CONVENCIONAL - FORNECIMENTO E INSTALAÇÃO. AF_02/2020</v>
          </cell>
          <cell r="C3034" t="str">
            <v>UN</v>
          </cell>
          <cell r="D3034">
            <v>93.08</v>
          </cell>
        </row>
        <row r="3035">
          <cell r="A3035" t="str">
            <v>100905</v>
          </cell>
          <cell r="B3035" t="str">
            <v>LUMINÁRIA DUPLA TIPO CALHA, DE SOBREPOR, COM 4 LÂMPADAS TUBULARES FLUORESCENTES DE 18 W,COM REATORES DE PARTIDA RÁPIDA - FORNECIMENTO E INSTALAÇÃO. AF_02/2020</v>
          </cell>
          <cell r="C3035" t="str">
            <v>UN</v>
          </cell>
          <cell r="D3035">
            <v>251.6</v>
          </cell>
        </row>
        <row r="3036">
          <cell r="A3036" t="str">
            <v>100906</v>
          </cell>
          <cell r="B3036" t="str">
            <v>LUMINÁRIA DUPLA TIPO CALHA, DE SOBREPOR, COM 4 LÂMPADAS TUBULARES FLUORESCENTES DE 36 W, COM REATORES DE PARTIDA RÁPIDA -FORNECIMENTO E INSTALAÇÃO. AF_02/2020</v>
          </cell>
          <cell r="C3036" t="str">
            <v>UN</v>
          </cell>
          <cell r="D3036">
            <v>343.68</v>
          </cell>
        </row>
        <row r="3037">
          <cell r="A3037" t="str">
            <v>100919</v>
          </cell>
          <cell r="B3037" t="str">
            <v>LÂMPADA FLUORESCENTE ESPIRAL BRANCA 45 W, BASE E27 - FORNECIMENTO E INSTALAÇÃO. AF_02/2020</v>
          </cell>
          <cell r="C3037" t="str">
            <v>UN</v>
          </cell>
          <cell r="D3037">
            <v>66.430000000000007</v>
          </cell>
        </row>
        <row r="3038">
          <cell r="A3038" t="str">
            <v>100920</v>
          </cell>
          <cell r="B3038" t="str">
            <v>LÂMPADA FLUORESCENTE ESPIRAL BRANCA 65 W, BASE E27 - FORNECIMENTO E INSTALAÇÃO. AF_02/2020</v>
          </cell>
          <cell r="C3038" t="str">
            <v>UN</v>
          </cell>
          <cell r="D3038">
            <v>112.69</v>
          </cell>
        </row>
        <row r="3039">
          <cell r="A3039" t="str">
            <v>100921</v>
          </cell>
          <cell r="B3039" t="str">
            <v>REATOR DE PARTIDA RÁPIDA PARA LÂMPADA FLUORESCENTE 2X40W - FORNECIMENTO E INSTALAÇÃO. AF_02/2020</v>
          </cell>
          <cell r="C3039" t="str">
            <v>UN</v>
          </cell>
          <cell r="D3039">
            <v>69.11</v>
          </cell>
        </row>
        <row r="3040">
          <cell r="A3040" t="str">
            <v>100922</v>
          </cell>
          <cell r="B3040" t="str">
            <v>REATOR DE PARTIDA RÁPIDA PARA LÂMPADA FLUORESCENTE 1X20W - FORNECIMENTO E INSTALAÇÃO. AF_02/2020</v>
          </cell>
          <cell r="C3040" t="str">
            <v>UN</v>
          </cell>
          <cell r="D3040">
            <v>49.76</v>
          </cell>
        </row>
        <row r="3041">
          <cell r="A3041" t="str">
            <v>100923</v>
          </cell>
          <cell r="B3041" t="str">
            <v>REATOR DE PARTIDA RÁPIDA PARA LÂMPADA FLUORESCENTE 1X40W - FORNECIMENTO E INSTALAÇÃO. AF_02/2020</v>
          </cell>
          <cell r="C3041" t="str">
            <v>UN</v>
          </cell>
          <cell r="D3041">
            <v>57.98</v>
          </cell>
        </row>
        <row r="3042">
          <cell r="A3042" t="str">
            <v>101489</v>
          </cell>
          <cell r="B3042" t="str">
            <v>ENTRADA DE ENERGIA ELÉTRICA, AÉREA, MONOFÁSICA, COM CAIXA DE SOBREPOR, CABO DE 10 MM2 E DISJUNTOR DIN 50A (NÃO INCLUSO O POSTE DE CONCRETO). AF_07/2020_P</v>
          </cell>
          <cell r="C3042" t="str">
            <v>UN</v>
          </cell>
          <cell r="D3042">
            <v>1323.17</v>
          </cell>
        </row>
        <row r="3043">
          <cell r="A3043" t="str">
            <v>101490</v>
          </cell>
          <cell r="B3043" t="str">
            <v>ENTRADA DE ENERGIA ELÉTRICA, AÉREA, MONOFÁSICA, COM CAIXA DE SOBREPOR, CABO DE 16 MM2 E DISJUNTOR DIN 50A (NÃO INCLUSO O POSTE DE CONCRETO). AF_07/2020_P</v>
          </cell>
          <cell r="C3043" t="str">
            <v>UN</v>
          </cell>
          <cell r="D3043">
            <v>1415.68</v>
          </cell>
        </row>
        <row r="3044">
          <cell r="A3044" t="str">
            <v>101491</v>
          </cell>
          <cell r="B3044" t="str">
            <v>ENTRADA DE ENERGIA ELÉTRICA, AÉREA, MONOFÁSICA, COM CAIXA DE SOBREPOR, CABO DE 25 MM2 E DISJUNTOR DIN 50A (NÃO INCLUSO O POSTE DE CONCRETO). AF_07/2020_P</v>
          </cell>
          <cell r="C3044" t="str">
            <v>UN</v>
          </cell>
          <cell r="D3044">
            <v>1451.76</v>
          </cell>
        </row>
        <row r="3045">
          <cell r="A3045" t="str">
            <v>101492</v>
          </cell>
          <cell r="B3045" t="str">
            <v>ENTRADA DE ENERGIA ELÉTRICA, AÉREA, MONOFÁSICA, COM CAIXA DE SOBREPOR, CABO DE 35 MM2 E DISJUNTOR DIN 50A (NÃO INCLUSO O POSTE DE CONCRETO). AF_07/2020_P</v>
          </cell>
          <cell r="C3045" t="str">
            <v>UN</v>
          </cell>
          <cell r="D3045">
            <v>1588.68</v>
          </cell>
        </row>
        <row r="3046">
          <cell r="A3046" t="str">
            <v>101493</v>
          </cell>
          <cell r="B3046" t="str">
            <v>ENTRADA DE ENERGIA ELÉTRICA, AÉREA, MONOFÁSICA, COM CAIXA DE EMBUTIR, CABO DE 10 MM2 E DISJUNTOR DIN 50A (NÃO INCLUSO O POSTE DE CONCRETO). AF_07/2020_P</v>
          </cell>
          <cell r="C3046" t="str">
            <v>UN</v>
          </cell>
          <cell r="D3046">
            <v>1307.29</v>
          </cell>
        </row>
        <row r="3047">
          <cell r="A3047" t="str">
            <v>101494</v>
          </cell>
          <cell r="B3047" t="str">
            <v>ENTRADA DE ENERGIA ELÉTRICA, AÉREA, MONOFÁSICA, COM CAIXA DE EMBUTIR, CABO DE 16 MM2 E DISJUNTOR DIN 50A (NÃO INCLUSO O POSTE DE CONCRETO). AF_07/2020_P</v>
          </cell>
          <cell r="C3047" t="str">
            <v>UN</v>
          </cell>
          <cell r="D3047">
            <v>1399.8</v>
          </cell>
        </row>
        <row r="3048">
          <cell r="A3048" t="str">
            <v>101495</v>
          </cell>
          <cell r="B3048" t="str">
            <v>ENTRADA DE ENERGIA ELÉTRICA, AÉREA, MONOFÁSICA, COM CAIXA DE EMBUTIR, CABO DE 25 MM2 E DISJUNTOR DIN 50A (NÃO INCLUSO O POSTE DE CONCRETO). AF_07/2020_P</v>
          </cell>
          <cell r="C3048" t="str">
            <v>UN</v>
          </cell>
          <cell r="D3048">
            <v>1435.88</v>
          </cell>
        </row>
        <row r="3049">
          <cell r="A3049" t="str">
            <v>101496</v>
          </cell>
          <cell r="B3049" t="str">
            <v>ENTRADA DE ENERGIA ELÉTRICA, AÉREA, MONOFÁSICA, COM CAIXA DE EMBUTIR, CABO DE 35 MM2 E DISJUNTOR DIN 50A (NÃO INCLUSO O POSTE DE CONCRETO). AF_07/2020_P</v>
          </cell>
          <cell r="C3049" t="str">
            <v>UN</v>
          </cell>
          <cell r="D3049">
            <v>1572.8</v>
          </cell>
        </row>
        <row r="3050">
          <cell r="A3050" t="str">
            <v>101497</v>
          </cell>
          <cell r="B3050" t="str">
            <v>ENTRADA DE ENERGIA ELÉTRICA, AÉREA, BIFÁSICA, COM CAIXA DE SOBREPOR, CABO DE 10 MM2 E DISJUNTOR DIN 50A (NÃO INCLUSO O POSTE DE CONCRETO). AF_07/2020_P</v>
          </cell>
          <cell r="C3050" t="str">
            <v>UN</v>
          </cell>
          <cell r="D3050">
            <v>1559.83</v>
          </cell>
        </row>
        <row r="3051">
          <cell r="A3051" t="str">
            <v>101498</v>
          </cell>
          <cell r="B3051" t="str">
            <v>ENTRADA DE ENERGIA ELÉTRICA, AÉREA, BIFÁSICA, COM CAIXA DE SOBREPOR, CABO DE 16 MM2 E DISJUNTOR DIN 50A (NÃO INCLUSO O POSTE DE CONCRETO). AF_07/2020_P</v>
          </cell>
          <cell r="C3051" t="str">
            <v>UN</v>
          </cell>
          <cell r="D3051">
            <v>1699.86</v>
          </cell>
        </row>
        <row r="3052">
          <cell r="A3052" t="str">
            <v>101499</v>
          </cell>
          <cell r="B3052" t="str">
            <v>ENTRADA DE ENERGIA ELÉTRICA, AÉREA, BIFÁSICA, COM CAIXA DE SOBREPOR, CABO DE 25 MM2 E DISJUNTOR DIN 50A (NÃO INCLUSO O POSTE DE CONCRETO). AF_07/2020_P</v>
          </cell>
          <cell r="C3052" t="str">
            <v>UN</v>
          </cell>
          <cell r="D3052">
            <v>1754.47</v>
          </cell>
        </row>
        <row r="3053">
          <cell r="A3053" t="str">
            <v>101500</v>
          </cell>
          <cell r="B3053" t="str">
            <v>ENTRADA DE ENERGIA ELÉTRICA, AÉREA, BIFÁSICA, COM CAIXA DE SOBREPOR, CABO DE 35 MM2 E DISJUNTOR DIN 50A (NÃO INCLUSO O POSTE DE CONCRETO). AF_07/2020_P</v>
          </cell>
          <cell r="C3053" t="str">
            <v>UN</v>
          </cell>
          <cell r="D3053">
            <v>1946.59</v>
          </cell>
        </row>
        <row r="3054">
          <cell r="A3054" t="str">
            <v>101501</v>
          </cell>
          <cell r="B3054" t="str">
            <v>ENTRADA DE ENERGIA ELÉTRICA, AÉREA, BIFÁSICA, COM CAIXA DE EMBUTIR, CABO DE 10 MM2 E DISJUNTOR DIN 50A (NÃO INCLUSO O POSTE DE CONCRETO). AF_07/2020_P</v>
          </cell>
          <cell r="C3054" t="str">
            <v>UN</v>
          </cell>
          <cell r="D3054">
            <v>1550.23</v>
          </cell>
        </row>
        <row r="3055">
          <cell r="A3055" t="str">
            <v>101502</v>
          </cell>
          <cell r="B3055" t="str">
            <v>ENTRADA DE ENERGIA ELÉTRICA, AÉREA, BIFÁSICA, COM CAIXA DE EMBUTIR, CABO DE 16 MM2 E DISJUNTOR DIN 50A (NÃO INCLUSO O POSTE DE CONCRETO). AF_07/2020_P</v>
          </cell>
          <cell r="C3055" t="str">
            <v>UN</v>
          </cell>
          <cell r="D3055">
            <v>1690.26</v>
          </cell>
        </row>
        <row r="3056">
          <cell r="A3056" t="str">
            <v>101503</v>
          </cell>
          <cell r="B3056" t="str">
            <v>ENTRADA DE ENERGIA ELÉTRICA, AÉREA, BIFÁSICA, COM CAIXA DE EMBUTIR, CABO DE 25 MM2 E DISJUNTOR DIN 50A (NÃO INCLUSO O POSTE DE CONCRETO). AF_07/2020_P</v>
          </cell>
          <cell r="C3056" t="str">
            <v>UN</v>
          </cell>
          <cell r="D3056">
            <v>1744.87</v>
          </cell>
        </row>
        <row r="3057">
          <cell r="A3057" t="str">
            <v>101504</v>
          </cell>
          <cell r="B3057" t="str">
            <v>ENTRADA DE ENERGIA ELÉTRICA, AÉREA, BIFÁSICA, COM CAIXA DE EMBUTIR, CABO DE 35 MM2 E DISJUNTOR DIN 50A (NÃO INCLUSO O POSTE DE CONCRETO). AF_07/2020_P</v>
          </cell>
          <cell r="C3057" t="str">
            <v>UN</v>
          </cell>
          <cell r="D3057">
            <v>1936.99</v>
          </cell>
        </row>
        <row r="3058">
          <cell r="A3058" t="str">
            <v>101505</v>
          </cell>
          <cell r="B3058" t="str">
            <v>ENTRADA DE ENERGIA ELÉTRICA, AÉREA, TRIFÁSICA, COM CAIXA DE SOBREPOR, CABO DE 10 MM2 E DISJUNTOR DIN 50A (NÃO INCLUSO O POSTE DE CONCRETO). AF_07/2020_P</v>
          </cell>
          <cell r="C3058" t="str">
            <v>UN</v>
          </cell>
          <cell r="D3058">
            <v>1671.79</v>
          </cell>
        </row>
        <row r="3059">
          <cell r="A3059" t="str">
            <v>101506</v>
          </cell>
          <cell r="B3059" t="str">
            <v>ENTRADA DE ENERGIA ELÉTRICA, AÉREA, TRIFÁSICA, COM CAIXA DE SOBREPOR, CABO DE 16 MM2 E DISJUNTOR DIN 50A (NÃO INCLUSO O POSTE DE CONCRETO). AF_07/2020_P</v>
          </cell>
          <cell r="C3059" t="str">
            <v>UN</v>
          </cell>
          <cell r="D3059">
            <v>1858.5</v>
          </cell>
        </row>
        <row r="3060">
          <cell r="A3060" t="str">
            <v>101507</v>
          </cell>
          <cell r="B3060" t="str">
            <v>ENTRADA DE ENERGIA ELÉTRICA, AÉREA, TRIFÁSICA, COM CAIXA DE SOBREPOR, CABO DE 25 MM2 E DISJUNTOR DIN 50A (NÃO INCLUSO O POSTE DE CONCRETO). AF_07/2020_P</v>
          </cell>
          <cell r="C3060" t="str">
            <v>UN</v>
          </cell>
          <cell r="D3060">
            <v>1931.31</v>
          </cell>
        </row>
        <row r="3061">
          <cell r="A3061" t="str">
            <v>101508</v>
          </cell>
          <cell r="B3061" t="str">
            <v>ENTRADA DE ENERGIA ELÉTRICA, AÉREA, TRIFÁSICA, COM CAIXA DE SOBREPOR, CABO DE 35 MM2 E DISJUNTOR DIN 50A (NÃO INCLUSO O POSTE DE CONCRETO). AF_07/2020_P</v>
          </cell>
          <cell r="C3061" t="str">
            <v>UN</v>
          </cell>
          <cell r="D3061">
            <v>2177.66</v>
          </cell>
        </row>
        <row r="3062">
          <cell r="A3062" t="str">
            <v>101509</v>
          </cell>
          <cell r="B3062" t="str">
            <v>ENTRADA DE ENERGIA ELÉTRICA, AÉREA, TRIFÁSICA, COM CAIXA DE EMBUTIR, CABO DE 10 MM2 E DISJUNTOR DIN 50A (NÃO INCLUSO O POSTE DE CONCRETO). AF_07/2020</v>
          </cell>
          <cell r="C3062" t="str">
            <v>UN</v>
          </cell>
          <cell r="D3062">
            <v>1897.32</v>
          </cell>
        </row>
        <row r="3063">
          <cell r="A3063" t="str">
            <v>101510</v>
          </cell>
          <cell r="B3063" t="str">
            <v>ENTRADA DE ENERGIA ELÉTRICA, AÉREA, TRIFÁSICA, COM CAIXA DE EMBUTIR, CABO DE 16 MM2 E DISJUNTOR DIN 50A (NÃO INCLUSO O POSTE DE CONCRETO). AF_07/2020</v>
          </cell>
          <cell r="C3063" t="str">
            <v>UN</v>
          </cell>
          <cell r="D3063">
            <v>2084.0300000000002</v>
          </cell>
        </row>
        <row r="3064">
          <cell r="A3064" t="str">
            <v>101511</v>
          </cell>
          <cell r="B3064" t="str">
            <v>ENTRADA DE ENERGIA ELÉTRICA, AÉREA, TRIFÁSICA, COM CAIXA DE EMBUTIR, CABO DE 25 MM2 E DISJUNTOR DIN 50A (NÃO INCLUSO O POSTE DE CONCRETO). AF_07/2020</v>
          </cell>
          <cell r="C3064" t="str">
            <v>UN</v>
          </cell>
          <cell r="D3064">
            <v>2156.84</v>
          </cell>
        </row>
        <row r="3065">
          <cell r="A3065" t="str">
            <v>101512</v>
          </cell>
          <cell r="B3065" t="str">
            <v>ENTRADA DE ENERGIA ELÉTRICA, AÉREA, TRIFÁSICA, COM CAIXA DE EMBUTIR, CABO DE 35 MM2 E DISJUNTOR DIN 50A (NÃO INCLUSO O POSTE DE CONCRETO). AF_07/2020</v>
          </cell>
          <cell r="C3065" t="str">
            <v>UN</v>
          </cell>
          <cell r="D3065">
            <v>2403.19</v>
          </cell>
        </row>
        <row r="3066">
          <cell r="A3066" t="str">
            <v>101513</v>
          </cell>
          <cell r="B3066" t="str">
            <v>ENTRADA DE ENERGIA ELÉTRICA, SUBTERRÂNEA, MONOFÁSICA, COM CAIXA DE SOBREPOR, CABO DE 10 MM2 E DISJUNTOR DIN 50A (NÃO INCLUSA MURETA DE ALVENARIA). AF_07/2020_P</v>
          </cell>
          <cell r="C3066" t="str">
            <v>UN</v>
          </cell>
          <cell r="D3066">
            <v>738.71</v>
          </cell>
        </row>
        <row r="3067">
          <cell r="A3067" t="str">
            <v>101514</v>
          </cell>
          <cell r="B3067" t="str">
            <v>ENTRADA DE ENERGIA ELÉTRICA, SUBTERRÂNEA, MONOFÁSICA, COM CAIXA DE SOBREPOR, CABO DE 16 MM2 E DISJUNTOR DIN 50A (NÃO INCLUSA MURETA DE ALVENARIA). AF_07/2020_P</v>
          </cell>
          <cell r="C3067" t="str">
            <v>UN</v>
          </cell>
          <cell r="D3067">
            <v>849.73</v>
          </cell>
        </row>
        <row r="3068">
          <cell r="A3068" t="str">
            <v>101515</v>
          </cell>
          <cell r="B3068" t="str">
            <v>ENTRADA DE ENERGIA ELÉTRICA, SUBTERRÂNEA, MONOFÁSICA, COM CAIXA DE SOBREPOR, CABO DE 25 MM2 E DISJUNTOR DIN 50A (NÃO INCLUSA MURETA DE ALVENARIA). AF_07/2020_P</v>
          </cell>
          <cell r="C3068" t="str">
            <v>UN</v>
          </cell>
          <cell r="D3068">
            <v>893.02</v>
          </cell>
        </row>
        <row r="3069">
          <cell r="A3069" t="str">
            <v>101516</v>
          </cell>
          <cell r="B3069" t="str">
            <v>ENTRADA DE ENERGIA ELÉTRICA, SUBTERRÂNEA, MONOFÁSICA, COM CAIXA DE SOBREPOR, CABO DE 35 MM2 E DISJUNTOR DIN 50A (NÃO INCLUSA MURETA DE ALVENARIA). AF_07/2020_P</v>
          </cell>
          <cell r="C3069" t="str">
            <v>UN</v>
          </cell>
          <cell r="D3069">
            <v>1021.99</v>
          </cell>
        </row>
        <row r="3070">
          <cell r="A3070" t="str">
            <v>101517</v>
          </cell>
          <cell r="B3070" t="str">
            <v>ENTRADA DE ENERGIA ELÉTRICA, SUBTERRÂNEA, MONOFÁSICA, COM CAIXA DE EMBUTIR, CABO DE 10 MM2 E DISJUNTOR DIN 50A (NÃO INCLUSA MURETA DE ALVENARIA). AF_07/2020_P</v>
          </cell>
          <cell r="C3070" t="str">
            <v>UN</v>
          </cell>
          <cell r="D3070">
            <v>722.84</v>
          </cell>
        </row>
        <row r="3071">
          <cell r="A3071" t="str">
            <v>101518</v>
          </cell>
          <cell r="B3071" t="str">
            <v>ENTRADA DE ENERGIA ELÉTRICA, SUBTERRÂNEA, MONOFÁSICA, COM CAIXA DE EMBUTIR, CABO DE 16 MM2 E DISJUNTOR DIN 50A (NÃO INCLUSA MURETA DE ALVENARIA). AF_07/2020_P</v>
          </cell>
          <cell r="C3071" t="str">
            <v>UN</v>
          </cell>
          <cell r="D3071">
            <v>833.86</v>
          </cell>
        </row>
        <row r="3072">
          <cell r="A3072" t="str">
            <v>101519</v>
          </cell>
          <cell r="B3072" t="str">
            <v>ENTRADA DE ENERGIA ELÉTRICA, SUBTERRÂNEA, MONOFÁSICA, COM CAIXA DE EMBUTIR, CABO DE 25 MM2 E DISJUNTOR DIN 50A (NÃO INCLUSA MURETA DE ALVENARIA). AF_07/2020_P</v>
          </cell>
          <cell r="C3072" t="str">
            <v>UN</v>
          </cell>
          <cell r="D3072">
            <v>877.15</v>
          </cell>
        </row>
        <row r="3073">
          <cell r="A3073" t="str">
            <v>101520</v>
          </cell>
          <cell r="B3073" t="str">
            <v>ENTRADA DE ENERGIA ELÉTRICA, SUBTERRÂNEA, MONOFÁSICA, COM CAIXA DE EMBUTIR, CABO DE 35 MM2 E DISJUNTOR DIN 50A (NÃO INCLUSA MURETA DE ALVENARIA). AF_07/2020_P</v>
          </cell>
          <cell r="C3073" t="str">
            <v>UN</v>
          </cell>
          <cell r="D3073">
            <v>1006.12</v>
          </cell>
        </row>
        <row r="3074">
          <cell r="A3074" t="str">
            <v>101521</v>
          </cell>
          <cell r="B3074" t="str">
            <v>ENTRADA DE ENERGIA ELÉTRICA, SUBTERRÂNEA, BIFÁSICA, COM CAIXA DE SOBREPOR, CABO DE 10 MM2 E DISJUNTOR DIN 50A (NÃO INCLUSA MURETA DE ALVENARIA). AF_07/2020_P</v>
          </cell>
          <cell r="C3074" t="str">
            <v>UN</v>
          </cell>
          <cell r="D3074">
            <v>990.67</v>
          </cell>
        </row>
        <row r="3075">
          <cell r="A3075" t="str">
            <v>101522</v>
          </cell>
          <cell r="B3075" t="str">
            <v>ENTRADA DE ENERGIA ELÉTRICA, SUBTERRÂNEA, BIFÁSICA, COM CAIXA DE SOBREPOR, CABO DE 16 MM2 E DISJUNTOR DIN 50A (NÃO INCLUSA MURETA DE ALVENARIA). AF_07/2020_P</v>
          </cell>
          <cell r="C3075" t="str">
            <v>UN</v>
          </cell>
          <cell r="D3075">
            <v>1157.19</v>
          </cell>
        </row>
        <row r="3076">
          <cell r="A3076" t="str">
            <v>101523</v>
          </cell>
          <cell r="B3076" t="str">
            <v>ENTRADA DE ENERGIA ELÉTRICA, SUBTERRÂNEA, BIFÁSICA, COM CAIXA DE SOBREPOR, CABO DE 25 MM2 E DISJUNTOR DIN 50A (NÃO INCLUSA MURETA DE ALVENARIA). AF_07/2020_P</v>
          </cell>
          <cell r="C3076" t="str">
            <v>UN</v>
          </cell>
          <cell r="D3076">
            <v>1222.1300000000001</v>
          </cell>
        </row>
        <row r="3077">
          <cell r="A3077" t="str">
            <v>101524</v>
          </cell>
          <cell r="B3077" t="str">
            <v>ENTRADA DE ENERGIA ELÉTRICA, SUBTERRÂNEA, BIFÁSICA, COM CAIXA DE SOBREPOR, CABO DE 35 MM2 E DISJUNTOR DIN 50A (NÃO INCLUSA MURETA DE ALVENARIA). AF_07/2020_P</v>
          </cell>
          <cell r="C3077" t="str">
            <v>UN</v>
          </cell>
          <cell r="D3077">
            <v>1415.58</v>
          </cell>
        </row>
        <row r="3078">
          <cell r="A3078" t="str">
            <v>101525</v>
          </cell>
          <cell r="B3078" t="str">
            <v>ENTRADA DE ENERGIA ELÉTRICA, SUBTERRÂNEA, BIFÁSICA, COM CAIXA DE EMBUTIR, CABO DE 10 MM2 E DISJUNTOR DIN 50A (NÃO INCLUSA MURETA DE ALVENARIA). AF_07/2020_P</v>
          </cell>
          <cell r="C3078" t="str">
            <v>UN</v>
          </cell>
          <cell r="D3078">
            <v>981.08</v>
          </cell>
        </row>
        <row r="3079">
          <cell r="A3079" t="str">
            <v>101526</v>
          </cell>
          <cell r="B3079" t="str">
            <v>ENTRADA DE ENERGIA ELÉTRICA, SUBTERRÂNEA, BIFÁSICA, COM CAIXA DE EMBUTIR, CABO DE 16 MM2 E DISJUNTOR DIN 50A (NÃO INCLUSA MURETA DE ALVENARIA). AF_07/2020_P</v>
          </cell>
          <cell r="C3079" t="str">
            <v>UN</v>
          </cell>
          <cell r="D3079">
            <v>1147.5999999999999</v>
          </cell>
        </row>
        <row r="3080">
          <cell r="A3080" t="str">
            <v>101527</v>
          </cell>
          <cell r="B3080" t="str">
            <v>ENTRADA DE ENERGIA ELÉTRICA, SUBTERRÂNEA, BIFÁSICA, COM CAIXA DE EMBUTIR, CABO DE 25 MM2 E DISJUNTOR DIN 50A (NÃO INCLUSA MURETA DE ALVENARIA). AF_07/2020_P</v>
          </cell>
          <cell r="C3080" t="str">
            <v>UN</v>
          </cell>
          <cell r="D3080">
            <v>1212.54</v>
          </cell>
        </row>
        <row r="3081">
          <cell r="A3081" t="str">
            <v>101528</v>
          </cell>
          <cell r="B3081" t="str">
            <v>ENTRADA DE ENERGIA ELÉTRICA, SUBTERRÂNEA, BIFÁSICA, COM CAIXA DE EMBUTIR, CABO DE 35 MM2 E DISJUNTOR DIN 50A (NÃO INCLUSA MURETA DE ALVENARIA). AF_07/2020_P</v>
          </cell>
          <cell r="C3081" t="str">
            <v>UN</v>
          </cell>
          <cell r="D3081">
            <v>1405.99</v>
          </cell>
        </row>
        <row r="3082">
          <cell r="A3082" t="str">
            <v>101529</v>
          </cell>
          <cell r="B3082" t="str">
            <v>ENTRADA DE ENERGIA ELÉTRICA, SUBTERRÂNEA, TRIFÁSICA, COM CAIXA DE SOBREPOR, CABO DE 10 MM2 E DISJUNTOR DIN 50A (NÃO INCLUSA MURETA DE ALVENARIA). AF_07/2020_P</v>
          </cell>
          <cell r="C3082" t="str">
            <v>UN</v>
          </cell>
          <cell r="D3082">
            <v>1119.52</v>
          </cell>
        </row>
        <row r="3083">
          <cell r="A3083" t="str">
            <v>101530</v>
          </cell>
          <cell r="B3083" t="str">
            <v>ENTRADA DE ENERGIA ELÉTRICA, SUBTERRÂNEA, TRIFÁSICA, COM CAIXA DE SOBREPOR, CABO DE 16 MM2 E DISJUNTOR DIN 50A (NÃO INCLUSA MURETA DE ALVENARIA). AF_07/2020_P</v>
          </cell>
          <cell r="C3083" t="str">
            <v>UN</v>
          </cell>
          <cell r="D3083">
            <v>1341.55</v>
          </cell>
        </row>
        <row r="3084">
          <cell r="A3084" t="str">
            <v>101531</v>
          </cell>
          <cell r="B3084" t="str">
            <v>ENTRADA DE ENERGIA ELÉTRICA, SUBTERRÂNEA, TRIFÁSICA, COM CAIXA DE SOBREPOR, CABO DE 25 MM2 E DISJUNTOR DIN 50A (NÃO INCLUSA MURETA DE ALVENARIA). AF_07/2020_P</v>
          </cell>
          <cell r="C3084" t="str">
            <v>UN</v>
          </cell>
          <cell r="D3084">
            <v>1428.14</v>
          </cell>
        </row>
        <row r="3085">
          <cell r="A3085" t="str">
            <v>101532</v>
          </cell>
          <cell r="B3085" t="str">
            <v>ENTRADA DE ENERGIA ELÉTRICA, SUBTERRÂNEA, TRIFÁSICA, COM CAIXA DE SOBREPOR, CABO DE 35 MM2 E DISJUNTOR DIN 50A (NÃO INCLUSA MURETA DE ALVENARIA). AF_07/2020_P</v>
          </cell>
          <cell r="C3085" t="str">
            <v>UN</v>
          </cell>
          <cell r="D3085">
            <v>1686.07</v>
          </cell>
        </row>
        <row r="3086">
          <cell r="A3086" t="str">
            <v>101533</v>
          </cell>
          <cell r="B3086" t="str">
            <v>ENTRADA DE ENERGIA ELÉTRICA, SUBTERRÂNEA, TRIFÁSICA, COM CAIXA DE EMBUTIR, CABO DE 10 MM2 E DISJUNTOR DIN 50A (NÃO INCLUSA MURETA DE ALVENARIA). AF_07/2020</v>
          </cell>
          <cell r="C3086" t="str">
            <v>UN</v>
          </cell>
          <cell r="D3086">
            <v>1345.06</v>
          </cell>
        </row>
        <row r="3087">
          <cell r="A3087" t="str">
            <v>101534</v>
          </cell>
          <cell r="B3087" t="str">
            <v>ENTRADA DE ENERGIA ELÉTRICA, SUBTERRÂNEA, TRIFÁSICA, COM CAIXA DE EMBUTIR, CABO DE 16 MM2 E DISJUNTOR DIN 50A (NÃO INCLUSA MURETA DE ALVENARIA). AF_07/2020</v>
          </cell>
          <cell r="C3087" t="str">
            <v>UN</v>
          </cell>
          <cell r="D3087">
            <v>1567.09</v>
          </cell>
        </row>
        <row r="3088">
          <cell r="A3088" t="str">
            <v>101535</v>
          </cell>
          <cell r="B3088" t="str">
            <v>ENTRADA DE ENERGIA ELÉTRICA, SUBTERRÂNEA, TRIFÁSICA, COM CAIXA DE EMBUTIR, CABO DE 25 MM2 E DISJUNTOR DIN 50A (NÃO INCLUSA MURETA DE ALVENARIA). AF_07/2020</v>
          </cell>
          <cell r="C3088" t="str">
            <v>UN</v>
          </cell>
          <cell r="D3088">
            <v>1653.68</v>
          </cell>
        </row>
        <row r="3089">
          <cell r="A3089" t="str">
            <v>101536</v>
          </cell>
          <cell r="B3089" t="str">
            <v>ENTRADA DE ENERGIA ELÉTRICA, SUBTERRÂNEA, TRIFÁSICA, COM CAIXA DE EMBUTIR, CABO DE 35 MM2 E DISJUNTOR DIN 50A (NÃO INCLUSA MURETA DE ALVENARIA). AF_07/2020</v>
          </cell>
          <cell r="C3089" t="str">
            <v>UN</v>
          </cell>
          <cell r="D3089">
            <v>1911.61</v>
          </cell>
        </row>
        <row r="3090">
          <cell r="A3090" t="str">
            <v>101537</v>
          </cell>
          <cell r="B3090" t="str">
            <v>APARELHO SINALIZADOR DE SAÍDA DE GARAGEM, COM CÉLULA FOTOELÉTRICA - FORNECIMENTO E INSTALAÇÃO. AF_07/2020</v>
          </cell>
          <cell r="C3090" t="str">
            <v>UN</v>
          </cell>
          <cell r="D3090">
            <v>139.25</v>
          </cell>
        </row>
        <row r="3091">
          <cell r="A3091" t="str">
            <v>101538</v>
          </cell>
          <cell r="B3091" t="str">
            <v>ARMAÇÃO SECUNDÁRIA, COM 1 ESTRIBO E 1 ISOLADOR - FORNECIMENTO E INSTALAÇÃO. AF_07/2020</v>
          </cell>
          <cell r="C3091" t="str">
            <v>UN</v>
          </cell>
          <cell r="D3091">
            <v>42.41</v>
          </cell>
        </row>
        <row r="3092">
          <cell r="A3092" t="str">
            <v>101539</v>
          </cell>
          <cell r="B3092" t="str">
            <v>ARMAÇÃO SECUNDÁRIA, COM 2 ESTRIBOS E 2 ISOLADORES - FORNECIMENTO E INSTALAÇÃO. AF_07/2020</v>
          </cell>
          <cell r="C3092" t="str">
            <v>UN</v>
          </cell>
          <cell r="D3092">
            <v>70.19</v>
          </cell>
        </row>
        <row r="3093">
          <cell r="A3093" t="str">
            <v>101540</v>
          </cell>
          <cell r="B3093" t="str">
            <v>ARMAÇÃO SECUNDÁRIA, COM 3 ESTRIBOS E 3 ISOLADORES - FORNECIMENTO E INSTALAÇÃO. AF_07/2020</v>
          </cell>
          <cell r="C3093" t="str">
            <v>UN</v>
          </cell>
          <cell r="D3093">
            <v>118.3</v>
          </cell>
        </row>
        <row r="3094">
          <cell r="A3094" t="str">
            <v>101541</v>
          </cell>
          <cell r="B3094" t="str">
            <v>ARMAÇÃO SECUNDÁRIA, COM 4 ESTRIBOS E 4 ISOLADORES - FORNECIMENTO E INSTALAÇÃO. AF_07/2020</v>
          </cell>
          <cell r="C3094" t="str">
            <v>UN</v>
          </cell>
          <cell r="D3094">
            <v>154.31</v>
          </cell>
        </row>
        <row r="3095">
          <cell r="A3095" t="str">
            <v>101542</v>
          </cell>
          <cell r="B3095" t="str">
            <v>ARMAÇÃO SECUNDÁRIA, COM 1 ESTRIBO, SEM ISOLADOR - FORNECIMENTO E INSTALAÇÃO. AF_07/2020</v>
          </cell>
          <cell r="C3095" t="str">
            <v>UN</v>
          </cell>
          <cell r="D3095">
            <v>32.04</v>
          </cell>
        </row>
        <row r="3096">
          <cell r="A3096" t="str">
            <v>101543</v>
          </cell>
          <cell r="B3096" t="str">
            <v>ARMAÇÃO SECUNDÁRIA, COM 2 ESTRIBOS, SEM ISOLADOR - FORNECIMENTO E INSTALAÇÃO. AF_07/2020</v>
          </cell>
          <cell r="C3096" t="str">
            <v>UN</v>
          </cell>
          <cell r="D3096">
            <v>57</v>
          </cell>
        </row>
        <row r="3097">
          <cell r="A3097" t="str">
            <v>101544</v>
          </cell>
          <cell r="B3097" t="str">
            <v>ARMAÇÃO SECUNDÁRIA, COM 3 ESTRIBOS, SEM ISOLADOR - FORNECIMENTO E INSTALAÇÃO. AF_07/2020</v>
          </cell>
          <cell r="C3097" t="str">
            <v>UN</v>
          </cell>
          <cell r="D3097">
            <v>91.15</v>
          </cell>
        </row>
        <row r="3098">
          <cell r="A3098" t="str">
            <v>101545</v>
          </cell>
          <cell r="B3098" t="str">
            <v>ARMAÇÃO SECUNDÁRIA, COM 4 ESTRIBOS, SEM ISOLADOR - FORNECIMENTO E INSTALAÇÃO. AF_07/2020</v>
          </cell>
          <cell r="C3098" t="str">
            <v>UN</v>
          </cell>
          <cell r="D3098">
            <v>132.19999999999999</v>
          </cell>
        </row>
        <row r="3099">
          <cell r="A3099" t="str">
            <v>101546</v>
          </cell>
          <cell r="B3099" t="str">
            <v>ISOLADOR, TIPO PINO, PARA TENSÃO 15 KV - FORNECIMENTO E INSTALAÇÃO. AF_07/2020</v>
          </cell>
          <cell r="C3099" t="str">
            <v>UN</v>
          </cell>
          <cell r="D3099">
            <v>26.65</v>
          </cell>
        </row>
        <row r="3100">
          <cell r="A3100" t="str">
            <v>101547</v>
          </cell>
          <cell r="B3100" t="str">
            <v>ISOLADOR, TIPO DISCO, PARA TENSÃO 15 KV - FORNECIMENTO E INSTALAÇÃO. AF_07/2020</v>
          </cell>
          <cell r="C3100" t="str">
            <v>UN</v>
          </cell>
          <cell r="D3100">
            <v>83</v>
          </cell>
        </row>
        <row r="3101">
          <cell r="A3101" t="str">
            <v>101548</v>
          </cell>
          <cell r="B3101" t="str">
            <v>ISOLADOR, TIPO ROLDANA, PARA BAIXA TENSÃO - FORNECIMENTO E INSTALAÇÃO. AF_07/2020</v>
          </cell>
          <cell r="C3101" t="str">
            <v>UN</v>
          </cell>
          <cell r="D3101">
            <v>6.77</v>
          </cell>
        </row>
        <row r="3102">
          <cell r="A3102" t="str">
            <v>101549</v>
          </cell>
          <cell r="B3102" t="str">
            <v>GRAMPO PARALELO METÁLICO, PARA REDES AÉREAS DE DISTRIBUIÇÃO DE ENERGIA ELÉTRICA DE BAIXA TENSÃO - FORNECIMENTO E INSTALAÇÃO. AF_07/2020</v>
          </cell>
          <cell r="C3102" t="str">
            <v>UN</v>
          </cell>
          <cell r="D3102">
            <v>16.18</v>
          </cell>
        </row>
        <row r="3103">
          <cell r="A3103" t="str">
            <v>101553</v>
          </cell>
          <cell r="B3103" t="str">
            <v>ALÇA PREFORMADA DE DISTRIBUIÇÃO, EM  AÇO GALVANIZADO, AWG 1 - FORNECIMENTO E INSTALAÇÃO. AF_07/2020</v>
          </cell>
          <cell r="C3103" t="str">
            <v>UN</v>
          </cell>
          <cell r="D3103">
            <v>15.02</v>
          </cell>
        </row>
        <row r="3104">
          <cell r="A3104" t="str">
            <v>101554</v>
          </cell>
          <cell r="B3104" t="str">
            <v>ALÇA PREFORMADA DE DISTRIBUIÇÃO, EM  AÇO GALVANIZADO, AWG 2 - FORNECIMENTO E INSTALAÇÃO. AF_07/2020</v>
          </cell>
          <cell r="C3104" t="str">
            <v>UN</v>
          </cell>
          <cell r="D3104">
            <v>10.87</v>
          </cell>
        </row>
        <row r="3105">
          <cell r="A3105" t="str">
            <v>101555</v>
          </cell>
          <cell r="B3105" t="str">
            <v>ALÇA PREFORMADA DE DISTRIBUIÇÃO, EM  AÇO GALVANIZADO, AWG 4 - FORNECIMENTO E INSTALAÇÃO. AF_07/2020</v>
          </cell>
          <cell r="C3105" t="str">
            <v>UN</v>
          </cell>
          <cell r="D3105">
            <v>7.08</v>
          </cell>
        </row>
        <row r="3106">
          <cell r="A3106" t="str">
            <v>101556</v>
          </cell>
          <cell r="B3106" t="str">
            <v>ALÇA PREFORMADA DE DISTRIBUIÇÃO, EM  AÇO GALVANIZADO, AWG 6 - FORNECIMENTO E INSTALAÇÃO. AF_07/2020</v>
          </cell>
          <cell r="C3106" t="str">
            <v>M</v>
          </cell>
          <cell r="D3106">
            <v>6.48</v>
          </cell>
        </row>
        <row r="3107">
          <cell r="A3107" t="str">
            <v>101560</v>
          </cell>
          <cell r="B3107" t="str">
            <v>CABO DE COBRE FLEXÍVEL ISOLADO, 10 MM², 0,6/1,0 KV, PARA REDE AÉREA DE DISTRIBUIÇÃO DE ENERGIA ELÉTRICA DE BAIXA TENSÃO - FORNECIMENTO E INSTALAÇÃO. AF_07/2020</v>
          </cell>
          <cell r="C3107" t="str">
            <v>M</v>
          </cell>
          <cell r="D3107">
            <v>10.91</v>
          </cell>
        </row>
        <row r="3108">
          <cell r="A3108" t="str">
            <v>101561</v>
          </cell>
          <cell r="B3108" t="str">
            <v>CABO DE COBRE FLEXÍVEL ISOLADO, 16 MM², 0,6/1,0 KV, PARA REDE AÉREA DE DISTRIBUIÇÃO DE ENERGIA ELÉTRICA DE BAIXA TENSÃO - FORNECIMENTO E INSTALAÇÃO. AF_07/2020</v>
          </cell>
          <cell r="C3108" t="str">
            <v>M</v>
          </cell>
          <cell r="D3108">
            <v>16.7</v>
          </cell>
        </row>
        <row r="3109">
          <cell r="A3109" t="str">
            <v>101562</v>
          </cell>
          <cell r="B3109" t="str">
            <v>CABO DE COBRE FLEXÍVEL ISOLADO, 25 MM², 0,6/1,0 KV, PARA REDE AÉREA DE DISTRIBUIÇÃO DE ENERGIA ELÉTRICA DE BAIXA TENSÃO - FORNECIMENTO E INSTALAÇÃO. AF_07/2020</v>
          </cell>
          <cell r="C3109" t="str">
            <v>M</v>
          </cell>
          <cell r="D3109">
            <v>25.39</v>
          </cell>
        </row>
        <row r="3110">
          <cell r="A3110" t="str">
            <v>101563</v>
          </cell>
          <cell r="B3110" t="str">
            <v>CABO DE COBRE FLEXÍVEL ISOLADO, 35 MM², 0,6/1,0 KV, PARA REDE AÉREA DE DISTRIBUIÇÃO DE ENERGIA ELÉTRICA DE BAIXA TENSÃO - FORNECIMENTO E INSTALAÇÃO. AF_07/2020</v>
          </cell>
          <cell r="C3110" t="str">
            <v>M</v>
          </cell>
          <cell r="D3110">
            <v>34.979999999999997</v>
          </cell>
        </row>
        <row r="3111">
          <cell r="A3111" t="str">
            <v>101564</v>
          </cell>
          <cell r="B3111" t="str">
            <v>CABO DE COBRE FLEXÍVEL ISOLADO, 50 MM², 0,6/1,0 KV, PARA REDE AÉREA DE DISTRIBUIÇÃO DE ENERGIA ELÉTRICA DE BAIXA TENSÃO - FORNECIMENTO E INSTALAÇÃO. AF_07/2020</v>
          </cell>
          <cell r="C3111" t="str">
            <v>M</v>
          </cell>
          <cell r="D3111">
            <v>49.82</v>
          </cell>
        </row>
        <row r="3112">
          <cell r="A3112" t="str">
            <v>101565</v>
          </cell>
          <cell r="B3112" t="str">
            <v>CABO DE COBRE FLEXÍVEL ISOLADO, 70 MM², 0,6/1,0 KV, PARA REDE AÉREA DE DISTRIBUIÇÃO DE ENERGIA ELÉTRICA DE BAIXA TENSÃO - FORNECIMENTO E INSTALAÇÃO. AF_07/2020</v>
          </cell>
          <cell r="C3112" t="str">
            <v>M</v>
          </cell>
          <cell r="D3112">
            <v>69</v>
          </cell>
        </row>
        <row r="3113">
          <cell r="A3113" t="str">
            <v>101567</v>
          </cell>
          <cell r="B3113" t="str">
            <v>CABO DE COBRE FLEXÍVEL ISOLADO, 95 MM², 0,6/1,0 KV, PARA REDE AÉREA DE DISTRIBUIÇÃO DE ENERGIA ELÉTRICA DE BAIXA TENSÃO - FORNECIMENTO E INSTALAÇÃO. AF_07/2020</v>
          </cell>
          <cell r="C3113" t="str">
            <v>M</v>
          </cell>
          <cell r="D3113">
            <v>91.64</v>
          </cell>
        </row>
        <row r="3114">
          <cell r="A3114" t="str">
            <v>101568</v>
          </cell>
          <cell r="B3114" t="str">
            <v>CABO DE COBRE FLEXÍVEL ISOLADO, 120 MM², 0,6/1,0 KV, PARA REDE AÉREA DE DISTRIBUIÇÃO DE ENERGIA ELÉTRICA DE BAIXA TENSÃO - FORNECIMENTO E INSTALAÇÃO. AF_07/2020</v>
          </cell>
          <cell r="C3114" t="str">
            <v>UN</v>
          </cell>
          <cell r="D3114">
            <v>119.26</v>
          </cell>
        </row>
        <row r="3115">
          <cell r="A3115" t="str">
            <v>101626</v>
          </cell>
          <cell r="B3115" t="str">
            <v>REATOR PARA LÂMPADA VAPOR DE MERCÚRIO 400 W, USO EXTERNO - FORNECIMENTO E INSTALAÇÃO. AF_08/2020</v>
          </cell>
          <cell r="C3115" t="str">
            <v>UN</v>
          </cell>
          <cell r="D3115">
            <v>186.59</v>
          </cell>
        </row>
        <row r="3116">
          <cell r="A3116" t="str">
            <v>101627</v>
          </cell>
          <cell r="B3116" t="str">
            <v>REATOR PARA LÂMPADA VAPOR DE SÓDIO 250 W, USO EXTERNO - FORNECIMENTO E INSTALAÇÃO. AF_08/2020</v>
          </cell>
          <cell r="C3116" t="str">
            <v>UN</v>
          </cell>
          <cell r="D3116">
            <v>290.86</v>
          </cell>
        </row>
        <row r="3117">
          <cell r="A3117" t="str">
            <v>101628</v>
          </cell>
          <cell r="B3117" t="str">
            <v>REATOR PARA LÂMPADA VAPOR DE MERCÚRIO 125 W, USO EXTERNO - FORNECIMENTO E INSTALAÇÃO. AF_08/2020</v>
          </cell>
          <cell r="C3117" t="str">
            <v>UN</v>
          </cell>
          <cell r="D3117">
            <v>138.36000000000001</v>
          </cell>
        </row>
        <row r="3118">
          <cell r="A3118" t="str">
            <v>101629</v>
          </cell>
          <cell r="B3118" t="str">
            <v>REATOR PARA LÂMPADA VAPOR DE MERCÚRIO 250 W, USO EXTERNO - FORNECIMENTO E INSTALAÇÃO. AF_08/2020</v>
          </cell>
          <cell r="C3118" t="str">
            <v>UN</v>
          </cell>
          <cell r="D3118">
            <v>163.19999999999999</v>
          </cell>
        </row>
        <row r="3119">
          <cell r="A3119" t="str">
            <v>101630</v>
          </cell>
          <cell r="B3119" t="str">
            <v>SUBSTITUIÇÃO DE REATOR PARA ILUMINAÇÃO PÚBLICA (NÃO INCLUI FORNECIMENTO). AF_08/2020</v>
          </cell>
          <cell r="C3119" t="str">
            <v>UN</v>
          </cell>
          <cell r="D3119">
            <v>63.62</v>
          </cell>
        </row>
        <row r="3120">
          <cell r="A3120" t="str">
            <v>101631</v>
          </cell>
          <cell r="B3120" t="str">
            <v>IGNITOR PARA PARTIDA LÂMPADA VAPOR SÓDIO / VAPOR METÁLICO ATÉ 400 W - FORNECIMENTO E INSTALAÇÃO. AF_08/2020</v>
          </cell>
          <cell r="C3120" t="str">
            <v>UN</v>
          </cell>
          <cell r="D3120">
            <v>22.29</v>
          </cell>
        </row>
        <row r="3121">
          <cell r="A3121" t="str">
            <v>101632</v>
          </cell>
          <cell r="B3121" t="str">
            <v>RELÉ FOTOELÉTRICO PARA COMANDO DE ILUMINAÇÃO EXTERNA 1000 W - FORNECIMENTO E INSTALAÇÃO. AF_08/2020</v>
          </cell>
          <cell r="C3121" t="str">
            <v>UN</v>
          </cell>
          <cell r="D3121">
            <v>41.65</v>
          </cell>
        </row>
        <row r="3122">
          <cell r="A3122" t="str">
            <v>101633</v>
          </cell>
          <cell r="B3122" t="str">
            <v>SUBSTITUIÇÃO DE RELÉ FOTOELÉTRICO PARA COMANDO DE ILUMINAÇÃO EXTERNA 1000 W - FORNECIMENTO E INSTALAÇÃO. AF_08/2020</v>
          </cell>
          <cell r="C3122" t="str">
            <v>UN</v>
          </cell>
          <cell r="D3122">
            <v>92.92</v>
          </cell>
        </row>
        <row r="3123">
          <cell r="A3123" t="str">
            <v>101636</v>
          </cell>
          <cell r="B3123" t="str">
            <v>BRAÇO PARA ILUMINAÇÃO PÚBLICA, EM TUBO DE AÇO GALVANIZADO, COMPRIMENTO DE 1,50 M, PARA FIXAÇÃO EM POSTE DE CONCRETO - FORNECIMENTO E INSTALAÇÃO. AF_08/2020</v>
          </cell>
          <cell r="C3123" t="str">
            <v>UN</v>
          </cell>
          <cell r="D3123">
            <v>143.79</v>
          </cell>
        </row>
        <row r="3124">
          <cell r="A3124" t="str">
            <v>101637</v>
          </cell>
          <cell r="B3124" t="str">
            <v>BRAÇO PARA ILUMINAÇÃO PÚBLICA, EM TUBO DE AÇO GALVANIZADO, COMPRIMENTO DE 1,50 M, PARA FIXAÇÃO EM POSTE METÁLICO - FORNECIMENTO E INSTALAÇÃO. AF_08/2020</v>
          </cell>
          <cell r="C3124" t="str">
            <v>UN</v>
          </cell>
          <cell r="D3124">
            <v>137.15</v>
          </cell>
        </row>
        <row r="3125">
          <cell r="A3125" t="str">
            <v>101640</v>
          </cell>
          <cell r="B3125" t="str">
            <v>LÂMPADA VAPOR METÁLICO 400 W - FORNECIMENTO E INSTALAÇÃO. AF_08/2020</v>
          </cell>
          <cell r="C3125" t="str">
            <v>UN</v>
          </cell>
          <cell r="D3125">
            <v>97.08</v>
          </cell>
        </row>
        <row r="3126">
          <cell r="A3126" t="str">
            <v>101641</v>
          </cell>
          <cell r="B3126" t="str">
            <v>LÂMPADA VAPOR METÁLICO 150 W - FORNECIMENTO E INSTALAÇÃO. AF_08/2020</v>
          </cell>
          <cell r="C3126" t="str">
            <v>UN</v>
          </cell>
          <cell r="D3126">
            <v>50.24</v>
          </cell>
        </row>
        <row r="3127">
          <cell r="A3127" t="str">
            <v>101642</v>
          </cell>
          <cell r="B3127" t="str">
            <v>LÂMPADA VAPOR DE MERCÚRIO 125 W - FORNECIMENTO E INSTALAÇÃO. AF_08/2020</v>
          </cell>
          <cell r="C3127" t="str">
            <v>UN</v>
          </cell>
          <cell r="D3127">
            <v>25.16</v>
          </cell>
        </row>
        <row r="3128">
          <cell r="A3128" t="str">
            <v>101643</v>
          </cell>
          <cell r="B3128" t="str">
            <v>LÂMPADA VAPOR DE MERCÚRIO 250 W - FORNECIMENTO E INSTALAÇÃO. AF_08/2020</v>
          </cell>
          <cell r="C3128" t="str">
            <v>UN</v>
          </cell>
          <cell r="D3128">
            <v>43.84</v>
          </cell>
        </row>
        <row r="3129">
          <cell r="A3129" t="str">
            <v>101644</v>
          </cell>
          <cell r="B3129" t="str">
            <v>LÂMPADA VAPOR DE MERCÚRIO 400 W - FORNECIMENTO E INSTALAÇÃO. AF_08/2020</v>
          </cell>
          <cell r="C3129" t="str">
            <v>UN</v>
          </cell>
          <cell r="D3129">
            <v>59.36</v>
          </cell>
        </row>
        <row r="3130">
          <cell r="A3130" t="str">
            <v>101645</v>
          </cell>
          <cell r="B3130" t="str">
            <v>LÂMPADA MISTA 160 W - FORNECIMENTO E INSTALAÇÃO. AF_08/2020</v>
          </cell>
          <cell r="C3130" t="str">
            <v>UN</v>
          </cell>
          <cell r="D3130">
            <v>28.06</v>
          </cell>
        </row>
        <row r="3131">
          <cell r="A3131" t="str">
            <v>101646</v>
          </cell>
          <cell r="B3131" t="str">
            <v>LÂMPADA MISTA 250 W - FORNECIMENTO E INSTALAÇÃO. AF_08/2020</v>
          </cell>
          <cell r="C3131" t="str">
            <v>UN</v>
          </cell>
          <cell r="D3131">
            <v>37.28</v>
          </cell>
        </row>
        <row r="3132">
          <cell r="A3132" t="str">
            <v>101647</v>
          </cell>
          <cell r="B3132" t="str">
            <v>LÂMPADA MISTA 500 W - FORNECIMENTO E INSTALAÇÃO. AF_08/2020</v>
          </cell>
          <cell r="C3132" t="str">
            <v>UN</v>
          </cell>
          <cell r="D3132">
            <v>68.55</v>
          </cell>
        </row>
        <row r="3133">
          <cell r="A3133" t="str">
            <v>101648</v>
          </cell>
          <cell r="B3133" t="str">
            <v>LÂMPADA VAPOR DE SÓDIO 150 W - FORNECIMENTO E INSTALAÇÃO. AF_08/2020</v>
          </cell>
          <cell r="C3133" t="str">
            <v>UN</v>
          </cell>
          <cell r="D3133">
            <v>53</v>
          </cell>
        </row>
        <row r="3134">
          <cell r="A3134" t="str">
            <v>101649</v>
          </cell>
          <cell r="B3134" t="str">
            <v>LÂMPADA VAPOR DE SÓDIO 250 W - FORNECIMENTO E INSTALAÇÃO. AF_08/2020</v>
          </cell>
          <cell r="C3134" t="str">
            <v>UN</v>
          </cell>
          <cell r="D3134">
            <v>61.08</v>
          </cell>
        </row>
        <row r="3135">
          <cell r="A3135" t="str">
            <v>101650</v>
          </cell>
          <cell r="B3135" t="str">
            <v>LÂMPADA VAPOR DE SÓDIO 400 W - FORNECIMENTO E INSTALAÇÃO. AF_08/2020</v>
          </cell>
          <cell r="C3135" t="str">
            <v>UN</v>
          </cell>
          <cell r="D3135">
            <v>71.010000000000005</v>
          </cell>
        </row>
        <row r="3136">
          <cell r="A3136" t="str">
            <v>101651</v>
          </cell>
          <cell r="B3136" t="str">
            <v>SUBSTITUIÇÃO DE LÂMPADA PARA ILUMINAÇÃO PÚBLICA (NÃO INCLUI FORNECIMENTO). AF_08/2020</v>
          </cell>
          <cell r="C3136" t="str">
            <v>UN</v>
          </cell>
          <cell r="D3136">
            <v>53.23</v>
          </cell>
        </row>
        <row r="3137">
          <cell r="A3137" t="str">
            <v>101652</v>
          </cell>
          <cell r="B3137" t="str">
            <v>LUMINÁRIA FECHADA, PARA ILUMINAÇÃO PÚBLICA, PARA LÂMPADA DE VAPOR - FORNECIMENTO E INSTALAÇÃO (EXCLUSIVE LÂMPADA E REATOR). AF_08/2020</v>
          </cell>
          <cell r="C3137" t="str">
            <v>UN</v>
          </cell>
          <cell r="D3137">
            <v>537.42999999999995</v>
          </cell>
        </row>
        <row r="3138">
          <cell r="A3138" t="str">
            <v>101653</v>
          </cell>
          <cell r="B3138" t="str">
            <v>LUMINÁRIA ABERTA PARA ILUMINAÇÃO PÚBLICA, PARA LÂMPADA VAPOR DE MERCÚRIO ATÉ 400 W E MISTA ATÉ 500 W, COM BRAÇO EM TUBO DE AÇO GALV 1", COMPRIMENTO DE 1,50 M, PARA POSTE DE CONCRETO - FORNECIMENTO E INSTALAÇÃO (EXCLUSIVE LÂMPADA E REATOR). AF_08/2020</v>
          </cell>
          <cell r="C3138" t="str">
            <v>UN</v>
          </cell>
          <cell r="D3138">
            <v>278.38</v>
          </cell>
        </row>
        <row r="3139">
          <cell r="A3139" t="str">
            <v>101654</v>
          </cell>
          <cell r="B3139" t="str">
            <v>LUMINÁRIA DE LED PARA ILUMINAÇÃO PÚBLICA, DE 33 W ATÉ 50 W - FORNECIMENTO E INSTALAÇÃO. AF_08/2020</v>
          </cell>
          <cell r="C3139" t="str">
            <v>UN</v>
          </cell>
          <cell r="D3139">
            <v>296.3</v>
          </cell>
        </row>
        <row r="3140">
          <cell r="A3140" t="str">
            <v>101655</v>
          </cell>
          <cell r="B3140" t="str">
            <v>LUMINÁRIA DE LED PARA ILUMINAÇÃO PÚBLICA, DE 51 W ATÉ 67 W - FORNECIMENTO E INSTALAÇÃO. AF_08/2020</v>
          </cell>
          <cell r="C3140" t="str">
            <v>UN</v>
          </cell>
          <cell r="D3140">
            <v>494.53</v>
          </cell>
        </row>
        <row r="3141">
          <cell r="A3141" t="str">
            <v>101656</v>
          </cell>
          <cell r="B3141" t="str">
            <v>LUMINÁRIA DE LED PARA ILUMINAÇÃO PÚBLICA, DE 68 W ATÉ 97 W - FORNECIMENTO E INSTALAÇÃO. AF_08/2020</v>
          </cell>
          <cell r="C3141" t="str">
            <v>UN</v>
          </cell>
          <cell r="D3141">
            <v>540.80999999999995</v>
          </cell>
        </row>
        <row r="3142">
          <cell r="A3142" t="str">
            <v>101657</v>
          </cell>
          <cell r="B3142" t="str">
            <v>LUMINÁRIA DE LED PARA ILUMINAÇÃO PÚBLICA, DE 98 W ATÉ 137 W - FORNECIMENTO E INSTALAÇÃO. AF_08/2020</v>
          </cell>
          <cell r="C3142" t="str">
            <v>UN</v>
          </cell>
          <cell r="D3142">
            <v>639.39</v>
          </cell>
        </row>
        <row r="3143">
          <cell r="A3143" t="str">
            <v>101658</v>
          </cell>
          <cell r="B3143" t="str">
            <v>LUMINÁRIA DE LED PARA ILUMINAÇÃO PÚBLICA, DE 138 W ATÉ 180 W - FORNECIMENTO E INSTALAÇÃO. AF_08/2020</v>
          </cell>
          <cell r="C3143" t="str">
            <v>UN</v>
          </cell>
          <cell r="D3143">
            <v>842.11</v>
          </cell>
        </row>
        <row r="3144">
          <cell r="A3144" t="str">
            <v>101659</v>
          </cell>
          <cell r="B3144" t="str">
            <v>LUMINÁRIA DE LED PARA ILUMINAÇÃO PÚBLICA, DE 181 W ATÉ 239 W - FORNECIMENTO E INSTALAÇÃO. AF_08/2020</v>
          </cell>
          <cell r="C3144" t="str">
            <v>UN</v>
          </cell>
          <cell r="D3144">
            <v>968.19</v>
          </cell>
        </row>
        <row r="3145">
          <cell r="A3145" t="str">
            <v>101660</v>
          </cell>
          <cell r="B3145" t="str">
            <v>LUMINÁRIA DE LED PARA ILUMINAÇÃO PÚBLICA, DE 240 W ATÉ 350 W - FORNECIMENTO E INSTALAÇÃO. AF_08/2020</v>
          </cell>
          <cell r="C3145" t="str">
            <v>UN</v>
          </cell>
          <cell r="D3145">
            <v>1563.37</v>
          </cell>
        </row>
        <row r="3146">
          <cell r="A3146" t="str">
            <v>101661</v>
          </cell>
          <cell r="B3146" t="str">
            <v>SUBSTITUIÇÃO DE LUMINÁRIA DE VAPOR DE MERCÚRIO/VAPOR DE SÓDIO POR LUMINÁRIA DE LED PARA ILUMINAÇÃO PÚBLICA (NÃO INCLUI FORNECIMENTO). AF_08/2020</v>
          </cell>
          <cell r="C3146" t="str">
            <v>UN</v>
          </cell>
          <cell r="D3146">
            <v>100.15</v>
          </cell>
        </row>
        <row r="3147">
          <cell r="A3147" t="str">
            <v>101662</v>
          </cell>
          <cell r="B3147" t="str">
            <v>LUMINÁRIA FECHADA PARA ILUMINAÇÃO PÚBLICA, COM REATOR DE PARTIDA RÁPIDA, COM LÂMPADA VAPOR DE MERCÚRIO 250 W - FORNECIMENTO E INSTALAÇÃO. AF_08/2020</v>
          </cell>
          <cell r="C3147" t="str">
            <v>UN</v>
          </cell>
          <cell r="D3147">
            <v>744.49</v>
          </cell>
        </row>
        <row r="3148">
          <cell r="A3148" t="str">
            <v>101663</v>
          </cell>
          <cell r="B3148" t="str">
            <v>ABRAÇADEIRA DE FIXAÇÃO DE BRAÇOS DE LUMINÁRIAS DE 2" - FORNECIMENTO E INSTALAÇÃO. AF_08/2020</v>
          </cell>
          <cell r="C3148" t="str">
            <v>UN</v>
          </cell>
          <cell r="D3148">
            <v>24.09</v>
          </cell>
        </row>
        <row r="3149">
          <cell r="A3149" t="str">
            <v>101664</v>
          </cell>
          <cell r="B3149" t="str">
            <v>ABRAÇADEIRA DE FIXAÇÃO DE BRAÇOS DE LUMINÁRIAS DE 3" - FORNECIMENTO E INSTALAÇÃO. AF_08/2020</v>
          </cell>
          <cell r="C3149" t="str">
            <v>UN</v>
          </cell>
          <cell r="D3149">
            <v>25.07</v>
          </cell>
        </row>
        <row r="3150">
          <cell r="A3150" t="str">
            <v>101665</v>
          </cell>
          <cell r="B3150" t="str">
            <v>ABRAÇADEIRA DE FIXAÇÃO DE BRAÇOS DE LUMINÁRIAS DE 4" - FORNECIMENTO E INSTALAÇÃO. AF_08/2020</v>
          </cell>
          <cell r="C3150" t="str">
            <v>UN</v>
          </cell>
          <cell r="D3150">
            <v>29.27</v>
          </cell>
        </row>
        <row r="3151">
          <cell r="A3151" t="str">
            <v>101666</v>
          </cell>
          <cell r="B3151" t="str">
            <v>REFLETOR RETANGULAR FECHADO, COM LÂMPADA VAPOR METÁLICO 400 W - FORNECIMENTO E INSTALAÇÃO. AF_08/2020</v>
          </cell>
          <cell r="C3151" t="str">
            <v>UN</v>
          </cell>
          <cell r="D3151">
            <v>425.32</v>
          </cell>
        </row>
        <row r="3152">
          <cell r="A3152" t="str">
            <v>102085</v>
          </cell>
          <cell r="B3152" t="str">
            <v>LUMINÁRIA ESTANQUE COM PROTEÇÃO CONTRA ÁGUA, POEIRA OU IMPACTOS - FORNECIMENTO E INSTALAÇÃO. AF_08/2020</v>
          </cell>
          <cell r="C3152" t="str">
            <v>UN</v>
          </cell>
          <cell r="D3152">
            <v>214.33</v>
          </cell>
        </row>
        <row r="3153">
          <cell r="A3153" t="str">
            <v>100578</v>
          </cell>
          <cell r="B3153" t="str">
            <v>ASSENTAMENTO DE POSTE DE CONCRETO COM COMPRIMENTO NOMINAL DE 9 M, CARGA NOMINAL MENOR OU IGUAL A 1000 DAN, ENGASTAMENTO SIMPLES COM 1,5 M DE SOLO (NÃO INCLUI FORNECIMENTO). AF_11/2019</v>
          </cell>
          <cell r="C3153" t="str">
            <v>UN</v>
          </cell>
          <cell r="D3153">
            <v>464.94</v>
          </cell>
        </row>
        <row r="3154">
          <cell r="A3154" t="str">
            <v>100579</v>
          </cell>
          <cell r="B3154" t="str">
            <v>ASSENTAMENTO DE POSTE DE CONCRETO COM COMPRIMENTO NOMINAL DE 10 M, CARGA NOMINAL MENOR OU IGUAL A 1000 DAN, ENGASTAMENTO SIMPLES COM 1,6 M DE SOLO (NÃO INCLUI FORNECIMENTO). AF_11/2019</v>
          </cell>
          <cell r="C3154" t="str">
            <v>UN</v>
          </cell>
          <cell r="D3154">
            <v>510.33</v>
          </cell>
        </row>
        <row r="3155">
          <cell r="A3155" t="str">
            <v>100580</v>
          </cell>
          <cell r="B3155" t="str">
            <v>ASSENTAMENTO DE POSTE DE CONCRETO COM COMPRIMENTO NOMINAL DE 10 M, CARGA NOMINAL MAIOR QUE 1000 DAN, ENGASTAMENTO SIMPLES COM 1,6 M DE SOLO (NÃO INCLUI FORNECIMENTO). AF_11/2019</v>
          </cell>
          <cell r="C3155" t="str">
            <v>UN</v>
          </cell>
          <cell r="D3155">
            <v>556.08000000000004</v>
          </cell>
        </row>
        <row r="3156">
          <cell r="A3156" t="str">
            <v>100581</v>
          </cell>
          <cell r="B3156" t="str">
            <v>ASSENTAMENTO DE POSTE DE CONCRETO COM COMPRIMENTO NOMINAL DE 10,5 M, CARGA NOMINAL MENOR OU IGUAL A 1000 DAN, ENGASTAMENTO SIMPLES COM 1,65 M DE SOLO (NÃO INCLUI FORNECIMENTO). AF_11/2019</v>
          </cell>
          <cell r="C3156" t="str">
            <v>UN</v>
          </cell>
          <cell r="D3156">
            <v>532.85</v>
          </cell>
        </row>
        <row r="3157">
          <cell r="A3157" t="str">
            <v>100582</v>
          </cell>
          <cell r="B3157" t="str">
            <v>ASSENTAMENTO DE POSTE DE CONCRETO COM COMPRIMENTO NOMINAL DE 10,5 M, CARGA NOMINAL MAIOR QUE 1000 DAN, ENGASTAMENTO SIMPLES COM 1,65 M DE SOLO (NÃO INCLUI FORNECIMENTO). AF_11/2019</v>
          </cell>
          <cell r="C3157" t="str">
            <v>UN</v>
          </cell>
          <cell r="D3157">
            <v>615.37</v>
          </cell>
        </row>
        <row r="3158">
          <cell r="A3158" t="str">
            <v>100583</v>
          </cell>
          <cell r="B3158" t="str">
            <v>ASSENTAMENTO DE POSTE DE CONCRETO COM COMPRIMENTO NOMINAL DE 11 M, CARGA NOMINAL MENOR OU IGUAL A 1000 DAN, ENGASTAMENTO SIMPLES COM 1,7 M DE SOLO (NÃO INCLUI FORNECIMENTO). AF_11/2019</v>
          </cell>
          <cell r="C3158" t="str">
            <v>UN</v>
          </cell>
          <cell r="D3158">
            <v>556.85</v>
          </cell>
        </row>
        <row r="3159">
          <cell r="A3159" t="str">
            <v>100584</v>
          </cell>
          <cell r="B3159" t="str">
            <v>ASSENTAMENTO DE POSTE DE CONCRETO COM COMPRIMENTO NOMINAL DE 11 M, CARGA NOMINAL MAIOR QUE 1000 DAN, ENGASTAMENTO SIMPLES COM 1,7 M DE SOLO (NÃO INCLUI FORNECIMENTO). AF_11/2019</v>
          </cell>
          <cell r="C3159" t="str">
            <v>UN</v>
          </cell>
          <cell r="D3159">
            <v>606.44000000000005</v>
          </cell>
        </row>
        <row r="3160">
          <cell r="A3160" t="str">
            <v>100585</v>
          </cell>
          <cell r="B3160" t="str">
            <v>ASSENTAMENTO DE POSTE DE CONCRETO COM COMPRIMENTO NOMINAL DE 12 M, CARGA NOMINAL MENOR OU IGUAL A 1000 DAN, ENGASTAMENTO SIMPLES COM 1,8 M DE SOLO (NÃO INCLUI FORNECIMENTO). AF_11/2019</v>
          </cell>
          <cell r="C3160" t="str">
            <v>UN</v>
          </cell>
          <cell r="D3160">
            <v>603.58000000000004</v>
          </cell>
        </row>
        <row r="3161">
          <cell r="A3161" t="str">
            <v>100586</v>
          </cell>
          <cell r="B3161" t="str">
            <v>ASSENTAMENTO DE POSTE DE CONCRETO COM COMPRIMENTO NOMINAL DE 12 M, CARGA NOMINAL MAIOR QUE 1000 DAN, ENGASTAMENTO SIMPLES COM 1,8 M DE SOLO (NÃO INCLUI FORNECIMENTO). AF_11/2019</v>
          </cell>
          <cell r="C3161" t="str">
            <v>UN</v>
          </cell>
          <cell r="D3161">
            <v>682.57</v>
          </cell>
        </row>
        <row r="3162">
          <cell r="A3162" t="str">
            <v>100587</v>
          </cell>
          <cell r="B3162" t="str">
            <v>ASSENTAMENTO DE POSTE DE CONCRETO COM COMPRIMENTO NOMINAL DE 13 M, CARGA NOMINAL MENOR OU IGUAL A 1000 DAN, ENGASTAMENTO SIMPLES COM 1,9 M DE SOLO (NÃO INCLUI FORNECIMENTO). AF_11/2019</v>
          </cell>
          <cell r="C3162" t="str">
            <v>UN</v>
          </cell>
          <cell r="D3162">
            <v>651.9</v>
          </cell>
        </row>
        <row r="3163">
          <cell r="A3163" t="str">
            <v>100588</v>
          </cell>
          <cell r="B3163" t="str">
            <v>ASSENTAMENTO DE POSTE DE CONCRETO COM COMPRIMENTO NOMINAL DE 13 M, CARGA NOMINAL MAIOR QUE 1000 DAN, ENGASTAMENTO SIMPLES COM 1,9 M DE SOLO (NÃO INCLUI FORNECIMENTO). AF_11/2019</v>
          </cell>
          <cell r="C3163" t="str">
            <v>UN</v>
          </cell>
          <cell r="D3163">
            <v>713.28</v>
          </cell>
        </row>
        <row r="3164">
          <cell r="A3164" t="str">
            <v>100589</v>
          </cell>
          <cell r="B3164" t="str">
            <v>ASSENTAMENTO DE POSTE DE CONCRETO COM COMPRIMENTO NOMINAL DE 13,5 M, CARGA NOMINAL MENOR OU IGUAL A 1000 DAN, ENGASTAMENTO SIMPLES COM 1,95 M DE SOLO (NÃO INCLUI FORNECIMENTO). AF_11/2019</v>
          </cell>
          <cell r="C3164" t="str">
            <v>UN</v>
          </cell>
          <cell r="D3164">
            <v>718.74</v>
          </cell>
        </row>
        <row r="3165">
          <cell r="A3165" t="str">
            <v>100590</v>
          </cell>
          <cell r="B3165" t="str">
            <v>ASSENTAMENTO DE POSTE DE CONCRETO COM COMPRIMENTO NOMINAL DE 13,5 M, CARGA NOMINAL MAIOR QUE 1000 DAN, ENGASTAMENTO SIMPLES COM 1,95 M DE SOLO (NÃO INCLUI FORNECIMENTO). AF_11/2019</v>
          </cell>
          <cell r="C3165" t="str">
            <v>UN</v>
          </cell>
          <cell r="D3165">
            <v>779.52</v>
          </cell>
        </row>
        <row r="3166">
          <cell r="A3166" t="str">
            <v>100591</v>
          </cell>
          <cell r="B3166" t="str">
            <v>ASSENTAMENTO DE POSTE DE CONCRETO COM COMPRIMENTO NOMINAL DE 14 M, CARGA NOMINAL MENOR OU IGUAL A 1000 DAN, ENGASTAMENTO SIMPLES COM 2 M DE SOLO (NÃO INCLUI FORNECIMENTO). AF_11/2019</v>
          </cell>
          <cell r="C3166" t="str">
            <v>UN</v>
          </cell>
          <cell r="D3166">
            <v>716.25</v>
          </cell>
        </row>
        <row r="3167">
          <cell r="A3167" t="str">
            <v>100592</v>
          </cell>
          <cell r="B3167" t="str">
            <v>ASSENTAMENTO DE POSTE DE CONCRETO COM COMPRIMENTO NOMINAL DE 14 M, CARGA NOMINAL MAIOR QUE 1000 DAN, ENGASTAMENTO SIMPLES COM 2 M DE SOLO (NÃO INCLUI FORNECIMENTO). AF_11/2019</v>
          </cell>
          <cell r="C3167" t="str">
            <v>UN</v>
          </cell>
          <cell r="D3167">
            <v>766.59</v>
          </cell>
        </row>
        <row r="3168">
          <cell r="A3168" t="str">
            <v>100593</v>
          </cell>
          <cell r="B3168" t="str">
            <v>ASSENTAMENTO DE POSTE DE CONCRETO COM COMPRIMENTO NOMINAL DE 15 M, CARGA NOMINAL MENOR OU IGUAL A 1000 DAN, ENGASTAMENTO SIMPLES COM 2,1 M DE SOLO (NÃO INCLUI FORNECIMENTO). AF_11/2019</v>
          </cell>
          <cell r="C3168" t="str">
            <v>UN</v>
          </cell>
          <cell r="D3168">
            <v>767.3</v>
          </cell>
        </row>
        <row r="3169">
          <cell r="A3169" t="str">
            <v>100594</v>
          </cell>
          <cell r="B3169" t="str">
            <v>ASSENTAMENTO DE POSTE DE CONCRETO COM COMPRIMENTO NOMINAL DE 15 M, CARGA NOMINAL MAIOR QUE 1000 DAN, ENGASTAMENTO SIMPLES COM 2,1 M DE SOLO (NÃO INCLUI FORNECIMENTO). AF_11/2019</v>
          </cell>
          <cell r="C3169" t="str">
            <v>UN</v>
          </cell>
          <cell r="D3169">
            <v>852.55</v>
          </cell>
        </row>
        <row r="3170">
          <cell r="A3170" t="str">
            <v>100595</v>
          </cell>
          <cell r="B3170" t="str">
            <v>ASSENTAMENTO DE POSTE DE CONCRETO COM COMPRIMENTO NOMINAL DE 18 M, CARGA NOMINAL MENOR OU IGUAL A 1000 DAN, ENGASTAMENTO SIMPLES COM 2,4 M DE SOLO (NÃO INCLUI FORNECIMENTO). AF_11/2019</v>
          </cell>
          <cell r="C3170" t="str">
            <v>UN</v>
          </cell>
          <cell r="D3170">
            <v>920.52</v>
          </cell>
        </row>
        <row r="3171">
          <cell r="A3171" t="str">
            <v>100596</v>
          </cell>
          <cell r="B3171" t="str">
            <v>ASSENTAMENTO DE POSTE DE CONCRETO COM COMPRIMENTO NOMINAL DE 18 M, CARGA NOMINAL MAIOR QUE 1000 DAN, ENGASTAMENTO SIMPLES COM 2,4 M DE SOLO (NÃO INCLUI FORNECIMENTO). AF_11/2019</v>
          </cell>
          <cell r="C3171" t="str">
            <v>UN</v>
          </cell>
          <cell r="D3171">
            <v>1035.46</v>
          </cell>
        </row>
        <row r="3172">
          <cell r="A3172" t="str">
            <v>100597</v>
          </cell>
          <cell r="B3172" t="str">
            <v>ASSENTAMENTO DE POSTE DE CONCRETO COM COMPRIMENTO NOMINAL DE 20 M, CARGA NOMINAL MENOR OU IGUAL A 1000 DAN, ENGASTAMENTO SIMPLES COM 2,6 M DE SOLO (NÃO INCLUI FORNECIMENTO). AF_11/2019</v>
          </cell>
          <cell r="C3172" t="str">
            <v>UN</v>
          </cell>
          <cell r="D3172">
            <v>1061.78</v>
          </cell>
        </row>
        <row r="3173">
          <cell r="A3173" t="str">
            <v>100598</v>
          </cell>
          <cell r="B3173" t="str">
            <v>ASSENTAMENTO DE POSTE DE CONCRETO COM COMPRIMENTO NOMINAL DE 20 M, CARGA NOMINAL MAIOR QUE 1000, ENGASTAMENTO SIMPLES COM 2,6 M DE SOLO (NÃO INCLUI FORNECIMENTO). AF_11/2019</v>
          </cell>
          <cell r="C3173" t="str">
            <v>UN</v>
          </cell>
          <cell r="D3173">
            <v>1156.54</v>
          </cell>
        </row>
        <row r="3174">
          <cell r="A3174" t="str">
            <v>100599</v>
          </cell>
          <cell r="B3174" t="str">
            <v>ASSENTAMENTO DE POSTE DE CONCRETO COM COMPRIMENTO NOMINAL DE 9 M, CARGA NOMINAL DE 150 DAN, ENGASTAMENTO BASE CONCRETADA COM 1 M DE CONCRETO E 0,5 M DE SOLO (NÃO INCLUI FORNECIMENTO). AF_11/2019</v>
          </cell>
          <cell r="C3174" t="str">
            <v>UN</v>
          </cell>
          <cell r="D3174">
            <v>472.06</v>
          </cell>
        </row>
        <row r="3175">
          <cell r="A3175" t="str">
            <v>100600</v>
          </cell>
          <cell r="B3175" t="str">
            <v>ASSENTAMENTO DE POSTE DE CONCRETO COM COMPRIMENTO NOMINAL DE 9 M, CARGA NOMINAL DE 300 DAN, ENGASTAMENTO BASE CONCRETADA COM 1 M DE CONCRETO E 0,5 M DE SOLO (NÃO INCLUI FORNECIMENTO). AF_11/2019</v>
          </cell>
          <cell r="C3175" t="str">
            <v>UN</v>
          </cell>
          <cell r="D3175">
            <v>550.07000000000005</v>
          </cell>
        </row>
        <row r="3176">
          <cell r="A3176" t="str">
            <v>100601</v>
          </cell>
          <cell r="B3176" t="str">
            <v>ASSENTAMENTO DE POSTE DE CONCRETO COM COMPRIMENTO NOMINAL DE 9 M, CARGA NOMINAL DE 400 DAN, ENGASTAMENTO BASE CONCRETADA COM 1 M DE CONCRETO E 0,5 M DE SOLO (NÃO INCLUI FORNECIMENTO). AF_11/2019</v>
          </cell>
          <cell r="C3176" t="str">
            <v>UN</v>
          </cell>
          <cell r="D3176">
            <v>679.59</v>
          </cell>
        </row>
        <row r="3177">
          <cell r="A3177" t="str">
            <v>100602</v>
          </cell>
          <cell r="B3177" t="str">
            <v>ASSENTAMENTO DE POSTE DE CONCRETO COM COMPRIMENTO NOMINAL DE 9 M, CARGA NOMINAL DE 600 DAN, ENGASTAMENTO BASE CONCRETADA COM 1 M DE CONCRETO E 0,5 M DE SOLO (NÃO INCLUI FORNECIMENTO). AF_11/2019</v>
          </cell>
          <cell r="C3177" t="str">
            <v>UN</v>
          </cell>
          <cell r="D3177">
            <v>841.2</v>
          </cell>
        </row>
        <row r="3178">
          <cell r="A3178" t="str">
            <v>100603</v>
          </cell>
          <cell r="B3178" t="str">
            <v>ASSENTAMENTO DE POSTE DE CONCRETO COM COMPRIMENTO NOMINAL DE 9 M, CARGA NOMINAL DE 1000 DAN, ENGASTAMENTO BASE CONCRETADA COM 1 M DE CONCRETO E 0,5 M DE SOLO (NÃO INCLUI FORNECIMENTO). AF_11/2019</v>
          </cell>
          <cell r="C3178" t="str">
            <v>UN</v>
          </cell>
          <cell r="D3178">
            <v>1257.71</v>
          </cell>
        </row>
        <row r="3179">
          <cell r="A3179" t="str">
            <v>100604</v>
          </cell>
          <cell r="B3179" t="str">
            <v>ASSENTAMENTO DE POSTE DE CONCRETO COM COMPRIMENTO NOMINAL DE 10 M, CARGA NOMINAL DE 300 DAN, ENGASTAMENTO BASE CONCRETADA COM 1 M DE CONCRETO E 0,6 M DE SOLO (NÃO INCLUI FORNECIMENTO). AF_11/2019</v>
          </cell>
          <cell r="C3179" t="str">
            <v>UN</v>
          </cell>
          <cell r="D3179">
            <v>587.63</v>
          </cell>
        </row>
        <row r="3180">
          <cell r="A3180" t="str">
            <v>100605</v>
          </cell>
          <cell r="B3180" t="str">
            <v>ASSENTAMENTO DE POSTE DE CONCRETO COM COMPRIMENTO NOMINAL DE 10 M, CARGA NOMINAL DE 600 DAN, ENGASTAMENTO BASE CONCRETADA COM 1 M DE CONCRETO E 0,6 M DE SOLO (NÃO INCLUI FORNECIMENTO). AF_11/2019</v>
          </cell>
          <cell r="C3180" t="str">
            <v>UN</v>
          </cell>
          <cell r="D3180">
            <v>887.2</v>
          </cell>
        </row>
        <row r="3181">
          <cell r="A3181" t="str">
            <v>100606</v>
          </cell>
          <cell r="B3181" t="str">
            <v>ASSENTAMENTO DE POSTE DE CONCRETO COM COMPRIMENTO NOMINAL DE 10 M, CARGA NOMINAL DE 1000 DAN, ENGASTAMENTO BASE CONCRETADA COM 1 M DE CONCRETO E 0,6 M DE SOLO (NÃO INCLUI FORNECIMENTO). AF_11/2019</v>
          </cell>
          <cell r="C3181" t="str">
            <v>UN</v>
          </cell>
          <cell r="D3181">
            <v>1314.69</v>
          </cell>
        </row>
        <row r="3182">
          <cell r="A3182" t="str">
            <v>100607</v>
          </cell>
          <cell r="B3182" t="str">
            <v>ASSENTAMENTO DE POSTE DE CONCRETO COM COMPRIMENTO NOMINAL DE 10,5 M, CARGA NOMINAL DE 300 DAN, ENGASTAMENTO BASE CONCRETADA COM 1 M DE CONCRETO E 0,65 M DE SOLO (NÃO INCLUI FORNECIMENTO). AF_11/2019</v>
          </cell>
          <cell r="C3182" t="str">
            <v>UN</v>
          </cell>
          <cell r="D3182">
            <v>605.71</v>
          </cell>
        </row>
        <row r="3183">
          <cell r="A3183" t="str">
            <v>100608</v>
          </cell>
          <cell r="B3183" t="str">
            <v>ASSENTAMENTO DE POSTE DE CONCRETO COM COMPRIMENTO NOMINAL DE 10,5 M, CARGA NOMINAL DE 600 DAN, ENGASTAMENTO BASE CONCRETADA COM 1 M DE CONCRETO E 0,65 M DE SOLO (NÃO INCLUI FORNECIMENTO). AF_11/2019</v>
          </cell>
          <cell r="C3183" t="str">
            <v>UN</v>
          </cell>
          <cell r="D3183">
            <v>909.94</v>
          </cell>
        </row>
        <row r="3184">
          <cell r="A3184" t="str">
            <v>100609</v>
          </cell>
          <cell r="B3184" t="str">
            <v>ASSENTAMENTO DE POSTE DE CONCRETO COM COMPRIMENTO NOMINAL DE 10,5 M, CARGA NOMINAL DE 1000 DAN, ENGASTAMENTO BASE CONCRETADA COM 1 M DE CONCRETO E 0,65 M DE SOLO (NÃO INCLUI FORNECIMENTO). AF_11/2019</v>
          </cell>
          <cell r="C3184" t="str">
            <v>UN</v>
          </cell>
          <cell r="D3184">
            <v>1345</v>
          </cell>
        </row>
        <row r="3185">
          <cell r="A3185" t="str">
            <v>100610</v>
          </cell>
          <cell r="B3185" t="str">
            <v>ASSENTAMENTO DE POSTE DE CONCRETO COM COMPRIMENTO NOMINAL DE 11 M, CARGA NOMINAL DE 300 DAN, ENGASTAMENTO BASE CONCRETADA COM 1 M DE CONCRETO E 0,7 M DE SOLO (NÃO INCLUI FORNECIMENTO). AF_11/2019</v>
          </cell>
          <cell r="C3185" t="str">
            <v>UN</v>
          </cell>
          <cell r="D3185">
            <v>623.69000000000005</v>
          </cell>
        </row>
        <row r="3186">
          <cell r="A3186" t="str">
            <v>100611</v>
          </cell>
          <cell r="B3186" t="str">
            <v>ASSENTAMENTO DE POSTE DE CONCRETO COM COMPRIMENTO NOMINAL DE 11 M, CARGA NOMINAL DE 400 DAN, ENGASTAMENTO BASE CONCRETADA COM 1 M DE CONCRETO E 0,7 M DE SOLO (NÃO INCLUI FORNECIMENTO). AF_11/2019</v>
          </cell>
          <cell r="C3186" t="str">
            <v>UN</v>
          </cell>
          <cell r="D3186">
            <v>760.7</v>
          </cell>
        </row>
        <row r="3187">
          <cell r="A3187" t="str">
            <v>100612</v>
          </cell>
          <cell r="B3187" t="str">
            <v>ASSENTAMENTO DE POSTE DE CONCRETO COM COMPRIMENTO NOMINAL DE 11 M, CARGA NOMINAL DE 600 DAN, ENGASTAMENTO BASE CONCRETADA COM 1 M DE CONCRETO E 0,7 M DE SOLO (NÃO INCLUI FORNECIMENTO). AF_11/2019</v>
          </cell>
          <cell r="C3187" t="str">
            <v>UN</v>
          </cell>
          <cell r="D3187">
            <v>932.32</v>
          </cell>
        </row>
        <row r="3188">
          <cell r="A3188" t="str">
            <v>100613</v>
          </cell>
          <cell r="B3188" t="str">
            <v>ASSENTAMENTO DE POSTE DE CONCRETO COM COMPRIMENTO NOMINAL DE 11 M, CARGA NOMINAL DE 1000 DAN, ENGASTAMENTO BASE CONCRETADA COM 1 M DE CONCRETO E 0,7 M DE SOLO (NÃO INCLUI FORNECIMENTO). AF_11/2019</v>
          </cell>
          <cell r="C3188" t="str">
            <v>UN</v>
          </cell>
          <cell r="D3188">
            <v>1374.72</v>
          </cell>
        </row>
        <row r="3189">
          <cell r="A3189" t="str">
            <v>100614</v>
          </cell>
          <cell r="B3189" t="str">
            <v>ASSENTAMENTO DE POSTE DE CONCRETO COM COMPRIMENTO NOMINAL DE 12 M, CARGA NOMINAL DE 400 DAN, ENGASTAMENTO BASE CONCRETADA COM 1 M DE CONCRETO E 0,8 M DE SOLO (NÃO INCLUI FORNECIMENTO). AF_11/2019</v>
          </cell>
          <cell r="C3189" t="str">
            <v>UN</v>
          </cell>
          <cell r="D3189">
            <v>800.66</v>
          </cell>
        </row>
        <row r="3190">
          <cell r="A3190" t="str">
            <v>100615</v>
          </cell>
          <cell r="B3190" t="str">
            <v>ASSENTAMENTO DE POSTE DE CONCRETO COM COMPRIMENTO NOMINAL DE 12 M, CARGA NOMINAL DE 600 DAN, ENGASTAMENTO BASE CONCRETADA COM 1 M DE CONCRETO E 0,8 M DE SOLO (NÃO INCLUI FORNECIMENTO). AF_11/2019</v>
          </cell>
          <cell r="C3190" t="str">
            <v>UN</v>
          </cell>
          <cell r="D3190">
            <v>976.86</v>
          </cell>
        </row>
        <row r="3191">
          <cell r="A3191" t="str">
            <v>100616</v>
          </cell>
          <cell r="B3191" t="str">
            <v>ASSENTAMENTO DE POSTE DE CONCRETO COM COMPRIMENTO NOMINAL DE 12 M, CARGA NOMINAL DE 1000 DAN, ENGASTAMENTO BASE CONCRETADA COM 1 M DE CONCRETO E 0,8 M DE SOLO (NÃO INCLUI FORNECIMENTO). AF_11/2019</v>
          </cell>
          <cell r="C3191" t="str">
            <v>UN</v>
          </cell>
          <cell r="D3191">
            <v>1436.96</v>
          </cell>
        </row>
        <row r="3192">
          <cell r="A3192" t="str">
            <v>100617</v>
          </cell>
          <cell r="B3192" t="str">
            <v>ASSENTAMENTO DE POSTE DE CONCRETO COM COMPRIMENTO NOMINAL DE 13 M, CARGA NOMINAL DE 600 DAN, ENGASTAMENTO BASE CONCRETADA COM 1 M DE CONCRETO E 0,9 M DE SOLO (NÃO INCLUI FORNECIMENTO). AF_11/2019</v>
          </cell>
          <cell r="C3192" t="str">
            <v>UN</v>
          </cell>
          <cell r="D3192">
            <v>1021.28</v>
          </cell>
        </row>
        <row r="3193">
          <cell r="A3193" t="str">
            <v>100618</v>
          </cell>
          <cell r="B3193" t="str">
            <v>ASSENTAMENTO DE POSTE DE CONCRETO COM COMPRIMENTO NOMINAL DE 13 M, CARGA NOMINAL DE 1000 DAN, ENGASTAMENTO BASE CONCRETADA COM 1 M DE CONCRETO E 0,9 M DE SOLO - SOMENTE INSTALAÇÃO, SEM FORNECIMENTO. AF_11/2019</v>
          </cell>
          <cell r="C3193" t="str">
            <v>UN</v>
          </cell>
          <cell r="D3193">
            <v>1502.1</v>
          </cell>
        </row>
        <row r="3194">
          <cell r="A3194" t="str">
            <v>100619</v>
          </cell>
          <cell r="B3194" t="str">
            <v>POSTE DECORATIVO PARA JARDIM EM AÇO TUBULAR, H = *2,5* M, SEM LUMINÁRIA - FORNECIMENTO E INSTALAÇÃO. AF_11/2019</v>
          </cell>
          <cell r="C3194" t="str">
            <v>UN</v>
          </cell>
          <cell r="D3194">
            <v>610.91999999999996</v>
          </cell>
        </row>
        <row r="3195">
          <cell r="A3195" t="str">
            <v>100620</v>
          </cell>
          <cell r="B3195" t="str">
            <v>POSTE DE AÇO CONICO CONTÍNUO CURVO SIMPLES, FLANGEADO, H=9M, INCLUSIVE LUMINÁRIA, SEM LÂMPADA - FORNECIMENTO E INSTALACAO. AF_11/2019</v>
          </cell>
          <cell r="C3195" t="str">
            <v>UN</v>
          </cell>
          <cell r="D3195">
            <v>3690.36</v>
          </cell>
        </row>
        <row r="3196">
          <cell r="A3196" t="str">
            <v>100621</v>
          </cell>
          <cell r="B3196" t="str">
            <v>POSTE DE AÇO CONICO CONTÍNUO CURVO DUPLO, FLANGEADO, H=9M, INCLUSIVE LUMINÁRIAS, SEM LÂMPADAS - FORNECIMENTO E INSTALACAO. AF_11/2019</v>
          </cell>
          <cell r="C3196" t="str">
            <v>UN</v>
          </cell>
          <cell r="D3196">
            <v>4220.07</v>
          </cell>
        </row>
        <row r="3197">
          <cell r="A3197" t="str">
            <v>100622</v>
          </cell>
          <cell r="B3197" t="str">
            <v>POSTE DE AÇO CONICO CONTÍNUO CURVO SIMPLES, ENGASTADO, H=9M, INCLUSIVE LUMINÁRIA, SEM LÂMPADA - FORNECIMENTO E INSTALACAO. AF_11/2019</v>
          </cell>
          <cell r="C3197" t="str">
            <v>UN</v>
          </cell>
          <cell r="D3197">
            <v>2827.07</v>
          </cell>
        </row>
        <row r="3198">
          <cell r="A3198" t="str">
            <v>100623</v>
          </cell>
          <cell r="B3198" t="str">
            <v>POSTE DE AÇO CONICO CONTÍNUO CURVO DUPLO, ENGASTADO, H=9M, INCLUSIVE LUMINÁRIAS, SEM LÂMPADAS - FORNECIMENTO E INSTALACAO. AF_11/2019</v>
          </cell>
          <cell r="C3198" t="str">
            <v>UN</v>
          </cell>
          <cell r="D3198">
            <v>3032.66</v>
          </cell>
        </row>
        <row r="3199">
          <cell r="A3199" t="str">
            <v>97600</v>
          </cell>
          <cell r="B3199" t="str">
            <v>REFLETOR EM ALUMÍNIO, DE SUPORTE E ALÇA, COM 1 LÂMPADA VAPOR DE MERCÚRIO DE 125 W, COM REATOR ALTO FATOR DE POTÊNCIA - FORNECIMENTO E INSTALAÇÃO. AF_02/2020</v>
          </cell>
          <cell r="C3199" t="str">
            <v>UN</v>
          </cell>
          <cell r="D3199">
            <v>310.58</v>
          </cell>
        </row>
        <row r="3200">
          <cell r="A3200" t="str">
            <v>97601</v>
          </cell>
          <cell r="B3200" t="str">
            <v>REFLETOR EM ALUMÍNIO, DE SUPORTE E ALÇA, COM LÂMPADA VAPOR DE MERCÚRIO DE 250 W, COM REATOR ALTO FATOR DE POTÊNCIA - FORNECIMENTO E INSTALAÇÃO. AF_02/2020</v>
          </cell>
          <cell r="C3200" t="str">
            <v>UN</v>
          </cell>
          <cell r="D3200">
            <v>329.26</v>
          </cell>
        </row>
        <row r="3201">
          <cell r="A3201" t="str">
            <v>97605</v>
          </cell>
          <cell r="B3201" t="str">
            <v>LUMINÁRIA ARANDELA TIPO MEIA LUA, DE SOBREPOR, COM 1 LÂMPADA LED DE 6 W, SEM REATOR - FORNECIMENTO E INSTALAÇÃO. AF_02/2020</v>
          </cell>
          <cell r="C3201" t="str">
            <v>UN</v>
          </cell>
          <cell r="D3201">
            <v>99.68</v>
          </cell>
        </row>
        <row r="3202">
          <cell r="A3202" t="str">
            <v>97606</v>
          </cell>
          <cell r="B3202" t="str">
            <v>LUMINÁRIA ARANDELA TIPO MEIA LUA, DE SOBREPOR, COM 1 LÂMPADA FLUORESCENTE DE 15 W, SEM REATOR - FORNECIMENTO E INSTALAÇÃO. AF_02/2020</v>
          </cell>
          <cell r="C3202" t="str">
            <v>UN</v>
          </cell>
          <cell r="D3202">
            <v>106.6</v>
          </cell>
        </row>
        <row r="3203">
          <cell r="A3203" t="str">
            <v>97607</v>
          </cell>
          <cell r="B3203" t="str">
            <v>LUMINÁRIA ARANDELA TIPO TARTARUGA, DE SOBREPOR, COM 1 LÂMPADA LED DE 6 W, SEM REATOR - FORNECIMENTO E INSTALAÇÃO. AF_02/2020</v>
          </cell>
          <cell r="C3203" t="str">
            <v>UN</v>
          </cell>
          <cell r="D3203">
            <v>120.3</v>
          </cell>
        </row>
        <row r="3204">
          <cell r="A3204" t="str">
            <v>97608</v>
          </cell>
          <cell r="B3204" t="str">
            <v>LUMINÁRIA ARANDELA TIPO TARTARUGA, COM GRADE, DE SOBREPOR, COM 1 LÂMPADA FLUORESCENTE DE 15 W, SEM REATOR - FORNECIMENTO E INSTALAÇÃO. AF_02/2020</v>
          </cell>
          <cell r="C3204" t="str">
            <v>UN</v>
          </cell>
          <cell r="D3204">
            <v>127.22</v>
          </cell>
        </row>
        <row r="3205">
          <cell r="A3205" t="str">
            <v>102102</v>
          </cell>
          <cell r="B3205" t="str">
            <v>TRANSFORMADOR DE DISTRIBUIÇÃO, 30 KVA, TRIFÁSICO, 60 HZ, CLASSE 15 KV, IMERSO EM ÓLEO MINERAL, INSTALAÇÃO EM POSTE (NÃO INCLUSO SUPORTE) - FORNECIMENTO E INSTALAÇÃO. AF_12/2020</v>
          </cell>
          <cell r="C3205" t="str">
            <v>UN</v>
          </cell>
          <cell r="D3205">
            <v>8579.74</v>
          </cell>
        </row>
        <row r="3206">
          <cell r="A3206" t="str">
            <v>102103</v>
          </cell>
          <cell r="B3206" t="str">
            <v>TRANSFORMADOR DE DISTRIBUIÇÃO, 45 KVA, TRIFÁSICO, 60 HZ, CLASSE 15 KV, IMERSO EM ÓLEO MINERAL, INSTALAÇÃO EM POSTE (NÃO INCLUSO SUPORTE) - FORNECIMENTO E INSTALAÇÃO. AF_12/2020</v>
          </cell>
          <cell r="C3206" t="str">
            <v>UN</v>
          </cell>
          <cell r="D3206">
            <v>9542.4</v>
          </cell>
        </row>
        <row r="3207">
          <cell r="A3207" t="str">
            <v>102104</v>
          </cell>
          <cell r="B3207" t="str">
            <v>TRANSFORMADOR DE DISTRIBUIÇÃO, 75 KVA, TRIFÁSICO, 60 HZ, CLASSE 15 KV, IMERSO EM ÓLEO MINERAL, INSTALAÇÃO EM POSTE (NÃO INCLUSO SUPORTE) - FORNECIMENTO E INSTALAÇÃO. AF_12/2020</v>
          </cell>
          <cell r="C3207" t="str">
            <v>UN</v>
          </cell>
          <cell r="D3207">
            <v>12225.57</v>
          </cell>
        </row>
        <row r="3208">
          <cell r="A3208" t="str">
            <v>102105</v>
          </cell>
          <cell r="B3208" t="str">
            <v>TRANSFORMADOR DE DISTRIBUIÇÃO, 112,5 KVA, TRIFÁSICO, 60 HZ, CLASSE 15 KV, IMERSO EM ÓLEO MINERAL, INSTALAÇÃO EM POSTE (NÃO INCLUSO SUPORTE) - FORNECIMENTO E INSTALAÇÃO. AF_12/2020</v>
          </cell>
          <cell r="C3208" t="str">
            <v>UN</v>
          </cell>
          <cell r="D3208">
            <v>15013.42</v>
          </cell>
        </row>
        <row r="3209">
          <cell r="A3209" t="str">
            <v>102106</v>
          </cell>
          <cell r="B3209" t="str">
            <v>TRANSFORMADOR DE DISTRIBUIÇÃO, 150 KVA, TRIFÁSICO, 60 HZ, CLASSE 15 KV, IMERSO EM ÓLEO MINERAL, INSTALAÇÃO EM POSTE (NÃO INCLUSO SUPORTE) - FORNECIMENTO E INSTALAÇÃO. AF_12/2020</v>
          </cell>
          <cell r="C3209" t="str">
            <v>UN</v>
          </cell>
          <cell r="D3209">
            <v>18817.3</v>
          </cell>
        </row>
        <row r="3210">
          <cell r="A3210" t="str">
            <v>102107</v>
          </cell>
          <cell r="B3210" t="str">
            <v>TRANSFORMADOR DE DISTRIBUIÇÃO, 225 KVA, TRIFÁSICO, 60 HZ, CLASSE 15 KV, IMERSO EM ÓLEO MINERAL, INSTALAÇÃO EM POSTE (NÃO INCLUSO SUPORTE) - FORNECIMENTO E INSTALAÇÃO. AF_12/2020</v>
          </cell>
          <cell r="C3210" t="str">
            <v>UN</v>
          </cell>
          <cell r="D3210">
            <v>26235.65</v>
          </cell>
        </row>
        <row r="3211">
          <cell r="A3211" t="str">
            <v>102108</v>
          </cell>
          <cell r="B3211" t="str">
            <v>TRANSFORMADOR DE DISTRIBUIÇÃO, 300 KVA, TRIFÁSICO, 60 HZ, CLASSE 15 KV, IMERSO EM ÓLEO MINERAL, INSTALAÇÃO EM POSTE (NÃO INCLUSO SUPORTE) - FORNECIMENTO E INSTALAÇÃO. AF_12/2020</v>
          </cell>
          <cell r="C3211" t="str">
            <v>UN</v>
          </cell>
          <cell r="D3211">
            <v>30542.61</v>
          </cell>
        </row>
        <row r="3212">
          <cell r="A3212" t="str">
            <v>102109</v>
          </cell>
          <cell r="B3212" t="str">
            <v>SUPORTE PARA TRANSFORMADOR EM POSTE DE CONCRETO CIRCULAR - FORNECIMENTO E INSTALAÇÃO. AF_12/2020</v>
          </cell>
          <cell r="C3212" t="str">
            <v>UN</v>
          </cell>
          <cell r="D3212">
            <v>56.45</v>
          </cell>
        </row>
        <row r="3213">
          <cell r="A3213" t="str">
            <v>102110</v>
          </cell>
          <cell r="B3213" t="str">
            <v>SUPORTE PARA TRANSFORMADOR EM POSTE DE CONCRETO DUPLO T - FORNECIMENTO E INSTALAÇÃO. AF_12/2020</v>
          </cell>
          <cell r="C3213" t="str">
            <v>UN</v>
          </cell>
          <cell r="D3213">
            <v>175.55</v>
          </cell>
        </row>
        <row r="3214">
          <cell r="A3214" t="str">
            <v>93128</v>
          </cell>
          <cell r="B3214" t="str">
            <v>PONTO DE ILUMINAÇÃO RESIDENCIAL INCLUINDO INTERRUPTOR SIMPLES, CAIXA ELÉTRICA, ELETRODUTO, CABO, RASGO, QUEBRA E CHUMBAMENTO (EXCLUINDO LUMINÁRIA E LÂMPADA). AF_01/2016</v>
          </cell>
          <cell r="C3214" t="str">
            <v>UN</v>
          </cell>
          <cell r="D3214">
            <v>138.97999999999999</v>
          </cell>
        </row>
        <row r="3215">
          <cell r="A3215" t="str">
            <v>93137</v>
          </cell>
          <cell r="B3215" t="str">
            <v>PONTO DE ILUMINAÇÃO RESIDENCIAL INCLUINDO INTERRUPTOR SIMPLES (2 MÓDULOS), CAIXA ELÉTRICA, ELETRODUTO, CABO, RASGO, QUEBRA E CHUMBAMENTO (EXCLUINDO LUMINÁRIA E LÂMPADA). AF_01/2016</v>
          </cell>
          <cell r="C3215" t="str">
            <v>UN</v>
          </cell>
          <cell r="D3215">
            <v>164.85</v>
          </cell>
        </row>
        <row r="3216">
          <cell r="A3216" t="str">
            <v>93138</v>
          </cell>
          <cell r="B3216" t="str">
            <v>PONTO DE ILUMINAÇÃO RESIDENCIAL INCLUINDO INTERRUPTOR PARALELO, CAIXA ELÉTRICA, ELETRODUTO, CABO, RASGO, QUEBRA E CHUMBAMENTO (EXCLUINDO LUMINÁRIA E LÂMPADA). AF_01/2016</v>
          </cell>
          <cell r="C3216" t="str">
            <v>UN</v>
          </cell>
          <cell r="D3216">
            <v>156.66</v>
          </cell>
        </row>
        <row r="3217">
          <cell r="A3217" t="str">
            <v>93139</v>
          </cell>
          <cell r="B3217" t="str">
            <v>PONTO DE ILUMINAÇÃO RESIDENCIAL INCLUINDO INTERRUPTOR PARALELO (2 MÓDULOS), CAIXA ELÉTRICA, ELETRODUTO, CABO, RASGO, QUEBRA E CHUMBAMENTO (EXCLUINDO LUMINÁRIA E LÂMPADA). AF_01/2016</v>
          </cell>
          <cell r="C3217" t="str">
            <v>UN</v>
          </cell>
          <cell r="D3217">
            <v>200.17</v>
          </cell>
        </row>
        <row r="3218">
          <cell r="A3218" t="str">
            <v>93140</v>
          </cell>
          <cell r="B3218" t="str">
            <v>PONTO DE ILUMINAÇÃO RESIDENCIAL INCLUINDO INTERRUPTOR SIMPLES CONJUGADO COM PARALELO, CAIXA ELÉTRICA, ELETRODUTO, CABO, RASGO, QUEBRA E CHUMBAMENTO (EXCLUINDO LUMINÁRIA E LÂMPADA). AF_01/2016</v>
          </cell>
          <cell r="C3218" t="str">
            <v>UN</v>
          </cell>
          <cell r="D3218">
            <v>188.42</v>
          </cell>
        </row>
        <row r="3219">
          <cell r="A3219" t="str">
            <v>93141</v>
          </cell>
          <cell r="B3219" t="str">
            <v>PONTO DE TOMADA RESIDENCIAL INCLUINDO TOMADA 10A/250V, CAIXA ELÉTRICA, ELETRODUTO, CABO, RASGO, QUEBRA E CHUMBAMENTO. AF_01/2016</v>
          </cell>
          <cell r="C3219" t="str">
            <v>UN</v>
          </cell>
          <cell r="D3219">
            <v>171.78</v>
          </cell>
        </row>
        <row r="3220">
          <cell r="A3220" t="str">
            <v>93142</v>
          </cell>
          <cell r="B3220" t="str">
            <v>PONTO DE TOMADA RESIDENCIAL INCLUINDO TOMADA (2 MÓDULOS) 10A/250V, CAIXA ELÉTRICA, ELETRODUTO, CABO, RASGO, QUEBRA E CHUMBAMENTO. AF_01/2016</v>
          </cell>
          <cell r="C3220" t="str">
            <v>UN</v>
          </cell>
          <cell r="D3220">
            <v>190.5</v>
          </cell>
        </row>
        <row r="3221">
          <cell r="A3221" t="str">
            <v>93143</v>
          </cell>
          <cell r="B3221" t="str">
            <v>PONTO DE TOMADA RESIDENCIAL INCLUINDO TOMADA 20A/250V, CAIXA ELÉTRICA, ELETRODUTO, CABO, RASGO, QUEBRA E CHUMBAMENTO. AF_01/2016</v>
          </cell>
          <cell r="C3221" t="str">
            <v>UN</v>
          </cell>
          <cell r="D3221">
            <v>173.74</v>
          </cell>
        </row>
        <row r="3222">
          <cell r="A3222" t="str">
            <v>93144</v>
          </cell>
          <cell r="B3222" t="str">
            <v>PONTO DE UTILIZAÇÃO DE EQUIPAMENTOS ELÉTRICOS, RESIDENCIAL, INCLUINDO SUPORTE E PLACA, CAIXA ELÉTRICA, ELETRODUTO, CABO, RASGO, QUEBRA E CHUMBAMENTO. AF_01/2016</v>
          </cell>
          <cell r="C3222" t="str">
            <v>UN</v>
          </cell>
          <cell r="D3222">
            <v>231.8</v>
          </cell>
        </row>
        <row r="3223">
          <cell r="A3223" t="str">
            <v>93145</v>
          </cell>
          <cell r="B3223" t="str">
            <v>PONTO DE ILUMINAÇÃO E TOMADA, RESIDENCIAL, INCLUINDO INTERRUPTOR SIMPLES E TOMADA 10A/250V, CAIXA ELÉTRICA, ELETRODUTO, CABO, RASGO, QUEBRA E CHUMBAMENTO (EXCLUINDO LUMINÁRIA E LÂMPADA). AF_01/2016</v>
          </cell>
          <cell r="C3223" t="str">
            <v>UN</v>
          </cell>
          <cell r="D3223">
            <v>209.48</v>
          </cell>
        </row>
        <row r="3224">
          <cell r="A3224" t="str">
            <v>93146</v>
          </cell>
          <cell r="B3224" t="str">
            <v>PONTO DE ILUMINAÇÃO E TOMADA, RESIDENCIAL, INCLUINDO INTERRUPTOR PARALELO E TOMADA 10A/250V, CAIXA ELÉTRICA, ELETRODUTO, CABO, RASGO, QUEBRA E CHUMBAMENTO (EXCLUINDO LUMINÁRIA E LÂMPADA). AF_01/2016</v>
          </cell>
          <cell r="C3224" t="str">
            <v>UN</v>
          </cell>
          <cell r="D3224">
            <v>227.16</v>
          </cell>
        </row>
        <row r="3225">
          <cell r="A3225" t="str">
            <v>93147</v>
          </cell>
          <cell r="B3225" t="str">
            <v>PONTO DE ILUMINAÇÃO E TOMADA, RESIDENCIAL, INCLUINDO INTERRUPTOR SIMPLES, INTERRUPTOR PARALELO E TOMADA 10A/250V, CAIXA ELÉTRICA, ELETRODUTO, CABO, RASGO, QUEBRA E CHUMBAMENTO (EXCLUINDO LUMINÁRIA E LÂMPADA). AF_01/2016</v>
          </cell>
          <cell r="C3225" t="str">
            <v>M</v>
          </cell>
          <cell r="D3225">
            <v>258.97000000000003</v>
          </cell>
        </row>
        <row r="3226">
          <cell r="A3226" t="str">
            <v>96971</v>
          </cell>
          <cell r="B3226" t="str">
            <v>CORDOALHA DE COBRE NU 16 MM², NÃO ENTERRADA, COM ISOLADOR - FORNECIMENTO E INSTALAÇÃO. AF_12/2017</v>
          </cell>
          <cell r="C3226" t="str">
            <v>M</v>
          </cell>
          <cell r="D3226">
            <v>32.479999999999997</v>
          </cell>
        </row>
        <row r="3227">
          <cell r="A3227" t="str">
            <v>96972</v>
          </cell>
          <cell r="B3227" t="str">
            <v>CORDOALHA DE COBRE NU 25 MM², NÃO ENTERRADA, COM ISOLADOR - FORNECIMENTO E INSTALAÇÃO. AF_12/2017</v>
          </cell>
          <cell r="C3227" t="str">
            <v>M</v>
          </cell>
          <cell r="D3227">
            <v>46.15</v>
          </cell>
        </row>
        <row r="3228">
          <cell r="A3228" t="str">
            <v>96973</v>
          </cell>
          <cell r="B3228" t="str">
            <v>CORDOALHA DE COBRE NU 35 MM², NÃO ENTERRADA, COM ISOLADOR - FORNECIMENTO E INSTALAÇÃO. AF_12/2017</v>
          </cell>
          <cell r="C3228" t="str">
            <v>M</v>
          </cell>
          <cell r="D3228">
            <v>59.55</v>
          </cell>
        </row>
        <row r="3229">
          <cell r="A3229" t="str">
            <v>96974</v>
          </cell>
          <cell r="B3229" t="str">
            <v>CORDOALHA DE COBRE NU 50 MM², NÃO ENTERRADA, COM ISOLADOR - FORNECIMENTO E INSTALAÇÃO. AF_12/2017</v>
          </cell>
          <cell r="C3229" t="str">
            <v>M</v>
          </cell>
          <cell r="D3229">
            <v>77.42</v>
          </cell>
        </row>
        <row r="3230">
          <cell r="A3230" t="str">
            <v>96975</v>
          </cell>
          <cell r="B3230" t="str">
            <v>CORDOALHA DE COBRE NU 70 MM², NÃO ENTERRADA, COM ISOLADOR - FORNECIMENTO E INSTALAÇÃO. AF_12/2017</v>
          </cell>
          <cell r="C3230" t="str">
            <v>M</v>
          </cell>
          <cell r="D3230">
            <v>101.63</v>
          </cell>
        </row>
        <row r="3231">
          <cell r="A3231" t="str">
            <v>96976</v>
          </cell>
          <cell r="B3231" t="str">
            <v>CORDOALHA DE COBRE NU 95 MM², NÃO ENTERRADA, COM ISOLADOR - FORNECIMENTO E INSTALAÇÃO. AF_12/2017</v>
          </cell>
          <cell r="C3231" t="str">
            <v>M</v>
          </cell>
          <cell r="D3231">
            <v>134.11000000000001</v>
          </cell>
        </row>
        <row r="3232">
          <cell r="A3232" t="str">
            <v>96977</v>
          </cell>
          <cell r="B3232" t="str">
            <v>CORDOALHA DE COBRE NU 50 MM², ENTERRADA, SEM ISOLADOR - FORNECIMENTO E INSTALAÇÃO. AF_12/2017</v>
          </cell>
          <cell r="C3232" t="str">
            <v>M</v>
          </cell>
          <cell r="D3232">
            <v>55.39</v>
          </cell>
        </row>
        <row r="3233">
          <cell r="A3233" t="str">
            <v>96978</v>
          </cell>
          <cell r="B3233" t="str">
            <v>CORDOALHA DE COBRE NU 70 MM², ENTERRADA, SEM ISOLADOR - FORNECIMENTO E INSTALAÇÃO. AF_12/2017</v>
          </cell>
          <cell r="C3233" t="str">
            <v>M</v>
          </cell>
          <cell r="D3233">
            <v>77.72</v>
          </cell>
        </row>
        <row r="3234">
          <cell r="A3234" t="str">
            <v>96979</v>
          </cell>
          <cell r="B3234" t="str">
            <v>CORDOALHA DE COBRE NU 95 MM², ENTERRADA, SEM ISOLADOR - FORNECIMENTO E INSTALAÇÃO. AF_12/2017</v>
          </cell>
          <cell r="C3234" t="str">
            <v>UN</v>
          </cell>
          <cell r="D3234">
            <v>108.98</v>
          </cell>
        </row>
        <row r="3235">
          <cell r="A3235" t="str">
            <v>96984</v>
          </cell>
          <cell r="B3235" t="str">
            <v>ELETRODUTO PVC 40MM (1 ¼ ) PARA SPDA - FORNECIMENTO E INSTALAÇÃO. AF_12/2017</v>
          </cell>
          <cell r="C3235" t="str">
            <v>UN</v>
          </cell>
          <cell r="D3235">
            <v>57.31</v>
          </cell>
        </row>
        <row r="3236">
          <cell r="A3236" t="str">
            <v>96985</v>
          </cell>
          <cell r="B3236" t="str">
            <v>HASTE DE ATERRAMENTO 5/8  PARA SPDA - FORNECIMENTO E INSTALAÇÃO. AF_12/2017</v>
          </cell>
          <cell r="C3236" t="str">
            <v>UN</v>
          </cell>
          <cell r="D3236">
            <v>65.319999999999993</v>
          </cell>
        </row>
        <row r="3237">
          <cell r="A3237" t="str">
            <v>96986</v>
          </cell>
          <cell r="B3237" t="str">
            <v>HASTE DE ATERRAMENTO 3/4  PARA SPDA - FORNECIMENTO E INSTALAÇÃO. AF_12/2017</v>
          </cell>
          <cell r="C3237" t="str">
            <v>UN</v>
          </cell>
          <cell r="D3237">
            <v>97.65</v>
          </cell>
        </row>
        <row r="3238">
          <cell r="A3238" t="str">
            <v>96987</v>
          </cell>
          <cell r="B3238" t="str">
            <v>BASE METÁLICA PARA MASTRO 1 ½  PARA SPDA - FORNECIMENTO E INSTALAÇÃO. AF_12/2017</v>
          </cell>
          <cell r="C3238" t="str">
            <v>UN</v>
          </cell>
          <cell r="D3238">
            <v>94.78</v>
          </cell>
        </row>
        <row r="3239">
          <cell r="A3239" t="str">
            <v>96988</v>
          </cell>
          <cell r="B3239" t="str">
            <v>MASTRO 1 ½  PARA SPDA - FORNECIMENTO E INSTALAÇÃO. AF_12/2017</v>
          </cell>
          <cell r="C3239" t="str">
            <v>UN</v>
          </cell>
          <cell r="D3239">
            <v>128.97999999999999</v>
          </cell>
        </row>
        <row r="3240">
          <cell r="A3240" t="str">
            <v>96989</v>
          </cell>
          <cell r="B3240" t="str">
            <v>CAPTOR TIPO FRANKLIN PARA SPDA - FORNECIMENTO E INSTALAÇÃO. AF_12/2017</v>
          </cell>
          <cell r="C3240" t="str">
            <v>UN</v>
          </cell>
          <cell r="D3240">
            <v>107.89</v>
          </cell>
        </row>
        <row r="3241">
          <cell r="A3241" t="str">
            <v>98463</v>
          </cell>
          <cell r="B3241" t="str">
            <v>SUPORTE ISOLADOR PARA CORDOALHA DE COBRE - FORNECIMENTO E INSTALAÇÃO. AF_12/2017</v>
          </cell>
          <cell r="C3241" t="str">
            <v>UN</v>
          </cell>
          <cell r="D3241">
            <v>21.36</v>
          </cell>
        </row>
        <row r="3242">
          <cell r="A3242" t="str">
            <v>96765</v>
          </cell>
          <cell r="B3242" t="str">
            <v>ABRIGO PARA HIDRANTE, 90X60X17CM, COM REGISTRO GLOBO ANGULAR 45 GRAUS 2 1/2", ADAPTADOR STORZ 2 1/2", MANGUEIRA DE INCÊNDIO 20M, REDUÇÃO 2 1/2" X 1 1/2" E ESGUICHO EM LATÃO 1 1/2" - FORNECIMENTO E INSTALAÇÃO. AF_10/2020</v>
          </cell>
          <cell r="C3242" t="str">
            <v>UN</v>
          </cell>
          <cell r="D3242">
            <v>1481.74</v>
          </cell>
        </row>
        <row r="3243">
          <cell r="A3243" t="str">
            <v>101905</v>
          </cell>
          <cell r="B3243" t="str">
            <v>EXTINTOR DE INCÊNDIO PORTÁTIL COM CARGA DE ÁGUA PRESSURIZADA DE 10 L, CLASSE A - FORNECIMENTO E INSTALAÇÃO. AF_10/2020_P</v>
          </cell>
          <cell r="C3243" t="str">
            <v>UN</v>
          </cell>
          <cell r="D3243">
            <v>193.99</v>
          </cell>
        </row>
        <row r="3244">
          <cell r="A3244" t="str">
            <v>101906</v>
          </cell>
          <cell r="B3244" t="str">
            <v>EXTINTOR DE INCÊNDIO PORTÁTIL COM CARGA DE CO2 DE 4 KG, CLASSE BC - FORNECIMENTO E INSTALAÇÃO. AF_10/2020_P</v>
          </cell>
          <cell r="C3244" t="str">
            <v>UN</v>
          </cell>
          <cell r="D3244">
            <v>572.83000000000004</v>
          </cell>
        </row>
        <row r="3245">
          <cell r="A3245" t="str">
            <v>101907</v>
          </cell>
          <cell r="B3245" t="str">
            <v>EXTINTOR DE INCÊNDIO PORTÁTIL COM CARGA DE CO2 DE 6 KG, CLASSE BC - FORNECIMENTO E INSTALAÇÃO. AF_10/2020_P</v>
          </cell>
          <cell r="C3245" t="str">
            <v>UN</v>
          </cell>
          <cell r="D3245">
            <v>618.99</v>
          </cell>
        </row>
        <row r="3246">
          <cell r="A3246" t="str">
            <v>101908</v>
          </cell>
          <cell r="B3246" t="str">
            <v>EXTINTOR DE INCÊNDIO PORTÁTIL COM CARGA DE PQS DE 4 KG, CLASSE BC - FORNECIMENTO E INSTALAÇÃO. AF_10/2020_P</v>
          </cell>
          <cell r="C3246" t="str">
            <v>UN</v>
          </cell>
          <cell r="D3246">
            <v>188.22</v>
          </cell>
        </row>
        <row r="3247">
          <cell r="A3247" t="str">
            <v>101909</v>
          </cell>
          <cell r="B3247" t="str">
            <v>EXTINTOR DE INCÊNDIO PORTÁTIL COM CARGA DE PQS DE 6 KG, CLASSE BC - FORNECIMENTO E INSTALAÇÃO. AF_10/2020_P</v>
          </cell>
          <cell r="C3247" t="str">
            <v>UN</v>
          </cell>
          <cell r="D3247">
            <v>218.99</v>
          </cell>
        </row>
        <row r="3248">
          <cell r="A3248" t="str">
            <v>101910</v>
          </cell>
          <cell r="B3248" t="str">
            <v>EXTINTOR DE INCÊNDIO PORTÁTIL COM CARGA DE PQS DE 8 KG, CLASSE BC - FORNECIMENTO E INSTALAÇÃO. AF_10/2020_P</v>
          </cell>
          <cell r="C3248" t="str">
            <v>UN</v>
          </cell>
          <cell r="D3248">
            <v>257.45</v>
          </cell>
        </row>
        <row r="3249">
          <cell r="A3249" t="str">
            <v>101911</v>
          </cell>
          <cell r="B3249" t="str">
            <v>EXTINTOR DE INCÊNDIO PORTÁTIL COM CARGA DE PQS DE 12 KG, CLASSE BC - FORNECIMENTO E INSTALAÇÃO. AF_10/2020_P</v>
          </cell>
          <cell r="C3249" t="str">
            <v>UN</v>
          </cell>
          <cell r="D3249">
            <v>295.91000000000003</v>
          </cell>
        </row>
        <row r="3250">
          <cell r="A3250" t="str">
            <v>101912</v>
          </cell>
          <cell r="B3250" t="str">
            <v>ABRIGO PARA HIDRANTE, 75X45X17CM, COM REGISTRO GLOBO ANGULAR 45 GRAUS 2 1/2", ADAPTADOR STORZ 2 1/2", MANGUEIRA DE INCÊNDIO 15M 2 1/2" E ESGUICHO EM LATÃO 2 1/2" - FORNECIMENTO E INSTALAÇÃO. AF_10/2020</v>
          </cell>
          <cell r="C3250" t="str">
            <v>UN</v>
          </cell>
          <cell r="D3250">
            <v>1793.95</v>
          </cell>
        </row>
        <row r="3251">
          <cell r="A3251" t="str">
            <v>101913</v>
          </cell>
          <cell r="B3251" t="str">
            <v>CAIXA DE INCÊNDIO 45X75X17CM - FORNECIMENTO E INSTALAÇÃO. AF_10/2020</v>
          </cell>
          <cell r="C3251" t="str">
            <v>UN</v>
          </cell>
          <cell r="D3251">
            <v>560.91999999999996</v>
          </cell>
        </row>
        <row r="3252">
          <cell r="A3252" t="str">
            <v>101914</v>
          </cell>
          <cell r="B3252" t="str">
            <v>CAIXA DE INCÊNDIO 60X90X17CM - FORNECIMENTO E INSTALAÇÃO. AF_10/2020</v>
          </cell>
          <cell r="C3252" t="str">
            <v>UN</v>
          </cell>
          <cell r="D3252">
            <v>539.02</v>
          </cell>
        </row>
        <row r="3253">
          <cell r="A3253" t="str">
            <v>101915</v>
          </cell>
          <cell r="B3253" t="str">
            <v>CONJUNTO DE MANGUEIRA PARA COMBATE A INCÊNDIO EM FIBRA DE POLIESTER PURA, COM 1.1/2", REVESTIDA INTERNAMENTE, COMPRIMENTO DE 15M - FORNECIMENTO E INSTALAÇÃO. AF_10/2020</v>
          </cell>
          <cell r="C3253" t="str">
            <v>UN</v>
          </cell>
          <cell r="D3253">
            <v>334.02</v>
          </cell>
        </row>
        <row r="3254">
          <cell r="A3254" t="str">
            <v>101916</v>
          </cell>
          <cell r="B3254" t="str">
            <v>HIDRANTE SUBTERRÂNEO PREDIAL (COM CURVA LONGA E CAIXA), DN 75 MM - FORNECIMENTO E INSTALAÇÃO. AF_10/2020</v>
          </cell>
          <cell r="C3254" t="str">
            <v>UN</v>
          </cell>
          <cell r="D3254">
            <v>2782.28</v>
          </cell>
        </row>
        <row r="3255">
          <cell r="A3255" t="str">
            <v>101917</v>
          </cell>
          <cell r="B3255" t="str">
            <v>MANÔMETRO 0 A 200 PSI (0 A 14 KGF/CM2), D = 50MM - FORNECIMENTO E INSTALAÇÃO. AF_10/2020</v>
          </cell>
          <cell r="C3255" t="str">
            <v>M</v>
          </cell>
          <cell r="D3255">
            <v>121.95</v>
          </cell>
        </row>
        <row r="3256">
          <cell r="A3256" t="str">
            <v>98261</v>
          </cell>
          <cell r="B3256" t="str">
            <v>CABO TELEFÔNICO CCI-50 1 PAR, INSTALADO EM ENTRADA DE EDIFICAÇÃO - FORNECIMENTO E INSTALAÇÃO. AF_11/2019</v>
          </cell>
          <cell r="C3256" t="str">
            <v>M</v>
          </cell>
          <cell r="D3256">
            <v>3.52</v>
          </cell>
        </row>
        <row r="3257">
          <cell r="A3257" t="str">
            <v>98262</v>
          </cell>
          <cell r="B3257" t="str">
            <v>CABO TELEFÔNICO CCI-50 2 PARES, SEM BLINDAGEM, INSTALADO EM ENTRADA DE EDIFICAÇÃO - FORNECIMENTO E INSTALAÇÃO. AF_11/2019</v>
          </cell>
          <cell r="C3257" t="str">
            <v>M</v>
          </cell>
          <cell r="D3257">
            <v>4.12</v>
          </cell>
        </row>
        <row r="3258">
          <cell r="A3258" t="str">
            <v>98263</v>
          </cell>
          <cell r="B3258" t="str">
            <v>CABO TELEFÔNICO CCI-50 3 PARES, SEM BLINDAGEM, INSTALADO EM ENTRADA DE EDIFICAÇÃO - FORNECIMENTO E INSTALAÇÃO. AF_11/2019</v>
          </cell>
          <cell r="C3258" t="str">
            <v>M</v>
          </cell>
          <cell r="D3258">
            <v>4.84</v>
          </cell>
        </row>
        <row r="3259">
          <cell r="A3259" t="str">
            <v>98264</v>
          </cell>
          <cell r="B3259" t="str">
            <v>CABO TELEFÔNICO CCI-50 4 PARES, SEM BLINDAGEM, INSTALADO EM ENTRADA DE EDIFICAÇÃO - FORNECIMENTO E INSTALAÇÃO. AF_11/2019</v>
          </cell>
          <cell r="C3259" t="str">
            <v>M</v>
          </cell>
          <cell r="D3259">
            <v>5.39</v>
          </cell>
        </row>
        <row r="3260">
          <cell r="A3260" t="str">
            <v>98265</v>
          </cell>
          <cell r="B3260" t="str">
            <v>CABO TELEFÔNICO CCI-50 5 PARES, SEM BLINDAGEM, INSTALADO EM ENTRADA DE EDIFICAÇÃO - FORNECIMENTO E INSTALAÇÃO. AF_11/2019</v>
          </cell>
          <cell r="C3260" t="str">
            <v>M</v>
          </cell>
          <cell r="D3260">
            <v>6.22</v>
          </cell>
        </row>
        <row r="3261">
          <cell r="A3261" t="str">
            <v>98266</v>
          </cell>
          <cell r="B3261" t="str">
            <v>CABO TELEFÔNICO CCI-50 6 PARES, SEM BLINDAGEM, INSTALADO EM ENTRADA DE EDIFICAÇÃO - FORNECIMENTO E INSTALAÇÃO. AF_11/2019</v>
          </cell>
          <cell r="C3261" t="str">
            <v>M</v>
          </cell>
          <cell r="D3261">
            <v>6.69</v>
          </cell>
        </row>
        <row r="3262">
          <cell r="A3262" t="str">
            <v>98267</v>
          </cell>
          <cell r="B3262" t="str">
            <v>CABO TELEFÔNICO CI-50 10 PARES INSTALADO EM ENTRADA DE EDIFICAÇÃO - FORNECIMENTO E INSTALAÇÃO. AF_11/2019</v>
          </cell>
          <cell r="C3262" t="str">
            <v>M</v>
          </cell>
          <cell r="D3262">
            <v>10.9</v>
          </cell>
        </row>
        <row r="3263">
          <cell r="A3263" t="str">
            <v>98268</v>
          </cell>
          <cell r="B3263" t="str">
            <v>CABO TELEFÔNICO CI-50 20 PARES INSTALADO EM ENTRADA DE EDIFICAÇÃO - FORNECIMENTO E INSTALAÇÃO. AF_11/2019</v>
          </cell>
          <cell r="C3263" t="str">
            <v>M</v>
          </cell>
          <cell r="D3263">
            <v>17.63</v>
          </cell>
        </row>
        <row r="3264">
          <cell r="A3264" t="str">
            <v>98269</v>
          </cell>
          <cell r="B3264" t="str">
            <v>CABO TELEFÔNICO CI-50 30 PARES INSTALADO EM ENTRADA DE EDIFICAÇÃO - FORNECIMENTO E INSTALAÇÃO. AF_11/2019</v>
          </cell>
          <cell r="C3264" t="str">
            <v>M</v>
          </cell>
          <cell r="D3264">
            <v>22.71</v>
          </cell>
        </row>
        <row r="3265">
          <cell r="A3265" t="str">
            <v>98270</v>
          </cell>
          <cell r="B3265" t="str">
            <v>CABO TELEFÔNICO CI-50 50 PARES INSTALADO EM ENTRADA DE EDIFICAÇÃO - FORNECIMENTO E INSTALAÇÃO. AF_11/2019</v>
          </cell>
          <cell r="C3265" t="str">
            <v>M</v>
          </cell>
          <cell r="D3265">
            <v>36.71</v>
          </cell>
        </row>
        <row r="3266">
          <cell r="A3266" t="str">
            <v>98271</v>
          </cell>
          <cell r="B3266" t="str">
            <v>CABO TELEFÔNICO CI-50 75 PARES INSTALADO EM ENTRADA DE EDIFICAÇÃO - FORNECIMENTO E INSTALAÇÃO. AF_11/2019</v>
          </cell>
          <cell r="C3266" t="str">
            <v>M</v>
          </cell>
          <cell r="D3266">
            <v>56.76</v>
          </cell>
        </row>
        <row r="3267">
          <cell r="A3267" t="str">
            <v>98272</v>
          </cell>
          <cell r="B3267" t="str">
            <v>CABO TELEFÔNICO CI-50 200 PARES INSTALADO EM ENTRADA DE EDIFICAÇÃO - FORNECIMENTO E INSTALAÇÃO. AF_11/2019</v>
          </cell>
          <cell r="C3267" t="str">
            <v>M</v>
          </cell>
          <cell r="D3267">
            <v>132.6</v>
          </cell>
        </row>
        <row r="3268">
          <cell r="A3268" t="str">
            <v>98273</v>
          </cell>
          <cell r="B3268" t="str">
            <v>CABO TELEFÔNICO CCI-50 4 PARES, SEM BLINDAGEM, INSTALADO EM PRUMADA - FORNECIMENTO E INSTALAÇÃO. AF_11/2019</v>
          </cell>
          <cell r="C3268" t="str">
            <v>M</v>
          </cell>
          <cell r="D3268">
            <v>2.54</v>
          </cell>
        </row>
        <row r="3269">
          <cell r="A3269" t="str">
            <v>98274</v>
          </cell>
          <cell r="B3269" t="str">
            <v>CABO TELEFÔNICO CCI-50 5 PARES, SEM BLINDAGEM, INSTALADO EM PRUMADA - FORNECIMENTO E INSTALAÇÃO. AF_11/2019</v>
          </cell>
          <cell r="C3269" t="str">
            <v>M</v>
          </cell>
          <cell r="D3269">
            <v>3.36</v>
          </cell>
        </row>
        <row r="3270">
          <cell r="A3270" t="str">
            <v>98275</v>
          </cell>
          <cell r="B3270" t="str">
            <v>CABO TELEFÔNICO CCI-50 6 PARES, SEM BLINDAGEM, INSTALADO EM PRUMADA - FORNECIMENTO E INSTALAÇÃO. AF_11/2019</v>
          </cell>
          <cell r="C3270" t="str">
            <v>M</v>
          </cell>
          <cell r="D3270">
            <v>3.83</v>
          </cell>
        </row>
        <row r="3271">
          <cell r="A3271" t="str">
            <v>98276</v>
          </cell>
          <cell r="B3271" t="str">
            <v>CABO TELEFÔNICO CI-50 10 PARES INSTALADO EM PRUMADA - FORNECIMENTO E INSTALAÇÃO. AF_11/2019</v>
          </cell>
          <cell r="C3271" t="str">
            <v>M</v>
          </cell>
          <cell r="D3271">
            <v>8.0500000000000007</v>
          </cell>
        </row>
        <row r="3272">
          <cell r="A3272" t="str">
            <v>98277</v>
          </cell>
          <cell r="B3272" t="str">
            <v>CABO TELEFÔNICO CI-50 20 PARES INSTALADO EM PRUMADA - FORNECIMENTO E INSTALAÇÃO. AF_11/2019</v>
          </cell>
          <cell r="C3272" t="str">
            <v>M</v>
          </cell>
          <cell r="D3272">
            <v>14.78</v>
          </cell>
        </row>
        <row r="3273">
          <cell r="A3273" t="str">
            <v>98278</v>
          </cell>
          <cell r="B3273" t="str">
            <v>CABO TELEFÔNICO CI-50 30 PARES INSTALADO EM PRUMADA - FORNECIMENTO E INSTALAÇÃO. AF_11/2019</v>
          </cell>
          <cell r="C3273" t="str">
            <v>M</v>
          </cell>
          <cell r="D3273">
            <v>19.850000000000001</v>
          </cell>
        </row>
        <row r="3274">
          <cell r="A3274" t="str">
            <v>98279</v>
          </cell>
          <cell r="B3274" t="str">
            <v>CABO TELEFÔNICO CI-50 50 PARES INSTALADO EM PRUMADA - FORNECIMENTO E INSTALAÇÃO. AF_11/2019</v>
          </cell>
          <cell r="C3274" t="str">
            <v>M</v>
          </cell>
          <cell r="D3274">
            <v>33.85</v>
          </cell>
        </row>
        <row r="3275">
          <cell r="A3275" t="str">
            <v>98280</v>
          </cell>
          <cell r="B3275" t="str">
            <v>CABO TELEFÔNICO CCI-50 1 PAR, SEM BLINDAGEM, INSTALADO EM DISTRIBUIÇÃO DE EDIFICAÇÃO RESIDENCIAL - FORNECIMENTO E INSTALAÇÃO. AF_11/2019</v>
          </cell>
          <cell r="C3275" t="str">
            <v>M</v>
          </cell>
          <cell r="D3275">
            <v>7.2</v>
          </cell>
        </row>
        <row r="3276">
          <cell r="A3276" t="str">
            <v>98281</v>
          </cell>
          <cell r="B3276" t="str">
            <v>CABO TELEFÔNICO CCI-50 2 PARES, SEM BLINDAGEM, INSTALADO EM DISTRIBUIÇÃO DE EDIFICAÇÃO RESIDENCIAL - FORNECIMENTO E INSTALAÇÃO. AF_11/2019</v>
          </cell>
          <cell r="C3276" t="str">
            <v>M</v>
          </cell>
          <cell r="D3276">
            <v>7.79</v>
          </cell>
        </row>
        <row r="3277">
          <cell r="A3277" t="str">
            <v>98282</v>
          </cell>
          <cell r="B3277" t="str">
            <v>CABO TELEFÔNICO CCI-50 3 PARES, SEM BLINDAGEM, INSTALADO EM DISTRIBUIÇÃO DE EDIFICAÇÃO RESIDENCIAL - FORNECIMENTO E INSTALAÇÃO. AF_11/2019</v>
          </cell>
          <cell r="C3277" t="str">
            <v>M</v>
          </cell>
          <cell r="D3277">
            <v>8.51</v>
          </cell>
        </row>
        <row r="3278">
          <cell r="A3278" t="str">
            <v>98283</v>
          </cell>
          <cell r="B3278" t="str">
            <v>CABO TELEFÔNICO CCI-50 4 PARES, SEM BLINDAGEM, INSTALADO EM DISTRIBUIÇÃO DE EDIFICAÇÃO RESIDENCIAL - FORNECIMENTO E INSTALAÇÃO. AF_11/2019</v>
          </cell>
          <cell r="C3278" t="str">
            <v>M</v>
          </cell>
          <cell r="D3278">
            <v>9.06</v>
          </cell>
        </row>
        <row r="3279">
          <cell r="A3279" t="str">
            <v>98284</v>
          </cell>
          <cell r="B3279" t="str">
            <v>CABO TELEFÔNICO CCI-50 5 PARES, SEM BLINDAGEM, INSTALADO EM DISTRIBUIÇÃO DE EDIFICAÇÃO RESIDENCIAL - FORNECIMENTO E INSTALAÇÃO. AF_11/2019</v>
          </cell>
          <cell r="C3279" t="str">
            <v>M</v>
          </cell>
          <cell r="D3279">
            <v>9.89</v>
          </cell>
        </row>
        <row r="3280">
          <cell r="A3280" t="str">
            <v>98285</v>
          </cell>
          <cell r="B3280" t="str">
            <v>CABO TELEFÔNICO CCI-50 6 PARES, SEM BLINDAGEM, INSTALADO EM DISTRIBUIÇÃO DE EDIFICAÇÃO RESIDENCIAL - FORNECIMENTO E INSTALAÇÃO. AF_11/2019</v>
          </cell>
          <cell r="C3280" t="str">
            <v>M</v>
          </cell>
          <cell r="D3280">
            <v>10.36</v>
          </cell>
        </row>
        <row r="3281">
          <cell r="A3281" t="str">
            <v>98286</v>
          </cell>
          <cell r="B3281" t="str">
            <v>CABO TELEFÔNICO CI-50 10 PARES INSTALADO EM DISTRIBUIÇÃO DE EDIFICAÇÃO RESIDENCIAL - FORNECIMENTO E INSTALAÇÃO. AF_11/2019</v>
          </cell>
          <cell r="C3281" t="str">
            <v>M</v>
          </cell>
          <cell r="D3281">
            <v>14.57</v>
          </cell>
        </row>
        <row r="3282">
          <cell r="A3282" t="str">
            <v>98287</v>
          </cell>
          <cell r="B3282" t="str">
            <v>CABO TELEFÔNICO CCI-50 1 PAR, SEM BLINDAGEM, INSTALADO EM DISTRIBUIÇÃO DE EDIFICAÇÃO INSTITUCIONAL - FORNECIMENTO E INSTALAÇÃO. AF_11/2019</v>
          </cell>
          <cell r="C3282" t="str">
            <v>M</v>
          </cell>
          <cell r="D3282">
            <v>1.32</v>
          </cell>
        </row>
        <row r="3283">
          <cell r="A3283" t="str">
            <v>98288</v>
          </cell>
          <cell r="B3283" t="str">
            <v>CABO TELEFÔNICO CCI-50 2 PARES, SEM BLINDAGEM, INSTALADO EM DISTRIBUIÇÃO DE EDIFICAÇÃO INSTITUCIONAL - FORNECIMENTO E INSTALAÇÃO. AF_11/2019</v>
          </cell>
          <cell r="C3283" t="str">
            <v>M</v>
          </cell>
          <cell r="D3283">
            <v>1.92</v>
          </cell>
        </row>
        <row r="3284">
          <cell r="A3284" t="str">
            <v>98289</v>
          </cell>
          <cell r="B3284" t="str">
            <v>CABO TELEFÔNICO CCI-50 3 PARES, SEM BLINDAGEM, INSTALADO EM DISTRIBUIÇÃO DE EDIFICAÇÃO INSTITUCIONAL - FORNECIMENTO E INSTALAÇÃO. AF_11/2019</v>
          </cell>
          <cell r="C3284" t="str">
            <v>M</v>
          </cell>
          <cell r="D3284">
            <v>2.63</v>
          </cell>
        </row>
        <row r="3285">
          <cell r="A3285" t="str">
            <v>98290</v>
          </cell>
          <cell r="B3285" t="str">
            <v>CABO TELEFÔNICO CCI-50 4 PARES, SEM BLINDAGEM, INSTALADO EM DISTRIBUIÇÃO DE EDIFICAÇÃO INSTITUCIONAL - FORNECIMENTO E INSTALAÇÃO. AF_11/2019</v>
          </cell>
          <cell r="C3285" t="str">
            <v>M</v>
          </cell>
          <cell r="D3285">
            <v>3.19</v>
          </cell>
        </row>
        <row r="3286">
          <cell r="A3286" t="str">
            <v>98291</v>
          </cell>
          <cell r="B3286" t="str">
            <v>CABO TELEFÔNICO CCI-50 5 PARES, SEM BLINDAGEM, INSTALADO EM DISTRIBUIÇÃO DE EDIFICAÇÃO INSTITUCIONAL - FORNECIMENTO E INSTALAÇÃO. AF_11/2019</v>
          </cell>
          <cell r="C3286" t="str">
            <v>M</v>
          </cell>
          <cell r="D3286">
            <v>4.0199999999999996</v>
          </cell>
        </row>
        <row r="3287">
          <cell r="A3287" t="str">
            <v>98292</v>
          </cell>
          <cell r="B3287" t="str">
            <v>CABO TELEFÔNICO CCI-50 6 PARES, SEM BLINDAGEM, INSTALADO EM DISTRIBUIÇÃO DE EDIFICAÇÃO INSTITUCIONAL - FORNECIMENTO E INSTALAÇÃO. AF_11/2019</v>
          </cell>
          <cell r="C3287" t="str">
            <v>M</v>
          </cell>
          <cell r="D3287">
            <v>4.4800000000000004</v>
          </cell>
        </row>
        <row r="3288">
          <cell r="A3288" t="str">
            <v>98293</v>
          </cell>
          <cell r="B3288" t="str">
            <v>CABO TELEFÔNICO CI-50 10 PARES INSTALADO EM DISTRIBUIÇÃO DE EDIFICAÇÃO INSTITUCIONAL - FORNECIMENTO E INSTALAÇÃO. AF_11/2019</v>
          </cell>
          <cell r="C3288" t="str">
            <v>M</v>
          </cell>
          <cell r="D3288">
            <v>8.6999999999999993</v>
          </cell>
        </row>
        <row r="3289">
          <cell r="A3289" t="str">
            <v>98400</v>
          </cell>
          <cell r="B3289" t="str">
            <v>CABO TELEFÔNICO CTP-APL-50 10 PARES INSTALADO EM ENTRADA DE EDIFICAÇÃO - FORNECIMENTO E INSTALAÇÃO. AF_11/2019</v>
          </cell>
          <cell r="C3289" t="str">
            <v>M</v>
          </cell>
          <cell r="D3289">
            <v>12.85</v>
          </cell>
        </row>
        <row r="3290">
          <cell r="A3290" t="str">
            <v>98401</v>
          </cell>
          <cell r="B3290" t="str">
            <v>CABO TELEFÔNICO CTP-APL-50 20 PARES INSTALADO EM ENTRADA DE EDIFICAÇÃO - FORNECIMENTO E INSTALAÇÃO. AF_11/2019</v>
          </cell>
          <cell r="C3290" t="str">
            <v>M</v>
          </cell>
          <cell r="D3290">
            <v>19.73</v>
          </cell>
        </row>
        <row r="3291">
          <cell r="A3291" t="str">
            <v>98402</v>
          </cell>
          <cell r="B3291" t="str">
            <v>CABO TELEFÔNICO CTP-APL-50 30 PARES INSTALADO EM ENTRADA DE EDIFICAÇÃO - FORNECIMENTO E INSTALAÇÃO. AF_11/2019</v>
          </cell>
          <cell r="C3291" t="str">
            <v>UN</v>
          </cell>
          <cell r="D3291">
            <v>25.51</v>
          </cell>
        </row>
        <row r="3292">
          <cell r="A3292" t="str">
            <v>100556</v>
          </cell>
          <cell r="B3292" t="str">
            <v>CAIXA DE PASSAGEM PARA TELEFONE 15X15X10CM (SOBREPOR), FORNECIMENTO E INSTALACAO. AF_11/2019</v>
          </cell>
          <cell r="C3292" t="str">
            <v>UN</v>
          </cell>
          <cell r="D3292">
            <v>50.4</v>
          </cell>
        </row>
        <row r="3293">
          <cell r="A3293" t="str">
            <v>100557</v>
          </cell>
          <cell r="B3293" t="str">
            <v>CAIXA DE PASSAGEM PARA TELEFONE 80X80X15CM (SOBREPOR) FORNECIMENTO E INSTALACAO. AF_11/2019</v>
          </cell>
          <cell r="C3293" t="str">
            <v>UN</v>
          </cell>
          <cell r="D3293">
            <v>684.57</v>
          </cell>
        </row>
        <row r="3294">
          <cell r="A3294" t="str">
            <v>100560</v>
          </cell>
          <cell r="B3294" t="str">
            <v>QUADRO DE DISTRIBUIÇÃO PARA TELEFONE N.2, 20X20X12CM EM CHAPA METALICA, DE EMBUTIR, SEM ACESSORIOS, PADRÃO TELEBRAS, FORNECIMENTO E INSTALAÇÃO. AF_11/2019</v>
          </cell>
          <cell r="C3294" t="str">
            <v>UN</v>
          </cell>
          <cell r="D3294">
            <v>136.37</v>
          </cell>
        </row>
        <row r="3295">
          <cell r="A3295" t="str">
            <v>100561</v>
          </cell>
          <cell r="B3295" t="str">
            <v>QUADRO DE DISTRIBUICAO PARA TELEFONE N.3, 40X40X12CM EM CHAPA METALICA, DE EMBUTIR, SEM ACESSORIOS, PADRAO TELEBRAS, FORNECIMENTO E INSTALAÇÃO. AF_11/2019</v>
          </cell>
          <cell r="C3295" t="str">
            <v>UN</v>
          </cell>
          <cell r="D3295">
            <v>257.74</v>
          </cell>
        </row>
        <row r="3296">
          <cell r="A3296" t="str">
            <v>100562</v>
          </cell>
          <cell r="B3296" t="str">
            <v>QUADRO DE DISTRIBUICAO PARA TELEFONE N.4, 60X60X12CM EM CHAPA METALICA, DE EMBUTIR, SEM ACESSORIOS, PADRAO TELEBRAS, FORNECIMENTO E INSTALAÇÃO. AF_11/2019</v>
          </cell>
          <cell r="C3296" t="str">
            <v>UN</v>
          </cell>
          <cell r="D3296">
            <v>403.8</v>
          </cell>
        </row>
        <row r="3297">
          <cell r="A3297" t="str">
            <v>100563</v>
          </cell>
          <cell r="B3297" t="str">
            <v>QUADRO DE DISTRIBUIÇÃO PARA TELEFONE N.5, 80X80X12CM EM CHAPA METALICA, SEM ACESSORIOS, PADRAO TELEBRAS, FORNECIMENTO E INSTALAÇÃO. AF_11/2019</v>
          </cell>
          <cell r="C3297" t="str">
            <v>UN</v>
          </cell>
          <cell r="D3297">
            <v>585.79999999999995</v>
          </cell>
        </row>
        <row r="3298">
          <cell r="A3298" t="str">
            <v>101795</v>
          </cell>
          <cell r="B3298" t="str">
            <v>CAIXA ENTERRADA PARA INSTALAÇÕES TELEFÔNICAS TIPO R1, EM ALVENARIA COM BLOCOS DE CONCRETO, DIMENSÕES INTERNAS: 0,35X0,60X0,60 M, EXCLUINDO TAMPÃO. AF_12/2020</v>
          </cell>
          <cell r="C3298" t="str">
            <v>UN</v>
          </cell>
          <cell r="D3298">
            <v>477.02</v>
          </cell>
        </row>
        <row r="3299">
          <cell r="A3299" t="str">
            <v>101798</v>
          </cell>
          <cell r="B3299" t="str">
            <v>TAMPA PARA CAIXA TIPO R1, EM FERRO FUNDIDO, DIMENSÕES INTERNAS: 0,40 X 0,60 M - FORNECIMENTO E INSTALAÇÃO. AF_12/2020</v>
          </cell>
          <cell r="C3299" t="str">
            <v>UN</v>
          </cell>
          <cell r="D3299">
            <v>379.26</v>
          </cell>
        </row>
        <row r="3300">
          <cell r="A3300" t="str">
            <v>101799</v>
          </cell>
          <cell r="B3300" t="str">
            <v>TAMPA PARA CAIXA TIPO R2 E R3, EM FERRO FUNDIDO, DIMENSÕES INTERNAS: 0,55 X 1,10 M - FORNECIMENTO E INSTALAÇÃO. AF_12/2020</v>
          </cell>
          <cell r="C3300" t="str">
            <v>M2</v>
          </cell>
          <cell r="D3300">
            <v>925.35</v>
          </cell>
        </row>
        <row r="3301">
          <cell r="A3301" t="str">
            <v>98397</v>
          </cell>
          <cell r="B3301" t="str">
            <v>PINTURA ANTICORROSIVA DE DUTO METÁLICO. AF_04/2018</v>
          </cell>
          <cell r="C3301" t="str">
            <v>UN</v>
          </cell>
          <cell r="D3301">
            <v>11.62</v>
          </cell>
        </row>
        <row r="3302">
          <cell r="A3302" t="str">
            <v>103244</v>
          </cell>
          <cell r="B3302" t="str">
            <v>AR CONDICIONADO SPLIT INVERTER, HI-WALL (PAREDE), 9000 BTU/H, CICLO FRIO - FORNECIMENTO E INSTALAÇÃO. AF_11/2021_P</v>
          </cell>
          <cell r="C3302" t="str">
            <v>UN</v>
          </cell>
          <cell r="D3302">
            <v>2066.3200000000002</v>
          </cell>
        </row>
        <row r="3303">
          <cell r="A3303" t="str">
            <v>103245</v>
          </cell>
          <cell r="B3303" t="str">
            <v>AR CONDICIONADO SPLIT ON/OFF, HI-WALL (PAREDE), 9000 BTUS/H, CICLO FRIO - FORNECIMENTO E INSTALAÇÃO. AF_11/2021_P</v>
          </cell>
          <cell r="C3303" t="str">
            <v>UN</v>
          </cell>
          <cell r="D3303">
            <v>1637.22</v>
          </cell>
        </row>
        <row r="3304">
          <cell r="A3304" t="str">
            <v>103246</v>
          </cell>
          <cell r="B3304" t="str">
            <v>AR CONDICIONADO SPLIT ON/OFF, HI-WALL (PAREDE), 9000 BTUS/H, CICLO QUENTE/FRIO - FORNECIMENTO E INSTALAÇÃO. AF_11/2021_P</v>
          </cell>
          <cell r="C3304" t="str">
            <v>UN</v>
          </cell>
          <cell r="D3304">
            <v>1782.34</v>
          </cell>
        </row>
        <row r="3305">
          <cell r="A3305" t="str">
            <v>103247</v>
          </cell>
          <cell r="B3305" t="str">
            <v>AR CONDICIONADO SPLIT INVERTER, HI-WALL (PAREDE), 12000 BTU/H, CICLO FRIO - FORNECIMENTO E INSTALAÇÃO. AF_11/2021_P</v>
          </cell>
          <cell r="C3305" t="str">
            <v>UN</v>
          </cell>
          <cell r="D3305">
            <v>2289.5</v>
          </cell>
        </row>
        <row r="3306">
          <cell r="A3306" t="str">
            <v>103248</v>
          </cell>
          <cell r="B3306" t="str">
            <v>AR CONDICIONADO SPLIT ON/OFF, HI-WALL (PAREDE), 12000 BTUS/H, CICLO FRIO - FORNECIMENTO E INSTALAÇÃO. AF_11/2021_P</v>
          </cell>
          <cell r="C3306" t="str">
            <v>UN</v>
          </cell>
          <cell r="D3306">
            <v>1877.35</v>
          </cell>
        </row>
        <row r="3307">
          <cell r="A3307" t="str">
            <v>103249</v>
          </cell>
          <cell r="B3307" t="str">
            <v>AR CONDICIONADO SPLIT ON/OFF, HI-WALL (PAREDE), 12000 BTUS/H, CICLO QUENTE/FRIO - FORNECIMENTO E INSTALAÇÃO. AF_11/2021_P</v>
          </cell>
          <cell r="C3307" t="str">
            <v>UN</v>
          </cell>
          <cell r="D3307">
            <v>2014.3</v>
          </cell>
        </row>
        <row r="3308">
          <cell r="A3308" t="str">
            <v>103250</v>
          </cell>
          <cell r="B3308" t="str">
            <v>AR CONDICIONADO SPLIT INVERTER, HI-WALL (PAREDE), 18000 BTU/H, CICLO FRIO - FORNECIMENTO E INSTALAÇÃO. AF_11/2021_P</v>
          </cell>
          <cell r="C3308" t="str">
            <v>UN</v>
          </cell>
          <cell r="D3308">
            <v>3309.67</v>
          </cell>
        </row>
        <row r="3309">
          <cell r="A3309" t="str">
            <v>103251</v>
          </cell>
          <cell r="B3309" t="str">
            <v>AR CONDICIONADO SPLIT ON/OFF, HI-WALL (PAREDE), 18000 BTUS/H, CICLO FRIO - FORNECIMENTO E INSTALAÇÃO. AF_11/2021_P</v>
          </cell>
          <cell r="C3309" t="str">
            <v>UN</v>
          </cell>
          <cell r="D3309">
            <v>2621.31</v>
          </cell>
        </row>
        <row r="3310">
          <cell r="A3310" t="str">
            <v>103252</v>
          </cell>
          <cell r="B3310" t="str">
            <v>AR CONDICIONADO SPLIT ON/OFF, HI-WALL (PAREDE), 18000 BTUS/H, CICLO QUENTE/FRIO - FORNECIMENTO E INSTALAÇÃO. AF_11/2021_P</v>
          </cell>
          <cell r="C3310" t="str">
            <v>UN</v>
          </cell>
          <cell r="D3310">
            <v>2898.91</v>
          </cell>
        </row>
        <row r="3311">
          <cell r="A3311" t="str">
            <v>103253</v>
          </cell>
          <cell r="B3311" t="str">
            <v>AR CONDICIONADO SPLIT INVERTER, HI-WALL (PAREDE), 24000 BTU/H, CICLO FRIO - FORNECIMENTO E INSTALAÇÃO. AF_11/2021_P</v>
          </cell>
          <cell r="C3311" t="str">
            <v>UN</v>
          </cell>
          <cell r="D3311">
            <v>4498.8500000000004</v>
          </cell>
        </row>
        <row r="3312">
          <cell r="A3312" t="str">
            <v>103254</v>
          </cell>
          <cell r="B3312" t="str">
            <v>AR CONDICIONADO SPLIT ON/OFF, HI-WALL (PAREDE), 24000 BTUS/H, CICLO FRIO - FORNECIMENTO E INSTALAÇÃO. AF_11/2021_P</v>
          </cell>
          <cell r="C3312" t="str">
            <v>UN</v>
          </cell>
          <cell r="D3312">
            <v>3373.46</v>
          </cell>
        </row>
        <row r="3313">
          <cell r="A3313" t="str">
            <v>103255</v>
          </cell>
          <cell r="B3313" t="str">
            <v>AR CONDICIONADO SPLIT ON/OFF, HI-WALL (PAREDE), 24000 BTUS/H, CICLO QUENTE/FRIO - FORNECIMENTO E INSTALAÇÃO. AF_11/2021_P</v>
          </cell>
          <cell r="C3313" t="str">
            <v>UN</v>
          </cell>
          <cell r="D3313">
            <v>3770.53</v>
          </cell>
        </row>
        <row r="3314">
          <cell r="A3314" t="str">
            <v>103256</v>
          </cell>
          <cell r="B3314" t="str">
            <v>AR CONDICIONADO SPLIT INVERTER, PISO TETO, 18000 BTU/H, CICLO FRIO - FORNECIMENTO E INSTALAÇÃO. AF_11/2021_P</v>
          </cell>
          <cell r="C3314" t="str">
            <v>UN</v>
          </cell>
          <cell r="D3314">
            <v>8321.5</v>
          </cell>
        </row>
        <row r="3315">
          <cell r="A3315" t="str">
            <v>103257</v>
          </cell>
          <cell r="B3315" t="str">
            <v>AR CONDICIONADO SPLIT ON/OFF, PISO TETO, 18.000 BTU/H, CICLO FRIO - FORNECIMENTO E INSTALAÇÃO. AF_11/2021_P</v>
          </cell>
          <cell r="C3315" t="str">
            <v>UN</v>
          </cell>
          <cell r="D3315">
            <v>4769.13</v>
          </cell>
        </row>
        <row r="3316">
          <cell r="A3316" t="str">
            <v>103258</v>
          </cell>
          <cell r="B3316" t="str">
            <v>AR CONDICIONADO SPLIT INVERTER, PISO TETO, 24000 BTU/H, CICLO FRIO - FORNECIMENTO E INSTALAÇÃO. AF_11/2021_P</v>
          </cell>
          <cell r="C3316" t="str">
            <v>UN</v>
          </cell>
          <cell r="D3316">
            <v>9299.35</v>
          </cell>
        </row>
        <row r="3317">
          <cell r="A3317" t="str">
            <v>103259</v>
          </cell>
          <cell r="B3317" t="str">
            <v>AR CONDICIONADO SPLIT ON/OFF, PISO TETO, 24.000 BTU/H, CICLO FRIO - FORNECIMENTO E INSTALAÇÃO. AF_11/2021_P</v>
          </cell>
          <cell r="C3317" t="str">
            <v>UN</v>
          </cell>
          <cell r="D3317">
            <v>5026.45</v>
          </cell>
        </row>
        <row r="3318">
          <cell r="A3318" t="str">
            <v>103260</v>
          </cell>
          <cell r="B3318" t="str">
            <v>AR CONDICIONADO SPLIT INVERTER, PISO TETO, 24000 BTU/H, QUENTE/FRIO - FORNECIMENTO E INSTALAÇÃO. AF_11/2021_P</v>
          </cell>
          <cell r="C3318" t="str">
            <v>UN</v>
          </cell>
          <cell r="D3318">
            <v>5162.43</v>
          </cell>
        </row>
        <row r="3319">
          <cell r="A3319" t="str">
            <v>103261</v>
          </cell>
          <cell r="B3319" t="str">
            <v>AR CONDICIONADO SPLIT INVERTER, PISO TETO, 36000 BTU/H, CICLO FRIO - FORNECIMENTO E INSTALAÇÃO. AF_11/2021_P</v>
          </cell>
          <cell r="C3319" t="str">
            <v>UN</v>
          </cell>
          <cell r="D3319">
            <v>10486.6</v>
          </cell>
        </row>
        <row r="3320">
          <cell r="A3320" t="str">
            <v>103262</v>
          </cell>
          <cell r="B3320" t="str">
            <v>AR CONDICIONADO SPLIT ON/OFF, PISO TETO, 36.000 BTU/H, CICLO FRIO - FORNECIMENTO E INSTALAÇÃO. AF_11/2021_P</v>
          </cell>
          <cell r="C3320" t="str">
            <v>UN</v>
          </cell>
          <cell r="D3320">
            <v>6593.41</v>
          </cell>
        </row>
        <row r="3321">
          <cell r="A3321" t="str">
            <v>103263</v>
          </cell>
          <cell r="B3321" t="str">
            <v>AR CONDICIONADO SPLIT INVERTER, PISO TETO, 48000 BTU/H, CICLO FRIO - FORNECIMENTO E INSTALAÇÃO. AF_11/2021_P</v>
          </cell>
          <cell r="C3321" t="str">
            <v>UN</v>
          </cell>
          <cell r="D3321">
            <v>14545.07</v>
          </cell>
        </row>
        <row r="3322">
          <cell r="A3322" t="str">
            <v>103264</v>
          </cell>
          <cell r="B3322" t="str">
            <v>AR CONDICIONADO SPLIT ON/OFF, PISO TETO, 48.000 BTU/H, CICLO FRIO - FORNECIMENTO E INSTALAÇÃO. AF_11/2021_P</v>
          </cell>
          <cell r="C3322" t="str">
            <v>UN</v>
          </cell>
          <cell r="D3322">
            <v>8170.81</v>
          </cell>
        </row>
        <row r="3323">
          <cell r="A3323" t="str">
            <v>103265</v>
          </cell>
          <cell r="B3323" t="str">
            <v>AR CONDICIONADO SPLIT INVERTER, PISO TETO, APRESENTANDO ENTRE 54000 E 58000 BTU/H, CICLO FRIO - FORNECIMENTO E INSTALAÇÃO. AF_11/2021_P</v>
          </cell>
          <cell r="C3323" t="str">
            <v>UN</v>
          </cell>
          <cell r="D3323">
            <v>17528.740000000002</v>
          </cell>
        </row>
        <row r="3324">
          <cell r="A3324" t="str">
            <v>103266</v>
          </cell>
          <cell r="B3324" t="str">
            <v>AR CONDICIONADO SPLIT ON/OFF, PISO TETO, 60.000 BTU/H, CICLO FRIO - FORNECIMENTO E INSTALAÇÃO. AF_11/2021_P</v>
          </cell>
          <cell r="C3324" t="str">
            <v>UN</v>
          </cell>
          <cell r="D3324">
            <v>9121.6299999999992</v>
          </cell>
        </row>
        <row r="3325">
          <cell r="A3325" t="str">
            <v>103267</v>
          </cell>
          <cell r="B3325" t="str">
            <v>AR CONDICIONADO SPLIT ON/OFF, CASSETE (TETO), FRIO 4 VIAS 18000 BTU/H - FORNECIMENTO E INSTALAÇÃO. AF_11/2021_P</v>
          </cell>
          <cell r="C3325" t="str">
            <v>UN</v>
          </cell>
          <cell r="D3325">
            <v>5214.3999999999996</v>
          </cell>
        </row>
        <row r="3326">
          <cell r="A3326" t="str">
            <v>103268</v>
          </cell>
          <cell r="B3326" t="str">
            <v>AR CONDICIONADO SPLIT ON/OFF, CASSETE (TETO), 18000 BTU/H, CICLO QUENTE/FRIO - FORNECIMENTO E INSTALAÇÃO. AF_11/2021_P</v>
          </cell>
          <cell r="C3326" t="str">
            <v>UN</v>
          </cell>
          <cell r="D3326">
            <v>6182.89</v>
          </cell>
        </row>
        <row r="3327">
          <cell r="A3327" t="str">
            <v>103269</v>
          </cell>
          <cell r="B3327" t="str">
            <v>AR CONDICIONADO SPLIT ON/OFF, CASSETE (TETO), FRIO 4 VIAS 24000 BTU/H - FORNECIMENTO E INSTALAÇÃO. AF_11/2021_P</v>
          </cell>
          <cell r="C3327" t="str">
            <v>UN</v>
          </cell>
          <cell r="D3327">
            <v>6400.8</v>
          </cell>
        </row>
        <row r="3328">
          <cell r="A3328" t="str">
            <v>103270</v>
          </cell>
          <cell r="B3328" t="str">
            <v>AR CONDICIONADO SPLIT ON/OFF, CASSETE (TETO), 24000 BTU/H, CICLO QUENTE/FRIO - FORNECIMENTO E INSTALAÇÃO. AF_11/2021_P</v>
          </cell>
          <cell r="C3328" t="str">
            <v>UN</v>
          </cell>
          <cell r="D3328">
            <v>6642.75</v>
          </cell>
        </row>
        <row r="3329">
          <cell r="A3329" t="str">
            <v>103271</v>
          </cell>
          <cell r="B3329" t="str">
            <v>AR CONDICIONADO SPLIT ON/OFF, CASSETE (TETO), FRIO 4 VIAS 36000 BTU/H - FORNECIMENTO E INSTALAÇÃO. AF_11/2021_P</v>
          </cell>
          <cell r="C3329" t="str">
            <v>UN</v>
          </cell>
          <cell r="D3329">
            <v>9396.6</v>
          </cell>
        </row>
        <row r="3330">
          <cell r="A3330" t="str">
            <v>103272</v>
          </cell>
          <cell r="B3330" t="str">
            <v>AR CONDICIONADO SPLIT ON/OFF, CASSETE (TETO), 36000 BTU/H, CICLO QUENTE/FRIO - FORNECIMENTO E INSTALAÇÃO. AF_11/2021_P</v>
          </cell>
          <cell r="C3330" t="str">
            <v>UN</v>
          </cell>
          <cell r="D3330">
            <v>9704.27</v>
          </cell>
        </row>
        <row r="3331">
          <cell r="A3331" t="str">
            <v>103273</v>
          </cell>
          <cell r="B3331" t="str">
            <v>AR CONDICIONADO SPLIT ON/OFF, CASSETE (TETO), FRIO 4 VIAS 48000 BTU/H - FORNECIMENTO E INSTALAÇÃO. AF_11/2021_P</v>
          </cell>
          <cell r="C3331" t="str">
            <v>UN</v>
          </cell>
          <cell r="D3331">
            <v>9978.0499999999993</v>
          </cell>
        </row>
        <row r="3332">
          <cell r="A3332" t="str">
            <v>103274</v>
          </cell>
          <cell r="B3332" t="str">
            <v>AR CONDICIONADO SPLIT ON/OFF, CASSETE (TETO), 48000 BTU/H, CICLO QUENTE/FRIO - FORNECIMENTO E INSTALAÇÃO. AF_11/2021_P</v>
          </cell>
          <cell r="C3332" t="str">
            <v>UN</v>
          </cell>
          <cell r="D3332">
            <v>11425.08</v>
          </cell>
        </row>
        <row r="3333">
          <cell r="A3333" t="str">
            <v>103275</v>
          </cell>
          <cell r="B3333" t="str">
            <v>AR CONDICIONADO SPLIT ON/OFF, CASSETE (TETO), FRIO 4 VIAS 60000 BTU/H - FORNECIMENTO E INSTALAÇÃO. AF_11/2021_P</v>
          </cell>
          <cell r="C3333" t="str">
            <v>UN</v>
          </cell>
          <cell r="D3333">
            <v>11366.01</v>
          </cell>
        </row>
        <row r="3334">
          <cell r="A3334" t="str">
            <v>103276</v>
          </cell>
          <cell r="B3334" t="str">
            <v>AR CONDICIONADO SPLIT ON/OFF, CASSETE (TETO), 60000 BTU/H, CICLO QUENTE/FRIO - FORNECIMENTO E INSTALAÇÃO. AF_11/2021_P</v>
          </cell>
          <cell r="C3334" t="str">
            <v>UN</v>
          </cell>
          <cell r="D3334">
            <v>11925.67</v>
          </cell>
        </row>
        <row r="3335">
          <cell r="A3335" t="str">
            <v>103277</v>
          </cell>
          <cell r="B3335" t="str">
            <v>AR CONDICIONADO SPLITÃO 10 TR - FORNECIMENTO E INSTALAÇÃO. AF_11/2021_P</v>
          </cell>
          <cell r="C3335" t="str">
            <v>UN</v>
          </cell>
          <cell r="D3335">
            <v>22022.76</v>
          </cell>
        </row>
        <row r="3336">
          <cell r="A3336" t="str">
            <v>103278</v>
          </cell>
          <cell r="B3336" t="str">
            <v>AR CONDICIONADO SPLITÃO 15 TR - FORNECIMENTO E INSTALAÇÃO. AF_11/2021_P</v>
          </cell>
          <cell r="C3336" t="str">
            <v>UN</v>
          </cell>
          <cell r="D3336">
            <v>28171.52</v>
          </cell>
        </row>
        <row r="3337">
          <cell r="A3337" t="str">
            <v>103288</v>
          </cell>
          <cell r="B3337" t="str">
            <v>RASGO E CHUMBAMENTO EM ALVENARIA PARA TUBOS DE SPLIT PAREDE DE 9000 A 24000 BTUS/H. AF_11/2021</v>
          </cell>
          <cell r="C3337" t="str">
            <v>M</v>
          </cell>
          <cell r="D3337">
            <v>14.29</v>
          </cell>
        </row>
        <row r="3338">
          <cell r="A3338" t="str">
            <v>103289</v>
          </cell>
          <cell r="B3338" t="str">
            <v>TUBO EM COBRE FLEXÍVEL, DN 1/4", COM ISOLAMENTO, INSTALADO EM FORRO, PARA RAMAL DE ALIMENTAÇÃO DE AR CONDICIONADO, INCLUSO FIXADOR. AF_11/2021</v>
          </cell>
          <cell r="C3338" t="str">
            <v>M</v>
          </cell>
          <cell r="D3338">
            <v>34.049999999999997</v>
          </cell>
        </row>
        <row r="3339">
          <cell r="A3339" t="str">
            <v>103290</v>
          </cell>
          <cell r="B3339" t="str">
            <v>TUBO EM COBRE FLEXÍVEL, DN 3/8", COM ISOLAMENTO, INSTALADO EM FORRO, PARA RAMAL DE ALIMENTAÇÃO DE AR CONDICIONADO, INCLUSO FIXADOR. AF_11/2021</v>
          </cell>
          <cell r="C3339" t="str">
            <v>M</v>
          </cell>
          <cell r="D3339">
            <v>55.1</v>
          </cell>
        </row>
        <row r="3340">
          <cell r="A3340" t="str">
            <v>103291</v>
          </cell>
          <cell r="B3340" t="str">
            <v>TUBO EM COBRE FLEXÍVEL, DN 1/2", COM ISOLAMENTO, INSTALADO EM FORRO, PARA RAMAL DE ALIMENTAÇÃO DE AR CONDICIONADO, INCLUSO FIXADOR. AF_11/2021</v>
          </cell>
          <cell r="C3340" t="str">
            <v>M</v>
          </cell>
          <cell r="D3340">
            <v>69.23</v>
          </cell>
        </row>
        <row r="3341">
          <cell r="A3341" t="str">
            <v>103292</v>
          </cell>
          <cell r="B3341" t="str">
            <v>TUBO EM COBRE FLEXÍVEL, DN 5/8", COM ISOLAMENTO, INSTALADO EM FORRO, PARA RAMAL DE ALIMENTAÇÃO DE AR CONDICIONADO, INCLUSO FIXADOR. AF_11/2021</v>
          </cell>
          <cell r="C3341" t="str">
            <v>UN</v>
          </cell>
          <cell r="D3341">
            <v>84.02</v>
          </cell>
        </row>
        <row r="3342">
          <cell r="A3342" t="str">
            <v>101936</v>
          </cell>
          <cell r="B3342" t="str">
            <v>INSTALAÇÃO DE TUBOS E CONEXÕES, EM AÇO/FERRO GALVANIZADO, PARA O CENTRO DE MEDIÇÃO DE GÁS DE EDIFÍCIO RESIDENCIAL, COM 4 PAVIMENTOS, 16 UNIDADES HABITACIONAIS, DN 32 (1 1/4) - FORNECIMENTO E INSTALAÇÃO. AF_10/2020</v>
          </cell>
          <cell r="C3342" t="str">
            <v>UN</v>
          </cell>
          <cell r="D3342">
            <v>7226.41</v>
          </cell>
        </row>
        <row r="3343">
          <cell r="A3343" t="str">
            <v>101937</v>
          </cell>
          <cell r="B3343" t="str">
            <v>INSTALAÇÃO DE TUBOS E CONEXÕES, EM AÇO/FERRO GALVANIZADO, PARA O CENTRO DE MEDIÇÃO DE GÁS DE EDIFÍCIO RESIDENCIAL, COM 4 PAVIMENTOS, 16 UNIDADES HABITACIONAIS, DN 50 (2) - FORNECIMENTO E INSTALAÇÃO. AF_10/2020</v>
          </cell>
          <cell r="C3343" t="str">
            <v>M</v>
          </cell>
          <cell r="D3343">
            <v>12852.85</v>
          </cell>
        </row>
        <row r="3344">
          <cell r="A3344" t="str">
            <v>98294</v>
          </cell>
          <cell r="B3344" t="str">
            <v>CABO ELETRÔNICO CATEGORIA 5E, INSTALADO EM EDIFICAÇÃO RESIDENCIAL - FORNECIMENTO E INSTALAÇÃO. AF_11/2019</v>
          </cell>
          <cell r="C3344" t="str">
            <v>M</v>
          </cell>
          <cell r="D3344">
            <v>4.57</v>
          </cell>
        </row>
        <row r="3345">
          <cell r="A3345" t="str">
            <v>98295</v>
          </cell>
          <cell r="B3345" t="str">
            <v>CABO ELETRÔNICO CATEGORIA 5E, INSTALADO EM EDIFICAÇÃO INSTITUCIONAL - FORNECIMENTO E INSTALAÇÃO. AF_11/2019</v>
          </cell>
          <cell r="C3345" t="str">
            <v>M</v>
          </cell>
          <cell r="D3345">
            <v>3.9</v>
          </cell>
        </row>
        <row r="3346">
          <cell r="A3346" t="str">
            <v>98296</v>
          </cell>
          <cell r="B3346" t="str">
            <v>CABO ELETRÔNICO CATEGORIA 6, INSTALADO EM EDIFICAÇÃO RESIDENCIAL - FORNECIMENTO E INSTALAÇÃO. AF_11/2019</v>
          </cell>
          <cell r="C3346" t="str">
            <v>M</v>
          </cell>
          <cell r="D3346">
            <v>6.96</v>
          </cell>
        </row>
        <row r="3347">
          <cell r="A3347" t="str">
            <v>98297</v>
          </cell>
          <cell r="B3347" t="str">
            <v>CABO ELETRÔNICO CATEGORIA 6, INSTALADO EM EDIFICAÇÃO INSTITUCIONAL - FORNECIMENTO E INSTALAÇÃO. AF_11/2019</v>
          </cell>
          <cell r="C3347" t="str">
            <v>UN</v>
          </cell>
          <cell r="D3347">
            <v>5.91</v>
          </cell>
        </row>
        <row r="3348">
          <cell r="A3348" t="str">
            <v>98301</v>
          </cell>
          <cell r="B3348" t="str">
            <v>PATCH PANEL 24 PORTAS, CATEGORIA 5E - FORNECIMENTO E INSTALAÇÃO. AF_11/2019</v>
          </cell>
          <cell r="C3348" t="str">
            <v>UN</v>
          </cell>
          <cell r="D3348">
            <v>873.78</v>
          </cell>
        </row>
        <row r="3349">
          <cell r="A3349" t="str">
            <v>98302</v>
          </cell>
          <cell r="B3349" t="str">
            <v>PATCH PANEL 24 PORTAS, CATEGORIA 6 - FORNECIMENTO E INSTALAÇÃO. AF_11/2019</v>
          </cell>
          <cell r="C3349" t="str">
            <v>UN</v>
          </cell>
          <cell r="D3349">
            <v>1304.7</v>
          </cell>
        </row>
        <row r="3350">
          <cell r="A3350" t="str">
            <v>98304</v>
          </cell>
          <cell r="B3350" t="str">
            <v>PATCH PANEL 48 PORTAS, CATEGORIA 6 - FORNECIMENTO E INSTALAÇÃO. AF_11/2019</v>
          </cell>
          <cell r="C3350" t="str">
            <v>UN</v>
          </cell>
          <cell r="D3350">
            <v>1947.15</v>
          </cell>
        </row>
        <row r="3351">
          <cell r="A3351" t="str">
            <v>98307</v>
          </cell>
          <cell r="B3351" t="str">
            <v>TOMADA DE REDE RJ45 - FORNECIMENTO E INSTALAÇÃO. AF_11/2019</v>
          </cell>
          <cell r="C3351" t="str">
            <v>UN</v>
          </cell>
          <cell r="D3351">
            <v>41.85</v>
          </cell>
        </row>
        <row r="3352">
          <cell r="A3352" t="str">
            <v>98308</v>
          </cell>
          <cell r="B3352" t="str">
            <v>TOMADA PARA TELEFONE RJ11 - FORNECIMENTO E INSTALAÇÃO. AF_11/2019</v>
          </cell>
          <cell r="C3352" t="str">
            <v>UN</v>
          </cell>
          <cell r="D3352">
            <v>27.94</v>
          </cell>
        </row>
        <row r="3353">
          <cell r="A3353" t="str">
            <v>98593</v>
          </cell>
          <cell r="B3353" t="str">
            <v>PATCH PANEL 48 PORTAS, CATEGORIA 5E - FORNECIMENTO E INSTALAÇÃO. AF_11/2019</v>
          </cell>
          <cell r="C3353" t="str">
            <v>M</v>
          </cell>
          <cell r="D3353">
            <v>1432.46</v>
          </cell>
        </row>
        <row r="3354">
          <cell r="A3354" t="str">
            <v>89355</v>
          </cell>
          <cell r="B3354" t="str">
            <v>TUBO, PVC, SOLDÁVEL, DN 20MM, INSTALADO EM RAMAL OU SUB-RAMAL DE ÁGUA - FORNECIMENTO E INSTALAÇÃO. AF_12/2014</v>
          </cell>
          <cell r="C3354" t="str">
            <v>M</v>
          </cell>
          <cell r="D3354">
            <v>17.47</v>
          </cell>
        </row>
        <row r="3355">
          <cell r="A3355" t="str">
            <v>89356</v>
          </cell>
          <cell r="B3355" t="str">
            <v>TUBO, PVC, SOLDÁVEL, DN 25MM, INSTALADO EM RAMAL OU SUB-RAMAL DE ÁGUA - FORNECIMENTO E INSTALAÇÃO. AF_12/2014</v>
          </cell>
          <cell r="C3355" t="str">
            <v>M</v>
          </cell>
          <cell r="D3355">
            <v>20.82</v>
          </cell>
        </row>
        <row r="3356">
          <cell r="A3356" t="str">
            <v>89357</v>
          </cell>
          <cell r="B3356" t="str">
            <v>TUBO, PVC, SOLDÁVEL, DN 32MM, INSTALADO EM RAMAL OU SUB-RAMAL DE ÁGUA - FORNECIMENTO E INSTALAÇÃO. AF_12/2014</v>
          </cell>
          <cell r="C3356" t="str">
            <v>M</v>
          </cell>
          <cell r="D3356">
            <v>31.31</v>
          </cell>
        </row>
        <row r="3357">
          <cell r="A3357" t="str">
            <v>89401</v>
          </cell>
          <cell r="B3357" t="str">
            <v>TUBO, PVC, SOLDÁVEL, DN 20MM, INSTALADO EM RAMAL DE DISTRIBUIÇÃO DE ÁGUA - FORNECIMENTO E INSTALAÇÃO. AF_12/2014</v>
          </cell>
          <cell r="C3357" t="str">
            <v>M</v>
          </cell>
          <cell r="D3357">
            <v>8.6300000000000008</v>
          </cell>
        </row>
        <row r="3358">
          <cell r="A3358" t="str">
            <v>89402</v>
          </cell>
          <cell r="B3358" t="str">
            <v>TUBO, PVC, SOLDÁVEL, DN 25MM, INSTALADO EM RAMAL DE DISTRIBUIÇÃO DE ÁGUA - FORNECIMENTO E INSTALAÇÃO. AF_12/2014</v>
          </cell>
          <cell r="C3358" t="str">
            <v>M</v>
          </cell>
          <cell r="D3358">
            <v>10.63</v>
          </cell>
        </row>
        <row r="3359">
          <cell r="A3359" t="str">
            <v>89403</v>
          </cell>
          <cell r="B3359" t="str">
            <v>TUBO, PVC, SOLDÁVEL, DN 32MM, INSTALADO EM RAMAL DE DISTRIBUIÇÃO DE ÁGUA - FORNECIMENTO E INSTALAÇÃO. AF_12/2014</v>
          </cell>
          <cell r="C3359" t="str">
            <v>M</v>
          </cell>
          <cell r="D3359">
            <v>19.12</v>
          </cell>
        </row>
        <row r="3360">
          <cell r="A3360" t="str">
            <v>89446</v>
          </cell>
          <cell r="B3360" t="str">
            <v>TUBO, PVC, SOLDÁVEL, DN 25MM, INSTALADO EM PRUMADA DE ÁGUA - FORNECIMENTO E INSTALAÇÃO. AF_12/2014</v>
          </cell>
          <cell r="C3360" t="str">
            <v>M</v>
          </cell>
          <cell r="D3360">
            <v>6.77</v>
          </cell>
        </row>
        <row r="3361">
          <cell r="A3361" t="str">
            <v>89447</v>
          </cell>
          <cell r="B3361" t="str">
            <v>TUBO, PVC, SOLDÁVEL, DN 32MM, INSTALADO EM PRUMADA DE ÁGUA - FORNECIMENTO E INSTALAÇÃO. AF_12/2014</v>
          </cell>
          <cell r="C3361" t="str">
            <v>M</v>
          </cell>
          <cell r="D3361">
            <v>14.58</v>
          </cell>
        </row>
        <row r="3362">
          <cell r="A3362" t="str">
            <v>89448</v>
          </cell>
          <cell r="B3362" t="str">
            <v>TUBO, PVC, SOLDÁVEL, DN 40MM, INSTALADO EM PRUMADA DE ÁGUA - FORNECIMENTO E INSTALAÇÃO. AF_12/2014</v>
          </cell>
          <cell r="C3362" t="str">
            <v>M</v>
          </cell>
          <cell r="D3362">
            <v>21.05</v>
          </cell>
        </row>
        <row r="3363">
          <cell r="A3363" t="str">
            <v>89449</v>
          </cell>
          <cell r="B3363" t="str">
            <v>TUBO, PVC, SOLDÁVEL, DN 50MM, INSTALADO EM PRUMADA DE ÁGUA - FORNECIMENTO E INSTALAÇÃO. AF_12/2014</v>
          </cell>
          <cell r="C3363" t="str">
            <v>M</v>
          </cell>
          <cell r="D3363">
            <v>24.17</v>
          </cell>
        </row>
        <row r="3364">
          <cell r="A3364" t="str">
            <v>89450</v>
          </cell>
          <cell r="B3364" t="str">
            <v>TUBO, PVC, SOLDÁVEL, DN 60MM, INSTALADO EM PRUMADA DE ÁGUA - FORNECIMENTO E INSTALAÇÃO. AF_12/2014</v>
          </cell>
          <cell r="C3364" t="str">
            <v>M</v>
          </cell>
          <cell r="D3364">
            <v>40.21</v>
          </cell>
        </row>
        <row r="3365">
          <cell r="A3365" t="str">
            <v>89451</v>
          </cell>
          <cell r="B3365" t="str">
            <v>TUBO, PVC, SOLDÁVEL, DN 75MM, INSTALADO EM PRUMADA DE ÁGUA - FORNECIMENTO E INSTALAÇÃO. AF_12/2014</v>
          </cell>
          <cell r="C3365" t="str">
            <v>M</v>
          </cell>
          <cell r="D3365">
            <v>66.790000000000006</v>
          </cell>
        </row>
        <row r="3366">
          <cell r="A3366" t="str">
            <v>89452</v>
          </cell>
          <cell r="B3366" t="str">
            <v>TUBO, PVC, SOLDÁVEL, DN 85MM, INSTALADO EM PRUMADA DE ÁGUA - FORNECIMENTO E INSTALAÇÃO. AF_12/2014</v>
          </cell>
          <cell r="C3366" t="str">
            <v>M</v>
          </cell>
          <cell r="D3366">
            <v>83.23</v>
          </cell>
        </row>
        <row r="3367">
          <cell r="A3367" t="str">
            <v>89508</v>
          </cell>
          <cell r="B3367" t="str">
            <v>TUBO PVC, SÉRIE R, ÁGUA PLUVIAL, DN 40 MM, FORNECIDO E INSTALADO EM RAMAL DE ENCAMINHAMENTO. AF_12/2014</v>
          </cell>
          <cell r="C3367" t="str">
            <v>M</v>
          </cell>
          <cell r="D3367">
            <v>25.79</v>
          </cell>
        </row>
        <row r="3368">
          <cell r="A3368" t="str">
            <v>89509</v>
          </cell>
          <cell r="B3368" t="str">
            <v>TUBO PVC, SÉRIE R, ÁGUA PLUVIAL, DN 50 MM, FORNECIDO E INSTALADO EM RAMAL DE ENCAMINHAMENTO. AF_12/2014</v>
          </cell>
          <cell r="C3368" t="str">
            <v>M</v>
          </cell>
          <cell r="D3368">
            <v>34.56</v>
          </cell>
        </row>
        <row r="3369">
          <cell r="A3369" t="str">
            <v>89511</v>
          </cell>
          <cell r="B3369" t="str">
            <v>TUBO PVC, SÉRIE R, ÁGUA PLUVIAL, DN 75 MM, FORNECIDO E INSTALADO EM RAMAL DE ENCAMINHAMENTO. AF_12/2014</v>
          </cell>
          <cell r="C3369" t="str">
            <v>M</v>
          </cell>
          <cell r="D3369">
            <v>49.71</v>
          </cell>
        </row>
        <row r="3370">
          <cell r="A3370" t="str">
            <v>89512</v>
          </cell>
          <cell r="B3370" t="str">
            <v>TUBO PVC, SÉRIE R, ÁGUA PLUVIAL, DN 100 MM, FORNECIDO E INSTALADO EM RAMAL DE ENCAMINHAMENTO. AF_12/2014</v>
          </cell>
          <cell r="C3370" t="str">
            <v>M</v>
          </cell>
          <cell r="D3370">
            <v>80.88</v>
          </cell>
        </row>
        <row r="3371">
          <cell r="A3371" t="str">
            <v>89576</v>
          </cell>
          <cell r="B3371" t="str">
            <v>TUBO PVC, SÉRIE R, ÁGUA PLUVIAL, DN 75 MM, FORNECIDO E INSTALADO EM CONDUTORES VERTICAIS DE ÁGUAS PLUVIAIS. AF_12/2014</v>
          </cell>
          <cell r="C3371" t="str">
            <v>M</v>
          </cell>
          <cell r="D3371">
            <v>34.86</v>
          </cell>
        </row>
        <row r="3372">
          <cell r="A3372" t="str">
            <v>89578</v>
          </cell>
          <cell r="B3372" t="str">
            <v>TUBO PVC, SÉRIE R, ÁGUA PLUVIAL, DN 100 MM, FORNECIDO E INSTALADO EM CONDUTORES VERTICAIS DE ÁGUAS PLUVIAIS. AF_12/2014</v>
          </cell>
          <cell r="C3372" t="str">
            <v>M</v>
          </cell>
          <cell r="D3372">
            <v>60.44</v>
          </cell>
        </row>
        <row r="3373">
          <cell r="A3373" t="str">
            <v>89580</v>
          </cell>
          <cell r="B3373" t="str">
            <v>TUBO PVC, SÉRIE R, ÁGUA PLUVIAL, DN 150 MM, FORNECIDO E INSTALADO EM CONDUTORES VERTICAIS DE ÁGUAS PLUVIAIS. AF_12/2014</v>
          </cell>
          <cell r="C3373" t="str">
            <v>M</v>
          </cell>
          <cell r="D3373">
            <v>120.41</v>
          </cell>
        </row>
        <row r="3374">
          <cell r="A3374" t="str">
            <v>89633</v>
          </cell>
          <cell r="B3374" t="str">
            <v>TUBO, CPVC, SOLDÁVEL, DN 15MM, INSTALADO EM RAMAL OU SUB-RAMAL DE ÁGUA - FORNECIMENTO E INSTALAÇÃO. AF_12/2014</v>
          </cell>
          <cell r="C3374" t="str">
            <v>M</v>
          </cell>
          <cell r="D3374">
            <v>23.53</v>
          </cell>
        </row>
        <row r="3375">
          <cell r="A3375" t="str">
            <v>89634</v>
          </cell>
          <cell r="B3375" t="str">
            <v>TUBO, CPVC, SOLDÁVEL, DN 22MM, INSTALADO EM RAMAL OU SUB-RAMAL DE ÁGUA - FORNECIMENTO E INSTALAÇÃO. AF_12/2014</v>
          </cell>
          <cell r="C3375" t="str">
            <v>M</v>
          </cell>
          <cell r="D3375">
            <v>36.409999999999997</v>
          </cell>
        </row>
        <row r="3376">
          <cell r="A3376" t="str">
            <v>89635</v>
          </cell>
          <cell r="B3376" t="str">
            <v>TUBO, CPVC, SOLDÁVEL, DN 28MM, INSTALADO EM RAMAL OU SUB-RAMAL DE ÁGUA - FORNECIMENTO E INSTALAÇÃO. AF_12/2014</v>
          </cell>
          <cell r="C3376" t="str">
            <v>M</v>
          </cell>
          <cell r="D3376">
            <v>52.8</v>
          </cell>
        </row>
        <row r="3377">
          <cell r="A3377" t="str">
            <v>89636</v>
          </cell>
          <cell r="B3377" t="str">
            <v>TUBO, CPVC, SOLDÁVEL, DN 35MM, INSTALADO EM RAMAL OU SUB-RAMAL DE ÁGUA  FORNECIMENTO E INSTALAÇÃO. AF_12/2014</v>
          </cell>
          <cell r="C3377" t="str">
            <v>M</v>
          </cell>
          <cell r="D3377">
            <v>64.44</v>
          </cell>
        </row>
        <row r="3378">
          <cell r="A3378" t="str">
            <v>89711</v>
          </cell>
          <cell r="B3378" t="str">
            <v>TUBO PVC, SERIE NORMAL, ESGOTO PREDIAL, DN 40 MM, FORNECIDO E INSTALADO EM RAMAL DE DESCARGA OU RAMAL DE ESGOTO SANITÁRIO. AF_12/2014</v>
          </cell>
          <cell r="C3378" t="str">
            <v>M</v>
          </cell>
          <cell r="D3378">
            <v>20.05</v>
          </cell>
        </row>
        <row r="3379">
          <cell r="A3379" t="str">
            <v>89712</v>
          </cell>
          <cell r="B3379" t="str">
            <v>TUBO PVC, SERIE NORMAL, ESGOTO PREDIAL, DN 50 MM, FORNECIDO E INSTALADO EM RAMAL DE DESCARGA OU RAMAL DE ESGOTO SANITÁRIO. AF_12/2014</v>
          </cell>
          <cell r="C3379" t="str">
            <v>M</v>
          </cell>
          <cell r="D3379">
            <v>30.88</v>
          </cell>
        </row>
        <row r="3380">
          <cell r="A3380" t="str">
            <v>89713</v>
          </cell>
          <cell r="B3380" t="str">
            <v>TUBO PVC, SERIE NORMAL, ESGOTO PREDIAL, DN 75 MM, FORNECIDO E INSTALADO EM RAMAL DE DESCARGA OU RAMAL DE ESGOTO SANITÁRIO. AF_12/2014</v>
          </cell>
          <cell r="C3380" t="str">
            <v>M</v>
          </cell>
          <cell r="D3380">
            <v>46.73</v>
          </cell>
        </row>
        <row r="3381">
          <cell r="A3381" t="str">
            <v>89714</v>
          </cell>
          <cell r="B3381" t="str">
            <v>TUBO PVC, SERIE NORMAL, ESGOTO PREDIAL, DN 100 MM, FORNECIDO E INSTALADO EM RAMAL DE DESCARGA OU RAMAL DE ESGOTO SANITÁRIO. AF_12/2014</v>
          </cell>
          <cell r="C3381" t="str">
            <v>M</v>
          </cell>
          <cell r="D3381">
            <v>58.78</v>
          </cell>
        </row>
        <row r="3382">
          <cell r="A3382" t="str">
            <v>89716</v>
          </cell>
          <cell r="B3382" t="str">
            <v>TUBO, CPVC, SOLDÁVEL, DN 22MM, INSTALADO EM RAMAL DE DISTRIBUIÇÃO DE ÁGUA - FORNECIMENTO E INSTALAÇÃO. AF_12/2014</v>
          </cell>
          <cell r="C3382" t="str">
            <v>M</v>
          </cell>
          <cell r="D3382">
            <v>27.18</v>
          </cell>
        </row>
        <row r="3383">
          <cell r="A3383" t="str">
            <v>89717</v>
          </cell>
          <cell r="B3383" t="str">
            <v>TUBO, CPVC, SOLDÁVEL, DN 28MM, INSTALADO EM RAMAL DE DISTRIBUIÇÃO DE ÁGUA - FORNECIMENTO E INSTALAÇÃO. AF_12/2014</v>
          </cell>
          <cell r="C3383" t="str">
            <v>M</v>
          </cell>
          <cell r="D3383">
            <v>41.92</v>
          </cell>
        </row>
        <row r="3384">
          <cell r="A3384" t="str">
            <v>89770</v>
          </cell>
          <cell r="B3384" t="str">
            <v>TUBO, CPVC, SOLDÁVEL, DN 35MM, INSTALADO EM PRUMADA DE ÁGUA  FORNECIMENTO E INSTALAÇÃO. AF_12/2014</v>
          </cell>
          <cell r="C3384" t="str">
            <v>M</v>
          </cell>
          <cell r="D3384">
            <v>46.84</v>
          </cell>
        </row>
        <row r="3385">
          <cell r="A3385" t="str">
            <v>89771</v>
          </cell>
          <cell r="B3385" t="str">
            <v>TUBO, CPVC, SOLDÁVEL, DN 42MM, INSTALADO EM PRUMADA DE ÁGUA  FORNECIMENTO E INSTALAÇÃO. AF_12/2014</v>
          </cell>
          <cell r="C3385" t="str">
            <v>M</v>
          </cell>
          <cell r="D3385">
            <v>64.02</v>
          </cell>
        </row>
        <row r="3386">
          <cell r="A3386" t="str">
            <v>89773</v>
          </cell>
          <cell r="B3386" t="str">
            <v>TUBO, CPVC, SOLDÁVEL, DN 73MM, INSTALADO EM PRUMADA DE ÁGUA  FORNECIMENTO E INSTALAÇÃO. AF_12/2014</v>
          </cell>
          <cell r="C3386" t="str">
            <v>M</v>
          </cell>
          <cell r="D3386">
            <v>149.27000000000001</v>
          </cell>
        </row>
        <row r="3387">
          <cell r="A3387" t="str">
            <v>89775</v>
          </cell>
          <cell r="B3387" t="str">
            <v>TUBO, CPVC, SOLDÁVEL, DN 89MM, INSTALADO EM PRUMADA DE ÁGUA  FORNECIMENTO E INSTALAÇÃO. AF_12/2014</v>
          </cell>
          <cell r="C3387" t="str">
            <v>M</v>
          </cell>
          <cell r="D3387">
            <v>235.93</v>
          </cell>
        </row>
        <row r="3388">
          <cell r="A3388" t="str">
            <v>89798</v>
          </cell>
          <cell r="B3388" t="str">
            <v>TUBO PVC, SERIE NORMAL, ESGOTO PREDIAL, DN 50 MM, FORNECIDO E INSTALADO EM PRUMADA DE ESGOTO SANITÁRIO OU VENTILAÇÃO. AF_12/2014</v>
          </cell>
          <cell r="C3388" t="str">
            <v>M</v>
          </cell>
          <cell r="D3388">
            <v>16.399999999999999</v>
          </cell>
        </row>
        <row r="3389">
          <cell r="A3389" t="str">
            <v>89799</v>
          </cell>
          <cell r="B3389" t="str">
            <v>TUBO PVC, SERIE NORMAL, ESGOTO PREDIAL, DN 75 MM, FORNECIDO E INSTALADO EM PRUMADA DE ESGOTO SANITÁRIO OU VENTILAÇÃO. AF_12/2014</v>
          </cell>
          <cell r="C3389" t="str">
            <v>M</v>
          </cell>
          <cell r="D3389">
            <v>25.81</v>
          </cell>
        </row>
        <row r="3390">
          <cell r="A3390" t="str">
            <v>89800</v>
          </cell>
          <cell r="B3390" t="str">
            <v>TUBO PVC, SERIE NORMAL, ESGOTO PREDIAL, DN 100 MM, FORNECIDO E INSTALADO EM PRUMADA DE ESGOTO SANITÁRIO OU VENTILAÇÃO. AF_12/2014</v>
          </cell>
          <cell r="C3390" t="str">
            <v>M</v>
          </cell>
          <cell r="D3390">
            <v>31.1</v>
          </cell>
        </row>
        <row r="3391">
          <cell r="A3391" t="str">
            <v>89848</v>
          </cell>
          <cell r="B3391" t="str">
            <v>TUBO PVC, SERIE NORMAL, ESGOTO PREDIAL, DN 100 MM, FORNECIDO E INSTALADO EM SUBCOLETOR AÉREO DE ESGOTO SANITÁRIO. AF_12/2014</v>
          </cell>
          <cell r="C3391" t="str">
            <v>M</v>
          </cell>
          <cell r="D3391">
            <v>35.869999999999997</v>
          </cell>
        </row>
        <row r="3392">
          <cell r="A3392" t="str">
            <v>89849</v>
          </cell>
          <cell r="B3392" t="str">
            <v>TUBO PVC, SERIE NORMAL, ESGOTO PREDIAL, DN 150 MM, FORNECIDO E INSTALADO EM SUBCOLETOR AÉREO DE ESGOTO SANITÁRIO. AF_12/2014</v>
          </cell>
          <cell r="C3392" t="str">
            <v>M</v>
          </cell>
          <cell r="D3392">
            <v>75.67</v>
          </cell>
        </row>
        <row r="3393">
          <cell r="A3393" t="str">
            <v>89865</v>
          </cell>
          <cell r="B3393" t="str">
            <v>TUBO, PVC, SOLDÁVEL, DN 25MM, INSTALADO EM DRENO DE AR-CONDICIONADO - FORNECIMENTO E INSTALAÇÃO. AF_12/2014</v>
          </cell>
          <cell r="C3393" t="str">
            <v>M</v>
          </cell>
          <cell r="D3393">
            <v>13.63</v>
          </cell>
        </row>
        <row r="3394">
          <cell r="A3394" t="str">
            <v>91784</v>
          </cell>
          <cell r="B3394" t="str">
            <v>(COMPOSIÇÃO REPRESENTATIVA) DO SERVIÇO DE INSTALAÇÃO DE TUBOS DE PVC, SOLDÁVEL, ÁGUA FRIA, DN 20 MM (INSTALADO EM RAMAL, SUB-RAMAL OU RAMAL DE DISTRIBUIÇÃO), INCLUSIVE CONEXÕES, CORTES E FIXAÇÕES, PARA PRÉDIOS. AF_10/2015</v>
          </cell>
          <cell r="C3394" t="str">
            <v>M</v>
          </cell>
          <cell r="D3394">
            <v>41.58</v>
          </cell>
        </row>
        <row r="3395">
          <cell r="A3395" t="str">
            <v>91785</v>
          </cell>
          <cell r="B3395" t="str">
            <v>(COMPOSIÇÃO REPRESENTATIVA) DO SERVIÇO DE INSTALAÇÃO DE TUBOS DE PVC, SOLDÁVEL, ÁGUA FRIA, DN 25 MM (INSTALADO EM RAMAL, SUB-RAMAL, RAMAL DE DISTRIBUIÇÃO OU PRUMADA), INCLUSIVE CONEXÕES, CORTES E FIXAÇÕES, PARA PRÉDIOS. AF_10/2015</v>
          </cell>
          <cell r="C3395" t="str">
            <v>M</v>
          </cell>
          <cell r="D3395">
            <v>41.55</v>
          </cell>
        </row>
        <row r="3396">
          <cell r="A3396" t="str">
            <v>91786</v>
          </cell>
          <cell r="B3396" t="str">
            <v>(COMPOSIÇÃO REPRESENTATIVA) DO SERVIÇO DE INSTALAÇÃO TUBOS DE PVC, SOLDÁVEL, ÁGUA FRIA, DN 32 MM (INSTALADO EM RAMAL, SUB-RAMAL, RAMAL DE DISTRIBUIÇÃO OU PRUMADA), INCLUSIVE CONEXÕES, CORTES E FIXAÇÕES, PARA PRÉDIOS. AF_10/2015</v>
          </cell>
          <cell r="C3396" t="str">
            <v>M</v>
          </cell>
          <cell r="D3396">
            <v>33.71</v>
          </cell>
        </row>
        <row r="3397">
          <cell r="A3397" t="str">
            <v>91787</v>
          </cell>
          <cell r="B3397" t="str">
            <v>(COMPOSIÇÃO REPRESENTATIVA) DO SERVIÇO DE INSTALAÇÃO DE TUBOS DE PVC, SOLDÁVEL, ÁGUA FRIA, DN 40 MM (INSTALADO EM PRUMADA), INCLUSIVE CONEXÕES, CORTES E FIXAÇÕES, PARA PRÉDIOS. AF_10/2015</v>
          </cell>
          <cell r="C3397" t="str">
            <v>M</v>
          </cell>
          <cell r="D3397">
            <v>42.21</v>
          </cell>
        </row>
        <row r="3398">
          <cell r="A3398" t="str">
            <v>91788</v>
          </cell>
          <cell r="B3398" t="str">
            <v>(COMPOSIÇÃO REPRESENTATIVA) DO SERVIÇO DE INSTALAÇÃO DE TUBOS DE PVC, SOLDÁVEL, ÁGUA FRIA, DN 50 MM (INSTALADO EM PRUMADA), INCLUSIVE CONEXÕES, CORTES E FIXAÇÕES, PARA PRÉDIOS. AF_10/2015</v>
          </cell>
          <cell r="C3398" t="str">
            <v>M</v>
          </cell>
          <cell r="D3398">
            <v>52.47</v>
          </cell>
        </row>
        <row r="3399">
          <cell r="A3399" t="str">
            <v>91789</v>
          </cell>
          <cell r="B3399" t="str">
            <v>(COMPOSIÇÃO REPRESENTATIVA) DO SERVIÇO DE INSTALAÇÃO DE TUBOS DE PVC, SÉRIE R, ÁGUA PLUVIAL, DN 75 MM (INSTALADO EM RAMAL DE ENCAMINHAMENTO, OU CONDUTORES VERTICAIS), INCLUSIVE CONEXÕES, CORTE E FIXAÇÕES, PARA PRÉDIOS. AF_10/2015</v>
          </cell>
          <cell r="C3399" t="str">
            <v>M</v>
          </cell>
          <cell r="D3399">
            <v>59.28</v>
          </cell>
        </row>
        <row r="3400">
          <cell r="A3400" t="str">
            <v>91790</v>
          </cell>
          <cell r="B3400" t="str">
            <v>(COMPOSIÇÃO REPRESENTATIVA) DO SERVIÇO DE INSTALAÇÃO DE TUBOS DE PVC, SÉRIE R, ÁGUA PLUVIAL, DN 100 MM (INSTALADO EM RAMAL DE ENCAMINHAMENTO, OU CONDUTORES VERTICAIS), INCLUSIVE CONEXÕES, CORTES E FIXAÇÕES, PARA PRÉDIOS. AF_10/2015</v>
          </cell>
          <cell r="C3400" t="str">
            <v>M</v>
          </cell>
          <cell r="D3400">
            <v>88.5</v>
          </cell>
        </row>
        <row r="3401">
          <cell r="A3401" t="str">
            <v>91791</v>
          </cell>
          <cell r="B3401" t="str">
            <v>(COMPOSIÇÃO REPRESENTATIVA) DO SERVIÇO DE INSTALAÇÃO DE TUBOS DE PVC, SÉRIE R, ÁGUA PLUVIAL, DN 150 MM (INSTALADO EM CONDUTORES VERTICAIS), INCLUSIVE CONEXÕES, CORTES E FIXAÇÕES, PARA PRÉDIOS. AF_10/2015</v>
          </cell>
          <cell r="C3401" t="str">
            <v>M</v>
          </cell>
          <cell r="D3401">
            <v>127.4</v>
          </cell>
        </row>
        <row r="3402">
          <cell r="A3402" t="str">
            <v>91792</v>
          </cell>
          <cell r="B3402" t="str">
            <v>(COMPOSIÇÃO REPRESENTATIVA) DO SERVIÇO DE INSTALAÇÃO DE TUBO DE PVC, SÉRIE NORMAL, ESGOTO PREDIAL, DN 40 MM (INSTALADO EM RAMAL DE DESCARGA OU RAMAL DE ESGOTO SANITÁRIO), INCLUSIVE CONEXÕES, CORTES E FIXAÇÕES, PARA PRÉDIOS. AF_10/2015</v>
          </cell>
          <cell r="C3402" t="str">
            <v>M</v>
          </cell>
          <cell r="D3402">
            <v>56.56</v>
          </cell>
        </row>
        <row r="3403">
          <cell r="A3403" t="str">
            <v>91793</v>
          </cell>
          <cell r="B3403" t="str">
            <v>(COMPOSIÇÃO REPRESENTATIVA) DO SERVIÇO DE INSTALAÇÃO DE TUBO DE PVC, SÉRIE NORMAL, ESGOTO PREDIAL, DN 50 MM (INSTALADO EM RAMAL DE DESCARGA OU RAMAL DE ESGOTO SANITÁRIO), INCLUSIVE CONEXÕES, CORTES E FIXAÇÕES PARA, PRÉDIOS. AF_10/2015</v>
          </cell>
          <cell r="C3403" t="str">
            <v>M</v>
          </cell>
          <cell r="D3403">
            <v>89.14</v>
          </cell>
        </row>
        <row r="3404">
          <cell r="A3404" t="str">
            <v>91794</v>
          </cell>
          <cell r="B3404" t="str">
            <v>(COMPOSIÇÃO REPRESENTATIVA) DO SERVIÇO DE INST. TUBO PVC, SÉRIE N, ESGOTO PREDIAL, DN 75 MM, (INST. EM RAMAL DE DESCARGA, RAMAL DE ESG. SANITÁRIO, PRUMADA DE ESG. SANITÁRIO OU VENTILAÇÃO), INCL. CONEXÕES, CORTES E FIXAÇÕES, P/ PRÉDIOS. AF_10/2015</v>
          </cell>
          <cell r="C3404" t="str">
            <v>M</v>
          </cell>
          <cell r="D3404">
            <v>47.81</v>
          </cell>
        </row>
        <row r="3405">
          <cell r="A3405" t="str">
            <v>91795</v>
          </cell>
          <cell r="B3405" t="str">
            <v>(COMPOSIÇÃO REPRESENTATIVA) DO SERVIÇO DE INST. TUBO PVC, SÉRIE N, ESGOTO PREDIAL, 100 MM (INST. RAMAL DESCARGA, RAMAL DE ESG. SANIT., PRUMADA ESG. SANIT., VENTILAÇÃO OU SUB-COLETOR AÉREO), INCL. CONEXÕES E CORTES, FIXAÇÕES, P/ PRÉDIOS. AF_10/2015</v>
          </cell>
          <cell r="C3405" t="str">
            <v>M</v>
          </cell>
          <cell r="D3405">
            <v>77.400000000000006</v>
          </cell>
        </row>
        <row r="3406">
          <cell r="A3406" t="str">
            <v>91796</v>
          </cell>
          <cell r="B3406" t="str">
            <v>(COMPOSIÇÃO REPRESENTATIVA) DO SERVIÇO DE INSTALAÇÃO DE TUBO DE PVC, SÉRIE NORMAL, ESGOTO PREDIAL, DN 150 MM (INSTALADO EM SUB-COLETOR AÉREO), INCLUSIVE CONEXÕES, CORTES E FIXAÇÕES, PARA PRÉDIOS. AF_10/2015</v>
          </cell>
          <cell r="C3406" t="str">
            <v>M</v>
          </cell>
          <cell r="D3406">
            <v>88.93</v>
          </cell>
        </row>
        <row r="3407">
          <cell r="A3407" t="str">
            <v>92275</v>
          </cell>
          <cell r="B3407" t="str">
            <v>TUBO EM COBRE RÍGIDO, DN 22 MM, CLASSE E, SEM ISOLAMENTO, INSTALADO EM PRUMADA  FORNECIMENTO E INSTALAÇÃO. AF_12/2015</v>
          </cell>
          <cell r="C3407" t="str">
            <v>M</v>
          </cell>
          <cell r="D3407">
            <v>63.87</v>
          </cell>
        </row>
        <row r="3408">
          <cell r="A3408" t="str">
            <v>92276</v>
          </cell>
          <cell r="B3408" t="str">
            <v>TUBO EM COBRE RÍGIDO, DN 28 MM, CLASSE E, SEM ISOLAMENTO, INSTALADO EM PRUMADA  FORNECIMENTO E INSTALAÇÃO. AF_12/2015</v>
          </cell>
          <cell r="C3408" t="str">
            <v>M</v>
          </cell>
          <cell r="D3408">
            <v>80.91</v>
          </cell>
        </row>
        <row r="3409">
          <cell r="A3409" t="str">
            <v>92277</v>
          </cell>
          <cell r="B3409" t="str">
            <v>TUBO EM COBRE RÍGIDO, DN 35 MM, CLASSE E, SEM ISOLAMENTO, INSTALADO EM PRUMADA  FORNECIMENTO E INSTALAÇÃO. AF_12/2015</v>
          </cell>
          <cell r="C3409" t="str">
            <v>M</v>
          </cell>
          <cell r="D3409">
            <v>116.91</v>
          </cell>
        </row>
        <row r="3410">
          <cell r="A3410" t="str">
            <v>92278</v>
          </cell>
          <cell r="B3410" t="str">
            <v>TUBO EM COBRE RÍGIDO, DN 42 MM, CLASSE E, SEM ISOLAMENTO, INSTALADO EM PRUMADA  FORNECIMENTO E INSTALAÇÃO. AF_12/2015</v>
          </cell>
          <cell r="C3410" t="str">
            <v>M</v>
          </cell>
          <cell r="D3410">
            <v>157.37</v>
          </cell>
        </row>
        <row r="3411">
          <cell r="A3411" t="str">
            <v>92279</v>
          </cell>
          <cell r="B3411" t="str">
            <v>TUBO EM COBRE RÍGIDO, DN 54 MM, CLASSE E, SEM ISOLAMENTO, INSTALADO EM PRUMADA  FORNECIMENTO E INSTALAÇÃO. AF_12/2015</v>
          </cell>
          <cell r="C3411" t="str">
            <v>M</v>
          </cell>
          <cell r="D3411">
            <v>227.59</v>
          </cell>
        </row>
        <row r="3412">
          <cell r="A3412" t="str">
            <v>92280</v>
          </cell>
          <cell r="B3412" t="str">
            <v>TUBO EM COBRE RÍGIDO, DN 66 MM, CLASSE E, SEM ISOLAMENTO, INSTALADO EM PRUMADA  FORNECIMENTO E INSTALAÇÃO. AF_12/2015</v>
          </cell>
          <cell r="C3412" t="str">
            <v>M</v>
          </cell>
          <cell r="D3412">
            <v>319.79000000000002</v>
          </cell>
        </row>
        <row r="3413">
          <cell r="A3413" t="str">
            <v>92281</v>
          </cell>
          <cell r="B3413" t="str">
            <v>TUBO EM COBRE RÍGIDO, DN 22 MM, CLASSE E, COM ISOLAMENTO, INSTALADO EM PRUMADA  FORNECIMENTO E INSTALAÇÃO. AF_12/2015</v>
          </cell>
          <cell r="C3413" t="str">
            <v>M</v>
          </cell>
          <cell r="D3413">
            <v>141.84</v>
          </cell>
        </row>
        <row r="3414">
          <cell r="A3414" t="str">
            <v>92282</v>
          </cell>
          <cell r="B3414" t="str">
            <v>TUBO EM COBRE RÍGIDO, DN 28 MM, CLASSE E, COM ISOLAMENTO, INSTALADO EM PRUMADA  FORNECIMENTO E INSTALAÇÃO. AF_12/2015</v>
          </cell>
          <cell r="C3414" t="str">
            <v>M</v>
          </cell>
          <cell r="D3414">
            <v>162.02000000000001</v>
          </cell>
        </row>
        <row r="3415">
          <cell r="A3415" t="str">
            <v>92283</v>
          </cell>
          <cell r="B3415" t="str">
            <v>TUBO EM COBRE RÍGIDO, DN 35 MM, CLASSE E, COM ISOLAMENTO, INSTALADO EM PRUMADA  FORNECIMENTO E INSTALAÇÃO. AF_12/2015</v>
          </cell>
          <cell r="C3415" t="str">
            <v>M</v>
          </cell>
          <cell r="D3415">
            <v>219.47</v>
          </cell>
        </row>
        <row r="3416">
          <cell r="A3416" t="str">
            <v>92284</v>
          </cell>
          <cell r="B3416" t="str">
            <v>TUBO EM COBRE RÍGIDO, DN 42 MM, CLASSE E, COM ISOLAMENTO, INSTALADO EM PRUMADA  FORNECIMENTO E INSTALAÇÃO. AF_12/2015</v>
          </cell>
          <cell r="C3416" t="str">
            <v>M</v>
          </cell>
          <cell r="D3416">
            <v>274.35000000000002</v>
          </cell>
        </row>
        <row r="3417">
          <cell r="A3417" t="str">
            <v>92285</v>
          </cell>
          <cell r="B3417" t="str">
            <v>TUBO EM COBRE RÍGIDO, DN 54 MM, CLASSE E, COM ISOLAMENTO, INSTALADO EM PRUMADA  FORNECIMENTO E INSTALAÇÃO. AF_12/2015</v>
          </cell>
          <cell r="C3417" t="str">
            <v>M</v>
          </cell>
          <cell r="D3417">
            <v>367.37</v>
          </cell>
        </row>
        <row r="3418">
          <cell r="A3418" t="str">
            <v>92286</v>
          </cell>
          <cell r="B3418" t="str">
            <v>TUBO EM COBRE RÍGIDO, DN 66 MM, CLASSE E, COM ISOLAMENTO, INSTALADO EM PRUMADA  FORNECIMENTO E INSTALAÇÃO. AF_12/2015</v>
          </cell>
          <cell r="C3418" t="str">
            <v>M</v>
          </cell>
          <cell r="D3418">
            <v>461.54</v>
          </cell>
        </row>
        <row r="3419">
          <cell r="A3419" t="str">
            <v>92305</v>
          </cell>
          <cell r="B3419" t="str">
            <v>TUBO EM COBRE RÍGIDO, DN 15 MM, CLASSE E, SEM ISOLAMENTO, INSTALADO EM RAMAL DE DISTRIBUIÇÃO  FORNECIMENTO E INSTALAÇÃO. AF_12/2015</v>
          </cell>
          <cell r="C3419" t="str">
            <v>M</v>
          </cell>
          <cell r="D3419">
            <v>40.94</v>
          </cell>
        </row>
        <row r="3420">
          <cell r="A3420" t="str">
            <v>92306</v>
          </cell>
          <cell r="B3420" t="str">
            <v>TUBO EM COBRE RÍGIDO, DN 22 MM, CLASSE E, SEM ISOLAMENTO, INSTALADO EM RAMAL DE DISTRIBUIÇÃO  FORNECIMENTO E INSTALAÇÃO. AF_12/2015</v>
          </cell>
          <cell r="C3420" t="str">
            <v>M</v>
          </cell>
          <cell r="D3420">
            <v>67.66</v>
          </cell>
        </row>
        <row r="3421">
          <cell r="A3421" t="str">
            <v>92307</v>
          </cell>
          <cell r="B3421" t="str">
            <v>TUBO EM COBRE RÍGIDO, DN 28 MM, CLASSE E, SEM ISOLAMENTO, INSTALADO EM RAMAL DE DISTRIBUIÇÃO  FORNECIMENTO E INSTALAÇÃO. AF_12/2015</v>
          </cell>
          <cell r="C3421" t="str">
            <v>M</v>
          </cell>
          <cell r="D3421">
            <v>84.99</v>
          </cell>
        </row>
        <row r="3422">
          <cell r="A3422" t="str">
            <v>92308</v>
          </cell>
          <cell r="B3422" t="str">
            <v>TUBO EM COBRE RÍGIDO, DN 15 MM, CLASSE E, COM ISOLAMENTO, INSTALADO EM RAMAL DE DISTRIBUIÇÃO  FORNECIMENTO E INSTALAÇÃO. AF_12/2015</v>
          </cell>
          <cell r="C3422" t="str">
            <v>M</v>
          </cell>
          <cell r="D3422">
            <v>59.29</v>
          </cell>
        </row>
        <row r="3423">
          <cell r="A3423" t="str">
            <v>92309</v>
          </cell>
          <cell r="B3423" t="str">
            <v>TUBO EM COBRE RÍGIDO, DN 22 MM, CLASSE E, COM ISOLAMENTO, INSTALADO EM RAMAL DE DISTRIBUIÇÃO  FORNECIMENTO E INSTALAÇÃO. AF_12/2015</v>
          </cell>
          <cell r="C3423" t="str">
            <v>M</v>
          </cell>
          <cell r="D3423">
            <v>147.55000000000001</v>
          </cell>
        </row>
        <row r="3424">
          <cell r="A3424" t="str">
            <v>92310</v>
          </cell>
          <cell r="B3424" t="str">
            <v>TUBO EM COBRE RÍGIDO, DN 28 MM, CLASSE E, COM ISOLAMENTO, INSTALADO EM RAMAL DE DISTRIBUIÇÃO  FORNECIMENTO E INSTALAÇÃO. AF_12/2015</v>
          </cell>
          <cell r="C3424" t="str">
            <v>M</v>
          </cell>
          <cell r="D3424">
            <v>168.05</v>
          </cell>
        </row>
        <row r="3425">
          <cell r="A3425" t="str">
            <v>92320</v>
          </cell>
          <cell r="B3425" t="str">
            <v>TUBO EM COBRE RÍGIDO, DN 15 MM, CLASSE E, SEM ISOLAMENTO, INSTALADO EM RAMAL E SUB-RAMAL  FORNECIMENTO E INSTALAÇÃO. AF_12/2015</v>
          </cell>
          <cell r="C3425" t="str">
            <v>M</v>
          </cell>
          <cell r="D3425">
            <v>49.28</v>
          </cell>
        </row>
        <row r="3426">
          <cell r="A3426" t="str">
            <v>92321</v>
          </cell>
          <cell r="B3426" t="str">
            <v>TUBO EM COBRE RÍGIDO, DN 22 MM, CLASSE E, SEM ISOLAMENTO, INSTALADO EM RAMAL E SUB-RAMAL  FORNECIMENTO E INSTALAÇÃO. AF_12/2015</v>
          </cell>
          <cell r="C3426" t="str">
            <v>M</v>
          </cell>
          <cell r="D3426">
            <v>81.98</v>
          </cell>
        </row>
        <row r="3427">
          <cell r="A3427" t="str">
            <v>92322</v>
          </cell>
          <cell r="B3427" t="str">
            <v>TUBO EM COBRE RÍGIDO, DN 28 MM, CLASSE E, SEM ISOLAMENTO, INSTALADO EM RAMAL E SUB-RAMAL  FORNECIMENTO E INSTALAÇÃO. AF_12/2015</v>
          </cell>
          <cell r="C3427" t="str">
            <v>M</v>
          </cell>
          <cell r="D3427">
            <v>104.5</v>
          </cell>
        </row>
        <row r="3428">
          <cell r="A3428" t="str">
            <v>92323</v>
          </cell>
          <cell r="B3428" t="str">
            <v>TUBO EM COBRE RÍGIDO, DN 15 MM, CLASSE E, COM ISOLAMENTO, INSTALADO EM RAMAL E SUB-RAMAL  FORNECIMENTO E INSTALAÇÃO. AF_12/2015</v>
          </cell>
          <cell r="C3428" t="str">
            <v>M</v>
          </cell>
          <cell r="D3428">
            <v>65.63</v>
          </cell>
        </row>
        <row r="3429">
          <cell r="A3429" t="str">
            <v>92324</v>
          </cell>
          <cell r="B3429" t="str">
            <v>TUBO EM COBRE RÍGIDO, DN 22 MM, CLASSE E, COM ISOLAMENTO, INSTALADO EM RAMAL E SUB-RAMAL  FORNECIMENTO E INSTALAÇÃO. AF_12/2015</v>
          </cell>
          <cell r="C3429" t="str">
            <v>M</v>
          </cell>
          <cell r="D3429">
            <v>159.88</v>
          </cell>
        </row>
        <row r="3430">
          <cell r="A3430" t="str">
            <v>92325</v>
          </cell>
          <cell r="B3430" t="str">
            <v>TUBO EM COBRE RÍGIDO, DN 28 MM, CLASSE E, COM ISOLAMENTO, INSTALADO EM RAMAL E SUB-RAMAL  FORNECIMENTO E INSTALAÇÃO. AF_12/2015</v>
          </cell>
          <cell r="C3430" t="str">
            <v>M</v>
          </cell>
          <cell r="D3430">
            <v>185.54</v>
          </cell>
        </row>
        <row r="3431">
          <cell r="A3431" t="str">
            <v>92335</v>
          </cell>
          <cell r="B3431" t="str">
            <v>TUBO DE AÇO GALVANIZADO COM COSTURA, CLASSE MÉDIA, CONEXÃO RANHURADA, DN 50 (2"), INSTALADO EM PRUMADAS - FORNECIMENTO E INSTALAÇÃO. AF_10/2020</v>
          </cell>
          <cell r="C3431" t="str">
            <v>M</v>
          </cell>
          <cell r="D3431">
            <v>125.15</v>
          </cell>
        </row>
        <row r="3432">
          <cell r="A3432" t="str">
            <v>92336</v>
          </cell>
          <cell r="B3432" t="str">
            <v>TUBO DE AÇO GALVANIZADO COM COSTURA, CLASSE MÉDIA, CONEXÃO RANHURADA, DN 65 (2 1/2"), INSTALADO EM PRUMADAS - FORNECIMENTO E INSTALAÇÃO. AF_10/2020</v>
          </cell>
          <cell r="C3432" t="str">
            <v>M</v>
          </cell>
          <cell r="D3432">
            <v>154.38</v>
          </cell>
        </row>
        <row r="3433">
          <cell r="A3433" t="str">
            <v>92337</v>
          </cell>
          <cell r="B3433" t="str">
            <v>TUBO DE AÇO GALVANIZADO COM COSTURA, CLASSE MÉDIA, CONEXÃO RANHURADA, DN 80 (3"), INSTALADO EM PRUMADAS - FORNECIMENTO E INSTALAÇÃO. AF_10/2020</v>
          </cell>
          <cell r="C3433" t="str">
            <v>M</v>
          </cell>
          <cell r="D3433">
            <v>205.18</v>
          </cell>
        </row>
        <row r="3434">
          <cell r="A3434" t="str">
            <v>92338</v>
          </cell>
          <cell r="B3434" t="str">
            <v>TUBO DE AÇO PRETO SEM COSTURA, CONEXÃO SOLDADA, DN 50 (2"), INSTALADO EM PRUMADAS - FORNECIMENTO E INSTALAÇÃO. AF_10/2020</v>
          </cell>
          <cell r="C3434" t="str">
            <v>M</v>
          </cell>
          <cell r="D3434">
            <v>175.66</v>
          </cell>
        </row>
        <row r="3435">
          <cell r="A3435" t="str">
            <v>92339</v>
          </cell>
          <cell r="B3435" t="str">
            <v>TUBO DE AÇO PRETO SEM COSTURA, CONEXÃO SOLDADA, DN 65 (2 1/2"), INSTALADO EM PRUMADAS - FORNECIMENTO E INSTALAÇÃO. AF_10/2020</v>
          </cell>
          <cell r="C3435" t="str">
            <v>M</v>
          </cell>
          <cell r="D3435">
            <v>271.51</v>
          </cell>
        </row>
        <row r="3436">
          <cell r="A3436" t="str">
            <v>92341</v>
          </cell>
          <cell r="B3436" t="str">
            <v>TUBO DE AÇO GALVANIZADO COM COSTURA, CLASSE MÉDIA, DN 50 (2"), CONEXÃO ROSQUEADA, INSTALADO EM PRUMADAS - FORNECIMENTO E INSTALAÇÃO. AF_10/2020</v>
          </cell>
          <cell r="C3436" t="str">
            <v>M</v>
          </cell>
          <cell r="D3436">
            <v>133.44999999999999</v>
          </cell>
        </row>
        <row r="3437">
          <cell r="A3437" t="str">
            <v>92342</v>
          </cell>
          <cell r="B3437" t="str">
            <v>TUBO DE AÇO GALVANIZADO COM COSTURA, CLASSE MÉDIA, DN 65 (2 1/2"), CONEXÃO ROSQUEADA, INSTALADO EM PRUMADAS - FORNECIMENTO E INSTALAÇÃO. AF_10/2020</v>
          </cell>
          <cell r="C3437" t="str">
            <v>M</v>
          </cell>
          <cell r="D3437">
            <v>162.74</v>
          </cell>
        </row>
        <row r="3438">
          <cell r="A3438" t="str">
            <v>92343</v>
          </cell>
          <cell r="B3438" t="str">
            <v>TUBO DE AÇO GALVANIZADO COM COSTURA, CLASSE MÉDIA, DN 80 (3"), CONEXÃO ROSQUEADA, INSTALADO EM PRUMADAS - FORNECIMENTO E INSTALAÇÃO. AF_10/2020</v>
          </cell>
          <cell r="C3438" t="str">
            <v>M</v>
          </cell>
          <cell r="D3438">
            <v>213.64</v>
          </cell>
        </row>
        <row r="3439">
          <cell r="A3439" t="str">
            <v>92359</v>
          </cell>
          <cell r="B3439" t="str">
            <v>TUBO DE AÇO PRETO SEM COSTURA, CONEXÃO SOLDADA, DN 25 (1"), INSTALADO EM REDE DE ALIMENTAÇÃO PARA HIDRANTE - FORNECIMENTO E INSTALAÇÃO. AF_10/2020</v>
          </cell>
          <cell r="C3439" t="str">
            <v>M</v>
          </cell>
          <cell r="D3439">
            <v>87.11</v>
          </cell>
        </row>
        <row r="3440">
          <cell r="A3440" t="str">
            <v>92360</v>
          </cell>
          <cell r="B3440" t="str">
            <v>TUBO DE AÇO PRETO SEM COSTURA, CONEXÃO SOLDADA, DN 32 (1 1/4"), INSTALADO EM REDE DE ALIMENTAÇÃO PARA HIDRANTE - FORNECIMENTO E INSTALAÇÃO. AF_10/2020</v>
          </cell>
          <cell r="C3440" t="str">
            <v>M</v>
          </cell>
          <cell r="D3440">
            <v>116.55</v>
          </cell>
        </row>
        <row r="3441">
          <cell r="A3441" t="str">
            <v>92361</v>
          </cell>
          <cell r="B3441" t="str">
            <v>TUBO DE AÇO PRETO SEM COSTURA, CONEXÃO SOLDADA, DN 50 (2"), INSTALADO EM REDE DE ALIMENTAÇÃO PARA HIDRANTE - FORNECIMENTO E INSTALAÇÃO. AF_10/2020</v>
          </cell>
          <cell r="C3441" t="str">
            <v>M</v>
          </cell>
          <cell r="D3441">
            <v>156.83000000000001</v>
          </cell>
        </row>
        <row r="3442">
          <cell r="A3442" t="str">
            <v>92362</v>
          </cell>
          <cell r="B3442" t="str">
            <v>TUBO DE AÇO PRETO SEM COSTURA, CONEXÃO SOLDADA, DN 65 (2 1/2"), INSTALADO EM REDE DE ALIMENTAÇÃO PARA HIDRANTE - FORNECIMENTO E INSTALAÇÃO. AF_10/2020</v>
          </cell>
          <cell r="C3442" t="str">
            <v>M</v>
          </cell>
          <cell r="D3442">
            <v>251.93</v>
          </cell>
        </row>
        <row r="3443">
          <cell r="A3443" t="str">
            <v>92364</v>
          </cell>
          <cell r="B3443" t="str">
            <v>TUBO DE AÇO GALVANIZADO COM COSTURA, CLASSE MÉDIA, DN 32 (1 1/4"), CONEXÃO ROSQUEADA, INSTALADO EM REDE DE ALIMENTAÇÃO PARA HIDRANTE - FORNECIMENTO E INSTALAÇÃO. AF_10/2020</v>
          </cell>
          <cell r="C3443" t="str">
            <v>M</v>
          </cell>
          <cell r="D3443">
            <v>75.45</v>
          </cell>
        </row>
        <row r="3444">
          <cell r="A3444" t="str">
            <v>92365</v>
          </cell>
          <cell r="B3444" t="str">
            <v>TUBO DE AÇO GALVANIZADO COM COSTURA, CLASSE MÉDIA, DN 40 (1 1/2"), CONEXÃO ROSQUEADA, INSTALADO EM REDE DE ALIMENTAÇÃO PARA HIDRANTE - FORNECIMENTO E INSTALAÇÃO. AF_10/2020</v>
          </cell>
          <cell r="C3444" t="str">
            <v>M</v>
          </cell>
          <cell r="D3444">
            <v>87.16</v>
          </cell>
        </row>
        <row r="3445">
          <cell r="A3445" t="str">
            <v>92366</v>
          </cell>
          <cell r="B3445" t="str">
            <v>TUBO DE AÇO GALVANIZADO COM COSTURA, CLASSE MÉDIA, DN 50 (2"), CONEXÃO ROSQUEADA, INSTALADO EM REDE DE ALIMENTAÇÃO PARA HIDRANTE - FORNECIMENTO E INSTALAÇÃO. AF_10/2020</v>
          </cell>
          <cell r="C3445" t="str">
            <v>M</v>
          </cell>
          <cell r="D3445">
            <v>123.16</v>
          </cell>
        </row>
        <row r="3446">
          <cell r="A3446" t="str">
            <v>92367</v>
          </cell>
          <cell r="B3446" t="str">
            <v>TUBO DE AÇO GALVANIZADO COM COSTURA, CLASSE MÉDIA, DN 65 (2 1/2"), CONEXÃO ROSQUEADA, INSTALADO EM REDE DE ALIMENTAÇÃO PARA HIDRANTE - FORNECIMENTO E INSTALAÇÃO. AF_10/2020</v>
          </cell>
          <cell r="C3446" t="str">
            <v>M</v>
          </cell>
          <cell r="D3446">
            <v>151.99</v>
          </cell>
        </row>
        <row r="3447">
          <cell r="A3447" t="str">
            <v>92368</v>
          </cell>
          <cell r="B3447" t="str">
            <v>TUBO DE AÇO GALVANIZADO COM COSTURA, CLASSE MÉDIA, DN 80 (3"), CONEXÃO ROSQUEADA, INSTALADO EM REDE DE ALIMENTAÇÃO PARA HIDRANTE - FORNECIMENTO E INSTALAÇÃO. AF_10/2020</v>
          </cell>
          <cell r="C3447" t="str">
            <v>M</v>
          </cell>
          <cell r="D3447">
            <v>202.44</v>
          </cell>
        </row>
        <row r="3448">
          <cell r="A3448" t="str">
            <v>92645</v>
          </cell>
          <cell r="B3448" t="str">
            <v>TUBO DE AÇO PRETO SEM COSTURA, CONEXÃO SOLDADA, DN 25 (1"), INSTALADO EM REDE DE ALIMENTAÇÃO PARA SPRINKLER - FORNECIMENTO E INSTALAÇÃO. AF_10/2020</v>
          </cell>
          <cell r="C3448" t="str">
            <v>M</v>
          </cell>
          <cell r="D3448">
            <v>90.5</v>
          </cell>
        </row>
        <row r="3449">
          <cell r="A3449" t="str">
            <v>92646</v>
          </cell>
          <cell r="B3449" t="str">
            <v>TUBO DE AÇO PRETO SEM COSTURA, CONEXÃO SOLDADA, DN 32 (1 1/4"), INSTALADO EM REDE DE ALIMENTAÇÃO PARA SPRINKLER - FORNECIMENTO E INSTALAÇÃO. AF_10/2020</v>
          </cell>
          <cell r="C3449" t="str">
            <v>M</v>
          </cell>
          <cell r="D3449">
            <v>119.93</v>
          </cell>
        </row>
        <row r="3450">
          <cell r="A3450" t="str">
            <v>92648</v>
          </cell>
          <cell r="B3450" t="str">
            <v>TUBO DE AÇO PRETO SEM COSTURA, CONEXÃO SOLDADA, DN 40 (1 1/2"), INSTALADO EM REDE DE ALIMENTAÇÃO PARA SPRINKLER - FORNECIMENTO E INSTALAÇÃO. AF_10/2020</v>
          </cell>
          <cell r="C3450" t="str">
            <v>M</v>
          </cell>
          <cell r="D3450">
            <v>131.09</v>
          </cell>
        </row>
        <row r="3451">
          <cell r="A3451" t="str">
            <v>92649</v>
          </cell>
          <cell r="B3451" t="str">
            <v>TUBO DE AÇO PRETO SEM COSTURA, CONEXÃO SOLDADA, DN 50 (2"), INSTALADO EM REDE DE ALIMENTAÇÃO PARA SPRINKLER - FORNECIMENTO E INSTALAÇÃO. AF_10/2020</v>
          </cell>
          <cell r="C3451" t="str">
            <v>M</v>
          </cell>
          <cell r="D3451">
            <v>160.22</v>
          </cell>
        </row>
        <row r="3452">
          <cell r="A3452" t="str">
            <v>92650</v>
          </cell>
          <cell r="B3452" t="str">
            <v>TUBO DE AÇO PRETO SEM COSTURA, CONEXÃO SOLDADA, DN 65 (2 1/2"), INSTALADO EM REDE DE ALIMENTAÇÃO PARA SPRINKLER - FORNECIMENTO E INSTALAÇÃO. AF_10/2020</v>
          </cell>
          <cell r="C3452" t="str">
            <v>M</v>
          </cell>
          <cell r="D3452">
            <v>255.31</v>
          </cell>
        </row>
        <row r="3453">
          <cell r="A3453" t="str">
            <v>92652</v>
          </cell>
          <cell r="B3453" t="str">
            <v>TUBO DE AÇO GALVANIZADO COM COSTURA, CLASSE MÉDIA, CONEXÃO ROSQUEADA, DN 32 (1 1/4"), INSTALADO EM REDE DE ALIMENTAÇÃO PARA SPRINKLER - FORNECIMENTO E INSTALAÇÃO. AF_10/2020</v>
          </cell>
          <cell r="C3453" t="str">
            <v>M</v>
          </cell>
          <cell r="D3453">
            <v>79.25</v>
          </cell>
        </row>
        <row r="3454">
          <cell r="A3454" t="str">
            <v>92653</v>
          </cell>
          <cell r="B3454" t="str">
            <v>TUBO DE AÇO GALVANIZADO COM COSTURA, CLASSE MÉDIA, CONEXÃO ROSQUEADA, DN 40 (1 1/2"), INSTALADO EM REDE DE ALIMENTAÇÃO PARA SPRINKLER - FORNECIMENTO E INSTALAÇÃO. AF_10/2020</v>
          </cell>
          <cell r="C3454" t="str">
            <v>M</v>
          </cell>
          <cell r="D3454">
            <v>90.99</v>
          </cell>
        </row>
        <row r="3455">
          <cell r="A3455" t="str">
            <v>92654</v>
          </cell>
          <cell r="B3455" t="str">
            <v>TUBO DE AÇO GALVANIZADO COM COSTURA, CLASSE MÉDIA, CONEXÃO ROSQUEADA, DN 50 (2"), INSTALADO EM REDE DE ALIMENTAÇÃO PARA SPRINKLER - FORNECIMENTO E INSTALAÇÃO. AF_10/2020</v>
          </cell>
          <cell r="C3455" t="str">
            <v>M</v>
          </cell>
          <cell r="D3455">
            <v>127</v>
          </cell>
        </row>
        <row r="3456">
          <cell r="A3456" t="str">
            <v>92655</v>
          </cell>
          <cell r="B3456" t="str">
            <v>TUBO DE AÇO GALVANIZADO COM COSTURA, CLASSE MÉDIA, CONEXÃO ROSQUEADA, DN 65 (2 1/2"), INSTALADO EM REDE DE ALIMENTAÇÃO PARA SPRINKLER - FORNECIMENTO E INSTALAÇÃO. AF_10/2020</v>
          </cell>
          <cell r="C3456" t="str">
            <v>M</v>
          </cell>
          <cell r="D3456">
            <v>155.9</v>
          </cell>
        </row>
        <row r="3457">
          <cell r="A3457" t="str">
            <v>92656</v>
          </cell>
          <cell r="B3457" t="str">
            <v>TUBO DE AÇO GALVANIZADO COM COSTURA, CLASSE MÉDIA, CONEXÃO ROSQUEADA, DN 80 (3"), INSTALADO EM REDE DE ALIMENTAÇÃO PARA SPRINKLER - FORNECIMENTO E INSTALAÇÃO. AF_10/2020</v>
          </cell>
          <cell r="C3457" t="str">
            <v>M</v>
          </cell>
          <cell r="D3457">
            <v>206.35</v>
          </cell>
        </row>
        <row r="3458">
          <cell r="A3458" t="str">
            <v>92687</v>
          </cell>
          <cell r="B3458" t="str">
            <v>TUBO DE AÇO GALVANIZADO COM COSTURA, CLASSE MÉDIA, CONEXÃO ROSQUEADA, DN 15 (1/2"), INSTALADO EM RAMAIS E SUB-RAMAIS DE GÁS - FORNECIMENTO E INSTALAÇÃO. AF_10/2020</v>
          </cell>
          <cell r="C3458" t="str">
            <v>M</v>
          </cell>
          <cell r="D3458">
            <v>35.700000000000003</v>
          </cell>
        </row>
        <row r="3459">
          <cell r="A3459" t="str">
            <v>92688</v>
          </cell>
          <cell r="B3459" t="str">
            <v>TUBO DE AÇO GALVANIZADO COM COSTURA, CLASSE MÉDIA, CONEXÃO ROSQUEADA, DN 20 (3/4"), INSTALADO EM RAMAIS E SUB-RAMAIS DE GÁS - FORNECIMENTO E INSTALAÇÃO. AF_10/2020</v>
          </cell>
          <cell r="C3459" t="str">
            <v>M</v>
          </cell>
          <cell r="D3459">
            <v>48.22</v>
          </cell>
        </row>
        <row r="3460">
          <cell r="A3460" t="str">
            <v>92689</v>
          </cell>
          <cell r="B3460" t="str">
            <v>TUBO DE AÇO PRETO SEM COSTURA, CLASSE MÉDIA, CONEXÃO SOLDADA, DN 15 (1/2"), INSTALADO EM RAMAIS E SUB-RAMAIS DE GÁS - FORNECIMENTO E INSTALAÇÃO. AF_10/2020</v>
          </cell>
          <cell r="C3460" t="str">
            <v>M</v>
          </cell>
          <cell r="D3460">
            <v>62.25</v>
          </cell>
        </row>
        <row r="3461">
          <cell r="A3461" t="str">
            <v>92690</v>
          </cell>
          <cell r="B3461" t="str">
            <v>TUBO DE AÇO PRETO SEM COSTURA, CLASSE MÉDIA, CONEXÃO SOLDADA, DN 20 (3/4"), INSTALADO EM RAMAIS E SUB-RAMAIS DE GÁS - FORNECIMENTO E INSTALAÇÃO. AF_10/2020</v>
          </cell>
          <cell r="C3461" t="str">
            <v>M</v>
          </cell>
          <cell r="D3461">
            <v>87.67</v>
          </cell>
        </row>
        <row r="3462">
          <cell r="A3462" t="str">
            <v>92691</v>
          </cell>
          <cell r="B3462" t="str">
            <v>TUBO DE AÇO PRETO SEM COSTURA, CLASSE MÉDIA, CONEXÃO SOLDADA, DN 25 (1"), INSTALADO EM RAMAIS  E SUB-RAMAIS DE GÁS - FORNECIMENTO E INSTALAÇÃO. AF_10/2020</v>
          </cell>
          <cell r="C3462" t="str">
            <v>M</v>
          </cell>
          <cell r="D3462">
            <v>109.6</v>
          </cell>
        </row>
        <row r="3463">
          <cell r="A3463" t="str">
            <v>94462</v>
          </cell>
          <cell r="B3463" t="str">
            <v>TUBO DE AÇO GALVANIZADO COM COSTURA, CLASSE MÉDIA, DN 50 (2), CONEXÃO ROSQUEADA, INSTALADO EM RESERVAÇÃO DE ÁGUA DE EDIFICAÇÃO QUE POSSUA RESERVATÓRIO DE FIBRA/FIBROCIMENTO  FORNECIMENTO E INSTALAÇÃO. AF_06/2016</v>
          </cell>
          <cell r="C3463" t="str">
            <v>M</v>
          </cell>
          <cell r="D3463">
            <v>128.51</v>
          </cell>
        </row>
        <row r="3464">
          <cell r="A3464" t="str">
            <v>94463</v>
          </cell>
          <cell r="B3464" t="str">
            <v>TUBO DE AÇO GALVANIZADO COM COSTURA, CLASSE MÉDIA, DN 65 (2 1/2), CONEXÃO ROSQUEADA, INSTALADO EM RESERVAÇÃO DE ÁGUA DE EDIFICAÇÃO QUE POSSUA RESERVATÓRIO DE FIBRA/FIBROCIMENTO  FORNECIMENTO E INSTALAÇÃO. AF_06/2016</v>
          </cell>
          <cell r="C3464" t="str">
            <v>M</v>
          </cell>
          <cell r="D3464">
            <v>154</v>
          </cell>
        </row>
        <row r="3465">
          <cell r="A3465" t="str">
            <v>94464</v>
          </cell>
          <cell r="B3465" t="str">
            <v>TUBO DE AÇO GALVANIZADO COM COSTURA, CLASSE MÉDIA, DN 80 (3), CONEXÃO ROSQUEADA, INSTALADO EM RESERVAÇÃO DE ÁGUA DE EDIFICAÇÃO QUE POSSUA RESERVATÓRIO DE FIBRA/FIBROCIMENTO  FORNECIMENTO E INSTALAÇÃO. AF_06/2016</v>
          </cell>
          <cell r="C3465" t="str">
            <v>M</v>
          </cell>
          <cell r="D3465">
            <v>220.01</v>
          </cell>
        </row>
        <row r="3466">
          <cell r="A3466" t="str">
            <v>94602</v>
          </cell>
          <cell r="B3466" t="str">
            <v>TUBO EM COBRE RÍGIDO, DN 54 MM, CLASSE E, SEM ISOLAMENTO, INSTALADO EM RESERVAÇÃO DE ÁGUA DE EDIFICAÇÃO QUE POSSUA RESERVATÓRIO DE FIBRA/FIBROCIMENTO  FORNECIMENTO E INSTALAÇÃO. AF_06/2016</v>
          </cell>
          <cell r="C3466" t="str">
            <v>M</v>
          </cell>
          <cell r="D3466">
            <v>235.45</v>
          </cell>
        </row>
        <row r="3467">
          <cell r="A3467" t="str">
            <v>94603</v>
          </cell>
          <cell r="B3467" t="str">
            <v>TUBO EM COBRE RÍGIDO, DN 66 MM, CLASSE E, SEM ISOLAMENTO, INSTALADO EM RESERVAÇÃO DE ÁGUA DE EDIFICAÇÃO QUE POSSUA RESERVATÓRIO DE FIBRA/FIBROCIMENTO  FORNECIMENTO E INSTALAÇÃO. AF_06/2016</v>
          </cell>
          <cell r="C3467" t="str">
            <v>M</v>
          </cell>
          <cell r="D3467">
            <v>320.8</v>
          </cell>
        </row>
        <row r="3468">
          <cell r="A3468" t="str">
            <v>94604</v>
          </cell>
          <cell r="B3468" t="str">
            <v>TUBO EM COBRE RÍGIDO, DN 79 MM, CLASSE E, SEM ISOLAMENTO, INSTALADO EM RESERVAÇÃO DE ÁGUA DE EDIFICAÇÃO QUE POSSUA RESERVATÓRIO DE FIBRA/FIBROCIMENTO  FORNECIMENTO E INSTALAÇÃO. AF_06/2016</v>
          </cell>
          <cell r="C3468" t="str">
            <v>M</v>
          </cell>
          <cell r="D3468">
            <v>441.85</v>
          </cell>
        </row>
        <row r="3469">
          <cell r="A3469" t="str">
            <v>94605</v>
          </cell>
          <cell r="B3469" t="str">
            <v>TUBO EM COBRE RÍGIDO, DN 104 MM, CLASSE E, SEM ISOLAMENTO, INSTALADO EM RESERVAÇÃO DE ÁGUA DE EDIFICAÇÃO QUE POSSUA RESERVATÓRIO DE FIBRA/FIBROCIMENTO  FORNECIMENTO E INSTALAÇÃO. AF_06/2016</v>
          </cell>
          <cell r="C3469" t="str">
            <v>M</v>
          </cell>
          <cell r="D3469">
            <v>637.75</v>
          </cell>
        </row>
        <row r="3470">
          <cell r="A3470" t="str">
            <v>94648</v>
          </cell>
          <cell r="B3470" t="str">
            <v>TUBO, PVC, SOLDÁVEL, DN  25 MM, INSTALADO EM RESERVAÇÃO DE ÁGUA DE EDIFICAÇÃO QUE POSSUA RESERVATÓRIO DE FIBRA/FIBROCIMENTO   FORNECIMENTO E INSTALAÇÃO. AF_06/2016</v>
          </cell>
          <cell r="C3470" t="str">
            <v>M</v>
          </cell>
          <cell r="D3470">
            <v>11.23</v>
          </cell>
        </row>
        <row r="3471">
          <cell r="A3471" t="str">
            <v>94649</v>
          </cell>
          <cell r="B3471" t="str">
            <v>TUBO, PVC, SOLDÁVEL, DN 32 MM, INSTALADO EM RESERVAÇÃO DE ÁGUA DE EDIFICAÇÃO QUE POSSUA RESERVATÓRIO DE FIBRA/FIBROCIMENTO   FORNECIMENTO E INSTALAÇÃO. AF_06/2016</v>
          </cell>
          <cell r="C3471" t="str">
            <v>M</v>
          </cell>
          <cell r="D3471">
            <v>18.760000000000002</v>
          </cell>
        </row>
        <row r="3472">
          <cell r="A3472" t="str">
            <v>94650</v>
          </cell>
          <cell r="B3472" t="str">
            <v>TUBO, PVC, SOLDÁVEL, DN 40 MM, INSTALADO EM RESERVAÇÃO DE ÁGUA DE EDIFICAÇÃO QUE POSSUA RESERVATÓRIO DE FIBRA/FIBROCIMENTO   FORNECIMENTO E INSTALAÇÃO. AF_06/2016</v>
          </cell>
          <cell r="C3472" t="str">
            <v>M</v>
          </cell>
          <cell r="D3472">
            <v>26.87</v>
          </cell>
        </row>
        <row r="3473">
          <cell r="A3473" t="str">
            <v>94651</v>
          </cell>
          <cell r="B3473" t="str">
            <v>TUBO, PVC, SOLDÁVEL, DN 50 MM, INSTALADO EM RESERVAÇÃO DE ÁGUA DE EDIFICAÇÃO QUE POSSUA RESERVATÓRIO DE FIBRA/FIBROCIMENTO   FORNECIMENTO E INSTALAÇÃO. AF_06/2016</v>
          </cell>
          <cell r="C3473" t="str">
            <v>M</v>
          </cell>
          <cell r="D3473">
            <v>29.7</v>
          </cell>
        </row>
        <row r="3474">
          <cell r="A3474" t="str">
            <v>94652</v>
          </cell>
          <cell r="B3474" t="str">
            <v>TUBO, PVC, SOLDÁVEL, DN 60 MM, INSTALADO EM RESERVAÇÃO DE ÁGUA DE EDIFICAÇÃO QUE POSSUA RESERVATÓRIO DE FIBRA/FIBROCIMENTO   FORNECIMENTO E INSTALAÇÃO. AF_06/2016</v>
          </cell>
          <cell r="C3474" t="str">
            <v>M</v>
          </cell>
          <cell r="D3474">
            <v>48.34</v>
          </cell>
        </row>
        <row r="3475">
          <cell r="A3475" t="str">
            <v>94653</v>
          </cell>
          <cell r="B3475" t="str">
            <v>TUBO, PVC, SOLDÁVEL, DN 75 MM, INSTALADO EM RESERVAÇÃO DE ÁGUA DE EDIFICAÇÃO QUE POSSUA RESERVATÓRIO DE FIBRA/FIBROCIMENTO   FORNECIMENTO E INSTALAÇÃO. AF_06/2016</v>
          </cell>
          <cell r="C3475" t="str">
            <v>M</v>
          </cell>
          <cell r="D3475">
            <v>72.86</v>
          </cell>
        </row>
        <row r="3476">
          <cell r="A3476" t="str">
            <v>94654</v>
          </cell>
          <cell r="B3476" t="str">
            <v>TUBO, PVC, SOLDÁVEL, DN 85 MM, INSTALADO EM RESERVAÇÃO DE ÁGUA DE EDIFICAÇÃO QUE POSSUA RESERVATÓRIO DE FIBRA/FIBROCIMENTO   FORNECIMENTO E INSTALAÇÃO. AF_06/2016</v>
          </cell>
          <cell r="C3476" t="str">
            <v>M</v>
          </cell>
          <cell r="D3476">
            <v>93.34</v>
          </cell>
        </row>
        <row r="3477">
          <cell r="A3477" t="str">
            <v>94655</v>
          </cell>
          <cell r="B3477" t="str">
            <v>TUBO, PVC, SOLDÁVEL, DN 110 MM, INSTALADO EM RESERVAÇÃO DE ÁGUA DE EDIFICAÇÃO QUE POSSUA RESERVATÓRIO DE FIBRA/FIBROCIMENTO   FORNECIMENTO E INSTALAÇÃO. AF_06/2016</v>
          </cell>
          <cell r="C3477" t="str">
            <v>M</v>
          </cell>
          <cell r="D3477">
            <v>137</v>
          </cell>
        </row>
        <row r="3478">
          <cell r="A3478" t="str">
            <v>94716</v>
          </cell>
          <cell r="B3478" t="str">
            <v>TUBO, CPVC, SOLDÁVEL, DN 22 MM, INSTALADO EM RESERVAÇÃO DE ÁGUA DE EDIFICAÇÃO QUE POSSUA RESERVATÓRIO DE FIBRA/FIBROCIMENTO  FORNECIMENTO E INSTALAÇÃO. AF_06/2016</v>
          </cell>
          <cell r="C3478" t="str">
            <v>M</v>
          </cell>
          <cell r="D3478">
            <v>27.26</v>
          </cell>
        </row>
        <row r="3479">
          <cell r="A3479" t="str">
            <v>94717</v>
          </cell>
          <cell r="B3479" t="str">
            <v>TUBO, CPVC, SOLDÁVEL, DN 28 MM, INSTALADO EM RESERVAÇÃO DE ÁGUA DE EDIFICAÇÃO QUE POSSUA RESERVATÓRIO DE FIBRA/FIBROCIMENTO  FORNECIMENTO E INSTALAÇÃO. AF_06/2016</v>
          </cell>
          <cell r="C3479" t="str">
            <v>M</v>
          </cell>
          <cell r="D3479">
            <v>40.82</v>
          </cell>
        </row>
        <row r="3480">
          <cell r="A3480" t="str">
            <v>94718</v>
          </cell>
          <cell r="B3480" t="str">
            <v>TUBO, CPVC, SOLDÁVEL, DN 35 MM, INSTALADO EM RESERVAÇÃO DE ÁGUA DE EDIFICAÇÃO QUE POSSUA RESERVATÓRIO DE FIBRA/FIBROCIMENTO  FORNECIMENTO E INSTALAÇÃO. AF_06/2016</v>
          </cell>
          <cell r="C3480" t="str">
            <v>M</v>
          </cell>
          <cell r="D3480">
            <v>50.34</v>
          </cell>
        </row>
        <row r="3481">
          <cell r="A3481" t="str">
            <v>94719</v>
          </cell>
          <cell r="B3481" t="str">
            <v>TUBO, CPVC, SOLDÁVEL, DN 42 MM, INSTALADO EM RESERVAÇÃO DE ÁGUA DE EDIFICAÇÃO QUE POSSUA RESERVATÓRIO DE FIBRA/FIBROCIMENTO  FORNECIMENTO E INSTALAÇÃO. AF_06/2016</v>
          </cell>
          <cell r="C3481" t="str">
            <v>M</v>
          </cell>
          <cell r="D3481">
            <v>66.61</v>
          </cell>
        </row>
        <row r="3482">
          <cell r="A3482" t="str">
            <v>94720</v>
          </cell>
          <cell r="B3482" t="str">
            <v>TUBO, CPVC, SOLDÁVEL, DN 54 MM, INSTALADO EM RESERVAÇÃO DE ÁGUA DE EDIFICAÇÃO QUE POSSUA RESERVATÓRIO DE FIBRA/FIBROCIMENTO  FORNECIMENTO E INSTALAÇÃO. AF_06/2016</v>
          </cell>
          <cell r="C3482" t="str">
            <v>M</v>
          </cell>
          <cell r="D3482">
            <v>100.09</v>
          </cell>
        </row>
        <row r="3483">
          <cell r="A3483" t="str">
            <v>94721</v>
          </cell>
          <cell r="B3483" t="str">
            <v>TUBO, CPVC, SOLDÁVEL, DN 73 MM, INSTALADO EM RESERVAÇÃO DE ÁGUA DE EDIFICAÇÃO QUE POSSUA RESERVATÓRIO DE FIBRA/FIBROCIMENTO  FORNECIMENTO E INSTALAÇÃO. AF_06/2016</v>
          </cell>
          <cell r="C3483" t="str">
            <v>M</v>
          </cell>
          <cell r="D3483">
            <v>147.79</v>
          </cell>
        </row>
        <row r="3484">
          <cell r="A3484" t="str">
            <v>94722</v>
          </cell>
          <cell r="B3484" t="str">
            <v>TUBO, CPVC, SOLDÁVEL, DN 89 MM, INSTALADO EM RESERVAÇÃO DE ÁGUA DE EDIFICAÇÃO QUE POSSUA RESERVATÓRIO DE FIBRA/FIBROCIMENTO  FORNECIMENTO E INSTALAÇÃO. AF_06/2016</v>
          </cell>
          <cell r="C3484" t="str">
            <v>M</v>
          </cell>
          <cell r="D3484">
            <v>256.51</v>
          </cell>
        </row>
        <row r="3485">
          <cell r="A3485" t="str">
            <v>95697</v>
          </cell>
          <cell r="B3485" t="str">
            <v>TUBO DE AÇO PRETO SEM COSTURA, CONEXÃO SOLDADA, DN 40 (1 1/2"), INSTALADO EM REDE DE ALIMENTAÇÃO PARA HIDRANTE - FORNECIMENTO E INSTALAÇÃO. AF_10/2020</v>
          </cell>
          <cell r="C3485" t="str">
            <v>M</v>
          </cell>
          <cell r="D3485">
            <v>127.7</v>
          </cell>
        </row>
        <row r="3486">
          <cell r="A3486" t="str">
            <v>96635</v>
          </cell>
          <cell r="B3486" t="str">
            <v>TUBO, PPR, DN 25, CLASSE PN 20,  INSTALADO EM RAMAL OU SUB-RAMAL DE ÁGUA  FORNECIMENTO E INSTALAÇÃO. AF_06/2015</v>
          </cell>
          <cell r="C3486" t="str">
            <v>M</v>
          </cell>
          <cell r="D3486">
            <v>29.08</v>
          </cell>
        </row>
        <row r="3487">
          <cell r="A3487" t="str">
            <v>96636</v>
          </cell>
          <cell r="B3487" t="str">
            <v>TUBO, PPR, DN 25, CLASSE PN 25 INSTALADO EM RAMAL OU SUB-RAMAL DE ÁGUA  FORNECIMENTO E INSTALAÇÃO. AF_06/2015</v>
          </cell>
          <cell r="C3487" t="str">
            <v>M</v>
          </cell>
          <cell r="D3487">
            <v>30.49</v>
          </cell>
        </row>
        <row r="3488">
          <cell r="A3488" t="str">
            <v>96644</v>
          </cell>
          <cell r="B3488" t="str">
            <v>TUBO, PPR, DN 25, CLASSE PN 20,  INSTALADO EM RAMAL DE DISTRIBUIÇÃO DE ÁGUA  FORNECIMENTO E INSTALAÇÃO. AF_06/2015</v>
          </cell>
          <cell r="C3488" t="str">
            <v>M</v>
          </cell>
          <cell r="D3488">
            <v>20.440000000000001</v>
          </cell>
        </row>
        <row r="3489">
          <cell r="A3489" t="str">
            <v>96645</v>
          </cell>
          <cell r="B3489" t="str">
            <v>TUBO, PPR, DN 32, CLASSE PN 12,  INSTALADO EM RAMAL DE DISTRIBUIÇÃO DE ÁGUA  FORNECIMENTO E INSTALAÇÃO. AF_06/2015</v>
          </cell>
          <cell r="C3489" t="str">
            <v>M</v>
          </cell>
          <cell r="D3489">
            <v>26.31</v>
          </cell>
        </row>
        <row r="3490">
          <cell r="A3490" t="str">
            <v>96646</v>
          </cell>
          <cell r="B3490" t="str">
            <v>TUBO, PPR, DN 40, CLASSE PN 12,  INSTALADO EM RAMAL DE DISTRIBUIÇÃO DE ÁGUA  FORNECIMENTO E INSTALAÇÃO. AF_06/2015</v>
          </cell>
          <cell r="C3490" t="str">
            <v>M</v>
          </cell>
          <cell r="D3490">
            <v>40.65</v>
          </cell>
        </row>
        <row r="3491">
          <cell r="A3491" t="str">
            <v>96647</v>
          </cell>
          <cell r="B3491" t="str">
            <v>TUBO, PPR, DN 25, CLASSE PN 25,  INSTALADO EM RAMAL DE DISTRIBUIÇÃO DE ÁGUA  FORNECIMENTO E INSTALAÇÃO. AF_06/2015</v>
          </cell>
          <cell r="C3491" t="str">
            <v>M</v>
          </cell>
          <cell r="D3491">
            <v>18.88</v>
          </cell>
        </row>
        <row r="3492">
          <cell r="A3492" t="str">
            <v>96648</v>
          </cell>
          <cell r="B3492" t="str">
            <v>TUBO, PPR, DN 32, CLASSE PN 25,  INSTALADO EM RAMAL DE DISTRIBUIÇÃO DE ÁGUA  FORNECIMENTO E INSTALAÇÃO. AF_06/2015</v>
          </cell>
          <cell r="C3492" t="str">
            <v>M</v>
          </cell>
          <cell r="D3492">
            <v>33.74</v>
          </cell>
        </row>
        <row r="3493">
          <cell r="A3493" t="str">
            <v>96649</v>
          </cell>
          <cell r="B3493" t="str">
            <v>TUBO, PPR, DN 40, CLASSE PN 25,  INSTALADO EM RAMAL DE DISTRIBUIÇÃO DE ÁGUA  FORNECIMENTO E INSTALAÇÃO. AF_06/2015</v>
          </cell>
          <cell r="C3493" t="str">
            <v>M</v>
          </cell>
          <cell r="D3493">
            <v>49.09</v>
          </cell>
        </row>
        <row r="3494">
          <cell r="A3494" t="str">
            <v>96668</v>
          </cell>
          <cell r="B3494" t="str">
            <v>TUBO, PPR, DN 25, CLASSE PN 20,  INSTALADO EM PRUMADA DE ÁGUA  FORNECIMENTO E INSTALAÇÃO. AF_06/2015</v>
          </cell>
          <cell r="C3494" t="str">
            <v>M</v>
          </cell>
          <cell r="D3494">
            <v>14.42</v>
          </cell>
        </row>
        <row r="3495">
          <cell r="A3495" t="str">
            <v>96669</v>
          </cell>
          <cell r="B3495" t="str">
            <v>TUBO, PPR, DN 32, CLASSE PN 12,  INSTALADO EM PRUMADA DE ÁGUA  FORNECIMENTO E INSTALAÇÃO. AF_06/2015</v>
          </cell>
          <cell r="C3495" t="str">
            <v>M</v>
          </cell>
          <cell r="D3495">
            <v>17.96</v>
          </cell>
        </row>
        <row r="3496">
          <cell r="A3496" t="str">
            <v>96670</v>
          </cell>
          <cell r="B3496" t="str">
            <v>TUBO, PPR, DN 40, CLASSE PN 12,  INSTALADO EM PRUMADA DE ÁGUA  FORNECIMENTO E INSTALAÇÃO. AF_06/2015</v>
          </cell>
          <cell r="C3496" t="str">
            <v>M</v>
          </cell>
          <cell r="D3496">
            <v>27.31</v>
          </cell>
        </row>
        <row r="3497">
          <cell r="A3497" t="str">
            <v>96671</v>
          </cell>
          <cell r="B3497" t="str">
            <v>TUBO, PPR, DN 50, CLASSE PN 12,  INSTALADO EM PRUMADA DE ÁGUA  FORNECIMENTO E INSTALAÇÃO. AF_06/2015</v>
          </cell>
          <cell r="C3497" t="str">
            <v>M</v>
          </cell>
          <cell r="D3497">
            <v>36.43</v>
          </cell>
        </row>
        <row r="3498">
          <cell r="A3498" t="str">
            <v>96672</v>
          </cell>
          <cell r="B3498" t="str">
            <v>TUBO, PPR, DN 63, CLASSE PN 12,  INSTALADO EM PRUMADA DE ÁGUA  FORNECIMENTO E INSTALAÇÃO. AF_06/2015</v>
          </cell>
          <cell r="C3498" t="str">
            <v>M</v>
          </cell>
          <cell r="D3498">
            <v>53.38</v>
          </cell>
        </row>
        <row r="3499">
          <cell r="A3499" t="str">
            <v>96673</v>
          </cell>
          <cell r="B3499" t="str">
            <v>TUBO, PPR, DN 75, CLASSE PN 12,  INSTALADO EM PRUMADA DE ÁGUA  FORNECIMENTO E INSTALAÇÃO. AF_06/2015</v>
          </cell>
          <cell r="C3499" t="str">
            <v>M</v>
          </cell>
          <cell r="D3499">
            <v>87.67</v>
          </cell>
        </row>
        <row r="3500">
          <cell r="A3500" t="str">
            <v>96674</v>
          </cell>
          <cell r="B3500" t="str">
            <v>TUBO, PPR, DN 90, CLASSE PN 12,  INSTALADO EM PRUMADA DE ÁGUA  FORNECIMENTO E INSTALAÇÃO. AF_06/2015</v>
          </cell>
          <cell r="C3500" t="str">
            <v>M</v>
          </cell>
          <cell r="D3500">
            <v>123.1</v>
          </cell>
        </row>
        <row r="3501">
          <cell r="A3501" t="str">
            <v>96675</v>
          </cell>
          <cell r="B3501" t="str">
            <v>TUBO, PPR, DN 110, CLASSE PN 12,  INSTALADO EM PRUMADA DE ÁGUA  FORNECIMENTO E INSTALAÇÃO. AF_06/2015</v>
          </cell>
          <cell r="C3501" t="str">
            <v>M</v>
          </cell>
          <cell r="D3501">
            <v>214.92</v>
          </cell>
        </row>
        <row r="3502">
          <cell r="A3502" t="str">
            <v>96676</v>
          </cell>
          <cell r="B3502" t="str">
            <v>TUBO, PPR, DN 25, CLASSE PN 25,  INSTALADO EM PRUMADA DE ÁGUA  FORNECIMENTO E INSTALAÇÃO. AF_06/2015</v>
          </cell>
          <cell r="C3502" t="str">
            <v>M</v>
          </cell>
          <cell r="D3502">
            <v>14.37</v>
          </cell>
        </row>
        <row r="3503">
          <cell r="A3503" t="str">
            <v>96677</v>
          </cell>
          <cell r="B3503" t="str">
            <v>TUBO, PPR, DN 32, CLASSE PN 25,  INSTALADO EM PRUMADA DE ÁGUA  FORNECIMENTO E INSTALAÇÃO. AF_06/2015</v>
          </cell>
          <cell r="C3503" t="str">
            <v>M</v>
          </cell>
          <cell r="D3503">
            <v>23.8</v>
          </cell>
        </row>
        <row r="3504">
          <cell r="A3504" t="str">
            <v>96678</v>
          </cell>
          <cell r="B3504" t="str">
            <v>TUBO, PPR, DN 40, CLASSE PN 25,  INSTALADO EM PRUMADA DE ÁGUA  FORNECIMENTO E INSTALAÇÃO. AF_06/2015</v>
          </cell>
          <cell r="C3504" t="str">
            <v>M</v>
          </cell>
          <cell r="D3504">
            <v>33.049999999999997</v>
          </cell>
        </row>
        <row r="3505">
          <cell r="A3505" t="str">
            <v>96679</v>
          </cell>
          <cell r="B3505" t="str">
            <v>TUBO, PPR, DN 50, CLASSE PN 25,  INSTALADO EM PRUMADA DE ÁGUA  FORNECIMENTO E INSTALAÇÃO. AF_06/2015</v>
          </cell>
          <cell r="C3505" t="str">
            <v>M</v>
          </cell>
          <cell r="D3505">
            <v>48.19</v>
          </cell>
        </row>
        <row r="3506">
          <cell r="A3506" t="str">
            <v>96680</v>
          </cell>
          <cell r="B3506" t="str">
            <v>TUBO, PPR, DN 63, CLASSE PN 25,  INSTALADO EM PRUMADA DE ÁGUA  FORNECIMENTO E INSTALAÇÃO. AF_06/2015</v>
          </cell>
          <cell r="C3506" t="str">
            <v>M</v>
          </cell>
          <cell r="D3506">
            <v>64.66</v>
          </cell>
        </row>
        <row r="3507">
          <cell r="A3507" t="str">
            <v>96681</v>
          </cell>
          <cell r="B3507" t="str">
            <v>TUBO, PPR, DN 75, CLASSE PN 25,  INSTALADO EM PRUMADA DE ÁGUA  FORNECIMENTO E INSTALAÇÃO. AF_06/2015</v>
          </cell>
          <cell r="C3507" t="str">
            <v>M</v>
          </cell>
          <cell r="D3507">
            <v>121.71</v>
          </cell>
        </row>
        <row r="3508">
          <cell r="A3508" t="str">
            <v>96682</v>
          </cell>
          <cell r="B3508" t="str">
            <v>TUBO, PPR, DN 90, CLASSE PN 25,  INSTALADO EM PRUMADA DE ÁGUA  FORNECIMENTO E INSTALAÇÃO. AF_06/2015</v>
          </cell>
          <cell r="C3508" t="str">
            <v>M</v>
          </cell>
          <cell r="D3508">
            <v>179.71</v>
          </cell>
        </row>
        <row r="3509">
          <cell r="A3509" t="str">
            <v>96683</v>
          </cell>
          <cell r="B3509" t="str">
            <v>TUBO, PPR, DN 110, CLASSE PN 25,  INSTALADO EM PRUMADA DE ÁGUA  FORNECIMENTO E INSTALAÇÃO. AF_06/2015</v>
          </cell>
          <cell r="C3509" t="str">
            <v>M</v>
          </cell>
          <cell r="D3509">
            <v>245.5</v>
          </cell>
        </row>
        <row r="3510">
          <cell r="A3510" t="str">
            <v>96718</v>
          </cell>
          <cell r="B3510" t="str">
            <v>TUBO, PPR, DN 20, CLASSE PN 20,  INSTALADO EM RESERVAÇÃO DE ÁGUA DE EDIFICAÇÃO QUE POSSUA RESERVATÓRIO DE FIBRA/FIBROCIMENTO  FORNECIMENTO E INSTALAÇÃO. AF_06/2016</v>
          </cell>
          <cell r="C3510" t="str">
            <v>M</v>
          </cell>
          <cell r="D3510">
            <v>9.67</v>
          </cell>
        </row>
        <row r="3511">
          <cell r="A3511" t="str">
            <v>96719</v>
          </cell>
          <cell r="B3511" t="str">
            <v>TUBO, PPR, DN 25, CLASSE PN 20,  INSTALADO EM RESERVAÇÃO DE ÁGUA DE EDIFICAÇÃO QUE POSSUA RESERVATÓRIO DE FIBRA/FIBROCIMENTO  FORNECIMENTO E INSTALAÇÃO. AF_06/2016</v>
          </cell>
          <cell r="C3511" t="str">
            <v>M</v>
          </cell>
          <cell r="D3511">
            <v>17.87</v>
          </cell>
        </row>
        <row r="3512">
          <cell r="A3512" t="str">
            <v>96720</v>
          </cell>
          <cell r="B3512" t="str">
            <v>TUBO, PPR, DN 32, CLASSE PN 12,  INSTALADO EM RESERVAÇÃO DE ÁGUA DE EDIFICAÇÃO QUE POSSUA RESERVATÓRIO DE FIBRA/FIBROCIMENTO  FORNECIMENTO E INSTALAÇÃO. AF_06/2016</v>
          </cell>
          <cell r="C3512" t="str">
            <v>M</v>
          </cell>
          <cell r="D3512">
            <v>21.82</v>
          </cell>
        </row>
        <row r="3513">
          <cell r="A3513" t="str">
            <v>96721</v>
          </cell>
          <cell r="B3513" t="str">
            <v>TUBO, PPR, DN 40, CLASSE PN 12,  INSTALADO EM RESERVAÇÃO DE ÁGUA DE EDIFICAÇÃO QUE POSSUA RESERVATÓRIO DE FIBRA/FIBROCIMENTO  FORNECIMENTO E INSTALAÇÃO. AF_06/2016</v>
          </cell>
          <cell r="C3513" t="str">
            <v>M</v>
          </cell>
          <cell r="D3513">
            <v>30.1</v>
          </cell>
        </row>
        <row r="3514">
          <cell r="A3514" t="str">
            <v>96722</v>
          </cell>
          <cell r="B3514" t="str">
            <v>TUBO, PPR, DN 50, CLASSE PN 12,  INSTALADO EM RESERVAÇÃO DE ÁGUA DE EDIFICAÇÃO QUE POSSUA RESERVATÓRIO DE FIBRA/FIBROCIMENTO  FORNECIMENTO E INSTALAÇÃO. AF_06/2016</v>
          </cell>
          <cell r="C3514" t="str">
            <v>M</v>
          </cell>
          <cell r="D3514">
            <v>40.74</v>
          </cell>
        </row>
        <row r="3515">
          <cell r="A3515" t="str">
            <v>96723</v>
          </cell>
          <cell r="B3515" t="str">
            <v>TUBO, PPR, DN 63, CLASSE PN 12,  INSTALADO EM RESERVAÇÃO DE ÁGUA DE EDIFICAÇÃO QUE POSSUA RESERVATÓRIO DE FIBRA/FIBROCIMENTO  FORNECIMENTO E INSTALAÇÃO. AF_06/2016</v>
          </cell>
          <cell r="C3515" t="str">
            <v>M</v>
          </cell>
          <cell r="D3515">
            <v>55.24</v>
          </cell>
        </row>
        <row r="3516">
          <cell r="A3516" t="str">
            <v>96724</v>
          </cell>
          <cell r="B3516" t="str">
            <v>TUBO, PPR, DN 75, CLASSE PN 12,  INSTALADO EM RESERVAÇÃO DE ÁGUA DE EDIFICAÇÃO QUE POSSUA RESERVATÓRIO DE FIBRA/FIBROCIMENTO  FORNECIMENTO E INSTALAÇÃO. AF_06/2016</v>
          </cell>
          <cell r="C3516" t="str">
            <v>M</v>
          </cell>
          <cell r="D3516">
            <v>90.14</v>
          </cell>
        </row>
        <row r="3517">
          <cell r="A3517" t="str">
            <v>96725</v>
          </cell>
          <cell r="B3517" t="str">
            <v>TUBO, PPR, DN 90, CLASSE PN 12,  INSTALADO EM RESERVAÇÃO DE ÁGUA DE EDIFICAÇÃO QUE POSSUA RESERVATÓRIO DE FIBRA/FIBROCIMENTO  FORNECIMENTO E INSTALAÇÃO. AF_06/2016</v>
          </cell>
          <cell r="C3517" t="str">
            <v>M</v>
          </cell>
          <cell r="D3517">
            <v>120.37</v>
          </cell>
        </row>
        <row r="3518">
          <cell r="A3518" t="str">
            <v>96726</v>
          </cell>
          <cell r="B3518" t="str">
            <v>TUBO, PPR, DN 110, CLASSE PN 12,  INSTALADO EM RESERVAÇÃO DE ÁGUA DE EDIFICAÇÃO QUE POSSUA RESERVATÓRIO DE FIBRA/FIBROCIMENTO  FORNECIMENTO E INSTALAÇÃO. AF_06/2016</v>
          </cell>
          <cell r="C3518" t="str">
            <v>M</v>
          </cell>
          <cell r="D3518">
            <v>196.59</v>
          </cell>
        </row>
        <row r="3519">
          <cell r="A3519" t="str">
            <v>96727</v>
          </cell>
          <cell r="B3519" t="str">
            <v>TUBO, PPR, DN 20, CLASSE PN 25,  INSTALADO EM RESERVAÇÃO DE ÁGUA DE EDIFICAÇÃO QUE POSSUA RESERVATÓRIO DE FIBRA/FIBROCIMENTO  FORNECIMENTO E INSTALAÇÃO. AF_06/2016</v>
          </cell>
          <cell r="C3519" t="str">
            <v>M</v>
          </cell>
          <cell r="D3519">
            <v>14.98</v>
          </cell>
        </row>
        <row r="3520">
          <cell r="A3520" t="str">
            <v>96728</v>
          </cell>
          <cell r="B3520" t="str">
            <v>TUBO, PPR, DN 25, CLASSE PN 25,  INSTALADO EM RESERVAÇÃO DE ÁGUA DE EDIFICAÇÃO QUE POSSUA RESERVATÓRIO DE FIBRA/FIBROCIMENTO  FORNECIMENTO E INSTALAÇÃO. AF_06/2016</v>
          </cell>
          <cell r="C3520" t="str">
            <v>M</v>
          </cell>
          <cell r="D3520">
            <v>18.329999999999998</v>
          </cell>
        </row>
        <row r="3521">
          <cell r="A3521" t="str">
            <v>96729</v>
          </cell>
          <cell r="B3521" t="str">
            <v>TUBO, PPR, DN 32, CLASSE PN 25,  INSTALADO EM RESERVAÇÃO DE ÁGUA DE EDIFICAÇÃO QUE POSSUA RESERVATÓRIO DE FIBRA/FIBROCIMENTO  FORNECIMENTO E INSTALAÇÃO. AF_06/2016</v>
          </cell>
          <cell r="C3521" t="str">
            <v>M</v>
          </cell>
          <cell r="D3521">
            <v>28.27</v>
          </cell>
        </row>
        <row r="3522">
          <cell r="A3522" t="str">
            <v>96730</v>
          </cell>
          <cell r="B3522" t="str">
            <v>TUBO, PPR, DN 40, CLASSE PN 25,  INSTALADO EM RESERVAÇÃO DE ÁGUA DE EDIFICAÇÃO QUE POSSUA RESERVATÓRIO DE FIBRA/FIBROCIMENTO  FORNECIMENTO E INSTALAÇÃO. AF_06/2016</v>
          </cell>
          <cell r="C3522" t="str">
            <v>M</v>
          </cell>
          <cell r="D3522">
            <v>36.39</v>
          </cell>
        </row>
        <row r="3523">
          <cell r="A3523" t="str">
            <v>96731</v>
          </cell>
          <cell r="B3523" t="str">
            <v>TUBO, PPR, DN 50, CLASSE PN 25,  INSTALADO EM RESERVAÇÃO DE ÁGUA DE EDIFICAÇÃO QUE POSSUA RESERVATÓRIO DE FIBRA/FIBROCIMENTO  FORNECIMENTO E INSTALAÇÃO. AF_06/2016</v>
          </cell>
          <cell r="C3523" t="str">
            <v>M</v>
          </cell>
          <cell r="D3523">
            <v>53.09</v>
          </cell>
        </row>
        <row r="3524">
          <cell r="A3524" t="str">
            <v>96732</v>
          </cell>
          <cell r="B3524" t="str">
            <v>TUBO, PPR, DN 63, CLASSE PN 25,  INSTALADO EM RESERVAÇÃO DE ÁGUA DE EDIFICAÇÃO QUE POSSUA RESERVATÓRIO DE FIBRA/FIBROCIMENTO  FORNECIMENTO E INSTALAÇÃO. AF_06/2016</v>
          </cell>
          <cell r="C3524" t="str">
            <v>M</v>
          </cell>
          <cell r="D3524">
            <v>66.84</v>
          </cell>
        </row>
        <row r="3525">
          <cell r="A3525" t="str">
            <v>96733</v>
          </cell>
          <cell r="B3525" t="str">
            <v>TUBO, PPR, DN 75, CLASSE PN 25,  INSTALADO EM RESERVAÇÃO DE ÁGUA DE EDIFICAÇÃO QUE POSSUA RESERVATÓRIO DE FIBRA/FIBROCIMENTO  FORNECIMENTO E INSTALAÇÃO. AF_06/2016</v>
          </cell>
          <cell r="C3525" t="str">
            <v>M</v>
          </cell>
          <cell r="D3525">
            <v>123.45</v>
          </cell>
        </row>
        <row r="3526">
          <cell r="A3526" t="str">
            <v>96734</v>
          </cell>
          <cell r="B3526" t="str">
            <v>TUBO, PPR, DN 90, CLASSE PN 25,  INSTALADO EM RESERVAÇÃO DE ÁGUA DE EDIFICAÇÃO QUE POSSUA RESERVATÓRIO DE FIBRA/FIBROCIMENTO  FORNECIMENTO E INSTALAÇÃO. AF_06/2016</v>
          </cell>
          <cell r="C3526" t="str">
            <v>M</v>
          </cell>
          <cell r="D3526">
            <v>174.1</v>
          </cell>
        </row>
        <row r="3527">
          <cell r="A3527" t="str">
            <v>96735</v>
          </cell>
          <cell r="B3527" t="str">
            <v>TUBO, PPR, DN 110, CLASSE PN 25,  INSTALADO EM RESERVAÇÃO DE ÁGUA DE EDIFICAÇÃO QUE POSSUA RESERVATÓRIO DE FIBRA/FIBROCIMENTO  FORNECIMENTO E INSTALAÇÃO. AF_06/2016</v>
          </cell>
          <cell r="C3527" t="str">
            <v>M</v>
          </cell>
          <cell r="D3527">
            <v>225.24</v>
          </cell>
        </row>
        <row r="3528">
          <cell r="A3528" t="str">
            <v>96794</v>
          </cell>
          <cell r="B3528" t="str">
            <v>TUBO, PEX, MONOCAMADA, DN 16, INSTALADO EM RAMAL OU SUB-RAMAL DE ÁGUA  FORNECIMENTO E INSTALAÇÃO. AF_06/2015</v>
          </cell>
          <cell r="C3528" t="str">
            <v>M</v>
          </cell>
          <cell r="D3528">
            <v>8.82</v>
          </cell>
        </row>
        <row r="3529">
          <cell r="A3529" t="str">
            <v>96795</v>
          </cell>
          <cell r="B3529" t="str">
            <v>TUBO, PEX, MONOCAMADA, DN 20, INSTALADO EM RAMAL OU SUB-RAMAL DE ÁGUA  FORNECIMENTO E INSTALAÇÃO. AF_06/2015</v>
          </cell>
          <cell r="C3529" t="str">
            <v>M</v>
          </cell>
          <cell r="D3529">
            <v>11.26</v>
          </cell>
        </row>
        <row r="3530">
          <cell r="A3530" t="str">
            <v>96796</v>
          </cell>
          <cell r="B3530" t="str">
            <v>TUBO, PEX, MONOCAMADA, DN 25, INSTALADO EM RAMAL OU SUB-RAMAL DE ÁGUA  FORNECIMENTO E INSTALAÇÃO. AF_06/2015</v>
          </cell>
          <cell r="C3530" t="str">
            <v>M</v>
          </cell>
          <cell r="D3530">
            <v>15.89</v>
          </cell>
        </row>
        <row r="3531">
          <cell r="A3531" t="str">
            <v>96797</v>
          </cell>
          <cell r="B3531" t="str">
            <v>TUBO, PEX, MONOCAMADA, DN 32, INSTALADO EM RAMAL OU SUB-RAMAL DE ÁGUA  FORNECIMENTO E INSTALAÇÃO. AF_06/2015</v>
          </cell>
          <cell r="C3531" t="str">
            <v>M</v>
          </cell>
          <cell r="D3531">
            <v>24.19</v>
          </cell>
        </row>
        <row r="3532">
          <cell r="A3532" t="str">
            <v>96798</v>
          </cell>
          <cell r="B3532" t="str">
            <v>TUBO, PEX, MONOCAMADA, DN 16, INSTALADO EM RAMAL DE DISTRIBUIÇÃO DE ÁGUA  FORNECIMENTO E INSTALAÇÃO. AF_06/2015</v>
          </cell>
          <cell r="C3532" t="str">
            <v>M</v>
          </cell>
          <cell r="D3532">
            <v>8.94</v>
          </cell>
        </row>
        <row r="3533">
          <cell r="A3533" t="str">
            <v>96799</v>
          </cell>
          <cell r="B3533" t="str">
            <v>TUBO, PEX, MONOCAMADA, DN 20, INSTALADO EM RAMAL DE DISTRIBUIÇÃO DE ÁGUA  FORNECIMENTO E INSTALAÇÃO. AF_06/2015</v>
          </cell>
          <cell r="C3533" t="str">
            <v>M</v>
          </cell>
          <cell r="D3533">
            <v>11.94</v>
          </cell>
        </row>
        <row r="3534">
          <cell r="A3534" t="str">
            <v>96800</v>
          </cell>
          <cell r="B3534" t="str">
            <v>TUBO, PEX, MONOCAMADA, DN 25, INSTALADO EM RAMAL DE DISTRIBUIÇÃO DE ÁGUA  FORNECIMENTO E INSTALAÇÃO. AF_06/2015</v>
          </cell>
          <cell r="C3534" t="str">
            <v>M</v>
          </cell>
          <cell r="D3534">
            <v>17.3</v>
          </cell>
        </row>
        <row r="3535">
          <cell r="A3535" t="str">
            <v>96801</v>
          </cell>
          <cell r="B3535" t="str">
            <v>TUBO, PEX, MONOCAMADA, DN 32, INSTALADO EM RAMAL DE DISTRIBUIÇÃO DE ÁGUA  FORNECIMENTO E INSTALAÇÃO. AF_06/2015</v>
          </cell>
          <cell r="C3535" t="str">
            <v>M</v>
          </cell>
          <cell r="D3535">
            <v>26.62</v>
          </cell>
        </row>
        <row r="3536">
          <cell r="A3536" t="str">
            <v>97327</v>
          </cell>
          <cell r="B3536" t="str">
            <v>TUBO EM COBRE FLEXÍVEL, DN 1/4, COM ISOLAMENTO, INSTALADO EM RAMAL DE ALIMENTAÇÃO DE AR CONDICIONADO COM CONDENSADORA INDIVIDUAL   FORNECIMENTO E INSTALAÇÃO. AF_12/2015</v>
          </cell>
          <cell r="C3536" t="str">
            <v>M</v>
          </cell>
          <cell r="D3536">
            <v>30.44</v>
          </cell>
        </row>
        <row r="3537">
          <cell r="A3537" t="str">
            <v>97328</v>
          </cell>
          <cell r="B3537" t="str">
            <v>TUBO EM COBRE FLEXÍVEL, DN 3/8", COM ISOLAMENTO, INSTALADO EM RAMAL DE ALIMENTAÇÃO DE AR CONDICIONADO COM CONDENSADORA INDIVIDUAL  FORNECIMENTO E INSTALAÇÃO. AF_12/2015</v>
          </cell>
          <cell r="C3537" t="str">
            <v>M</v>
          </cell>
          <cell r="D3537">
            <v>51.45</v>
          </cell>
        </row>
        <row r="3538">
          <cell r="A3538" t="str">
            <v>97329</v>
          </cell>
          <cell r="B3538" t="str">
            <v>TUBO EM COBRE FLEXÍVEL, DN 1/2", COM ISOLAMENTO, INSTALADO EM RAMAL DE ALIMENTAÇÃO DE AR CONDICIONADO COM CONDENSADORA INDIVIDUAL  FORNECIMENTO E INSTALAÇÃO. AF_12/2015</v>
          </cell>
          <cell r="C3538" t="str">
            <v>M</v>
          </cell>
          <cell r="D3538">
            <v>65.489999999999995</v>
          </cell>
        </row>
        <row r="3539">
          <cell r="A3539" t="str">
            <v>97330</v>
          </cell>
          <cell r="B3539" t="str">
            <v>TUBO EM COBRE FLEXÍVEL, DN 5/8", COM ISOLAMENTO, INSTALADO EM RAMAL DE ALIMENTAÇÃO DE AR CONDICIONADO COM CONDENSADORA INDIVIDUAL  FORNECIMENTO E INSTALAÇÃO. AF_12/2015</v>
          </cell>
          <cell r="C3539" t="str">
            <v>M</v>
          </cell>
          <cell r="D3539">
            <v>80.260000000000005</v>
          </cell>
        </row>
        <row r="3540">
          <cell r="A3540" t="str">
            <v>97331</v>
          </cell>
          <cell r="B3540" t="str">
            <v>TUBO EM COBRE FLEXÍVEL, DN 1/4", COM ISOLAMENTO, INSTALADO EM RAMAL DE ALIMENTAÇÃO DE AR CONDICIONADO COM CONDENSADORA CENTRAL  FORNECIMENTO E INSTALAÇÃO. AF_12/2015</v>
          </cell>
          <cell r="C3540" t="str">
            <v>M</v>
          </cell>
          <cell r="D3540">
            <v>30.71</v>
          </cell>
        </row>
        <row r="3541">
          <cell r="A3541" t="str">
            <v>97332</v>
          </cell>
          <cell r="B3541" t="str">
            <v>TUBO EM COBRE FLEXÍVEL, DN 3/8", COM ISOLAMENTO, INSTALADO EM RAMAL DE ALIMENTAÇÃO DE AR CONDICIONADO COM CONDENSADORA CENTRAL  FORNECIMENTO E INSTALAÇÃO. AF_12/2015</v>
          </cell>
          <cell r="C3541" t="str">
            <v>M</v>
          </cell>
          <cell r="D3541">
            <v>51.76</v>
          </cell>
        </row>
        <row r="3542">
          <cell r="A3542" t="str">
            <v>97333</v>
          </cell>
          <cell r="B3542" t="str">
            <v>TUBO EM COBRE FLEXÍVEL, DN 1/2", COM ISOLAMENTO, INSTALADO EM RAMAL DE ALIMENTAÇÃO DE AR CONDICIONADO COM CONDENSADORA CENTRAL  FORNECIMENTO E INSTALAÇÃO. AF_12/2015</v>
          </cell>
          <cell r="C3542" t="str">
            <v>M</v>
          </cell>
          <cell r="D3542">
            <v>65.89</v>
          </cell>
        </row>
        <row r="3543">
          <cell r="A3543" t="str">
            <v>97334</v>
          </cell>
          <cell r="B3543" t="str">
            <v>TUBO EM COBRE FLEXÍVEL, DN 5/8, COM ISOLAMENTO, INSTALADO EM RAMAL DE ALIMENTAÇÃO DE AR CONDICIONADO COM CONDENSADORA CENTRAL   FORNECIMENTO E INSTALAÇÃO. AF_12/2015</v>
          </cell>
          <cell r="C3543" t="str">
            <v>M</v>
          </cell>
          <cell r="D3543">
            <v>80.680000000000007</v>
          </cell>
        </row>
        <row r="3544">
          <cell r="A3544" t="str">
            <v>97335</v>
          </cell>
          <cell r="B3544" t="str">
            <v>TUBO EM COBRE RÍGIDO, DN 22 MM, CLASSE A, SEM ISOLAMENTO, INSTALADO EM PRUMADA  FORNECIMENTO E INSTALAÇÃO. AF_12/2015</v>
          </cell>
          <cell r="C3544" t="str">
            <v>M</v>
          </cell>
          <cell r="D3544">
            <v>92.17</v>
          </cell>
        </row>
        <row r="3545">
          <cell r="A3545" t="str">
            <v>97336</v>
          </cell>
          <cell r="B3545" t="str">
            <v>TUBO EM COBRE RÍGIDO, DN 28 MM, CLASSE A, SEM ISOLAMENTO, INSTALADO EM PRUMADA  FORNECIMENTO E INSTALAÇÃO. AF_12/2015</v>
          </cell>
          <cell r="C3545" t="str">
            <v>M</v>
          </cell>
          <cell r="D3545">
            <v>117.11</v>
          </cell>
        </row>
        <row r="3546">
          <cell r="A3546" t="str">
            <v>97337</v>
          </cell>
          <cell r="B3546" t="str">
            <v>TUBO EM COBRE RÍGIDO, DN 35 MM, CLASSE A, SEM ISOLAMENTO, INSTALADO EM PRUMADA  FORNECIMENTO E INSTALAÇÃO. AF_12/2015</v>
          </cell>
          <cell r="C3546" t="str">
            <v>M</v>
          </cell>
          <cell r="D3546">
            <v>176.16</v>
          </cell>
        </row>
        <row r="3547">
          <cell r="A3547" t="str">
            <v>97338</v>
          </cell>
          <cell r="B3547" t="str">
            <v>TUBO EM COBRE RÍGIDO, DN 42 MM, CLASSE A, SEM ISOLAMENTO, INSTALADO EM PRUMADA  FORNECIMENTO E INSTALAÇÃO. AF_12/2015</v>
          </cell>
          <cell r="C3547" t="str">
            <v>M</v>
          </cell>
          <cell r="D3547">
            <v>211.81</v>
          </cell>
        </row>
        <row r="3548">
          <cell r="A3548" t="str">
            <v>97339</v>
          </cell>
          <cell r="B3548" t="str">
            <v>TUBO EM COBRE RÍGIDO, DN 54 MM, CLASSE A, SEM ISOLAMENTO, INSTALADO EM PRUMADA  FORNECIMENTO E INSTALAÇÃO. AF_12/2015</v>
          </cell>
          <cell r="C3548" t="str">
            <v>M</v>
          </cell>
          <cell r="D3548">
            <v>227.59</v>
          </cell>
        </row>
        <row r="3549">
          <cell r="A3549" t="str">
            <v>97340</v>
          </cell>
          <cell r="B3549" t="str">
            <v>TUBO EM COBRE RÍGIDO, DN 66 MM, CLASSE A, SEM ISOLAMENTO, INSTALADO EM PRUMADA  FORNECIMENTO E INSTALAÇÃO. AF_12/2015</v>
          </cell>
          <cell r="C3549" t="str">
            <v>M</v>
          </cell>
          <cell r="D3549">
            <v>228.25</v>
          </cell>
        </row>
        <row r="3550">
          <cell r="A3550" t="str">
            <v>97341</v>
          </cell>
          <cell r="B3550" t="str">
            <v>TUBO EM COBRE RÍGIDO, DN 15 MM, CLASSE A, SEM ISOLAMENTO, INSTALADO EM RAMAL DE DISTRIBUIÇÃO  FORNECIMENTO E INSTALAÇÃO. AF_12/2015</v>
          </cell>
          <cell r="C3550" t="str">
            <v>M</v>
          </cell>
          <cell r="D3550">
            <v>60.71</v>
          </cell>
        </row>
        <row r="3551">
          <cell r="A3551" t="str">
            <v>97342</v>
          </cell>
          <cell r="B3551" t="str">
            <v>TUBO EM COBRE RÍGIDO, DN 22 MM, CLASSE A, SEM ISOLAMENTO, INSTALADO EM RAMAL DE DISTRIBUIÇÃO FORNECIMENTO E INSTALAÇÃO. AF_12/2015</v>
          </cell>
          <cell r="C3551" t="str">
            <v>M</v>
          </cell>
          <cell r="D3551">
            <v>95.96</v>
          </cell>
        </row>
        <row r="3552">
          <cell r="A3552" t="str">
            <v>97343</v>
          </cell>
          <cell r="B3552" t="str">
            <v>TUBO EM COBRE RÍGIDO, DN 28 MM, CLASSE A, SEM ISOLAMENTO, INSTALADO EM RAMAL DE DISTRIBUIÇÃO FORNECIMENTO E INSTALAÇÃO. AF_12/2015</v>
          </cell>
          <cell r="C3552" t="str">
            <v>M</v>
          </cell>
          <cell r="D3552">
            <v>121.19</v>
          </cell>
        </row>
        <row r="3553">
          <cell r="A3553" t="str">
            <v>97344</v>
          </cell>
          <cell r="B3553" t="str">
            <v>TUBO EM COBRE RÍGIDO, DN 15 MM, CLASSE A, SEM ISOLAMENTO, INSTALADO EM RAMAL E SUB-RAMAL  FORNECIMENTO E INSTALAÇÃO. AF_12/2015</v>
          </cell>
          <cell r="C3553" t="str">
            <v>M</v>
          </cell>
          <cell r="D3553">
            <v>69.05</v>
          </cell>
        </row>
        <row r="3554">
          <cell r="A3554" t="str">
            <v>97345</v>
          </cell>
          <cell r="B3554" t="str">
            <v>TUBO EM COBRE RÍGIDO, DN 22 MM, CLASSE A, SEM ISOLAMENTO, INSTALADO EM RAMAL E SUB-RAMAL  FORNECIMENTO E INSTALAÇÃO. AF_12/2015</v>
          </cell>
          <cell r="C3554" t="str">
            <v>M</v>
          </cell>
          <cell r="D3554">
            <v>110.28</v>
          </cell>
        </row>
        <row r="3555">
          <cell r="A3555" t="str">
            <v>97346</v>
          </cell>
          <cell r="B3555" t="str">
            <v>TUBO EM COBRE RÍGIDO, DN 28 MM, CLASSE A, SEM ISOLAMENTO, INSTALADO EM RAMAL E SUB-RAMAL  FORNECIMENTO E INSTALAÇÃO. AF_12/2015</v>
          </cell>
          <cell r="C3555" t="str">
            <v>M</v>
          </cell>
          <cell r="D3555">
            <v>140.69999999999999</v>
          </cell>
        </row>
        <row r="3556">
          <cell r="A3556" t="str">
            <v>97347</v>
          </cell>
          <cell r="B3556" t="str">
            <v>TUBO EM COBRE RÍGIDO, DN 22 MM, CLASSE I, SEM ISOLAMENTO, INSTALADO EM PRUMADA  FORNECIMENTO E INSTALAÇÃO. AF_12/2015</v>
          </cell>
          <cell r="C3556" t="str">
            <v>M</v>
          </cell>
          <cell r="D3556">
            <v>111.15</v>
          </cell>
        </row>
        <row r="3557">
          <cell r="A3557" t="str">
            <v>97348</v>
          </cell>
          <cell r="B3557" t="str">
            <v>TUBO EM COBRE RÍGIDO, DN 28 MM, CLASSE I, SEM ISOLAMENTO, INSTALADO EM PRUMADA  FORNECIMENTO E INSTALAÇÃO. AF_12/2015</v>
          </cell>
          <cell r="C3557" t="str">
            <v>M</v>
          </cell>
          <cell r="D3557">
            <v>153.63999999999999</v>
          </cell>
        </row>
        <row r="3558">
          <cell r="A3558" t="str">
            <v>97349</v>
          </cell>
          <cell r="B3558" t="str">
            <v>TUBO EM COBRE RÍGIDO, DN 35 MM, CLASSE I, SEM ISOLAMENTO, INSTALADO EM PRUMADA  FORNECIMENTO E INSTALAÇÃO. AF_12/2015</v>
          </cell>
          <cell r="C3558" t="str">
            <v>M</v>
          </cell>
          <cell r="D3558">
            <v>221.64</v>
          </cell>
        </row>
        <row r="3559">
          <cell r="A3559" t="str">
            <v>97350</v>
          </cell>
          <cell r="B3559" t="str">
            <v>TUBO EM COBRE RÍGIDO, DN 42 MM, CLASSE I, SEM ISOLAMENTO, INSTALADO EM PRUMADA  FORNECIMENTO E INSTALAÇÃO. AF_12/2015</v>
          </cell>
          <cell r="C3559" t="str">
            <v>M</v>
          </cell>
          <cell r="D3559">
            <v>269.18</v>
          </cell>
        </row>
        <row r="3560">
          <cell r="A3560" t="str">
            <v>97351</v>
          </cell>
          <cell r="B3560" t="str">
            <v>TUBO EM COBRE RÍGIDO, DN 54 MM, CLASSE I, SEM ISOLAMENTO, INSTALADO EM PRUMADA  FORNECIMENTO E INSTALAÇÃO. AF_12/2015</v>
          </cell>
          <cell r="C3560" t="str">
            <v>M</v>
          </cell>
          <cell r="D3560">
            <v>372.32</v>
          </cell>
        </row>
        <row r="3561">
          <cell r="A3561" t="str">
            <v>97352</v>
          </cell>
          <cell r="B3561" t="str">
            <v>TUBO EM COBRE RÍGIDO, DN 66 MM, CLASSE I, SEM ISOLAMENTO, INSTALADO EM PRUMADA  FORNECIMENTO E INSTALAÇÃO. AF_12/2015</v>
          </cell>
          <cell r="C3561" t="str">
            <v>M</v>
          </cell>
          <cell r="D3561">
            <v>482.65</v>
          </cell>
        </row>
        <row r="3562">
          <cell r="A3562" t="str">
            <v>97353</v>
          </cell>
          <cell r="B3562" t="str">
            <v>TUBO EM COBRE RÍGIDO, DN 15 MM, CLASSE I, SEM ISOLAMENTO, INSTALADO EM RAMAL DE DISTRIBUIÇÃO  FORNECIMENTO E INSTALAÇÃO. AF_12/2015</v>
          </cell>
          <cell r="C3562" t="str">
            <v>M</v>
          </cell>
          <cell r="D3562">
            <v>71.95</v>
          </cell>
        </row>
        <row r="3563">
          <cell r="A3563" t="str">
            <v>97354</v>
          </cell>
          <cell r="B3563" t="str">
            <v>TUBO EM COBRE RÍGIDO, DN 22 MM, CLASSE I, SEM ISOLAMENTO, INSTALADO EM RAMAL DE DISTRIBUIÇÃO FORNECIMENTO E INSTALAÇÃO. AF_12/2015</v>
          </cell>
          <cell r="C3563" t="str">
            <v>M</v>
          </cell>
          <cell r="D3563">
            <v>114.94</v>
          </cell>
        </row>
        <row r="3564">
          <cell r="A3564" t="str">
            <v>97355</v>
          </cell>
          <cell r="B3564" t="str">
            <v>TUBO EM COBRE RÍGIDO, DN 28 MM, CLASSE I, SEM ISOLAMENTO, INSTALADO EM RAMAL DE DISTRIBUIÇÃO FORNECIMENTO E INSTALAÇÃO. AF_12/2015</v>
          </cell>
          <cell r="C3564" t="str">
            <v>M</v>
          </cell>
          <cell r="D3564">
            <v>157.72</v>
          </cell>
        </row>
        <row r="3565">
          <cell r="A3565" t="str">
            <v>97356</v>
          </cell>
          <cell r="B3565" t="str">
            <v>TUBO EM COBRE RÍGIDO, DN 15 MM, CLASSE I, SEM ISOLAMENTO, INSTALADO EM RAMAL E SUB-RAMAL  FORNECIMENTO E INSTALAÇÃO. AF_12/2015</v>
          </cell>
          <cell r="C3565" t="str">
            <v>M</v>
          </cell>
          <cell r="D3565">
            <v>80.290000000000006</v>
          </cell>
        </row>
        <row r="3566">
          <cell r="A3566" t="str">
            <v>97357</v>
          </cell>
          <cell r="B3566" t="str">
            <v>TUBO EM COBRE RÍGIDO, DN 22 MM, CLASSE I, SEM ISOLAMENTO, INSTALADO EM RAMAL E SUB-RAMAL  FORNECIMENTO E INSTALAÇÃO. AF_12/2015</v>
          </cell>
          <cell r="C3566" t="str">
            <v>M</v>
          </cell>
          <cell r="D3566">
            <v>129.26</v>
          </cell>
        </row>
        <row r="3567">
          <cell r="A3567" t="str">
            <v>97358</v>
          </cell>
          <cell r="B3567" t="str">
            <v>TUBO EM COBRE RÍGIDO, DN 28 MM, CLASSE I, SEM ISOLAMENTO, INSTALADO EM RAMAL E SUB-RAMAL  FORNECIMENTO E INSTALAÇÃO. AF_12/2015</v>
          </cell>
          <cell r="C3567" t="str">
            <v>M</v>
          </cell>
          <cell r="D3567">
            <v>177.23</v>
          </cell>
        </row>
        <row r="3568">
          <cell r="A3568" t="str">
            <v>97498</v>
          </cell>
          <cell r="B3568" t="str">
            <v>TUBO DE AÇO GALVANIZADO COM COSTURA, CLASSE MÉDIA, DN 25 (1"), CONEXÃO ROSQUEADA, INSTALADO EM REDE DE ALIMENTAÇÃO PARA HIDRANTE - FORNECIMENTO E INSTALAÇÃO. AF_10/2020</v>
          </cell>
          <cell r="C3568" t="str">
            <v>M</v>
          </cell>
          <cell r="D3568">
            <v>60.68</v>
          </cell>
        </row>
        <row r="3569">
          <cell r="A3569" t="str">
            <v>97535</v>
          </cell>
          <cell r="B3569" t="str">
            <v>TUBO DE AÇO GALVANIZADO COM COSTURA, CLASSE MÉDIA, CONEXÃO ROSQUEADA, DN 25 (1"), INSTALADO EM REDE DE ALIMENTAÇÃO PARA SPRINKLER - FORNECIMENTO E INSTALAÇÃO. AF_10/2020</v>
          </cell>
          <cell r="C3569" t="str">
            <v>M</v>
          </cell>
          <cell r="D3569">
            <v>64.47</v>
          </cell>
        </row>
        <row r="3570">
          <cell r="A3570" t="str">
            <v>97536</v>
          </cell>
          <cell r="B3570" t="str">
            <v>TUBO DE AÇO GALVANIZADO COM COSTURA, CLASSE MÉDIA, CONEXÃO ROSQUEADA, DN 25 (1"), INSTALADO EM RAMAIS  E SUB-RAMAIS DE GÁS - FORNECIMENTO E INSTALAÇÃO. AF_10/2020</v>
          </cell>
          <cell r="C3570" t="str">
            <v>UN</v>
          </cell>
          <cell r="D3570">
            <v>73.2</v>
          </cell>
        </row>
        <row r="3571">
          <cell r="A3571" t="str">
            <v>100788</v>
          </cell>
          <cell r="B3571" t="str">
            <v>KIT CAVALETE PARA GÁS - SEM MEDIDOR OU REGULADOR - ENTRADA INDIVIDUAL PRINCIPAL, EM AÇO GALVANIZADO DN 15 E 25 MM (1/2" E 1") - FORNECIMENTO E INSTALAÇÃO. AF_01/2020</v>
          </cell>
          <cell r="C3571" t="str">
            <v>M</v>
          </cell>
          <cell r="D3571">
            <v>633.15</v>
          </cell>
        </row>
        <row r="3572">
          <cell r="A3572" t="str">
            <v>100791</v>
          </cell>
          <cell r="B3572" t="str">
            <v>TUBO, PEX, MULTICAMADA, DN 16, INSTALADO EM IMPLANTAÇÃO DE INSTALAÇÕES DE GÁS - FORNECIMENTO E INSTALAÇÃO. AF_01/2020</v>
          </cell>
          <cell r="C3572" t="str">
            <v>M</v>
          </cell>
          <cell r="D3572">
            <v>18.170000000000002</v>
          </cell>
        </row>
        <row r="3573">
          <cell r="A3573" t="str">
            <v>100792</v>
          </cell>
          <cell r="B3573" t="str">
            <v>TUBO, PEX, MULTICAMADA, DN 20, INSTALADO EM IMPLANTAÇÃO DE INSTALAÇÕES DE GÁS - FORNECIMENTO E INSTALAÇÃO. AF_01/2020</v>
          </cell>
          <cell r="C3573" t="str">
            <v>M</v>
          </cell>
          <cell r="D3573">
            <v>26.97</v>
          </cell>
        </row>
        <row r="3574">
          <cell r="A3574" t="str">
            <v>100793</v>
          </cell>
          <cell r="B3574" t="str">
            <v>TUBO, PEX, MULTICAMADA, DN 26, INSTALADO EM IMPLANTAÇÃO DE INSTALAÇÕES DE GÁS - FORNECIMENTO E INSTALAÇÃO. AF_01/2020</v>
          </cell>
          <cell r="C3574" t="str">
            <v>M</v>
          </cell>
          <cell r="D3574">
            <v>35.97</v>
          </cell>
        </row>
        <row r="3575">
          <cell r="A3575" t="str">
            <v>100794</v>
          </cell>
          <cell r="B3575" t="str">
            <v>TUBO, PEX, MULTICAMADA, DN 32, INSTALADO EM IMPLANTAÇÃO DE INSTALAÇÕES DE GÁS - FORNECIMENTO E INSTALAÇÃO. AF_01/2020</v>
          </cell>
          <cell r="C3575" t="str">
            <v>M</v>
          </cell>
          <cell r="D3575">
            <v>48.73</v>
          </cell>
        </row>
        <row r="3576">
          <cell r="A3576" t="str">
            <v>100799</v>
          </cell>
          <cell r="B3576" t="str">
            <v>TUBO, PEX, MULTICAMADA, COM TUBO LUVA, DN 16, INSTALADO EM IMPLANTAÇÃO DE INSTALAÇÕES DE GÁS - FORNECIMENTO E INSTALAÇÃO. AF_01/2020</v>
          </cell>
          <cell r="C3576" t="str">
            <v>M</v>
          </cell>
          <cell r="D3576">
            <v>18.559999999999999</v>
          </cell>
        </row>
        <row r="3577">
          <cell r="A3577" t="str">
            <v>100800</v>
          </cell>
          <cell r="B3577" t="str">
            <v>TUBO, PEX, MULTICAMADA, COM TUBO LUVA, DN 20, INSTALADO EM IMPLANTAÇÃO DE INSTALAÇÕES DE GÁS - FORNECIMENTO E INSTALAÇÃO. AF_01/2020</v>
          </cell>
          <cell r="C3577" t="str">
            <v>M</v>
          </cell>
          <cell r="D3577">
            <v>27.36</v>
          </cell>
        </row>
        <row r="3578">
          <cell r="A3578" t="str">
            <v>100801</v>
          </cell>
          <cell r="B3578" t="str">
            <v>TUBO, PEX, MULTICAMADA, COM TUBO LUVA, DN 26, INSTALADO EM IMPLANTAÇÃO DE INSTALAÇÕES DE GÁS - FORNECIMENTO E INSTALAÇÃO. AF_01/2020</v>
          </cell>
          <cell r="C3578" t="str">
            <v>M</v>
          </cell>
          <cell r="D3578">
            <v>36.36</v>
          </cell>
        </row>
        <row r="3579">
          <cell r="A3579" t="str">
            <v>100802</v>
          </cell>
          <cell r="B3579" t="str">
            <v>TUBO, PEX, MULTICAMADA, COM TUBO LUVA, DN 32, INSTALADO EM IMPLANTAÇÃO DE INSTALAÇÕES DE GÁS - FORNECIMENTO E INSTALAÇÃO. AF_01/2020</v>
          </cell>
          <cell r="C3579" t="str">
            <v>M</v>
          </cell>
          <cell r="D3579">
            <v>49.12</v>
          </cell>
        </row>
        <row r="3580">
          <cell r="A3580" t="str">
            <v>100803</v>
          </cell>
          <cell r="B3580" t="str">
            <v>TUBO, PEX, MULTICAMADA, DN 16, INSTALADO EM RAMAL INTERNO DE INSTALAÇÕES DE GÁS - FORNECIMENTO E INSTALAÇÃO. AF_01/2020</v>
          </cell>
          <cell r="C3580" t="str">
            <v>M</v>
          </cell>
          <cell r="D3580">
            <v>17.37</v>
          </cell>
        </row>
        <row r="3581">
          <cell r="A3581" t="str">
            <v>100804</v>
          </cell>
          <cell r="B3581" t="str">
            <v>TUBO, PEX, MULTICAMADA, DN 20, INSTALADO EM RAMAL INTERNO DE INSTALAÇÕES DE GÁS - FORNECIMENTO E INSTALAÇÃO. AF_01/2020</v>
          </cell>
          <cell r="C3581" t="str">
            <v>M</v>
          </cell>
          <cell r="D3581">
            <v>26.02</v>
          </cell>
        </row>
        <row r="3582">
          <cell r="A3582" t="str">
            <v>100805</v>
          </cell>
          <cell r="B3582" t="str">
            <v>TUBO, PEX, MULTICAMADA, DN 26, INSTALADO EM RAMAL INTERNO DE INSTALAÇÕES DE GÁS - FORNECIMENTO E INSTALAÇÃO. AF_01/2020</v>
          </cell>
          <cell r="C3582" t="str">
            <v>M</v>
          </cell>
          <cell r="D3582">
            <v>34.83</v>
          </cell>
        </row>
        <row r="3583">
          <cell r="A3583" t="str">
            <v>100806</v>
          </cell>
          <cell r="B3583" t="str">
            <v>TUBO, PEX, MULTICAMADA, DN 32, INSTALADO EM RAMAL INTERNO DE INSTALAÇÕES DE GÁS - FORNECIMENTO E INSTALAÇÃO. AF_01/2020</v>
          </cell>
          <cell r="C3583" t="str">
            <v>M</v>
          </cell>
          <cell r="D3583">
            <v>47.33</v>
          </cell>
        </row>
        <row r="3584">
          <cell r="A3584" t="str">
            <v>100807</v>
          </cell>
          <cell r="B3584" t="str">
            <v>TUBO, PEX, MULTICAMADA, COM TUBO LUVA, DN 16, INSTALADO EM RAMAL INTERNO DE INSTALAÇÕES DE GÁS - FORNECIMENTO E INSTALAÇÃO. AF_01/2020</v>
          </cell>
          <cell r="C3584" t="str">
            <v>M</v>
          </cell>
          <cell r="D3584">
            <v>23.13</v>
          </cell>
        </row>
        <row r="3585">
          <cell r="A3585" t="str">
            <v>100808</v>
          </cell>
          <cell r="B3585" t="str">
            <v>TUBO, PEX, MULTICAMADA, COM TUBO LUVA, DN 20, INSTALADO EM RAMAL INTERNO DE INSTALAÇÕES DE GÁS - FORNECIMENTO E INSTALAÇÃO. AF_01/2020</v>
          </cell>
          <cell r="C3585" t="str">
            <v>M</v>
          </cell>
          <cell r="D3585">
            <v>32.79</v>
          </cell>
        </row>
        <row r="3586">
          <cell r="A3586" t="str">
            <v>100809</v>
          </cell>
          <cell r="B3586" t="str">
            <v>TUBO, PEX, MULTICAMADA, COM TUBO LUVA, DN 26, INSTALADO EM RAMAL INTERNO DE INSTALAÇÕES DE GÁS - FORNECIMENTO E INSTALAÇÃO. AF_01/2020</v>
          </cell>
          <cell r="C3586" t="str">
            <v>M</v>
          </cell>
          <cell r="D3586">
            <v>42.85</v>
          </cell>
        </row>
        <row r="3587">
          <cell r="A3587" t="str">
            <v>100810</v>
          </cell>
          <cell r="B3587" t="str">
            <v>TUBO, PEX, MULTICAMADA, COM TUBO LUVA, DN 32, INSTALADO EM RAMAL INTERNO DE INSTALAÇÕES DE GÁS - FORNECIMENTO E INSTALAÇÃO. AF_01/2020</v>
          </cell>
          <cell r="C3587" t="str">
            <v>M</v>
          </cell>
          <cell r="D3587">
            <v>57.1</v>
          </cell>
        </row>
        <row r="3588">
          <cell r="A3588" t="str">
            <v>101918</v>
          </cell>
          <cell r="B3588" t="str">
            <v>TUBO DE AÇO GALVANIZADO COM COSTURA, CLASSE MÉDIA, DN 100 (4"), CONEXÃO ROSQUEADA, INSTALADO EM PRUMADAS - FORNECIMENTO E INSTALAÇÃO. AF_10/2020</v>
          </cell>
          <cell r="C3588" t="str">
            <v>UN</v>
          </cell>
          <cell r="D3588">
            <v>288.27999999999997</v>
          </cell>
        </row>
        <row r="3589">
          <cell r="A3589" t="str">
            <v>101919</v>
          </cell>
          <cell r="B3589" t="str">
            <v>UNIÃO, EM FERRO GALVANIZADO, 4", CONEXÃO ROSQUEADA, INSTALADO EM PRUMADAS - FORNECIMENTO E INSTALAÇÃO. AF_10/2020</v>
          </cell>
          <cell r="C3589" t="str">
            <v>UN</v>
          </cell>
          <cell r="D3589">
            <v>323.24</v>
          </cell>
        </row>
        <row r="3590">
          <cell r="A3590" t="str">
            <v>101920</v>
          </cell>
          <cell r="B3590" t="str">
            <v>LUVA, EM FERRO GALVANIZADO, 4", CONEXÃO ROSQUEADA, INSTALADO EM PRUMADAS - FORNECIMENTO E INSTALAÇÃO. AF_10/2020</v>
          </cell>
          <cell r="C3590" t="str">
            <v>UN</v>
          </cell>
          <cell r="D3590">
            <v>154.22999999999999</v>
          </cell>
        </row>
        <row r="3591">
          <cell r="A3591" t="str">
            <v>101921</v>
          </cell>
          <cell r="B3591" t="str">
            <v>LUVA DE REDUÇÃO, EM FERRO GALVANIZADO, 4" X 2 1/2", CONEXÃO ROSQUEADA, INSTALADO EM PRUMADAS - FORNECIMENTO E INSTALAÇÃO. AF_10/2020</v>
          </cell>
          <cell r="C3591" t="str">
            <v>UN</v>
          </cell>
          <cell r="D3591">
            <v>175.99</v>
          </cell>
        </row>
        <row r="3592">
          <cell r="A3592" t="str">
            <v>101922</v>
          </cell>
          <cell r="B3592" t="str">
            <v>LUVA DE REDUÇÃO, EM FERRO GALVANIZADO, 4" X 2", CONEXÃO ROSQUEADA, INSTALADO EM PRUMADAS - FORNECIMENTO E INSTALAÇÃO. AF_10/2020</v>
          </cell>
          <cell r="C3592" t="str">
            <v>UN</v>
          </cell>
          <cell r="D3592">
            <v>175.99</v>
          </cell>
        </row>
        <row r="3593">
          <cell r="A3593" t="str">
            <v>101923</v>
          </cell>
          <cell r="B3593" t="str">
            <v>LUVA DE REDUÇÃO, EM FERRO GALVANIZADO, 4" X 3", CONEXÃO ROSQUEADA, INSTALADO EM PRUMADAS - FORNECIMENTO E INSTALAÇÃO. AF_10/2020</v>
          </cell>
          <cell r="C3593" t="str">
            <v>UN</v>
          </cell>
          <cell r="D3593">
            <v>175.99</v>
          </cell>
        </row>
        <row r="3594">
          <cell r="A3594" t="str">
            <v>101924</v>
          </cell>
          <cell r="B3594" t="str">
            <v>NIPLE, EM FERRO GALVANIZADO, 4", CONEXÃO ROSQUEADA, INSTALADO EM PRUMADAS - FORNECIMENTO E INSTALAÇÃO. AF_10/2020</v>
          </cell>
          <cell r="C3594" t="str">
            <v>UN</v>
          </cell>
          <cell r="D3594">
            <v>145.12</v>
          </cell>
        </row>
        <row r="3595">
          <cell r="A3595" t="str">
            <v>101925</v>
          </cell>
          <cell r="B3595" t="str">
            <v>JOELHO 90°, EM FERRO GALVANIZADO, 4", CONEXÃO ROSQUEADA, INSTALADO EM PRUMADAS - FORNECIMENTO E INSTALAÇÃO. AF_10/2020</v>
          </cell>
          <cell r="C3595" t="str">
            <v>UN</v>
          </cell>
          <cell r="D3595">
            <v>242.6</v>
          </cell>
        </row>
        <row r="3596">
          <cell r="A3596" t="str">
            <v>101926</v>
          </cell>
          <cell r="B3596" t="str">
            <v>TÊ, EM FERRO GALVANIZADO, 4", CONEXÃO ROSQUEADA, INSTALADO EM PRUMADAS - FORNECIMENTO E INSTALAÇÃO. AF_10/2020</v>
          </cell>
          <cell r="C3596" t="str">
            <v>M</v>
          </cell>
          <cell r="D3596">
            <v>312.8</v>
          </cell>
        </row>
        <row r="3597">
          <cell r="A3597" t="str">
            <v>101927</v>
          </cell>
          <cell r="B3597" t="str">
            <v>TUBO DE AÇO GALVANIZADO COM COSTURA, CLASSE MÉDIA, DN 100 (4"), CONEXÃO ROSQUEADA, INSTALADO EM REDE DE ALIMENTAÇÃO PARA HIDRANTE - FORNECIMENTO E INSTALAÇÃO. AF_10/2020</v>
          </cell>
          <cell r="C3597" t="str">
            <v>UN</v>
          </cell>
          <cell r="D3597">
            <v>276.44</v>
          </cell>
        </row>
        <row r="3598">
          <cell r="A3598" t="str">
            <v>101928</v>
          </cell>
          <cell r="B3598" t="str">
            <v>UNIÃO, EM FERRO GALVANIZADO, 4", CONEXÃO ROSQUEADA, INSTALADO EM REDE DE ALIMENTAÇÃO PARA HIDRANTE - FORNECIMENTO E INSTALAÇÃO. AF_10/2020</v>
          </cell>
          <cell r="C3598" t="str">
            <v>UN</v>
          </cell>
          <cell r="D3598">
            <v>327.77</v>
          </cell>
        </row>
        <row r="3599">
          <cell r="A3599" t="str">
            <v>101929</v>
          </cell>
          <cell r="B3599" t="str">
            <v>LUVA, EM FERRO GALVANIZADO, 4", CONEXÃO ROSQUEADA, INSTALADO EM REDE DE ALIMENTAÇÃO PARA HIDRANTE - FORNECIMENTO E INSTALAÇÃO. AF_10/2020</v>
          </cell>
          <cell r="C3599" t="str">
            <v>UN</v>
          </cell>
          <cell r="D3599">
            <v>158.76</v>
          </cell>
        </row>
        <row r="3600">
          <cell r="A3600" t="str">
            <v>101930</v>
          </cell>
          <cell r="B3600" t="str">
            <v>LUVA DE REDUÇÃO, EM FERRO GALVANIZADO, 4" X 2 1/2", CONEXÃO ROSQUEADA, INSTALADO EM REDE DE ALIMENTAÇÃO PARA HIDRANTE - FORNECIMENTO E INSTALAÇÃO. AF_10/2020</v>
          </cell>
          <cell r="C3600" t="str">
            <v>UN</v>
          </cell>
          <cell r="D3600">
            <v>180.52</v>
          </cell>
        </row>
        <row r="3601">
          <cell r="A3601" t="str">
            <v>101931</v>
          </cell>
          <cell r="B3601" t="str">
            <v>LUVA DE REDUÇÃO, EM FERRO GALVANIZADO, 4" X 2", CONEXÃO ROSQUEADA, INSTALADO EM REDE DE ALIMENTAÇÃO PARA HIDRANTE - FORNECIMENTO E INSTALAÇÃO. AF_10/2020</v>
          </cell>
          <cell r="C3601" t="str">
            <v>UN</v>
          </cell>
          <cell r="D3601">
            <v>180.52</v>
          </cell>
        </row>
        <row r="3602">
          <cell r="A3602" t="str">
            <v>101932</v>
          </cell>
          <cell r="B3602" t="str">
            <v>LUVA DE REDUÇÃO, EM FERRO GALVANIZADO, 4" X 3", CONEXÃO ROSQUEADA, INSTALADO EM REDE DE ALIMENTAÇÃO PARA HIDRANTE - FORNECIMENTO E INSTALAÇÃO. AF_10/2020</v>
          </cell>
          <cell r="C3602" t="str">
            <v>UN</v>
          </cell>
          <cell r="D3602">
            <v>180.52</v>
          </cell>
        </row>
        <row r="3603">
          <cell r="A3603" t="str">
            <v>101933</v>
          </cell>
          <cell r="B3603" t="str">
            <v>NIPLE, EM FERRO GALVANIZADO, 4", CONEXÃO ROSQUEADA, INSTALADO EM REDE DE ALIMENTAÇÃO PARA HIDRANTE - FORNECIMENTO E INSTALAÇÃO. AF_10/2020</v>
          </cell>
          <cell r="C3603" t="str">
            <v>UN</v>
          </cell>
          <cell r="D3603">
            <v>149.65</v>
          </cell>
        </row>
        <row r="3604">
          <cell r="A3604" t="str">
            <v>101934</v>
          </cell>
          <cell r="B3604" t="str">
            <v>JOELHO 90°, EM FERRO GALVANIZADO, 4", CONEXÃO ROSQUEADA, INSTALADO EM REDE DE ALIMENTAÇÃO PARA HIDRANTE - FORNECIMENTO E INSTALAÇÃO. AF_10/2020</v>
          </cell>
          <cell r="C3604" t="str">
            <v>UN</v>
          </cell>
          <cell r="D3604">
            <v>249.4</v>
          </cell>
        </row>
        <row r="3605">
          <cell r="A3605" t="str">
            <v>101935</v>
          </cell>
          <cell r="B3605" t="str">
            <v>TÊ, EM FERRO GALVANIZADO, 4", CONEXÃO ROSQUEADA, INSTALADO EM REDE DE ALIMENTAÇÃO PARA HIDRANTE - FORNECIMENTO E INSTALAÇÃO. AF_10/2020</v>
          </cell>
          <cell r="C3605" t="str">
            <v>UN</v>
          </cell>
          <cell r="D3605">
            <v>321.87</v>
          </cell>
        </row>
        <row r="3606">
          <cell r="A3606" t="str">
            <v>89358</v>
          </cell>
          <cell r="B3606" t="str">
            <v>JOELHO 90 GRAUS, PVC, SOLDÁVEL, DN 20MM, INSTALADO EM RAMAL OU SUB-RAMAL DE ÁGUA - FORNECIMENTO E INSTALAÇÃO. AF_12/2014</v>
          </cell>
          <cell r="C3606" t="str">
            <v>UN</v>
          </cell>
          <cell r="D3606">
            <v>6.78</v>
          </cell>
        </row>
        <row r="3607">
          <cell r="A3607" t="str">
            <v>89359</v>
          </cell>
          <cell r="B3607" t="str">
            <v>JOELHO 45 GRAUS, PVC, SOLDÁVEL, DN 20MM, INSTALADO EM RAMAL OU SUB-RAMAL DE ÁGUA - FORNECIMENTO E INSTALAÇÃO. AF_12/2014</v>
          </cell>
          <cell r="C3607" t="str">
            <v>UN</v>
          </cell>
          <cell r="D3607">
            <v>7.34</v>
          </cell>
        </row>
        <row r="3608">
          <cell r="A3608" t="str">
            <v>89360</v>
          </cell>
          <cell r="B3608" t="str">
            <v>CURVA 90 GRAUS, PVC, SOLDÁVEL, DN 20MM, INSTALADO EM RAMAL OU SUB-RAMAL DE ÁGUA - FORNECIMENTO E INSTALAÇÃO. AF_12/2014</v>
          </cell>
          <cell r="C3608" t="str">
            <v>UN</v>
          </cell>
          <cell r="D3608">
            <v>9.67</v>
          </cell>
        </row>
        <row r="3609">
          <cell r="A3609" t="str">
            <v>89361</v>
          </cell>
          <cell r="B3609" t="str">
            <v>CURVA 45 GRAUS, PVC, SOLDÁVEL, DN 20MM, INSTALADO EM RAMAL OU SUB-RAMAL DE ÁGUA - FORNECIMENTO E INSTALAÇÃO. AF_12/2014</v>
          </cell>
          <cell r="C3609" t="str">
            <v>UN</v>
          </cell>
          <cell r="D3609">
            <v>8.76</v>
          </cell>
        </row>
        <row r="3610">
          <cell r="A3610" t="str">
            <v>89362</v>
          </cell>
          <cell r="B3610" t="str">
            <v>JOELHO 90 GRAUS, PVC, SOLDÁVEL, DN 25MM, INSTALADO EM RAMAL OU SUB-RAMAL DE ÁGUA - FORNECIMENTO E INSTALAÇÃO. AF_12/2014</v>
          </cell>
          <cell r="C3610" t="str">
            <v>UN</v>
          </cell>
          <cell r="D3610">
            <v>8.1300000000000008</v>
          </cell>
        </row>
        <row r="3611">
          <cell r="A3611" t="str">
            <v>89363</v>
          </cell>
          <cell r="B3611" t="str">
            <v>JOELHO 45 GRAUS, PVC, SOLDÁVEL, DN 25MM, INSTALADO EM RAMAL OU SUB-RAMAL DE ÁGUA - FORNECIMENTO E INSTALAÇÃO. AF_12/2014</v>
          </cell>
          <cell r="C3611" t="str">
            <v>UN</v>
          </cell>
          <cell r="D3611">
            <v>9.33</v>
          </cell>
        </row>
        <row r="3612">
          <cell r="A3612" t="str">
            <v>89364</v>
          </cell>
          <cell r="B3612" t="str">
            <v>CURVA 90 GRAUS, PVC, SOLDÁVEL, DN 25MM, INSTALADO EM RAMAL OU SUB-RAMAL DE ÁGUA - FORNECIMENTO E INSTALAÇÃO. AF_12/2014</v>
          </cell>
          <cell r="C3612" t="str">
            <v>UN</v>
          </cell>
          <cell r="D3612">
            <v>11.79</v>
          </cell>
        </row>
        <row r="3613">
          <cell r="A3613" t="str">
            <v>89365</v>
          </cell>
          <cell r="B3613" t="str">
            <v>CURVA 45 GRAUS, PVC, SOLDÁVEL, DN 25MM, INSTALADO EM RAMAL OU SUB-RAMAL DE ÁGUA - FORNECIMENTO E INSTALAÇÃO. AF_12/2014</v>
          </cell>
          <cell r="C3613" t="str">
            <v>UN</v>
          </cell>
          <cell r="D3613">
            <v>10.69</v>
          </cell>
        </row>
        <row r="3614">
          <cell r="A3614" t="str">
            <v>89366</v>
          </cell>
          <cell r="B3614" t="str">
            <v>CURVA 45 GRAUS, PVC, SOLDÁVEL, DN 25MM, INSTALADO EM RAMAL OU SUB-RAMAL DE ÁGUA - FORNECIMENTO E INSTALAÇÃO. AF_12/2014</v>
          </cell>
          <cell r="C3614" t="str">
            <v>UN</v>
          </cell>
          <cell r="D3614">
            <v>18.309999999999999</v>
          </cell>
        </row>
        <row r="3615">
          <cell r="A3615" t="str">
            <v>89367</v>
          </cell>
          <cell r="B3615" t="str">
            <v>JOELHO 90 GRAUS, PVC, SOLDÁVEL, DN 32MM, INSTALADO EM RAMAL OU SUB-RAMAL DE ÁGUA - FORNECIMENTO E INSTALAÇÃO. AF_12/2014</v>
          </cell>
          <cell r="C3615" t="str">
            <v>UN</v>
          </cell>
          <cell r="D3615">
            <v>11.9</v>
          </cell>
        </row>
        <row r="3616">
          <cell r="A3616" t="str">
            <v>89368</v>
          </cell>
          <cell r="B3616" t="str">
            <v>JOELHO 45 GRAUS, PVC, SOLDÁVEL, DN 32MM, INSTALADO EM RAMAL OU SUB-RAMAL DE ÁGUA - FORNECIMENTO E INSTALAÇÃO. AF_12/2014</v>
          </cell>
          <cell r="C3616" t="str">
            <v>UN</v>
          </cell>
          <cell r="D3616">
            <v>15.25</v>
          </cell>
        </row>
        <row r="3617">
          <cell r="A3617" t="str">
            <v>89369</v>
          </cell>
          <cell r="B3617" t="str">
            <v>CURVA 90 GRAUS, PVC, SOLDÁVEL, DN 32MM, INSTALADO EM RAMAL OU SUB-RAMAL DE ÁGUA - FORNECIMENTO E INSTALAÇÃO. AF_12/2014</v>
          </cell>
          <cell r="C3617" t="str">
            <v>UN</v>
          </cell>
          <cell r="D3617">
            <v>19.399999999999999</v>
          </cell>
        </row>
        <row r="3618">
          <cell r="A3618" t="str">
            <v>89370</v>
          </cell>
          <cell r="B3618" t="str">
            <v>CURVA 45 GRAUS, PVC, SOLDÁVEL, DN 32MM, INSTALADO EM RAMAL OU SUB-RAMAL DE ÁGUA - FORNECIMENTO E INSTALAÇÃO. AF_12/2014</v>
          </cell>
          <cell r="C3618" t="str">
            <v>UN</v>
          </cell>
          <cell r="D3618">
            <v>14.55</v>
          </cell>
        </row>
        <row r="3619">
          <cell r="A3619" t="str">
            <v>89371</v>
          </cell>
          <cell r="B3619" t="str">
            <v>LUVA, PVC, SOLDÁVEL, DN 20MM, INSTALADO EM RAMAL OU SUB-RAMAL DE ÁGUA - FORNECIMENTO E INSTALAÇÃO. AF_12/2014</v>
          </cell>
          <cell r="C3619" t="str">
            <v>UN</v>
          </cell>
          <cell r="D3619">
            <v>5.26</v>
          </cell>
        </row>
        <row r="3620">
          <cell r="A3620" t="str">
            <v>89372</v>
          </cell>
          <cell r="B3620" t="str">
            <v>LUVA DE CORRER, PVC, SOLDÁVEL, DN 20MM, INSTALADO EM RAMAL OU SUB-RAMAL DE ÁGUA - FORNECIMENTO E INSTALAÇÃO. AF_12/2014</v>
          </cell>
          <cell r="C3620" t="str">
            <v>UN</v>
          </cell>
          <cell r="D3620">
            <v>16.309999999999999</v>
          </cell>
        </row>
        <row r="3621">
          <cell r="A3621" t="str">
            <v>89373</v>
          </cell>
          <cell r="B3621" t="str">
            <v>LUVA DE REDUÇÃO, PVC, SOLDÁVEL, DN 25MM X 20MM, INSTALADO EM RAMAL OU SUB-RAMAL DE ÁGUA - FORNECIMENTO E INSTALAÇÃO. AF_12/2014</v>
          </cell>
          <cell r="C3621" t="str">
            <v>UN</v>
          </cell>
          <cell r="D3621">
            <v>6.27</v>
          </cell>
        </row>
        <row r="3622">
          <cell r="A3622" t="str">
            <v>89374</v>
          </cell>
          <cell r="B3622" t="str">
            <v>LUVA COM BUCHA DE LATÃO, PVC, SOLDÁVEL, DN 20MM X 1/2, INSTALADO EM RAMAL OU SUB-RAMAL DE ÁGUA - FORNECIMENTO E INSTALAÇÃO. AF_12/2014</v>
          </cell>
          <cell r="C3622" t="str">
            <v>UN</v>
          </cell>
          <cell r="D3622">
            <v>12.26</v>
          </cell>
        </row>
        <row r="3623">
          <cell r="A3623" t="str">
            <v>89375</v>
          </cell>
          <cell r="B3623" t="str">
            <v>UNIÃO, PVC, SOLDÁVEL, DN 20MM, INSTALADO EM RAMAL OU SUB-RAMAL DE ÁGUA - FORNECIMENTO E INSTALAÇÃO. AF_12/2014</v>
          </cell>
          <cell r="C3623" t="str">
            <v>UN</v>
          </cell>
          <cell r="D3623">
            <v>15.87</v>
          </cell>
        </row>
        <row r="3624">
          <cell r="A3624" t="str">
            <v>89376</v>
          </cell>
          <cell r="B3624" t="str">
            <v>ADAPTADOR CURTO COM BOLSA E ROSCA PARA REGISTRO, PVC, SOLDÁVEL, DN 20MM X 1/2, INSTALADO EM RAMAL OU SUB-RAMAL DE ÁGUA - FORNECIMENTO E INSTALAÇÃO. AF_12/2014</v>
          </cell>
          <cell r="C3624" t="str">
            <v>UN</v>
          </cell>
          <cell r="D3624">
            <v>5.37</v>
          </cell>
        </row>
        <row r="3625">
          <cell r="A3625" t="str">
            <v>89377</v>
          </cell>
          <cell r="B3625" t="str">
            <v>CURVA DE TRANSPOSIÇÃO, PVC, SOLDÁVEL, DN 20MM, INSTALADO EM RAMAL OU SUB-RAMAL DE ÁGUA - FORNECIMENTO E INSTALAÇÃO. AF_12/2014</v>
          </cell>
          <cell r="C3625" t="str">
            <v>UN</v>
          </cell>
          <cell r="D3625">
            <v>10.71</v>
          </cell>
        </row>
        <row r="3626">
          <cell r="A3626" t="str">
            <v>89378</v>
          </cell>
          <cell r="B3626" t="str">
            <v>LUVA, PVC, SOLDÁVEL, DN 25MM, INSTALADO EM RAMAL OU SUB-RAMAL DE ÁGUA - FORNECIMENTO E INSTALAÇÃO. AF_12/2014</v>
          </cell>
          <cell r="C3626" t="str">
            <v>UN</v>
          </cell>
          <cell r="D3626">
            <v>6.26</v>
          </cell>
        </row>
        <row r="3627">
          <cell r="A3627" t="str">
            <v>89379</v>
          </cell>
          <cell r="B3627" t="str">
            <v>LUVA DE CORRER, PVC, SOLDÁVEL, DN 25MM, INSTALADO EM RAMAL OU SUB-RAMAL DE ÁGUA - FORNECIMENTO E INSTALAÇÃO. AF_12/2014</v>
          </cell>
          <cell r="C3627" t="str">
            <v>UN</v>
          </cell>
          <cell r="D3627">
            <v>20.98</v>
          </cell>
        </row>
        <row r="3628">
          <cell r="A3628" t="str">
            <v>89380</v>
          </cell>
          <cell r="B3628" t="str">
            <v>LUVA DE REDUÇÃO, PVC, SOLDÁVEL, DN 32MM X 25MM, INSTALADO EM RAMAL OU SUB-RAMAL DE ÁGUA - FORNECIMENTO E INSTALAÇÃO. AF_12/2014</v>
          </cell>
          <cell r="C3628" t="str">
            <v>UN</v>
          </cell>
          <cell r="D3628">
            <v>10.78</v>
          </cell>
        </row>
        <row r="3629">
          <cell r="A3629" t="str">
            <v>89381</v>
          </cell>
          <cell r="B3629" t="str">
            <v>LUVA COM BUCHA DE LATÃO, PVC, SOLDÁVEL, DN 25MM X 3/4, INSTALADO EM RAMAL OU SUB-RAMAL DE ÁGUA - FORNECIMENTO E INSTALAÇÃO. AF_12/2014</v>
          </cell>
          <cell r="C3629" t="str">
            <v>UN</v>
          </cell>
          <cell r="D3629">
            <v>15.57</v>
          </cell>
        </row>
        <row r="3630">
          <cell r="A3630" t="str">
            <v>89382</v>
          </cell>
          <cell r="B3630" t="str">
            <v>UNIÃO, PVC, SOLDÁVEL, DN 25MM, INSTALADO EM RAMAL OU SUB-RAMAL DE ÁGUA - FORNECIMENTO E INSTALAÇÃO. AF_12/2014</v>
          </cell>
          <cell r="C3630" t="str">
            <v>UN</v>
          </cell>
          <cell r="D3630">
            <v>18.940000000000001</v>
          </cell>
        </row>
        <row r="3631">
          <cell r="A3631" t="str">
            <v>89383</v>
          </cell>
          <cell r="B3631" t="str">
            <v>ADAPTADOR CURTO COM BOLSA E ROSCA PARA REGISTRO, PVC, SOLDÁVEL, DN 25MM X 3/4, INSTALADO EM RAMAL OU SUB-RAMAL DE ÁGUA - FORNECIMENTO E INSTALAÇÃO. AF_12/2014</v>
          </cell>
          <cell r="C3631" t="str">
            <v>UN</v>
          </cell>
          <cell r="D3631">
            <v>6.4</v>
          </cell>
        </row>
        <row r="3632">
          <cell r="A3632" t="str">
            <v>89384</v>
          </cell>
          <cell r="B3632" t="str">
            <v>CURVA DE TRANSPOSIÇÃO, PVC, SOLDÁVEL, DN 25MM, INSTALADO EM RAMAL OU SUB-RAMAL DE ÁGUA   FORNECIMENTO E INSTALAÇÃO. AF_12/2014</v>
          </cell>
          <cell r="C3632" t="str">
            <v>UN</v>
          </cell>
          <cell r="D3632">
            <v>15.81</v>
          </cell>
        </row>
        <row r="3633">
          <cell r="A3633" t="str">
            <v>89385</v>
          </cell>
          <cell r="B3633" t="str">
            <v>LUVA SOLDÁVEL E COM ROSCA, PVC, SOLDÁVEL, DN 25MM X 3/4, INSTALADO EM RAMAL OU SUB-RAMAL DE ÁGUA - FORNECIMENTO E INSTALAÇÃO. AF_12/2014</v>
          </cell>
          <cell r="C3633" t="str">
            <v>UN</v>
          </cell>
          <cell r="D3633">
            <v>7.57</v>
          </cell>
        </row>
        <row r="3634">
          <cell r="A3634" t="str">
            <v>89386</v>
          </cell>
          <cell r="B3634" t="str">
            <v>LUVA, PVC, SOLDÁVEL, DN 32MM, INSTALADO EM RAMAL OU SUB-RAMAL DE ÁGUA - FORNECIMENTO E INSTALAÇÃO. AF_12/2014</v>
          </cell>
          <cell r="C3634" t="str">
            <v>UN</v>
          </cell>
          <cell r="D3634">
            <v>9.16</v>
          </cell>
        </row>
        <row r="3635">
          <cell r="A3635" t="str">
            <v>89387</v>
          </cell>
          <cell r="B3635" t="str">
            <v>LUVA DE CORRER, PVC, SOLDÁVEL, DN 32MM, INSTALADO EM RAMAL OU SUB-RAMAL DE ÁGUA   FORNECIMENTO E INSTALAÇÃO. AF_12/2014</v>
          </cell>
          <cell r="C3635" t="str">
            <v>UN</v>
          </cell>
          <cell r="D3635">
            <v>44.3</v>
          </cell>
        </row>
        <row r="3636">
          <cell r="A3636" t="str">
            <v>89388</v>
          </cell>
          <cell r="B3636" t="str">
            <v>LUVA DE REDUÇÃO, PVC, SOLDÁVEL, DN 40MM X 32MM, INSTALADO EM RAMAL OU SUB-RAMAL DE ÁGUA - FORNECIMENTO E INSTALAÇÃO. AF_12/2014</v>
          </cell>
          <cell r="C3636" t="str">
            <v>UN</v>
          </cell>
          <cell r="D3636">
            <v>13.13</v>
          </cell>
        </row>
        <row r="3637">
          <cell r="A3637" t="str">
            <v>89389</v>
          </cell>
          <cell r="B3637" t="str">
            <v>LUVA SOLDÁVEL E COM ROSCA, PVC, SOLDÁVEL, DN 32MM X 1, INSTALADO EM RAMAL OU SUB-RAMAL DE ÁGUA - FORNECIMENTO E INSTALAÇÃO. AF_12/2014</v>
          </cell>
          <cell r="C3637" t="str">
            <v>UN</v>
          </cell>
          <cell r="D3637">
            <v>14.49</v>
          </cell>
        </row>
        <row r="3638">
          <cell r="A3638" t="str">
            <v>89390</v>
          </cell>
          <cell r="B3638" t="str">
            <v>UNIÃO, PVC, SOLDÁVEL, DN 32MM, INSTALADO EM RAMAL OU SUB-RAMAL DE ÁGUA - FORNECIMENTO E INSTALAÇÃO. AF_12/2014</v>
          </cell>
          <cell r="C3638" t="str">
            <v>UN</v>
          </cell>
          <cell r="D3638">
            <v>28.97</v>
          </cell>
        </row>
        <row r="3639">
          <cell r="A3639">
            <v>89391</v>
          </cell>
          <cell r="B3639" t="str">
            <v>ADAPTADOR CURTO COM BOLSA E ROSCA PARA REGISTRO, PVC, SOLDÁVEL, DN 32MM X 1, INSTALADO EM RAMAL OU SUB-RAMAL DE ÁGUA - FORNECIMENTO E INSTALAÇÃO. AF_12/2014</v>
          </cell>
          <cell r="C3639" t="str">
            <v>UN</v>
          </cell>
          <cell r="D3639">
            <v>8.99</v>
          </cell>
        </row>
        <row r="3640">
          <cell r="A3640" t="str">
            <v>89392</v>
          </cell>
          <cell r="B3640" t="str">
            <v>CURVA DE TRANSPOSIÇÃO, PVC, SOLDÁVEL, DN 32MM, INSTALADO EM RAMAL OU SUB-RAMAL DE ÁGUA   FORNECIMENTO E INSTALAÇÃO. AF_12/2014</v>
          </cell>
          <cell r="C3640" t="str">
            <v>UN</v>
          </cell>
          <cell r="D3640">
            <v>35.020000000000003</v>
          </cell>
        </row>
        <row r="3641">
          <cell r="A3641" t="str">
            <v>89393</v>
          </cell>
          <cell r="B3641" t="str">
            <v>TE, PVC, SOLDÁVEL, DN 20MM, INSTALADO EM RAMAL OU SUB-RAMAL DE ÁGUA - FORNECIMENTO E INSTALAÇÃO. AF_12/2014</v>
          </cell>
          <cell r="C3641" t="str">
            <v>UN</v>
          </cell>
          <cell r="D3641">
            <v>9.56</v>
          </cell>
        </row>
        <row r="3642">
          <cell r="A3642" t="str">
            <v>89394</v>
          </cell>
          <cell r="B3642" t="str">
            <v>TÊ COM BUCHA DE LATÃO NA BOLSA CENTRAL, PVC, SOLDÁVEL, DN 20MM X 1/2, INSTALADO EM RAMAL OU SUB-RAMAL DE ÁGUA - FORNECIMENTO E INSTALAÇÃO. AF_12/2014</v>
          </cell>
          <cell r="C3642" t="str">
            <v>UN</v>
          </cell>
          <cell r="D3642">
            <v>23.35</v>
          </cell>
        </row>
        <row r="3643">
          <cell r="A3643" t="str">
            <v>89395</v>
          </cell>
          <cell r="B3643" t="str">
            <v>TE, PVC, SOLDÁVEL, DN 25MM, INSTALADO EM RAMAL OU SUB-RAMAL DE ÁGUA - FORNECIMENTO E INSTALAÇÃO. AF_12/2014</v>
          </cell>
          <cell r="C3643" t="str">
            <v>UN</v>
          </cell>
          <cell r="D3643">
            <v>11.5</v>
          </cell>
        </row>
        <row r="3644">
          <cell r="A3644" t="str">
            <v>89396</v>
          </cell>
          <cell r="B3644" t="str">
            <v>TÊ COM BUCHA DE LATÃO NA BOLSA CENTRAL, PVC, SOLDÁVEL, DN 25MM X 1/2, INSTALADO EM RAMAL OU SUB-RAMAL DE ÁGUA - FORNECIMENTO E INSTALAÇÃO. AF_12/2014</v>
          </cell>
          <cell r="C3644" t="str">
            <v>UN</v>
          </cell>
          <cell r="D3644">
            <v>23.3</v>
          </cell>
        </row>
        <row r="3645">
          <cell r="A3645" t="str">
            <v>89397</v>
          </cell>
          <cell r="B3645" t="str">
            <v>TÊ DE REDUÇÃO, PVC, SOLDÁVEL, DN 25MM X 20MM, INSTALADO EM RAMAL OU SUB-RAMAL DE ÁGUA - FORNECIMENTO E INSTALAÇÃO. AF_12/2014</v>
          </cell>
          <cell r="C3645" t="str">
            <v>UN</v>
          </cell>
          <cell r="D3645">
            <v>14.65</v>
          </cell>
        </row>
        <row r="3646">
          <cell r="A3646" t="str">
            <v>89398</v>
          </cell>
          <cell r="B3646" t="str">
            <v>TE, PVC, SOLDÁVEL, DN 32MM, INSTALADO EM RAMAL OU SUB-RAMAL DE ÁGUA - FORNECIMENTO E INSTALAÇÃO. AF_12/2014</v>
          </cell>
          <cell r="C3646" t="str">
            <v>UN</v>
          </cell>
          <cell r="D3646">
            <v>18.100000000000001</v>
          </cell>
        </row>
        <row r="3647">
          <cell r="A3647" t="str">
            <v>89399</v>
          </cell>
          <cell r="B3647" t="str">
            <v>TÊ COM BUCHA DE LATÃO NA BOLSA CENTRAL, PVC, SOLDÁVEL, DN 32MM X 3/4, INSTALADO EM RAMAL OU SUB-RAMAL DE ÁGUA - FORNECIMENTO E INSTALAÇÃO. AF_12/2014</v>
          </cell>
          <cell r="C3647" t="str">
            <v>UN</v>
          </cell>
          <cell r="D3647">
            <v>38.130000000000003</v>
          </cell>
        </row>
        <row r="3648">
          <cell r="A3648" t="str">
            <v>89400</v>
          </cell>
          <cell r="B3648" t="str">
            <v>TÊ DE REDUÇÃO, PVC, SOLDÁVEL, DN 32MM X 25MM, INSTALADO EM RAMAL OU SUB-RAMAL DE ÁGUA - FORNECIMENTO E INSTALAÇÃO. AF_12/2014</v>
          </cell>
          <cell r="C3648" t="str">
            <v>UN</v>
          </cell>
          <cell r="D3648">
            <v>21.23</v>
          </cell>
        </row>
        <row r="3649">
          <cell r="A3649" t="str">
            <v>89404</v>
          </cell>
          <cell r="B3649" t="str">
            <v>JOELHO 90 GRAUS, PVC, SOLDÁVEL, DN 20MM, INSTALADO EM RAMAL DE DISTRIBUIÇÃO DE ÁGUA - FORNECIMENTO E INSTALAÇÃO. AF_12/2014</v>
          </cell>
          <cell r="C3649" t="str">
            <v>UN</v>
          </cell>
          <cell r="D3649">
            <v>4.71</v>
          </cell>
        </row>
        <row r="3650">
          <cell r="A3650" t="str">
            <v>89405</v>
          </cell>
          <cell r="B3650" t="str">
            <v>JOELHO 45 GRAUS, PVC, SOLDÁVEL, DN 20MM, INSTALADO EM RAMAL DE DISTRIBUIÇÃO DE ÁGUA - FORNECIMENTO E INSTALAÇÃO. AF_12/2014</v>
          </cell>
          <cell r="C3650" t="str">
            <v>UN</v>
          </cell>
          <cell r="D3650">
            <v>5.27</v>
          </cell>
        </row>
        <row r="3651">
          <cell r="A3651" t="str">
            <v>89406</v>
          </cell>
          <cell r="B3651" t="str">
            <v>CURVA 90 GRAUS, PVC, SOLDÁVEL, DN 20MM, INSTALADO EM RAMAL DE DISTRIBUIÇÃO DE ÁGUA - FORNECIMENTO E INSTALAÇÃO. AF_12/2014</v>
          </cell>
          <cell r="C3651" t="str">
            <v>UN</v>
          </cell>
          <cell r="D3651">
            <v>7.6</v>
          </cell>
        </row>
        <row r="3652">
          <cell r="A3652" t="str">
            <v>89407</v>
          </cell>
          <cell r="B3652" t="str">
            <v>CURVA 45 GRAUS, PVC, SOLDÁVEL, DN 20MM, INSTALADO EM RAMAL DE DISTRIBUIÇÃO DE ÁGUA - FORNECIMENTO E INSTALAÇÃO. AF_12/2014</v>
          </cell>
          <cell r="C3652" t="str">
            <v>UN</v>
          </cell>
          <cell r="D3652">
            <v>6.69</v>
          </cell>
        </row>
        <row r="3653">
          <cell r="A3653" t="str">
            <v>89408</v>
          </cell>
          <cell r="B3653" t="str">
            <v>JOELHO 90 GRAUS, PVC, SOLDÁVEL, DN 25MM, INSTALADO EM RAMAL DE DISTRIBUIÇÃO DE ÁGUA - FORNECIMENTO E INSTALAÇÃO. AF_12/2014</v>
          </cell>
          <cell r="C3653" t="str">
            <v>UN</v>
          </cell>
          <cell r="D3653">
            <v>5.74</v>
          </cell>
        </row>
        <row r="3654">
          <cell r="A3654" t="str">
            <v>89409</v>
          </cell>
          <cell r="B3654" t="str">
            <v>JOELHO 45 GRAUS, PVC, SOLDÁVEL, DN 25MM, INSTALADO EM RAMAL DE DISTRIBUIÇÃO DE ÁGUA - FORNECIMENTO E INSTALAÇÃO. AF_12/2014</v>
          </cell>
          <cell r="C3654" t="str">
            <v>UN</v>
          </cell>
          <cell r="D3654">
            <v>6.94</v>
          </cell>
        </row>
        <row r="3655">
          <cell r="A3655" t="str">
            <v>89410</v>
          </cell>
          <cell r="B3655" t="str">
            <v>CURVA 90 GRAUS, PVC, SOLDÁVEL, DN 25MM, INSTALADO EM RAMAL DE DISTRIBUIÇÃO DE ÁGUA - FORNECIMENTO E INSTALAÇÃO. AF_12/2014</v>
          </cell>
          <cell r="C3655" t="str">
            <v>UN</v>
          </cell>
          <cell r="D3655">
            <v>9.4</v>
          </cell>
        </row>
        <row r="3656">
          <cell r="A3656" t="str">
            <v>89411</v>
          </cell>
          <cell r="B3656" t="str">
            <v>CURVA 45 GRAUS, PVC, SOLDÁVEL, DN 25MM, INSTALADO EM RAMAL DE DISTRIBUIÇÃO DE ÁGUA - FORNECIMENTO E INSTALAÇÃO. AF_12/2014</v>
          </cell>
          <cell r="C3656" t="str">
            <v>UN</v>
          </cell>
          <cell r="D3656">
            <v>8.3000000000000007</v>
          </cell>
        </row>
        <row r="3657">
          <cell r="A3657" t="str">
            <v>89412</v>
          </cell>
          <cell r="B3657" t="str">
            <v>JOELHO 90 GRAUS, PVC, SOLDÁVEL, DN 25MM, X 3/4 INSTALADO EM RAMAL DE DISTRIBUIÇÃO DE ÁGUA - FORNECIMENTO E INSTALAÇÃO. AF_12/2014</v>
          </cell>
          <cell r="C3657" t="str">
            <v>UN</v>
          </cell>
          <cell r="D3657">
            <v>9.81</v>
          </cell>
        </row>
        <row r="3658">
          <cell r="A3658" t="str">
            <v>89413</v>
          </cell>
          <cell r="B3658" t="str">
            <v>JOELHO 90 GRAUS, PVC, SOLDÁVEL, DN 32MM, INSTALADO EM RAMAL DE DISTRIBUIÇÃO DE ÁGUA - FORNECIMENTO E INSTALAÇÃO. AF_12/2014</v>
          </cell>
          <cell r="C3658" t="str">
            <v>UN</v>
          </cell>
          <cell r="D3658">
            <v>9.0399999999999991</v>
          </cell>
        </row>
        <row r="3659">
          <cell r="A3659" t="str">
            <v>89414</v>
          </cell>
          <cell r="B3659" t="str">
            <v>JOELHO 45 GRAUS, PVC, SOLDÁVEL, DN 32MM, INSTALADO EM RAMAL DE DISTRIBUIÇÃO DE ÁGUA - FORNECIMENTO E INSTALAÇÃO. AF_12/2014</v>
          </cell>
          <cell r="C3659" t="str">
            <v>UN</v>
          </cell>
          <cell r="D3659">
            <v>12.39</v>
          </cell>
        </row>
        <row r="3660">
          <cell r="A3660" t="str">
            <v>89415</v>
          </cell>
          <cell r="B3660" t="str">
            <v>CURVA 90 GRAUS, PVC, SOLDÁVEL, DN 32MM, INSTALADO EM RAMAL DE DISTRIBUIÇÃO DE ÁGUA - FORNECIMENTO E INSTALAÇÃO. AF_12/2014</v>
          </cell>
          <cell r="C3660" t="str">
            <v>UN</v>
          </cell>
          <cell r="D3660">
            <v>16.54</v>
          </cell>
        </row>
        <row r="3661">
          <cell r="A3661" t="str">
            <v>89416</v>
          </cell>
          <cell r="B3661" t="str">
            <v>CURVA 45 GRAUS, PVC, SOLDÁVEL, DN 32MM, INSTALADO EM RAMAL DE DISTRIBUIÇÃO DE ÁGUA - FORNECIMENTO E INSTALAÇÃO. AF_12/2014</v>
          </cell>
          <cell r="C3661" t="str">
            <v>UN</v>
          </cell>
          <cell r="D3661">
            <v>11.69</v>
          </cell>
        </row>
        <row r="3662">
          <cell r="A3662" t="str">
            <v>89417</v>
          </cell>
          <cell r="B3662" t="str">
            <v>LUVA, PVC, SOLDÁVEL, DN 20MM, INSTALADO EM RAMAL DE DISTRIBUIÇÃO DE ÁGUA - FORNECIMENTO E INSTALAÇÃO. AF_12/2014</v>
          </cell>
          <cell r="C3662" t="str">
            <v>UN</v>
          </cell>
          <cell r="D3662">
            <v>3.91</v>
          </cell>
        </row>
        <row r="3663">
          <cell r="A3663" t="str">
            <v>89418</v>
          </cell>
          <cell r="B3663" t="str">
            <v>LUVA DE CORRER, PVC, SOLDÁVEL, DN 20MM, INSTALADO EM RAMAL DE DISTRIBUIÇÃO DE ÁGUA - FORNECIMENTO E INSTALAÇÃO. AF_12/2014</v>
          </cell>
          <cell r="C3663" t="str">
            <v>UN</v>
          </cell>
          <cell r="D3663">
            <v>14.96</v>
          </cell>
        </row>
        <row r="3664">
          <cell r="A3664" t="str">
            <v>89419</v>
          </cell>
          <cell r="B3664" t="str">
            <v>LUVA DE REDUÇÃO, PVC, SOLDÁVEL, DN 25MM X 20MM, INSTALADO EM RAMAL DE DISTRIBUIÇÃO DE ÁGUA - FORNECIMENTO E INSTALAÇÃO. AF_12/2014</v>
          </cell>
          <cell r="C3664" t="str">
            <v>UN</v>
          </cell>
          <cell r="D3664">
            <v>4.92</v>
          </cell>
        </row>
        <row r="3665">
          <cell r="A3665" t="str">
            <v>89420</v>
          </cell>
          <cell r="B3665" t="str">
            <v>LUVA COM BUCHA DE LATÃO, PVC, SOLDÁVEL, DN 20MM X 1/2, INSTALADO EM RAMAL DE DISTRIBUIÇÃO DE ÁGUA - FORNECIMENTO E INSTALAÇÃO. AF_12/2014</v>
          </cell>
          <cell r="C3665" t="str">
            <v>UN</v>
          </cell>
          <cell r="D3665">
            <v>10.91</v>
          </cell>
        </row>
        <row r="3666">
          <cell r="A3666" t="str">
            <v>89421</v>
          </cell>
          <cell r="B3666" t="str">
            <v>UNIÃO, PVC, SOLDÁVEL, DN 20MM, INSTALADO EM RAMAL DE DISTRIBUIÇÃO DE ÁGUA - FORNECIMENTO E INSTALAÇÃO. AF_12/2014</v>
          </cell>
          <cell r="C3666" t="str">
            <v>UN</v>
          </cell>
          <cell r="D3666">
            <v>14.52</v>
          </cell>
        </row>
        <row r="3667">
          <cell r="A3667" t="str">
            <v>89422</v>
          </cell>
          <cell r="B3667" t="str">
            <v>ADAPTADOR CURTO COM BOLSA E ROSCA PARA REGISTRO, PVC, SOLDÁVEL, DN 20MM X 1/2, INSTALADO EM RAMAL DE DISTRIBUIÇÃO DE ÁGUA - FORNECIMENTO E INSTALAÇÃO. AF_12/2014</v>
          </cell>
          <cell r="C3667" t="str">
            <v>UN</v>
          </cell>
          <cell r="D3667">
            <v>4.0199999999999996</v>
          </cell>
        </row>
        <row r="3668">
          <cell r="A3668" t="str">
            <v>89423</v>
          </cell>
          <cell r="B3668" t="str">
            <v>CURVA DE TRANSPOSIÇÃO, PVC, SOLDÁVEL, DN 20MM, INSTALADO EM RAMAL DE DISTRIBUIÇÃO DE ÁGUA   FORNECIMENTO E INSTALAÇÃO. AF_12/2014</v>
          </cell>
          <cell r="C3668" t="str">
            <v>UN</v>
          </cell>
          <cell r="D3668">
            <v>9.82</v>
          </cell>
        </row>
        <row r="3669">
          <cell r="A3669" t="str">
            <v>89424</v>
          </cell>
          <cell r="B3669" t="str">
            <v>LUVA, PVC, SOLDÁVEL, DN 25MM, INSTALADO EM RAMAL DE DISTRIBUIÇÃO DE ÁGUA - FORNECIMENTO E INSTALAÇÃO. AF_12/2014</v>
          </cell>
          <cell r="C3669" t="str">
            <v>UN</v>
          </cell>
          <cell r="D3669">
            <v>4.66</v>
          </cell>
        </row>
        <row r="3670">
          <cell r="A3670" t="str">
            <v>89425</v>
          </cell>
          <cell r="B3670" t="str">
            <v>LUVA DE CORRER, PVC, SOLDÁVEL, DN 25MM, INSTALADO EM RAMAL DE DISTRIBUIÇÃO DE ÁGUA - FORNECIMENTO E INSTALAÇÃO. AF_12/2014</v>
          </cell>
          <cell r="C3670" t="str">
            <v>UN</v>
          </cell>
          <cell r="D3670">
            <v>19.38</v>
          </cell>
        </row>
        <row r="3671">
          <cell r="A3671" t="str">
            <v>89426</v>
          </cell>
          <cell r="B3671" t="str">
            <v>LUVA DE REDUÇÃO, PVC, SOLDÁVEL, DN 32MM X 25MM, INSTALADO EM RAMAL DE DISTRIBUIÇÃO DE ÁGUA - FORNECIMENTO E INSTALAÇÃO. AF_12/2014</v>
          </cell>
          <cell r="C3671" t="str">
            <v>UN</v>
          </cell>
          <cell r="D3671">
            <v>9.18</v>
          </cell>
        </row>
        <row r="3672">
          <cell r="A3672" t="str">
            <v>89427</v>
          </cell>
          <cell r="B3672" t="str">
            <v>LUVA COM BUCHA DE LATÃO, PVC, SOLDÁVEL, DN 25MM X 3/4, INSTALADO EM RAMAL DE DISTRIBUIÇÃO DE ÁGUA - FORNECIMENTO E INSTALAÇÃO. AF_12/2014</v>
          </cell>
          <cell r="C3672" t="str">
            <v>UN</v>
          </cell>
          <cell r="D3672">
            <v>13.97</v>
          </cell>
        </row>
        <row r="3673">
          <cell r="A3673" t="str">
            <v>89428</v>
          </cell>
          <cell r="B3673" t="str">
            <v>UNIÃO, PVC, SOLDÁVEL, DN 25MM, INSTALADO EM RAMAL DE DISTRIBUIÇÃO DE ÁGUA - FORNECIMENTO E INSTALAÇÃO. AF_12/2014</v>
          </cell>
          <cell r="C3673" t="str">
            <v>UN</v>
          </cell>
          <cell r="D3673">
            <v>17.34</v>
          </cell>
        </row>
        <row r="3674">
          <cell r="A3674" t="str">
            <v>89429</v>
          </cell>
          <cell r="B3674" t="str">
            <v>ADAPTADOR CURTO COM BOLSA E ROSCA PARA REGISTRO, PVC, SOLDÁVEL, DN 25MM X 3/4, INSTALADO EM RAMAL DE DISTRIBUIÇÃO DE ÁGUA - FORNECIMENTO E INSTALAÇÃO. AF_12/2014</v>
          </cell>
          <cell r="C3674" t="str">
            <v>UN</v>
          </cell>
          <cell r="D3674">
            <v>4.8</v>
          </cell>
        </row>
        <row r="3675">
          <cell r="A3675" t="str">
            <v>89430</v>
          </cell>
          <cell r="B3675" t="str">
            <v>CURVA DE TRANSPOSIÇÃO, PVC, SOLDÁVEL, DN 25MM, INSTALADO EM RAMAL DE DISTRIBUIÇÃO DE ÁGUA   FORNECIMENTO E INSTALAÇÃO. AF_12/2014</v>
          </cell>
          <cell r="C3675" t="str">
            <v>UN</v>
          </cell>
          <cell r="D3675">
            <v>14.21</v>
          </cell>
        </row>
        <row r="3676">
          <cell r="A3676" t="str">
            <v>89431</v>
          </cell>
          <cell r="B3676" t="str">
            <v>LUVA, PVC, SOLDÁVEL, DN 32MM, INSTALADO EM RAMAL DE DISTRIBUIÇÃO DE ÁGUA - FORNECIMENTO E INSTALAÇÃO. AF_12/2014</v>
          </cell>
          <cell r="C3676" t="str">
            <v>UN</v>
          </cell>
          <cell r="D3676">
            <v>7.24</v>
          </cell>
        </row>
        <row r="3677">
          <cell r="A3677" t="str">
            <v>89432</v>
          </cell>
          <cell r="B3677" t="str">
            <v>LUVA DE CORRER, PVC, SOLDÁVEL, DN 32MM, INSTALADO EM RAMAL DE DISTRIBUIÇÃO DE ÁGUA   FORNECIMENTO E INSTALAÇÃO. AF_12/2014</v>
          </cell>
          <cell r="C3677" t="str">
            <v>UN</v>
          </cell>
          <cell r="D3677">
            <v>42.38</v>
          </cell>
        </row>
        <row r="3678">
          <cell r="A3678" t="str">
            <v>89433</v>
          </cell>
          <cell r="B3678" t="str">
            <v>LUVA DE REDUÇÃO, PVC, SOLDÁVEL, DN 40MM X 32MM, INSTALADO EM RAMAL DE DISTRIBUIÇÃO DE ÁGUA - FORNECIMENTO E INSTALAÇÃO. AF_12/2014</v>
          </cell>
          <cell r="C3678" t="str">
            <v>UN</v>
          </cell>
          <cell r="D3678">
            <v>11.21</v>
          </cell>
        </row>
        <row r="3679">
          <cell r="A3679" t="str">
            <v>89434</v>
          </cell>
          <cell r="B3679" t="str">
            <v>LUVA SOLDÁVEL E COM ROSCA, PVC, SOLDÁVEL, DN 32MM X 1, INSTALADO EM RAMAL DE DISTRIBUIÇÃO DE ÁGUA - FORNECIMENTO E INSTALAÇÃO. AF_12/2014</v>
          </cell>
          <cell r="C3679" t="str">
            <v>UN</v>
          </cell>
          <cell r="D3679">
            <v>12.57</v>
          </cell>
        </row>
        <row r="3680">
          <cell r="A3680" t="str">
            <v>89435</v>
          </cell>
          <cell r="B3680" t="str">
            <v>UNIÃO, PVC, SOLDÁVEL, DN 32MM, INSTALADO EM RAMAL DE DISTRIBUIÇÃO DE ÁGUA - FORNECIMENTO E INSTALAÇÃO. AF_12/2014</v>
          </cell>
          <cell r="C3680" t="str">
            <v>UN</v>
          </cell>
          <cell r="D3680">
            <v>27.05</v>
          </cell>
        </row>
        <row r="3681">
          <cell r="A3681" t="str">
            <v>89436</v>
          </cell>
          <cell r="B3681" t="str">
            <v>ADAPTADOR CURTO COM BOLSA E ROSCA PARA REGISTRO, PVC, SOLDÁVEL, DN 32MM X 1, INSTALADO EM RAMAL DE DISTRIBUIÇÃO DE ÁGUA - FORNECIMENTO E INSTALAÇÃO. AF_12/2014</v>
          </cell>
          <cell r="C3681" t="str">
            <v>UN</v>
          </cell>
          <cell r="D3681">
            <v>7.07</v>
          </cell>
        </row>
        <row r="3682">
          <cell r="A3682" t="str">
            <v>89437</v>
          </cell>
          <cell r="B3682" t="str">
            <v>CURVA DE TRANSPOSIÇÃO, PVC, SOLDÁVEL, DN 32MM, INSTALADO EM RAMAL DE DISTRIBUIÇÃO DE ÁGUA   FORNECIMENTO E INSTALAÇÃO. AF_12/2014</v>
          </cell>
          <cell r="C3682" t="str">
            <v>UN</v>
          </cell>
          <cell r="D3682">
            <v>33.1</v>
          </cell>
        </row>
        <row r="3683">
          <cell r="A3683" t="str">
            <v>89438</v>
          </cell>
          <cell r="B3683" t="str">
            <v>TE, PVC, SOLDÁVEL, DN 20MM, INSTALADO EM RAMAL DE DISTRIBUIÇÃO DE ÁGUA - FORNECIMENTO E INSTALAÇÃO. AF_12/2014</v>
          </cell>
          <cell r="C3683" t="str">
            <v>UN</v>
          </cell>
          <cell r="D3683">
            <v>6.81</v>
          </cell>
        </row>
        <row r="3684">
          <cell r="A3684" t="str">
            <v>89439</v>
          </cell>
          <cell r="B3684" t="str">
            <v>TÊ SOLDÁVEL E COM ROSCA NA BOLSA CENTRAL, PVC, SOLDÁVEL, DN 20MM X 1/2, INSTALADO EM RAMAL DE DISTRIBUIÇÃO DE ÁGUA - FORNECIMENTO E INSTALAÇÃO. AF_12/2014</v>
          </cell>
          <cell r="C3684" t="str">
            <v>UN</v>
          </cell>
          <cell r="D3684">
            <v>9.9700000000000006</v>
          </cell>
        </row>
        <row r="3685">
          <cell r="A3685" t="str">
            <v>89440</v>
          </cell>
          <cell r="B3685" t="str">
            <v>TE, PVC, SOLDÁVEL, DN 25MM, INSTALADO EM RAMAL DE DISTRIBUIÇÃO DE ÁGUA - FORNECIMENTO E INSTALAÇÃO. AF_12/2014</v>
          </cell>
          <cell r="C3685" t="str">
            <v>UN</v>
          </cell>
          <cell r="D3685">
            <v>8.32</v>
          </cell>
        </row>
        <row r="3686">
          <cell r="A3686" t="str">
            <v>89441</v>
          </cell>
          <cell r="B3686" t="str">
            <v>TÊ COM BUCHA DE LATÃO NA BOLSA CENTRAL, PVC, SOLDÁVEL, DN 25MM X 1/2, INSTALADO EM RAMAL DE DISTRIBUIÇÃO DE ÁGUA - FORNECIMENTO E INSTALAÇÃO. AF_12/2014</v>
          </cell>
          <cell r="C3686" t="str">
            <v>UN</v>
          </cell>
          <cell r="D3686">
            <v>20.12</v>
          </cell>
        </row>
        <row r="3687">
          <cell r="A3687" t="str">
            <v>89442</v>
          </cell>
          <cell r="B3687" t="str">
            <v>TÊ DE REDUÇÃO, PVC, SOLDÁVEL, DN 25MM X 20MM, INSTALADO EM RAMAL DE DISTRIBUIÇÃO DE ÁGUA - FORNECIMENTO E INSTALAÇÃO. AF_12/2014</v>
          </cell>
          <cell r="C3687" t="str">
            <v>UN</v>
          </cell>
          <cell r="D3687">
            <v>11.47</v>
          </cell>
        </row>
        <row r="3688">
          <cell r="A3688" t="str">
            <v>89443</v>
          </cell>
          <cell r="B3688" t="str">
            <v>TE, PVC, SOLDÁVEL, DN 32MM, INSTALADO EM RAMAL DE DISTRIBUIÇÃO DE ÁGUA - FORNECIMENTO E INSTALAÇÃO. AF_12/2014</v>
          </cell>
          <cell r="C3688" t="str">
            <v>UN</v>
          </cell>
          <cell r="D3688">
            <v>14.3</v>
          </cell>
        </row>
        <row r="3689">
          <cell r="A3689" t="str">
            <v>89444</v>
          </cell>
          <cell r="B3689" t="str">
            <v>TÊ COM BUCHA DE LATÃO NA BOLSA CENTRAL, PVC, SOLDÁVEL, DN 32MM X 3/4, INSTALADO EM RAMAL DE DISTRIBUIÇÃO DE ÁGUA - FORNECIMENTO E INSTALAÇÃO. AF_12/2014</v>
          </cell>
          <cell r="C3689" t="str">
            <v>UN</v>
          </cell>
          <cell r="D3689">
            <v>34.33</v>
          </cell>
        </row>
        <row r="3690">
          <cell r="A3690" t="str">
            <v>89445</v>
          </cell>
          <cell r="B3690" t="str">
            <v>TÊ DE REDUÇÃO, PVC, SOLDÁVEL, DN 32MM X 25MM, INSTALADO EM RAMAL DE DISTRIBUIÇÃO DE ÁGUA - FORNECIMENTO E INSTALAÇÃO. AF_12/2014</v>
          </cell>
          <cell r="C3690" t="str">
            <v>UN</v>
          </cell>
          <cell r="D3690">
            <v>17.43</v>
          </cell>
        </row>
        <row r="3691">
          <cell r="A3691" t="str">
            <v>89481</v>
          </cell>
          <cell r="B3691" t="str">
            <v>JOELHO 90 GRAUS, PVC, SOLDÁVEL, DN 25MM, INSTALADO EM PRUMADA DE ÁGUA - FORNECIMENTO E INSTALAÇÃO. AF_12/2014</v>
          </cell>
          <cell r="C3691" t="str">
            <v>UN</v>
          </cell>
          <cell r="D3691">
            <v>4.54</v>
          </cell>
        </row>
        <row r="3692">
          <cell r="A3692" t="str">
            <v>89485</v>
          </cell>
          <cell r="B3692" t="str">
            <v>JOELHO 45 GRAUS, PVC, SOLDÁVEL, DN 25MM, INSTALADO EM PRUMADA DE ÁGUA - FORNECIMENTO E INSTALAÇÃO. AF_12/2014</v>
          </cell>
          <cell r="C3692" t="str">
            <v>UN</v>
          </cell>
          <cell r="D3692">
            <v>5.74</v>
          </cell>
        </row>
        <row r="3693">
          <cell r="A3693" t="str">
            <v>89489</v>
          </cell>
          <cell r="B3693" t="str">
            <v>CURVA 90 GRAUS, PVC, SOLDÁVEL, DN 25MM, INSTALADO EM PRUMADA DE ÁGUA - FORNECIMENTO E INSTALAÇÃO. AF_12/2014</v>
          </cell>
          <cell r="C3693" t="str">
            <v>UN</v>
          </cell>
          <cell r="D3693">
            <v>8.1999999999999993</v>
          </cell>
        </row>
        <row r="3694">
          <cell r="A3694" t="str">
            <v>89490</v>
          </cell>
          <cell r="B3694" t="str">
            <v>CURVA 45 GRAUS, PVC, SOLDÁVEL, DN 25MM, INSTALADO EM PRUMADA DE ÁGUA - FORNECIMENTO E INSTALAÇÃO. AF_12/2014</v>
          </cell>
          <cell r="C3694" t="str">
            <v>UN</v>
          </cell>
          <cell r="D3694">
            <v>7.1</v>
          </cell>
        </row>
        <row r="3695">
          <cell r="A3695" t="str">
            <v>89492</v>
          </cell>
          <cell r="B3695" t="str">
            <v>JOELHO 90 GRAUS, PVC, SOLDÁVEL, DN 32MM, INSTALADO EM PRUMADA DE ÁGUA - FORNECIMENTO E INSTALAÇÃO. AF_12/2014</v>
          </cell>
          <cell r="C3695" t="str">
            <v>UN</v>
          </cell>
          <cell r="D3695">
            <v>7.68</v>
          </cell>
        </row>
        <row r="3696">
          <cell r="A3696" t="str">
            <v>89493</v>
          </cell>
          <cell r="B3696" t="str">
            <v>JOELHO 45 GRAUS, PVC, SOLDÁVEL, DN 32MM, INSTALADO EM PRUMADA DE ÁGUA - FORNECIMENTO E INSTALAÇÃO. AF_12/2014</v>
          </cell>
          <cell r="C3696" t="str">
            <v>UN</v>
          </cell>
          <cell r="D3696">
            <v>11.03</v>
          </cell>
        </row>
        <row r="3697">
          <cell r="A3697" t="str">
            <v>89494</v>
          </cell>
          <cell r="B3697" t="str">
            <v>CURVA 90 GRAUS, PVC, SOLDÁVEL, DN 32MM, INSTALADO EM PRUMADA DE ÁGUA - FORNECIMENTO E INSTALAÇÃO. AF_12/2014</v>
          </cell>
          <cell r="C3697" t="str">
            <v>UN</v>
          </cell>
          <cell r="D3697">
            <v>15.18</v>
          </cell>
        </row>
        <row r="3698">
          <cell r="A3698" t="str">
            <v>89496</v>
          </cell>
          <cell r="B3698" t="str">
            <v>CURVA 45 GRAUS, PVC, SOLDÁVEL, DN 32MM, INSTALADO EM PRUMADA DE ÁGUA - FORNECIMENTO E INSTALAÇÃO. AF_12/2014</v>
          </cell>
          <cell r="C3698" t="str">
            <v>UN</v>
          </cell>
          <cell r="D3698">
            <v>10.33</v>
          </cell>
        </row>
        <row r="3699">
          <cell r="A3699" t="str">
            <v>89497</v>
          </cell>
          <cell r="B3699" t="str">
            <v>JOELHO 90 GRAUS, PVC, SOLDÁVEL, DN 40MM, INSTALADO EM PRUMADA DE ÁGUA - FORNECIMENTO E INSTALAÇÃO. AF_12/2014</v>
          </cell>
          <cell r="C3699" t="str">
            <v>UN</v>
          </cell>
          <cell r="D3699">
            <v>13.41</v>
          </cell>
        </row>
        <row r="3700">
          <cell r="A3700" t="str">
            <v>89498</v>
          </cell>
          <cell r="B3700" t="str">
            <v>JOELHO 45 GRAUS, PVC, SOLDÁVEL, DN 40MM, INSTALADO EM PRUMADA DE ÁGUA - FORNECIMENTO E INSTALAÇÃO. AF_12/2014</v>
          </cell>
          <cell r="C3700" t="str">
            <v>UN</v>
          </cell>
          <cell r="D3700">
            <v>14.94</v>
          </cell>
        </row>
        <row r="3701">
          <cell r="A3701" t="str">
            <v>89499</v>
          </cell>
          <cell r="B3701" t="str">
            <v>CURVA 90 GRAUS, PVC, SOLDÁVEL, DN 40MM, INSTALADO EM PRUMADA DE ÁGUA - FORNECIMENTO E INSTALAÇÃO. AF_12/2014</v>
          </cell>
          <cell r="C3701" t="str">
            <v>UN</v>
          </cell>
          <cell r="D3701">
            <v>24.69</v>
          </cell>
        </row>
        <row r="3702">
          <cell r="A3702" t="str">
            <v>89500</v>
          </cell>
          <cell r="B3702" t="str">
            <v>CURVA 45 GRAUS, PVC, SOLDÁVEL, DN 40MM, INSTALADO EM PRUMADA DE ÁGUA - FORNECIMENTO E INSTALAÇÃO. AF_12/2014</v>
          </cell>
          <cell r="C3702" t="str">
            <v>UN</v>
          </cell>
          <cell r="D3702">
            <v>15.24</v>
          </cell>
        </row>
        <row r="3703">
          <cell r="A3703" t="str">
            <v>89501</v>
          </cell>
          <cell r="B3703" t="str">
            <v>JOELHO 90 GRAUS, PVC, SOLDÁVEL, DN 50MM, INSTALADO EM PRUMADA DE ÁGUA - FORNECIMENTO E INSTALAÇÃO. AF_12/2014</v>
          </cell>
          <cell r="C3703" t="str">
            <v>UN</v>
          </cell>
          <cell r="D3703">
            <v>15.82</v>
          </cell>
        </row>
        <row r="3704">
          <cell r="A3704" t="str">
            <v>89502</v>
          </cell>
          <cell r="B3704" t="str">
            <v>JOELHO 45 GRAUS, PVC, SOLDÁVEL, DN 50MM, INSTALADO EM PRUMADA DE ÁGUA - FORNECIMENTO E INSTALAÇÃO. AF_12/2014</v>
          </cell>
          <cell r="C3704" t="str">
            <v>UN</v>
          </cell>
          <cell r="D3704">
            <v>18.579999999999998</v>
          </cell>
        </row>
        <row r="3705">
          <cell r="A3705">
            <v>89503</v>
          </cell>
          <cell r="B3705" t="str">
            <v>CURVA 90 GRAUS, PVC, SOLDÁVEL, DN 50MM, INSTALADO EM PRUMADA DE ÁGUA - FORNECIMENTO E INSTALAÇÃO. AF_12/2014</v>
          </cell>
          <cell r="C3705" t="str">
            <v>UN</v>
          </cell>
          <cell r="D3705">
            <v>30.67</v>
          </cell>
        </row>
        <row r="3706">
          <cell r="A3706" t="str">
            <v>89504</v>
          </cell>
          <cell r="B3706" t="str">
            <v>CURVA 45 GRAUS, PVC, SOLDÁVEL, DN 50MM, INSTALADO EM PRUMADA DE ÁGUA - FORNECIMENTO E INSTALAÇÃO. AF_12/2014</v>
          </cell>
          <cell r="C3706" t="str">
            <v>UN</v>
          </cell>
          <cell r="D3706">
            <v>26.29</v>
          </cell>
        </row>
        <row r="3707">
          <cell r="A3707" t="str">
            <v>89505</v>
          </cell>
          <cell r="B3707" t="str">
            <v>JOELHO 90 GRAUS, PVC, SOLDÁVEL, DN 60MM, INSTALADO EM PRUMADA DE ÁGUA - FORNECIMENTO E INSTALAÇÃO. AF_12/2014</v>
          </cell>
          <cell r="C3707" t="str">
            <v>UN</v>
          </cell>
          <cell r="D3707">
            <v>46.88</v>
          </cell>
        </row>
        <row r="3708">
          <cell r="A3708" t="str">
            <v>89506</v>
          </cell>
          <cell r="B3708" t="str">
            <v>JOELHO 45 GRAUS, PVC, SOLDÁVEL, DN 60MM, INSTALADO EM PRUMADA DE ÁGUA - FORNECIMENTO E INSTALAÇÃO. AF_12/2014</v>
          </cell>
          <cell r="C3708" t="str">
            <v>UN</v>
          </cell>
          <cell r="D3708">
            <v>53.48</v>
          </cell>
        </row>
        <row r="3709">
          <cell r="A3709" t="str">
            <v>89507</v>
          </cell>
          <cell r="B3709" t="str">
            <v>CURVA 90 GRAUS, PVC, SOLDÁVEL, DN 60MM, INSTALADO EM PRUMADA DE ÁGUA - FORNECIMENTO E INSTALAÇÃO. AF_12/2014</v>
          </cell>
          <cell r="C3709" t="str">
            <v>UN</v>
          </cell>
          <cell r="D3709">
            <v>67.239999999999995</v>
          </cell>
        </row>
        <row r="3710">
          <cell r="A3710" t="str">
            <v>89510</v>
          </cell>
          <cell r="B3710" t="str">
            <v>CURVA 45 GRAUS, PVC, SOLDÁVEL, DN 60MM, INSTALADO EM PRUMADA DE ÁGUA - FORNECIMENTO E INSTALAÇÃO. AF_12/2014</v>
          </cell>
          <cell r="C3710" t="str">
            <v>UN</v>
          </cell>
          <cell r="D3710">
            <v>42</v>
          </cell>
        </row>
        <row r="3711">
          <cell r="A3711" t="str">
            <v>89513</v>
          </cell>
          <cell r="B3711" t="str">
            <v>JOELHO 90 GRAUS, PVC, SOLDÁVEL, DN 75MM, INSTALADO EM PRUMADA DE ÁGUA - FORNECIMENTO E INSTALAÇÃO. AF_12/2014</v>
          </cell>
          <cell r="C3711" t="str">
            <v>UN</v>
          </cell>
          <cell r="D3711">
            <v>155.47</v>
          </cell>
        </row>
        <row r="3712">
          <cell r="A3712" t="str">
            <v>89514</v>
          </cell>
          <cell r="B3712" t="str">
            <v>JOELHO 90 GRAUS, PVC, SERIE R, ÁGUA PLUVIAL, DN 40 MM, JUNTA SOLDÁVEL, FORNECIDO E INSTALADO EM RAMAL DE ENCAMINHAMENTO. AF_12/2014</v>
          </cell>
          <cell r="C3712" t="str">
            <v>UN</v>
          </cell>
          <cell r="D3712">
            <v>12.4</v>
          </cell>
        </row>
        <row r="3713">
          <cell r="A3713" t="str">
            <v>89515</v>
          </cell>
          <cell r="B3713" t="str">
            <v>JOELHO 45 GRAUS, PVC, SOLDÁVEL, DN 75MM, INSTALADO EM PRUMADA DE ÁGUA - FORNECIMENTO E INSTALAÇÃO. AF_12/2014</v>
          </cell>
          <cell r="C3713" t="str">
            <v>UN</v>
          </cell>
          <cell r="D3713">
            <v>115.25</v>
          </cell>
        </row>
        <row r="3714">
          <cell r="A3714" t="str">
            <v>89516</v>
          </cell>
          <cell r="B3714" t="str">
            <v>JOELHO 45 GRAUS, PVC, SERIE R, ÁGUA PLUVIAL, DN 40 MM, JUNTA SOLDÁVEL, FORNECIDO E INSTALADO EM RAMAL DE ENCAMINHAMENTO. AF_12/2014</v>
          </cell>
          <cell r="C3714" t="str">
            <v>UN</v>
          </cell>
          <cell r="D3714">
            <v>10.48</v>
          </cell>
        </row>
        <row r="3715">
          <cell r="A3715" t="str">
            <v>89517</v>
          </cell>
          <cell r="B3715" t="str">
            <v>CURVA 90 GRAUS, PVC, SOLDÁVEL, DN 75MM, INSTALADO EM PRUMADA DE ÁGUA - FORNECIMENTO E INSTALAÇÃO. AF_12/2014</v>
          </cell>
          <cell r="C3715" t="str">
            <v>UN</v>
          </cell>
          <cell r="D3715">
            <v>95.69</v>
          </cell>
        </row>
        <row r="3716">
          <cell r="A3716" t="str">
            <v>89518</v>
          </cell>
          <cell r="B3716" t="str">
            <v>JOELHO 90 GRAUS, PVC, SERIE R, ÁGUA PLUVIAL, DN 50 MM, JUNTA ELÁSTICA, FORNECIDO E INSTALADO EM RAMAL DE ENCAMINHAMENTO. AF_12/2014</v>
          </cell>
          <cell r="C3716" t="str">
            <v>UN</v>
          </cell>
          <cell r="D3716">
            <v>18.64</v>
          </cell>
        </row>
        <row r="3717">
          <cell r="A3717" t="str">
            <v>89519</v>
          </cell>
          <cell r="B3717" t="str">
            <v>CURVA 45 GRAUS, PVC, SOLDÁVEL, DN 75MM, INSTALADO EM PRUMADA DE ÁGUA - FORNECIMENTO E INSTALAÇÃO. AF_12/2014</v>
          </cell>
          <cell r="C3717" t="str">
            <v>UN</v>
          </cell>
          <cell r="D3717">
            <v>61.93</v>
          </cell>
        </row>
        <row r="3718">
          <cell r="A3718" t="str">
            <v>89520</v>
          </cell>
          <cell r="B3718" t="str">
            <v>JOELHO 45 GRAUS, PVC, SERIE R, ÁGUA PLUVIAL, DN 50 MM, JUNTA ELÁSTICA, FORNECIDO E INSTALADO EM RAMAL DE ENCAMINHAMENTO. AF_12/2014</v>
          </cell>
          <cell r="C3718" t="str">
            <v>UN</v>
          </cell>
          <cell r="D3718">
            <v>16.100000000000001</v>
          </cell>
        </row>
        <row r="3719">
          <cell r="A3719" t="str">
            <v>89521</v>
          </cell>
          <cell r="B3719" t="str">
            <v>JOELHO 90 GRAUS, PVC, SOLDÁVEL, DN 85MM, INSTALADO EM PRUMADA DE ÁGUA - FORNECIMENTO E INSTALAÇÃO. AF_12/2014</v>
          </cell>
          <cell r="C3719" t="str">
            <v>UN</v>
          </cell>
          <cell r="D3719">
            <v>183.54</v>
          </cell>
        </row>
        <row r="3720">
          <cell r="A3720" t="str">
            <v>89522</v>
          </cell>
          <cell r="B3720" t="str">
            <v>JOELHO 90 GRAUS, PVC, SERIE R, ÁGUA PLUVIAL, DN 75 MM, JUNTA ELÁSTICA, FORNECIDO E INSTALADO EM RAMAL DE ENCAMINHAMENTO. AF_12/2014</v>
          </cell>
          <cell r="C3720" t="str">
            <v>UN</v>
          </cell>
          <cell r="D3720">
            <v>37.08</v>
          </cell>
        </row>
        <row r="3721">
          <cell r="A3721" t="str">
            <v>89523</v>
          </cell>
          <cell r="B3721" t="str">
            <v>JOELHO 45 GRAUS, PVC, SOLDÁVEL, DN 85MM, INSTALADO EM PRUMADA DE ÁGUA - FORNECIMENTO E INSTALAÇÃO. AF_12/2014</v>
          </cell>
          <cell r="C3721" t="str">
            <v>UN</v>
          </cell>
          <cell r="D3721">
            <v>136.18</v>
          </cell>
        </row>
        <row r="3722">
          <cell r="A3722" t="str">
            <v>89524</v>
          </cell>
          <cell r="B3722" t="str">
            <v>JOELHO 45 GRAUS, PVC, SERIE R, ÁGUA PLUVIAL, DN 75 MM, JUNTA ELÁSTICA, FORNECIDO E INSTALADO EM RAMAL DE ENCAMINHAMENTO. AF_12/2014</v>
          </cell>
          <cell r="C3722" t="str">
            <v>UN</v>
          </cell>
          <cell r="D3722">
            <v>32.21</v>
          </cell>
        </row>
        <row r="3723">
          <cell r="A3723" t="str">
            <v>89525</v>
          </cell>
          <cell r="B3723" t="str">
            <v>CURVA 90 GRAUS, PVC, SOLDÁVEL, DN 85MM, INSTALADO EM PRUMADA DE ÁGUA - FORNECIMENTO E INSTALAÇÃO. AF_12/2014</v>
          </cell>
          <cell r="C3723" t="str">
            <v>UN</v>
          </cell>
          <cell r="D3723">
            <v>133.78</v>
          </cell>
        </row>
        <row r="3724">
          <cell r="A3724" t="str">
            <v>89526</v>
          </cell>
          <cell r="B3724" t="str">
            <v>CURVA 87 GRAUS E 30 MINUTOS, PVC, SERIE R, ÁGUA PLUVIAL, DN 75 MM, JUNTA ELÁSTICA, FORNECIDO E INSTALADO EM RAMAL DE ENCAMINHAMENTO. AF_12/2014</v>
          </cell>
          <cell r="C3724" t="str">
            <v>UN</v>
          </cell>
          <cell r="D3724">
            <v>49.95</v>
          </cell>
        </row>
        <row r="3725">
          <cell r="A3725" t="str">
            <v>89527</v>
          </cell>
          <cell r="B3725" t="str">
            <v>CURVA 45 GRAUS, PVC, SOLDÁVEL, DN 85MM, INSTALADO EM PRUMADA DE ÁGUA - FORNECIMENTO E INSTALAÇÃO. AF_12/2014</v>
          </cell>
          <cell r="C3725" t="str">
            <v>UN</v>
          </cell>
          <cell r="D3725">
            <v>100.56</v>
          </cell>
        </row>
        <row r="3726">
          <cell r="A3726" t="str">
            <v>89528</v>
          </cell>
          <cell r="B3726" t="str">
            <v>LUVA, PVC, SOLDÁVEL, DN 25MM, INSTALADO EM PRUMADA DE ÁGUA - FORNECIMENTO E INSTALAÇÃO. AF_12/2014</v>
          </cell>
          <cell r="C3726" t="str">
            <v>UN</v>
          </cell>
          <cell r="D3726">
            <v>3.84</v>
          </cell>
        </row>
        <row r="3727">
          <cell r="A3727" t="str">
            <v>89529</v>
          </cell>
          <cell r="B3727" t="str">
            <v>JOELHO 90 GRAUS, PVC, SERIE R, ÁGUA PLUVIAL, DN 100 MM, JUNTA ELÁSTICA, FORNECIDO E INSTALADO EM RAMAL DE ENCAMINHAMENTO. AF_12/2014</v>
          </cell>
          <cell r="C3727" t="str">
            <v>UN</v>
          </cell>
          <cell r="D3727">
            <v>55.97</v>
          </cell>
        </row>
        <row r="3728">
          <cell r="A3728" t="str">
            <v>89530</v>
          </cell>
          <cell r="B3728" t="str">
            <v>LUVA DE CORRER, PVC, SOLDÁVEL, DN 25MM, INSTALADO EM PRUMADA DE ÁGUA - FORNECIMENTO E INSTALAÇÃO. AF_12/2014</v>
          </cell>
          <cell r="C3728" t="str">
            <v>UN</v>
          </cell>
          <cell r="D3728">
            <v>18.559999999999999</v>
          </cell>
        </row>
        <row r="3729">
          <cell r="A3729" t="str">
            <v>89531</v>
          </cell>
          <cell r="B3729" t="str">
            <v>JOELHO 45 GRAUS, PVC, SERIE R, ÁGUA PLUVIAL, DN 100 MM, JUNTA ELÁSTICA, FORNECIDO E INSTALADO EM RAMAL DE ENCAMINHAMENTO. AF_12/2014</v>
          </cell>
          <cell r="C3729" t="str">
            <v>UN</v>
          </cell>
          <cell r="D3729">
            <v>44.12</v>
          </cell>
        </row>
        <row r="3730">
          <cell r="A3730" t="str">
            <v>89532</v>
          </cell>
          <cell r="B3730" t="str">
            <v>LUVA DE REDUÇÃO, PVC, SOLDÁVEL, DN 32MM X 25MM, INSTALADO EM PRUMADA DE ÁGUA - FORNECIMENTO E INSTALAÇÃO. AF_12/2014</v>
          </cell>
          <cell r="C3730" t="str">
            <v>UN</v>
          </cell>
          <cell r="D3730">
            <v>8.36</v>
          </cell>
        </row>
        <row r="3731">
          <cell r="A3731" t="str">
            <v>89533</v>
          </cell>
          <cell r="B3731" t="str">
            <v>JOELHO 45 GRAUS PARA PÉ DE COLUNA, PVC, SERIE R, ÁGUA PLUVIAL, DN 100 MM, JUNTA ELÁSTICA, FORNECIDO E INSTALADO EM RAMAL DE ENCAMINHAMENTO. AF_12/2014</v>
          </cell>
          <cell r="C3731" t="str">
            <v>UN</v>
          </cell>
          <cell r="D3731">
            <v>44.12</v>
          </cell>
        </row>
        <row r="3732">
          <cell r="A3732" t="str">
            <v>89534</v>
          </cell>
          <cell r="B3732" t="str">
            <v>LUVA SOLDÁVEL E COM ROSCA, PVC, SOLDÁVEL, DN 25MM X 3/4, INSTALADO EM PRUMADA DE ÁGUA - FORNECIMENTO E INSTALAÇÃO. AF_12/2014</v>
          </cell>
          <cell r="C3732" t="str">
            <v>UN</v>
          </cell>
          <cell r="D3732">
            <v>5.15</v>
          </cell>
        </row>
        <row r="3733">
          <cell r="A3733" t="str">
            <v>89535</v>
          </cell>
          <cell r="B3733" t="str">
            <v>CURVA 87 GRAUS E 30 MINUTOS, PVC, SERIE R, ÁGUA PLUVIAL, DN 100 MM, JUNTA ELÁSTICA, FORNECIDO E INSTALADO EM RAMAL DE ENCAMINHAMENTO. AF_12/2014</v>
          </cell>
          <cell r="C3733" t="str">
            <v>UN</v>
          </cell>
          <cell r="D3733">
            <v>74.540000000000006</v>
          </cell>
        </row>
        <row r="3734">
          <cell r="A3734" t="str">
            <v>89536</v>
          </cell>
          <cell r="B3734" t="str">
            <v>UNIÃO, PVC, SOLDÁVEL, DN 25MM, INSTALADO EM PRUMADA DE ÁGUA - FORNECIMENTO E INSTALAÇÃO. AF_12/2014</v>
          </cell>
          <cell r="C3734" t="str">
            <v>UN</v>
          </cell>
          <cell r="D3734">
            <v>16.52</v>
          </cell>
        </row>
        <row r="3735">
          <cell r="A3735" t="str">
            <v>89538</v>
          </cell>
          <cell r="B3735" t="str">
            <v>ADAPTADOR CURTO COM BOLSA E ROSCA PARA REGISTRO, PVC, SOLDÁVEL, DN 25MM X 3/4, INSTALADO EM PRUMADA DE ÁGUA - FORNECIMENTO E INSTALAÇÃO. AF_12/2014</v>
          </cell>
          <cell r="C3735" t="str">
            <v>UN</v>
          </cell>
          <cell r="D3735">
            <v>3.98</v>
          </cell>
        </row>
        <row r="3736">
          <cell r="A3736" t="str">
            <v>89539</v>
          </cell>
          <cell r="B3736" t="str">
            <v>CURVAR 45 GRAUS, PVC, SERIE R, ÁGUA PLUVIAL, DN 100 MM, JUNTA ELÁSTICA, FORNECIDO E INSTALADO EM RAMAL DE ENCAMINHAMENTO. AF_12/2014</v>
          </cell>
          <cell r="C3736" t="str">
            <v>UN</v>
          </cell>
          <cell r="D3736">
            <v>47.42</v>
          </cell>
        </row>
        <row r="3737">
          <cell r="A3737" t="str">
            <v>89540</v>
          </cell>
          <cell r="B3737" t="str">
            <v>CURVA DE TRANSPOSIÇÃO, PVC, SOLDÁVEL, DN 25MM, INSTALADO EM PRUMADA DE ÁGUA  - FORNECIMENTO E INSTALAÇÃO. AF_12/2014</v>
          </cell>
          <cell r="C3737" t="str">
            <v>UN</v>
          </cell>
          <cell r="D3737">
            <v>13.39</v>
          </cell>
        </row>
        <row r="3738">
          <cell r="A3738" t="str">
            <v>89541</v>
          </cell>
          <cell r="B3738" t="str">
            <v>LUVA, PVC, SOLDÁVEL, DN 32MM, INSTALADO EM PRUMADA DE ÁGUA - FORNECIMENTO E INSTALAÇÃO. AF_12/2014</v>
          </cell>
          <cell r="C3738" t="str">
            <v>UN</v>
          </cell>
          <cell r="D3738">
            <v>6.34</v>
          </cell>
        </row>
        <row r="3739">
          <cell r="A3739" t="str">
            <v>89542</v>
          </cell>
          <cell r="B3739" t="str">
            <v>LUVA DE CORRER, PVC, SOLDÁVEL, DN 32MM, INSTALADO EM PRUMADA DE ÁGUA - FORNECIMENTO E INSTALAÇÃO. AF_12/2014</v>
          </cell>
          <cell r="C3739" t="str">
            <v>UN</v>
          </cell>
          <cell r="D3739">
            <v>41.48</v>
          </cell>
        </row>
        <row r="3740">
          <cell r="A3740" t="str">
            <v>89544</v>
          </cell>
          <cell r="B3740" t="str">
            <v>LUVA SIMPLES, PVC, SERIE R, ÁGUA PLUVIAL, DN 40 MM, JUNTA SOLDÁVEL, FORNECIDO E INSTALADO EM RAMAL DE ENCAMINHAMENTO. AF_12/2014</v>
          </cell>
          <cell r="C3740" t="str">
            <v>UN</v>
          </cell>
          <cell r="D3740">
            <v>11.08</v>
          </cell>
        </row>
        <row r="3741">
          <cell r="A3741" t="str">
            <v>89545</v>
          </cell>
          <cell r="B3741" t="str">
            <v>LUVA SIMPLES, PVC, SERIE R, ÁGUA PLUVIAL, DN 50 MM, JUNTA ELÁSTICA, FORNECIDO E INSTALADO EM RAMAL DE ENCAMINHAMENTO. AF_12/2014</v>
          </cell>
          <cell r="C3741" t="str">
            <v>UN</v>
          </cell>
          <cell r="D3741">
            <v>17.309999999999999</v>
          </cell>
        </row>
        <row r="3742">
          <cell r="A3742" t="str">
            <v>89546</v>
          </cell>
          <cell r="B3742" t="str">
            <v>BUCHA DE REDUÇÃO LONGA, PVC, SERIE R, ÁGUA PLUVIAL, DN 50 X 40 MM, JUNTA ELÁSTICA, FORNECIDO E INSTALADO EM RAMAL DE ENCAMINHAMENTO. AF_12/2014</v>
          </cell>
          <cell r="C3742" t="str">
            <v>UN</v>
          </cell>
          <cell r="D3742">
            <v>14.75</v>
          </cell>
        </row>
        <row r="3743">
          <cell r="A3743" t="str">
            <v>89547</v>
          </cell>
          <cell r="B3743" t="str">
            <v>LUVA SIMPLES, PVC, SERIE R, ÁGUA PLUVIAL, DN 75 MM, JUNTA ELÁSTICA, FORNECIDO E INSTALADO EM RAMAL DE ENCAMINHAMENTO. AF_12/2014</v>
          </cell>
          <cell r="C3743" t="str">
            <v>UN</v>
          </cell>
          <cell r="D3743">
            <v>24.29</v>
          </cell>
        </row>
        <row r="3744">
          <cell r="A3744" t="str">
            <v>89548</v>
          </cell>
          <cell r="B3744" t="str">
            <v>LUVA DE CORRER, PVC, SERIE R, ÁGUA PLUVIAL, DN 75 MM, JUNTA ELÁSTICA, FORNECIDO E INSTALADO EM RAMAL DE ENCAMINHAMENTO. AF_12/2014</v>
          </cell>
          <cell r="C3744" t="str">
            <v>UN</v>
          </cell>
          <cell r="D3744">
            <v>26.71</v>
          </cell>
        </row>
        <row r="3745">
          <cell r="A3745" t="str">
            <v>89549</v>
          </cell>
          <cell r="B3745" t="str">
            <v>REDUÇÃO EXCÊNTRICA, PVC, SERIE R, ÁGUA PLUVIAL, DN 75 X 50 MM, JUNTA ELÁSTICA, FORNECIDO E INSTALADO EM RAMAL DE ENCAMINHAMENTO. AF_12/2014</v>
          </cell>
          <cell r="C3745" t="str">
            <v>UN</v>
          </cell>
          <cell r="D3745">
            <v>17.8</v>
          </cell>
        </row>
        <row r="3746">
          <cell r="A3746" t="str">
            <v>89550</v>
          </cell>
          <cell r="B3746" t="str">
            <v>TÊ DE INSPEÇÃO, PVC, SERIE R, ÁGUA PLUVIAL, DN 75 MM, JUNTA ELÁSTICA, FORNECIDO E INSTALADO EM RAMAL DE ENCAMINHAMENTO. AF_12/2014</v>
          </cell>
          <cell r="C3746" t="str">
            <v>UN</v>
          </cell>
          <cell r="D3746">
            <v>50.87</v>
          </cell>
        </row>
        <row r="3747">
          <cell r="A3747" t="str">
            <v>89551</v>
          </cell>
          <cell r="B3747" t="str">
            <v>LUVA SOLDÁVEL E COM ROSCA, PVC, SOLDÁVEL, DN 32MM X 1, INSTALADO EM PRUMADA DE ÁGUA - FORNECIMENTO E INSTALAÇÃO. AF_12/2014</v>
          </cell>
          <cell r="C3747" t="str">
            <v>UN</v>
          </cell>
          <cell r="D3747">
            <v>11.67</v>
          </cell>
        </row>
        <row r="3748">
          <cell r="A3748" t="str">
            <v>89552</v>
          </cell>
          <cell r="B3748" t="str">
            <v>UNIÃO, PVC, SOLDÁVEL, DN 32MM, INSTALADO EM PRUMADA DE ÁGUA - FORNECIMENTO E INSTALAÇÃO. AF_12/2014</v>
          </cell>
          <cell r="C3748" t="str">
            <v>UN</v>
          </cell>
          <cell r="D3748">
            <v>26.15</v>
          </cell>
        </row>
        <row r="3749">
          <cell r="A3749" t="str">
            <v>89553</v>
          </cell>
          <cell r="B3749" t="str">
            <v>ADAPTADOR CURTO COM BOLSA E ROSCA PARA REGISTRO, PVC, SOLDÁVEL, DN 32MM X 1, INSTALADO EM PRUMADA DE ÁGUA - FORNECIMENTO E INSTALAÇÃO. AF_12/2014</v>
          </cell>
          <cell r="C3749" t="str">
            <v>UN</v>
          </cell>
          <cell r="D3749">
            <v>6.17</v>
          </cell>
        </row>
        <row r="3750">
          <cell r="A3750" t="str">
            <v>89554</v>
          </cell>
          <cell r="B3750" t="str">
            <v>LUVA SIMPLES, PVC, SERIE R, ÁGUA PLUVIAL, DN 100 MM, JUNTA ELÁSTICA, FORNECIDO E INSTALADO EM RAMAL DE ENCAMINHAMENTO. AF_12/2014</v>
          </cell>
          <cell r="C3750" t="str">
            <v>UN</v>
          </cell>
          <cell r="D3750">
            <v>29.79</v>
          </cell>
        </row>
        <row r="3751">
          <cell r="A3751" t="str">
            <v>89555</v>
          </cell>
          <cell r="B3751" t="str">
            <v>CURVA DE TRANSPOSIÇÃO, PVC, SOLDÁVEL, DN 32MM, INSTALADO EM PRUMADA DE ÁGUA   FORNECIMENTO E INSTALAÇÃO. AF_12/2014</v>
          </cell>
          <cell r="C3751" t="str">
            <v>UN</v>
          </cell>
          <cell r="D3751">
            <v>32.200000000000003</v>
          </cell>
        </row>
        <row r="3752">
          <cell r="A3752" t="str">
            <v>89556</v>
          </cell>
          <cell r="B3752" t="str">
            <v>LUVA DE CORRER, PVC, SERIE R, ÁGUA PLUVIAL, DN 100 MM, JUNTA ELÁSTICA, FORNECIDO E INSTALADO EM RAMAL DE ENCAMINHAMENTO. AF_12/2014</v>
          </cell>
          <cell r="C3752" t="str">
            <v>UN</v>
          </cell>
          <cell r="D3752">
            <v>46.36</v>
          </cell>
        </row>
        <row r="3753">
          <cell r="A3753" t="str">
            <v>89557</v>
          </cell>
          <cell r="B3753" t="str">
            <v>REDUÇÃO EXCÊNTRICA, PVC, SERIE R, ÁGUA PLUVIAL, DN 100 X 75 MM, JUNTA ELÁSTICA, FORNECIDO E INSTALADO EM RAMAL DE ENCAMINHAMENTO. AF_12/2014</v>
          </cell>
          <cell r="C3753" t="str">
            <v>UN</v>
          </cell>
          <cell r="D3753">
            <v>35.479999999999997</v>
          </cell>
        </row>
        <row r="3754">
          <cell r="A3754" t="str">
            <v>89558</v>
          </cell>
          <cell r="B3754" t="str">
            <v>LUVA, PVC, SOLDÁVEL, DN 40MM, INSTALADO EM PRUMADA DE ÁGUA - FORNECIMENTO E INSTALAÇÃO. AF_12/2014</v>
          </cell>
          <cell r="C3754" t="str">
            <v>UN</v>
          </cell>
          <cell r="D3754">
            <v>10.26</v>
          </cell>
        </row>
        <row r="3755">
          <cell r="A3755" t="str">
            <v>89559</v>
          </cell>
          <cell r="B3755" t="str">
            <v>TÊ DE INSPEÇÃO, PVC, SERIE R, ÁGUA PLUVIAL, DN 100 MM, JUNTA ELÁSTICA, FORNECIDO E INSTALADO EM RAMAL DE ENCAMINHAMENTO. AF_12/2014</v>
          </cell>
          <cell r="C3755" t="str">
            <v>UN</v>
          </cell>
          <cell r="D3755">
            <v>85.85</v>
          </cell>
        </row>
        <row r="3756">
          <cell r="A3756" t="str">
            <v>89561</v>
          </cell>
          <cell r="B3756" t="str">
            <v>JUNÇÃO SIMPLES, PVC, SERIE R, ÁGUA PLUVIAL, DN 40 MM, JUNTA SOLDÁVEL, FORNECIDO E INSTALADO EM RAMAL DE ENCAMINHAMENTO. AF_12/2014</v>
          </cell>
          <cell r="C3756" t="str">
            <v>UN</v>
          </cell>
          <cell r="D3756">
            <v>15.7</v>
          </cell>
        </row>
        <row r="3757">
          <cell r="A3757" t="str">
            <v>89562</v>
          </cell>
          <cell r="B3757" t="str">
            <v>LUVA DE REDUÇÃO, PVC, SOLDÁVEL, DN 40MM X 32MM, INSTALADO EM PRUMADA DE ÁGUA - FORNECIMENTO E INSTALAÇÃO. AF_12/2014</v>
          </cell>
          <cell r="C3757" t="str">
            <v>UN</v>
          </cell>
          <cell r="D3757">
            <v>11.12</v>
          </cell>
        </row>
        <row r="3758">
          <cell r="A3758" t="str">
            <v>89563</v>
          </cell>
          <cell r="B3758" t="str">
            <v>JUNÇÃO SIMPLES, PVC, SERIE R, ÁGUA PLUVIAL, DN 50 MM, JUNTA ELÁSTICA, FORNECIDO E INSTALADO EM RAMAL DE ENCAMINHAMENTO. AF_12/2014</v>
          </cell>
          <cell r="C3758" t="str">
            <v>UN</v>
          </cell>
          <cell r="D3758">
            <v>27.78</v>
          </cell>
        </row>
        <row r="3759">
          <cell r="A3759" t="str">
            <v>89564</v>
          </cell>
          <cell r="B3759" t="str">
            <v>LUVA COM ROSCA, PVC, SOLDÁVEL, DN 40MM X 1.1/4, INSTALADO EM PRUMADA DE ÁGUA - FORNECIMENTO E INSTALAÇÃO. AF_12/2014</v>
          </cell>
          <cell r="C3759" t="str">
            <v>UN</v>
          </cell>
          <cell r="D3759">
            <v>22.59</v>
          </cell>
        </row>
        <row r="3760">
          <cell r="A3760" t="str">
            <v>89565</v>
          </cell>
          <cell r="B3760" t="str">
            <v>JUNÇÃO SIMPLES, PVC, SERIE R, ÁGUA PLUVIAL, DN 75 X 75 MM, JUNTA ELÁSTICA, FORNECIDO E INSTALADO EM RAMAL DE ENCAMINHAMENTO. AF_12/2014</v>
          </cell>
          <cell r="C3760" t="str">
            <v>UN</v>
          </cell>
          <cell r="D3760">
            <v>68.3</v>
          </cell>
        </row>
        <row r="3761">
          <cell r="A3761" t="str">
            <v>89566</v>
          </cell>
          <cell r="B3761" t="str">
            <v>TÊ, PVC, SERIE R, ÁGUA PLUVIAL, DN 75 MM, JUNTA ELÁSTICA, FORNECIDO E INSTALADO EM RAMAL DE ENCAMINHAMENTO. AF_12/2014</v>
          </cell>
          <cell r="C3761" t="str">
            <v>UN</v>
          </cell>
          <cell r="D3761">
            <v>57.8</v>
          </cell>
        </row>
        <row r="3762">
          <cell r="A3762" t="str">
            <v>89567</v>
          </cell>
          <cell r="B3762" t="str">
            <v>JUNÇÃO SIMPLES, PVC, SERIE R, ÁGUA PLUVIAL, DN 100 X 100 MM, JUNTA ELÁSTICA, FORNECIDO E INSTALADO EM RAMAL DE ENCAMINHAMENTO. AF_12/2014</v>
          </cell>
          <cell r="C3762" t="str">
            <v>UN</v>
          </cell>
          <cell r="D3762">
            <v>102.93</v>
          </cell>
        </row>
        <row r="3763">
          <cell r="A3763" t="str">
            <v>89568</v>
          </cell>
          <cell r="B3763" t="str">
            <v>UNIÃO, PVC, SOLDÁVEL, DN 40MM, INSTALADO EM PRUMADA DE ÁGUA - FORNECIMENTO E INSTALAÇÃO. AF_12/2014</v>
          </cell>
          <cell r="C3763" t="str">
            <v>UN</v>
          </cell>
          <cell r="D3763">
            <v>48.61</v>
          </cell>
        </row>
        <row r="3764">
          <cell r="A3764" t="str">
            <v>89569</v>
          </cell>
          <cell r="B3764" t="str">
            <v>JUNÇÃO SIMPLES, PVC, SERIE R, ÁGUA PLUVIAL, DN 100 X 75 MM, JUNTA ELÁSTICA, FORNECIDO E INSTALADO EM RAMAL DE ENCAMINHAMENTO. AF_12/2014</v>
          </cell>
          <cell r="C3764" t="str">
            <v>UN</v>
          </cell>
          <cell r="D3764">
            <v>96.88</v>
          </cell>
        </row>
        <row r="3765">
          <cell r="A3765" t="str">
            <v>89570</v>
          </cell>
          <cell r="B3765" t="str">
            <v>ADAPTADOR CURTO COM BOLSA E ROSCA PARA REGISTRO, PVC, SOLDÁVEL, DN 40MM X 1.1/2, INSTALADO EM PRUMADA DE ÁGUA - FORNECIMENTO E INSTALAÇÃO. AF_12/2014</v>
          </cell>
          <cell r="C3765" t="str">
            <v>UN</v>
          </cell>
          <cell r="D3765">
            <v>15.14</v>
          </cell>
        </row>
        <row r="3766">
          <cell r="A3766" t="str">
            <v>89571</v>
          </cell>
          <cell r="B3766" t="str">
            <v>TÊ, PVC, SERIE R, ÁGUA PLUVIAL, DN 100 X 100 MM, JUNTA ELÁSTICA, FORNECIDO E INSTALADO EM RAMAL DE ENCAMINHAMENTO. AF_12/2014</v>
          </cell>
          <cell r="C3766" t="str">
            <v>UN</v>
          </cell>
          <cell r="D3766">
            <v>93.72</v>
          </cell>
        </row>
        <row r="3767">
          <cell r="A3767" t="str">
            <v>89572</v>
          </cell>
          <cell r="B3767" t="str">
            <v>ADAPTADOR CURTO COM BOLSA E ROSCA PARA REGISTRO, PVC, SOLDÁVEL, DN 40MM X 1.1/4, INSTALADO EM PRUMADA DE ÁGUA - FORNECIMENTO E INSTALAÇÃO. AF_12/2014</v>
          </cell>
          <cell r="C3767" t="str">
            <v>UN</v>
          </cell>
          <cell r="D3767">
            <v>9.56</v>
          </cell>
        </row>
        <row r="3768">
          <cell r="A3768" t="str">
            <v>89573</v>
          </cell>
          <cell r="B3768" t="str">
            <v>TÊ, PVC, SERIE R, ÁGUA PLUVIAL, DN 100 X 75 MM, JUNTA ELÁSTICA, FORNECIDO E INSTALADO EM RAMAL DE ENCAMINHAMENTO. AF_12/2014</v>
          </cell>
          <cell r="C3768" t="str">
            <v>UN</v>
          </cell>
          <cell r="D3768">
            <v>84.42</v>
          </cell>
        </row>
        <row r="3769">
          <cell r="A3769" t="str">
            <v>89574</v>
          </cell>
          <cell r="B3769" t="str">
            <v>JUNÇÃO DUPLA, PVC, SERIE R, ÁGUA PLUVIAL, DN 100 X 100 X 100 MM, JUNTA ELÁSTICA, FORNECIDO E INSTALADO EM RAMAL DE ENCAMINHAMENTO. AF_12/2014</v>
          </cell>
          <cell r="C3769" t="str">
            <v>UN</v>
          </cell>
          <cell r="D3769">
            <v>170.25</v>
          </cell>
        </row>
        <row r="3770">
          <cell r="A3770" t="str">
            <v>89575</v>
          </cell>
          <cell r="B3770" t="str">
            <v>LUVA, PVC, SOLDÁVEL, DN 50MM, INSTALADO EM PRUMADA DE ÁGUA - FORNECIMENTO E INSTALAÇÃO. AF_12/2014</v>
          </cell>
          <cell r="C3770" t="str">
            <v>UN</v>
          </cell>
          <cell r="D3770">
            <v>12.82</v>
          </cell>
        </row>
        <row r="3771">
          <cell r="A3771" t="str">
            <v>89577</v>
          </cell>
          <cell r="B3771" t="str">
            <v>LUVA DE CORRER, PVC, SOLDÁVEL, DN 50MM, INSTALADO EM PRUMADA DE ÁGUA - FORNECIMENTO E INSTALAÇÃO. AF_12/2014</v>
          </cell>
          <cell r="C3771" t="str">
            <v>UN</v>
          </cell>
          <cell r="D3771">
            <v>48.94</v>
          </cell>
        </row>
        <row r="3772">
          <cell r="A3772" t="str">
            <v>89579</v>
          </cell>
          <cell r="B3772" t="str">
            <v>LUVA DE REDUÇÃO, PVC, SOLDÁVEL, DN 50MM X 25MM, INSTALADO EM PRUMADA DE ÁGUA   FORNECIMENTO E INSTALAÇÃO. AF_12/2014</v>
          </cell>
          <cell r="C3772" t="str">
            <v>UN</v>
          </cell>
          <cell r="D3772">
            <v>13.23</v>
          </cell>
        </row>
        <row r="3773">
          <cell r="A3773" t="str">
            <v>89581</v>
          </cell>
          <cell r="B3773" t="str">
            <v>JOELHO 90 GRAUS, PVC, SERIE R, ÁGUA PLUVIAL, DN 75 MM, JUNTA ELÁSTICA, FORNECIDO E INSTALADO EM CONDUTORES VERTICAIS DE ÁGUAS PLUVIAIS. AF_12/2014</v>
          </cell>
          <cell r="C3773" t="str">
            <v>UN</v>
          </cell>
          <cell r="D3773">
            <v>35.520000000000003</v>
          </cell>
        </row>
        <row r="3774">
          <cell r="A3774" t="str">
            <v>89582</v>
          </cell>
          <cell r="B3774" t="str">
            <v>JOELHO 45 GRAUS, PVC, SERIE R, ÁGUA PLUVIAL, DN 75 MM, JUNTA ELÁSTICA, FORNECIDO E INSTALADO EM CONDUTORES VERTICAIS DE ÁGUAS PLUVIAIS. AF_12/2014</v>
          </cell>
          <cell r="C3774" t="str">
            <v>UN</v>
          </cell>
          <cell r="D3774">
            <v>30.65</v>
          </cell>
        </row>
        <row r="3775">
          <cell r="A3775" t="str">
            <v>89583</v>
          </cell>
          <cell r="B3775" t="str">
            <v>CURVA 87 GRAUS E 30 MINUTOS, PVC, SERIE R, ÁGUA PLUVIAL, DN 75 MM, JUNTA ELÁSTICA, FORNECIDO E INSTALADO EM CONDUTORES VERTICAIS DE ÁGUAS PLUVIAIS. AF_12/2014</v>
          </cell>
          <cell r="C3775" t="str">
            <v>UN</v>
          </cell>
          <cell r="D3775">
            <v>48.39</v>
          </cell>
        </row>
        <row r="3776">
          <cell r="A3776" t="str">
            <v>89584</v>
          </cell>
          <cell r="B3776" t="str">
            <v>JOELHO 90 GRAUS, PVC, SERIE R, ÁGUA PLUVIAL, DN 100 MM, JUNTA ELÁSTICA, FORNECIDO E INSTALADO EM CONDUTORES VERTICAIS DE ÁGUAS PLUVIAIS. AF_12/2014</v>
          </cell>
          <cell r="C3776" t="str">
            <v>UN</v>
          </cell>
          <cell r="D3776">
            <v>54.4</v>
          </cell>
        </row>
        <row r="3777">
          <cell r="A3777" t="str">
            <v>89585</v>
          </cell>
          <cell r="B3777" t="str">
            <v>JOELHO 45 GRAUS, PVC, SERIE R, ÁGUA PLUVIAL, DN 100 MM, JUNTA ELÁSTICA, FORNECIDO E INSTALADO EM CONDUTORES VERTICAIS DE ÁGUAS PLUVIAIS. AF_12/2014</v>
          </cell>
          <cell r="C3777" t="str">
            <v>UN</v>
          </cell>
          <cell r="D3777">
            <v>42.55</v>
          </cell>
        </row>
        <row r="3778">
          <cell r="A3778" t="str">
            <v>89586</v>
          </cell>
          <cell r="B3778" t="str">
            <v>JOELHO 45 GRAUS PARA PÉ DE COLUNA, PVC, SERIE R, ÁGUA PLUVIAL, DN 100 MM, JUNTA ELÁSTICA, FORNECIDO E INSTALADO EM CONDUTORES VERTICAIS DE ÁGUAS PLUVIAIS. AF_12/2014</v>
          </cell>
          <cell r="C3778" t="str">
            <v>UN</v>
          </cell>
          <cell r="D3778">
            <v>42.55</v>
          </cell>
        </row>
        <row r="3779">
          <cell r="A3779" t="str">
            <v>89587</v>
          </cell>
          <cell r="B3779" t="str">
            <v>CURVA 87 GRAUS E 30 MINUTOS, PVC, SERIE R, ÁGUA PLUVIAL, DN 100 MM, JUNTA ELÁSTICA, FORNECIDO E INSTALADO EM CONDUTORES VERTICAIS DE ÁGUAS PLUVIAIS. AF_12/2014</v>
          </cell>
          <cell r="C3779" t="str">
            <v>UN</v>
          </cell>
          <cell r="D3779">
            <v>72.97</v>
          </cell>
        </row>
        <row r="3780">
          <cell r="A3780" t="str">
            <v>89589</v>
          </cell>
          <cell r="B3780" t="str">
            <v>CURVAR 45 GRAUS, PVC, SERIE R, ÁGUA PLUVIAL, DN 100 MM, JUNTA ELÁSTICA, FORNECIDO E INSTALADO EM CONDUTORES VERTICAIS DE ÁGUAS PLUVIAIS. AF_12/2014</v>
          </cell>
          <cell r="C3780" t="str">
            <v>UN</v>
          </cell>
          <cell r="D3780">
            <v>45.85</v>
          </cell>
        </row>
        <row r="3781">
          <cell r="A3781" t="str">
            <v>89590</v>
          </cell>
          <cell r="B3781" t="str">
            <v>JOELHO 90 GRAUS, PVC, SERIE R, ÁGUA PLUVIAL, DN 150 MM, JUNTA ELÁSTICA, FORNECIDO E INSTALADO EM CONDUTORES VERTICAIS DE ÁGUAS PLUVIAIS. AF_12/2014</v>
          </cell>
          <cell r="C3781" t="str">
            <v>UN</v>
          </cell>
          <cell r="D3781">
            <v>174.76</v>
          </cell>
        </row>
        <row r="3782">
          <cell r="A3782" t="str">
            <v>89591</v>
          </cell>
          <cell r="B3782" t="str">
            <v>JOELHO 45 GRAUS, PVC, SERIE R, ÁGUA PLUVIAL, DN 150 MM, JUNTA ELÁSTICA, FORNECIDO E INSTALADO EM CONDUTORES VERTICAIS DE ÁGUAS PLUVIAIS. AF_12/2014</v>
          </cell>
          <cell r="C3782" t="str">
            <v>UN</v>
          </cell>
          <cell r="D3782">
            <v>140.75</v>
          </cell>
        </row>
        <row r="3783">
          <cell r="A3783" t="str">
            <v>89592</v>
          </cell>
          <cell r="B3783" t="str">
            <v>CURVA 87 GRAUS E 30 MINUTOS, PVC, SERIE R, ÁGUA PLUVIAL, DN 150 MM, JUNTA ELÁSTICA, FORNECIDO E INSTALADO EM CONDUTORES VERTICAIS DE ÁGUAS PLUVIAIS. AF_12/2014</v>
          </cell>
          <cell r="C3783" t="str">
            <v>UN</v>
          </cell>
          <cell r="D3783">
            <v>239.64</v>
          </cell>
        </row>
        <row r="3784">
          <cell r="A3784" t="str">
            <v>89593</v>
          </cell>
          <cell r="B3784" t="str">
            <v>LUVA COM ROSCA, PVC, SOLDÁVEL, DN 50MM X 1.1/2, INSTALADO EM PRUMADA DE ÁGUA - FORNECIMENTO E INSTALAÇÃO. AF_12/2014</v>
          </cell>
          <cell r="C3784" t="str">
            <v>UN</v>
          </cell>
          <cell r="D3784">
            <v>43.95</v>
          </cell>
        </row>
        <row r="3785">
          <cell r="A3785" t="str">
            <v>89594</v>
          </cell>
          <cell r="B3785" t="str">
            <v>UNIÃO, PVC, SOLDÁVEL, DN 50MM, INSTALADO EM PRUMADA DE ÁGUA - FORNECIMENTO E INSTALAÇÃO. AF_12/2014</v>
          </cell>
          <cell r="C3785" t="str">
            <v>UN</v>
          </cell>
          <cell r="D3785">
            <v>53.78</v>
          </cell>
        </row>
        <row r="3786">
          <cell r="A3786">
            <v>89595</v>
          </cell>
          <cell r="B3786" t="str">
            <v>ADAPTADOR CURTO COM BOLSA E ROSCA PARA REGISTRO, PVC, SOLDÁVEL, DN 50MM X 1.1/4, INSTALADO EM PRUMADA DE ÁGUA - FORNECIMENTO E INSTALAÇÃO. AF_12/2014</v>
          </cell>
          <cell r="C3786" t="str">
            <v>UN</v>
          </cell>
          <cell r="D3786">
            <v>18.32</v>
          </cell>
        </row>
        <row r="3787">
          <cell r="A3787">
            <v>89596</v>
          </cell>
          <cell r="B3787" t="str">
            <v>ADAPTADOR CURTO COM BOLSA E ROSCA PARA REGISTRO, PVC, SOLDÁVEL, DN 50MM X 1.1/2, INSTALADO EM PRUMADA DE ÁGUA - FORNECIMENTO E INSTALAÇÃO. AF_12/2014</v>
          </cell>
          <cell r="C3787" t="str">
            <v>UN</v>
          </cell>
          <cell r="D3787">
            <v>12.54</v>
          </cell>
        </row>
        <row r="3788">
          <cell r="A3788" t="str">
            <v>89597</v>
          </cell>
          <cell r="B3788" t="str">
            <v>LUVA, PVC, SOLDÁVEL, DN 60MM, INSTALADO EM PRUMADA DE ÁGUA - FORNECIMENTO E INSTALAÇÃO. AF_12/2014</v>
          </cell>
          <cell r="C3788" t="str">
            <v>UN</v>
          </cell>
          <cell r="D3788">
            <v>25.87</v>
          </cell>
        </row>
        <row r="3789">
          <cell r="A3789" t="str">
            <v>89598</v>
          </cell>
          <cell r="B3789" t="str">
            <v>LUVA DE CORRER, PVC, SOLDÁVEL, DN 60MM, INSTALADO EM PRUMADA DE ÁGUA   FORNECIMENTO E INSTALAÇÃO. AF_12/2014</v>
          </cell>
          <cell r="C3789" t="str">
            <v>UN</v>
          </cell>
          <cell r="D3789">
            <v>74.8</v>
          </cell>
        </row>
        <row r="3790">
          <cell r="A3790" t="str">
            <v>89599</v>
          </cell>
          <cell r="B3790" t="str">
            <v>LUVA SIMPLES, PVC, SERIE R, ÁGUA PLUVIAL, DN 75 MM, JUNTA ELÁSTICA, FORNECIDO E INSTALADO EM CONDUTORES VERTICAIS DE ÁGUAS PLUVIAIS. AF_12/2014</v>
          </cell>
          <cell r="C3790" t="str">
            <v>UN</v>
          </cell>
          <cell r="D3790">
            <v>23.11</v>
          </cell>
        </row>
        <row r="3791">
          <cell r="A3791" t="str">
            <v>89600</v>
          </cell>
          <cell r="B3791" t="str">
            <v>LUVA DE CORRER, PVC, SERIE R, ÁGUA PLUVIAL, DN 75 MM, JUNTA ELÁSTICA, FORNECIDO E INSTALADO EM CONDUTORES VERTICAIS DE ÁGUAS PLUVIAIS. AF_12/2014</v>
          </cell>
          <cell r="C3791" t="str">
            <v>UN</v>
          </cell>
          <cell r="D3791">
            <v>25.53</v>
          </cell>
        </row>
        <row r="3792">
          <cell r="A3792" t="str">
            <v>89605</v>
          </cell>
          <cell r="B3792" t="str">
            <v>LUVA DE REDUÇÃO, PVC, SOLDÁVEL, DN 60MM X 50MM, INSTALADO EM PRUMADA DE ÁGUA - FORNECIMENTO E INSTALAÇÃO. AF_12/2014</v>
          </cell>
          <cell r="C3792" t="str">
            <v>UN</v>
          </cell>
          <cell r="D3792">
            <v>25.15</v>
          </cell>
        </row>
        <row r="3793">
          <cell r="A3793" t="str">
            <v>89609</v>
          </cell>
          <cell r="B3793" t="str">
            <v>UNIÃO, PVC, SOLDÁVEL, DN 60MM, INSTALADO EM PRUMADA DE ÁGUA - FORNECIMENTO E INSTALAÇÃO. AF_12/2014</v>
          </cell>
          <cell r="C3793" t="str">
            <v>UN</v>
          </cell>
          <cell r="D3793">
            <v>128.34</v>
          </cell>
        </row>
        <row r="3794">
          <cell r="A3794">
            <v>89610</v>
          </cell>
          <cell r="B3794" t="str">
            <v>ADAPTADOR CURTO COM BOLSA E ROSCA PARA REGISTRO, PVC, SOLDÁVEL, DN 60MM X 2, INSTALADO EM PRUMADA DE ÁGUA - FORNECIMENTO E INSTALAÇÃO. AF_12/2014</v>
          </cell>
          <cell r="C3794" t="str">
            <v>UN</v>
          </cell>
          <cell r="D3794">
            <v>25.89</v>
          </cell>
        </row>
        <row r="3795">
          <cell r="A3795" t="str">
            <v>89611</v>
          </cell>
          <cell r="B3795" t="str">
            <v>LUVA, PVC, SOLDÁVEL, DN 75MM, INSTALADO EM PRUMADA DE ÁGUA - FORNECIMENTO E INSTALAÇÃO. AF_12/2014</v>
          </cell>
          <cell r="C3795" t="str">
            <v>UN</v>
          </cell>
          <cell r="D3795">
            <v>43.15</v>
          </cell>
        </row>
        <row r="3796">
          <cell r="A3796" t="str">
            <v>89612</v>
          </cell>
          <cell r="B3796" t="str">
            <v>UNIÃO, PVC, SOLDÁVEL, DN 75MM, INSTALADO EM PRUMADA DE ÁGUA - FORNECIMENTO E INSTALAÇÃO. AF_12/2014</v>
          </cell>
          <cell r="C3796" t="str">
            <v>UN</v>
          </cell>
          <cell r="D3796">
            <v>255.14</v>
          </cell>
        </row>
        <row r="3797">
          <cell r="A3797" t="str">
            <v>89613</v>
          </cell>
          <cell r="B3797" t="str">
            <v>ADAPTADOR CURTO COM BOLSA E ROSCA PARA REGISTRO, PVC, SOLDÁVEL, DN 75MM X 2.1/2, INSTALADO EM PRUMADA DE ÁGUA - FORNECIMENTO E INSTALAÇÃO. AF_12/2014</v>
          </cell>
          <cell r="C3797" t="str">
            <v>UN</v>
          </cell>
          <cell r="D3797">
            <v>37.840000000000003</v>
          </cell>
        </row>
        <row r="3798">
          <cell r="A3798" t="str">
            <v>89614</v>
          </cell>
          <cell r="B3798" t="str">
            <v>LUVA, PVC, SOLDÁVEL, DN 85MM, INSTALADO EM PRUMADA DE ÁGUA - FORNECIMENTO E INSTALAÇÃO. AF_12/2014</v>
          </cell>
          <cell r="C3798" t="str">
            <v>UN</v>
          </cell>
          <cell r="D3798">
            <v>86.65</v>
          </cell>
        </row>
        <row r="3799">
          <cell r="A3799" t="str">
            <v>89615</v>
          </cell>
          <cell r="B3799" t="str">
            <v>UNIÃO, PVC, SOLDÁVEL, DN 85MM, INSTALADO EM PRUMADA DE ÁGUA - FORNECIMENTO E INSTALAÇÃO. AF_12/2014</v>
          </cell>
          <cell r="C3799" t="str">
            <v>UN</v>
          </cell>
          <cell r="D3799">
            <v>388.16</v>
          </cell>
        </row>
        <row r="3800">
          <cell r="A3800" t="str">
            <v>89616</v>
          </cell>
          <cell r="B3800" t="str">
            <v>ADAPTADOR CURTO COM BOLSA E ROSCA PARA REGISTRO, PVC, SOLDÁVEL, DN 85MM X 3, INSTALADO EM PRUMADA DE ÁGUA - FORNECIMENTO E INSTALAÇÃO. AF_12/2014</v>
          </cell>
          <cell r="C3800" t="str">
            <v>UN</v>
          </cell>
          <cell r="D3800">
            <v>56.9</v>
          </cell>
        </row>
        <row r="3801">
          <cell r="A3801" t="str">
            <v>89617</v>
          </cell>
          <cell r="B3801" t="str">
            <v>TE, PVC, SOLDÁVEL, DN 25MM, INSTALADO EM PRUMADA DE ÁGUA - FORNECIMENTO E INSTALAÇÃO. AF_12/2014</v>
          </cell>
          <cell r="C3801" t="str">
            <v>UN</v>
          </cell>
          <cell r="D3801">
            <v>6.7</v>
          </cell>
        </row>
        <row r="3802">
          <cell r="A3802" t="str">
            <v>89618</v>
          </cell>
          <cell r="B3802" t="str">
            <v>TÊ COM BUCHA DE LATÃO NA BOLSA CENTRAL, PVC, SOLDÁVEL, DN 25MM X 1/2, INSTALADO EM PRUMADA DE ÁGUA - FORNECIMENTO E INSTALAÇÃO. AF_12/2014</v>
          </cell>
          <cell r="C3802" t="str">
            <v>UN</v>
          </cell>
          <cell r="D3802">
            <v>18.5</v>
          </cell>
        </row>
        <row r="3803">
          <cell r="A3803" t="str">
            <v>89619</v>
          </cell>
          <cell r="B3803" t="str">
            <v>TÊ DE REDUÇÃO, PVC, SOLDÁVEL, DN 25MM X 20MM, INSTALADO EM PRUMADA DE ÁGUA - FORNECIMENTO E INSTALAÇÃO. AF_12/2014</v>
          </cell>
          <cell r="C3803" t="str">
            <v>UN</v>
          </cell>
          <cell r="D3803">
            <v>9.85</v>
          </cell>
        </row>
        <row r="3804">
          <cell r="A3804" t="str">
            <v>89620</v>
          </cell>
          <cell r="B3804" t="str">
            <v>TE, PVC, SOLDÁVEL, DN 32MM, INSTALADO EM PRUMADA DE ÁGUA - FORNECIMENTO E INSTALAÇÃO. AF_12/2014</v>
          </cell>
          <cell r="C3804" t="str">
            <v>UN</v>
          </cell>
          <cell r="D3804">
            <v>12.49</v>
          </cell>
        </row>
        <row r="3805">
          <cell r="A3805" t="str">
            <v>89621</v>
          </cell>
          <cell r="B3805" t="str">
            <v>TÊ COM BUCHA DE LATÃO NA BOLSA CENTRAL, PVC, SOLDÁVEL, DN 32MM X 3/4, INSTALADO EM PRUMADA DE ÁGUA - FORNECIMENTO E INSTALAÇÃO. AF_12/2014</v>
          </cell>
          <cell r="C3805" t="str">
            <v>UN</v>
          </cell>
          <cell r="D3805">
            <v>32.520000000000003</v>
          </cell>
        </row>
        <row r="3806">
          <cell r="A3806" t="str">
            <v>89622</v>
          </cell>
          <cell r="B3806" t="str">
            <v>TÊ DE REDUÇÃO, PVC, SOLDÁVEL, DN 32MM X 25MM, INSTALADO EM PRUMADA DE ÁGUA - FORNECIMENTO E INSTALAÇÃO. AF_12/2014</v>
          </cell>
          <cell r="C3806" t="str">
            <v>UN</v>
          </cell>
          <cell r="D3806">
            <v>15.62</v>
          </cell>
        </row>
        <row r="3807">
          <cell r="A3807" t="str">
            <v>89623</v>
          </cell>
          <cell r="B3807" t="str">
            <v>TE, PVC, SOLDÁVEL, DN 40MM, INSTALADO EM PRUMADA DE ÁGUA - FORNECIMENTO E INSTALAÇÃO. AF_12/2014</v>
          </cell>
          <cell r="C3807" t="str">
            <v>UN</v>
          </cell>
          <cell r="D3807">
            <v>21.54</v>
          </cell>
        </row>
        <row r="3808">
          <cell r="A3808" t="str">
            <v>89624</v>
          </cell>
          <cell r="B3808" t="str">
            <v>TÊ DE REDUÇÃO, PVC, SOLDÁVEL, DN 40MM X 32MM, INSTALADO EM PRUMADA DE ÁGUA - FORNECIMENTO E INSTALAÇÃO. AF_12/2014</v>
          </cell>
          <cell r="C3808" t="str">
            <v>UN</v>
          </cell>
          <cell r="D3808">
            <v>23.11</v>
          </cell>
        </row>
        <row r="3809">
          <cell r="A3809" t="str">
            <v>89625</v>
          </cell>
          <cell r="B3809" t="str">
            <v>TE, PVC, SOLDÁVEL, DN 50MM, INSTALADO EM PRUMADA DE ÁGUA - FORNECIMENTO E INSTALAÇÃO. AF_12/2014</v>
          </cell>
          <cell r="C3809" t="str">
            <v>UN</v>
          </cell>
          <cell r="D3809">
            <v>25.62</v>
          </cell>
        </row>
        <row r="3810">
          <cell r="A3810" t="str">
            <v>89626</v>
          </cell>
          <cell r="B3810" t="str">
            <v>TÊ DE REDUÇÃO, PVC, SOLDÁVEL, DN 50MM X 40MM, INSTALADO EM PRUMADA DE ÁGUA - FORNECIMENTO E INSTALAÇÃO. AF_12/2014</v>
          </cell>
          <cell r="C3810" t="str">
            <v>UN</v>
          </cell>
          <cell r="D3810">
            <v>37.770000000000003</v>
          </cell>
        </row>
        <row r="3811">
          <cell r="A3811" t="str">
            <v>89627</v>
          </cell>
          <cell r="B3811" t="str">
            <v>TÊ DE REDUÇÃO, PVC, SOLDÁVEL, DN 50MM X 25MM, INSTALADO EM PRUMADA DE ÁGUA - FORNECIMENTO E INSTALAÇÃO. AF_12/2014</v>
          </cell>
          <cell r="C3811" t="str">
            <v>UN</v>
          </cell>
          <cell r="D3811">
            <v>23.8</v>
          </cell>
        </row>
        <row r="3812">
          <cell r="A3812" t="str">
            <v>89628</v>
          </cell>
          <cell r="B3812" t="str">
            <v>TE, PVC, SOLDÁVEL, DN 60MM, INSTALADO EM PRUMADA DE ÁGUA - FORNECIMENTO E INSTALAÇÃO. AF_12/2014</v>
          </cell>
          <cell r="C3812" t="str">
            <v>UN</v>
          </cell>
          <cell r="D3812">
            <v>59.38</v>
          </cell>
        </row>
        <row r="3813">
          <cell r="A3813" t="str">
            <v>89629</v>
          </cell>
          <cell r="B3813" t="str">
            <v>TE, PVC, SOLDÁVEL, DN 75MM, INSTALADO EM PRUMADA DE ÁGUA - FORNECIMENTO E INSTALAÇÃO. AF_12/2014</v>
          </cell>
          <cell r="C3813" t="str">
            <v>UN</v>
          </cell>
          <cell r="D3813">
            <v>112.07</v>
          </cell>
        </row>
        <row r="3814">
          <cell r="A3814" t="str">
            <v>89630</v>
          </cell>
          <cell r="B3814" t="str">
            <v>TE DE REDUÇÃO, PVC, SOLDÁVEL, DN 75MM X 50MM, INSTALADO EM PRUMADA DE ÁGUA - FORNECIMENTO E INSTALAÇÃO. AF_12/2014</v>
          </cell>
          <cell r="C3814" t="str">
            <v>UN</v>
          </cell>
          <cell r="D3814">
            <v>95.53</v>
          </cell>
        </row>
        <row r="3815">
          <cell r="A3815" t="str">
            <v>89631</v>
          </cell>
          <cell r="B3815" t="str">
            <v>TE, PVC, SOLDÁVEL, DN 85MM, INSTALADO EM PRUMADA DE ÁGUA - FORNECIMENTO E INSTALAÇÃO. AF_12/2014</v>
          </cell>
          <cell r="C3815" t="str">
            <v>UN</v>
          </cell>
          <cell r="D3815">
            <v>174.9</v>
          </cell>
        </row>
        <row r="3816">
          <cell r="A3816" t="str">
            <v>89632</v>
          </cell>
          <cell r="B3816" t="str">
            <v>TE DE REDUÇÃO, PVC, SOLDÁVEL, DN 85MM X 60MM, INSTALADO EM PRUMADA DE ÁGUA - FORNECIMENTO E INSTALAÇÃO. AF_12/2014</v>
          </cell>
          <cell r="C3816" t="str">
            <v>UN</v>
          </cell>
          <cell r="D3816">
            <v>141.05000000000001</v>
          </cell>
        </row>
        <row r="3817">
          <cell r="A3817" t="str">
            <v>89637</v>
          </cell>
          <cell r="B3817" t="str">
            <v>JOELHO 90 GRAUS, CPVC, SOLDÁVEL, DN 15MM, INSTALADO EM RAMAL OU SUB-RAMAL DE ÁGUA - FORNECIMENTO E INSTALAÇÃO. AF_12/2014</v>
          </cell>
          <cell r="C3817" t="str">
            <v>UN</v>
          </cell>
          <cell r="D3817">
            <v>9.33</v>
          </cell>
        </row>
        <row r="3818">
          <cell r="A3818" t="str">
            <v>89638</v>
          </cell>
          <cell r="B3818" t="str">
            <v>JOELHO 45 GRAUS, CPVC, SOLDÁVEL, DN 15MM, INSTALADO EM RAMAL OU SUB-RAMAL DE ÁGUA - FORNECIMENTO E INSTALAÇÃO. AF_12/2014</v>
          </cell>
          <cell r="C3818" t="str">
            <v>UN</v>
          </cell>
          <cell r="D3818">
            <v>10.39</v>
          </cell>
        </row>
        <row r="3819">
          <cell r="A3819" t="str">
            <v>89639</v>
          </cell>
          <cell r="B3819" t="str">
            <v>CURVA 90 GRAUS, CPVC, SOLDÁVEL, DN 15MM, INSTALADO EM RAMAL OU SUB-RAMAL DE ÁGUA - FORNECIMENTO E INSTALAÇÃO. AF_12/2014</v>
          </cell>
          <cell r="C3819" t="str">
            <v>UN</v>
          </cell>
          <cell r="D3819">
            <v>10.81</v>
          </cell>
        </row>
        <row r="3820">
          <cell r="A3820" t="str">
            <v>89640</v>
          </cell>
          <cell r="B3820" t="str">
            <v>JOELHO DE TRANSIÇÃO, 90 GRAUS, CPVC, SOLDÁVEL, DN 15MM X 1/2", INSTALADO EM RAMAL OU SUB-RAMAL DE ÁGUA - FORNECIMENTO E INSTALAÇÃO. AF_12/2014</v>
          </cell>
          <cell r="C3820" t="str">
            <v>UN</v>
          </cell>
          <cell r="D3820">
            <v>17.149999999999999</v>
          </cell>
        </row>
        <row r="3821">
          <cell r="A3821" t="str">
            <v>89641</v>
          </cell>
          <cell r="B3821" t="str">
            <v>JOELHO 90 GRAUS, CPVC, SOLDÁVEL, DN 22MM, INSTALADO EM RAMAL OU SUB-RAMAL DE ÁGUA - FORNECIMENTO E INSTALAÇÃO. AF_12/2014</v>
          </cell>
          <cell r="C3821" t="str">
            <v>UN</v>
          </cell>
          <cell r="D3821">
            <v>13.28</v>
          </cell>
        </row>
        <row r="3822">
          <cell r="A3822" t="str">
            <v>89642</v>
          </cell>
          <cell r="B3822" t="str">
            <v>JOELHO 45 GRAUS, CPVC, SOLDÁVEL, DN 22MM, INSTALADO EM RAMAL OU SUB-RAMAL DE ÁGUA - FORNECIMENTO E INSTALAÇÃO. AF_12/2014</v>
          </cell>
          <cell r="C3822" t="str">
            <v>UN</v>
          </cell>
          <cell r="D3822">
            <v>15.33</v>
          </cell>
        </row>
        <row r="3823">
          <cell r="A3823" t="str">
            <v>89643</v>
          </cell>
          <cell r="B3823" t="str">
            <v>CURVA 90 GRAUS, CPVC, SOLDÁVEL, DN 22MM, INSTALADO EM RAMAL OU SUB-RAMAL DE ÁGUA - FORNECIMENTO E INSTALAÇÃO. AF_12/2014</v>
          </cell>
          <cell r="C3823" t="str">
            <v>UN</v>
          </cell>
          <cell r="D3823">
            <v>16.010000000000002</v>
          </cell>
        </row>
        <row r="3824">
          <cell r="A3824" t="str">
            <v>89644</v>
          </cell>
          <cell r="B3824" t="str">
            <v>JOELHO DE TRANSIÇÃO, 90 GRAUS, CPVC, SOLDÁVEL, DN 22MM X 1/2", INSTALADO EM RAMAL OU SUB-RAMAL DE ÁGUA - FORNECIMENTO E INSTALAÇÃO. AF_12/2014</v>
          </cell>
          <cell r="C3824" t="str">
            <v>UN</v>
          </cell>
          <cell r="D3824">
            <v>25.67</v>
          </cell>
        </row>
        <row r="3825">
          <cell r="A3825" t="str">
            <v>89645</v>
          </cell>
          <cell r="B3825" t="str">
            <v>JOELHO DE TRANSIÇÃO, 90 GRAUS, CPVC, SOLDÁVEL, DN 22MM X 3/4", INSTALADO EM RAMAL OU SUB-RAMAL DE ÁGUA - FORNECIMENTO E INSTALAÇÃO. AF_12/2014</v>
          </cell>
          <cell r="C3825" t="str">
            <v>UN</v>
          </cell>
          <cell r="D3825">
            <v>28.53</v>
          </cell>
        </row>
        <row r="3826">
          <cell r="A3826" t="str">
            <v>89646</v>
          </cell>
          <cell r="B3826" t="str">
            <v>JOELHO 90 GRAUS, CPVC, SOLDÁVEL, DN 28MM, INSTALADO EM RAMAL OU SUB-RAMAL DE ÁGUA - FORNECIMENTO E INSTALAÇÃO. AF_12/2014</v>
          </cell>
          <cell r="C3826" t="str">
            <v>UN</v>
          </cell>
          <cell r="D3826">
            <v>20.91</v>
          </cell>
        </row>
        <row r="3827">
          <cell r="A3827" t="str">
            <v>89647</v>
          </cell>
          <cell r="B3827" t="str">
            <v>JOELHO 45 GRAUS, CPVC, SOLDÁVEL, DN 28MM, INSTALADO EM RAMAL OU SUB-RAMAL DE ÁGUA  FORNECIMENTO E INSTALAÇÃO. AF_12/2014</v>
          </cell>
          <cell r="C3827" t="str">
            <v>UN</v>
          </cell>
          <cell r="D3827">
            <v>20.440000000000001</v>
          </cell>
        </row>
        <row r="3828">
          <cell r="A3828" t="str">
            <v>89648</v>
          </cell>
          <cell r="B3828" t="str">
            <v>CURVA 90 GRAUS, CPVC, SOLDÁVEL, DN 28MM, INSTALADO EM RAMAL OU SUB-RAMAL DE ÁGUA  FORNECIMENTO E INSTALAÇÃO. AF_12/2014</v>
          </cell>
          <cell r="C3828" t="str">
            <v>UN</v>
          </cell>
          <cell r="D3828">
            <v>22.63</v>
          </cell>
        </row>
        <row r="3829">
          <cell r="A3829" t="str">
            <v>89649</v>
          </cell>
          <cell r="B3829" t="str">
            <v>JOELHO 90 GRAUS, CPVC, SOLDÁVEL, DN 35MM, INSTALADO EM RAMAL OU SUB-RAMAL DE ÁGUA  FORNECIMENTO E INSTALAÇÃO. AF_12/2014</v>
          </cell>
          <cell r="C3829" t="str">
            <v>UN</v>
          </cell>
          <cell r="D3829">
            <v>30.99</v>
          </cell>
        </row>
        <row r="3830">
          <cell r="A3830" t="str">
            <v>89650</v>
          </cell>
          <cell r="B3830" t="str">
            <v>JOELHO 45 GRAUS, CPVC, SOLDÁVEL, DN 35MM, INSTALADO EM RAMAL OU SUB-RAMAL DE ÁGUA  FORNECIMENTO E INSTALAÇÃO. AF_12/2014</v>
          </cell>
          <cell r="C3830" t="str">
            <v>UN</v>
          </cell>
          <cell r="D3830">
            <v>30.99</v>
          </cell>
        </row>
        <row r="3831">
          <cell r="A3831" t="str">
            <v>89651</v>
          </cell>
          <cell r="B3831" t="str">
            <v>LUVA, CPVC, SOLDÁVEL, DN 15MM, INSTALADO EM RAMAL OU SUB-RAMAL DE ÁGUA - FORNECIMENTO E INSTALAÇÃO. AF_12/2014</v>
          </cell>
          <cell r="C3831" t="str">
            <v>UN</v>
          </cell>
          <cell r="D3831">
            <v>6.58</v>
          </cell>
        </row>
        <row r="3832">
          <cell r="A3832" t="str">
            <v>89652</v>
          </cell>
          <cell r="B3832" t="str">
            <v>LUVA DE CORRER, CPVC, SOLDÁVEL, DN 15MM, INSTALADO EM RAMAL OU SUB-RAMAL DE ÁGUA  FORNECIMENTO E INSTALAÇÃO. AF_12/2014</v>
          </cell>
          <cell r="C3832" t="str">
            <v>UN</v>
          </cell>
          <cell r="D3832">
            <v>11.26</v>
          </cell>
        </row>
        <row r="3833">
          <cell r="A3833" t="str">
            <v>89653</v>
          </cell>
          <cell r="B3833" t="str">
            <v>LUVA DE TRANSIÇÃO, CPVC, SOLDÁVEL, DN15MM X 1/2", INSTALADO EM RAMAL OU SUB-RAMAL DE ÁGUA - FORNECIMENTO E INSTALAÇÃO. AF_12/2014</v>
          </cell>
          <cell r="C3833" t="str">
            <v>UN</v>
          </cell>
          <cell r="D3833">
            <v>18.47</v>
          </cell>
        </row>
        <row r="3834">
          <cell r="A3834" t="str">
            <v>89654</v>
          </cell>
          <cell r="B3834" t="str">
            <v>UNIÃO, CPVC, SOLDÁVEL, DN15MM, INSTALADO EM RAMAL OU SUB-RAMAL DE ÁGUA  FORNECIMENTO E INSTALAÇÃO. AF_12/2014</v>
          </cell>
          <cell r="C3834" t="str">
            <v>UN</v>
          </cell>
          <cell r="D3834">
            <v>17.989999999999998</v>
          </cell>
        </row>
        <row r="3835">
          <cell r="A3835" t="str">
            <v>89655</v>
          </cell>
          <cell r="B3835" t="str">
            <v>CONECTOR, CPVC, SOLDÁVEL, DN 15MM X 1/2, INSTALADO EM RAMAL OU SUB-RAMAL DE ÁGUA  FORNECIMENTO E INSTALAÇÃO. AF_12/2014</v>
          </cell>
          <cell r="C3835" t="str">
            <v>UN</v>
          </cell>
          <cell r="D3835">
            <v>26.8</v>
          </cell>
        </row>
        <row r="3836">
          <cell r="A3836" t="str">
            <v>89656</v>
          </cell>
          <cell r="B3836" t="str">
            <v>CONECTOR, CPVC, SOLDÁVEL, DN 15MM X 1/2, INSTALADO EM RAMAL OU SUB-RAMAL DE ÁGUA  FORNECIMENTO E INSTALAÇÃO. AF_12/2014</v>
          </cell>
          <cell r="C3836" t="str">
            <v>UN</v>
          </cell>
          <cell r="D3836">
            <v>12.01</v>
          </cell>
        </row>
        <row r="3837">
          <cell r="A3837" t="str">
            <v>89657</v>
          </cell>
          <cell r="B3837" t="str">
            <v>CURVA DE TRANSPOSIÇÃO, CPVC, SOLDÁVEL, DN15MM, INSTALADO EM RAMAL OU SUB-RAMAL DE ÁGUA  FORNECIMENTO E INSTALAÇÃO. AF_12/2014</v>
          </cell>
          <cell r="C3837" t="str">
            <v>UN</v>
          </cell>
          <cell r="D3837">
            <v>12.24</v>
          </cell>
        </row>
        <row r="3838">
          <cell r="A3838" t="str">
            <v>89658</v>
          </cell>
          <cell r="B3838" t="str">
            <v>LUVA, CPVC, SOLDÁVEL, DN 22MM, INSTALADO EM RAMAL OU SUB-RAMAL DE ÁGUA  FORNECIMENTO E INSTALAÇÃO. AF_12/2014</v>
          </cell>
          <cell r="C3838" t="str">
            <v>UN</v>
          </cell>
          <cell r="D3838">
            <v>9.17</v>
          </cell>
        </row>
        <row r="3839">
          <cell r="A3839" t="str">
            <v>89659</v>
          </cell>
          <cell r="B3839" t="str">
            <v>LUVA DE CORRER, CPVC, SOLDÁVEL, DN 22MM, INSTALADO EM RAMAL OU SUB-RAMAL DE ÁGUA  FORNECIMENTO E INSTALAÇÃO. AF_12/2014</v>
          </cell>
          <cell r="C3839" t="str">
            <v>UN</v>
          </cell>
          <cell r="D3839">
            <v>16.34</v>
          </cell>
        </row>
        <row r="3840">
          <cell r="A3840" t="str">
            <v>89660</v>
          </cell>
          <cell r="B3840" t="str">
            <v>LUVA DE TRANSIÇÃO, CPVC, SOLDÁVEL, DN22MM X 25MM, INSTALADO EM RAMAL OU SUB-RAMAL DE ÁGUA - FORNECIMENTO E INSTALAÇÃO. AF_12/2014</v>
          </cell>
          <cell r="C3840" t="str">
            <v>UN</v>
          </cell>
          <cell r="D3840">
            <v>8.5500000000000007</v>
          </cell>
        </row>
        <row r="3841">
          <cell r="A3841" t="str">
            <v>89661</v>
          </cell>
          <cell r="B3841" t="str">
            <v>UNIÃO, CPVC, SOLDÁVEL, DN22MM, INSTALADO EM RAMAL OU SUB-RAMAL DE ÁGUA  FORNECIMENTO E INSTALAÇÃO. AF_12/2014</v>
          </cell>
          <cell r="C3841" t="str">
            <v>UN</v>
          </cell>
          <cell r="D3841">
            <v>21.8</v>
          </cell>
        </row>
        <row r="3842">
          <cell r="A3842" t="str">
            <v>89662</v>
          </cell>
          <cell r="B3842" t="str">
            <v>CONECTOR, CPVC, SOLDÁVEL, DN 22MM X 1/2, INSTALADO EM RAMAL OU SUB-RAMAL DE ÁGUA  FORNECIMENTO E INSTALAÇÃO. AF_12/2014</v>
          </cell>
          <cell r="C3842" t="str">
            <v>UN</v>
          </cell>
          <cell r="D3842">
            <v>33.47</v>
          </cell>
        </row>
        <row r="3843">
          <cell r="A3843" t="str">
            <v>89663</v>
          </cell>
          <cell r="B3843" t="str">
            <v>ADAPTADOR, CPVC, SOLDÁVEL, DN22MM, INSTALADO EM RAMAL OU SUB-RAMAL DE ÁGUA  FORNECIMENTO E INSTALAÇÃO. AF_12/2014</v>
          </cell>
          <cell r="C3843" t="str">
            <v>UN</v>
          </cell>
          <cell r="D3843">
            <v>13.91</v>
          </cell>
        </row>
        <row r="3844">
          <cell r="A3844" t="str">
            <v>89664</v>
          </cell>
          <cell r="B3844" t="str">
            <v>CURVA DE TRANSPOSIÇÃO, CPVC, SOLDÁVEL, DN22MM, INSTALADO EM RAMAL OU SUB-RAMAL DE ÁGUA  FORNECIMENTO E INSTALAÇÃO. AF_12/2014</v>
          </cell>
          <cell r="C3844" t="str">
            <v>UN</v>
          </cell>
          <cell r="D3844">
            <v>16.34</v>
          </cell>
        </row>
        <row r="3845">
          <cell r="A3845" t="str">
            <v>89665</v>
          </cell>
          <cell r="B3845" t="str">
            <v>REDUÇÃO EXCÊNTRICA, PVC, SERIE R, ÁGUA PLUVIAL, DN 75 X 50 MM, JUNTA ELÁSTICA, FORNECIDO E INSTALADO EM CONDUTORES VERTICAIS DE ÁGUAS PLUVIAIS. AF_12/2014</v>
          </cell>
          <cell r="C3845" t="str">
            <v>UN</v>
          </cell>
          <cell r="D3845">
            <v>16.62</v>
          </cell>
        </row>
        <row r="3846">
          <cell r="A3846" t="str">
            <v>89666</v>
          </cell>
          <cell r="B3846" t="str">
            <v>BUCHA DE REDUÇÃO, CPVC, SOLDÁVEL, DN22MM X 15MM, INSTALADO EM RAMAL OU SUB-RAMAL DE ÁGUA  FORNECIMENTO E INSTALAÇÃO. AF_12/2014</v>
          </cell>
          <cell r="C3846" t="str">
            <v>UN</v>
          </cell>
          <cell r="D3846">
            <v>7.48</v>
          </cell>
        </row>
        <row r="3847">
          <cell r="A3847" t="str">
            <v>89667</v>
          </cell>
          <cell r="B3847" t="str">
            <v>TÊ DE INSPEÇÃO, PVC, SERIE R, ÁGUA PLUVIAL, DN 75 MM, JUNTA ELÁSTICA, FORNECIDO E INSTALADO EM CONDUTORES VERTICAIS DE ÁGUAS PLUVIAIS. AF_12/2014</v>
          </cell>
          <cell r="C3847" t="str">
            <v>UN</v>
          </cell>
          <cell r="D3847">
            <v>49.69</v>
          </cell>
        </row>
        <row r="3848">
          <cell r="A3848" t="str">
            <v>89668</v>
          </cell>
          <cell r="B3848" t="str">
            <v>CONECTOR, CPVC, SOLDÁVEL, DN22MM X 3/4", INSTALADO EM RAMAL OU SUB-RAMAL DE ÁGUA - FORNECIMENTO E INSTALAÇÃO. AF_12/2014</v>
          </cell>
          <cell r="C3848" t="str">
            <v>UN</v>
          </cell>
          <cell r="D3848">
            <v>31.76</v>
          </cell>
        </row>
        <row r="3849">
          <cell r="A3849" t="str">
            <v>89669</v>
          </cell>
          <cell r="B3849" t="str">
            <v>LUVA SIMPLES, PVC, SERIE R, ÁGUA PLUVIAL, DN 100 MM, JUNTA ELÁSTICA, FORNECIDO E INSTALADO EM CONDUTORES VERTICAIS DE ÁGUAS PLUVIAIS. AF_12/2014</v>
          </cell>
          <cell r="C3849" t="str">
            <v>UN</v>
          </cell>
          <cell r="D3849">
            <v>28.81</v>
          </cell>
        </row>
        <row r="3850">
          <cell r="A3850" t="str">
            <v>89670</v>
          </cell>
          <cell r="B3850" t="str">
            <v>LUVA, CPVC, SOLDÁVEL, DN 28MM, INSTALADO EM RAMAL OU SUB-RAMAL DE ÁGUA  FORNECIMENTO E INSTALAÇÃO. AF_12/2014</v>
          </cell>
          <cell r="C3850" t="str">
            <v>UN</v>
          </cell>
          <cell r="D3850">
            <v>13.69</v>
          </cell>
        </row>
        <row r="3851">
          <cell r="A3851" t="str">
            <v>89671</v>
          </cell>
          <cell r="B3851" t="str">
            <v>LUVA DE CORRER, PVC, SERIE R, ÁGUA PLUVIAL, DN 100 MM, JUNTA ELÁSTICA, FORNECIDO E INSTALADO EM CONDUTORES VERTICAIS DE ÁGUAS PLUVIAIS. AF_12/2014</v>
          </cell>
          <cell r="C3851" t="str">
            <v>UN</v>
          </cell>
          <cell r="D3851">
            <v>45.38</v>
          </cell>
        </row>
        <row r="3852">
          <cell r="A3852" t="str">
            <v>89672</v>
          </cell>
          <cell r="B3852" t="str">
            <v>LUVA DE CORRER, CPVC, SOLDÁVEL, DN 28MM, INSTALADO EM RAMAL OU SUB-RAMAL DE ÁGUA  FORNECIMENTO E INSTALAÇÃO. AF_12/2014</v>
          </cell>
          <cell r="C3852" t="str">
            <v>UN</v>
          </cell>
          <cell r="D3852">
            <v>21.9</v>
          </cell>
        </row>
        <row r="3853">
          <cell r="A3853" t="str">
            <v>89673</v>
          </cell>
          <cell r="B3853" t="str">
            <v>REDUÇÃO EXCÊNTRICA, PVC, SERIE R, ÁGUA PLUVIAL, DN 100 X 75 MM, JUNTA ELÁSTICA, FORNECIDO E INSTALADO EM CONDUTORES VERTICAIS DE ÁGUAS PLUVIAIS. AF_12/2014</v>
          </cell>
          <cell r="C3853" t="str">
            <v>UN</v>
          </cell>
          <cell r="D3853">
            <v>34.5</v>
          </cell>
        </row>
        <row r="3854">
          <cell r="A3854" t="str">
            <v>89674</v>
          </cell>
          <cell r="B3854" t="str">
            <v>UNIÃO, CPVC, SOLDÁVEL, DN28MM, INSTALADO EM RAMAL OU SUB-RAMAL DE ÁGUA  FORNECIMENTO E INSTALAÇÃO. AF_12/2014</v>
          </cell>
          <cell r="C3854" t="str">
            <v>UN</v>
          </cell>
          <cell r="D3854">
            <v>32.369999999999997</v>
          </cell>
        </row>
        <row r="3855">
          <cell r="A3855" t="str">
            <v>89675</v>
          </cell>
          <cell r="B3855" t="str">
            <v>TÊ DE INSPEÇÃO, PVC, SERIE R, ÁGUA PLUVIAL, DN 100 MM, JUNTA ELÁSTICA, FORNECIDO E INSTALADO EM CONDUTORES VERTICAIS DE ÁGUAS PLUVIAIS. AF_12/2014</v>
          </cell>
          <cell r="C3855" t="str">
            <v>UN</v>
          </cell>
          <cell r="D3855">
            <v>84.87</v>
          </cell>
        </row>
        <row r="3856">
          <cell r="A3856" t="str">
            <v>89676</v>
          </cell>
          <cell r="B3856" t="str">
            <v>CONECTOR, CPVC, SOLDÁVEL, DN 28MM X 1, INSTALADO EM RAMAL OU SUB-RAMAL DE ÁGUA  FORNECIMENTO E INSTALAÇÃO. AF_12/2014</v>
          </cell>
          <cell r="C3856" t="str">
            <v>UN</v>
          </cell>
          <cell r="D3856">
            <v>49.44</v>
          </cell>
        </row>
        <row r="3857">
          <cell r="A3857" t="str">
            <v>89677</v>
          </cell>
          <cell r="B3857" t="str">
            <v>LUVA SIMPLES, PVC, SERIE R, ÁGUA PLUVIAL, DN 150 MM, JUNTA ELÁSTICA, FORNECIDO E INSTALADO EM CONDUTORES VERTICAIS DE ÁGUAS PLUVIAIS. AF_12/2014</v>
          </cell>
          <cell r="C3857" t="str">
            <v>UN</v>
          </cell>
          <cell r="D3857">
            <v>83.79</v>
          </cell>
        </row>
        <row r="3858">
          <cell r="A3858" t="str">
            <v>89678</v>
          </cell>
          <cell r="B3858" t="str">
            <v>BUCHA DE REDUÇÃO, CPVC, SOLDÁVEL, DN28MM X 22MM, INSTALADO EM RAMAL OU SUB-RAMAL DE ÁGUA  FORNECIMENTO E INSTALAÇÃO. AF_12/2014</v>
          </cell>
          <cell r="C3858" t="str">
            <v>UN</v>
          </cell>
          <cell r="D3858">
            <v>10.050000000000001</v>
          </cell>
        </row>
        <row r="3859">
          <cell r="A3859" t="str">
            <v>89679</v>
          </cell>
          <cell r="B3859" t="str">
            <v>LUVA DE CORRER, PVC, SERIE R, ÁGUA PLUVIAL, DN 150 MM, JUNTA ELÁSTICA, FORNECIDO E INSTALADO EM CONDUTORES VERTICAIS DE ÁGUAS PLUVIAIS. AF_12/2014</v>
          </cell>
          <cell r="C3859" t="str">
            <v>UN</v>
          </cell>
          <cell r="D3859">
            <v>142.91999999999999</v>
          </cell>
        </row>
        <row r="3860">
          <cell r="A3860" t="str">
            <v>89680</v>
          </cell>
          <cell r="B3860" t="str">
            <v>LUVA, CPVC, SOLDÁVEL, DN 35MM, INSTALADO EM RAMAL OU SUB-RAMAL DE ÁGUA  FORNECIMENTO E INSTALAÇÃO. AF_12/2014</v>
          </cell>
          <cell r="C3860" t="str">
            <v>UN</v>
          </cell>
          <cell r="D3860">
            <v>21.52</v>
          </cell>
        </row>
        <row r="3861">
          <cell r="A3861" t="str">
            <v>89681</v>
          </cell>
          <cell r="B3861" t="str">
            <v>REDUÇÃO EXCÊNTRICA, PVC, SERIE R, ÁGUA PLUVIAL, DN 150 X 100 MM, JUNTA ELÁSTICA, FORNECIDO E INSTALADO EM CONDUTORES VERTICAIS DE ÁGUAS PLUVIAIS. AF_12/2014</v>
          </cell>
          <cell r="C3861" t="str">
            <v>UN</v>
          </cell>
          <cell r="D3861">
            <v>94.26</v>
          </cell>
        </row>
        <row r="3862">
          <cell r="A3862" t="str">
            <v>89682</v>
          </cell>
          <cell r="B3862" t="str">
            <v>LUVA DE CORRER, CPVC, SOLDÁVEL, DN 35MM, INSTALADO EM RAMAL OU SUB-RAMAL DE ÁGUA  FORNECIMENTO E INSTALAÇÃO. AF_12/2014</v>
          </cell>
          <cell r="C3862" t="str">
            <v>UN</v>
          </cell>
          <cell r="D3862">
            <v>33.79</v>
          </cell>
        </row>
        <row r="3863">
          <cell r="A3863" t="str">
            <v>89683</v>
          </cell>
          <cell r="B3863" t="str">
            <v>TÊ DE INSPEÇÃO, PVC, SERIE R, ÁGUA PLUVIAL, DN 150 X 100 MM, JUNTA ELÁSTICA, FORNECIDO E INSTALADO EM CONDUTORES VERTICAIS DE ÁGUAS PLUVIAIS. AF_12/2014</v>
          </cell>
          <cell r="C3863" t="str">
            <v>UN</v>
          </cell>
          <cell r="D3863">
            <v>384.06</v>
          </cell>
        </row>
        <row r="3864">
          <cell r="A3864" t="str">
            <v>89684</v>
          </cell>
          <cell r="B3864" t="str">
            <v>UNIÃO, CPVC, SOLDÁVEL, DN35MM, INSTALADO EM RAMAL OU SUB-RAMAL DE ÁGUA  FORNECIMENTO E INSTALAÇÃO. AF_12/2014</v>
          </cell>
          <cell r="C3864" t="str">
            <v>UN</v>
          </cell>
          <cell r="D3864">
            <v>46.95</v>
          </cell>
        </row>
        <row r="3865">
          <cell r="A3865" t="str">
            <v>89685</v>
          </cell>
          <cell r="B3865" t="str">
            <v>JUNÇÃO SIMPLES, PVC, SERIE R, ÁGUA PLUVIAL, DN 75 X 75 MM, JUNTA ELÁSTICA, FORNECIDO E INSTALADO EM CONDUTORES VERTICAIS DE ÁGUAS PLUVIAIS. AF_12/2014</v>
          </cell>
          <cell r="C3865" t="str">
            <v>UN</v>
          </cell>
          <cell r="D3865">
            <v>66.14</v>
          </cell>
        </row>
        <row r="3866">
          <cell r="A3866" t="str">
            <v>89686</v>
          </cell>
          <cell r="B3866" t="str">
            <v>CONECTOR, CPVC, SOLDÁVEL, DN 35MM X 1 1/4, INSTALADO EM RAMAL OU SUB-RAMAL DE ÁGUA  FORNECIMENTO E INSTALAÇÃO. AF_12/2014</v>
          </cell>
          <cell r="C3866" t="str">
            <v>UN</v>
          </cell>
          <cell r="D3866">
            <v>177.13</v>
          </cell>
        </row>
        <row r="3867">
          <cell r="A3867" t="str">
            <v>89687</v>
          </cell>
          <cell r="B3867" t="str">
            <v>TÊ, PVC, SERIE R, ÁGUA PLUVIAL, DN 75 X 75 MM, JUNTA ELÁSTICA, FORNECIDO E INSTALADO EM CONDUTORES VERTICAIS DE ÁGUAS PLUVIAIS. AF_12/2014</v>
          </cell>
          <cell r="C3867" t="str">
            <v>UN</v>
          </cell>
          <cell r="D3867">
            <v>55.64</v>
          </cell>
        </row>
        <row r="3868">
          <cell r="A3868" t="str">
            <v>89689</v>
          </cell>
          <cell r="B3868" t="str">
            <v>BUCHA DE REDUÇÃO, CPVC, SOLDÁVEL, DN35MM X 28MM, INSTALADO EM RAMAL OU SUB-RAMAL DE ÁGUA  FORNECIMENTO E INSTALAÇÃO. AF_12/2014</v>
          </cell>
          <cell r="C3868" t="str">
            <v>UN</v>
          </cell>
          <cell r="D3868">
            <v>36.43</v>
          </cell>
        </row>
        <row r="3869">
          <cell r="A3869" t="str">
            <v>89690</v>
          </cell>
          <cell r="B3869" t="str">
            <v>JUNÇÃO SIMPLES, PVC, SERIE R, ÁGUA PLUVIAL, DN 100 X 100 MM, JUNTA ELÁSTICA, FORNECIDO E INSTALADO EM CONDUTORES VERTICAIS DE ÁGUAS PLUVIAIS. AF_12/2014</v>
          </cell>
          <cell r="C3869" t="str">
            <v>UN</v>
          </cell>
          <cell r="D3869">
            <v>100.78</v>
          </cell>
        </row>
        <row r="3870">
          <cell r="A3870" t="str">
            <v>89691</v>
          </cell>
          <cell r="B3870" t="str">
            <v>TE, CPVC, SOLDÁVEL, DN 15MM, INSTALADO EM RAMAL OU SUB-RAMAL DE ÁGUA - FORNECIMENTO E INSTALAÇÃO. AF_12/2014</v>
          </cell>
          <cell r="C3870" t="str">
            <v>UN</v>
          </cell>
          <cell r="D3870">
            <v>12.08</v>
          </cell>
        </row>
        <row r="3871">
          <cell r="A3871" t="str">
            <v>89692</v>
          </cell>
          <cell r="B3871" t="str">
            <v>JUNÇÃO SIMPLES, PVC, SERIE R, ÁGUA PLUVIAL, DN 100 X 75 MM, JUNTA ELÁSTICA, FORNECIDO E INSTALADO EM CONDUTORES VERTICAIS DE ÁGUAS PLUVIAIS. AF_12/2014</v>
          </cell>
          <cell r="C3871" t="str">
            <v>UN</v>
          </cell>
          <cell r="D3871">
            <v>94.73</v>
          </cell>
        </row>
        <row r="3872">
          <cell r="A3872" t="str">
            <v>89693</v>
          </cell>
          <cell r="B3872" t="str">
            <v>TÊ, PVC, SERIE R, ÁGUA PLUVIAL, DN 100 X 100 MM, JUNTA ELÁSTICA, FORNECIDO E INSTALADO EM CONDUTORES VERTICAIS DE ÁGUAS PLUVIAIS. AF_12/2014</v>
          </cell>
          <cell r="C3872" t="str">
            <v>UN</v>
          </cell>
          <cell r="D3872">
            <v>91.57</v>
          </cell>
        </row>
        <row r="3873">
          <cell r="A3873" t="str">
            <v>89694</v>
          </cell>
          <cell r="B3873" t="str">
            <v>TE DE TRANSIÇÃO, CPVC, SOLDÁVEL, DN 15MM X 1/2, INSTALADO EM RAMAL OU SUB-RAMAL DE ÁGUA  FORNECIMENTO E INSTALAÇÃO. AF_12/2014</v>
          </cell>
          <cell r="C3873" t="str">
            <v>UN</v>
          </cell>
          <cell r="D3873">
            <v>20.11</v>
          </cell>
        </row>
        <row r="3874">
          <cell r="A3874" t="str">
            <v>89695</v>
          </cell>
          <cell r="B3874" t="str">
            <v>TÊ MISTURADOR, CPVC, SOLDÁVEL, DN15MM, INSTALADO EM RAMAL OU SUB-RAMAL DE ÁGUA  FORNECIMENTO E INSTALAÇÃO. AF_12/2014</v>
          </cell>
          <cell r="C3874" t="str">
            <v>UN</v>
          </cell>
          <cell r="D3874">
            <v>18.600000000000001</v>
          </cell>
        </row>
        <row r="3875">
          <cell r="A3875" t="str">
            <v>89696</v>
          </cell>
          <cell r="B3875" t="str">
            <v>TÊ, PVC, SERIE R, ÁGUA PLUVIAL, DN 100 X 75 MM, JUNTA ELÁSTICA, FORNECIDO E INSTALADO EM CONDUTORES VERTICAIS DE ÁGUAS PLUVIAIS. AF_12/2014</v>
          </cell>
          <cell r="C3875" t="str">
            <v>UN</v>
          </cell>
          <cell r="D3875">
            <v>82.27</v>
          </cell>
        </row>
        <row r="3876">
          <cell r="A3876" t="str">
            <v>89697</v>
          </cell>
          <cell r="B3876" t="str">
            <v>TE, CPVC, SOLDÁVEL, DN 22MM, INSTALADO EM RAMAL OU SUB-RAMAL DE ÁGUA - FORNECIMENTO E INSTALAÇÃO. AF_12/2014</v>
          </cell>
          <cell r="C3876" t="str">
            <v>UN</v>
          </cell>
          <cell r="D3876">
            <v>13.65</v>
          </cell>
        </row>
        <row r="3877">
          <cell r="A3877" t="str">
            <v>89698</v>
          </cell>
          <cell r="B3877" t="str">
            <v>JUNÇÃO SIMPLES, PVC, SERIE R, ÁGUA PLUVIAL, DN 150 X 150 MM, JUNTA ELÁSTICA, FORNECIDO E INSTALADO EM CONDUTORES VERTICAIS DE ÁGUAS PLUVIAIS. AF_12/2014</v>
          </cell>
          <cell r="C3877" t="str">
            <v>UN</v>
          </cell>
          <cell r="D3877">
            <v>298.86</v>
          </cell>
        </row>
        <row r="3878">
          <cell r="A3878" t="str">
            <v>89699</v>
          </cell>
          <cell r="B3878" t="str">
            <v>JUNÇÃO SIMPLES, PVC, SERIE R, ÁGUA PLUVIAL, DN 150 X 100 MM, JUNTA ELÁSTICA, FORNECIDO E INSTALADO EM CONDUTORES VERTICAIS DE ÁGUAS PLUVIAIS. AF_12/2014</v>
          </cell>
          <cell r="C3878" t="str">
            <v>UN</v>
          </cell>
          <cell r="D3878">
            <v>258.98</v>
          </cell>
        </row>
        <row r="3879">
          <cell r="A3879" t="str">
            <v>89700</v>
          </cell>
          <cell r="B3879" t="str">
            <v>TE DE TRANSIÇÃO, CPVC, SOLDÁVEL, DN 22MM X 1/2, INSTALADO EM RAMAL OU SUB-RAMAL DE ÁGUA  FORNECIMENTO E INSTALAÇÃO. AF_12/2014</v>
          </cell>
          <cell r="C3879" t="str">
            <v>UN</v>
          </cell>
          <cell r="D3879">
            <v>20.53</v>
          </cell>
        </row>
        <row r="3880">
          <cell r="A3880" t="str">
            <v>89701</v>
          </cell>
          <cell r="B3880" t="str">
            <v>TÊ, PVC, SERIE R, ÁGUA PLUVIAL, DN 150 X 150 MM, JUNTA ELÁSTICA, FORNECIDO E INSTALADO EM CONDUTORES VERTICAIS DE ÁGUAS PLUVIAIS. AF_12/2014</v>
          </cell>
          <cell r="C3880" t="str">
            <v>UN</v>
          </cell>
          <cell r="D3880">
            <v>226.71</v>
          </cell>
        </row>
        <row r="3881">
          <cell r="A3881" t="str">
            <v>89702</v>
          </cell>
          <cell r="B3881" t="str">
            <v>TÊ MISTURADOR, CPVC, SOLDÁVEL, DN22MM, INSTALADO EM RAMAL OU SUB-RAMAL DE ÁGUA  FORNECIMENTO E INSTALAÇÃO. AF_12/2014</v>
          </cell>
          <cell r="C3881" t="str">
            <v>UN</v>
          </cell>
          <cell r="D3881">
            <v>20.53</v>
          </cell>
        </row>
        <row r="3882">
          <cell r="A3882" t="str">
            <v>89703</v>
          </cell>
          <cell r="B3882" t="str">
            <v>TE MISTURADOR DE TRANSIÇÃO, CPVC, SOLDÁVEL, DN 22MM X 3/4", INSTALADO EM RAMAL OU SUB-RAMAL DE ÁGUA - FORNECIMENTO E INSTALAÇÃO. AF_12/2014</v>
          </cell>
          <cell r="C3882" t="str">
            <v>UN</v>
          </cell>
          <cell r="D3882">
            <v>48.45</v>
          </cell>
        </row>
        <row r="3883">
          <cell r="A3883" t="str">
            <v>89704</v>
          </cell>
          <cell r="B3883" t="str">
            <v>TÊ, PVC, SERIE R, ÁGUA PLUVIAL, DN 150 X 100 MM, JUNTA ELÁSTICA, FORNECIDO E INSTALADO EM CONDUTORES VERTICAIS DE ÁGUAS PLUVIAIS. AF_12/2014</v>
          </cell>
          <cell r="C3883" t="str">
            <v>UN</v>
          </cell>
          <cell r="D3883">
            <v>155.54</v>
          </cell>
        </row>
        <row r="3884">
          <cell r="A3884" t="str">
            <v>89705</v>
          </cell>
          <cell r="B3884" t="str">
            <v>TÊ, CPVC, SOLDÁVEL, DN28MM, INSTALADO EM RAMAL OU SUB-RAMAL DE ÁGUA   FORNECIMENTO E INSTALAÇÃO. AF_12/2014</v>
          </cell>
          <cell r="C3884" t="str">
            <v>UN</v>
          </cell>
          <cell r="D3884">
            <v>25.07</v>
          </cell>
        </row>
        <row r="3885">
          <cell r="A3885" t="str">
            <v>89706</v>
          </cell>
          <cell r="B3885" t="str">
            <v>TÊ, CPVC, SOLDÁVEL, DN35MM, INSTALADO EM RAMAL OU SUB-RAMAL DE ÁGUA  FORNECIMENTO E INSTALAÇÃO. AF_12/2014</v>
          </cell>
          <cell r="C3885" t="str">
            <v>M</v>
          </cell>
          <cell r="D3885">
            <v>55.16</v>
          </cell>
        </row>
        <row r="3886">
          <cell r="A3886" t="str">
            <v>89718</v>
          </cell>
          <cell r="B3886" t="str">
            <v>TUBO, CPVC, SOLDÁVEL, DN 35MM, INSTALADO EM RAMAL DE DISTRIBUIÇÃO DE ÁGUA   FORNECIMENTO E INSTALAÇÃO. AF_12/2014</v>
          </cell>
          <cell r="C3886" t="str">
            <v>UN</v>
          </cell>
          <cell r="D3886">
            <v>51.64</v>
          </cell>
        </row>
        <row r="3887">
          <cell r="A3887" t="str">
            <v>89719</v>
          </cell>
          <cell r="B3887" t="str">
            <v>JOELHO 90 GRAUS, CPVC, SOLDÁVEL, DN 22MM, INSTALADO EM RAMAL DE DISTRIBUIÇÃO DE ÁGUA   FORNECIMENTO E INSTALAÇÃO. AF_12/2014</v>
          </cell>
          <cell r="C3887" t="str">
            <v>UN</v>
          </cell>
          <cell r="D3887">
            <v>11.08</v>
          </cell>
        </row>
        <row r="3888">
          <cell r="A3888" t="str">
            <v>89720</v>
          </cell>
          <cell r="B3888" t="str">
            <v>JOELHO 45 GRAUS, CPVC, SOLDÁVEL, DN 22MM, INSTALADO EM RAMAL DE DISTRIBUIÇÃO DE ÁGUA   FORNECIMENTO E INSTALAÇÃO. AF_12/2014</v>
          </cell>
          <cell r="C3888" t="str">
            <v>UN</v>
          </cell>
          <cell r="D3888">
            <v>13.13</v>
          </cell>
        </row>
        <row r="3889">
          <cell r="A3889" t="str">
            <v>89721</v>
          </cell>
          <cell r="B3889" t="str">
            <v>CURVA 90 GRAUS, CPVC, SOLDÁVEL, DN 22MM, INSTALADO EM RAMAL DE DISTRIBUIÇÃO DE ÁGUA - FORNECIMENTO E INSTALAÇÃO. AF_12/2014</v>
          </cell>
          <cell r="C3889" t="str">
            <v>UN</v>
          </cell>
          <cell r="D3889">
            <v>13.81</v>
          </cell>
        </row>
        <row r="3890">
          <cell r="A3890" t="str">
            <v>89722</v>
          </cell>
          <cell r="B3890" t="str">
            <v>JOELHO DE TRANSIÇÃO, 90 GRAUS, CPVC, SOLDÁVEL, DN 22MM X 1/2", INSTALADO EM RAMAL DE ALIMENTAÇAÕ DE ÁGUA - FORNECIMENTO E INSTALAÇÃO. AF_12/2014</v>
          </cell>
          <cell r="C3890" t="str">
            <v>UN</v>
          </cell>
          <cell r="D3890">
            <v>23.47</v>
          </cell>
        </row>
        <row r="3891">
          <cell r="A3891" t="str">
            <v>89723</v>
          </cell>
          <cell r="B3891" t="str">
            <v>JOELHO 90 GRAUS, CPVC, SOLDÁVEL, DN 28MM, INSTALADO EM RAMAL DE DISTRIBUIÇÃO DE ÁGUA   FORNECIMENTO E INSTALAÇÃO. AF_12/2014</v>
          </cell>
          <cell r="C3891" t="str">
            <v>UN</v>
          </cell>
          <cell r="D3891">
            <v>18.36</v>
          </cell>
        </row>
        <row r="3892">
          <cell r="A3892" t="str">
            <v>89724</v>
          </cell>
          <cell r="B3892" t="str">
            <v>JOELHO 90 GRAUS, PVC, SERIE NORMAL, ESGOTO PREDIAL, DN 40 MM, JUNTA SOLDÁVEL, FORNECIDO E INSTALADO EM RAMAL DE DESCARGA OU RAMAL DE ESGOTO SANITÁRIO. AF_12/2014</v>
          </cell>
          <cell r="C3892" t="str">
            <v>UN</v>
          </cell>
          <cell r="D3892">
            <v>11.07</v>
          </cell>
        </row>
        <row r="3893">
          <cell r="A3893" t="str">
            <v>89725</v>
          </cell>
          <cell r="B3893" t="str">
            <v>JOELHO 45 GRAUS, CPVC, SOLDÁVEL, DN 28MM, INSTALADO EM RAMAL DE DISTRIBUIÇÃO DE ÁGUA   FORNECIMENTO E INSTALAÇÃO. AF_12/2014</v>
          </cell>
          <cell r="C3893" t="str">
            <v>UN</v>
          </cell>
          <cell r="D3893">
            <v>17.89</v>
          </cell>
        </row>
        <row r="3894">
          <cell r="A3894" t="str">
            <v>89726</v>
          </cell>
          <cell r="B3894" t="str">
            <v>JOELHO 45 GRAUS, PVC, SERIE NORMAL, ESGOTO PREDIAL, DN 40 MM, JUNTA SOLDÁVEL, FORNECIDO E INSTALADO EM RAMAL DE DESCARGA OU RAMAL DE ESGOTO SANITÁRIO. AF_12/2014</v>
          </cell>
          <cell r="C3894" t="str">
            <v>UN</v>
          </cell>
          <cell r="D3894">
            <v>7.23</v>
          </cell>
        </row>
        <row r="3895">
          <cell r="A3895" t="str">
            <v>89727</v>
          </cell>
          <cell r="B3895" t="str">
            <v>CURVA 90 GRAUS, CPVC, SOLDÁVEL, DN 28MM, INSTALADO EM RAMAL DE DISTRIBUIÇÃO DE ÁGUA   FORNECIMENTO E INSTALAÇÃO. AF_12/2014</v>
          </cell>
          <cell r="C3895" t="str">
            <v>UN</v>
          </cell>
          <cell r="D3895">
            <v>20.079999999999998</v>
          </cell>
        </row>
        <row r="3896">
          <cell r="A3896" t="str">
            <v>89728</v>
          </cell>
          <cell r="B3896" t="str">
            <v>CURVA CURTA 90 GRAUS, PVC, SERIE NORMAL, ESGOTO PREDIAL, DN 40 MM, JUNTA SOLDÁVEL, FORNECIDO E INSTALADO EM RAMAL DE DESCARGA OU RAMAL DE ESGOTO SANITÁRIO. AF_12/2014</v>
          </cell>
          <cell r="C3896" t="str">
            <v>UN</v>
          </cell>
          <cell r="D3896">
            <v>12.02</v>
          </cell>
        </row>
        <row r="3897">
          <cell r="A3897" t="str">
            <v>89729</v>
          </cell>
          <cell r="B3897" t="str">
            <v>JOELHO 90 GRAUS, CPVC, SOLDÁVEL, DN 35MM, INSTALADO EM RAMAL DE DISTRIBUIÇÃO DE ÁGUA   FORNECIMENTO E INSTALAÇÃO. AF_12/2014</v>
          </cell>
          <cell r="C3897" t="str">
            <v>UN</v>
          </cell>
          <cell r="D3897">
            <v>27.97</v>
          </cell>
        </row>
        <row r="3898">
          <cell r="A3898" t="str">
            <v>89730</v>
          </cell>
          <cell r="B3898" t="str">
            <v>CURVA LONGA 90 GRAUS, PVC, SERIE NORMAL, ESGOTO PREDIAL, DN 40 MM, JUNTA SOLDÁVEL, FORNECIDO E INSTALADO EM RAMAL DE DESCARGA OU RAMAL DE ESGOTO SANITÁRIO. AF_12/2014</v>
          </cell>
          <cell r="C3898" t="str">
            <v>UN</v>
          </cell>
          <cell r="D3898">
            <v>13.27</v>
          </cell>
        </row>
        <row r="3899">
          <cell r="A3899" t="str">
            <v>89731</v>
          </cell>
          <cell r="B3899" t="str">
            <v>JOELHO 90 GRAUS, PVC, SERIE NORMAL, ESGOTO PREDIAL, DN 50 MM, JUNTA ELÁSTICA, FORNECIDO E INSTALADO EM RAMAL DE DESCARGA OU RAMAL DE ESGOTO SANITÁRIO. AF_12/2014</v>
          </cell>
          <cell r="C3899" t="str">
            <v>UN</v>
          </cell>
          <cell r="D3899">
            <v>11.3</v>
          </cell>
        </row>
        <row r="3900">
          <cell r="A3900" t="str">
            <v>89732</v>
          </cell>
          <cell r="B3900" t="str">
            <v>JOELHO 45 GRAUS, PVC, SERIE NORMAL, ESGOTO PREDIAL, DN 50 MM, JUNTA ELÁSTICA, FORNECIDO E INSTALADO EM RAMAL DE DESCARGA OU RAMAL DE ESGOTO SANITÁRIO. AF_12/2014</v>
          </cell>
          <cell r="C3900" t="str">
            <v>UN</v>
          </cell>
          <cell r="D3900">
            <v>12.21</v>
          </cell>
        </row>
        <row r="3901">
          <cell r="A3901" t="str">
            <v>89733</v>
          </cell>
          <cell r="B3901" t="str">
            <v>CURVA CURTA 90 GRAUS, PVC, SERIE NORMAL, ESGOTO PREDIAL, DN 50 MM, JUNTA ELÁSTICA, FORNECIDO E INSTALADO EM RAMAL DE DESCARGA OU RAMAL DE ESGOTO SANITÁRIO. AF_12/2014</v>
          </cell>
          <cell r="C3901" t="str">
            <v>UN</v>
          </cell>
          <cell r="D3901">
            <v>21.98</v>
          </cell>
        </row>
        <row r="3902">
          <cell r="A3902" t="str">
            <v>89734</v>
          </cell>
          <cell r="B3902" t="str">
            <v>JOELHO 45 GRAUS, CPVC, SOLDÁVEL, DN 35MM, INSTALADO EM RAMAL DE DISTRIBUIÇÃO DE ÁGUA   FORNECIMENTO E INSTALAÇÃO. AF_12/2014</v>
          </cell>
          <cell r="C3902" t="str">
            <v>UN</v>
          </cell>
          <cell r="D3902">
            <v>27.97</v>
          </cell>
        </row>
        <row r="3903">
          <cell r="A3903" t="str">
            <v>89735</v>
          </cell>
          <cell r="B3903" t="str">
            <v>CURVA LONGA 90 GRAUS, PVC, SERIE NORMAL, ESGOTO PREDIAL, DN 50 MM, JUNTA ELÁSTICA, FORNECIDO E INSTALADO EM RAMAL DE DESCARGA OU RAMAL DE ESGOTO SANITÁRIO. AF_12/2014</v>
          </cell>
          <cell r="C3903" t="str">
            <v>UN</v>
          </cell>
          <cell r="D3903">
            <v>23.47</v>
          </cell>
        </row>
        <row r="3904">
          <cell r="A3904" t="str">
            <v>89736</v>
          </cell>
          <cell r="B3904" t="str">
            <v>LUVA, CPVC, SOLDÁVEL, DN 22MM, INSTALADO EM RAMAL DE DISTRIBUIÇÃO DE ÁGUA   FORNECIMENTO E INSTALAÇÃO. AF_12/2014</v>
          </cell>
          <cell r="C3904" t="str">
            <v>UN</v>
          </cell>
          <cell r="D3904">
            <v>7.72</v>
          </cell>
        </row>
        <row r="3905">
          <cell r="A3905" t="str">
            <v>89737</v>
          </cell>
          <cell r="B3905" t="str">
            <v>JOELHO 90 GRAUS, PVC, SERIE NORMAL, ESGOTO PREDIAL, DN 75 MM, JUNTA ELÁSTICA, FORNECIDO E INSTALADO EM RAMAL DE DESCARGA OU RAMAL DE ESGOTO SANITÁRIO. AF_12/2014</v>
          </cell>
          <cell r="C3905" t="str">
            <v>UN</v>
          </cell>
          <cell r="D3905">
            <v>20.75</v>
          </cell>
        </row>
        <row r="3906">
          <cell r="A3906" t="str">
            <v>89738</v>
          </cell>
          <cell r="B3906" t="str">
            <v>LUVA DE CORRER, CPVC, SOLDÁVEL, DN 22MM, INSTALADO EM RAMAL DE DISTRIBUIÇÃO DE ÁGUA   FORNECIMENTO E INSTALAÇÃO. AF_12/2014</v>
          </cell>
          <cell r="C3906" t="str">
            <v>UN</v>
          </cell>
          <cell r="D3906">
            <v>14.89</v>
          </cell>
        </row>
        <row r="3907">
          <cell r="A3907" t="str">
            <v>89739</v>
          </cell>
          <cell r="B3907" t="str">
            <v>JOELHO 45 GRAUS, PVC, SERIE NORMAL, ESGOTO PREDIAL, DN 75 MM, JUNTA ELÁSTICA, FORNECIDO E INSTALADO EM RAMAL DE DESCARGA OU RAMAL DE ESGOTO SANITÁRIO. AF_12/2014</v>
          </cell>
          <cell r="C3907" t="str">
            <v>UN</v>
          </cell>
          <cell r="D3907">
            <v>22.05</v>
          </cell>
        </row>
        <row r="3908">
          <cell r="A3908" t="str">
            <v>89740</v>
          </cell>
          <cell r="B3908" t="str">
            <v>LUVA DE TRANSIÇÃO, CPVC, SOLDÁVEL, DN 22MM X 25MM, INSTALADO EM RAMAL DE DISTRIBUIÇÃO DE ÁGUA   FORNECIMENTO E INSTALAÇÃO. AF_12/2014</v>
          </cell>
          <cell r="C3908" t="str">
            <v>UN</v>
          </cell>
          <cell r="D3908">
            <v>7.1</v>
          </cell>
        </row>
        <row r="3909">
          <cell r="A3909" t="str">
            <v>89741</v>
          </cell>
          <cell r="B3909" t="str">
            <v>UNIÃO, CPVC, SOLDÁVEL, DN 22MM, INSTALADO EM RAMAL DE DISTRIBUIÇÃO DE ÁGUA   FORNECIMENTO E INSTALAÇÃO. AF_12/2014</v>
          </cell>
          <cell r="C3909" t="str">
            <v>UN</v>
          </cell>
          <cell r="D3909">
            <v>20.350000000000001</v>
          </cell>
        </row>
        <row r="3910">
          <cell r="A3910" t="str">
            <v>89742</v>
          </cell>
          <cell r="B3910" t="str">
            <v>CURVA CURTA 90 GRAUS, PVC, SERIE NORMAL, ESGOTO PREDIAL, DN 75 MM, JUNTA ELÁSTICA, FORNECIDO E INSTALADO EM RAMAL DE DESCARGA OU RAMAL DE ESGOTO SANITÁRIO. AF_12/2014</v>
          </cell>
          <cell r="C3910" t="str">
            <v>UN</v>
          </cell>
          <cell r="D3910">
            <v>39.270000000000003</v>
          </cell>
        </row>
        <row r="3911">
          <cell r="A3911" t="str">
            <v>89743</v>
          </cell>
          <cell r="B3911" t="str">
            <v>CURVA LONGA 90 GRAUS, PVC, SERIE NORMAL, ESGOTO PREDIAL, DN 75 MM, JUNTA ELÁSTICA, FORNECIDO E INSTALADO EM RAMAL DE DESCARGA OU RAMAL DE ESGOTO SANITÁRIO. AF_12/2014</v>
          </cell>
          <cell r="C3911" t="str">
            <v>UN</v>
          </cell>
          <cell r="D3911">
            <v>57.84</v>
          </cell>
        </row>
        <row r="3912">
          <cell r="A3912" t="str">
            <v>89744</v>
          </cell>
          <cell r="B3912" t="str">
            <v>JOELHO 90 GRAUS, PVC, SERIE NORMAL, ESGOTO PREDIAL, DN 100 MM, JUNTA ELÁSTICA, FORNECIDO E INSTALADO EM RAMAL DE DESCARGA OU RAMAL DE ESGOTO SANITÁRIO. AF_12/2014</v>
          </cell>
          <cell r="C3912" t="str">
            <v>UN</v>
          </cell>
          <cell r="D3912">
            <v>26.73</v>
          </cell>
        </row>
        <row r="3913">
          <cell r="A3913" t="str">
            <v>89745</v>
          </cell>
          <cell r="B3913" t="str">
            <v>CONECTOR, CPVC, SOLDÁVEL, DN 22MM X 1/2 , INSTALADO EM RAMAL DE DISTRIBUIÇÃO DE ÁGUA   FORNECIMENTO E INSTALAÇÃO. AF_12/2014</v>
          </cell>
          <cell r="C3913" t="str">
            <v>UN</v>
          </cell>
          <cell r="D3913">
            <v>32.020000000000003</v>
          </cell>
        </row>
        <row r="3914">
          <cell r="A3914" t="str">
            <v>89746</v>
          </cell>
          <cell r="B3914" t="str">
            <v>JOELHO 45 GRAUS, PVC, SERIE NORMAL, ESGOTO PREDIAL, DN 100 MM, JUNTA ELÁSTICA, FORNECIDO E INSTALADO EM RAMAL DE DESCARGA OU RAMAL DE ESGOTO SANITÁRIO. AF_12/2014</v>
          </cell>
          <cell r="C3914" t="str">
            <v>UN</v>
          </cell>
          <cell r="D3914">
            <v>26.65</v>
          </cell>
        </row>
        <row r="3915">
          <cell r="A3915" t="str">
            <v>89747</v>
          </cell>
          <cell r="B3915" t="str">
            <v>ADAPTADOR, CPVC, SOLDÁVEL, DN 22MM, INSTALADO EM RAMAL DE DISTRIBUIÇÃO DE ÁGUA   FORNECIMENTO E INSTALAÇÃO. AF_12/2014</v>
          </cell>
          <cell r="C3915" t="str">
            <v>UN</v>
          </cell>
          <cell r="D3915">
            <v>12.46</v>
          </cell>
        </row>
        <row r="3916">
          <cell r="A3916" t="str">
            <v>89748</v>
          </cell>
          <cell r="B3916" t="str">
            <v>CURVA CURTA 90 GRAUS, PVC, SERIE NORMAL, ESGOTO PREDIAL, DN 100 MM, JUNTA ELÁSTICA, FORNECIDO E INSTALADO EM RAMAL DE DESCARGA OU RAMAL DE ESGOTO SANITÁRIO. AF_12/2014</v>
          </cell>
          <cell r="C3916" t="str">
            <v>UN</v>
          </cell>
          <cell r="D3916">
            <v>46.87</v>
          </cell>
        </row>
        <row r="3917">
          <cell r="A3917" t="str">
            <v>89749</v>
          </cell>
          <cell r="B3917" t="str">
            <v>CURVA DE TRANSPOSIÇÃO, CPVC, SOLDÁVEL, DN 22MM, INSTALADO EM RAMAL DE DISTRIBUIÇÃO DE ÁGUA   FORNECIMENTO E INSTALAÇÃO. AF_12/2014</v>
          </cell>
          <cell r="C3917" t="str">
            <v>UN</v>
          </cell>
          <cell r="D3917">
            <v>14.89</v>
          </cell>
        </row>
        <row r="3918">
          <cell r="A3918" t="str">
            <v>89750</v>
          </cell>
          <cell r="B3918" t="str">
            <v>CURVA LONGA 90 GRAUS, PVC, SERIE NORMAL, ESGOTO PREDIAL, DN 100 MM, JUNTA ELÁSTICA, FORNECIDO E INSTALADO EM RAMAL DE DESCARGA OU RAMAL DE ESGOTO SANITÁRIO. AF_12/2014</v>
          </cell>
          <cell r="C3918" t="str">
            <v>UN</v>
          </cell>
          <cell r="D3918">
            <v>82.6</v>
          </cell>
        </row>
        <row r="3919">
          <cell r="A3919" t="str">
            <v>89751</v>
          </cell>
          <cell r="B3919" t="str">
            <v>BUCHA DE REDUÇÃO, CPVC, SOLDÁVEL, DN 22MM X 15MM, INSTALADO EM RAMAL DE DISTRIBUIÇÃO DE ÁGUA   FORNECIMENTO E INSTALAÇÃO. AF_12/2014</v>
          </cell>
          <cell r="C3919" t="str">
            <v>UN</v>
          </cell>
          <cell r="D3919">
            <v>6.03</v>
          </cell>
        </row>
        <row r="3920">
          <cell r="A3920" t="str">
            <v>89752</v>
          </cell>
          <cell r="B3920" t="str">
            <v>LUVA SIMPLES, PVC, SERIE NORMAL, ESGOTO PREDIAL, DN 40 MM, JUNTA SOLDÁVEL, FORNECIDO E INSTALADO EM RAMAL DE DESCARGA OU RAMAL DE ESGOTO SANITÁRIO. AF_12/2014</v>
          </cell>
          <cell r="C3920" t="str">
            <v>UN</v>
          </cell>
          <cell r="D3920">
            <v>6.44</v>
          </cell>
        </row>
        <row r="3921">
          <cell r="A3921" t="str">
            <v>89753</v>
          </cell>
          <cell r="B3921" t="str">
            <v>LUVA SIMPLES, PVC, SERIE NORMAL, ESGOTO PREDIAL, DN 50 MM, JUNTA ELÁSTICA, FORNECIDO E INSTALADO EM RAMAL DE DESCARGA OU RAMAL DE ESGOTO SANITÁRIO. AF_12/2014</v>
          </cell>
          <cell r="C3921" t="str">
            <v>UN</v>
          </cell>
          <cell r="D3921">
            <v>9.89</v>
          </cell>
        </row>
        <row r="3922">
          <cell r="A3922" t="str">
            <v>89754</v>
          </cell>
          <cell r="B3922" t="str">
            <v>LUVA DE CORRER, PVC, SERIE NORMAL, ESGOTO PREDIAL, DN 50 MM, JUNTA ELÁSTICA, FORNECIDO E INSTALADO EM RAMAL DE DESCARGA OU RAMAL DE ESGOTO SANITÁRIO. AF_12/2014</v>
          </cell>
          <cell r="C3922" t="str">
            <v>UN</v>
          </cell>
          <cell r="D3922">
            <v>20.74</v>
          </cell>
        </row>
        <row r="3923">
          <cell r="A3923" t="str">
            <v>89755</v>
          </cell>
          <cell r="B3923" t="str">
            <v>LUVA, CPVC, SOLDÁVEL, DN 28MM, INSTALADO EM RAMAL DE DISTRIBUIÇÃO DE ÁGUA   FORNECIMENTO E INSTALAÇÃO. AF_12/2014</v>
          </cell>
          <cell r="C3923" t="str">
            <v>UN</v>
          </cell>
          <cell r="D3923">
            <v>12.01</v>
          </cell>
        </row>
        <row r="3924">
          <cell r="A3924" t="str">
            <v>89756</v>
          </cell>
          <cell r="B3924" t="str">
            <v>LUVA DE CORRER, CPVC, SOLDÁVEL, DN 28MM, INSTALADO EM RAMAL DE DISTRIBUIÇÃO DE ÁGUA   FORNECIMENTO E INSTALAÇÃO. AF_12/2014</v>
          </cell>
          <cell r="C3924" t="str">
            <v>UN</v>
          </cell>
          <cell r="D3924">
            <v>20.22</v>
          </cell>
        </row>
        <row r="3925">
          <cell r="A3925" t="str">
            <v>89757</v>
          </cell>
          <cell r="B3925" t="str">
            <v>UNIÃO, CPVC, SOLDÁVEL, DN 28MM, INSTALADO EM RAMAL DE DISTRIBUIÇÃO DE ÁGUA   FORNECIMENTO E INSTALAÇÃO. AF_12/2014</v>
          </cell>
          <cell r="C3925" t="str">
            <v>UN</v>
          </cell>
          <cell r="D3925">
            <v>30.69</v>
          </cell>
        </row>
        <row r="3926">
          <cell r="A3926" t="str">
            <v>89758</v>
          </cell>
          <cell r="B3926" t="str">
            <v>CONECTOR, CPVC, SOLDÁVEL, DN 28MM X 1 , INSTALADO EM RAMAL DE DISTRIBUIÇÃO DE ÁGUA   FORNECIMENTO E INSTALAÇÃO. AF_12/2014</v>
          </cell>
          <cell r="C3926" t="str">
            <v>UN</v>
          </cell>
          <cell r="D3926">
            <v>47.76</v>
          </cell>
        </row>
        <row r="3927">
          <cell r="A3927" t="str">
            <v>89759</v>
          </cell>
          <cell r="B3927" t="str">
            <v>BUCHA DE REDUÇÃO, CPVC, SOLDÁVEL, DN 28MM X 22MM, INSTALADO EM RAMAL DE DISTRIBUIÇÃO DE ÁGUA - FORNECIMENTO E INSTALAÇÃO. AF_12/2014</v>
          </cell>
          <cell r="C3927" t="str">
            <v>UN</v>
          </cell>
          <cell r="D3927">
            <v>8.3699999999999992</v>
          </cell>
        </row>
        <row r="3928">
          <cell r="A3928" t="str">
            <v>89760</v>
          </cell>
          <cell r="B3928" t="str">
            <v>LUVA, CPVC, SOLDÁVEL, DN 35MM, INSTALADO EM RAMAL DE DISTRIBUIÇÃO DE ÁGUA - FORNECIMENTO E INSTALAÇÃO. AF_12/2014</v>
          </cell>
          <cell r="C3928" t="str">
            <v>UN</v>
          </cell>
          <cell r="D3928">
            <v>19.52</v>
          </cell>
        </row>
        <row r="3929">
          <cell r="A3929" t="str">
            <v>89761</v>
          </cell>
          <cell r="B3929" t="str">
            <v>LUVA DE CORRER, CPVC, SOLDÁVEL, DN 35MM, INSTALADO EM RAMAL DE DISTRIBUIÇÃO DE ÁGUA - FORNECIMENTO E INSTALAÇÃO. AF_12/2014</v>
          </cell>
          <cell r="C3929" t="str">
            <v>UN</v>
          </cell>
          <cell r="D3929">
            <v>31.79</v>
          </cell>
        </row>
        <row r="3930">
          <cell r="A3930" t="str">
            <v>89762</v>
          </cell>
          <cell r="B3930" t="str">
            <v>UNIÃO, CPVC, SOLDÁVEL, DN35MM, INSTALADO EM RAMAL DE DISTRIBUIÇÃO DE ÁGUA - FORNECIMENTO E INSTALAÇÃO. AF_12/2014</v>
          </cell>
          <cell r="C3930" t="str">
            <v>UN</v>
          </cell>
          <cell r="D3930">
            <v>44.95</v>
          </cell>
        </row>
        <row r="3931">
          <cell r="A3931" t="str">
            <v>89763</v>
          </cell>
          <cell r="B3931" t="str">
            <v>CONECTOR, CPVC, SOLDÁVEL, DN 35MM X 1 1/4 , INSTALADO EM RAMAL DE DISTRIBUIÇÃO DE ÁGUA - FORNECIMENTO E INSTALAÇÃO. AF_12/2014</v>
          </cell>
          <cell r="C3931" t="str">
            <v>UN</v>
          </cell>
          <cell r="D3931">
            <v>175.13</v>
          </cell>
        </row>
        <row r="3932">
          <cell r="A3932" t="str">
            <v>89764</v>
          </cell>
          <cell r="B3932" t="str">
            <v>BUCHA DE REDUÇÃO, CPVC, SOLDÁVEL, DN35MM X 28MM, INSTALADO EM RAMAL DE DISTRIBUIÇÃO DE ÁGUA - FORNECIMENTO E INSTALAÇÃO. AF_12/2014</v>
          </cell>
          <cell r="C3932" t="str">
            <v>UN</v>
          </cell>
          <cell r="D3932">
            <v>34.43</v>
          </cell>
        </row>
        <row r="3933">
          <cell r="A3933" t="str">
            <v>89765</v>
          </cell>
          <cell r="B3933" t="str">
            <v>TE, CPVC, SOLDÁVEL, DN 22MM, INSTALADO EM RAMAL DE DISTRIBUIÇÃO DE ÁGUA - FORNECIMENTO E INSTALAÇÃO. AF_12/2014</v>
          </cell>
          <cell r="C3933" t="str">
            <v>UN</v>
          </cell>
          <cell r="D3933">
            <v>14.43</v>
          </cell>
        </row>
        <row r="3934">
          <cell r="A3934" t="str">
            <v>89766</v>
          </cell>
          <cell r="B3934" t="str">
            <v>TE DE TRANSIÇÃO, CPVC, SOLDÁVEL, DN 22MM X 1/2 , INSTALADO EM RAMAL DE DISTRIBUIÇÃO DE ÁGUA   FORNECIMENTO E INSTALAÇÃO. AF_12/2014</v>
          </cell>
          <cell r="C3934" t="str">
            <v>UN</v>
          </cell>
          <cell r="D3934">
            <v>21.31</v>
          </cell>
        </row>
        <row r="3935">
          <cell r="A3935" t="str">
            <v>89767</v>
          </cell>
          <cell r="B3935" t="str">
            <v>TÊ MISTURADOR, CPVC, SOLDÁVEL, DN 22MM, INSTALADO EM RAMAL DE DISTRIBUIÇÃO DE ÁGUA - FORNECIMENTO E INSTALAÇÃO. AF_12/2014</v>
          </cell>
          <cell r="C3935" t="str">
            <v>UN</v>
          </cell>
          <cell r="D3935">
            <v>21.31</v>
          </cell>
        </row>
        <row r="3936">
          <cell r="A3936" t="str">
            <v>89768</v>
          </cell>
          <cell r="B3936" t="str">
            <v>TÊ, CPVC, SOLDÁVEL, DN 28MM, INSTALADO EM RAMAL DE DISTRIBUIÇÃO DE ÁGUA - FORNECIMENTO E INSTALAÇÃO. AF_12/2014</v>
          </cell>
          <cell r="C3936" t="str">
            <v>UN</v>
          </cell>
          <cell r="D3936">
            <v>21.67</v>
          </cell>
        </row>
        <row r="3937">
          <cell r="A3937" t="str">
            <v>89769</v>
          </cell>
          <cell r="B3937" t="str">
            <v>TÊ, CPVC, SOLDÁVEL, DN35MM, INSTALADO EM RAMAL DE DISTRIBUIÇÃO DE ÁGUA - FORNECIMENTO E INSTALAÇÃO. AF_12/2014</v>
          </cell>
          <cell r="C3937" t="str">
            <v>M</v>
          </cell>
          <cell r="D3937">
            <v>51.13</v>
          </cell>
        </row>
        <row r="3938">
          <cell r="A3938" t="str">
            <v>89772</v>
          </cell>
          <cell r="B3938" t="str">
            <v>TUBO, CPVC, SOLDÁVEL, DN 54MM, INSTALADO EM PRUMADA DE ÁGUA  FORNECIMENTO E INSTALAÇÃO. AF_12/2014</v>
          </cell>
          <cell r="C3938" t="str">
            <v>UN</v>
          </cell>
          <cell r="D3938">
            <v>97.35</v>
          </cell>
        </row>
        <row r="3939">
          <cell r="A3939" t="str">
            <v>89774</v>
          </cell>
          <cell r="B3939" t="str">
            <v>LUVA SIMPLES, PVC, SERIE NORMAL, ESGOTO PREDIAL, DN 75 MM, JUNTA ELÁSTICA, FORNECIDO E INSTALADO EM RAMAL DE DESCARGA OU RAMAL DE ESGOTO SANITÁRIO. AF_12/2014</v>
          </cell>
          <cell r="C3939" t="str">
            <v>UN</v>
          </cell>
          <cell r="D3939">
            <v>16.84</v>
          </cell>
        </row>
        <row r="3940">
          <cell r="A3940" t="str">
            <v>89776</v>
          </cell>
          <cell r="B3940" t="str">
            <v>LUVA DE CORRER, PVC, SERIE NORMAL, ESGOTO PREDIAL, DN 75 MM, JUNTA ELÁSTICA, FORNECIDO E INSTALADO EM RAMAL DE DESCARGA OU RAMAL DE ESGOTO SANITÁRIO. AF_12/2014</v>
          </cell>
          <cell r="C3940" t="str">
            <v>UN</v>
          </cell>
          <cell r="D3940">
            <v>25.22</v>
          </cell>
        </row>
        <row r="3941">
          <cell r="A3941" t="str">
            <v>89777</v>
          </cell>
          <cell r="B3941" t="str">
            <v>JOELHO 90 GRAUS, CPVC, SOLDÁVEL, DN 35MM, INSTALADO EM PRUMADA DE ÁGUA  FORNECIMENTO E INSTALAÇÃO. AF_12/2014</v>
          </cell>
          <cell r="C3941" t="str">
            <v>UN</v>
          </cell>
          <cell r="D3941">
            <v>26.6</v>
          </cell>
        </row>
        <row r="3942">
          <cell r="A3942" t="str">
            <v>89778</v>
          </cell>
          <cell r="B3942" t="str">
            <v>LUVA SIMPLES, PVC, SERIE NORMAL, ESGOTO PREDIAL, DN 100 MM, JUNTA ELÁSTICA, FORNECIDO E INSTALADO EM RAMAL DE DESCARGA OU RAMAL DE ESGOTO SANITÁRIO. AF_12/2014</v>
          </cell>
          <cell r="C3942" t="str">
            <v>UN</v>
          </cell>
          <cell r="D3942">
            <v>20.7</v>
          </cell>
        </row>
        <row r="3943">
          <cell r="A3943" t="str">
            <v>89779</v>
          </cell>
          <cell r="B3943" t="str">
            <v>LUVA DE CORRER, PVC, SERIE NORMAL, ESGOTO PREDIAL, DN 100 MM, JUNTA ELÁSTICA, FORNECIDO E INSTALADO EM RAMAL DE DESCARGA OU RAMAL DE ESGOTO SANITÁRIO. AF_12/2014</v>
          </cell>
          <cell r="C3943" t="str">
            <v>UN</v>
          </cell>
          <cell r="D3943">
            <v>36.229999999999997</v>
          </cell>
        </row>
        <row r="3944">
          <cell r="A3944" t="str">
            <v>89780</v>
          </cell>
          <cell r="B3944" t="str">
            <v>JOELHO 45 GRAUS, CPVC, SOLDÁVEL, DN 35MM, INSTALADO EM PRUMADA DE ÁGUA - FORNECIMENTO E INSTALAÇÃO. AF_12/2014</v>
          </cell>
          <cell r="C3944" t="str">
            <v>UN</v>
          </cell>
          <cell r="D3944">
            <v>26.6</v>
          </cell>
        </row>
        <row r="3945">
          <cell r="A3945" t="str">
            <v>89781</v>
          </cell>
          <cell r="B3945" t="str">
            <v>JOELHO 90 GRAUS, CPVC, SOLDÁVEL, DN 42MM, INSTALADO EM PRUMADA DE ÁGUA  FORNECIMENTO E INSTALAÇÃO. AF_12/2014</v>
          </cell>
          <cell r="C3945" t="str">
            <v>UN</v>
          </cell>
          <cell r="D3945">
            <v>39.549999999999997</v>
          </cell>
        </row>
        <row r="3946">
          <cell r="A3946" t="str">
            <v>89782</v>
          </cell>
          <cell r="B3946" t="str">
            <v>TE, PVC, SERIE NORMAL, ESGOTO PREDIAL, DN 40 X 40 MM, JUNTA SOLDÁVEL, FORNECIDO E INSTALADO EM RAMAL DE DESCARGA OU RAMAL DE ESGOTO SANITÁRIO. AF_12/2014</v>
          </cell>
          <cell r="C3946" t="str">
            <v>UN</v>
          </cell>
          <cell r="D3946">
            <v>12.64</v>
          </cell>
        </row>
        <row r="3947">
          <cell r="A3947" t="str">
            <v>89783</v>
          </cell>
          <cell r="B3947" t="str">
            <v>JUNÇÃO SIMPLES, PVC, SERIE NORMAL, ESGOTO PREDIAL, DN 40 MM, JUNTA SOLDÁVEL, FORNECIDO E INSTALADO EM RAMAL DE DESCARGA OU RAMAL DE ESGOTO SANITÁRIO. AF_12/2014</v>
          </cell>
          <cell r="C3947" t="str">
            <v>UN</v>
          </cell>
          <cell r="D3947">
            <v>13.04</v>
          </cell>
        </row>
        <row r="3948">
          <cell r="A3948" t="str">
            <v>89784</v>
          </cell>
          <cell r="B3948" t="str">
            <v>TE, PVC, SERIE NORMAL, ESGOTO PREDIAL, DN 50 X 50 MM, JUNTA ELÁSTICA, FORNECIDO E INSTALADO EM RAMAL DE DESCARGA OU RAMAL DE ESGOTO SANITÁRIO. AF_12/2014</v>
          </cell>
          <cell r="C3948" t="str">
            <v>UN</v>
          </cell>
          <cell r="D3948">
            <v>22.11</v>
          </cell>
        </row>
        <row r="3949">
          <cell r="A3949" t="str">
            <v>89785</v>
          </cell>
          <cell r="B3949" t="str">
            <v>JUNÇÃO SIMPLES, PVC, SERIE NORMAL, ESGOTO PREDIAL, DN 50 X 50 MM, JUNTA ELÁSTICA, FORNECIDO E INSTALADO EM RAMAL DE DESCARGA OU RAMAL DE ESGOTO SANITÁRIO. AF_12/2014</v>
          </cell>
          <cell r="C3949" t="str">
            <v>UN</v>
          </cell>
          <cell r="D3949">
            <v>24.69</v>
          </cell>
        </row>
        <row r="3950">
          <cell r="A3950" t="str">
            <v>89786</v>
          </cell>
          <cell r="B3950" t="str">
            <v>TE, PVC, SERIE NORMAL, ESGOTO PREDIAL, DN 75 X 75 MM, JUNTA ELÁSTICA, FORNECIDO E INSTALADO EM RAMAL DE DESCARGA OU RAMAL DE ESGOTO SANITÁRIO. AF_12/2014</v>
          </cell>
          <cell r="C3950" t="str">
            <v>UN</v>
          </cell>
          <cell r="D3950">
            <v>38.03</v>
          </cell>
        </row>
        <row r="3951">
          <cell r="A3951" t="str">
            <v>89787</v>
          </cell>
          <cell r="B3951" t="str">
            <v>JOELHO 45 GRAUS, CPVC, SOLDÁVEL, DN 42MM, INSTALADO EM PRUMADA DE ÁGUA  FORNECIMENTO E INSTALAÇÃO. AF_12/2014</v>
          </cell>
          <cell r="C3951" t="str">
            <v>UN</v>
          </cell>
          <cell r="D3951">
            <v>39.549999999999997</v>
          </cell>
        </row>
        <row r="3952">
          <cell r="A3952" t="str">
            <v>89788</v>
          </cell>
          <cell r="B3952" t="str">
            <v>JOELHO 90 GRAUS, CPVC, SOLDÁVEL, DN 54MM, INSTALADO EM PRUMADA DE ÁGUA  FORNECIMENTO E INSTALAÇÃO. AF_12/2014</v>
          </cell>
          <cell r="C3952" t="str">
            <v>UN</v>
          </cell>
          <cell r="D3952">
            <v>77.05</v>
          </cell>
        </row>
        <row r="3953">
          <cell r="A3953" t="str">
            <v>89789</v>
          </cell>
          <cell r="B3953" t="str">
            <v>JOELHO 45 GRAUS, CPVC, SOLDÁVEL, DN 54MM, INSTALADO EM PRUMADA DE ÁGUA  FORNECIMENTO E INSTALAÇÃO. AF_12/2014</v>
          </cell>
          <cell r="C3953" t="str">
            <v>UN</v>
          </cell>
          <cell r="D3953">
            <v>78.260000000000005</v>
          </cell>
        </row>
        <row r="3954">
          <cell r="A3954" t="str">
            <v>89790</v>
          </cell>
          <cell r="B3954" t="str">
            <v>JOELHO 90 GRAUS, CPVC, SOLDÁVEL, DN 73MM, INSTALADO EM PRUMADA DE ÁGUA  FORNECIMENTO E INSTALAÇÃO. AF_12/2014</v>
          </cell>
          <cell r="C3954" t="str">
            <v>UN</v>
          </cell>
          <cell r="D3954">
            <v>190.39</v>
          </cell>
        </row>
        <row r="3955">
          <cell r="A3955" t="str">
            <v>89791</v>
          </cell>
          <cell r="B3955" t="str">
            <v>JOELHO 45 GRAUS, CPVC, SOLDÁVEL, DN 73MM, INSTALADO EM PRUMADA DE ÁGUA  FORNECIMENTO E INSTALAÇÃO. AF_12/2014</v>
          </cell>
          <cell r="C3955" t="str">
            <v>UN</v>
          </cell>
          <cell r="D3955">
            <v>194.84</v>
          </cell>
        </row>
        <row r="3956">
          <cell r="A3956" t="str">
            <v>89792</v>
          </cell>
          <cell r="B3956" t="str">
            <v>JOELHO 90 GRAUS, CPVC, SOLDÁVEL, DN 89MM, INSTALADO EM PRUMADA DE ÁGUA  FORNECIMENTO E INSTALAÇÃO. AF_12/2014</v>
          </cell>
          <cell r="C3956" t="str">
            <v>UN</v>
          </cell>
          <cell r="D3956">
            <v>224.39</v>
          </cell>
        </row>
        <row r="3957">
          <cell r="A3957" t="str">
            <v>89793</v>
          </cell>
          <cell r="B3957" t="str">
            <v>JOELHO 45 GRAUS, CPVC, SOLDÁVEL, DN 89MM, INSTALADO EM PRUMADA DE ÁGUA  FORNECIMENTO E INSTALAÇÃO. AF_12/2014</v>
          </cell>
          <cell r="C3957" t="str">
            <v>UN</v>
          </cell>
          <cell r="D3957">
            <v>230.38</v>
          </cell>
        </row>
        <row r="3958">
          <cell r="A3958" t="str">
            <v>89794</v>
          </cell>
          <cell r="B3958" t="str">
            <v>LUVA, CPVC, SOLDÁVEL, DN 35MM, INSTALADO EM PRUMADA DE ÁGUA  FORNECIMENTO E INSTALAÇÃO. AF_12/2014</v>
          </cell>
          <cell r="C3958" t="str">
            <v>UN</v>
          </cell>
          <cell r="D3958">
            <v>18.63</v>
          </cell>
        </row>
        <row r="3959">
          <cell r="A3959" t="str">
            <v>89795</v>
          </cell>
          <cell r="B3959" t="str">
            <v>JUNÇÃO SIMPLES, PVC, SERIE NORMAL, ESGOTO PREDIAL, DN 75 X 75 MM, JUNTA ELÁSTICA, FORNECIDO E INSTALADO EM RAMAL DE DESCARGA OU RAMAL DE ESGOTO SANITÁRIO. AF_12/2014</v>
          </cell>
          <cell r="C3959" t="str">
            <v>UN</v>
          </cell>
          <cell r="D3959">
            <v>41.58</v>
          </cell>
        </row>
        <row r="3960">
          <cell r="A3960" t="str">
            <v>89796</v>
          </cell>
          <cell r="B3960" t="str">
            <v>TE, PVC, SERIE NORMAL, ESGOTO PREDIAL, DN 100 X 100 MM, JUNTA ELÁSTICA, FORNECIDO E INSTALADO EM RAMAL DE DESCARGA OU RAMAL DE ESGOTO SANITÁRIO. AF_12/2014</v>
          </cell>
          <cell r="C3960" t="str">
            <v>UN</v>
          </cell>
          <cell r="D3960">
            <v>45.87</v>
          </cell>
        </row>
        <row r="3961">
          <cell r="A3961" t="str">
            <v>89797</v>
          </cell>
          <cell r="B3961" t="str">
            <v>JUNÇÃO SIMPLES, PVC, SERIE NORMAL, ESGOTO PREDIAL, DN 100 X 100 MM, JUNTA ELÁSTICA, FORNECIDO E INSTALADO EM RAMAL DE DESCARGA OU RAMAL DE ESGOTO SANITÁRIO. AF_12/2014</v>
          </cell>
          <cell r="C3961" t="str">
            <v>UN</v>
          </cell>
          <cell r="D3961">
            <v>54.19</v>
          </cell>
        </row>
        <row r="3962">
          <cell r="A3962" t="str">
            <v>89801</v>
          </cell>
          <cell r="B3962" t="str">
            <v>JOELHO 90 GRAUS, PVC, SERIE NORMAL, ESGOTO PREDIAL, DN 50 MM, JUNTA ELÁSTICA, FORNECIDO E INSTALADO EM PRUMADA DE ESGOTO SANITÁRIO OU VENTILAÇÃO. AF_12/2014</v>
          </cell>
          <cell r="C3962" t="str">
            <v>UN</v>
          </cell>
          <cell r="D3962">
            <v>7.77</v>
          </cell>
        </row>
        <row r="3963">
          <cell r="A3963" t="str">
            <v>89802</v>
          </cell>
          <cell r="B3963" t="str">
            <v>JOELHO 45 GRAUS, PVC, SERIE NORMAL, ESGOTO PREDIAL, DN 50 MM, JUNTA ELÁSTICA, FORNECIDO E INSTALADO EM PRUMADA DE ESGOTO SANITÁRIO OU VENTILAÇÃO. AF_12/2014</v>
          </cell>
          <cell r="C3963" t="str">
            <v>UN</v>
          </cell>
          <cell r="D3963">
            <v>8.68</v>
          </cell>
        </row>
        <row r="3964">
          <cell r="A3964" t="str">
            <v>89803</v>
          </cell>
          <cell r="B3964" t="str">
            <v>CURVA CURTA 90 GRAUS, PVC, SERIE NORMAL, ESGOTO PREDIAL, DN 50 MM, JUNTA ELÁSTICA, FORNECIDO E INSTALADO EM PRUMADA DE ESGOTO SANITÁRIO OU VENTILAÇÃO. AF_12/2014</v>
          </cell>
          <cell r="C3964" t="str">
            <v>UN</v>
          </cell>
          <cell r="D3964">
            <v>18.45</v>
          </cell>
        </row>
        <row r="3965">
          <cell r="A3965" t="str">
            <v>89804</v>
          </cell>
          <cell r="B3965" t="str">
            <v>CURVA LONGA 90 GRAUS, PVC, SERIE NORMAL, ESGOTO PREDIAL, DN 50 MM, JUNTA ELÁSTICA, FORNECIDO E INSTALADO EM PRUMADA DE ESGOTO SANITÁRIO OU VENTILAÇÃO. AF_12/2014</v>
          </cell>
          <cell r="C3965" t="str">
            <v>UN</v>
          </cell>
          <cell r="D3965">
            <v>19.940000000000001</v>
          </cell>
        </row>
        <row r="3966">
          <cell r="A3966" t="str">
            <v>89805</v>
          </cell>
          <cell r="B3966" t="str">
            <v>JOELHO 90 GRAUS, PVC, SERIE NORMAL, ESGOTO PREDIAL, DN 75 MM, JUNTA ELÁSTICA, FORNECIDO E INSTALADO EM PRUMADA DE ESGOTO SANITÁRIO OU VENTILAÇÃO. AF_12/2014</v>
          </cell>
          <cell r="C3966" t="str">
            <v>UN</v>
          </cell>
          <cell r="D3966">
            <v>16.45</v>
          </cell>
        </row>
        <row r="3967">
          <cell r="A3967" t="str">
            <v>89806</v>
          </cell>
          <cell r="B3967" t="str">
            <v>JOELHO 45 GRAUS, PVC, SERIE NORMAL, ESGOTO PREDIAL, DN 75 MM, JUNTA ELÁSTICA, FORNECIDO E INSTALADO EM PRUMADA DE ESGOTO SANITÁRIO OU VENTILAÇÃO. AF_12/2014</v>
          </cell>
          <cell r="C3967" t="str">
            <v>UN</v>
          </cell>
          <cell r="D3967">
            <v>17.75</v>
          </cell>
        </row>
        <row r="3968">
          <cell r="A3968" t="str">
            <v>89807</v>
          </cell>
          <cell r="B3968" t="str">
            <v>CURVA CURTA 90 GRAUS, PVC, SERIE NORMAL, ESGOTO PREDIAL, DN 75 MM, JUNTA ELÁSTICA, FORNECIDO E INSTALADO EM PRUMADA DE ESGOTO SANITÁRIO OU VENTILAÇÃO. AF_12/2014</v>
          </cell>
          <cell r="C3968" t="str">
            <v>UN</v>
          </cell>
          <cell r="D3968">
            <v>34.97</v>
          </cell>
        </row>
        <row r="3969">
          <cell r="A3969" t="str">
            <v>89808</v>
          </cell>
          <cell r="B3969" t="str">
            <v>CURVA LONGA 90 GRAUS, PVC, SERIE NORMAL, ESGOTO PREDIAL, DN 75 MM, JUNTA ELÁSTICA, FORNECIDO E INSTALADO EM PRUMADA DE ESGOTO SANITÁRIO OU VENTILAÇÃO. AF_12/2014</v>
          </cell>
          <cell r="C3969" t="str">
            <v>UN</v>
          </cell>
          <cell r="D3969">
            <v>53.54</v>
          </cell>
        </row>
        <row r="3970">
          <cell r="A3970" t="str">
            <v>89809</v>
          </cell>
          <cell r="B3970" t="str">
            <v>JOELHO 90 GRAUS, PVC, SERIE NORMAL, ESGOTO PREDIAL, DN 100 MM, JUNTA ELÁSTICA, FORNECIDO E INSTALADO EM PRUMADA DE ESGOTO SANITÁRIO OU VENTILAÇÃO. AF_12/2014</v>
          </cell>
          <cell r="C3970" t="str">
            <v>UN</v>
          </cell>
          <cell r="D3970">
            <v>21.65</v>
          </cell>
        </row>
        <row r="3971">
          <cell r="A3971" t="str">
            <v>89810</v>
          </cell>
          <cell r="B3971" t="str">
            <v>JOELHO 45 GRAUS, PVC, SERIE NORMAL, ESGOTO PREDIAL, DN 100 MM, JUNTA ELÁSTICA, FORNECIDO E INSTALADO EM PRUMADA DE ESGOTO SANITÁRIO OU VENTILAÇÃO. AF_12/2014</v>
          </cell>
          <cell r="C3971" t="str">
            <v>UN</v>
          </cell>
          <cell r="D3971">
            <v>21.57</v>
          </cell>
        </row>
        <row r="3972">
          <cell r="A3972" t="str">
            <v>89811</v>
          </cell>
          <cell r="B3972" t="str">
            <v>CURVA CURTA 90 GRAUS, PVC, SERIE NORMAL, ESGOTO PREDIAL, DN 100 MM, JUNTA ELÁSTICA, FORNECIDO E INSTALADO EM PRUMADA DE ESGOTO SANITÁRIO OU VENTILAÇÃO. AF_12/2014</v>
          </cell>
          <cell r="C3972" t="str">
            <v>UN</v>
          </cell>
          <cell r="D3972">
            <v>41.79</v>
          </cell>
        </row>
        <row r="3973">
          <cell r="A3973" t="str">
            <v>89812</v>
          </cell>
          <cell r="B3973" t="str">
            <v>CURVA LONGA 90 GRAUS, PVC, SERIE NORMAL, ESGOTO PREDIAL, DN 100 MM, JUNTA ELÁSTICA, FORNECIDO E INSTALADO EM PRUMADA DE ESGOTO SANITÁRIO OU VENTILAÇÃO. AF_12/2014</v>
          </cell>
          <cell r="C3973" t="str">
            <v>UN</v>
          </cell>
          <cell r="D3973">
            <v>77.52</v>
          </cell>
        </row>
        <row r="3974">
          <cell r="A3974" t="str">
            <v>89813</v>
          </cell>
          <cell r="B3974" t="str">
            <v>LUVA SIMPLES, PVC, SERIE NORMAL, ESGOTO PREDIAL, DN 50 MM, JUNTA ELÁSTICA, FORNECIDO E INSTALADO EM PRUMADA DE ESGOTO SANITÁRIO OU VENTILAÇÃO. AF_12/2014</v>
          </cell>
          <cell r="C3974" t="str">
            <v>UN</v>
          </cell>
          <cell r="D3974">
            <v>7.93</v>
          </cell>
        </row>
        <row r="3975">
          <cell r="A3975" t="str">
            <v>89814</v>
          </cell>
          <cell r="B3975" t="str">
            <v>LUVA DE CORRER, PVC, SERIE NORMAL, ESGOTO PREDIAL, DN 50 MM, JUNTA ELÁSTICA, FORNECIDO E INSTALADO EM PRUMADA DE ESGOTO SANITÁRIO OU VENTILAÇÃO. AF_12/2014</v>
          </cell>
          <cell r="C3975" t="str">
            <v>UN</v>
          </cell>
          <cell r="D3975">
            <v>18.78</v>
          </cell>
        </row>
        <row r="3976">
          <cell r="A3976" t="str">
            <v>89815</v>
          </cell>
          <cell r="B3976" t="str">
            <v>LUVA DE CORRER, CPVC, SOLDÁVEL, DN 35MM, INSTALADO EM PRUMADA DE ÁGUA  FORNECIMENTO E INSTALAÇÃO. AF_12/2014</v>
          </cell>
          <cell r="C3976" t="str">
            <v>UN</v>
          </cell>
          <cell r="D3976">
            <v>30.9</v>
          </cell>
        </row>
        <row r="3977">
          <cell r="A3977" t="str">
            <v>89816</v>
          </cell>
          <cell r="B3977" t="str">
            <v>UNIÃO, CPVC, SOLDÁVEL, DN35MM, INSTALADO EM PRUMADA DE ÁGUA  FORNECIMENTO E INSTALAÇÃO. AF_12/2014</v>
          </cell>
          <cell r="C3977" t="str">
            <v>UN</v>
          </cell>
          <cell r="D3977">
            <v>44.06</v>
          </cell>
        </row>
        <row r="3978">
          <cell r="A3978" t="str">
            <v>89817</v>
          </cell>
          <cell r="B3978" t="str">
            <v>LUVA SIMPLES, PVC, SERIE NORMAL, ESGOTO PREDIAL, DN 75 MM, JUNTA ELÁSTICA, FORNECIDO E INSTALADO EM PRUMADA DE ESGOTO SANITÁRIO OU VENTILAÇÃO. AF_12/2014</v>
          </cell>
          <cell r="C3978" t="str">
            <v>UN</v>
          </cell>
          <cell r="D3978">
            <v>14.1</v>
          </cell>
        </row>
        <row r="3979">
          <cell r="A3979" t="str">
            <v>89818</v>
          </cell>
          <cell r="B3979" t="str">
            <v>CONECTOR, CPVC, SOLDÁVEL, DN 35MM X 1 1/4, INSTALADO EM PRUMADA DE ÁGUA  FORNECIMENTO E INSTALAÇÃO. AF_12/2014</v>
          </cell>
          <cell r="C3979" t="str">
            <v>UN</v>
          </cell>
          <cell r="D3979">
            <v>174.24</v>
          </cell>
        </row>
        <row r="3980">
          <cell r="A3980" t="str">
            <v>89819</v>
          </cell>
          <cell r="B3980" t="str">
            <v>LUVA DE CORRER, PVC, SERIE NORMAL, ESGOTO PREDIAL, DN 75 MM, JUNTA ELÁSTICA, FORNECIDO E INSTALADO EM PRUMADA DE ESGOTO SANITÁRIO OU VENTILAÇÃO. AF_12/2014</v>
          </cell>
          <cell r="C3980" t="str">
            <v>UN</v>
          </cell>
          <cell r="D3980">
            <v>22.48</v>
          </cell>
        </row>
        <row r="3981">
          <cell r="A3981" t="str">
            <v>89820</v>
          </cell>
          <cell r="B3981" t="str">
            <v>BUCHA DE REDUÇÃO, CPVC, SOLDÁVEL, DN35MM X 28MM, INSTALADO EM PRUMADA DE ÁGUA  FORNECIMENTO E INSTALAÇÃO. AF_12/2014</v>
          </cell>
          <cell r="C3981" t="str">
            <v>UN</v>
          </cell>
          <cell r="D3981">
            <v>33.54</v>
          </cell>
        </row>
        <row r="3982">
          <cell r="A3982" t="str">
            <v>89821</v>
          </cell>
          <cell r="B3982" t="str">
            <v>LUVA SIMPLES, PVC, SERIE NORMAL, ESGOTO PREDIAL, DN 100 MM, JUNTA ELÁSTICA, FORNECIDO E INSTALADO EM PRUMADA DE ESGOTO SANITÁRIO OU VENTILAÇÃO. AF_12/2014</v>
          </cell>
          <cell r="C3982" t="str">
            <v>UN</v>
          </cell>
          <cell r="D3982">
            <v>17.18</v>
          </cell>
        </row>
        <row r="3983">
          <cell r="A3983" t="str">
            <v>89822</v>
          </cell>
          <cell r="B3983" t="str">
            <v>LUVA, CPVC, SOLDÁVEL, DN 42MM, INSTALADO EM PRUMADA DE ÁGUA  FORNECIMENTO E INSTALAÇÃO. AF_12/2014</v>
          </cell>
          <cell r="C3983" t="str">
            <v>UN</v>
          </cell>
          <cell r="D3983">
            <v>24.41</v>
          </cell>
        </row>
        <row r="3984">
          <cell r="A3984" t="str">
            <v>89823</v>
          </cell>
          <cell r="B3984" t="str">
            <v>LUVA DE CORRER, PVC, SERIE NORMAL, ESGOTO PREDIAL, DN 100 MM, JUNTA ELÁSTICA, FORNECIDO E INSTALADO EM PRUMADA DE ESGOTO SANITÁRIO OU VENTILAÇÃO. AF_12/2014</v>
          </cell>
          <cell r="C3984" t="str">
            <v>UN</v>
          </cell>
          <cell r="D3984">
            <v>32.71</v>
          </cell>
        </row>
        <row r="3985">
          <cell r="A3985" t="str">
            <v>89824</v>
          </cell>
          <cell r="B3985" t="str">
            <v>LUVA DE CORRER, CPVC, SOLDÁVEL, DN 42MM, INSTALADO EM PRUMADA DE ÁGUA  FORNECIMENTO E INSTALAÇÃO. AF_12/2014</v>
          </cell>
          <cell r="C3985" t="str">
            <v>UN</v>
          </cell>
          <cell r="D3985">
            <v>41.9</v>
          </cell>
        </row>
        <row r="3986">
          <cell r="A3986" t="str">
            <v>89825</v>
          </cell>
          <cell r="B3986" t="str">
            <v>TE, PVC, SERIE NORMAL, ESGOTO PREDIAL, DN 50 X 50 MM, JUNTA ELÁSTICA, FORNECIDO E INSTALADO EM PRUMADA DE ESGOTO SANITÁRIO OU VENTILAÇÃO. AF_12/2014</v>
          </cell>
          <cell r="C3986" t="str">
            <v>UN</v>
          </cell>
          <cell r="D3986">
            <v>17.809999999999999</v>
          </cell>
        </row>
        <row r="3987">
          <cell r="A3987" t="str">
            <v>89826</v>
          </cell>
          <cell r="B3987" t="str">
            <v>LUVA DE TRANSIÇÃO, CPVC, SOLDÁVEL, DN42MM X 1.1/2, INSTALADO EM PRUMADA DE ÁGUA  FORNECIMENTO E INSTALAÇÃO. AF_12/2014</v>
          </cell>
          <cell r="C3987" t="str">
            <v>UN</v>
          </cell>
          <cell r="D3987">
            <v>178.04</v>
          </cell>
        </row>
        <row r="3988">
          <cell r="A3988" t="str">
            <v>89827</v>
          </cell>
          <cell r="B3988" t="str">
            <v>JUNÇÃO SIMPLES, PVC, SERIE NORMAL, ESGOTO PREDIAL, DN 50 X 50 MM, JUNTA ELÁSTICA, FORNECIDO E INSTALADO EM PRUMADA DE ESGOTO SANITÁRIO OU VENTILAÇÃO. AF_12/2014</v>
          </cell>
          <cell r="C3988" t="str">
            <v>UN</v>
          </cell>
          <cell r="D3988">
            <v>20.39</v>
          </cell>
        </row>
        <row r="3989">
          <cell r="A3989" t="str">
            <v>89828</v>
          </cell>
          <cell r="B3989" t="str">
            <v>UNIÃO, CPVC, SOLDÁVEL, DN42MM, INSTALADO EM PRUMADA DE ÁGUA  FORNECIMENTO E INSTALAÇÃO. AF_12/2014</v>
          </cell>
          <cell r="C3989" t="str">
            <v>UN</v>
          </cell>
          <cell r="D3989">
            <v>63.48</v>
          </cell>
        </row>
        <row r="3990">
          <cell r="A3990" t="str">
            <v>89829</v>
          </cell>
          <cell r="B3990" t="str">
            <v>TE, PVC, SERIE NORMAL, ESGOTO PREDIAL, DN 75 X 75 MM, JUNTA ELÁSTICA, FORNECIDO E INSTALADO EM PRUMADA DE ESGOTO SANITÁRIO OU VENTILAÇÃO. AF_12/2014</v>
          </cell>
          <cell r="C3990" t="str">
            <v>UN</v>
          </cell>
          <cell r="D3990">
            <v>32.56</v>
          </cell>
        </row>
        <row r="3991">
          <cell r="A3991" t="str">
            <v>89830</v>
          </cell>
          <cell r="B3991" t="str">
            <v>JUNÇÃO SIMPLES, PVC, SERIE NORMAL, ESGOTO PREDIAL, DN 75 X 75 MM, JUNTA ELÁSTICA, FORNECIDO E INSTALADO EM PRUMADA DE ESGOTO SANITÁRIO OU VENTILAÇÃO. AF_12/2014</v>
          </cell>
          <cell r="C3991" t="str">
            <v>UN</v>
          </cell>
          <cell r="D3991">
            <v>36.11</v>
          </cell>
        </row>
        <row r="3992">
          <cell r="A3992" t="str">
            <v>89831</v>
          </cell>
          <cell r="B3992" t="str">
            <v>CONECTOR, CPVC, SOLDÁVEL, DN 42MM X 1.1/2, INSTALADO EM PRUMADA DE ÁGUA  FORNECIMENTO E INSTALAÇÃO. AF_12/2014</v>
          </cell>
          <cell r="C3992" t="str">
            <v>UN</v>
          </cell>
          <cell r="D3992">
            <v>212.74</v>
          </cell>
        </row>
        <row r="3993">
          <cell r="A3993" t="str">
            <v>89832</v>
          </cell>
          <cell r="B3993" t="str">
            <v>BUCHA DE REDUÇÃO, CPVC, SOLDÁVEL, DN 42MM X 22MM, INSTALADO EM RAMAL DE DISTRIBUIÇÃO DE ÁGUA - FORNECIMENTO E INSTALAÇÃO. AF_12/2014</v>
          </cell>
          <cell r="C3993" t="str">
            <v>UN</v>
          </cell>
          <cell r="D3993">
            <v>43.89</v>
          </cell>
        </row>
        <row r="3994">
          <cell r="A3994" t="str">
            <v>89833</v>
          </cell>
          <cell r="B3994" t="str">
            <v>TE, PVC, SERIE NORMAL, ESGOTO PREDIAL, DN 100 X 100 MM, JUNTA ELÁSTICA, FORNECIDO E INSTALADO EM PRUMADA DE ESGOTO SANITÁRIO OU VENTILAÇÃO. AF_12/2014</v>
          </cell>
          <cell r="C3994" t="str">
            <v>UN</v>
          </cell>
          <cell r="D3994">
            <v>39.22</v>
          </cell>
        </row>
        <row r="3995">
          <cell r="A3995" t="str">
            <v>89834</v>
          </cell>
          <cell r="B3995" t="str">
            <v>JUNÇÃO SIMPLES, PVC, SERIE NORMAL, ESGOTO PREDIAL, DN 100 X 100 MM, JUNTA ELÁSTICA, FORNECIDO E INSTALADO EM PRUMADA DE ESGOTO SANITÁRIO OU VENTILAÇÃO. AF_12/2014</v>
          </cell>
          <cell r="C3995" t="str">
            <v>UN</v>
          </cell>
          <cell r="D3995">
            <v>47.54</v>
          </cell>
        </row>
        <row r="3996">
          <cell r="A3996" t="str">
            <v>89835</v>
          </cell>
          <cell r="B3996" t="str">
            <v>LUVA, CPVC, SOLDÁVEL, DN 54MM, INSTALADO EM PRUMADA DE ÁGUA  FORNECIMENTO E INSTALAÇÃO. AF_12/2014</v>
          </cell>
          <cell r="C3996" t="str">
            <v>UN</v>
          </cell>
          <cell r="D3996">
            <v>43.42</v>
          </cell>
        </row>
        <row r="3997">
          <cell r="A3997" t="str">
            <v>89836</v>
          </cell>
          <cell r="B3997" t="str">
            <v>LUVA DE TRANSIÇÃO, CPVC, SOLDÁVEL, DN 54MM X 2, INSTALADO EM PRUMADA DE ÁGUA  FORNECIMENTO E INSTALAÇÃO. AF_12/2014</v>
          </cell>
          <cell r="C3997" t="str">
            <v>UN</v>
          </cell>
          <cell r="D3997">
            <v>287.41000000000003</v>
          </cell>
        </row>
        <row r="3998">
          <cell r="A3998" t="str">
            <v>89837</v>
          </cell>
          <cell r="B3998" t="str">
            <v>UNIÃO, CPVC, SOLDÁVEL, DN 54MM, INSTALADO EM PRUMADA DE ÁGUA  FORNECIMENTO E INSTALAÇÃO. AF_12/2014</v>
          </cell>
          <cell r="C3998" t="str">
            <v>UN</v>
          </cell>
          <cell r="D3998">
            <v>143.54</v>
          </cell>
        </row>
        <row r="3999">
          <cell r="A3999" t="str">
            <v>89838</v>
          </cell>
          <cell r="B3999" t="str">
            <v>LUVA, CPVC, SOLDÁVEL, DN 73MM, INSTALADO EM PRUMADA DE ÁGUA  FORNECIMENTO E INSTALAÇÃO. AF_12/2014</v>
          </cell>
          <cell r="C3999" t="str">
            <v>UN</v>
          </cell>
          <cell r="D3999">
            <v>156.80000000000001</v>
          </cell>
        </row>
        <row r="4000">
          <cell r="A4000" t="str">
            <v>89839</v>
          </cell>
          <cell r="B4000" t="str">
            <v>UNIÃO, CPVC, SOLDÁVEL, DN 73MM, INSTALADO EM PRUMADA DE ÁGUA  FORNECIMENTO E INSTALAÇÃO. AF_12/2014</v>
          </cell>
          <cell r="C4000" t="str">
            <v>UN</v>
          </cell>
          <cell r="D4000">
            <v>208.04</v>
          </cell>
        </row>
        <row r="4001">
          <cell r="A4001" t="str">
            <v>89840</v>
          </cell>
          <cell r="B4001" t="str">
            <v>LUVA, CPVC, SOLDÁVEL, DN 89MM, INSTALADO EM PRUMADA DE ÁGUA  FORNECIMENTO E INSTALAÇÃO. AF_12/2014</v>
          </cell>
          <cell r="C4001" t="str">
            <v>UN</v>
          </cell>
          <cell r="D4001">
            <v>181.84</v>
          </cell>
        </row>
        <row r="4002">
          <cell r="A4002" t="str">
            <v>89841</v>
          </cell>
          <cell r="B4002" t="str">
            <v>UNIÃO, CPVC, SOLDÁVEL, DN 89MM, INSTALADO EM PRUMADA DE ÁGUA  FORNECIMENTO E INSTALAÇÃO. AF_12/2014</v>
          </cell>
          <cell r="C4002" t="str">
            <v>UN</v>
          </cell>
          <cell r="D4002">
            <v>305.52</v>
          </cell>
        </row>
        <row r="4003">
          <cell r="A4003" t="str">
            <v>89842</v>
          </cell>
          <cell r="B4003" t="str">
            <v>TÊ, CPVC, SOLDÁVEL, DN 35MM, INSTALADO EM PRUMADA DE ÁGUA  FORNECIMENTO E INSTALAÇÃO. AF_12/2014</v>
          </cell>
          <cell r="C4003" t="str">
            <v>UN</v>
          </cell>
          <cell r="D4003">
            <v>49.33</v>
          </cell>
        </row>
        <row r="4004">
          <cell r="A4004" t="str">
            <v>89844</v>
          </cell>
          <cell r="B4004" t="str">
            <v>TE, CPVC, SOLDÁVEL, DN  42MM, INSTALADO EM PRUMADA DE ÁGUA  FORNECIMENTO E INSTALAÇÃO. AF_12/2014</v>
          </cell>
          <cell r="C4004" t="str">
            <v>UN</v>
          </cell>
          <cell r="D4004">
            <v>62.85</v>
          </cell>
        </row>
        <row r="4005">
          <cell r="A4005" t="str">
            <v>89845</v>
          </cell>
          <cell r="B4005" t="str">
            <v>TÊ, CPVC, SOLDÁVEL, DN 54 MM, INSTALADO EM PRUMADA DE ÁGUA  FORNECIMENTO E INSTALAÇÃO. AF_12/2014</v>
          </cell>
          <cell r="C4005" t="str">
            <v>UN</v>
          </cell>
          <cell r="D4005">
            <v>97.41</v>
          </cell>
        </row>
        <row r="4006">
          <cell r="A4006" t="str">
            <v>89846</v>
          </cell>
          <cell r="B4006" t="str">
            <v>TÊ, CPVC, SOLDÁVEL, DN 73MM, INSTALADO EM PRUMADA DE ÁGUA  FORNECIMENTO E INSTALAÇÃO. AF_12/2014</v>
          </cell>
          <cell r="C4006" t="str">
            <v>UN</v>
          </cell>
          <cell r="D4006">
            <v>218.99</v>
          </cell>
        </row>
        <row r="4007">
          <cell r="A4007" t="str">
            <v>89847</v>
          </cell>
          <cell r="B4007" t="str">
            <v>TÊ, CPVC, SOLDÁVEL, DN 89MM, INSTALADO EM PRUMADA DE ÁGUA  FORNECIMENTO E INSTALAÇÃO. AF_12/2014</v>
          </cell>
          <cell r="C4007" t="str">
            <v>UN</v>
          </cell>
          <cell r="D4007">
            <v>269.86</v>
          </cell>
        </row>
        <row r="4008">
          <cell r="A4008" t="str">
            <v>89850</v>
          </cell>
          <cell r="B4008" t="str">
            <v>JOELHO 90 GRAUS, PVC, SERIE NORMAL, ESGOTO PREDIAL, DN 100 MM, JUNTA ELÁSTICA, FORNECIDO E INSTALADO EM SUBCOLETOR AÉREO DE ESGOTO SANITÁRIO. AF_12/2014</v>
          </cell>
          <cell r="C4008" t="str">
            <v>UN</v>
          </cell>
          <cell r="D4008">
            <v>26.34</v>
          </cell>
        </row>
        <row r="4009">
          <cell r="A4009" t="str">
            <v>89851</v>
          </cell>
          <cell r="B4009" t="str">
            <v>JOELHO 45 GRAUS, PVC, SERIE NORMAL, ESGOTO PREDIAL, DN 100 MM, JUNTA ELÁSTICA, FORNECIDO E INSTALADO EM SUBCOLETOR AÉREO DE ESGOTO SANITÁRIO. AF_12/2014</v>
          </cell>
          <cell r="C4009" t="str">
            <v>UN</v>
          </cell>
          <cell r="D4009">
            <v>26.26</v>
          </cell>
        </row>
        <row r="4010">
          <cell r="A4010" t="str">
            <v>89852</v>
          </cell>
          <cell r="B4010" t="str">
            <v>CURVA CURTA 90 GRAUS, PVC, SERIE NORMAL, ESGOTO PREDIAL, DN 100 MM, JUNTA ELÁSTICA, FORNECIDO E INSTALADO EM SUBCOLETOR AÉREO DE ESGOTO SANITÁRIO. AF_12/2014</v>
          </cell>
          <cell r="C4010" t="str">
            <v>UN</v>
          </cell>
          <cell r="D4010">
            <v>46.48</v>
          </cell>
        </row>
        <row r="4011">
          <cell r="A4011" t="str">
            <v>89853</v>
          </cell>
          <cell r="B4011" t="str">
            <v>CURVA LONGA 90 GRAUS, PVC, SERIE NORMAL, ESGOTO PREDIAL, DN 100 MM, JUNTA ELÁSTICA, FORNECIDO E INSTALADO EM SUBCOLETOR AÉREO DE ESGOTO SANITÁRIO. AF_12/2014</v>
          </cell>
          <cell r="C4011" t="str">
            <v>UN</v>
          </cell>
          <cell r="D4011">
            <v>82.21</v>
          </cell>
        </row>
        <row r="4012">
          <cell r="A4012" t="str">
            <v>89854</v>
          </cell>
          <cell r="B4012" t="str">
            <v>JOELHO 90 GRAUS, PVC, SERIE NORMAL, ESGOTO PREDIAL, DN 150 MM, JUNTA ELÁSTICA, FORNECIDO E INSTALADO EM SUBCOLETOR AÉREO DE ESGOTO SANITÁRIO. AF_12/2014</v>
          </cell>
          <cell r="C4012" t="str">
            <v>UN</v>
          </cell>
          <cell r="D4012">
            <v>102.31</v>
          </cell>
        </row>
        <row r="4013">
          <cell r="A4013" t="str">
            <v>89855</v>
          </cell>
          <cell r="B4013" t="str">
            <v>JOELHO 45 GRAUS, PVC, SERIE NORMAL, ESGOTO PREDIAL, DN 150 MM, JUNTA ELÁSTICA, FORNECIDO E INSTALADO EM SUBCOLETOR AÉREO DE ESGOTO SANITÁRIO. AF_12/2014</v>
          </cell>
          <cell r="C4013" t="str">
            <v>UN</v>
          </cell>
          <cell r="D4013">
            <v>109.51</v>
          </cell>
        </row>
        <row r="4014">
          <cell r="A4014" t="str">
            <v>89856</v>
          </cell>
          <cell r="B4014" t="str">
            <v>LUVA SIMPLES, PVC, SERIE NORMAL, ESGOTO PREDIAL, DN 100 MM, JUNTA ELÁSTICA, FORNECIDO E INSTALADO EM SUBCOLETOR AÉREO DE ESGOTO SANITÁRIO. AF_12/2014</v>
          </cell>
          <cell r="C4014" t="str">
            <v>UN</v>
          </cell>
          <cell r="D4014">
            <v>20.32</v>
          </cell>
        </row>
        <row r="4015">
          <cell r="A4015" t="str">
            <v>89857</v>
          </cell>
          <cell r="B4015" t="str">
            <v>LUVA DE CORRER, PVC, SERIE NORMAL, ESGOTO PREDIAL, DN 100 MM, JUNTA ELÁSTICA, FORNECIDO E INSTALADO EM SUBCOLETOR AÉREO DE ESGOTO SANITÁRIO. AF_12/2014</v>
          </cell>
          <cell r="C4015" t="str">
            <v>UN</v>
          </cell>
          <cell r="D4015">
            <v>35.85</v>
          </cell>
        </row>
        <row r="4016">
          <cell r="A4016" t="str">
            <v>89859</v>
          </cell>
          <cell r="B4016" t="str">
            <v>LUVA DE CORRER, PVC, SERIE NORMAL, ESGOTO PREDIAL, DN 150 MM, JUNTA ELÁSTICA, FORNECIDO E INSTALADO EM SUBCOLETOR AÉREO DE ESGOTO SANITÁRIO. AF_12/2014</v>
          </cell>
          <cell r="C4016" t="str">
            <v>UN</v>
          </cell>
          <cell r="D4016">
            <v>118.4</v>
          </cell>
        </row>
        <row r="4017">
          <cell r="A4017" t="str">
            <v>89860</v>
          </cell>
          <cell r="B4017" t="str">
            <v>TE, PVC, SERIE NORMAL, ESGOTO PREDIAL, DN 100 X 100 MM, JUNTA ELÁSTICA, FORNECIDO E INSTALADO EM SUBCOLETOR AÉREO DE ESGOTO SANITÁRIO. AF_12/2014</v>
          </cell>
          <cell r="C4017" t="str">
            <v>UN</v>
          </cell>
          <cell r="D4017">
            <v>45.48</v>
          </cell>
        </row>
        <row r="4018">
          <cell r="A4018" t="str">
            <v>89861</v>
          </cell>
          <cell r="B4018" t="str">
            <v>JUNÇÃO SIMPLES, PVC, SERIE NORMAL, ESGOTO PREDIAL, DN 100 X 100 MM, JUNTA ELÁSTICA, FORNECIDO E INSTALADO EM SUBCOLETOR AÉREO DE ESGOTO SANITÁRIO. AF_12/2014</v>
          </cell>
          <cell r="C4018" t="str">
            <v>UN</v>
          </cell>
          <cell r="D4018">
            <v>53.8</v>
          </cell>
        </row>
        <row r="4019">
          <cell r="A4019" t="str">
            <v>89862</v>
          </cell>
          <cell r="B4019" t="str">
            <v>TE, PVC, SERIE NORMAL, ESGOTO PREDIAL, DN 150 X 150 MM, JUNTA ELÁSTICA, FORNECIDO E INSTALADO EM SUBCOLETOR AÉREO DE ESGOTO SANITÁRIO. AF_12/2014</v>
          </cell>
          <cell r="C4019" t="str">
            <v>UN</v>
          </cell>
          <cell r="D4019">
            <v>102.59</v>
          </cell>
        </row>
        <row r="4020">
          <cell r="A4020" t="str">
            <v>89863</v>
          </cell>
          <cell r="B4020" t="str">
            <v>JUNÇÃO SIMPLES, PVC, SERIE NORMAL, ESGOTO PREDIAL, DN 150 X 150 MM, JUNTA ELÁSTICA, FORNECIDO E INSTALADO EM SUBCOLETOR AÉREO DE ESGOTO SANITÁRIO. AF_12/2014</v>
          </cell>
          <cell r="C4020" t="str">
            <v>UN</v>
          </cell>
          <cell r="D4020">
            <v>241.67</v>
          </cell>
        </row>
        <row r="4021">
          <cell r="A4021" t="str">
            <v>89866</v>
          </cell>
          <cell r="B4021" t="str">
            <v>JOELHO 90 GRAUS, PVC, SOLDÁVEL, DN 25MM, INSTALADO EM DRENO DE AR-CONDICIONADO - FORNECIMENTO E INSTALAÇÃO. AF_12/2014</v>
          </cell>
          <cell r="C4021" t="str">
            <v>UN</v>
          </cell>
          <cell r="D4021">
            <v>4.96</v>
          </cell>
        </row>
        <row r="4022">
          <cell r="A4022" t="str">
            <v>89867</v>
          </cell>
          <cell r="B4022" t="str">
            <v>JOELHO 45 GRAUS, PVC, SOLDÁVEL, DN 25MM, INSTALADO EM DRENO DE AR-CONDICIONADO - FORNECIMENTO E INSTALAÇÃO. AF_12/2014</v>
          </cell>
          <cell r="C4022" t="str">
            <v>UN</v>
          </cell>
          <cell r="D4022">
            <v>6.16</v>
          </cell>
        </row>
        <row r="4023">
          <cell r="A4023" t="str">
            <v>89868</v>
          </cell>
          <cell r="B4023" t="str">
            <v>LUVA, PVC, SOLDÁVEL, DN 25MM, INSTALADO EM DRENO DE AR-CONDICIONADO - FORNECIMENTO E INSTALAÇÃO. AF_12/2014</v>
          </cell>
          <cell r="C4023" t="str">
            <v>UN</v>
          </cell>
          <cell r="D4023">
            <v>3.87</v>
          </cell>
        </row>
        <row r="4024">
          <cell r="A4024" t="str">
            <v>89869</v>
          </cell>
          <cell r="B4024" t="str">
            <v>TE, PVC, SOLDÁVEL, DN 25MM, INSTALADO EM DRENO DE AR-CONDICIONADO - FORNECIMENTO E INSTALAÇÃO. AF_12/2014</v>
          </cell>
          <cell r="C4024" t="str">
            <v>UN</v>
          </cell>
          <cell r="D4024">
            <v>8.15</v>
          </cell>
        </row>
        <row r="4025">
          <cell r="A4025" t="str">
            <v>89979</v>
          </cell>
          <cell r="B4025" t="str">
            <v>LUVA COM BUCHA DE LATÃO, PVC, SOLDÁVEL, DN 32MM X 1 , INSTALADO EM RAMAL OU SUB-RAMAL DE ÁGUA   FORNECIMENTO E INSTALAÇÃO. AF_12/2014</v>
          </cell>
          <cell r="C4025" t="str">
            <v>UN</v>
          </cell>
          <cell r="D4025">
            <v>34.83</v>
          </cell>
        </row>
        <row r="4026">
          <cell r="A4026" t="str">
            <v>89980</v>
          </cell>
          <cell r="B4026" t="str">
            <v>LUVA COM BUCHA DE LATÃO, PVC, SOLDÁVEL, DN 25MM X 3/4, INSTALADO EM PRUMADA DE ÁGUA - FORNECIMENTO E INSTALAÇÃO. AF_12/2014</v>
          </cell>
          <cell r="C4026" t="str">
            <v>UN</v>
          </cell>
          <cell r="D4026">
            <v>13.15</v>
          </cell>
        </row>
        <row r="4027">
          <cell r="A4027" t="str">
            <v>89981</v>
          </cell>
          <cell r="B4027" t="str">
            <v>LUVA SOLDÁVEL E COM BUCHA DE LATÃO, PVC, SOLDÁVEL, DN 32MM X 1 , INSTALADO EM PRUMADA DE ÁGUA   FORNECIMENTO E INSTALAÇÃO. AF_12/2014</v>
          </cell>
          <cell r="C4027" t="str">
            <v>UN</v>
          </cell>
          <cell r="D4027">
            <v>32.01</v>
          </cell>
        </row>
        <row r="4028">
          <cell r="A4028" t="str">
            <v>90373</v>
          </cell>
          <cell r="B4028" t="str">
            <v>JOELHO 90 GRAUS COM BUCHA DE LATÃO, PVC, SOLDÁVEL, DN 25MM, X 1/2 INSTALADO EM RAMAL OU SUB-RAMAL DE ÁGUA - FORNECIMENTO E INSTALAÇÃO. AF_12/2014</v>
          </cell>
          <cell r="C4028" t="str">
            <v>UN</v>
          </cell>
          <cell r="D4028">
            <v>16.54</v>
          </cell>
        </row>
        <row r="4029">
          <cell r="A4029" t="str">
            <v>90374</v>
          </cell>
          <cell r="B4029" t="str">
            <v>TÊ COM BUCHA DE LATÃO NA BOLSA CENTRAL, PVC, SOLDÁVEL, DN 25MM X 3/4, INSTALADO EM RAMAL OU SUB-RAMAL DE ÁGUA - FORNECIMENTO E INSTALAÇÃO. AF_03/2015</v>
          </cell>
          <cell r="C4029" t="str">
            <v>UN</v>
          </cell>
          <cell r="D4029">
            <v>26.73</v>
          </cell>
        </row>
        <row r="4030">
          <cell r="A4030" t="str">
            <v>90375</v>
          </cell>
          <cell r="B4030" t="str">
            <v>BUCHA DE REDUÇÃO, PVC, SOLDÁVEL, DN 40MM X 32MM, INSTALADO EM RAMAL OU SUB-RAMAL DE ÁGUA - FORNECIMENTO E INSTALAÇÃO. AF_03/2015</v>
          </cell>
          <cell r="C4030" t="str">
            <v>UN</v>
          </cell>
          <cell r="D4030">
            <v>9.2100000000000009</v>
          </cell>
        </row>
        <row r="4031">
          <cell r="A4031" t="str">
            <v>92287</v>
          </cell>
          <cell r="B4031" t="str">
            <v>COTOVELO EM COBRE, DN 22 MM, 90 GRAUS, SEM ANEL DE SOLDA, INSTALADO EM PRUMADA   FORNECIMENTO E INSTALAÇÃO. AF_12/2015</v>
          </cell>
          <cell r="C4031" t="str">
            <v>UN</v>
          </cell>
          <cell r="D4031">
            <v>19.2</v>
          </cell>
        </row>
        <row r="4032">
          <cell r="A4032" t="str">
            <v>92288</v>
          </cell>
          <cell r="B4032" t="str">
            <v>COTOVELO EM COBRE, DN 28 MM, 90 GRAUS, SEM ANEL DE SOLDA, INSTALADO EM PRUMADA  FORNECIMENTO E INSTALAÇÃO. AF_12/2015</v>
          </cell>
          <cell r="C4032" t="str">
            <v>UN</v>
          </cell>
          <cell r="D4032">
            <v>30.18</v>
          </cell>
        </row>
        <row r="4033">
          <cell r="A4033" t="str">
            <v>92289</v>
          </cell>
          <cell r="B4033" t="str">
            <v>COTOVELO EM COBRE, DN 35 MM, 90 GRAUS, SEM ANEL DE SOLDA, INSTALADO EM PRUMADA  FORNECIMENTO E INSTALAÇÃO. AF_12/2015</v>
          </cell>
          <cell r="C4033" t="str">
            <v>UN</v>
          </cell>
          <cell r="D4033">
            <v>54.01</v>
          </cell>
        </row>
        <row r="4034">
          <cell r="A4034" t="str">
            <v>92290</v>
          </cell>
          <cell r="B4034" t="str">
            <v>COTOVELO EM COBRE, DN 42 MM, 90 GRAUS, SEM ANEL DE SOLDA, INSTALADO EM PRUMADA  FORNECIMENTO E INSTALAÇÃO. AF_12/2015</v>
          </cell>
          <cell r="C4034" t="str">
            <v>UN</v>
          </cell>
          <cell r="D4034">
            <v>82.84</v>
          </cell>
        </row>
        <row r="4035">
          <cell r="A4035" t="str">
            <v>92291</v>
          </cell>
          <cell r="B4035" t="str">
            <v>COTOVELO EM COBRE, DN 54 MM, 90 GRAUS, SEM ANEL DE SOLDA, INSTALADO EM PRUMADA  FORNECIMENTO E INSTALAÇÃO. AF_12/2015</v>
          </cell>
          <cell r="C4035" t="str">
            <v>UN</v>
          </cell>
          <cell r="D4035">
            <v>127.64</v>
          </cell>
        </row>
        <row r="4036">
          <cell r="A4036" t="str">
            <v>92292</v>
          </cell>
          <cell r="B4036" t="str">
            <v>COTOVELO EM COBRE, DN 66 MM, 90 GRAUS, SEM ANEL DE SOLDA, INSTALADO EM PRUMADA  FORNECIMENTO E INSTALAÇÃO. AF_12/2015</v>
          </cell>
          <cell r="C4036" t="str">
            <v>UN</v>
          </cell>
          <cell r="D4036">
            <v>404.66</v>
          </cell>
        </row>
        <row r="4037">
          <cell r="A4037" t="str">
            <v>92293</v>
          </cell>
          <cell r="B4037" t="str">
            <v>LUVA EM COBRE, DN 22 MM, SEM ANEL DE SOLDA, INSTALADO EM PRUMADA  FORNECIMENTO E INSTALAÇÃO. AF_12/2015</v>
          </cell>
          <cell r="C4037" t="str">
            <v>UN</v>
          </cell>
          <cell r="D4037">
            <v>10.9</v>
          </cell>
        </row>
        <row r="4038">
          <cell r="A4038" t="str">
            <v>92294</v>
          </cell>
          <cell r="B4038" t="str">
            <v>LUVA EM COBRE, DN 28 MM, SEM ANEL DE SOLDA, INSTALADO EM PRUMADA  FORNECIMENTO E INSTALAÇÃO. AF_12/2015</v>
          </cell>
          <cell r="C4038" t="str">
            <v>UN</v>
          </cell>
          <cell r="D4038">
            <v>18.41</v>
          </cell>
        </row>
        <row r="4039">
          <cell r="A4039" t="str">
            <v>92295</v>
          </cell>
          <cell r="B4039" t="str">
            <v>LUVA EM COBRE, DN 35 MM, SEM ANEL DE SOLDA, INSTALADO EM PRUMADA  FORNECIMENTO E INSTALAÇÃO. AF_12/2015</v>
          </cell>
          <cell r="C4039" t="str">
            <v>UN</v>
          </cell>
          <cell r="D4039">
            <v>35.119999999999997</v>
          </cell>
        </row>
        <row r="4040">
          <cell r="A4040" t="str">
            <v>92296</v>
          </cell>
          <cell r="B4040" t="str">
            <v>LUVA EM COBRE, DN 42 MM, SEM ANEL DE SOLDA, INSTALADO EM PRUMADA  FORNECIMENTO E INSTALAÇÃO. AF_12/2015</v>
          </cell>
          <cell r="C4040" t="str">
            <v>UN</v>
          </cell>
          <cell r="D4040">
            <v>47.04</v>
          </cell>
        </row>
        <row r="4041">
          <cell r="A4041" t="str">
            <v>92297</v>
          </cell>
          <cell r="B4041" t="str">
            <v>LUVA EM COBRE, DN 54 MM, SEM ANEL DE SOLDA, INSTALADO EM PRUMADA  FORNECIMENTO E INSTALAÇÃO. AF_12/2015</v>
          </cell>
          <cell r="C4041" t="str">
            <v>UN</v>
          </cell>
          <cell r="D4041">
            <v>73.22</v>
          </cell>
        </row>
        <row r="4042">
          <cell r="A4042" t="str">
            <v>92298</v>
          </cell>
          <cell r="B4042" t="str">
            <v>LUVA EM COBRE, DN 66 MM, SEM ANEL DE SOLDA, INSTALADO EM PRUMADA  FORNECIMENTO E INSTALAÇÃO. AF_12/2015</v>
          </cell>
          <cell r="C4042" t="str">
            <v>UN</v>
          </cell>
          <cell r="D4042">
            <v>208.9</v>
          </cell>
        </row>
        <row r="4043">
          <cell r="A4043" t="str">
            <v>92299</v>
          </cell>
          <cell r="B4043" t="str">
            <v>TE EM COBRE, DN 22 MM, SEM ANEL DE SOLDA, INSTALADO EM PRUMADA  FORNECIMENTO E INSTALAÇÃO. AF_12/2015</v>
          </cell>
          <cell r="C4043" t="str">
            <v>UN</v>
          </cell>
          <cell r="D4043">
            <v>25.28</v>
          </cell>
        </row>
        <row r="4044">
          <cell r="A4044" t="str">
            <v>92300</v>
          </cell>
          <cell r="B4044" t="str">
            <v>TE EM COBRE, DN 28 MM, SEM ANEL DE SOLDA, INSTALADO EM PRUMADA  FORNECIMENTO E INSTALAÇÃO. AF_12/2015</v>
          </cell>
          <cell r="C4044" t="str">
            <v>UN</v>
          </cell>
          <cell r="D4044">
            <v>38.340000000000003</v>
          </cell>
        </row>
        <row r="4045">
          <cell r="A4045" t="str">
            <v>92301</v>
          </cell>
          <cell r="B4045" t="str">
            <v>TE EM COBRE, DN 35 MM, SEM ANEL DE SOLDA, INSTALADO EM PRUMADA  FORNECIMENTO E INSTALAÇÃO. AF_12/2015</v>
          </cell>
          <cell r="C4045" t="str">
            <v>UN</v>
          </cell>
          <cell r="D4045">
            <v>77.02</v>
          </cell>
        </row>
        <row r="4046">
          <cell r="A4046" t="str">
            <v>92302</v>
          </cell>
          <cell r="B4046" t="str">
            <v>TE EM COBRE, DN 42 MM, SEM ANEL DE SOLDA, INSTALADO EM PRUMADA  FORNECIMENTO E INSTALAÇÃO. AF_12/2015</v>
          </cell>
          <cell r="C4046" t="str">
            <v>UN</v>
          </cell>
          <cell r="D4046">
            <v>102.47</v>
          </cell>
        </row>
        <row r="4047">
          <cell r="A4047" t="str">
            <v>92303</v>
          </cell>
          <cell r="B4047" t="str">
            <v>TE EM COBRE, DN 54 MM, SEM ANEL DE SOLDA, INSTALADO EM PRUMADA  FORNECIMENTO E INSTALAÇÃO. AF_12/2015</v>
          </cell>
          <cell r="C4047" t="str">
            <v>UN</v>
          </cell>
          <cell r="D4047">
            <v>189.7</v>
          </cell>
        </row>
        <row r="4048">
          <cell r="A4048" t="str">
            <v>92304</v>
          </cell>
          <cell r="B4048" t="str">
            <v>TE EM COBRE, DN 66 MM, SEM ANEL DE SOLDA, INSTALADO EM PRUMADA  FORNECIMENTO E INSTALAÇÃO. AF_12/2015</v>
          </cell>
          <cell r="C4048" t="str">
            <v>UN</v>
          </cell>
          <cell r="D4048">
            <v>499.03</v>
          </cell>
        </row>
        <row r="4049">
          <cell r="A4049" t="str">
            <v>92311</v>
          </cell>
          <cell r="B4049" t="str">
            <v>COTOVELO EM COBRE, DN 15 MM, 90 GRAUS, SEM ANEL DE SOLDA, INSTALADO EM RAMAL DE DISTRIBUIÇÃO  FORNECIMENTO E INSTALAÇÃO. AF_12/2015</v>
          </cell>
          <cell r="C4049" t="str">
            <v>UN</v>
          </cell>
          <cell r="D4049">
            <v>12.53</v>
          </cell>
        </row>
        <row r="4050">
          <cell r="A4050" t="str">
            <v>92312</v>
          </cell>
          <cell r="B4050" t="str">
            <v>COTOVELO EM COBRE, DN 22 MM, 90 GRAUS, SEM ANEL DE SOLDA, INSTALADO EM RAMAL DE DISTRIBUIÇÃO  FORNECIMENTO E INSTALAÇÃO. AF_12/2015</v>
          </cell>
          <cell r="C4050" t="str">
            <v>UN</v>
          </cell>
          <cell r="D4050">
            <v>21.64</v>
          </cell>
        </row>
        <row r="4051">
          <cell r="A4051" t="str">
            <v>92313</v>
          </cell>
          <cell r="B4051" t="str">
            <v>COTOVELO EM COBRE, DN 28 MM, 90 GRAUS, SEM ANEL DE SOLDA, INSTALADO EM RAMAL DE DISTRIBUIÇÃO  FORNECIMENTO E INSTALAÇÃO. AF_12/2015</v>
          </cell>
          <cell r="C4051" t="str">
            <v>UN</v>
          </cell>
          <cell r="D4051">
            <v>32.619999999999997</v>
          </cell>
        </row>
        <row r="4052">
          <cell r="A4052" t="str">
            <v>92314</v>
          </cell>
          <cell r="B4052" t="str">
            <v>LUVA EM COBRE, DN 15 MM, SEM ANEL DE SOLDA, INSTALADO EM RAMAL DE DISTRIBUIÇÃO  FORNECIMENTO E INSTALAÇÃO. AF_12/2015</v>
          </cell>
          <cell r="C4052" t="str">
            <v>UN</v>
          </cell>
          <cell r="D4052">
            <v>8.1</v>
          </cell>
        </row>
        <row r="4053">
          <cell r="A4053" t="str">
            <v>92315</v>
          </cell>
          <cell r="B4053" t="str">
            <v>LUVA EM COBRE, DN 22 MM, SEM ANEL DE SOLDA, INSTALADO EM RAMAL DE DISTRIBUIÇÃO  FORNECIMENTO E INSTALAÇÃO. AF_12/2015</v>
          </cell>
          <cell r="C4053" t="str">
            <v>UN</v>
          </cell>
          <cell r="D4053">
            <v>12.56</v>
          </cell>
        </row>
        <row r="4054">
          <cell r="A4054" t="str">
            <v>92316</v>
          </cell>
          <cell r="B4054" t="str">
            <v>LUVA EM COBRE, DN 28 MM, SEM ANEL DE SOLDA, INSTALADO EM RAMAL DE DISTRIBUIÇÃO  FORNECIMENTO E INSTALAÇÃO. AF_12/2015</v>
          </cell>
          <cell r="C4054" t="str">
            <v>UN</v>
          </cell>
          <cell r="D4054">
            <v>20.059999999999999</v>
          </cell>
        </row>
        <row r="4055">
          <cell r="A4055" t="str">
            <v>92317</v>
          </cell>
          <cell r="B4055" t="str">
            <v>TE EM COBRE, DN 15 MM, SEM ANEL DE SOLDA, INSTALADO EM RAMAL DE DISTRIBUIÇÃO  FORNECIMENTO E INSTALAÇÃO. AF_12/2015</v>
          </cell>
          <cell r="C4055" t="str">
            <v>UN</v>
          </cell>
          <cell r="D4055">
            <v>17.09</v>
          </cell>
        </row>
        <row r="4056">
          <cell r="A4056" t="str">
            <v>92318</v>
          </cell>
          <cell r="B4056" t="str">
            <v>TE EM COBRE, DN 22 MM, SEM ANEL DE SOLDA, INSTALADO EM RAMAL DE DISTRIBUIÇÃO  FORNECIMENTO E INSTALAÇÃO. AF_12/2015</v>
          </cell>
          <cell r="C4056" t="str">
            <v>UN</v>
          </cell>
          <cell r="D4056">
            <v>28.55</v>
          </cell>
        </row>
        <row r="4057">
          <cell r="A4057" t="str">
            <v>92319</v>
          </cell>
          <cell r="B4057" t="str">
            <v>TE EM COBRE, DN 28 MM, SEM ANEL DE SOLDA, INSTALADO EM RAMAL DE DISTRIBUIÇÃO  FORNECIMENTO E INSTALAÇÃO. AF_12/2015</v>
          </cell>
          <cell r="C4057" t="str">
            <v>UN</v>
          </cell>
          <cell r="D4057">
            <v>41.6</v>
          </cell>
        </row>
        <row r="4058">
          <cell r="A4058" t="str">
            <v>92326</v>
          </cell>
          <cell r="B4058" t="str">
            <v>COTOVELO EM COBRE, DN 15 MM, 90 GRAUS, SEM ANEL DE SOLDA, INSTALADO EM RAMAL E SUB-RAMAL  FORNECIMENTO E INSTALAÇÃO. AF_12/2015</v>
          </cell>
          <cell r="C4058" t="str">
            <v>UN</v>
          </cell>
          <cell r="D4058">
            <v>13.76</v>
          </cell>
        </row>
        <row r="4059">
          <cell r="A4059" t="str">
            <v>92327</v>
          </cell>
          <cell r="B4059" t="str">
            <v>COTOVELO EM COBRE, DN 22 MM, 90 GRAUS, SEM ANEL DE SOLDA, INSTALADO EM RAMAL E SUB-RAMAL  FORNECIMENTO E INSTALAÇÃO. AF_12/2015</v>
          </cell>
          <cell r="C4059" t="str">
            <v>UN</v>
          </cell>
          <cell r="D4059">
            <v>23.91</v>
          </cell>
        </row>
        <row r="4060">
          <cell r="A4060" t="str">
            <v>92328</v>
          </cell>
          <cell r="B4060" t="str">
            <v>COTOVELO EM COBRE, DN 28 MM, 90 GRAUS, SEM ANEL DE SOLDA, INSTALADO EM RAMAL E SUB-RAMAL  FORNECIMENTO E INSTALAÇÃO. AF_12/2015</v>
          </cell>
          <cell r="C4060" t="str">
            <v>UN</v>
          </cell>
          <cell r="D4060">
            <v>36.64</v>
          </cell>
        </row>
        <row r="4061">
          <cell r="A4061" t="str">
            <v>92329</v>
          </cell>
          <cell r="B4061" t="str">
            <v>LUVA EM COBRE, DN 15 MM, SEM ANEL DE SOLDA, INSTALADO EM RAMAL E SUB-RAMAL  FORNECIMENTO E INSTALAÇÃO. AF_12/2015</v>
          </cell>
          <cell r="C4061" t="str">
            <v>UN</v>
          </cell>
          <cell r="D4061">
            <v>8.26</v>
          </cell>
        </row>
        <row r="4062">
          <cell r="A4062" t="str">
            <v>92330</v>
          </cell>
          <cell r="B4062" t="str">
            <v>LUVA EM COBRE, DN 22 MM, SEM ANEL DE SOLDA, INSTALADO EM RAMAL E SUB-RAMAL  FORNECIMENTO E INSTALAÇÃO. AF_12/2015</v>
          </cell>
          <cell r="C4062" t="str">
            <v>UN</v>
          </cell>
          <cell r="D4062">
            <v>14.04</v>
          </cell>
        </row>
        <row r="4063">
          <cell r="A4063" t="str">
            <v>92331</v>
          </cell>
          <cell r="B4063" t="str">
            <v>LUVA EM COBRE, DN 28 MM, SEM ANEL DE SOLDA, INSTALADO EM RAMAL E SUB-RAMAL  FORNECIMENTO E INSTALAÇÃO. AF_12/2015</v>
          </cell>
          <cell r="C4063" t="str">
            <v>UN</v>
          </cell>
          <cell r="D4063">
            <v>22.76</v>
          </cell>
        </row>
        <row r="4064">
          <cell r="A4064" t="str">
            <v>92332</v>
          </cell>
          <cell r="B4064" t="str">
            <v>TE EM COBRE, DN 15 MM, SEM ANEL DE SOLDA, INSTALADO EM RAMAL E SUB-RAMAL  FORNECIMENTO E INSTALAÇÃO. AF_12/2015</v>
          </cell>
          <cell r="C4064" t="str">
            <v>UN</v>
          </cell>
          <cell r="D4064">
            <v>17.329999999999998</v>
          </cell>
        </row>
        <row r="4065">
          <cell r="A4065" t="str">
            <v>92333</v>
          </cell>
          <cell r="B4065" t="str">
            <v>TE EM COBRE, DN 22 MM, SEM ANEL DE SOLDA, INSTALADO EM RAMAL E SUB-RAMAL  FORNECIMENTO E INSTALAÇÃO. AF_12/2015</v>
          </cell>
          <cell r="C4065" t="str">
            <v>UN</v>
          </cell>
          <cell r="D4065">
            <v>31.55</v>
          </cell>
        </row>
        <row r="4066">
          <cell r="A4066" t="str">
            <v>92334</v>
          </cell>
          <cell r="B4066" t="str">
            <v>TE EM COBRE, DN 28 MM, SEM ANEL DE SOLDA, INSTALADO EM RAMAL E SUB-RAMAL  FORNECIMENTO E INSTALAÇÃO. AF_12/2015</v>
          </cell>
          <cell r="C4066" t="str">
            <v>UN</v>
          </cell>
          <cell r="D4066">
            <v>46.95</v>
          </cell>
        </row>
        <row r="4067">
          <cell r="A4067" t="str">
            <v>92344</v>
          </cell>
          <cell r="B4067" t="str">
            <v>NIPLE, EM FERRO GALVANIZADO, DN 50 (2"), CONEXÃO ROSQUEADA, INSTALADO EM PRUMADAS - FORNECIMENTO E INSTALAÇÃO. AF_10/2020</v>
          </cell>
          <cell r="C4067" t="str">
            <v>UN</v>
          </cell>
          <cell r="D4067">
            <v>53.55</v>
          </cell>
        </row>
        <row r="4068">
          <cell r="A4068" t="str">
            <v>92345</v>
          </cell>
          <cell r="B4068" t="str">
            <v>LUVA, EM FERRO GALVANIZADO, DN 50 (2"), CONEXÃO ROSQUEADA, INSTALADO EM PRUMADAS - FORNECIMENTO E INSTALAÇÃO. AF_10/2020</v>
          </cell>
          <cell r="C4068" t="str">
            <v>UN</v>
          </cell>
          <cell r="D4068">
            <v>53.53</v>
          </cell>
        </row>
        <row r="4069">
          <cell r="A4069" t="str">
            <v>92346</v>
          </cell>
          <cell r="B4069" t="str">
            <v>NIPLE, EM FERRO GALVANIZADO, DN 65 (2 1/2"), CONEXÃO ROSQUEADA, INSTALADO EM PRUMADAS - FORNECIMENTO E INSTALAÇÃO. AF_10/2020</v>
          </cell>
          <cell r="C4069" t="str">
            <v>UN</v>
          </cell>
          <cell r="D4069">
            <v>70.650000000000006</v>
          </cell>
        </row>
        <row r="4070">
          <cell r="A4070" t="str">
            <v>92347</v>
          </cell>
          <cell r="B4070" t="str">
            <v>LUVA, EM FERRO GALVANIZADO, DN 65 (2 1/2"), CONEXÃO ROSQUEADA, INSTALADO EM PRUMADAS - FORNECIMENTO E INSTALAÇÃO. AF_10/2020</v>
          </cell>
          <cell r="C4070" t="str">
            <v>UN</v>
          </cell>
          <cell r="D4070">
            <v>78.760000000000005</v>
          </cell>
        </row>
        <row r="4071">
          <cell r="A4071" t="str">
            <v>92348</v>
          </cell>
          <cell r="B4071" t="str">
            <v>NIPLE, EM FERRO GALVANIZADO, DN 80 (3"), CONEXÃO ROSQUEADA, INSTALADO EM PRUMADAS - FORNECIMENTO E INSTALAÇÃO. AF_10/2020</v>
          </cell>
          <cell r="C4071" t="str">
            <v>UN</v>
          </cell>
          <cell r="D4071">
            <v>99.58</v>
          </cell>
        </row>
        <row r="4072">
          <cell r="A4072" t="str">
            <v>92349</v>
          </cell>
          <cell r="B4072" t="str">
            <v>LUVA, EM FERRO GALVANIZADO, DN 80 (3"), CONEXÃO ROSQUEADA, INSTALADO EM PRUMADAS - FORNECIMENTO E INSTALAÇÃO. AF_10/2020</v>
          </cell>
          <cell r="C4072" t="str">
            <v>UN</v>
          </cell>
          <cell r="D4072">
            <v>106.8</v>
          </cell>
        </row>
        <row r="4073">
          <cell r="A4073" t="str">
            <v>92350</v>
          </cell>
          <cell r="B4073" t="str">
            <v>JOELHO 45 GRAUS, EM FERRO GALVANIZADO, DN 50 (2"), CONEXÃO ROSQUEADA, INSTALADO EM PRUMADAS - FORNECIMENTO E INSTALAÇÃO. AF_10/2020</v>
          </cell>
          <cell r="C4073" t="str">
            <v>UN</v>
          </cell>
          <cell r="D4073">
            <v>79.599999999999994</v>
          </cell>
        </row>
        <row r="4074">
          <cell r="A4074" t="str">
            <v>92351</v>
          </cell>
          <cell r="B4074" t="str">
            <v>JOELHO 90 GRAUS, EM FERRO GALVANIZADO, DN 50 (2"), CONEXÃO ROSQUEADA, INSTALADO EM PRUMADAS - FORNECIMENTO E INSTALAÇÃO. AF_10/2020</v>
          </cell>
          <cell r="C4074" t="str">
            <v>UN</v>
          </cell>
          <cell r="D4074">
            <v>77.790000000000006</v>
          </cell>
        </row>
        <row r="4075">
          <cell r="A4075" t="str">
            <v>92352</v>
          </cell>
          <cell r="B4075" t="str">
            <v>JOELHO 45 GRAUS, EM FERRO GALVANIZADO, DN 65 (2 1/2"), CONEXÃO ROSQUEADA, INSTALADO EM PRUMADAS - FORNECIMENTO E INSTALAÇÃO. AF_10/2020</v>
          </cell>
          <cell r="C4075" t="str">
            <v>UN</v>
          </cell>
          <cell r="D4075">
            <v>121.5</v>
          </cell>
        </row>
        <row r="4076">
          <cell r="A4076" t="str">
            <v>92353</v>
          </cell>
          <cell r="B4076" t="str">
            <v>JOELHO 90 GRAUS, EM FERRO GALVANIZADO, DN 65 (2 1/2"), CONEXÃO ROSQUEADA, INSTALADO EM PRUMADAS - FORNECIMENTO E INSTALAÇÃO. AF_10/2020</v>
          </cell>
          <cell r="C4076" t="str">
            <v>UN</v>
          </cell>
          <cell r="D4076">
            <v>113.56</v>
          </cell>
        </row>
        <row r="4077">
          <cell r="A4077" t="str">
            <v>92354</v>
          </cell>
          <cell r="B4077" t="str">
            <v>JOELHO 45 GRAUS, EM FERRO GALVANIZADO, DN 80 (3"), CONEXÃO ROSQUEADA, INSTALADO EM PRUMADAS - FORNECIMENTO E INSTALAÇÃO. AF_10/2020</v>
          </cell>
          <cell r="C4077" t="str">
            <v>UN</v>
          </cell>
          <cell r="D4077">
            <v>161.72999999999999</v>
          </cell>
        </row>
        <row r="4078">
          <cell r="A4078" t="str">
            <v>92355</v>
          </cell>
          <cell r="B4078" t="str">
            <v>JOELHO 90 GRAUS, EM FERRO GALVANIZADO, DN 80 (3"), CONEXÃO ROSQUEADA, INSTALADO EM PRUMADAS - FORNECIMENTO E INSTALAÇÃO. AF_10/2020</v>
          </cell>
          <cell r="C4078" t="str">
            <v>UN</v>
          </cell>
          <cell r="D4078">
            <v>146.41999999999999</v>
          </cell>
        </row>
        <row r="4079">
          <cell r="A4079" t="str">
            <v>92356</v>
          </cell>
          <cell r="B4079" t="str">
            <v>TÊ, EM FERRO GALVANIZADO, DN 50 (2"), CONEXÃO ROSQUEADA, INSTALADO EM PRUMADAS - FORNECIMENTO E INSTALAÇÃO. AF_10/2020</v>
          </cell>
          <cell r="C4079" t="str">
            <v>UN</v>
          </cell>
          <cell r="D4079">
            <v>103.71</v>
          </cell>
        </row>
        <row r="4080">
          <cell r="A4080" t="str">
            <v>92357</v>
          </cell>
          <cell r="B4080" t="str">
            <v>TÊ, EM FERRO GALVANIZADO, DN 65 (2 1/2"), CONEXÃO ROSQUEADA, INSTALADO EM PRUMADAS - FORNECIMENTO E INSTALAÇÃO. AF_10/2020</v>
          </cell>
          <cell r="C4080" t="str">
            <v>UN</v>
          </cell>
          <cell r="D4080">
            <v>155.41999999999999</v>
          </cell>
        </row>
        <row r="4081">
          <cell r="A4081" t="str">
            <v>92358</v>
          </cell>
          <cell r="B4081" t="str">
            <v>TÊ, EM FERRO GALVANIZADO, DN 80 (3"), CONEXÃO ROSQUEADA, INSTALADO EM PRUMADAS - FORNECIMENTO E INSTALAÇÃO. AF_10/2020</v>
          </cell>
          <cell r="C4081" t="str">
            <v>UN</v>
          </cell>
          <cell r="D4081">
            <v>193.8</v>
          </cell>
        </row>
        <row r="4082">
          <cell r="A4082" t="str">
            <v>92369</v>
          </cell>
          <cell r="B4082" t="str">
            <v>NIPLE, EM FERRO GALVANIZADO, DN 25 (1"), CONEXÃO ROSQUEADA, INSTALADO EM REDE DE ALIMENTAÇÃO PARA HIDRANTE - FORNECIMENTO E INSTALAÇÃO. AF_10/2020</v>
          </cell>
          <cell r="C4082" t="str">
            <v>UN</v>
          </cell>
          <cell r="D4082">
            <v>28.58</v>
          </cell>
        </row>
        <row r="4083">
          <cell r="A4083" t="str">
            <v>92370</v>
          </cell>
          <cell r="B4083" t="str">
            <v>LUVA, EM FERRO GALVANIZADO, DN 25 (1"), CONEXÃO ROSQUEADA, INSTALADO EM REDE DE ALIMENTAÇÃO PARA HIDRANTE - FORNECIMENTO E INSTALAÇÃO. AF_10/2020</v>
          </cell>
          <cell r="C4083" t="str">
            <v>UN</v>
          </cell>
          <cell r="D4083">
            <v>30.04</v>
          </cell>
        </row>
        <row r="4084">
          <cell r="A4084" t="str">
            <v>92371</v>
          </cell>
          <cell r="B4084" t="str">
            <v>NIPLE, EM FERRO GALVANIZADO, DN 32 (1 1/4"), CONEXÃO ROSQUEADA, INSTALADO EM REDE DE ALIMENTAÇÃO PARA HIDRANTE - FORNECIMENTO E INSTALAÇÃO. AF_10/2020</v>
          </cell>
          <cell r="C4084" t="str">
            <v>UN</v>
          </cell>
          <cell r="D4084">
            <v>34.68</v>
          </cell>
        </row>
        <row r="4085">
          <cell r="A4085" t="str">
            <v>92372</v>
          </cell>
          <cell r="B4085" t="str">
            <v>LUVA, EM FERRO GALVANIZADO, DN 32 (1 1/4"), CONEXÃO ROSQUEADA, INSTALADO EM REDE DE ALIMENTAÇÃO PARA HIDRANTE - FORNECIMENTO E INSTALAÇÃO. AF_10/2020</v>
          </cell>
          <cell r="C4085" t="str">
            <v>UN</v>
          </cell>
          <cell r="D4085">
            <v>36.04</v>
          </cell>
        </row>
        <row r="4086">
          <cell r="A4086" t="str">
            <v>92373</v>
          </cell>
          <cell r="B4086" t="str">
            <v>NIPLE, EM FERRO GALVANIZADO, DN 40 (1 1/2"), CONEXÃO ROSQUEADA, INSTALADO EM REDE DE ALIMENTAÇÃO PARA HIDRANTE - FORNECIMENTO E INSTALAÇÃO. AF_10/2020</v>
          </cell>
          <cell r="C4086" t="str">
            <v>UN</v>
          </cell>
          <cell r="D4086">
            <v>41.07</v>
          </cell>
        </row>
        <row r="4087">
          <cell r="A4087" t="str">
            <v>92374</v>
          </cell>
          <cell r="B4087" t="str">
            <v>LUVA, EM FERRO GALVANIZADO, DN 40 (1 1/2"), CONEXÃO ROSQUEADA, INSTALADO EM REDE DE ALIMENTAÇÃO PARA HIDRANTE - FORNECIMENTO E INSTALAÇÃO. AF_10/2020</v>
          </cell>
          <cell r="C4087" t="str">
            <v>UN</v>
          </cell>
          <cell r="D4087">
            <v>41.34</v>
          </cell>
        </row>
        <row r="4088">
          <cell r="A4088" t="str">
            <v>92375</v>
          </cell>
          <cell r="B4088" t="str">
            <v>NIPLE, EM FERRO GALVANIZADO, DN 50 (2"), CONEXÃO ROSQUEADA, INSTALADO EM REDE DE ALIMENTAÇÃO PARA HIDRANTE - FORNECIMENTO E INSTALAÇÃO. AF_10/2020</v>
          </cell>
          <cell r="C4088" t="str">
            <v>UN</v>
          </cell>
          <cell r="D4088">
            <v>53.51</v>
          </cell>
        </row>
        <row r="4089">
          <cell r="A4089" t="str">
            <v>92376</v>
          </cell>
          <cell r="B4089" t="str">
            <v>LUVA, EM FERRO GALVANIZADO, DN 50 (2"), CONEXÃO ROSQUEADA, INSTALADO EM REDE DE ALIMENTAÇÃO PARA HIDRANTE - FORNECIMENTO E INSTALAÇÃO. AF_10/2020</v>
          </cell>
          <cell r="C4089" t="str">
            <v>UN</v>
          </cell>
          <cell r="D4089">
            <v>53.49</v>
          </cell>
        </row>
        <row r="4090">
          <cell r="A4090" t="str">
            <v>92377</v>
          </cell>
          <cell r="B4090" t="str">
            <v>NIPLE, EM FERRO GALVANIZADO, DN 65 (2 1/2"), CONEXÃO ROSQUEADA, INSTALADO EM REDE DE ALIMENTAÇÃO PARA HIDRANTE - FORNECIMENTO E INSTALAÇÃO. AF_10/2020</v>
          </cell>
          <cell r="C4090" t="str">
            <v>UN</v>
          </cell>
          <cell r="D4090">
            <v>71.98</v>
          </cell>
        </row>
        <row r="4091">
          <cell r="A4091" t="str">
            <v>92378</v>
          </cell>
          <cell r="B4091" t="str">
            <v>LUVA, EM FERRO GALVANIZADO, DN 65 (2 1/2"), CONEXÃO ROSQUEADA, INSTALADO EM REDE DE ALIMENTAÇÃO PARA HIDRANTE - FORNECIMENTO E INSTALAÇÃO. AF_10/2020</v>
          </cell>
          <cell r="C4091" t="str">
            <v>UN</v>
          </cell>
          <cell r="D4091">
            <v>80.09</v>
          </cell>
        </row>
        <row r="4092">
          <cell r="A4092" t="str">
            <v>92379</v>
          </cell>
          <cell r="B4092" t="str">
            <v>NIPLE, EM FERRO GALVANIZADO, DN 80 (3"), CONEXÃO ROSQUEADA, INSTALADO EM REDE DE ALIMENTAÇÃO PARA HIDRANTE - FORNECIMENTO E INSTALAÇÃO. AF_10/2020</v>
          </cell>
          <cell r="C4092" t="str">
            <v>UN</v>
          </cell>
          <cell r="D4092">
            <v>102.31</v>
          </cell>
        </row>
        <row r="4093">
          <cell r="A4093" t="str">
            <v>92380</v>
          </cell>
          <cell r="B4093" t="str">
            <v>LUVA, EM FERRO GALVANIZADO, DN 80 (3"), CONEXÃO ROSQUEADA, INSTALADO EM REDE DE ALIMENTAÇÃO PARA HIDRANTE - FORNECIMENTO E INSTALAÇÃO. AF_10/2020</v>
          </cell>
          <cell r="C4093" t="str">
            <v>UN</v>
          </cell>
          <cell r="D4093">
            <v>109.53</v>
          </cell>
        </row>
        <row r="4094">
          <cell r="A4094" t="str">
            <v>92381</v>
          </cell>
          <cell r="B4094" t="str">
            <v>JOELHO 45 GRAUS, EM FERRO GALVANIZADO, DN 25 (1"), CONEXÃO ROSQUEADA, INSTALADO EM REDE DE ALIMENTAÇÃO PARA HIDRANTE - FORNECIMENTO E INSTALAÇÃO. AF_10/2020</v>
          </cell>
          <cell r="C4094" t="str">
            <v>UN</v>
          </cell>
          <cell r="D4094">
            <v>43.27</v>
          </cell>
        </row>
        <row r="4095">
          <cell r="A4095" t="str">
            <v>92382</v>
          </cell>
          <cell r="B4095" t="str">
            <v>JOELHO 90 GRAUS, EM FERRO GALVANIZADO, DN 25 (1"), CONEXÃO ROSQUEADA, INSTALADO EM REDE DE ALIMENTAÇÃO PARA HIDRANTE - FORNECIMENTO E INSTALAÇÃO. AF_10/2020</v>
          </cell>
          <cell r="C4095" t="str">
            <v>UN</v>
          </cell>
          <cell r="D4095">
            <v>41.34</v>
          </cell>
        </row>
        <row r="4096">
          <cell r="A4096" t="str">
            <v>92383</v>
          </cell>
          <cell r="B4096" t="str">
            <v>JOELHO 45 GRAUS, EM FERRO GALVANIZADO, DN 32 (1 1/4"), CONEXÃO ROSQUEADA, INSTALADO EM REDE DE ALIMENTAÇÃO PARA HIDRANTE - FORNECIMENTO E INSTALAÇÃO. AF_10/2020</v>
          </cell>
          <cell r="C4096" t="str">
            <v>UN</v>
          </cell>
          <cell r="D4096">
            <v>54.79</v>
          </cell>
        </row>
        <row r="4097">
          <cell r="A4097" t="str">
            <v>92384</v>
          </cell>
          <cell r="B4097" t="str">
            <v>JOELHO 90 GRAUS, EM FERRO GALVANIZADO, DN 32 (1 1/4"), CONEXÃO ROSQUEADA, INSTALADO EM REDE DE ALIMENTAÇÃO PARA HIDRANTE - FORNECIMENTO E INSTALAÇÃO. AF_10/2020</v>
          </cell>
          <cell r="C4097" t="str">
            <v>UN</v>
          </cell>
          <cell r="D4097">
            <v>50.93</v>
          </cell>
        </row>
        <row r="4098">
          <cell r="A4098" t="str">
            <v>92385</v>
          </cell>
          <cell r="B4098" t="str">
            <v>JOELHO 45 GRAUS, EM FERRO GALVANIZADO, DN 40 (1 1/2"), CONEXÃO ROSQUEADA, INSTALADO EM REDE DE ALIMENTAÇÃO PARA HIDRANTE - FORNECIMENTO E INSTALAÇÃO. AF_10/2020</v>
          </cell>
          <cell r="C4098" t="str">
            <v>UN</v>
          </cell>
          <cell r="D4098">
            <v>62.88</v>
          </cell>
        </row>
        <row r="4099">
          <cell r="A4099" t="str">
            <v>92386</v>
          </cell>
          <cell r="B4099" t="str">
            <v>JOELHO 90 GRAUS, EM FERRO GALVANIZADO, DN 40 (1 1/2"), CONEXÃO ROSQUEADA, INSTALADO EM REDE DE ALIMENTAÇÃO PARA HIDRANTE - FORNECIMENTO E INSTALAÇÃO. AF_10/2020</v>
          </cell>
          <cell r="C4099" t="str">
            <v>UN</v>
          </cell>
          <cell r="D4099">
            <v>60.22</v>
          </cell>
        </row>
        <row r="4100">
          <cell r="A4100" t="str">
            <v>92387</v>
          </cell>
          <cell r="B4100" t="str">
            <v>JOELHO 45 GRAUS, EM FERRO GALVANIZADO, DN 50 (2"), CONEXÃO ROSQUEADA, INSTALADO EM REDE DE ALIMENTAÇÃO PARA HIDRANTE - FORNECIMENTO E INSTALAÇÃO. AF_10/2020</v>
          </cell>
          <cell r="C4100" t="str">
            <v>UN</v>
          </cell>
          <cell r="D4100">
            <v>79.52</v>
          </cell>
        </row>
        <row r="4101">
          <cell r="A4101" t="str">
            <v>92388</v>
          </cell>
          <cell r="B4101" t="str">
            <v>JOELHO 90 GRAUS, EM FERRO GALVANIZADO, DN 50 (2"), CONEXÃO ROSQUEADA, INSTALADO EM REDE DE ALIMENTAÇÃO PARA HIDRANTE - FORNECIMENTO E INSTALAÇÃO. AF_10/2020</v>
          </cell>
          <cell r="C4101" t="str">
            <v>UN</v>
          </cell>
          <cell r="D4101">
            <v>77.709999999999994</v>
          </cell>
        </row>
        <row r="4102">
          <cell r="A4102" t="str">
            <v>92389</v>
          </cell>
          <cell r="B4102" t="str">
            <v>JOELHO 45 GRAUS, EM FERRO GALVANIZADO, DN 65 (2 1/2"), CONEXÃO ROSQUEADA, INSTALADO EM REDE DE ALIMENTAÇÃO PARA HIDRANTE - FORNECIMENTO E INSTALAÇÃO. AF_10/2020</v>
          </cell>
          <cell r="C4102" t="str">
            <v>UN</v>
          </cell>
          <cell r="D4102">
            <v>123.53</v>
          </cell>
        </row>
        <row r="4103">
          <cell r="A4103" t="str">
            <v>92390</v>
          </cell>
          <cell r="B4103" t="str">
            <v>JOELHO 90 GRAUS, EM FERRO GALVANIZADO, DN 65 (2 1/2"), CONEXÃO ROSQUEADA, INSTALADO EM REDE DE ALIMENTAÇÃO PARA HIDRANTE - FORNECIMENTO E INSTALAÇÃO. AF_10/2020</v>
          </cell>
          <cell r="C4103" t="str">
            <v>UN</v>
          </cell>
          <cell r="D4103">
            <v>115.59</v>
          </cell>
        </row>
        <row r="4104">
          <cell r="A4104" t="str">
            <v>92635</v>
          </cell>
          <cell r="B4104" t="str">
            <v>JOELHO 45 GRAUS, EM FERRO GALVANIZADO, CONEXÃO ROSQUEADA, DN 80 (3"), INSTALADO EM REDE DE ALIMENTAÇÃO PARA HIDRANTE - FORNECIMENTO E INSTALAÇÃO. AF_10/2020</v>
          </cell>
          <cell r="C4104" t="str">
            <v>UN</v>
          </cell>
          <cell r="D4104">
            <v>165.83</v>
          </cell>
        </row>
        <row r="4105">
          <cell r="A4105" t="str">
            <v>92636</v>
          </cell>
          <cell r="B4105" t="str">
            <v>JOELHO 90 GRAUS, EM FERRO GALVANIZADO, CONEXÃO ROSQUEADA, DN 80 (3"), INSTALADO EM REDE DE ALIMENTAÇÃO PARA HIDRANTE - FORNECIMENTO E INSTALAÇÃO. AF_10/2020</v>
          </cell>
          <cell r="C4105" t="str">
            <v>UN</v>
          </cell>
          <cell r="D4105">
            <v>150.52000000000001</v>
          </cell>
        </row>
        <row r="4106">
          <cell r="A4106" t="str">
            <v>92637</v>
          </cell>
          <cell r="B4106" t="str">
            <v>TÊ, EM FERRO GALVANIZADO, CONEXÃO ROSQUEADA, DN 25 (1"), INSTALADO EM REDE DE ALIMENTAÇÃO PARA HIDRANTE - FORNECIMENTO E INSTALAÇÃO. AF_10/2020</v>
          </cell>
          <cell r="C4106" t="str">
            <v>UN</v>
          </cell>
          <cell r="D4106">
            <v>55.87</v>
          </cell>
        </row>
        <row r="4107">
          <cell r="A4107" t="str">
            <v>92638</v>
          </cell>
          <cell r="B4107" t="str">
            <v>TÊ, EM FERRO GALVANIZADO, CONEXÃO ROSQUEADA, DN 32 (1 1/4"), INSTALADO EM REDE DE ALIMENTAÇÃO PARA HIDRANTE - FORNECIMENTO E INSTALAÇÃO. AF_10/2020</v>
          </cell>
          <cell r="C4107" t="str">
            <v>UN</v>
          </cell>
          <cell r="D4107">
            <v>68.39</v>
          </cell>
        </row>
        <row r="4108">
          <cell r="A4108" t="str">
            <v>92639</v>
          </cell>
          <cell r="B4108" t="str">
            <v>TÊ, EM FERRO GALVANIZADO, CONEXÃO ROSQUEADA, DN 40 (1 1/2"), INSTALADO EM REDE DE ALIMENTAÇÃO PARA HIDRANTE - FORNECIMENTO E INSTALAÇÃO. AF_10/2020</v>
          </cell>
          <cell r="C4108" t="str">
            <v>UN</v>
          </cell>
          <cell r="D4108">
            <v>79.290000000000006</v>
          </cell>
        </row>
        <row r="4109">
          <cell r="A4109" t="str">
            <v>92640</v>
          </cell>
          <cell r="B4109" t="str">
            <v>TÊ, EM FERRO GALVANIZADO, CONEXÃO ROSQUEADA, DN 50 (2"), INSTALADO EM REDE DE ALIMENTAÇÃO PARA HIDRANTE - FORNECIMENTO E INSTALAÇÃO. AF_10/2020</v>
          </cell>
          <cell r="C4109" t="str">
            <v>UN</v>
          </cell>
          <cell r="D4109">
            <v>103.59</v>
          </cell>
        </row>
        <row r="4110">
          <cell r="A4110" t="str">
            <v>92642</v>
          </cell>
          <cell r="B4110" t="str">
            <v>TÊ, EM FERRO GALVANIZADO, CONEXÃO ROSQUEADA, DN 65 (2 1/2"), INSTALADO EM REDE DE ALIMENTAÇÃO PARA HIDRANTE - FORNECIMENTO E INSTALAÇÃO. AF_10/2020</v>
          </cell>
          <cell r="C4110" t="str">
            <v>UN</v>
          </cell>
          <cell r="D4110">
            <v>158.08000000000001</v>
          </cell>
        </row>
        <row r="4111">
          <cell r="A4111" t="str">
            <v>92644</v>
          </cell>
          <cell r="B4111" t="str">
            <v>TÊ, EM FERRO GALVANIZADO, CONEXÃO ROSQUEADA, DN 80 (3"), INSTALADO EM REDE DE ALIMENTAÇÃO PARA HIDRANTE - FORNECIMENTO E INSTALAÇÃO. AF_10/2020</v>
          </cell>
          <cell r="C4111" t="str">
            <v>UN</v>
          </cell>
          <cell r="D4111">
            <v>199.27</v>
          </cell>
        </row>
        <row r="4112">
          <cell r="A4112" t="str">
            <v>92657</v>
          </cell>
          <cell r="B4112" t="str">
            <v>NIPLE, EM FERRO GALVANIZADO, CONEXÃO ROSQUEADA, DN 25 (1"), INSTALADO EM REDE DE ALIMENTAÇÃO PARA SPRINKLER - FORNECIMENTO E INSTALAÇÃO. AF_10/2020</v>
          </cell>
          <cell r="C4112" t="str">
            <v>UN</v>
          </cell>
          <cell r="D4112">
            <v>21.18</v>
          </cell>
        </row>
        <row r="4113">
          <cell r="A4113" t="str">
            <v>92658</v>
          </cell>
          <cell r="B4113" t="str">
            <v>LUVA, EM FERRO GALVANIZADO, CONEXÃO ROSQUEADA, DN 25 (1"), INSTALADO EM REDE DE ALIMENTAÇÃO PARA SPRINKLER - FORNECIMENTO E INSTALAÇÃO. AF_10/2020</v>
          </cell>
          <cell r="C4113" t="str">
            <v>UN</v>
          </cell>
          <cell r="D4113">
            <v>22.64</v>
          </cell>
        </row>
        <row r="4114">
          <cell r="A4114" t="str">
            <v>92659</v>
          </cell>
          <cell r="B4114" t="str">
            <v>NIPLE, EM FERRO GALVANIZADO, CONEXÃO ROSQUEADA, DN 32 (1 1/4"), INSTALADO EM REDE DE ALIMENTAÇÃO PARA SPRINKLER - FORNECIMENTO E INSTALAÇÃO. AF_10/2020</v>
          </cell>
          <cell r="C4114" t="str">
            <v>UN</v>
          </cell>
          <cell r="D4114">
            <v>26.26</v>
          </cell>
        </row>
        <row r="4115">
          <cell r="A4115" t="str">
            <v>92660</v>
          </cell>
          <cell r="B4115" t="str">
            <v>LUVA, EM FERRO GALVANIZADO, CONEXÃO ROSQUEADA, DN 32 (1 1/4"), INSTALADO EM REDE DE ALIMENTAÇÃO PARA SPRINKLER - FORNECIMENTO E INSTALAÇÃO. AF_10/2020</v>
          </cell>
          <cell r="C4115" t="str">
            <v>UN</v>
          </cell>
          <cell r="D4115">
            <v>27.62</v>
          </cell>
        </row>
        <row r="4116">
          <cell r="A4116" t="str">
            <v>92661</v>
          </cell>
          <cell r="B4116" t="str">
            <v>NIPLE, EM FERRO GALVANIZADO, CONEXÃO ROSQUEADA, DN 40 (1 1/2"), INSTALADO EM REDE DE ALIMENTAÇÃO PARA SPRINKLER - FORNECIMENTO E INSTALAÇÃO. AF_10/2020</v>
          </cell>
          <cell r="C4116" t="str">
            <v>UN</v>
          </cell>
          <cell r="D4116">
            <v>31.49</v>
          </cell>
        </row>
        <row r="4117">
          <cell r="A4117" t="str">
            <v>92662</v>
          </cell>
          <cell r="B4117" t="str">
            <v>LUVA, EM FERRO GALVANIZADO, CONEXÃO ROSQUEADA, DN 40 (1 1/2"), INSTALADO EM REDE DE ALIMENTAÇÃO PARA SPRINKLER - FORNECIMENTO E INSTALAÇÃO. AF_10/2020</v>
          </cell>
          <cell r="C4117" t="str">
            <v>UN</v>
          </cell>
          <cell r="D4117">
            <v>31.76</v>
          </cell>
        </row>
        <row r="4118">
          <cell r="A4118" t="str">
            <v>92663</v>
          </cell>
          <cell r="B4118" t="str">
            <v>NIPLE, EM FERRO GALVANIZADO, CONEXÃO ROSQUEADA, DN 50 (2"), INSTALADO EM REDE DE ALIMENTAÇÃO PARA SPRINKLER - FORNECIMENTO E INSTALAÇÃO. AF_10/2020</v>
          </cell>
          <cell r="C4118" t="str">
            <v>UN</v>
          </cell>
          <cell r="D4118">
            <v>42.48</v>
          </cell>
        </row>
        <row r="4119">
          <cell r="A4119" t="str">
            <v>92664</v>
          </cell>
          <cell r="B4119" t="str">
            <v>LUVA, EM FERRO GALVANIZADO, CONEXÃO ROSQUEADA, DN 50 (2"), INSTALADO EM REDE DE ALIMENTAÇÃO PARA SPRINKLER - FORNECIMENTO E INSTALAÇÃO. AF_10/2020</v>
          </cell>
          <cell r="C4119" t="str">
            <v>UN</v>
          </cell>
          <cell r="D4119">
            <v>42.46</v>
          </cell>
        </row>
        <row r="4120">
          <cell r="A4120" t="str">
            <v>92665</v>
          </cell>
          <cell r="B4120" t="str">
            <v>NIPLE, EM FERRO GALVANIZADO, CONEXÃO ROSQUEADA, DN 65 (2 1/2"), INSTALADO EM REDE DE ALIMENTAÇÃO PARA SPRINKLER - FORNECIMENTO E INSTALAÇÃO. AF_10/2020</v>
          </cell>
          <cell r="C4120" t="str">
            <v>UN</v>
          </cell>
          <cell r="D4120">
            <v>58.76</v>
          </cell>
        </row>
        <row r="4121">
          <cell r="A4121" t="str">
            <v>92666</v>
          </cell>
          <cell r="B4121" t="str">
            <v>LUVA, EM FERRO GALVANIZADO, CONEXÃO ROSQUEADA, DN 65 (2 1/2"), INSTALADO EM REDE DE ALIMENTAÇÃO PARA SPRINKLER - FORNECIMENTO E INSTALAÇÃO. AF_10/2020</v>
          </cell>
          <cell r="C4121" t="str">
            <v>UN</v>
          </cell>
          <cell r="D4121">
            <v>66.87</v>
          </cell>
        </row>
        <row r="4122">
          <cell r="A4122" t="str">
            <v>92667</v>
          </cell>
          <cell r="B4122" t="str">
            <v>NIPLE, EM FERRO GALVANIZADO, CONEXÃO ROSQUEADA, DN 80 (3"), INSTALADO EM REDE DE ALIMENTAÇÃO PARA SPRINKLER - FORNECIMENTO E INSTALAÇÃO. AF_10/2020</v>
          </cell>
          <cell r="C4122" t="str">
            <v>UN</v>
          </cell>
          <cell r="D4122">
            <v>86.93</v>
          </cell>
        </row>
        <row r="4123">
          <cell r="A4123" t="str">
            <v>92668</v>
          </cell>
          <cell r="B4123" t="str">
            <v>LUVA, EM FERRO GALVANIZADO, CONEXÃO ROSQUEADA, DN 80 (3"), INSTALADO EM REDE DE ALIMENTAÇÃO PARA SPRINKLER - FORNECIMENTO E INSTALAÇÃO. AF_10/2020</v>
          </cell>
          <cell r="C4123" t="str">
            <v>UN</v>
          </cell>
          <cell r="D4123">
            <v>94.15</v>
          </cell>
        </row>
        <row r="4124">
          <cell r="A4124" t="str">
            <v>92669</v>
          </cell>
          <cell r="B4124" t="str">
            <v>JOELHO 45 GRAUS, EM FERRO GALVANIZADO, CONEXÃO ROSQUEADA, DN 25 (1"), INSTALADO EM REDE DE ALIMENTAÇÃO PARA SPRINKLER - FORNECIMENTO E INSTALAÇÃO. AF_10/2020</v>
          </cell>
          <cell r="C4124" t="str">
            <v>UN</v>
          </cell>
          <cell r="D4124">
            <v>32.159999999999997</v>
          </cell>
        </row>
        <row r="4125">
          <cell r="A4125" t="str">
            <v>92670</v>
          </cell>
          <cell r="B4125" t="str">
            <v>JOELHO 90 GRAUS, EM FERRO GALVANIZADO, CONEXÃO ROSQUEADA, DN 25 (1"), INSTALADO EM REDE DE ALIMENTAÇÃO PARA SPRINKLER - FORNECIMENTO E INSTALAÇÃO. AF_10/2020</v>
          </cell>
          <cell r="C4125" t="str">
            <v>UN</v>
          </cell>
          <cell r="D4125">
            <v>30.23</v>
          </cell>
        </row>
        <row r="4126">
          <cell r="A4126" t="str">
            <v>92671</v>
          </cell>
          <cell r="B4126" t="str">
            <v>JOELHO 45 GRAUS, EM FERRO GALVANIZADO, CONEXÃO ROSQUEADA, DN 32 (1 1/4"), INSTALADO EM REDE DE ALIMENTAÇÃO PARA SPRINKLER - FORNECIMENTO E INSTALAÇÃO. AF_10/2020</v>
          </cell>
          <cell r="C4126" t="str">
            <v>UN</v>
          </cell>
          <cell r="D4126">
            <v>42.18</v>
          </cell>
        </row>
        <row r="4127">
          <cell r="A4127" t="str">
            <v>92672</v>
          </cell>
          <cell r="B4127" t="str">
            <v>JOELHO 90 GRAUS, EM FERRO GALVANIZADO, CONEXÃO ROSQUEADA, DN 32 (1 1/4"), INSTALADO EM REDE DE ALIMENTAÇÃO PARA SPRINKLER - FORNECIMENTO E INSTALAÇÃO. AF_10/2020</v>
          </cell>
          <cell r="C4127" t="str">
            <v>UN</v>
          </cell>
          <cell r="D4127">
            <v>38.32</v>
          </cell>
        </row>
        <row r="4128">
          <cell r="A4128" t="str">
            <v>92673</v>
          </cell>
          <cell r="B4128" t="str">
            <v>JOELHO 45 GRAUS, EM FERRO GALVANIZADO, CONEXÃO ROSQUEADA, DN 40 (1 1/2"), INSTALADO EM REDE DE ALIMENTAÇÃO PARA SPRINKLER - FORNECIMENTO E INSTALAÇÃO. AF_10/2020</v>
          </cell>
          <cell r="C4128" t="str">
            <v>UN</v>
          </cell>
          <cell r="D4128">
            <v>48.52</v>
          </cell>
        </row>
        <row r="4129">
          <cell r="A4129" t="str">
            <v>92674</v>
          </cell>
          <cell r="B4129" t="str">
            <v>JOELHO 90 GRAUS, EM FERRO GALVANIZADO, CONEXÃO ROSQUEADA, DN 40 (1 1/2"), INSTALADO EM REDE DE ALIMENTAÇÃO PARA SPRINKLER - FORNECIMENTO E INSTALAÇÃO. AF_10/2020</v>
          </cell>
          <cell r="C4129" t="str">
            <v>UN</v>
          </cell>
          <cell r="D4129">
            <v>45.86</v>
          </cell>
        </row>
        <row r="4130">
          <cell r="A4130" t="str">
            <v>92675</v>
          </cell>
          <cell r="B4130" t="str">
            <v>JOELHO 45 GRAUS, EM FERRO GALVANIZADO, CONEXÃO ROSQUEADA, DN 50 (2"), INSTALADO EM REDE DE ALIMENTAÇÃO PARA SPRINKLER - FORNECIMENTO E INSTALAÇÃO. AF_10/2020</v>
          </cell>
          <cell r="C4130" t="str">
            <v>UN</v>
          </cell>
          <cell r="D4130">
            <v>63.01</v>
          </cell>
        </row>
        <row r="4131">
          <cell r="A4131" t="str">
            <v>92676</v>
          </cell>
          <cell r="B4131" t="str">
            <v>JOELHO 90 GRAUS, EM FERRO GALVANIZADO, CONEXÃO ROSQUEADA, DN 50 (2"), INSTALADO EM REDE DE ALIMENTAÇÃO PARA SPRINKLER - FORNECIMENTO E INSTALAÇÃO. AF_10/2020</v>
          </cell>
          <cell r="C4131" t="str">
            <v>UN</v>
          </cell>
          <cell r="D4131">
            <v>61.2</v>
          </cell>
        </row>
        <row r="4132">
          <cell r="A4132" t="str">
            <v>92677</v>
          </cell>
          <cell r="B4132" t="str">
            <v>JOELHO 45 GRAUS, EM FERRO GALVANIZADO, CONEXÃO ROSQUEADA, DN 65 (2 1/2"), INSTALADO EM REDE DE ALIMENTAÇÃO PARA SPRINKLER - FORNECIMENTO E INSTALAÇÃO. AF_10/2020</v>
          </cell>
          <cell r="C4132" t="str">
            <v>UN</v>
          </cell>
          <cell r="D4132">
            <v>103.73</v>
          </cell>
        </row>
        <row r="4133">
          <cell r="A4133" t="str">
            <v>92678</v>
          </cell>
          <cell r="B4133" t="str">
            <v>JOELHO 90 GRAUS, EM FERRO GALVANIZADO, CONEXÃO ROSQUEADA, DN 65 (2 1/2"), INSTALADO EM REDE DE ALIMENTAÇÃO PARA SPRINKLER - FORNECIMENTO E INSTALAÇÃO. AF_10/2020</v>
          </cell>
          <cell r="C4133" t="str">
            <v>UN</v>
          </cell>
          <cell r="D4133">
            <v>95.79</v>
          </cell>
        </row>
        <row r="4134">
          <cell r="A4134" t="str">
            <v>92679</v>
          </cell>
          <cell r="B4134" t="str">
            <v>JOELHO 45 GRAUS, EM FERRO GALVANIZADO, CONEXÃO ROSQUEADA, DN 80 (3"), INSTALADO EM REDE DE ALIMENTAÇÃO PARA SPRINKLER - FORNECIMENTO E INSTALAÇÃO. AF_10/2020</v>
          </cell>
          <cell r="C4134" t="str">
            <v>UN</v>
          </cell>
          <cell r="D4134">
            <v>142.79</v>
          </cell>
        </row>
        <row r="4135">
          <cell r="A4135" t="str">
            <v>92680</v>
          </cell>
          <cell r="B4135" t="str">
            <v>JOELHO 90 GRAUS, EM FERRO GALVANIZADO, CONEXÃO ROSQUEADA, DN 80 (3"), INSTALADO EM REDE DE ALIMENTAÇÃO PARA SPRINKLER - FORNECIMENTO E INSTALAÇÃO. AF_10/2020</v>
          </cell>
          <cell r="C4135" t="str">
            <v>UN</v>
          </cell>
          <cell r="D4135">
            <v>127.48</v>
          </cell>
        </row>
        <row r="4136">
          <cell r="A4136" t="str">
            <v>92681</v>
          </cell>
          <cell r="B4136" t="str">
            <v>TÊ, EM FERRO GALVANIZADO, CONEXÃO ROSQUEADA, DN 25 (1"), INSTALADO EM REDE DE ALIMENTAÇÃO PARA SPRINKLER - FORNECIMENTO E INSTALAÇÃO. AF_10/2020</v>
          </cell>
          <cell r="C4136" t="str">
            <v>UN</v>
          </cell>
          <cell r="D4136">
            <v>41.04</v>
          </cell>
        </row>
        <row r="4137">
          <cell r="A4137" t="str">
            <v>92682</v>
          </cell>
          <cell r="B4137" t="str">
            <v>TÊ, EM FERRO GALVANIZADO, CONEXÃO ROSQUEADA, DN 32 (1 1/4"), INSTALADO EM REDE DE ALIMENTAÇÃO PARA SPRINKLER - FORNECIMENTO E INSTALAÇÃO. AF_10/2020</v>
          </cell>
          <cell r="C4137" t="str">
            <v>UN</v>
          </cell>
          <cell r="D4137">
            <v>51.53</v>
          </cell>
        </row>
        <row r="4138">
          <cell r="A4138" t="str">
            <v>92683</v>
          </cell>
          <cell r="B4138" t="str">
            <v>TÊ, EM FERRO GALVANIZADO, CONEXÃO ROSQUEADA, DN 40 (1 1/2"), INSTALADO EM REDE DE ALIMENTAÇÃO PARA SPRINKLER - FORNECIMENTO E INSTALAÇÃO. AF_10/2020</v>
          </cell>
          <cell r="C4138" t="str">
            <v>UN</v>
          </cell>
          <cell r="D4138">
            <v>60.16</v>
          </cell>
        </row>
        <row r="4139">
          <cell r="A4139" t="str">
            <v>92684</v>
          </cell>
          <cell r="B4139" t="str">
            <v>TÊ, EM FERRO GALVANIZADO, CONEXÃO ROSQUEADA, DN 50 (2"), INSTALADO EM REDE DE ALIMENTAÇÃO PARA SPRINKLER - FORNECIMENTO E INSTALAÇÃO. AF_10/2020</v>
          </cell>
          <cell r="C4139" t="str">
            <v>UN</v>
          </cell>
          <cell r="D4139">
            <v>81.56</v>
          </cell>
        </row>
        <row r="4140">
          <cell r="A4140" t="str">
            <v>92685</v>
          </cell>
          <cell r="B4140" t="str">
            <v>TÊ, EM FERRO GALVANIZADO, CONEXÃO ROSQUEADA, DN 65 (2 1/2"), INSTALADO EM REDE DE ALIMENTAÇÃO PARA SPRINKLER - FORNECIMENTO E INSTALAÇÃO. AF_10/2020</v>
          </cell>
          <cell r="C4140" t="str">
            <v>UN</v>
          </cell>
          <cell r="D4140">
            <v>131.71</v>
          </cell>
        </row>
        <row r="4141">
          <cell r="A4141" t="str">
            <v>92686</v>
          </cell>
          <cell r="B4141" t="str">
            <v>TÊ, EM FERRO GALVANIZADO, CONEXÃO ROSQUEADA, DN 80 (3"), INSTALADO EM REDE DE ALIMENTAÇÃO PARA SPRINKLER - FORNECIMENTO E INSTALAÇÃO. AF_10/2020</v>
          </cell>
          <cell r="C4141" t="str">
            <v>UN</v>
          </cell>
          <cell r="D4141">
            <v>168.51</v>
          </cell>
        </row>
        <row r="4142">
          <cell r="A4142" t="str">
            <v>92692</v>
          </cell>
          <cell r="B4142" t="str">
            <v>NIPLE, EM FERRO GALVANIZADO, CONEXÃO ROSQUEADA, DN 15 (1/2"), INSTALADO EM RAMAIS E SUB-RAMAIS DE GÁS - FORNECIMENTO E INSTALAÇÃO. AF_10/2020</v>
          </cell>
          <cell r="C4142" t="str">
            <v>UN</v>
          </cell>
          <cell r="D4142">
            <v>11.41</v>
          </cell>
        </row>
        <row r="4143">
          <cell r="A4143" t="str">
            <v>92693</v>
          </cell>
          <cell r="B4143" t="str">
            <v>LUVA, EM FERRO GALVANIZADO, CONEXÃO ROSQUEADA, DN 15 (1/2"), INSTALADO EM RAMAIS E SUB-RAMAIS DE GÁS - FORNECIMENTO E INSTALAÇÃO. AF_10/2020</v>
          </cell>
          <cell r="C4143" t="str">
            <v>UN</v>
          </cell>
          <cell r="D4143">
            <v>11.73</v>
          </cell>
        </row>
        <row r="4144">
          <cell r="A4144" t="str">
            <v>92694</v>
          </cell>
          <cell r="B4144" t="str">
            <v>NIPLE, EM FERRO GALVANIZADO, CONEXÃO ROSQUEADA, DN 20 (3/4"), INSTALADO EM RAMAIS E SUB-RAMAIS DE GÁS - FORNECIMENTO E INSTALAÇÃO. AF_10/2020</v>
          </cell>
          <cell r="C4144" t="str">
            <v>UN</v>
          </cell>
          <cell r="D4144">
            <v>18.05</v>
          </cell>
        </row>
        <row r="4145">
          <cell r="A4145" t="str">
            <v>92695</v>
          </cell>
          <cell r="B4145" t="str">
            <v>LUVA, EM FERRO GALVANIZADO, CONEXÃO ROSQUEADA, DN 20 (3/4"), INSTALADO EM RAMAIS E SUB-RAMAIS DE GÁS - FORNECIMENTO E INSTALAÇÃO. AF_10/2020</v>
          </cell>
          <cell r="C4145" t="str">
            <v>UN</v>
          </cell>
          <cell r="D4145">
            <v>18.38</v>
          </cell>
        </row>
        <row r="4146">
          <cell r="A4146" t="str">
            <v>92696</v>
          </cell>
          <cell r="B4146" t="str">
            <v>NIPLE, EM FERRO GALVANIZADO, CONEXÃO ROSQUEADA, DN 25 (1"), INSTALADO EM RAMAIS E SUB-RAMAIS DE GÁS - FORNECIMENTO E INSTALAÇÃO. AF_10/2020</v>
          </cell>
          <cell r="C4146" t="str">
            <v>UN</v>
          </cell>
          <cell r="D4146">
            <v>28.26</v>
          </cell>
        </row>
        <row r="4147">
          <cell r="A4147" t="str">
            <v>92697</v>
          </cell>
          <cell r="B4147" t="str">
            <v>LUVA, EM FERRO GALVANIZADO, CONEXÃO ROSQUEADA, DN 25 (1"), INSTALADO EM RAMAIS E SUB-RAMAIS DE GÁS - FORNECIMENTO E INSTALAÇÃO. AF_10/2020</v>
          </cell>
          <cell r="C4147" t="str">
            <v>UN</v>
          </cell>
          <cell r="D4147">
            <v>29.72</v>
          </cell>
        </row>
        <row r="4148">
          <cell r="A4148" t="str">
            <v>92698</v>
          </cell>
          <cell r="B4148" t="str">
            <v>JOELHO 45 GRAUS, EM FERRO GALVANIZADO, CONEXÃO ROSQUEADA, DN 15 (1/2"), INSTALADO EM RAMAIS E SUB-RAMAIS DE GÁS - FORNECIMENTO E INSTALAÇÃO. AF_10/2020</v>
          </cell>
          <cell r="C4148" t="str">
            <v>UN</v>
          </cell>
          <cell r="D4148">
            <v>16.850000000000001</v>
          </cell>
        </row>
        <row r="4149">
          <cell r="A4149" t="str">
            <v>92699</v>
          </cell>
          <cell r="B4149" t="str">
            <v>JOELHO 90 GRAUS, EM FERRO GALVANIZADO, CONEXÃO ROSQUEADA, DN 15 (1/2"), INSTALADO EM RAMAIS E SUB-RAMAIS DE GÁS - FORNECIMENTO E INSTALAÇÃO. AF_10/2020</v>
          </cell>
          <cell r="C4149" t="str">
            <v>UN</v>
          </cell>
          <cell r="D4149">
            <v>15.79</v>
          </cell>
        </row>
        <row r="4150">
          <cell r="A4150" t="str">
            <v>92700</v>
          </cell>
          <cell r="B4150" t="str">
            <v>JOELHO 45 GRAUS, EM FERRO GALVANIZADO, CONEXÃO ROSQUEADA, DN 20 (3/4"), INSTALADO EM RAMAIS E SUB-RAMAIS DE GÁS - FORNECIMENTO E INSTALAÇÃO. AF_10/2020</v>
          </cell>
          <cell r="C4150" t="str">
            <v>UN</v>
          </cell>
          <cell r="D4150">
            <v>27.42</v>
          </cell>
        </row>
        <row r="4151">
          <cell r="A4151" t="str">
            <v>92701</v>
          </cell>
          <cell r="B4151" t="str">
            <v>JOELHO 90 GRAUS, EM FERRO GALVANIZADO, CONEXÃO ROSQUEADA, DN 20 (3/4"), INSTALADO EM RAMAIS E SUB-RAMAIS DE GÁS - FORNECIMENTO E INSTALAÇÃO. AF_10/2020</v>
          </cell>
          <cell r="C4151" t="str">
            <v>UN</v>
          </cell>
          <cell r="D4151">
            <v>25.85</v>
          </cell>
        </row>
        <row r="4152">
          <cell r="A4152" t="str">
            <v>92702</v>
          </cell>
          <cell r="B4152" t="str">
            <v>JOELHO 45 GRAUS, EM FERRO GALVANIZADO, CONEXÃO ROSQUEADA, DN 25 (1"), INSTALADO EM RAMAIS E SUB-RAMAIS DE GÁS - FORNECIMENTO E INSTALAÇÃO. AF_10/2020</v>
          </cell>
          <cell r="C4152" t="str">
            <v>UN</v>
          </cell>
          <cell r="D4152">
            <v>42.84</v>
          </cell>
        </row>
        <row r="4153">
          <cell r="A4153" t="str">
            <v>92703</v>
          </cell>
          <cell r="B4153" t="str">
            <v>JOELHO 90 GRAUS, EM FERRO GALVANIZADO, CONEXÃO ROSQUEADA, DN 25 (1"), INSTALADO EM RAMAIS E SUB-RAMAIS DE GÁS - FORNECIMENTO E INSTALAÇÃO. AF_10/2020</v>
          </cell>
          <cell r="C4153" t="str">
            <v>UN</v>
          </cell>
          <cell r="D4153">
            <v>40.909999999999997</v>
          </cell>
        </row>
        <row r="4154">
          <cell r="A4154" t="str">
            <v>92704</v>
          </cell>
          <cell r="B4154" t="str">
            <v>TÊ, EM FERRO GALVANIZADO, CONEXÃO ROSQUEADA, DN 15 (1/2"), INSTALADO EM RAMAIS E SUB-RAMAIS DE GÁS - FORNECIMENTO E INSTALAÇÃO. AF_10/2020</v>
          </cell>
          <cell r="C4154" t="str">
            <v>UN</v>
          </cell>
          <cell r="D4154">
            <v>21.26</v>
          </cell>
        </row>
        <row r="4155">
          <cell r="A4155" t="str">
            <v>92705</v>
          </cell>
          <cell r="B4155" t="str">
            <v>TÊ, EM FERRO GALVANIZADO, CONEXÃO ROSQUEADA, DN 20 (3/4"), INSTALADO EM RAMAIS E SUB-RAMAIS DE GÁS - FORNECIMENTO E INSTALAÇÃO. AF_10/2020</v>
          </cell>
          <cell r="C4155" t="str">
            <v>UN</v>
          </cell>
          <cell r="D4155">
            <v>34.17</v>
          </cell>
        </row>
        <row r="4156">
          <cell r="A4156" t="str">
            <v>92706</v>
          </cell>
          <cell r="B4156" t="str">
            <v>TÊ, EM FERRO GALVANIZADO, CONEXÃO ROSQUEADA, DN 25 (1"), INSTALADO EM RAMAIS E SUB-RAMAIS DE GÁS - FORNECIMENTO E INSTALAÇÃO. AF_10/2020</v>
          </cell>
          <cell r="C4156" t="str">
            <v>UN</v>
          </cell>
          <cell r="D4156">
            <v>55.28</v>
          </cell>
        </row>
        <row r="4157">
          <cell r="A4157" t="str">
            <v>92889</v>
          </cell>
          <cell r="B4157" t="str">
            <v>UNIÃO, EM FERRO GALVANIZADO, DN 50 (2"), CONEXÃO ROSQUEADA, INSTALADO EM PRUMADAS - FORNECIMENTO E INSTALAÇÃO. AF_10/2020</v>
          </cell>
          <cell r="C4157" t="str">
            <v>UN</v>
          </cell>
          <cell r="D4157">
            <v>106.21</v>
          </cell>
        </row>
        <row r="4158">
          <cell r="A4158" t="str">
            <v>92890</v>
          </cell>
          <cell r="B4158" t="str">
            <v>UNIÃO, EM FERRO GALVANIZADO, DN 65 (2 1/2"), CONEXÃO ROSQUEADA, INSTALADO EM PRUMADAS - FORNECIMENTO E INSTALAÇÃO. AF_10/2020</v>
          </cell>
          <cell r="C4158" t="str">
            <v>UN</v>
          </cell>
          <cell r="D4158">
            <v>161.22</v>
          </cell>
        </row>
        <row r="4159">
          <cell r="A4159" t="str">
            <v>92891</v>
          </cell>
          <cell r="B4159" t="str">
            <v>UNIÃO, EM FERRO GALVANIZADO, DN 80 (3"), CONEXÃO ROSQUEADA, INSTALADO EM PRUMADAS - FORNECIMENTO E INSTALAÇÃO. AF_10/2020</v>
          </cell>
          <cell r="C4159" t="str">
            <v>UN</v>
          </cell>
          <cell r="D4159">
            <v>236.61</v>
          </cell>
        </row>
        <row r="4160">
          <cell r="A4160" t="str">
            <v>92892</v>
          </cell>
          <cell r="B4160" t="str">
            <v>UNIÃO, EM FERRO GALVANIZADO, DN 25 (1"), CONEXÃO ROSQUEADA, INSTALADO EM REDE DE ALIMENTAÇÃO PARA HIDRANTE - FORNECIMENTO E INSTALAÇÃO. AF_10/2020</v>
          </cell>
          <cell r="C4160" t="str">
            <v>UN</v>
          </cell>
          <cell r="D4160">
            <v>45.72</v>
          </cell>
        </row>
        <row r="4161">
          <cell r="A4161" t="str">
            <v>92893</v>
          </cell>
          <cell r="B4161" t="str">
            <v>UNIÃO, EM FERRO GALVANIZADO, DN 32 (1 1/4"), CONEXÃO ROSQUEADA, INSTALADO EM REDE DE ALIMENTAÇÃO PARA HIDRANTE - FORNECIMENTO E INSTALAÇÃO. AF_10/2020</v>
          </cell>
          <cell r="C4161" t="str">
            <v>UN</v>
          </cell>
          <cell r="D4161">
            <v>65.19</v>
          </cell>
        </row>
        <row r="4162">
          <cell r="A4162" t="str">
            <v>92894</v>
          </cell>
          <cell r="B4162" t="str">
            <v>UNIÃO, EM FERRO GALVANIZADO, DN 40 (1 1/2"), CONEXÃO ROSQUEADA, INSTALADO EM REDE DE ALIMENTAÇÃO PARA HIDRANTE - FORNECIMENTO E INSTALAÇÃO. AF_10/2020</v>
          </cell>
          <cell r="C4162" t="str">
            <v>UN</v>
          </cell>
          <cell r="D4162">
            <v>77.92</v>
          </cell>
        </row>
        <row r="4163">
          <cell r="A4163" t="str">
            <v>92895</v>
          </cell>
          <cell r="B4163" t="str">
            <v>UNIÃO, EM FERRO GALVANIZADO, DN 50 (2"), CONEXÃO ROSQUEADA, INSTALADO EM REDE DE ALIMENTAÇÃO PARA HIDRANTE - FORNECIMENTO E INSTALAÇÃO. AF_10/2020</v>
          </cell>
          <cell r="C4163" t="str">
            <v>UN</v>
          </cell>
          <cell r="D4163">
            <v>106.17</v>
          </cell>
        </row>
        <row r="4164">
          <cell r="A4164" t="str">
            <v>92896</v>
          </cell>
          <cell r="B4164" t="str">
            <v>UNIÃO, EM FERRO GALVANIZADO, DN 65 (2 1/2"), CONEXÃO ROSQUEADA, INSTALADO EM REDE DE ALIMENTAÇÃO PARA HIDRANTE - FORNECIMENTO E INSTALAÇÃO. AF_10/2020</v>
          </cell>
          <cell r="C4164" t="str">
            <v>UN</v>
          </cell>
          <cell r="D4164">
            <v>162.55000000000001</v>
          </cell>
        </row>
        <row r="4165">
          <cell r="A4165" t="str">
            <v>92897</v>
          </cell>
          <cell r="B4165" t="str">
            <v>UNIÃO, EM FERRO GALVANIZADO, DN 80 (3"), CONEXÃO ROSQUEADA, INSTALADO EM REDE DE ALIMENTAÇÃO PARA HIDRANTE - FORNECIMENTO E INSTALAÇÃO. AF_10/2020</v>
          </cell>
          <cell r="C4165" t="str">
            <v>UN</v>
          </cell>
          <cell r="D4165">
            <v>239.34</v>
          </cell>
        </row>
        <row r="4166">
          <cell r="A4166" t="str">
            <v>92898</v>
          </cell>
          <cell r="B4166" t="str">
            <v>UNIÃO, EM FERRO GALVANIZADO, CONEXÃO ROSQUEADA, DN 25 (1"), INSTALADO EM REDE DE ALIMENTAÇÃO PARA SPRINKLER - FORNECIMENTO E INSTALAÇÃO. AF_10/2020</v>
          </cell>
          <cell r="C4166" t="str">
            <v>UN</v>
          </cell>
          <cell r="D4166">
            <v>38.32</v>
          </cell>
        </row>
        <row r="4167">
          <cell r="A4167" t="str">
            <v>92899</v>
          </cell>
          <cell r="B4167" t="str">
            <v>UNIÃO, EM FERRO GALVANIZADO, CONEXÃO ROSQUEADA, DN 32 (1 1/4"), INSTALADO EM REDE DE ALIMENTAÇÃO PARA SPRINKLER - FORNECIMENTO E INSTALAÇÃO. AF_10/2020</v>
          </cell>
          <cell r="C4167" t="str">
            <v>UN</v>
          </cell>
          <cell r="D4167">
            <v>56.77</v>
          </cell>
        </row>
        <row r="4168">
          <cell r="A4168" t="str">
            <v>92900</v>
          </cell>
          <cell r="B4168" t="str">
            <v>UNIÃO, EM FERRO GALVANIZADO, CONEXÃO ROSQUEADA, DN 40 (1 1/2"), INSTALADO EM REDE DE ALIMENTAÇÃO PARA SPRINKLER - FORNECIMENTO E INSTALAÇÃO. AF_10/2020</v>
          </cell>
          <cell r="C4168" t="str">
            <v>UN</v>
          </cell>
          <cell r="D4168">
            <v>68.34</v>
          </cell>
        </row>
        <row r="4169">
          <cell r="A4169" t="str">
            <v>92901</v>
          </cell>
          <cell r="B4169" t="str">
            <v>UNIÃO, EM FERRO GALVANIZADO, CONEXÃO ROSQUEADA, DN 50 (2"), INSTALADO EM REDE DE ALIMENTAÇÃO PARA SPRINKLER - FORNECIMENTO E INSTALAÇÃO. AF_10/2020</v>
          </cell>
          <cell r="C4169" t="str">
            <v>UN</v>
          </cell>
          <cell r="D4169">
            <v>95.14</v>
          </cell>
        </row>
        <row r="4170">
          <cell r="A4170" t="str">
            <v>92902</v>
          </cell>
          <cell r="B4170" t="str">
            <v>UNIÃO, EM FERRO GALVANIZADO, CONEXÃO ROSQUEADA, DN 65 (2 1/2"), INSTALADO EM REDE DE ALIMENTAÇÃO PARA SPRINKLER - FORNECIMENTO E INSTALAÇÃO. AF_10/2020</v>
          </cell>
          <cell r="C4170" t="str">
            <v>UN</v>
          </cell>
          <cell r="D4170">
            <v>149.33000000000001</v>
          </cell>
        </row>
        <row r="4171">
          <cell r="A4171" t="str">
            <v>92903</v>
          </cell>
          <cell r="B4171" t="str">
            <v>UNIÃO, EM FERRO GALVANIZADO, CONEXÃO ROSQUEADA, DN 80 (3"), INSTALADO EM REDE DE ALIMENTAÇÃO PARA SPRINKLER - FORNECIMENTO E INSTALAÇÃO. AF_10/2020</v>
          </cell>
          <cell r="C4171" t="str">
            <v>UN</v>
          </cell>
          <cell r="D4171">
            <v>223.96</v>
          </cell>
        </row>
        <row r="4172">
          <cell r="A4172" t="str">
            <v>92904</v>
          </cell>
          <cell r="B4172" t="str">
            <v>UNIÃO, EM FERRO GALVANIZADO, CONEXÃO ROSQUEADA, DN 15 (1/2"), INSTALADO EM RAMAIS E SUB-RAMAIS DE GÁS - FORNECIMENTO E INSTALAÇÃO. AF_10/2020</v>
          </cell>
          <cell r="C4172" t="str">
            <v>UN</v>
          </cell>
          <cell r="D4172">
            <v>26.12</v>
          </cell>
        </row>
        <row r="4173">
          <cell r="A4173" t="str">
            <v>92905</v>
          </cell>
          <cell r="B4173" t="str">
            <v>UNIÃO, EM FERRO GALVANIZADO, CONEXÃO ROSQUEADA, DN 20 (3/4"), INSTALADO EM RAMAIS E SUB-RAMAIS DE GÁS - FORNECIMENTO E INSTALAÇÃO. AF_10/2020</v>
          </cell>
          <cell r="C4173" t="str">
            <v>UN</v>
          </cell>
          <cell r="D4173">
            <v>37.26</v>
          </cell>
        </row>
        <row r="4174">
          <cell r="A4174" t="str">
            <v>92906</v>
          </cell>
          <cell r="B4174" t="str">
            <v>UNIÃO, EM FERRO GALVANIZADO, CONEXÃO ROSQUEADA, DN 25 (1"), INSTALADO EM RAMAIS E SUB-RAMAIS DE GÁS - FORNECIMENTO E INSTALAÇÃO. AF_10/2020</v>
          </cell>
          <cell r="C4174" t="str">
            <v>UN</v>
          </cell>
          <cell r="D4174">
            <v>45.4</v>
          </cell>
        </row>
        <row r="4175">
          <cell r="A4175" t="str">
            <v>92907</v>
          </cell>
          <cell r="B4175" t="str">
            <v>LUVA DE REDUÇÃO, EM FERRO GALVANIZADO, 2" X 1 1/2", CONEXÃO ROSQUEADA, INSTALADO EM PRUMADAS - FORNECIMENTO E INSTALAÇÃO. AF_10/2020</v>
          </cell>
          <cell r="C4175" t="str">
            <v>UN</v>
          </cell>
          <cell r="D4175">
            <v>56.59</v>
          </cell>
        </row>
        <row r="4176">
          <cell r="A4176" t="str">
            <v>92908</v>
          </cell>
          <cell r="B4176" t="str">
            <v>LUVA DE REDUÇÃO, EM FERRO GALVANIZADO, 2" X 1 1/4", CONEXÃO ROSQUEADA, INSTALADO EM PRUMADAS - FORNECIMENTO E INSTALAÇÃO. AF_10/2020</v>
          </cell>
          <cell r="C4176" t="str">
            <v>UN</v>
          </cell>
          <cell r="D4176">
            <v>56.59</v>
          </cell>
        </row>
        <row r="4177">
          <cell r="A4177" t="str">
            <v>92909</v>
          </cell>
          <cell r="B4177" t="str">
            <v>LUVA DE REDUÇÃO, EM FERRO GALVANIZADO, 2" X 1", CONEXÃO ROSQUEADA, INSTALADO EM PRUMADAS - FORNECIMENTO E INSTALAÇÃO. AF_10/2020</v>
          </cell>
          <cell r="C4177" t="str">
            <v>UN</v>
          </cell>
          <cell r="D4177">
            <v>56.59</v>
          </cell>
        </row>
        <row r="4178">
          <cell r="A4178" t="str">
            <v>92910</v>
          </cell>
          <cell r="B4178" t="str">
            <v>LUVA DE REDUÇÃO, EM FERRO GALVANIZADO, 2 1/2" X 1 1/2", CONEXÃO ROSQUEADA, INSTALADO EM PRUMADAS - FORNECIMENTO E INSTALAÇÃO. AF_10/2020</v>
          </cell>
          <cell r="C4178" t="str">
            <v>UN</v>
          </cell>
          <cell r="D4178">
            <v>82.19</v>
          </cell>
        </row>
        <row r="4179">
          <cell r="A4179" t="str">
            <v>92911</v>
          </cell>
          <cell r="B4179" t="str">
            <v>LUVA DE REDUÇÃO, EM FERRO GALVANIZADO, 2 1/2" X 2", CONEXÃO ROSQUEADA, INSTALADO EM PRUMADAS - FORNECIMENTO E INSTALAÇÃO. AF_10/2020</v>
          </cell>
          <cell r="C4179" t="str">
            <v>UN</v>
          </cell>
          <cell r="D4179">
            <v>82.19</v>
          </cell>
        </row>
        <row r="4180">
          <cell r="A4180" t="str">
            <v>92912</v>
          </cell>
          <cell r="B4180" t="str">
            <v>LUVA DE REDUÇÃO, EM FERRO GALVANIZADO, 3" X 1 1/2", CONEXÃO ROSQUEADA, INSTALADO EM PRUMADAS - FORNECIMENTO E INSTALAÇÃO. AF_10/2020</v>
          </cell>
          <cell r="C4180" t="str">
            <v>UN</v>
          </cell>
          <cell r="D4180">
            <v>110.47</v>
          </cell>
        </row>
        <row r="4181">
          <cell r="A4181" t="str">
            <v>92913</v>
          </cell>
          <cell r="B4181" t="str">
            <v>LUVA DE REDUÇÃO, EM FERRO GALVANIZADO, 3" X 2 1/2", CONEXÃO ROSQUEADA, INSTALADO EM PRUMADAS - FORNECIMENTO E INSTALAÇÃO. AF_10/2020</v>
          </cell>
          <cell r="C4181" t="str">
            <v>UN</v>
          </cell>
          <cell r="D4181">
            <v>112.78</v>
          </cell>
        </row>
        <row r="4182">
          <cell r="A4182" t="str">
            <v>92914</v>
          </cell>
          <cell r="B4182" t="str">
            <v>LUVA DE REDUÇÃO, EM FERRO GALVANIZADO, 3" X 2", CONEXÃO ROSQUEADA, INSTALADO EM PRUMADAS - FORNECIMENTO E INSTALAÇÃO. AF_10/2020</v>
          </cell>
          <cell r="C4182" t="str">
            <v>UN</v>
          </cell>
          <cell r="D4182">
            <v>112.78</v>
          </cell>
        </row>
        <row r="4183">
          <cell r="A4183" t="str">
            <v>92918</v>
          </cell>
          <cell r="B4183" t="str">
            <v>LUVA DE REDUÇÃO, EM FERRO GALVANIZADO, 1" X 1/2", CONEXÃO ROSQUEADA, INSTALADO EM REDE DE ALIMENTAÇÃO PARA HIDRANTE - FORNECIMENTO E INSTALAÇÃO. AF_10/2020</v>
          </cell>
          <cell r="C4183" t="str">
            <v>UN</v>
          </cell>
          <cell r="D4183">
            <v>29.92</v>
          </cell>
        </row>
        <row r="4184">
          <cell r="A4184" t="str">
            <v>92920</v>
          </cell>
          <cell r="B4184" t="str">
            <v>LUVA DE REDUÇÃO, EM FERRO GALVANIZADO, 1" X 3/4", CONEXÃO ROSQUEADA, INSTALADO EM REDE DE ALIMENTAÇÃO PARA HIDRANTE - FORNECIMENTO E INSTALAÇÃO. AF_10/2020</v>
          </cell>
          <cell r="C4184" t="str">
            <v>UN</v>
          </cell>
          <cell r="D4184">
            <v>30.12</v>
          </cell>
        </row>
        <row r="4185">
          <cell r="A4185" t="str">
            <v>92925</v>
          </cell>
          <cell r="B4185" t="str">
            <v>LUVA DE REDUÇÃO, EM FERRO GALVANIZADO, 1 1/4" X 1", CONEXÃO ROSQUEADA, INSTALADO EM REDE DE ALIMENTAÇÃO PARA HIDRANTE - FORNECIMENTO E INSTALAÇÃO. AF_10/2020</v>
          </cell>
          <cell r="C4185" t="str">
            <v>UN</v>
          </cell>
          <cell r="D4185">
            <v>37.130000000000003</v>
          </cell>
        </row>
        <row r="4186">
          <cell r="A4186" t="str">
            <v>92926</v>
          </cell>
          <cell r="B4186" t="str">
            <v>LUVA DE REDUÇÃO, EM FERRO GALVANIZADO, 1 1/4" X 1/2", CONEXÃO ROSQUEADA, INSTALADO EM REDE DE ALIMENTAÇÃO PARA HIDRANTE - FORNECIMENTO E INSTALAÇÃO. AF_10/2020</v>
          </cell>
          <cell r="C4186" t="str">
            <v>UN</v>
          </cell>
          <cell r="D4186">
            <v>37.119999999999997</v>
          </cell>
        </row>
        <row r="4187">
          <cell r="A4187" t="str">
            <v>92927</v>
          </cell>
          <cell r="B4187" t="str">
            <v>LUVA DE REDUÇÃO, EM FERRO GALVANIZADO, 1 1/4" X 3/4", CONEXÃO ROSQUEADA, INSTALADO EM REDE DE ALIMENTAÇÃO PARA HIDRANTE - FORNECIMENTO E INSTALAÇÃO. AF_10/2020</v>
          </cell>
          <cell r="C4187" t="str">
            <v>UN</v>
          </cell>
          <cell r="D4187">
            <v>37.119999999999997</v>
          </cell>
        </row>
        <row r="4188">
          <cell r="A4188" t="str">
            <v>92928</v>
          </cell>
          <cell r="B4188" t="str">
            <v>LUVA DE REDUÇÃO, EM FERRO GALVANIZADO, 1 1/2" X 1 1/4", CONEXÃO ROSQUEADA, INSTALADO EM REDE DE ALIMENTAÇÃO PARA HIDRANTE - FORNECIMENTO E INSTALAÇÃO. AF_10/2020</v>
          </cell>
          <cell r="C4188" t="str">
            <v>UN</v>
          </cell>
          <cell r="D4188">
            <v>42.46</v>
          </cell>
        </row>
        <row r="4189">
          <cell r="A4189" t="str">
            <v>92929</v>
          </cell>
          <cell r="B4189" t="str">
            <v>LUVA DE REDUÇÃO, EM FERRO GALVANIZADO, 1 1/2" X 1", CONEXÃO ROSQUEADA, INSTALADO EM REDE DE ALIMENTAÇÃO PARA HIDRANTE - FORNECIMENTO E INSTALAÇÃO. AF_10/2020</v>
          </cell>
          <cell r="C4189" t="str">
            <v>UN</v>
          </cell>
          <cell r="D4189">
            <v>42.46</v>
          </cell>
        </row>
        <row r="4190">
          <cell r="A4190" t="str">
            <v>92930</v>
          </cell>
          <cell r="B4190" t="str">
            <v>LUVA DE REDUÇÃO, EM FERRO GALVANIZADO, 1 1/2" X 3/4", CONEXÃO ROSQUEADA, INSTALADO EM REDE DE ALIMENTAÇÃO PARA HIDRANTE - FORNECIMENTO E INSTALAÇÃO. AF_10/2020</v>
          </cell>
          <cell r="C4190" t="str">
            <v>UN</v>
          </cell>
          <cell r="D4190">
            <v>42.46</v>
          </cell>
        </row>
        <row r="4191">
          <cell r="A4191" t="str">
            <v>92931</v>
          </cell>
          <cell r="B4191" t="str">
            <v>LUVA DE REDUÇÃO, EM FERRO GALVANIZADO, 2" X 1 1/2", CONEXÃO ROSQUEADA, INSTALADO EM REDE DE ALIMENTAÇÃO PARA HIDRANTE - FORNECIMENTO E INSTALAÇÃO. AF_10/2020</v>
          </cell>
          <cell r="C4191" t="str">
            <v>UN</v>
          </cell>
          <cell r="D4191">
            <v>56.55</v>
          </cell>
        </row>
        <row r="4192">
          <cell r="A4192" t="str">
            <v>92932</v>
          </cell>
          <cell r="B4192" t="str">
            <v>LUVA DE REDUÇÃO, EM FERRO GALVANIZADO, 2" X 1 1/4", CONEXÃO ROSQUEADA, INSTALADO EM REDE DE ALIMENTAÇÃO PARA HIDRANTE - FORNECIMENTO E INSTALAÇÃO. AF_10/2020</v>
          </cell>
          <cell r="C4192" t="str">
            <v>UN</v>
          </cell>
          <cell r="D4192">
            <v>56.55</v>
          </cell>
        </row>
        <row r="4193">
          <cell r="A4193" t="str">
            <v>92933</v>
          </cell>
          <cell r="B4193" t="str">
            <v>LUVA DE REDUÇÃO, EM FERRO GALVANIZADO, 2" X 1", CONEXÃO ROSQUEADA, INSTALADO EM REDE DE ALIMENTAÇÃO PARA HIDRANTE - FORNECIMENTO E INSTALAÇÃO. AF_10/2020</v>
          </cell>
          <cell r="C4193" t="str">
            <v>UN</v>
          </cell>
          <cell r="D4193">
            <v>56.55</v>
          </cell>
        </row>
        <row r="4194">
          <cell r="A4194" t="str">
            <v>92934</v>
          </cell>
          <cell r="B4194" t="str">
            <v>LUVA DE REDUÇÃO, EM FERRO GALVANIZADO, 2 1/2" X 1 1/2", CONEXÃO ROSQUEADA, INSTALADO EM REDE DE ALIMENTAÇÃO PARA HIDRANTE - FORNECIMENTO E INSTALAÇÃO. AF_10/2020</v>
          </cell>
          <cell r="C4194" t="str">
            <v>UN</v>
          </cell>
          <cell r="D4194">
            <v>83.52</v>
          </cell>
        </row>
        <row r="4195">
          <cell r="A4195" t="str">
            <v>92935</v>
          </cell>
          <cell r="B4195" t="str">
            <v>LUVA DE REDUÇÃO, EM FERRO GALVANIZADO, 2 1/2" X 2", CONEXÃO ROSQUEADA, INSTALADO EM REDE DE ALIMENTAÇÃO PARA HIDRANTE - FORNECIMENTO E INSTALAÇÃO. AF_10/2020</v>
          </cell>
          <cell r="C4195" t="str">
            <v>UN</v>
          </cell>
          <cell r="D4195">
            <v>83.52</v>
          </cell>
        </row>
        <row r="4196">
          <cell r="A4196" t="str">
            <v>92936</v>
          </cell>
          <cell r="B4196" t="str">
            <v>LUVA DE REDUÇÃO, EM FERRO GALVANIZADO, 3" X 2 1/2", CONEXÃO ROSQUEADA, INSTALADO EM REDE DE ALIMENTAÇÃO PARA HIDRANTE - FORNECIMENTO E INSTALAÇÃO. AF_10/2020</v>
          </cell>
          <cell r="C4196" t="str">
            <v>UN</v>
          </cell>
          <cell r="D4196">
            <v>115.51</v>
          </cell>
        </row>
        <row r="4197">
          <cell r="A4197" t="str">
            <v>92937</v>
          </cell>
          <cell r="B4197" t="str">
            <v>LUVA DE REDUÇÃO, EM FERRO GALVANIZADO, 3" X 2", CONEXÃO ROSQUEADA, INSTALADO EM REDE DE ALIMENTAÇÃO PARA HIDRANTE - FORNECIMENTO E INSTALAÇÃO. AF_10/2020</v>
          </cell>
          <cell r="C4197" t="str">
            <v>UN</v>
          </cell>
          <cell r="D4197">
            <v>115.51</v>
          </cell>
        </row>
        <row r="4198">
          <cell r="A4198" t="str">
            <v>92938</v>
          </cell>
          <cell r="B4198" t="str">
            <v>LUVA DE REDUÇÃO, EM FERRO GALVANIZADO, 1" X 1/2", CONEXÃO ROSQUEADA, INSTALADO EM REDE DE ALIMENTAÇÃO PARA SPRINKLER - FORNECIMENTO E INSTALAÇÃO. AF_10/2020</v>
          </cell>
          <cell r="C4198" t="str">
            <v>UN</v>
          </cell>
          <cell r="D4198">
            <v>22.52</v>
          </cell>
        </row>
        <row r="4199">
          <cell r="A4199" t="str">
            <v>92939</v>
          </cell>
          <cell r="B4199" t="str">
            <v>LUVA DE REDUÇÃO, EM FERRO GALVANIZADO, 1" X 3/4", CONEXÃO ROSQUEADA, INSTALADO EM REDE DE ALIMENTAÇÃO PARA SPRINKLER - FORNECIMENTO E INSTALAÇÃO. AF_10/2020</v>
          </cell>
          <cell r="C4199" t="str">
            <v>UN</v>
          </cell>
          <cell r="D4199">
            <v>22.72</v>
          </cell>
        </row>
        <row r="4200">
          <cell r="A4200" t="str">
            <v>92940</v>
          </cell>
          <cell r="B4200" t="str">
            <v>LUVA DE REDUÇÃO, EM FERRO GALVANIZADO, 1 1/4" X 1", CONEXÃO ROSQUEADA, INSTALADO EM REDE DE ALIMENTAÇÃO PARA SPRINKLER - FORNECIMENTO E INSTALAÇÃO. AF_10/2020</v>
          </cell>
          <cell r="C4200" t="str">
            <v>UN</v>
          </cell>
          <cell r="D4200">
            <v>28.71</v>
          </cell>
        </row>
        <row r="4201">
          <cell r="A4201" t="str">
            <v>92941</v>
          </cell>
          <cell r="B4201" t="str">
            <v>LUVA DE REDUÇÃO, EM FERRO GALVANIZADO, 1 1/4" X 1/2", CONEXÃO ROSQUEADA, INSTALADO EM REDE DE ALIMENTAÇÃO PARA SPRINKLER - FORNECIMENTO E INSTALAÇÃO. AF_10/2020</v>
          </cell>
          <cell r="C4201" t="str">
            <v>UN</v>
          </cell>
          <cell r="D4201">
            <v>28.7</v>
          </cell>
        </row>
        <row r="4202">
          <cell r="A4202" t="str">
            <v>92942</v>
          </cell>
          <cell r="B4202" t="str">
            <v>LUVA DE REDUÇÃO, EM FERRO GALVANIZADO, 1 1/4" X 3/4", CONEXÃO ROSQUEADA, INSTALADO EM REDE DE ALIMENTAÇÃO PARA SPRINKLER - FORNECIMENTO E INSTALAÇÃO. AF_10/2020</v>
          </cell>
          <cell r="C4202" t="str">
            <v>UN</v>
          </cell>
          <cell r="D4202">
            <v>28.7</v>
          </cell>
        </row>
        <row r="4203">
          <cell r="A4203" t="str">
            <v>92943</v>
          </cell>
          <cell r="B4203" t="str">
            <v>LUVA DE REDUÇÃO, EM FERRO GALVANIZADO, 1 1/2" X 1 1/4", CONEXÃO ROSQUEADA, INSTALADO EM REDE DE ALIMENTAÇÃO PARA SPRINKLER - FORNECIMENTO E INSTALAÇÃO. AF_10/2020</v>
          </cell>
          <cell r="C4203" t="str">
            <v>UN</v>
          </cell>
          <cell r="D4203">
            <v>32.880000000000003</v>
          </cell>
        </row>
        <row r="4204">
          <cell r="A4204" t="str">
            <v>92944</v>
          </cell>
          <cell r="B4204" t="str">
            <v>LUVA DE REDUÇÃO, EM FERRO GALVANIZADO, 1 1/2" X 1", CONEXÃO ROSQUEADA, INSTALADO EM REDE DE ALIMENTAÇÃO PARA SPRINKLER - FORNECIMENTO E INSTALAÇÃO. AF_10/2020</v>
          </cell>
          <cell r="C4204" t="str">
            <v>UN</v>
          </cell>
          <cell r="D4204">
            <v>32.880000000000003</v>
          </cell>
        </row>
        <row r="4205">
          <cell r="A4205" t="str">
            <v>92945</v>
          </cell>
          <cell r="B4205" t="str">
            <v>LUVA DE REDUÇÃO, EM FERRO GALVANIZADO, 1 1/2" X 3/4", CONEXÃO ROSQUEADA, INSTALADO EM REDE DE ALIMENTAÇÃO PARA SPRINKLER - FORNECIMENTO E INSTALAÇÃO. AF_10/2020</v>
          </cell>
          <cell r="C4205" t="str">
            <v>UN</v>
          </cell>
          <cell r="D4205">
            <v>32.880000000000003</v>
          </cell>
        </row>
        <row r="4206">
          <cell r="A4206" t="str">
            <v>92946</v>
          </cell>
          <cell r="B4206" t="str">
            <v>LUVA DE REDUÇÃO, EM FERRO GALVANIZADO, 2" X 1 1/2", CONEXÃO ROSQUEADA, INSTALADO EM REDE DE ALIMENTAÇÃO PARA SPRINKLER - FORNECIMENTO E INSTALAÇÃO. AF_10/2020</v>
          </cell>
          <cell r="C4206" t="str">
            <v>UN</v>
          </cell>
          <cell r="D4206">
            <v>45.52</v>
          </cell>
        </row>
        <row r="4207">
          <cell r="A4207" t="str">
            <v>92947</v>
          </cell>
          <cell r="B4207" t="str">
            <v>LUVA DE REDUÇÃO, EM FERRO GALVANIZADO, 2" X 1 1/4", CONEXÃO ROSQUEADA, INSTALADO EM REDE DE ALIMENTAÇÃO PARA SPRINKLER - FORNECIMENTO E INSTALAÇÃO. AF_10/2020</v>
          </cell>
          <cell r="C4207" t="str">
            <v>UN</v>
          </cell>
          <cell r="D4207">
            <v>45.52</v>
          </cell>
        </row>
        <row r="4208">
          <cell r="A4208" t="str">
            <v>92948</v>
          </cell>
          <cell r="B4208" t="str">
            <v>LUVA DE REDUÇÃO, EM FERRO GALVANIZADO, 2" X 1", CONEXÃO ROSQUEADA, INSTALADO EM REDE DE ALIMENTAÇÃO PARA SPRINKLER - FORNECIMENTO E INSTALAÇÃO. AF_10/2020</v>
          </cell>
          <cell r="C4208" t="str">
            <v>UN</v>
          </cell>
          <cell r="D4208">
            <v>45.52</v>
          </cell>
        </row>
        <row r="4209">
          <cell r="A4209" t="str">
            <v>92949</v>
          </cell>
          <cell r="B4209" t="str">
            <v>LUVA DE REDUÇÃO, EM FERRO GALVANIZADO, 2 1/2" X 1 1/2", CONEXÃO ROSQUEADA, INSTALADO EM REDE DE ALIMENTAÇÃO PARA SPRINKLER - FORNECIMENTO E INSTALAÇÃO. AF_10/2020</v>
          </cell>
          <cell r="C4209" t="str">
            <v>UN</v>
          </cell>
          <cell r="D4209">
            <v>70.3</v>
          </cell>
        </row>
        <row r="4210">
          <cell r="A4210" t="str">
            <v>92950</v>
          </cell>
          <cell r="B4210" t="str">
            <v>LUVA DE REDUÇÃO, EM FERRO GALVANIZADO, 2 1/2" X 2", CONEXÃO ROSQUEADA, INSTALADO EM REDE DE ALIMENTAÇÃO PARA SPRINKLER - FORNECIMENTO E INSTALAÇÃO. AF_10/2020</v>
          </cell>
          <cell r="C4210" t="str">
            <v>UN</v>
          </cell>
          <cell r="D4210">
            <v>70.3</v>
          </cell>
        </row>
        <row r="4211">
          <cell r="A4211" t="str">
            <v>92951</v>
          </cell>
          <cell r="B4211" t="str">
            <v>LUVA DE REDUÇÃO, EM FERRO GALVANIZADO, 3" X 2 1/2", CONEXÃO ROSQUEADA, INSTALADO EM REDE DE ALIMENTAÇÃO PARA SPRINKLER - FORNECIMENTO E INSTALAÇÃO. AF_10/2020</v>
          </cell>
          <cell r="C4211" t="str">
            <v>UN</v>
          </cell>
          <cell r="D4211">
            <v>100.13</v>
          </cell>
        </row>
        <row r="4212">
          <cell r="A4212" t="str">
            <v>92952</v>
          </cell>
          <cell r="B4212" t="str">
            <v>LUVA DE REDUÇÃO, EM FERRO GALVANIZADO, 3" X 2", CONEXÃO ROSQUEADA, INSTALADO EM REDE DE ALIMENTAÇÃO PARA SPRINKLER - FORNECIMENTO E INSTALAÇÃO. AF_10/2020</v>
          </cell>
          <cell r="C4212" t="str">
            <v>UN</v>
          </cell>
          <cell r="D4212">
            <v>100.13</v>
          </cell>
        </row>
        <row r="4213">
          <cell r="A4213" t="str">
            <v>92953</v>
          </cell>
          <cell r="B4213" t="str">
            <v>LUVA DE REDUÇÃO, EM FERRO GALVANIZADO, 3/4" X 1/2", CONEXÃO ROSQUEADA, INSTALADO EM RAMAIS E SUB-RAMAIS DE GÁS - FORNECIMENTO E INSTALAÇÃO. AF_10/2020</v>
          </cell>
          <cell r="C4213" t="str">
            <v>UN</v>
          </cell>
          <cell r="D4213">
            <v>19.43</v>
          </cell>
        </row>
        <row r="4214">
          <cell r="A4214" t="str">
            <v>93050</v>
          </cell>
          <cell r="B4214" t="str">
            <v>LUVA PASSANTE EM COBRE, DN 22 MM, SEM ANEL DE SOLDA, INSTALADO EM PRUMADA  FORNECIMENTO E INSTALAÇÃO. AF_01/2016</v>
          </cell>
          <cell r="C4214" t="str">
            <v>UN</v>
          </cell>
          <cell r="D4214">
            <v>12.42</v>
          </cell>
        </row>
        <row r="4215">
          <cell r="A4215" t="str">
            <v>93051</v>
          </cell>
          <cell r="B4215" t="str">
            <v>BUCHA DE REDUÇÃO EM COBRE, DN 22 MM X 15 MM, SEM ANEL DE SOLDA, BOLSA X BOLSA, INSTALADO EM PRUMADA  FORNECIMENTO E INSTALAÇÃO. AF_01/2016</v>
          </cell>
          <cell r="C4215" t="str">
            <v>UN</v>
          </cell>
          <cell r="D4215">
            <v>11.38</v>
          </cell>
        </row>
        <row r="4216">
          <cell r="A4216" t="str">
            <v>93052</v>
          </cell>
          <cell r="B4216" t="str">
            <v>JUNTA DE EXPANSÃO EM COBRE, DN 22 MM, PONTA X PONTA, INSTALADO EM PRUMADA  FORNECIMENTO E INSTALAÇÃO. AF_01/2016</v>
          </cell>
          <cell r="C4216" t="str">
            <v>UN</v>
          </cell>
          <cell r="D4216">
            <v>597.91999999999996</v>
          </cell>
        </row>
        <row r="4217">
          <cell r="A4217" t="str">
            <v>93054</v>
          </cell>
          <cell r="B4217" t="str">
            <v>CONECTOR EM BRONZE/LATÃO, DN 22 MM X 3/4", SEM ANEL DE SOLDA, BOLSA X ROSCA F, INSTALADO EM PRUMADA  FORNECIMENTO E INSTALAÇÃO. AF_01/2016</v>
          </cell>
          <cell r="C4217" t="str">
            <v>UN</v>
          </cell>
          <cell r="D4217">
            <v>24.63</v>
          </cell>
        </row>
        <row r="4218">
          <cell r="A4218" t="str">
            <v>93055</v>
          </cell>
          <cell r="B4218" t="str">
            <v>CURVA DE TRANSPOSIÇÃO EM BRONZE/LATÃO, DN 22 MM, SEM ANEL DE SOLDA, BOLSA X BOLSA, INSTALADO EM PRUMADA  FORNECIMENTO E INSTALAÇÃO. AF_01/2016</v>
          </cell>
          <cell r="C4218" t="str">
            <v>UN</v>
          </cell>
          <cell r="D4218">
            <v>51.2</v>
          </cell>
        </row>
        <row r="4219">
          <cell r="A4219" t="str">
            <v>93056</v>
          </cell>
          <cell r="B4219" t="str">
            <v>LUVA PASSANTE EM COBRE, DN 28 MM, SEM ANEL DE SOLDA, INSTALADO EM PRUMADA  FORNECIMENTO E INSTALAÇÃO. AF_01/2016</v>
          </cell>
          <cell r="C4219" t="str">
            <v>UN</v>
          </cell>
          <cell r="D4219">
            <v>18.41</v>
          </cell>
        </row>
        <row r="4220">
          <cell r="A4220" t="str">
            <v>93057</v>
          </cell>
          <cell r="B4220" t="str">
            <v>BUCHA DE REDUÇÃO EM COBRE, DN 28 MM X 22 MM, SEM ANEL DE SOLDA, PONTA X BOLSA, INSTALADO EM PRUMADA  FORNECIMENTO E INSTALAÇÃO. AF_01/2016</v>
          </cell>
          <cell r="C4220" t="str">
            <v>UN</v>
          </cell>
          <cell r="D4220">
            <v>15.93</v>
          </cell>
        </row>
        <row r="4221">
          <cell r="A4221" t="str">
            <v>93058</v>
          </cell>
          <cell r="B4221" t="str">
            <v>JUNTA DE EXPANSÃO EM COBRE, DN 28 MM, PONTA X PONTA, INSTALADO EM PRUMADA  FORNECIMENTO E INSTALAÇÃO. AF_01/2016</v>
          </cell>
          <cell r="C4221" t="str">
            <v>UN</v>
          </cell>
          <cell r="D4221">
            <v>657.41</v>
          </cell>
        </row>
        <row r="4222">
          <cell r="A4222" t="str">
            <v>93059</v>
          </cell>
          <cell r="B4222" t="str">
            <v>CONECTOR EM BRONZE/LATÃO, DN 28 MM X 1/2", SEM ANEL DE SOLDA, BOLSA X ROSCA F, INSTALADO EM PRUMADA  FORNECIMENTO E INSTALAÇÃO. AF_01/2016</v>
          </cell>
          <cell r="C4222" t="str">
            <v>UN</v>
          </cell>
          <cell r="D4222">
            <v>33.979999999999997</v>
          </cell>
        </row>
        <row r="4223">
          <cell r="A4223" t="str">
            <v>93060</v>
          </cell>
          <cell r="B4223" t="str">
            <v>CURVA DE TRANSPOSIÇÃO EM BRONZE/LATÃO, DN 28 MM, SEM ANEL DE SOLDA, BOLSA X BOLSA, INSTALADO EM PRUMADA  FORNECIMENTO E INSTALAÇÃO. AF_01/2016</v>
          </cell>
          <cell r="C4223" t="str">
            <v>UN</v>
          </cell>
          <cell r="D4223">
            <v>89.71</v>
          </cell>
        </row>
        <row r="4224">
          <cell r="A4224" t="str">
            <v>93061</v>
          </cell>
          <cell r="B4224" t="str">
            <v>LUVA PASSANTE EM COBRE, DN 35 MM, SEM ANEL DE SOLDA, INSTALADO EM PRUMADA  FORNECIMENTO E INSTALAÇÃO. AF_01/2016</v>
          </cell>
          <cell r="C4224" t="str">
            <v>UN</v>
          </cell>
          <cell r="D4224">
            <v>35.270000000000003</v>
          </cell>
        </row>
        <row r="4225">
          <cell r="A4225" t="str">
            <v>93062</v>
          </cell>
          <cell r="B4225" t="str">
            <v>BUCHA DE REDUÇÃO EM COBRE, DN 35 MM X 28 MM, SEM ANEL DE SOLDA, PONTA X BOLSA, INSTALADO EM PRUMADA  FORNECIMENTO E INSTALAÇÃO. AF_01/2016</v>
          </cell>
          <cell r="C4225" t="str">
            <v>UN</v>
          </cell>
          <cell r="D4225">
            <v>30.45</v>
          </cell>
        </row>
        <row r="4226">
          <cell r="A4226" t="str">
            <v>93063</v>
          </cell>
          <cell r="B4226" t="str">
            <v>JUNTA DE EXPANSÃO EM BRONZE/LATÃO, DN 35 MM, PONTA X PONTA, INSTALADO EM PRUMADA  FORNECIMENTO E INSTALAÇÃO. AF_01/2016</v>
          </cell>
          <cell r="C4226" t="str">
            <v>UN</v>
          </cell>
          <cell r="D4226">
            <v>752.97</v>
          </cell>
        </row>
        <row r="4227">
          <cell r="A4227" t="str">
            <v>93064</v>
          </cell>
          <cell r="B4227" t="str">
            <v>LUVA PASSANTE EM COBRE, DN 42 MM, SEM ANEL DE SOLDA, INSTALADO EM PRUMADA  FORNECIMENTO E INSTALAÇÃO. AF_01/2016</v>
          </cell>
          <cell r="C4227" t="str">
            <v>UN</v>
          </cell>
          <cell r="D4227">
            <v>54.94</v>
          </cell>
        </row>
        <row r="4228">
          <cell r="A4228" t="str">
            <v>93065</v>
          </cell>
          <cell r="B4228" t="str">
            <v>BUCHA DE REDUÇÃO EM COBRE, DN 42 MM X 35 MM, SEM ANEL DE SOLDA, PONTA X BOLSA, INSTALADO EM PRUMADA  FORNECIMENTO E INSTALAÇÃO. AF_01/2016</v>
          </cell>
          <cell r="C4228" t="str">
            <v>UN</v>
          </cell>
          <cell r="D4228">
            <v>51.38</v>
          </cell>
        </row>
        <row r="4229">
          <cell r="A4229" t="str">
            <v>93066</v>
          </cell>
          <cell r="B4229" t="str">
            <v>JUNTA DE EXPANSÃO EM BRONZE/LATÃO, DN 42 MM, PONTA X PONTA, INSTALADO EM PRUMADA  FORNECIMENTO E INSTALAÇÃO. AF_01/2016</v>
          </cell>
          <cell r="C4229" t="str">
            <v>UN</v>
          </cell>
          <cell r="D4229">
            <v>945.32</v>
          </cell>
        </row>
        <row r="4230">
          <cell r="A4230" t="str">
            <v>93067</v>
          </cell>
          <cell r="B4230" t="str">
            <v>LUVA PASSANTE EM COBRE, DN 54 MM, SEM ANEL DE SOLDA, INSTALADO EM PRUMADA  FORNECIMENTO E INSTALAÇÃO. AF_01/2016</v>
          </cell>
          <cell r="C4230" t="str">
            <v>UN</v>
          </cell>
          <cell r="D4230">
            <v>81.819999999999993</v>
          </cell>
        </row>
        <row r="4231">
          <cell r="A4231" t="str">
            <v>93068</v>
          </cell>
          <cell r="B4231" t="str">
            <v>BUCHA DE REDUÇÃO EM COBRE, DN 54 MM X 42 MM, SEM ANEL DE SOLDA, PONTA X BOLSA, INSTALADO EM PRUMADA  FORNECIMENTO E INSTALAÇÃO. AF_01/2016</v>
          </cell>
          <cell r="C4231" t="str">
            <v>UN</v>
          </cell>
          <cell r="D4231">
            <v>71.38</v>
          </cell>
        </row>
        <row r="4232">
          <cell r="A4232" t="str">
            <v>93069</v>
          </cell>
          <cell r="B4232" t="str">
            <v>JUNTA DE EXPANSÃO EM BRONZE/LATÃO, DN 54 MM, PONTA X PONTA, INSTALADO EM PRUMADA  FORNECIMENTO E INSTALAÇÃO. AF_01/2016</v>
          </cell>
          <cell r="C4232" t="str">
            <v>UN</v>
          </cell>
          <cell r="D4232">
            <v>1310.32</v>
          </cell>
        </row>
        <row r="4233">
          <cell r="A4233" t="str">
            <v>93070</v>
          </cell>
          <cell r="B4233" t="str">
            <v>LUVA PASSANTE EM COBRE, DN 66 MM, SEM ANEL DE SOLDA, INSTALADO EM PRUMADA  FORNECIMENTO E INSTALAÇÃO. AF_01/2016</v>
          </cell>
          <cell r="C4233" t="str">
            <v>UN</v>
          </cell>
          <cell r="D4233">
            <v>208.9</v>
          </cell>
        </row>
        <row r="4234">
          <cell r="A4234" t="str">
            <v>93071</v>
          </cell>
          <cell r="B4234" t="str">
            <v>BUCHA DE REDUÇÃO EM COBRE, DN 66 MM X 54 MM, SEM ANEL DE SOLDA, PONTA X BOLSA, INSTALADO EM PRUMADA  FORNECIMENTO E INSTALAÇÃO. AF_01/2016</v>
          </cell>
          <cell r="C4234" t="str">
            <v>UN</v>
          </cell>
          <cell r="D4234">
            <v>193.83</v>
          </cell>
        </row>
        <row r="4235">
          <cell r="A4235" t="str">
            <v>93072</v>
          </cell>
          <cell r="B4235" t="str">
            <v>JUNTA DE EXPANSÃO EM BRONZE/LATÃO, DN 66 MM, PONTA X PONTA, INSTALADO EM PRUMADA  FORNECIMENTO E INSTALAÇÃO. AF_01/2016</v>
          </cell>
          <cell r="C4235" t="str">
            <v>UN</v>
          </cell>
          <cell r="D4235">
            <v>1729.08</v>
          </cell>
        </row>
        <row r="4236">
          <cell r="A4236" t="str">
            <v>93073</v>
          </cell>
          <cell r="B4236" t="str">
            <v>TE DUPLA CURVA EM BRONZE/LATÃO, DN 3/4" X 22 MM X 3/4", SEM ANEL DE SOLDA, ROSCA F X BOLSA X ROSCA F, INSTALADO EM PRUMADA  FORNECIMENTO E INSTALAÇÃO. AF_01/2016</v>
          </cell>
          <cell r="C4236" t="str">
            <v>UN</v>
          </cell>
          <cell r="D4236">
            <v>93.46</v>
          </cell>
        </row>
        <row r="4237">
          <cell r="A4237" t="str">
            <v>93074</v>
          </cell>
          <cell r="B4237" t="str">
            <v>CURVA EM COBRE, DN 15 MM, 45 GRAUS, SEM ANEL DE SOLDA, BOLSA X BOLSA, INSTALADO EM RAMAL DE DISTRIBUIÇÃO  FORNECIMENTO E INSTALAÇÃO. AF_01/2016</v>
          </cell>
          <cell r="C4237" t="str">
            <v>UN</v>
          </cell>
          <cell r="D4237">
            <v>12.49</v>
          </cell>
        </row>
        <row r="4238">
          <cell r="A4238" t="str">
            <v>93075</v>
          </cell>
          <cell r="B4238" t="str">
            <v>COTOVELO EM BRONZE/LATÃO, DN 15 MM X 1/2", 90 GRAUS, SEM ANEL DE SOLDA, BOLSA X ROSCA F, INSTALADO EM RAMAL DE DISTRIBUIÇÃO  FORNECIMENTO E INSTALAÇÃO. AF_01/2016</v>
          </cell>
          <cell r="C4238" t="str">
            <v>UN</v>
          </cell>
          <cell r="D4238">
            <v>22.44</v>
          </cell>
        </row>
        <row r="4239">
          <cell r="A4239" t="str">
            <v>93076</v>
          </cell>
          <cell r="B4239" t="str">
            <v>CURVA EM COBRE, DN 22 MM, 45 GRAUS, SEM ANEL DE SOLDA, BOLSA X BOLSA, INSTALADO EM RAMAL DE DISTRIBUIÇÃO  FORNECIMENTO E INSTALAÇÃO. AF_01/2016</v>
          </cell>
          <cell r="C4239" t="str">
            <v>UN</v>
          </cell>
          <cell r="D4239">
            <v>21.31</v>
          </cell>
        </row>
        <row r="4240">
          <cell r="A4240" t="str">
            <v>93077</v>
          </cell>
          <cell r="B4240" t="str">
            <v>COTOVELO EM BRONZE/LATÃO, DN 22 MM X 1/2", 90 GRAUS, SEM ANEL DE SOLDA, BOLSA X ROSCA F, INSTALADO EM RAMAL DE DISTRIBUIÇÃO  FORNECIMENTO E INSTALAÇÃO. AF_01/2016</v>
          </cell>
          <cell r="C4240" t="str">
            <v>UN</v>
          </cell>
          <cell r="D4240">
            <v>32.47</v>
          </cell>
        </row>
        <row r="4241">
          <cell r="A4241" t="str">
            <v>93078</v>
          </cell>
          <cell r="B4241" t="str">
            <v>COTOVELO EM BRONZE/LATÃO, DN 22 MM X 3/4", 90 GRAUS, SEM ANEL DE SOLDA, BOLSA X ROSCA F, INSTALADO EM RAMAL DE DISTRIBUIÇÃO  FORNECIMENTO E INSTALAÇÃO. AF_01/2016</v>
          </cell>
          <cell r="C4241" t="str">
            <v>UN</v>
          </cell>
          <cell r="D4241">
            <v>35.409999999999997</v>
          </cell>
        </row>
        <row r="4242">
          <cell r="A4242" t="str">
            <v>93079</v>
          </cell>
          <cell r="B4242" t="str">
            <v>CURVA EM COBRE, DN 28 MM, 45 GRAUS, SEM ANEL DE SOLDA, BOLSA X BOLSA, INSTALADO EM RAMAL DE DISTRIBUIÇÃO  FORNECIMENTO E INSTALAÇÃO. AF_01/2016</v>
          </cell>
          <cell r="C4242" t="str">
            <v>UN</v>
          </cell>
          <cell r="D4242">
            <v>30.58</v>
          </cell>
        </row>
        <row r="4243">
          <cell r="A4243" t="str">
            <v>93080</v>
          </cell>
          <cell r="B4243" t="str">
            <v>LUVA PASSANTE EM COBRE, DN 15 MM, SEM ANEL DE SOLDA, INSTALADO EM RAMAL DE DISTRIBUIÇÃO  FORNECIMENTO E INSTALAÇÃO. AF_01/2016</v>
          </cell>
          <cell r="C4243" t="str">
            <v>UN</v>
          </cell>
          <cell r="D4243">
            <v>8.1300000000000008</v>
          </cell>
        </row>
        <row r="4244">
          <cell r="A4244" t="str">
            <v>93081</v>
          </cell>
          <cell r="B4244" t="str">
            <v>CONECTOR EM BRONZE/LATÃO, DN 15 MM X 1/2", SEM ANEL DE SOLDA, BOLSA X ROSCA F, INSTALADO EM RAMAL DE DISTRIBUIÇÃO  FORNECIMENTO E INSTALAÇÃO. AF_01/2016</v>
          </cell>
          <cell r="C4244" t="str">
            <v>UN</v>
          </cell>
          <cell r="D4244">
            <v>20.75</v>
          </cell>
        </row>
        <row r="4245">
          <cell r="A4245" t="str">
            <v>93082</v>
          </cell>
          <cell r="B4245" t="str">
            <v>CURVA DE TRANSPOSIÇÃO EM BRONZE/LATÃO, DN 15 MM, SEM ANEL DE SOLDA, BOLSA X BOLSA, INSTALADO EM RAMAL DE DISTRIBUIÇÃO  FORNECIMENTO E INSTALAÇÃO. AF_01/2016</v>
          </cell>
          <cell r="C4245" t="str">
            <v>UN</v>
          </cell>
          <cell r="D4245">
            <v>25.78</v>
          </cell>
        </row>
        <row r="4246">
          <cell r="A4246" t="str">
            <v>93083</v>
          </cell>
          <cell r="B4246" t="str">
            <v>JUNTA DE EXPANSÃO EM COBRE, DN 15 MM, PONTA X PONTA, INSTALADO EM RAMAL DE DISTRIBUIÇÃO  FORNECIMENTO E INSTALAÇÃO. AF_01/2016</v>
          </cell>
          <cell r="C4246" t="str">
            <v>UN</v>
          </cell>
          <cell r="D4246">
            <v>516.34</v>
          </cell>
        </row>
        <row r="4247">
          <cell r="A4247" t="str">
            <v>93084</v>
          </cell>
          <cell r="B4247" t="str">
            <v>LUVA PASSANTE EM COBRE, DN 22 MM, SEM ANEL DE SOLDA, INSTALADO EM RAMAL DE DISTRIBUIÇÃO  FORNECIMENTO E INSTALAÇÃO. AF_01/2016</v>
          </cell>
          <cell r="C4247" t="str">
            <v>UN</v>
          </cell>
          <cell r="D4247">
            <v>14.08</v>
          </cell>
        </row>
        <row r="4248">
          <cell r="A4248" t="str">
            <v>93085</v>
          </cell>
          <cell r="B4248" t="str">
            <v>BUCHA DE REDUÇÃO EM COBRE, DN 22 MM X 15 MM, SEM ANEL DE SOLDA, PONTA X BOLSA, INSTALADO EM RAMAL DE DISTRIBUIÇÃO  FORNECIMENTO E INSTALAÇÃO. AF_01/2016</v>
          </cell>
          <cell r="C4248" t="str">
            <v>UN</v>
          </cell>
          <cell r="D4248">
            <v>13.04</v>
          </cell>
        </row>
        <row r="4249">
          <cell r="A4249" t="str">
            <v>93086</v>
          </cell>
          <cell r="B4249" t="str">
            <v>JUNTA DE EXPANSÃO EM COBRE, DN 22 MM, PONTA X PONTA, INSTALADO EM RAMAL DE DISTRIBUIÇÃO  FORNECIMENTO E INSTALAÇÃO. AF_01/2016</v>
          </cell>
          <cell r="C4249" t="str">
            <v>UN</v>
          </cell>
          <cell r="D4249">
            <v>599.58000000000004</v>
          </cell>
        </row>
        <row r="4250">
          <cell r="A4250" t="str">
            <v>93087</v>
          </cell>
          <cell r="B4250" t="str">
            <v>CONECTOR EM BRONZE/LATÃO, DN 22 MM X 1/2", SEM ANEL DE SOLDA, BOLSA X ROSCA F, INSTALADO EM RAMAL DE DISTRIBUIÇÃO  FORNECIMENTO E INSTALAÇÃO. AF_01/2016</v>
          </cell>
          <cell r="C4250" t="str">
            <v>UN</v>
          </cell>
          <cell r="D4250">
            <v>22.39</v>
          </cell>
        </row>
        <row r="4251">
          <cell r="A4251" t="str">
            <v>93088</v>
          </cell>
          <cell r="B4251" t="str">
            <v>CONECTOR EM BRONZE/LATÃO, DN 22 MM X 3/4", SEM ANEL DE SOLDA, BOLSA X ROSCA F, INSTALADO EM RAMAL DE DISTRIBUIÇÃO  FORNECIMENTO E INSTALAÇÃO. AF_01/2016</v>
          </cell>
          <cell r="C4251" t="str">
            <v>UN</v>
          </cell>
          <cell r="D4251">
            <v>26.46</v>
          </cell>
        </row>
        <row r="4252">
          <cell r="A4252" t="str">
            <v>93089</v>
          </cell>
          <cell r="B4252" t="str">
            <v>CURVA DE TRANSPOSIÇÃO EM BRONZE/LATÃO, DN 22 MM, SEM ANEL DE SOLDA, BOLSA X BOLSA, INSTALADO EM RAMAL DE DISTRIBUIÇÃO  FORNECIMENTO E INSTALAÇÃO. AF_01/2016</v>
          </cell>
          <cell r="C4252" t="str">
            <v>UN</v>
          </cell>
          <cell r="D4252">
            <v>52.86</v>
          </cell>
        </row>
        <row r="4253">
          <cell r="A4253" t="str">
            <v>93090</v>
          </cell>
          <cell r="B4253" t="str">
            <v>LUVA PASSANTE EM COBRE, DN 28 MM, SEM ANEL DE SOLDA, INSTALADO EM RAMAL DE DISTRIBUIÇÃO  FORNECIMENTO E INSTALAÇÃO. AF_01/2016</v>
          </cell>
          <cell r="C4253" t="str">
            <v>UN</v>
          </cell>
          <cell r="D4253">
            <v>20.059999999999999</v>
          </cell>
        </row>
        <row r="4254">
          <cell r="A4254" t="str">
            <v>93091</v>
          </cell>
          <cell r="B4254" t="str">
            <v>BUCHA DE REDUÇÃO EM COBRE, DN 28 MM X 22 MM, SEM ANEL DE SOLDA, INSTALADO EM RAMAL DE DISTRIBUIÇÃO  FORNECIMENTO E INSTALAÇÃO. AF_01/2016</v>
          </cell>
          <cell r="C4254" t="str">
            <v>UN</v>
          </cell>
          <cell r="D4254">
            <v>17.579999999999998</v>
          </cell>
        </row>
        <row r="4255">
          <cell r="A4255" t="str">
            <v>93092</v>
          </cell>
          <cell r="B4255" t="str">
            <v>JUNTA DE EXPANSÃO EM COBRE, DN 28 MM, PONTA X PONTA, INSTALADO EM RAMAL DE DISTRIBUIÇÃO  FORNECIMENTO E INSTALAÇÃO. AF_01/2016</v>
          </cell>
          <cell r="C4255" t="str">
            <v>UN</v>
          </cell>
          <cell r="D4255">
            <v>659.06</v>
          </cell>
        </row>
        <row r="4256">
          <cell r="A4256" t="str">
            <v>93093</v>
          </cell>
          <cell r="B4256" t="str">
            <v>CONECTOR EM BRONZE/LATÃO, DN 28 MM X 1/2", SEM ANEL DE SOLDA, BOLSA X ROSCA F, INSTALADO EM RAMAL DE DISTRIBUIÇÃO  FORNECIMENTO E INSTALAÇÃO. AF_01/2016</v>
          </cell>
          <cell r="C4256" t="str">
            <v>UN</v>
          </cell>
          <cell r="D4256">
            <v>35.630000000000003</v>
          </cell>
        </row>
        <row r="4257">
          <cell r="A4257" t="str">
            <v>93094</v>
          </cell>
          <cell r="B4257" t="str">
            <v>CURVA DE TRANSPOSIÇÃO EM BRONZE/LATÃO, DN 28 MM, SEM ANEL DE SOLDA, BOLSA X BOLSA, INSTALADO EM RAMAL DE DISTRIBUIÇÃO  FORNECIMENTO E INSTALAÇÃO. AF_01/2016</v>
          </cell>
          <cell r="C4257" t="str">
            <v>UN</v>
          </cell>
          <cell r="D4257">
            <v>91.36</v>
          </cell>
        </row>
        <row r="4258">
          <cell r="A4258" t="str">
            <v>93095</v>
          </cell>
          <cell r="B4258" t="str">
            <v>TE DUPLA CURVA EM BRONZE/LATÃO, DN 1/2" X 15 MM X 1/2", SEM ANEL DE SOLDA, ROSCA F X BOLSA X ROSCA F, INSTALADO EM RAMAL DE DISTRIBUIÇÃO  FORNECIMENTO E INSTALAÇÃO. AF_01/2016</v>
          </cell>
          <cell r="C4258" t="str">
            <v>UN</v>
          </cell>
          <cell r="D4258">
            <v>67.27</v>
          </cell>
        </row>
        <row r="4259">
          <cell r="A4259" t="str">
            <v>93096</v>
          </cell>
          <cell r="B4259" t="str">
            <v>TE DUPLA CURVA EM BRONZE/LATÃO, DN 3/4" X 22 MM X 3/4", SEM ANEL DE SOLDA, ROSCA F X BOLSA X ROSCA F, INSTALADO EM RAMAL DE DISTRIBUIÇÃO  FORNECIMENTO E INSTALAÇÃO. AF_01/2016</v>
          </cell>
          <cell r="C4259" t="str">
            <v>UN</v>
          </cell>
          <cell r="D4259">
            <v>96.73</v>
          </cell>
        </row>
        <row r="4260">
          <cell r="A4260" t="str">
            <v>93097</v>
          </cell>
          <cell r="B4260" t="str">
            <v>CURVA EM COBRE, DN 15 MM, 45 GRAUS, SEM ANEL DE SOLDA, BOLSA X BOLSA, INSTALADO EM RAMAL E SUB-RAMAL  FORNECIMENTO E INSTALAÇÃO. AF_01/2016</v>
          </cell>
          <cell r="C4260" t="str">
            <v>UN</v>
          </cell>
          <cell r="D4260">
            <v>12.69</v>
          </cell>
        </row>
        <row r="4261">
          <cell r="A4261" t="str">
            <v>93098</v>
          </cell>
          <cell r="B4261" t="str">
            <v>COTOVELO EM BRONZE/LATÃO, DN 15 MM X 1/2", 90 GRAUS, SEM ANEL DE SOLDA, BOLSA X ROSCA F, INSTALADO EM RAMAL E SUB-RAMAL  FORNECIMENTO E INSTALAÇÃO. AF_01/2016</v>
          </cell>
          <cell r="C4261" t="str">
            <v>UN</v>
          </cell>
          <cell r="D4261">
            <v>22.64</v>
          </cell>
        </row>
        <row r="4262">
          <cell r="A4262" t="str">
            <v>93099</v>
          </cell>
          <cell r="B4262" t="str">
            <v>CURVA EM COBRE, DN 22 MM, 45 GRAUS, SEM ANEL DE SOLDA, BOLSA X BOLSA, INSTALADO EM RAMAL E SUB-RAMAL  FORNECIMENTO E INSTALAÇÃO. AF_01/2016</v>
          </cell>
          <cell r="C4262" t="str">
            <v>UN</v>
          </cell>
          <cell r="D4262">
            <v>23.58</v>
          </cell>
        </row>
        <row r="4263">
          <cell r="A4263" t="str">
            <v>93100</v>
          </cell>
          <cell r="B4263" t="str">
            <v>COTOVELO EM BRONZE/LATÃO, DN 22 MM X 1/2", 90 GRAUS, SEM ANEL DE SOLDA, BOLSA X ROSCA F, INSTALADO EM RAMAL E SUB-RAMAL  FORNECIMENTO E INSTALAÇÃO. AF_01/2016</v>
          </cell>
          <cell r="C4263" t="str">
            <v>UN</v>
          </cell>
          <cell r="D4263">
            <v>34.74</v>
          </cell>
        </row>
        <row r="4264">
          <cell r="A4264" t="str">
            <v>93101</v>
          </cell>
          <cell r="B4264" t="str">
            <v>COTOVELO EM BRONZE/LATÃO, DN 22 MM X 3/4", 90 GRAUS, SEM ANEL DE SOLDA, BOLSA X ROSCA F, INSTALADO EM RAMAL E SUB-RAMAL  FORNECIMENTO E INSTALAÇÃO. AF_01/2016</v>
          </cell>
          <cell r="C4264" t="str">
            <v>UN</v>
          </cell>
          <cell r="D4264">
            <v>37.68</v>
          </cell>
        </row>
        <row r="4265">
          <cell r="A4265" t="str">
            <v>93102</v>
          </cell>
          <cell r="B4265" t="str">
            <v>CURVA EM COBRE, DN 28 MM, 45 GRAUS, SEM ANEL DE SOLDA, BOLSA X BOLSA, INSTALADO EM RAMAL E SUB-RAMAL  FORNECIMENTO E INSTALAÇÃO. AF_01/2016</v>
          </cell>
          <cell r="C4265" t="str">
            <v>UN</v>
          </cell>
          <cell r="D4265">
            <v>32.65</v>
          </cell>
        </row>
        <row r="4266">
          <cell r="A4266" t="str">
            <v>93103</v>
          </cell>
          <cell r="B4266" t="str">
            <v>LUVA PASSANTE EM COBRE, DN 15 MM, SEM ANEL DE SOLDA, INSTALADO EM RAMAL E SUB-RAMAL  FORNECIMENTO E INSTALAÇÃO. AF_01/2016</v>
          </cell>
          <cell r="C4266" t="str">
            <v>UN</v>
          </cell>
          <cell r="D4266">
            <v>8.2899999999999991</v>
          </cell>
        </row>
        <row r="4267">
          <cell r="A4267" t="str">
            <v>93104</v>
          </cell>
          <cell r="B4267" t="str">
            <v>CONECTOR EM BRONZE/LATÃO, DN 15 MM X 1/2", SEM ANEL DE SOLDA, BOLSA X ROSCA F, INSTALADO EM RAMAL E SUB-RAMAL  FORNECIMENTO E INSTALAÇÃO. AF_01/2016</v>
          </cell>
          <cell r="C4267" t="str">
            <v>UN</v>
          </cell>
          <cell r="D4267">
            <v>20.91</v>
          </cell>
        </row>
        <row r="4268">
          <cell r="A4268" t="str">
            <v>93105</v>
          </cell>
          <cell r="B4268" t="str">
            <v>CURVA DE TRANSPOSIÇÃO EM BRONZE/LATÃO, DN 15 MM, SEM ANEL DE SOLDA, BOLSA X BOLSA, INSTALADO EM RAMAL E SUB-RAMAL  FORNECIMENTO E INSTALAÇÃO. AF_01/2016</v>
          </cell>
          <cell r="C4268" t="str">
            <v>UN</v>
          </cell>
          <cell r="D4268">
            <v>25.94</v>
          </cell>
        </row>
        <row r="4269">
          <cell r="A4269" t="str">
            <v>93106</v>
          </cell>
          <cell r="B4269" t="str">
            <v>JUNTA DE EXPANSÃO EM COBRE, DN 15 MM, PONTA X PONTA, INSTALADO EM RAMAL E SUB-RAMAL  FORNECIMENTO E INSTALAÇÃO. AF_01/2016</v>
          </cell>
          <cell r="C4269" t="str">
            <v>UN</v>
          </cell>
          <cell r="D4269">
            <v>516.5</v>
          </cell>
        </row>
        <row r="4270">
          <cell r="A4270" t="str">
            <v>93107</v>
          </cell>
          <cell r="B4270" t="str">
            <v>LUVA PASSANTE EM COBRE, DN 22 MM, SEM ANEL DE SOLDA, INSTALADO EM RAMAL E SUB-RAMAL  FORNECIMENTO E INSTALAÇÃO. AF_01/2016</v>
          </cell>
          <cell r="C4270" t="str">
            <v>UN</v>
          </cell>
          <cell r="D4270">
            <v>15.56</v>
          </cell>
        </row>
        <row r="4271">
          <cell r="A4271" t="str">
            <v>93108</v>
          </cell>
          <cell r="B4271" t="str">
            <v>BUCHA DE REDUÇÃO EM COBRE, DN 22 MM X 15 MM, SEM ANEL DE SOLDA, PONTA X BOLSA, INSTALADO EM RAMAL E SUB-RAMAL  FORNECIMENTO E INSTALAÇÃO. AF_01/2016</v>
          </cell>
          <cell r="C4271" t="str">
            <v>UN</v>
          </cell>
          <cell r="D4271">
            <v>14.52</v>
          </cell>
        </row>
        <row r="4272">
          <cell r="A4272" t="str">
            <v>93109</v>
          </cell>
          <cell r="B4272" t="str">
            <v>JUNTA DE EXPANSÃO EM COBRE, DN 22 MM, PONTA X PONTA, INSTALADO EM RAMAL E SUB-RAMAL  FORNECIMENTO E INSTALAÇÃO. AF_01/2016</v>
          </cell>
          <cell r="C4272" t="str">
            <v>UN</v>
          </cell>
          <cell r="D4272">
            <v>601.05999999999995</v>
          </cell>
        </row>
        <row r="4273">
          <cell r="A4273" t="str">
            <v>93110</v>
          </cell>
          <cell r="B4273" t="str">
            <v>CONECTOR EM BRONZE/LATÃO, DN 22 MM X 1/2", SEM ANEL DE SOLDA, BOLSA X ROSCA F, INSTALADO EM RAMAL E SUB-RAMAL  FORNECIMENTO E INSTALAÇÃO. AF_01/2016</v>
          </cell>
          <cell r="C4273" t="str">
            <v>UN</v>
          </cell>
          <cell r="D4273">
            <v>23.87</v>
          </cell>
        </row>
        <row r="4274">
          <cell r="A4274" t="str">
            <v>93111</v>
          </cell>
          <cell r="B4274" t="str">
            <v>CONECTOR EM BRONZE/LATÃO, DN 22 MM X 3/4", SEM ANEL DE SOLDA, BOLSA X ROSCA F, INSTALADO EM RAMAL E SUB-RAMAL  FORNECIMENTO E INSTALAÇÃO. AF_01/2016</v>
          </cell>
          <cell r="C4274" t="str">
            <v>UN</v>
          </cell>
          <cell r="D4274">
            <v>27.77</v>
          </cell>
        </row>
        <row r="4275">
          <cell r="A4275" t="str">
            <v>93112</v>
          </cell>
          <cell r="B4275" t="str">
            <v>CURVA DE TRANSPOSIÇÃO EM BRONZE/LATÃO, DN 22 MM, SEM ANEL DE SOLDA, BOLSA X BOLSA, INSTALADO EM RAMAL E SUB-RAMAL  FORNECIMENTO E INSTALAÇÃO. AF_01/2016</v>
          </cell>
          <cell r="C4275" t="str">
            <v>UN</v>
          </cell>
          <cell r="D4275">
            <v>54.34</v>
          </cell>
        </row>
        <row r="4276">
          <cell r="A4276" t="str">
            <v>93113</v>
          </cell>
          <cell r="B4276" t="str">
            <v>LUVA PASSANTE EM COBRE, DN 28 MM, SEM ANEL DE SOLDA, INSTALADO EM RAMAL E SUB-RAMAL  FORNECIMENTO E INSTALAÇÃO. AF_01/2016</v>
          </cell>
          <cell r="C4276" t="str">
            <v>UN</v>
          </cell>
          <cell r="D4276">
            <v>22.76</v>
          </cell>
        </row>
        <row r="4277">
          <cell r="A4277" t="str">
            <v>93114</v>
          </cell>
          <cell r="B4277" t="str">
            <v>CONECTOR EM BRONZE/LATÃO, DN 28 MM X 1/2", SEM ANEL DE SOLDA, BOLSA X ROSCA F, INSTALADO EM RAMAL E SUB-RAMAL  FORNECIMENTO E INSTALAÇÃO. AF_01/2016</v>
          </cell>
          <cell r="C4277" t="str">
            <v>UN</v>
          </cell>
          <cell r="D4277">
            <v>38.33</v>
          </cell>
        </row>
        <row r="4278">
          <cell r="A4278" t="str">
            <v>93115</v>
          </cell>
          <cell r="B4278" t="str">
            <v>CURVA DE TRANSPOSIÇÃO EM BRONZE/LATÃO, DN 28 MM, SEM ANEL DE SOLDA, BOLSA X BOLSA, INSTALADO EM RAMAL E SUB-RAMAL  FORNECIMENTO E INSTALAÇÃO. AF_01/2016</v>
          </cell>
          <cell r="C4278" t="str">
            <v>UN</v>
          </cell>
          <cell r="D4278">
            <v>94.06</v>
          </cell>
        </row>
        <row r="4279">
          <cell r="A4279" t="str">
            <v>93116</v>
          </cell>
          <cell r="B4279" t="str">
            <v>JUNTA DE EXPANSÃO EM COBRE, DN 28 MM, PONTA X PONTA, INSTALADO EM RAMAL E SUB-RAMAL  FORNECIMENTO E INSTALAÇÃO. AF_01/2016</v>
          </cell>
          <cell r="C4279" t="str">
            <v>UN</v>
          </cell>
          <cell r="D4279">
            <v>661.76</v>
          </cell>
        </row>
        <row r="4280">
          <cell r="A4280" t="str">
            <v>93117</v>
          </cell>
          <cell r="B4280" t="str">
            <v>TE DUPLA CURVA EM BRONZE/LATÃO, DN 1/2" X 15 MM X 1/2", SEM ANEL DE SOLDA, ROSCA F X BOLSA X ROSCA F, INSTALADO EM RAMAL E SUB-RAMAL  FORNECIMENTO E INSTALAÇÃO. AF_01/2016</v>
          </cell>
          <cell r="C4280" t="str">
            <v>UN</v>
          </cell>
          <cell r="D4280">
            <v>67.510000000000005</v>
          </cell>
        </row>
        <row r="4281">
          <cell r="A4281" t="str">
            <v>93118</v>
          </cell>
          <cell r="B4281" t="str">
            <v>TE DUPLA CURVA EM BRONZE/LATÃO, DN 3/4" X 22 MM X 3/4", SEM ANEL DE SOLDA, ROSCA F X BOLSA X ROSCA F, INSTALADO EM RAMAL E SUB-RAMAL  FORNECIMENTO E INSTALAÇÃO. AF_01/2016</v>
          </cell>
          <cell r="C4281" t="str">
            <v>UN</v>
          </cell>
          <cell r="D4281">
            <v>99.73</v>
          </cell>
        </row>
        <row r="4282">
          <cell r="A4282" t="str">
            <v>93119</v>
          </cell>
          <cell r="B4282" t="str">
            <v>CURVA EM COBRE, DN 22 MM, 45 GRAUS, SEM ANEL DE SOLDA, BOLSA X BOLSA, INSTALADO EM PRUMADA  FORNECIMENTO E INSTALAÇÃO. AF_01/2016</v>
          </cell>
          <cell r="C4282" t="str">
            <v>UN</v>
          </cell>
          <cell r="D4282">
            <v>18.87</v>
          </cell>
        </row>
        <row r="4283">
          <cell r="A4283" t="str">
            <v>93120</v>
          </cell>
          <cell r="B4283" t="str">
            <v>COTOVELO EM BRONZE/LATÃO, DN 22 MM X 1/2", 90 GRAUS, SEM ANEL DE SOLDA, BOLSA X ROSCA F, INSTALADO EM PRUMADA  FORNECIMENTO E INSTALAÇÃO. AF_01/2016</v>
          </cell>
          <cell r="C4283" t="str">
            <v>UN</v>
          </cell>
          <cell r="D4283">
            <v>30.03</v>
          </cell>
        </row>
        <row r="4284">
          <cell r="A4284" t="str">
            <v>93121</v>
          </cell>
          <cell r="B4284" t="str">
            <v>COTOVELO EM BRONZE/LATÃO, DN 22 MM X 3/4", 90 GRAUS, SEM ANEL DE SOLDA, BOLSA X ROSCA F, INSTALADO EM PRUMADA  FORNECIMENTO E INSTALAÇÃO. AF_01/2016</v>
          </cell>
          <cell r="C4284" t="str">
            <v>UN</v>
          </cell>
          <cell r="D4284">
            <v>32.97</v>
          </cell>
        </row>
        <row r="4285">
          <cell r="A4285" t="str">
            <v>93122</v>
          </cell>
          <cell r="B4285" t="str">
            <v>CURVA EM COBRE, DN 28 MM, 45 GRAUS, SEM ANEL DE SOLDA, BOLSA X BOLSA, INSTALADO EM PRUMADA  FORNECIMENTO E INSTALAÇÃO. AF_01/2016</v>
          </cell>
          <cell r="C4285" t="str">
            <v>UN</v>
          </cell>
          <cell r="D4285">
            <v>28.14</v>
          </cell>
        </row>
        <row r="4286">
          <cell r="A4286" t="str">
            <v>93123</v>
          </cell>
          <cell r="B4286" t="str">
            <v>CURVA EM COBRE, DN 35 MM, 45 GRAUS, SEM ANEL DE SOLDA, BOLSA X BOLSA, INSTALADO EM PRUMADA  FORNECIMENTO E INSTALAÇÃO. AF_01/2016</v>
          </cell>
          <cell r="C4286" t="str">
            <v>UN</v>
          </cell>
          <cell r="D4286">
            <v>64.010000000000005</v>
          </cell>
        </row>
        <row r="4287">
          <cell r="A4287" t="str">
            <v>93124</v>
          </cell>
          <cell r="B4287" t="str">
            <v>CURVA EM COBRE, DN 42 MM, 45 GRAUS, SEM ANEL DE SOLDA, BOLSA X BOLSA, INSTALADO EM PRUMADA  FORNECIMENTO E INSTALAÇÃO. AF_01/2016</v>
          </cell>
          <cell r="C4287" t="str">
            <v>UN</v>
          </cell>
          <cell r="D4287">
            <v>101.62</v>
          </cell>
        </row>
        <row r="4288">
          <cell r="A4288" t="str">
            <v>93125</v>
          </cell>
          <cell r="B4288" t="str">
            <v>CURVA EM COBRE, DN 54 MM, 45 GRAUS, SEM ANEL DE SOLDA, BOLSA X BOLSA, INSTALADO EM PRUMADA  FORNECIMENTO E INSTALAÇÃO. AF_01/2016</v>
          </cell>
          <cell r="C4288" t="str">
            <v>UN</v>
          </cell>
          <cell r="D4288">
            <v>148.44</v>
          </cell>
        </row>
        <row r="4289">
          <cell r="A4289" t="str">
            <v>93126</v>
          </cell>
          <cell r="B4289" t="str">
            <v>CURVA EM COBRE, DN 66 MM, 45 GRAUS, SEM ANEL DE SOLDA, BOLSA X BOLSA, INSTALADO EM PRUMADA  FORNECIMENTO E INSTALAÇÃO. AF_01/2016</v>
          </cell>
          <cell r="C4289" t="str">
            <v>UN</v>
          </cell>
          <cell r="D4289">
            <v>332.34</v>
          </cell>
        </row>
        <row r="4290">
          <cell r="A4290" t="str">
            <v>93133</v>
          </cell>
          <cell r="B4290" t="str">
            <v>BUCHA DE REDUÇÃO EM COBRE, DN 28 MM X 22 MM, SEM ANEL DE SOLDA, INSTALADO EM RAMAL E SUB-RAMAL  FORNECIMENTO E INSTALAÇÃO. AF_01/2016</v>
          </cell>
          <cell r="C4290" t="str">
            <v>UN</v>
          </cell>
          <cell r="D4290">
            <v>20.28</v>
          </cell>
        </row>
        <row r="4291">
          <cell r="A4291" t="str">
            <v>94465</v>
          </cell>
          <cell r="B4291" t="str">
            <v>LUVA, EM FERRO GALVANIZADO, CONEXÃO ROSQUEADA, DN 50 (2), INSTALADO EM RESERVAÇÃO DE ÁGUA DE EDIFICAÇÃO QUE POSSUA RESERVATÓRIO DE FIBRA/FIBROCIMENTO  FORNECIMENTO E INSTALAÇÃO. AF_06/2016</v>
          </cell>
          <cell r="C4291" t="str">
            <v>UN</v>
          </cell>
          <cell r="D4291">
            <v>41.85</v>
          </cell>
        </row>
        <row r="4292">
          <cell r="A4292" t="str">
            <v>94466</v>
          </cell>
          <cell r="B4292" t="str">
            <v>NIPLE, EM FERRO GALVANIZADO, CONEXÃO ROSQUEADA, DN 50 (2), INSTALADO EM RESERVAÇÃO DE ÁGUA DE EDIFICAÇÃO QUE POSSUA RESERVATÓRIO DE FIBRA/FIBROCIMENTO  FORNECIMENTO E INSTALAÇÃO. AF_06/2016</v>
          </cell>
          <cell r="C4292" t="str">
            <v>UN</v>
          </cell>
          <cell r="D4292">
            <v>41.87</v>
          </cell>
        </row>
        <row r="4293">
          <cell r="A4293" t="str">
            <v>94467</v>
          </cell>
          <cell r="B4293" t="str">
            <v>LUVA, EM FERRO GALVANIZADO, CONEXÃO ROSQUEADA, DN 65 (2 1/2), INSTALADO EM RESERVAÇÃO DE ÁGUA DE EDIFICAÇÃO QUE POSSUA RESERVATÓRIO DE FIBRA/FIBROCIMENTO  FORNECIMENTO E INSTALAÇÃO. AF_06/2016</v>
          </cell>
          <cell r="C4293" t="str">
            <v>UN</v>
          </cell>
          <cell r="D4293">
            <v>64.709999999999994</v>
          </cell>
        </row>
        <row r="4294">
          <cell r="A4294" t="str">
            <v>94468</v>
          </cell>
          <cell r="B4294" t="str">
            <v>NIPLE, EM FERRO GALVANIZADO, CONEXÃO ROSQUEADA, DN 65 (2 1/2), INSTALADO EM RESERVAÇÃO DE ÁGUA DE EDIFICAÇÃO QUE POSSUA RESERVATÓRIO DE FIBRA/FIBROCIMENTO  FORNECIMENTO E INSTALAÇÃO. AF_06/2016</v>
          </cell>
          <cell r="C4294" t="str">
            <v>UN</v>
          </cell>
          <cell r="D4294">
            <v>56.6</v>
          </cell>
        </row>
        <row r="4295">
          <cell r="A4295" t="str">
            <v>94469</v>
          </cell>
          <cell r="B4295" t="str">
            <v>LUVA, EM FERRO GALVANIZADO, CONEXÃO ROSQUEADA, DN 80 (3), INSTALADO EM RESERVAÇÃO DE ÁGUA DE EDIFICAÇÃO QUE POSSUA RESERVATÓRIO DE FIBRA/FIBROCIMENTO  FORNECIMENTO E INSTALAÇÃO. AF_06/2016</v>
          </cell>
          <cell r="C4295" t="str">
            <v>UN</v>
          </cell>
          <cell r="D4295">
            <v>94</v>
          </cell>
        </row>
        <row r="4296">
          <cell r="A4296" t="str">
            <v>94470</v>
          </cell>
          <cell r="B4296" t="str">
            <v>NIPLE, EM FERRO GALVANIZADO, CONEXÃO ROSQUEADA, DN 80 (3), INSTALADO EM RESERVAÇÃO DE ÁGUA DE EDIFICAÇÃO QUE POSSUA RESERVATÓRIO DE FIBRA/FIBROCIMENTO  FORNECIMENTO E INSTALAÇÃO. AF_06/2016</v>
          </cell>
          <cell r="C4296" t="str">
            <v>UN</v>
          </cell>
          <cell r="D4296">
            <v>86.78</v>
          </cell>
        </row>
        <row r="4297">
          <cell r="A4297" t="str">
            <v>94471</v>
          </cell>
          <cell r="B4297" t="str">
            <v>COTOVELO 90 GRAUS, EM FERRO GALVANIZADO, CONEXÃO ROSQUEADA, DN 50 (2), INSTALADO EM RESERVAÇÃO DE ÁGUA DE EDIFICAÇÃO QUE POSSUA RESERVATÓRIO DE FIBRA/FIBROCIMENTO  FORNECIMENTO E INSTALAÇÃO. AF_06/2016</v>
          </cell>
          <cell r="C4297" t="str">
            <v>UN</v>
          </cell>
          <cell r="D4297">
            <v>60.32</v>
          </cell>
        </row>
        <row r="4298">
          <cell r="A4298" t="str">
            <v>94472</v>
          </cell>
          <cell r="B4298" t="str">
            <v>COTOVELO 45 GRAUS, EM FERRO GALVANIZADO, CONEXÃO ROSQUEADA, DN 50 (2), INSTALADO EM RESERVAÇÃO DE ÁGUA DE EDIFICAÇÃO QUE POSSUA RESERVATÓRIO DE FIBRA/FIBROCIMENTO  FORNECIMENTO E INSTALAÇÃO. AF_06/2016</v>
          </cell>
          <cell r="C4298" t="str">
            <v>UN</v>
          </cell>
          <cell r="D4298">
            <v>62.13</v>
          </cell>
        </row>
        <row r="4299">
          <cell r="A4299" t="str">
            <v>94473</v>
          </cell>
          <cell r="B4299" t="str">
            <v>COTOVELO 90 GRAUS, EM FERRO GALVANIZADO, CONEXÃO ROSQUEADA, DN 65 (2 1/2), INSTALADO EM RESERVAÇÃO DE ÁGUA DE EDIFICAÇÃO QUE POSSUA RESERVATÓRIO DE FIBRA/FIBROCIMENTO  FORNECIMENTO E INSTALAÇÃO. AF_06/2016</v>
          </cell>
          <cell r="C4299" t="str">
            <v>UN</v>
          </cell>
          <cell r="D4299">
            <v>92.62</v>
          </cell>
        </row>
        <row r="4300">
          <cell r="A4300" t="str">
            <v>94474</v>
          </cell>
          <cell r="B4300" t="str">
            <v>COTOVELO 45 GRAUS, EM FERRO GALVANIZADO, CONEXÃO ROSQUEADA, DN 65 (2 1/2), INSTALADO EM RESERVAÇÃO DE ÁGUA DE EDIFICAÇÃO QUE POSSUA RESERVATÓRIO DE FIBRA/FIBROCIMENTO  FORNECIMENTO E INSTALAÇÃO. AF_06/2016</v>
          </cell>
          <cell r="C4300" t="str">
            <v>UN</v>
          </cell>
          <cell r="D4300">
            <v>100.56</v>
          </cell>
        </row>
        <row r="4301">
          <cell r="A4301" t="str">
            <v>94475</v>
          </cell>
          <cell r="B4301" t="str">
            <v>COTOVELO 90 GRAUS, EM FERRO GALVANIZADO, CONEXÃO ROSQUEADA, DN 80 (3), INSTALADO EM RESERVAÇÃO DE ÁGUA DE EDIFICAÇÃO QUE POSSUA RESERVATÓRIO DE FIBRA/FIBROCIMENTO  FORNECIMENTO E INSTALAÇÃO. AF_06/2016</v>
          </cell>
          <cell r="C4301" t="str">
            <v>UN</v>
          </cell>
          <cell r="D4301">
            <v>127.29</v>
          </cell>
        </row>
        <row r="4302">
          <cell r="A4302" t="str">
            <v>94476</v>
          </cell>
          <cell r="B4302" t="str">
            <v>COTOVELO 45 GRAUS, EM FERRO GALVANIZADO, CONEXÃO ROSQUEADA, DN 80 (3), INSTALADO EM RESERVAÇÃO DE ÁGUA DE EDIFICAÇÃO QUE POSSUA RESERVATÓRIO DE FIBRA/FIBROCIMENTO  FORNECIMENTO E INSTALAÇÃO. AF_06/2016</v>
          </cell>
          <cell r="C4302" t="str">
            <v>UN</v>
          </cell>
          <cell r="D4302">
            <v>142.6</v>
          </cell>
        </row>
        <row r="4303">
          <cell r="A4303" t="str">
            <v>94477</v>
          </cell>
          <cell r="B4303" t="str">
            <v>TÊ, EM FERRO GALVANIZADO, CONEXÃO ROSQUEADA, DN 50 (2), INSTALADO EM RESERVAÇÃO DE ÁGUA DE EDIFICAÇÃO QUE POSSUA RESERVATÓRIO DE FIBRA/FIBROCIMENTO  FORNECIMENTO E INSTALAÇÃO. AF_06/2016</v>
          </cell>
          <cell r="C4303" t="str">
            <v>UN</v>
          </cell>
          <cell r="D4303">
            <v>80.28</v>
          </cell>
        </row>
        <row r="4304">
          <cell r="A4304" t="str">
            <v>94478</v>
          </cell>
          <cell r="B4304" t="str">
            <v>TÊ, EM FERRO GALVANIZADO, CONEXÃO ROSQUEADA, DN 65 (2 1/2), INSTALADO EM RESERVAÇÃO DE ÁGUA DE EDIFICAÇÃO QUE POSSUA RESERVATÓRIO DE FIBRA/FIBROCIMENTO  FORNECIMENTO E INSTALAÇÃO. AF_06/2016</v>
          </cell>
          <cell r="C4304" t="str">
            <v>UN</v>
          </cell>
          <cell r="D4304">
            <v>127.36</v>
          </cell>
        </row>
        <row r="4305">
          <cell r="A4305" t="str">
            <v>94479</v>
          </cell>
          <cell r="B4305" t="str">
            <v>TÊ, EM FERRO GALVANIZADO, CONEXÃO ROSQUEADA, DN 80 (3), INSTALADO EM RESERVAÇÃO DE ÁGUA DE EDIFICAÇÃO QUE POSSUA RESERVATÓRIO DE FIBRA/FIBROCIMENTO  FORNECIMENTO E INSTALAÇÃO. AF_06/2016</v>
          </cell>
          <cell r="C4305" t="str">
            <v>UN</v>
          </cell>
          <cell r="D4305">
            <v>168.14</v>
          </cell>
        </row>
        <row r="4306">
          <cell r="A4306" t="str">
            <v>94606</v>
          </cell>
          <cell r="B4306" t="str">
            <v>LUVA EM COBRE, DN 54 MM, SEM ANEL DE SOLDA, INSTALADO EM RESERVAÇÃO DE ÁGUA DE EDIFICAÇÃO QUE POSSUA RESERVATÓRIO DE FIBRA/FIBROCIMENTO  FORNECIMENTO E INSTALAÇÃO. AF_06/2016</v>
          </cell>
          <cell r="C4306" t="str">
            <v>UN</v>
          </cell>
          <cell r="D4306">
            <v>85.29</v>
          </cell>
        </row>
        <row r="4307">
          <cell r="A4307" t="str">
            <v>94608</v>
          </cell>
          <cell r="B4307" t="str">
            <v>LUVA EM COBRE, DN 66 MM, SEM ANEL DE SOLDA, INSTALADO EM RESERVAÇÃO DE ÁGUA DE EDIFICAÇÃO QUE POSSUA RESERVATÓRIO DE FIBRA/FIBROCIMENTO  FORNECIMENTO E INSTALAÇÃO. AF_06/2016</v>
          </cell>
          <cell r="C4307" t="str">
            <v>UN</v>
          </cell>
          <cell r="D4307">
            <v>217.79</v>
          </cell>
        </row>
        <row r="4308">
          <cell r="A4308" t="str">
            <v>94610</v>
          </cell>
          <cell r="B4308" t="str">
            <v>LUVA EM COBRE, DN 79 MM, SEM ANEL DE SOLDA, INSTALADO EM RESERVAÇÃO DE ÁGUA DE EDIFICAÇÃO QUE POSSUA RESERVATÓRIO DE FIBRA/FIBROCIMENTO  FORNECIMENTO E INSTALAÇÃO. AF_06/2016</v>
          </cell>
          <cell r="C4308" t="str">
            <v>UN</v>
          </cell>
          <cell r="D4308">
            <v>325.72000000000003</v>
          </cell>
        </row>
        <row r="4309">
          <cell r="A4309" t="str">
            <v>94612</v>
          </cell>
          <cell r="B4309" t="str">
            <v>LUVA DE COBRE, DN 104 MM, SEM ANEL DE SOLDA, INSTALADO EM RESERVAÇÃO DE ÁGUA DE EDIFICAÇÃO QUE POSSUA RESERVATÓRIO DE FIBRA/FIBROCIMENTO  FORNECIMENTO E INSTALAÇÃO. AF_06/2016</v>
          </cell>
          <cell r="C4309" t="str">
            <v>UN</v>
          </cell>
          <cell r="D4309">
            <v>459.48</v>
          </cell>
        </row>
        <row r="4310">
          <cell r="A4310" t="str">
            <v>94614</v>
          </cell>
          <cell r="B4310" t="str">
            <v>COTOVELO EM COBRE, DN 54 MM, 90 GRAUS, SEM ANEL DE SOLDA, INSTALADO EM RESERVAÇÃO DE ÁGUA DE EDIFICAÇÃO QUE POSSUA RESERVATÓRIO DE FIBRA/FIBROCIMENTO  FORNECIMENTO E INSTALAÇÃO. AF_06/2016</v>
          </cell>
          <cell r="C4310" t="str">
            <v>UN</v>
          </cell>
          <cell r="D4310">
            <v>145.31</v>
          </cell>
        </row>
        <row r="4311">
          <cell r="A4311" t="str">
            <v>94615</v>
          </cell>
          <cell r="B4311" t="str">
            <v>CURVA EM COBRE, DN 54 MM, 45 GRAUS, SEM ANEL DE SOLDA, BOLSA X BOLSA, INSTALADO EM RESERVAÇÃO DE ÁGUA DE EDIFICAÇÃO QUE POSSUA RESERVATÓRIO DE FIBRA/FIBROCIMENTO  FORNECIMENTO E INSTALAÇÃO. AF_06/2016</v>
          </cell>
          <cell r="C4311" t="str">
            <v>UN</v>
          </cell>
          <cell r="D4311">
            <v>166.11</v>
          </cell>
        </row>
        <row r="4312">
          <cell r="A4312" t="str">
            <v>94616</v>
          </cell>
          <cell r="B4312" t="str">
            <v>COTOVELO EM COBRE, DN 66 MM, 90 GRAUS, SEM ANEL DE SOLDA, INSTALADO EM RESERVAÇÃO DE ÁGUA DE EDIFICAÇÃO QUE POSSUA RESERVATÓRIO DE FIBRA/FIBROCIMENTO  FORNECIMENTO E INSTALAÇÃO. AF_06/2016</v>
          </cell>
          <cell r="C4312" t="str">
            <v>UN</v>
          </cell>
          <cell r="D4312">
            <v>418.68</v>
          </cell>
        </row>
        <row r="4313">
          <cell r="A4313" t="str">
            <v>94617</v>
          </cell>
          <cell r="B4313" t="str">
            <v>CURVA EM COBRE, DN 66 MM, 45 GRAUS, SEM ANEL DE SOLDA, BOLSA X BOLSA, INSTALADO EM RESERVAÇÃO DE ÁGUA DE EDIFICAÇÃO QUE POSSUA RESERVATÓRIO DE FIBRA/FIBROCIMENTO  FORNECIMENTO E INSTALAÇÃO. AF_06/2016</v>
          </cell>
          <cell r="C4313" t="str">
            <v>UN</v>
          </cell>
          <cell r="D4313">
            <v>346.36</v>
          </cell>
        </row>
        <row r="4314">
          <cell r="A4314" t="str">
            <v>94618</v>
          </cell>
          <cell r="B4314" t="str">
            <v>COTOVELO EM COBRE, DN 79 MM, 90 GRAUS, SEM ANEL DE SOLDA, INSTALADO EM RESERVAÇÃO DE ÁGUA DE EDIFICAÇÃO QUE POSSUA RESERVATÓRIO DE FIBRA/FIBROCIMENTO  FORNECIMENTO E INSTALAÇÃO. AF_06/2016</v>
          </cell>
          <cell r="C4314" t="str">
            <v>UN</v>
          </cell>
          <cell r="D4314">
            <v>410.28</v>
          </cell>
        </row>
        <row r="4315">
          <cell r="A4315" t="str">
            <v>94620</v>
          </cell>
          <cell r="B4315" t="str">
            <v>COTOVELO EM COBRE, DN 104 MM, 90 GRAUS, SEM ANEL DE SOLDA, INSTALADO EM RESERVAÇÃO DE ÁGUA DE EDIFICAÇÃO QUE POSSUA RESERVATÓRIO DE FIBRA/FIBROCIMENTO  FORNECIMENTO E INSTALAÇÃO. AF_06/2016</v>
          </cell>
          <cell r="C4315" t="str">
            <v>UN</v>
          </cell>
          <cell r="D4315">
            <v>951.25</v>
          </cell>
        </row>
        <row r="4316">
          <cell r="A4316" t="str">
            <v>94622</v>
          </cell>
          <cell r="B4316" t="str">
            <v>TE EM COBRE, DN 54 MM, SEM ANEL DE SOLDA, INSTALADO EM RESERVAÇÃO DE ÁGUA DE EDIFICAÇÃO QUE POSSUA RESERVATÓRIO DE FIBRA/FIBROCIMENTO  FORNECIMENTO E INSTALAÇÃO. AF_06/2016</v>
          </cell>
          <cell r="C4316" t="str">
            <v>UN</v>
          </cell>
          <cell r="D4316">
            <v>213.66</v>
          </cell>
        </row>
        <row r="4317">
          <cell r="A4317" t="str">
            <v>94623</v>
          </cell>
          <cell r="B4317" t="str">
            <v>TE EM COBRE, DN 66 MM, SEM ANEL DE SOLDA, INSTALADO EM RESERVAÇÃO DE ÁGUA DE EDIFICAÇÃO QUE POSSUA RESERVATÓRIO DE FIBRA/FIBROCIMENTO  FORNECIMENTO E INSTALAÇÃO. AF_06/2016</v>
          </cell>
          <cell r="C4317" t="str">
            <v>UN</v>
          </cell>
          <cell r="D4317">
            <v>517.73</v>
          </cell>
        </row>
        <row r="4318">
          <cell r="A4318" t="str">
            <v>94624</v>
          </cell>
          <cell r="B4318" t="str">
            <v>TE EM COBRE, DN 79 MM, SEM ANEL DE SOLDA, INSTALADO EM RESERVAÇÃO DE ÁGUA DE EDIFICAÇÃO QUE POSSUA RESERVATÓRIO DE FIBRA/FIBROCIMENTO  FORNECIMENTO E INSTALAÇÃO. AF_06/2016</v>
          </cell>
          <cell r="C4318" t="str">
            <v>UN</v>
          </cell>
          <cell r="D4318">
            <v>792.7</v>
          </cell>
        </row>
        <row r="4319">
          <cell r="A4319" t="str">
            <v>94625</v>
          </cell>
          <cell r="B4319" t="str">
            <v>TE EM COBRE, DN 104 MM, SEM ANEL DE SOLDA, INSTALADO EM RESERVAÇÃO DE ÁGUA DE EDIFICAÇÃO QUE POSSUA RESERVATÓRIO DE FIBRA/FIBROCIMENTO  FORNECIMENTO E INSTALAÇÃO. AF_06/2016</v>
          </cell>
          <cell r="C4319" t="str">
            <v>UN</v>
          </cell>
          <cell r="D4319">
            <v>1662.81</v>
          </cell>
        </row>
        <row r="4320">
          <cell r="A4320" t="str">
            <v>94656</v>
          </cell>
          <cell r="B4320" t="str">
            <v>ADAPTADOR CURTO COM BOLSA E ROSCA PARA REGISTRO, PVC, SOLDÁVEL, DN  25 MM X 3/4 , INSTALADO EM RESERVAÇÃO DE ÁGUA DE EDIFICAÇÃO QUE POSSUA RESERVATÓRIO DE FIBRA/FIBROCIMENTO   FORNECIMENTO E INSTALAÇÃO. AF_06/2016</v>
          </cell>
          <cell r="C4320" t="str">
            <v>UN</v>
          </cell>
          <cell r="D4320">
            <v>6.09</v>
          </cell>
        </row>
        <row r="4321">
          <cell r="A4321" t="str">
            <v>94657</v>
          </cell>
          <cell r="B4321" t="str">
            <v>LUVA PVC, SOLDÁVEL, DN  25 MM, INSTALADA EM RESERVAÇÃO DE ÁGUA DE EDIFICAÇÃO QUE POSSUA RESERVATÓRIO DE FIBRA/FIBROCIMENTO   FORNECIMENTO E INSTALAÇÃO. AF_06/2016</v>
          </cell>
          <cell r="C4321" t="str">
            <v>UN</v>
          </cell>
          <cell r="D4321">
            <v>5.95</v>
          </cell>
        </row>
        <row r="4322">
          <cell r="A4322" t="str">
            <v>94658</v>
          </cell>
          <cell r="B4322" t="str">
            <v>ADAPTADOR CURTO COM BOLSA E ROSCA PARA REGISTRO, PVC, SOLDÁVEL, DN 32 MM X 1 , INSTALADO EM RESERVAÇÃO DE ÁGUA DE EDIFICAÇÃO QUE POSSUA RESERVATÓRIO DE FIBRA/FIBROCIMENTO   FORNECIMENTO E INSTALAÇÃO. AF_06/2016</v>
          </cell>
          <cell r="C4322" t="str">
            <v>UN</v>
          </cell>
          <cell r="D4322">
            <v>7.56</v>
          </cell>
        </row>
        <row r="4323">
          <cell r="A4323" t="str">
            <v>94659</v>
          </cell>
          <cell r="B4323" t="str">
            <v>LUVA PVC, SOLDÁVEL, DN 32 MM, INSTALADA EM RESERVAÇÃO DE ÁGUA DE EDIFICAÇÃO QUE POSSUA RESERVATÓRIO DE FIBRA/FIBROCIMENTO   FORNECIMENTO E INSTALAÇÃO. AF_06/2016</v>
          </cell>
          <cell r="C4323" t="str">
            <v>UN</v>
          </cell>
          <cell r="D4323">
            <v>7.73</v>
          </cell>
        </row>
        <row r="4324">
          <cell r="A4324" t="str">
            <v>94660</v>
          </cell>
          <cell r="B4324" t="str">
            <v>ADAPTADOR CURTO COM BOLSA E ROSCA PARA REGISTRO, PVC, SOLDÁVEL, DN 40 MM X 1 1/4 , INSTALADO EM RESERVAÇÃO DE ÁGUA DE EDIFICAÇÃO QUE POSSUA RESERVATÓRIO DE FIBRA/FIBROCIMENTO   FORNECIMENTO E INSTALAÇÃO. AF_06/2016</v>
          </cell>
          <cell r="C4324" t="str">
            <v>UN</v>
          </cell>
          <cell r="D4324">
            <v>12.73</v>
          </cell>
        </row>
        <row r="4325">
          <cell r="A4325" t="str">
            <v>94661</v>
          </cell>
          <cell r="B4325" t="str">
            <v>LUVA, PVC, SOLDÁVEL, DN 40 MM, INSTALADO EM RESERVAÇÃO DE ÁGUA DE EDIFICAÇÃO QUE POSSUA RESERVATÓRIO DE FIBRA/FIBROCIMENTO   FORNECIMENTO E INSTALAÇÃO. AF_06/2016</v>
          </cell>
          <cell r="C4325" t="str">
            <v>UN</v>
          </cell>
          <cell r="D4325">
            <v>13.43</v>
          </cell>
        </row>
        <row r="4326">
          <cell r="A4326" t="str">
            <v>94662</v>
          </cell>
          <cell r="B4326" t="str">
            <v>ADAPTADOR CURTO COM BOLSA E ROSCA PARA REGISTRO, PVC, SOLDÁVEL, DN 50 MM X 1 1/2 , INSTALADO EM RESERVAÇÃO DE ÁGUA DE EDIFICAÇÃO QUE POSSUA RESERVATÓRIO DE FIBRA/FIBROCIMENTO   FORNECIMENTO E INSTALAÇÃO. AF_06/2016</v>
          </cell>
          <cell r="C4326" t="str">
            <v>UN</v>
          </cell>
          <cell r="D4326">
            <v>14.21</v>
          </cell>
        </row>
        <row r="4327">
          <cell r="A4327" t="str">
            <v>94663</v>
          </cell>
          <cell r="B4327" t="str">
            <v>LUVA, PVC, SOLDÁVEL, DN 50 MM, INSTALADO EM RESERVAÇÃO DE ÁGUA DE EDIFICAÇÃO QUE POSSUA RESERVATÓRIO DE FIBRA/FIBROCIMENTO   FORNECIMENTO E INSTALAÇÃO. AF_06/2016</v>
          </cell>
          <cell r="C4327" t="str">
            <v>UN</v>
          </cell>
          <cell r="D4327">
            <v>14.49</v>
          </cell>
        </row>
        <row r="4328">
          <cell r="A4328" t="str">
            <v>94664</v>
          </cell>
          <cell r="B4328" t="str">
            <v>ADAPTADOR CURTO COM BOLSA E ROSCA PARA REGISTRO, PVC, SOLDÁVEL, DN 60 MM X 2 , INSTALADO EM RESERVAÇÃO DE ÁGUA DE EDIFICAÇÃO QUE POSSUA RESERVATÓRIO DE FIBRA/FIBROCIMENTO   FORNECIMENTO E INSTALAÇÃO. AF_06/2016</v>
          </cell>
          <cell r="C4328" t="str">
            <v>UN</v>
          </cell>
          <cell r="D4328">
            <v>32.28</v>
          </cell>
        </row>
        <row r="4329">
          <cell r="A4329" t="str">
            <v>94665</v>
          </cell>
          <cell r="B4329" t="str">
            <v>LUVA, PVC, SOLDÁVEL, DN 60 MM, INSTALADO EM RESERVAÇÃO DE ÁGUA DE EDIFICAÇÃO QUE POSSUA RESERVATÓRIO DE FIBRA/FIBROCIMENTO   FORNECIMENTO E INSTALAÇÃO. AF_06/2016</v>
          </cell>
          <cell r="C4329" t="str">
            <v>UN</v>
          </cell>
          <cell r="D4329">
            <v>32.26</v>
          </cell>
        </row>
        <row r="4330">
          <cell r="A4330" t="str">
            <v>94666</v>
          </cell>
          <cell r="B4330" t="str">
            <v>ADAPTADOR CURTO COM BOLSA E ROSCA PARA REGISTRO, PVC, SOLDÁVEL, DN 75 MM X 2 1/2 , INSTALADO EM RESERVAÇÃO DE ÁGUA DE EDIFICAÇÃO QUE POSSUA RESERVATÓRIO DE FIBRA/FIBROCIMENTO   FORNECIMENTO E INSTALAÇÃO. AF_06/2016</v>
          </cell>
          <cell r="C4330" t="str">
            <v>UN</v>
          </cell>
          <cell r="D4330">
            <v>40.79</v>
          </cell>
        </row>
        <row r="4331">
          <cell r="A4331" t="str">
            <v>94667</v>
          </cell>
          <cell r="B4331" t="str">
            <v>LUVA, PVC, SOLDÁVEL, DN 75 MM, INSTALADO EM RESERVAÇÃO DE ÁGUA DE EDIFICAÇÃO QUE POSSUA RESERVATÓRIO DE FIBRA/FIBROCIMENTO   FORNECIMENTO E INSTALAÇÃO. AF_06/2016</v>
          </cell>
          <cell r="C4331" t="str">
            <v>UN</v>
          </cell>
          <cell r="D4331">
            <v>46.1</v>
          </cell>
        </row>
        <row r="4332">
          <cell r="A4332" t="str">
            <v>94668</v>
          </cell>
          <cell r="B4332" t="str">
            <v>ADAPTADOR CURTO COM BOLSA E ROSCA PARA REGISTRO, PVC, SOLDÁVEL, DN 85 MM X 3 , INSTALADO EM RESERVAÇÃO DE ÁGUA DE EDIFICAÇÃO QUE POSSUA RESERVATÓRIO DE FIBRA/FIBROCIMENTO   FORNECIMENTO E INSTALAÇÃO. AF_06/2016</v>
          </cell>
          <cell r="C4332" t="str">
            <v>UN</v>
          </cell>
          <cell r="D4332">
            <v>69.239999999999995</v>
          </cell>
        </row>
        <row r="4333">
          <cell r="A4333" t="str">
            <v>94669</v>
          </cell>
          <cell r="B4333" t="str">
            <v>LUVA, PVC, SOLDÁVEL, DN 85 MM, INSTALADO EM RESERVAÇÃO DE ÁGUA DE EDIFICAÇÃO QUE POSSUA RESERVATÓRIO DE FIBRA/FIBROCIMENTO   FORNECIMENTO E INSTALAÇÃO. AF_06/2016</v>
          </cell>
          <cell r="C4333" t="str">
            <v>UN</v>
          </cell>
          <cell r="D4333">
            <v>98.99</v>
          </cell>
        </row>
        <row r="4334">
          <cell r="A4334" t="str">
            <v>94670</v>
          </cell>
          <cell r="B4334" t="str">
            <v>ADAPTADOR CURTO COM BOLSA E ROSCA PARA REGISTRO, PVC, SOLDÁVEL, DN 110 MM X 4 , INSTALADO EM RESERVAÇÃO DE ÁGUA DE EDIFICAÇÃO QUE POSSUA RESERVATÓRIO DE FIBRA/FIBROCIMENTO   FORNECIMENTO E INSTALAÇÃO. AF_06/2016</v>
          </cell>
          <cell r="C4334" t="str">
            <v>UN</v>
          </cell>
          <cell r="D4334">
            <v>95.72</v>
          </cell>
        </row>
        <row r="4335">
          <cell r="A4335" t="str">
            <v>94671</v>
          </cell>
          <cell r="B4335" t="str">
            <v>LUVA, PVC, SOLDÁVEL, DN 110 MM, INSTALADO EM RESERVAÇÃO DE ÁGUA DE EDIFICAÇÃO QUE POSSUA RESERVATÓRIO DE FIBRA/FIBROCIMENTO   FORNECIMENTO E INSTALAÇÃO. AF_06/2016</v>
          </cell>
          <cell r="C4335" t="str">
            <v>UN</v>
          </cell>
          <cell r="D4335">
            <v>145.33000000000001</v>
          </cell>
        </row>
        <row r="4336">
          <cell r="A4336" t="str">
            <v>94672</v>
          </cell>
          <cell r="B4336" t="str">
            <v>JOELHO 90 GRAUS COM BUCHA DE LATÃO, PVC, SOLDÁVEL, DN  25 MM, X 3/4 INSTALADO EM RESERVAÇÃO DE ÁGUA DE EDIFICAÇÃO QUE POSSUA RESERVATÓRIO DE FIBRA/FIBROCIMENTO   FORNECIMENTO E INSTALAÇÃO. AF_06/2016</v>
          </cell>
          <cell r="C4336" t="str">
            <v>UN</v>
          </cell>
          <cell r="D4336">
            <v>11.51</v>
          </cell>
        </row>
        <row r="4337">
          <cell r="A4337" t="str">
            <v>94673</v>
          </cell>
          <cell r="B4337" t="str">
            <v>CURVA 90 GRAUS, PVC, SOLDÁVEL, DN  25 MM, INSTALADO EM RESERVAÇÃO DE ÁGUA DE EDIFICAÇÃO QUE POSSUA RESERVATÓRIO DE FIBRA/FIBROCIMENTO   FORNECIMENTO E INSTALAÇÃO. AF_06/2016</v>
          </cell>
          <cell r="C4337" t="str">
            <v>UN</v>
          </cell>
          <cell r="D4337">
            <v>11.1</v>
          </cell>
        </row>
        <row r="4338">
          <cell r="A4338" t="str">
            <v>94674</v>
          </cell>
          <cell r="B4338" t="str">
            <v>JOELHO 90 GRAUS, PVC, SOLDÁVEL, DN 32 MM INSTALADO EM RESERVAÇÃO DE ÁGUA DE EDIFICAÇÃO QUE POSSUA RESERVATÓRIO DE FIBRA/FIBROCIMENTO   FORNECIMENTO E INSTALAÇÃO. AF_06/2016</v>
          </cell>
          <cell r="C4338" t="str">
            <v>UN</v>
          </cell>
          <cell r="D4338">
            <v>9.7100000000000009</v>
          </cell>
        </row>
        <row r="4339">
          <cell r="A4339" t="str">
            <v>94675</v>
          </cell>
          <cell r="B4339" t="str">
            <v>CURVA 90 GRAUS, PVC, SOLDÁVEL, DN 32 MM, INSTALADO EM RESERVAÇÃO DE ÁGUA DE EDIFICAÇÃO QUE POSSUA RESERVATÓRIO DE FIBRA/FIBROCIMENTO   FORNECIMENTO E INSTALAÇÃO. AF_06/2016</v>
          </cell>
          <cell r="C4339" t="str">
            <v>UN</v>
          </cell>
          <cell r="D4339">
            <v>17.21</v>
          </cell>
        </row>
        <row r="4340">
          <cell r="A4340" t="str">
            <v>94676</v>
          </cell>
          <cell r="B4340" t="str">
            <v>JOELHO 90 GRAUS, PVC, SOLDÁVEL, DN 40 MM INSTALADO EM RESERVAÇÃO DE ÁGUA DE EDIFICAÇÃO QUE POSSUA RESERVATÓRIO DE FIBRA/FIBROCIMENTO   FORNECIMENTO E INSTALAÇÃO. AF_06/2016</v>
          </cell>
          <cell r="C4340" t="str">
            <v>UN</v>
          </cell>
          <cell r="D4340">
            <v>17.649999999999999</v>
          </cell>
        </row>
        <row r="4341">
          <cell r="A4341" t="str">
            <v>94677</v>
          </cell>
          <cell r="B4341" t="str">
            <v>CURVA 90 GRAUS, PVC, SOLDÁVEL, DN 40 MM, INSTALADO EM RESERVAÇÃO DE ÁGUA DE EDIFICAÇÃO QUE POSSUA RESERVATÓRIO DE FIBRA/FIBROCIMENTO   FORNECIMENTO E INSTALAÇÃO. AF_06/2016</v>
          </cell>
          <cell r="C4341" t="str">
            <v>UN</v>
          </cell>
          <cell r="D4341">
            <v>28.93</v>
          </cell>
        </row>
        <row r="4342">
          <cell r="A4342" t="str">
            <v>94678</v>
          </cell>
          <cell r="B4342" t="str">
            <v>JOELHO 90 GRAUS, PVC, SOLDÁVEL, DN 50 MM INSTALADO EM RESERVAÇÃO DE ÁGUA DE EDIFICAÇÃO QUE POSSUA RESERVATÓRIO DE FIBRA/FIBROCIMENTO   FORNECIMENTO E INSTALAÇÃO. AF_06/2016</v>
          </cell>
          <cell r="C4342" t="str">
            <v>UN</v>
          </cell>
          <cell r="D4342">
            <v>18.32</v>
          </cell>
        </row>
        <row r="4343">
          <cell r="A4343" t="str">
            <v>94679</v>
          </cell>
          <cell r="B4343" t="str">
            <v>CURVA 90 GRAUS, PVC, SOLDÁVEL, DN 50 MM, INSTALADO EM RESERVAÇÃO DE ÁGUA DE EDIFICAÇÃO QUE POSSUA RESERVATÓRIO DE FIBRA/FIBROCIMENTO   FORNECIMENTO E INSTALAÇÃO. AF_06/2016</v>
          </cell>
          <cell r="C4343" t="str">
            <v>UN</v>
          </cell>
          <cell r="D4343">
            <v>33.17</v>
          </cell>
        </row>
        <row r="4344">
          <cell r="A4344" t="str">
            <v>94680</v>
          </cell>
          <cell r="B4344" t="str">
            <v>JOELHO 90 GRAUS, PVC, SOLDÁVEL, DN 60 MM INSTALADO EM RESERVAÇÃO DE ÁGUA DE EDIFICAÇÃO QUE POSSUA RESERVATÓRIO DE FIBRA/FIBROCIMENTO   FORNECIMENTO E INSTALAÇÃO. AF_06/2016</v>
          </cell>
          <cell r="C4344" t="str">
            <v>UN</v>
          </cell>
          <cell r="D4344">
            <v>55.21</v>
          </cell>
        </row>
        <row r="4345">
          <cell r="A4345" t="str">
            <v>94681</v>
          </cell>
          <cell r="B4345" t="str">
            <v>CURVA 90 GRAUS, PVC, SOLDÁVEL, DN 60 MM, INSTALADO EM RESERVAÇÃO DE ÁGUA DE EDIFICAÇÃO QUE POSSUA RESERVATÓRIO DE FIBRA/FIBROCIMENTO   FORNECIMENTO E INSTALAÇÃO. AF_06/2016</v>
          </cell>
          <cell r="C4345" t="str">
            <v>UN</v>
          </cell>
          <cell r="D4345">
            <v>75.569999999999993</v>
          </cell>
        </row>
        <row r="4346">
          <cell r="A4346" t="str">
            <v>94682</v>
          </cell>
          <cell r="B4346" t="str">
            <v>JOELHO 90 GRAUS, PVC, SOLDÁVEL, DN 75 MM INSTALADO EM RESERVAÇÃO DE ÁGUA DE EDIFICAÇÃO QUE POSSUA RESERVATÓRIO DE FIBRA/FIBROCIMENTO   FORNECIMENTO E INSTALAÇÃO. AF_06/2016</v>
          </cell>
          <cell r="C4346" t="str">
            <v>UN</v>
          </cell>
          <cell r="D4346">
            <v>159.97</v>
          </cell>
        </row>
        <row r="4347">
          <cell r="A4347" t="str">
            <v>94683</v>
          </cell>
          <cell r="B4347" t="str">
            <v>CURVA 90 GRAUS, PVC, SOLDÁVEL, DN 75 MM, INSTALADO EM RESERVAÇÃO DE ÁGUA DE EDIFICAÇÃO QUE POSSUA RESERVATÓRIO DE FIBRA/FIBROCIMENTO   FORNECIMENTO E INSTALAÇÃO. AF_06/2016</v>
          </cell>
          <cell r="C4347" t="str">
            <v>UN</v>
          </cell>
          <cell r="D4347">
            <v>100.19</v>
          </cell>
        </row>
        <row r="4348">
          <cell r="A4348" t="str">
            <v>94684</v>
          </cell>
          <cell r="B4348" t="str">
            <v>JOELHO 90 GRAUS, PVC, SOLDÁVEL, DN 85 MM INSTALADO EM RESERVAÇÃO DE ÁGUA DE EDIFICAÇÃO QUE POSSUA RESERVATÓRIO DE FIBRA/FIBROCIMENTO   FORNECIMENTO E INSTALAÇÃO. AF_06/2016</v>
          </cell>
          <cell r="C4348" t="str">
            <v>UN</v>
          </cell>
          <cell r="D4348">
            <v>199.94</v>
          </cell>
        </row>
        <row r="4349">
          <cell r="A4349" t="str">
            <v>94685</v>
          </cell>
          <cell r="B4349" t="str">
            <v>CURVA 90 GRAUS, PVC, SOLDÁVEL, DN 85 MM, INSTALADO EM RESERVAÇÃO DE ÁGUA DE EDIFICAÇÃO QUE POSSUA RESERVATÓRIO DE FIBRA/FIBROCIMENTO   FORNECIMENTO E INSTALAÇÃO. AF_06/2016</v>
          </cell>
          <cell r="C4349" t="str">
            <v>UN</v>
          </cell>
          <cell r="D4349">
            <v>150.18</v>
          </cell>
        </row>
        <row r="4350">
          <cell r="A4350" t="str">
            <v>94686</v>
          </cell>
          <cell r="B4350" t="str">
            <v>JOELHO 90 GRAUS, PVC, SOLDÁVEL, DN 110 MM INSTALADO EM RESERVAÇÃO DE ÁGUA DE EDIFICAÇÃO QUE POSSUA RESERVATÓRIO DE FIBRA/FIBROCIMENTO   FORNECIMENTO E INSTALAÇÃO. AF_06/2016</v>
          </cell>
          <cell r="C4350" t="str">
            <v>UN</v>
          </cell>
          <cell r="D4350">
            <v>387.51</v>
          </cell>
        </row>
        <row r="4351">
          <cell r="A4351" t="str">
            <v>94687</v>
          </cell>
          <cell r="B4351" t="str">
            <v>CURVA 90 GRAUS, PVC, SOLDÁVEL, DN 110 MM, INSTALADO EM RESERVAÇÃO DE ÁGUA DE EDIFICAÇÃO QUE POSSUA RESERVATÓRIO DE FIBRA/FIBROCIMENTO   FORNECIMENTO E INSTALAÇÃO. AF_06/2016</v>
          </cell>
          <cell r="C4351" t="str">
            <v>UN</v>
          </cell>
          <cell r="D4351">
            <v>312.51</v>
          </cell>
        </row>
        <row r="4352">
          <cell r="A4352" t="str">
            <v>94688</v>
          </cell>
          <cell r="B4352" t="str">
            <v>TÊ, PVC, SOLDÁVEL, DN  25 MM INSTALADO EM RESERVAÇÃO DE ÁGUA DE EDIFICAÇÃO QUE POSSUA RESERVATÓRIO DE FIBRA/FIBROCIMENTO   FORNECIMENTO E INSTALAÇÃO. AF_06/2016</v>
          </cell>
          <cell r="C4352" t="str">
            <v>UN</v>
          </cell>
          <cell r="D4352">
            <v>10.5</v>
          </cell>
        </row>
        <row r="4353">
          <cell r="A4353" t="str">
            <v>94689</v>
          </cell>
          <cell r="B4353" t="str">
            <v>TÊ COM BUCHA DE LATÃO NA BOLSA CENTRAL, PVC, SOLDÁVEL, DN  25 MM X 3/4 , INSTALADO EM RESERVAÇÃO DE ÁGUA DE EDIFICAÇÃO QUE POSSUA RESERVATÓRIO DE FIBRA/FIBROCIMENTO   FORNECIMENTO E INSTALAÇÃO. AF_06/2016</v>
          </cell>
          <cell r="C4353" t="str">
            <v>UN</v>
          </cell>
          <cell r="D4353">
            <v>15.89</v>
          </cell>
        </row>
        <row r="4354">
          <cell r="A4354" t="str">
            <v>94690</v>
          </cell>
          <cell r="B4354" t="str">
            <v>TÊ, PVC, SOLDÁVEL, DN 32 MM INSTALADO EM RESERVAÇÃO DE ÁGUA DE EDIFICAÇÃO QUE POSSUA RESERVATÓRIO DE FIBRA/FIBROCIMENTO   FORNECIMENTO E INSTALAÇÃO. AF_06/2016</v>
          </cell>
          <cell r="C4354" t="str">
            <v>UN</v>
          </cell>
          <cell r="D4354">
            <v>15.01</v>
          </cell>
        </row>
        <row r="4355">
          <cell r="A4355" t="str">
            <v>94691</v>
          </cell>
          <cell r="B4355" t="str">
            <v>TÊ DE REDUÇÃO, PVC, SOLDÁVEL, DN 32 MM X  25 MM, INSTALADO EM RESERVAÇÃO DE ÁGUA DE EDIFICAÇÃO QUE POSSUA RESERVATÓRIO DE FIBRA/FIBROCIMENTO   FORNECIMENTO E INSTALAÇÃO. AF_06/2016</v>
          </cell>
          <cell r="C4355" t="str">
            <v>UN</v>
          </cell>
          <cell r="D4355">
            <v>18.14</v>
          </cell>
        </row>
        <row r="4356">
          <cell r="A4356" t="str">
            <v>94692</v>
          </cell>
          <cell r="B4356" t="str">
            <v>TÊ, PVC, SOLDÁVEL, DN 40 MM INSTALADO EM RESERVAÇÃO DE ÁGUA DE EDIFICAÇÃO QUE POSSUA RESERVATÓRIO DE FIBRA/FIBROCIMENTO   FORNECIMENTO E INSTALAÇÃO. AF_06/2016</v>
          </cell>
          <cell r="C4356" t="str">
            <v>UN</v>
          </cell>
          <cell r="D4356">
            <v>27.34</v>
          </cell>
        </row>
        <row r="4357">
          <cell r="A4357" t="str">
            <v>94693</v>
          </cell>
          <cell r="B4357" t="str">
            <v>TÊ DE REDUÇÃO, PVC, SOLDÁVEL, DN 40 MM X 32 MM, INSTALADO EM RESERVAÇÃO DE ÁGUA DE EDIFICAÇÃO QUE POSSUA RESERVATÓRIO DE FIBRA/FIBROCIMENTO   FORNECIMENTO E INSTALAÇÃO. AF_06/2016</v>
          </cell>
          <cell r="C4357" t="str">
            <v>UN</v>
          </cell>
          <cell r="D4357">
            <v>28.91</v>
          </cell>
        </row>
        <row r="4358">
          <cell r="A4358" t="str">
            <v>94694</v>
          </cell>
          <cell r="B4358" t="str">
            <v>TÊ, PVC, SOLDÁVEL, DN 50 MM INSTALADO EM RESERVAÇÃO DE ÁGUA DE EDIFICAÇÃO QUE POSSUA RESERVATÓRIO DE FIBRA/FIBROCIMENTO   FORNECIMENTO E INSTALAÇÃO. AF_06/2016</v>
          </cell>
          <cell r="C4358" t="str">
            <v>UN</v>
          </cell>
          <cell r="D4358">
            <v>29</v>
          </cell>
        </row>
        <row r="4359">
          <cell r="A4359" t="str">
            <v>94695</v>
          </cell>
          <cell r="B4359" t="str">
            <v>TÊ DE REDUÇÃO, PVC, SOLDÁVEL, DN 50 MM X 40 MM, INSTALADO EM RESERVAÇÃO DE ÁGUA DE EDIFICAÇÃO QUE POSSUA RESERVATÓRIO DE FIBRA/FIBROCIMENTO   FORNECIMENTO E INSTALAÇÃO. AF_06/2016</v>
          </cell>
          <cell r="C4359" t="str">
            <v>UN</v>
          </cell>
          <cell r="D4359">
            <v>41.15</v>
          </cell>
        </row>
        <row r="4360">
          <cell r="A4360" t="str">
            <v>94696</v>
          </cell>
          <cell r="B4360" t="str">
            <v>TÊ, PVC, SOLDÁVEL, DN 60 MM INSTALADO EM RESERVAÇÃO DE ÁGUA DE EDIFICAÇÃO QUE POSSUA RESERVATÓRIO DE FIBRA/FIBROCIMENTO   FORNECIMENTO E INSTALAÇÃO. AF_06/2016</v>
          </cell>
          <cell r="C4360" t="str">
            <v>UN</v>
          </cell>
          <cell r="D4360">
            <v>71.06</v>
          </cell>
        </row>
        <row r="4361">
          <cell r="A4361" t="str">
            <v>94697</v>
          </cell>
          <cell r="B4361" t="str">
            <v>TÊ, PVC, SOLDÁVEL, DN 75 MM INSTALADO EM RESERVAÇÃO DE ÁGUA DE EDIFICAÇÃO QUE POSSUA RESERVATÓRIO DE FIBRA/FIBROCIMENTO   FORNECIMENTO E INSTALAÇÃO. AF_06/2016</v>
          </cell>
          <cell r="C4361" t="str">
            <v>UN</v>
          </cell>
          <cell r="D4361">
            <v>118.11</v>
          </cell>
        </row>
        <row r="4362">
          <cell r="A4362" t="str">
            <v>94698</v>
          </cell>
          <cell r="B4362" t="str">
            <v>TÊ DE REDUÇÃO, PVC, SOLDÁVEL, DN 75 MM X 50 MM, INSTALADO EM RESERVAÇÃO DE ÁGUA DE EDIFICAÇÃO QUE POSSUA RESERVATÓRIO DE FIBRA/FIBROCIMENTO   FORNECIMENTO E INSTALAÇÃO. AF_06/2016</v>
          </cell>
          <cell r="C4362" t="str">
            <v>UN</v>
          </cell>
          <cell r="D4362">
            <v>101.57</v>
          </cell>
        </row>
        <row r="4363">
          <cell r="A4363" t="str">
            <v>94699</v>
          </cell>
          <cell r="B4363" t="str">
            <v>TÊ, PVC, SOLDÁVEL, DN 85 MM INSTALADO EM RESERVAÇÃO DE ÁGUA DE EDIFICAÇÃO QUE POSSUA RESERVATÓRIO DE FIBRA/FIBROCIMENTO   FORNECIMENTO E INSTALAÇÃO. AF_06/2016</v>
          </cell>
          <cell r="C4363" t="str">
            <v>UN</v>
          </cell>
          <cell r="D4363">
            <v>197.46</v>
          </cell>
        </row>
        <row r="4364">
          <cell r="A4364" t="str">
            <v>94700</v>
          </cell>
          <cell r="B4364" t="str">
            <v>TÊ DE REDUÇÃO, PVC, SOLDÁVEL, DN 85 MM X 60 MM, INSTALADO EM RESERVAÇÃO DE ÁGUA DE EDIFICAÇÃO QUE POSSUA RESERVATÓRIO DE FIBRA/FIBROCIMENTO   FORNECIMENTO E INSTALAÇÃO. AF_06/2016</v>
          </cell>
          <cell r="C4364" t="str">
            <v>UN</v>
          </cell>
          <cell r="D4364">
            <v>163.61000000000001</v>
          </cell>
        </row>
        <row r="4365">
          <cell r="A4365" t="str">
            <v>94701</v>
          </cell>
          <cell r="B4365" t="str">
            <v>TÊ, PVC, SOLDÁVEL, DN 110 MM INSTALADO EM RESERVAÇÃO DE ÁGUA DE EDIFICAÇÃO QUE POSSUA RESERVATÓRIO DE FIBRA/FIBROCIMENTO   FORNECIMENTO E INSTALAÇÃO. AF_06/2016</v>
          </cell>
          <cell r="C4365" t="str">
            <v>UN</v>
          </cell>
          <cell r="D4365">
            <v>304.83</v>
          </cell>
        </row>
        <row r="4366">
          <cell r="A4366" t="str">
            <v>94702</v>
          </cell>
          <cell r="B4366" t="str">
            <v>TÊ DE REDUÇÃO, PVC, SOLDÁVEL, DN 110 MM X 60 MM, INSTALADO EM RESERVAÇÃO DE ÁGUA DE EDIFICAÇÃO QUE POSSUA RESERVATÓRIO DE FIBRA/FIBROCIMENTO   FORNECIMENTO E INSTALAÇÃO. AF_06/2016</v>
          </cell>
          <cell r="C4366" t="str">
            <v>UN</v>
          </cell>
          <cell r="D4366">
            <v>287.52</v>
          </cell>
        </row>
        <row r="4367">
          <cell r="A4367" t="str">
            <v>94703</v>
          </cell>
          <cell r="B4367" t="str">
            <v>ADAPTADOR COM FLANGE E ANEL DE VEDAÇÃO, PVC, SOLDÁVEL, DN  25 MM X 3/4 , INSTALADO EM RESERVAÇÃO DE ÁGUA DE EDIFICAÇÃO QUE POSSUA RESERVATÓRIO DE FIBRA/FIBROCIMENTO   FORNECIMENTO E INSTALAÇÃO. AF_06/2016</v>
          </cell>
          <cell r="C4367" t="str">
            <v>UN</v>
          </cell>
          <cell r="D4367">
            <v>24.53</v>
          </cell>
        </row>
        <row r="4368">
          <cell r="A4368" t="str">
            <v>94704</v>
          </cell>
          <cell r="B4368" t="str">
            <v>ADAPTADOR COM FLANGE E ANEL DE VEDAÇÃO, PVC, SOLDÁVEL, DN 32 MM X 1 , INSTALADO EM RESERVAÇÃO DE ÁGUA DE EDIFICAÇÃO QUE POSSUA RESERVATÓRIO DE FIBRA/FIBROCIMENTO   FORNECIMENTO E INSTALAÇÃO. AF_06/2016</v>
          </cell>
          <cell r="C4368" t="str">
            <v>UN</v>
          </cell>
          <cell r="D4368">
            <v>29.73</v>
          </cell>
        </row>
        <row r="4369">
          <cell r="A4369" t="str">
            <v>94705</v>
          </cell>
          <cell r="B4369" t="str">
            <v>ADAPTADOR COM FLANGE E ANEL DE VEDAÇÃO, PVC, SOLDÁVEL, DN 40 MM X 1 1/4 , INSTALADO EM RESERVAÇÃO DE ÁGUA DE EDIFICAÇÃO QUE POSSUA RESERVATÓRIO DE FIBRA/FIBROCIMENTO   FORNECIMENTO E INSTALAÇÃO. AF_06/2016</v>
          </cell>
          <cell r="C4369" t="str">
            <v>UN</v>
          </cell>
          <cell r="D4369">
            <v>37.590000000000003</v>
          </cell>
        </row>
        <row r="4370">
          <cell r="A4370" t="str">
            <v>94706</v>
          </cell>
          <cell r="B4370" t="str">
            <v>ADAPTADOR COM FLANGE E ANEL DE VEDAÇÃO, PVC, SOLDÁVEL, DN 50 MM X 1 1/2 , INSTALADO EM RESERVAÇÃO DE ÁGUA DE EDIFICAÇÃO QUE POSSUA RESERVATÓRIO DE FIBRA/FIBROCIMENTO   FORNECIMENTO E INSTALAÇÃO. AF_06/2016</v>
          </cell>
          <cell r="C4370" t="str">
            <v>UN</v>
          </cell>
          <cell r="D4370">
            <v>52.07</v>
          </cell>
        </row>
        <row r="4371">
          <cell r="A4371" t="str">
            <v>94707</v>
          </cell>
          <cell r="B4371" t="str">
            <v>ADAPTADOR COM FLANGE E ANEL DE VEDAÇÃO, PVC, SOLDÁVEL, DN 60 MM X 2 , INSTALADO EM RESERVAÇÃO DE ÁGUA DE EDIFICAÇÃO QUE POSSUA RESERVATÓRIO DE FIBRA/FIBROCIMENTO   FORNECIMENTO E INSTALAÇÃO. AF_06/2016</v>
          </cell>
          <cell r="C4371" t="str">
            <v>UN</v>
          </cell>
          <cell r="D4371">
            <v>66.67</v>
          </cell>
        </row>
        <row r="4372">
          <cell r="A4372" t="str">
            <v>94708</v>
          </cell>
          <cell r="B4372" t="str">
            <v>ADAPTADOR COM FLANGES LIVRES, PVC, SOLDÁVEL, DN  25 MM X 3/4 , INSTALADO EM RESERVAÇÃO DE ÁGUA DE EDIFICAÇÃO QUE POSSUA RESERVATÓRIO DE FIBRA/FIBROCIMENTO   FORNECIMENTO E INSTALAÇÃO. AF_06/2016</v>
          </cell>
          <cell r="C4372" t="str">
            <v>UN</v>
          </cell>
          <cell r="D4372">
            <v>30.44</v>
          </cell>
        </row>
        <row r="4373">
          <cell r="A4373" t="str">
            <v>94709</v>
          </cell>
          <cell r="B4373" t="str">
            <v>ADAPTADOR COM FLANGES LIVRES, PVC, SOLDÁVEL, DN 32 MM X 1 , INSTALADO EM RESERVAÇÃO DE ÁGUA DE EDIFICAÇÃO QUE POSSUA RESERVATÓRIO DE FIBRA/FIBROCIMENTO   FORNECIMENTO E INSTALAÇÃO. AF_06/2016</v>
          </cell>
          <cell r="C4373" t="str">
            <v>UN</v>
          </cell>
          <cell r="D4373">
            <v>40.799999999999997</v>
          </cell>
        </row>
        <row r="4374">
          <cell r="A4374" t="str">
            <v>94710</v>
          </cell>
          <cell r="B4374" t="str">
            <v>ADAPTADOR COM FLANGES LIVRES, PVC, SOLDÁVEL, DN 40 MM X 1 1/4 , INSTALADO EM RESERVAÇÃO DE ÁGUA DE EDIFICAÇÃO QUE POSSUA RESERVATÓRIO DE FIBRA/FIBROCIMENTO   FORNECIMENTO E INSTALAÇÃO. AF_06/2016</v>
          </cell>
          <cell r="C4374" t="str">
            <v>UN</v>
          </cell>
          <cell r="D4374">
            <v>66.52</v>
          </cell>
        </row>
        <row r="4375">
          <cell r="A4375" t="str">
            <v>94711</v>
          </cell>
          <cell r="B4375" t="str">
            <v>ADAPTADOR COM FLANGES LIVRES, PVC, SOLDÁVEL, DN 50 MM X 1 1/2 , INSTALADO EM RESERVAÇÃO DE ÁGUA DE EDIFICAÇÃO QUE POSSUA RESERVATÓRIO DE FIBRA/FIBROCIMENTO   FORNECIMENTO E INSTALAÇÃO. AF_06/2016</v>
          </cell>
          <cell r="C4375" t="str">
            <v>UN</v>
          </cell>
          <cell r="D4375">
            <v>75.959999999999994</v>
          </cell>
        </row>
        <row r="4376">
          <cell r="A4376" t="str">
            <v>94712</v>
          </cell>
          <cell r="B4376" t="str">
            <v>ADAPTADOR COM FLANGES LIVRES, PVC, SOLDÁVEL, DN 60 MM X 2 , INSTALADO EM RESERVAÇÃO DE ÁGUA DE EDIFICAÇÃO QUE POSSUA RESERVATÓRIO DE FIBRA/FIBROCIMENTO   FORNECIMENTO E INSTALAÇÃO. AF_06/2016</v>
          </cell>
          <cell r="C4376" t="str">
            <v>UN</v>
          </cell>
          <cell r="D4376">
            <v>105.49</v>
          </cell>
        </row>
        <row r="4377">
          <cell r="A4377" t="str">
            <v>94713</v>
          </cell>
          <cell r="B4377" t="str">
            <v>ADAPTADOR COM FLANGES LIVRES, PVC, SOLDÁVEL, DN 75 MM X 2 1/2 , INSTALADO EM RESERVAÇÃO DE ÁGUA DE EDIFICAÇÃO QUE POSSUA RESERVATÓRIO DE FIBRA/FIBROCIMENTO   FORNECIMENTO E INSTALAÇÃO. AF_06/2016</v>
          </cell>
          <cell r="C4377" t="str">
            <v>UN</v>
          </cell>
          <cell r="D4377">
            <v>292.8</v>
          </cell>
        </row>
        <row r="4378">
          <cell r="A4378" t="str">
            <v>94714</v>
          </cell>
          <cell r="B4378" t="str">
            <v>ADAPTADOR COM FLANGES LIVRES, PVC, SOLDÁVEL, DN 85 MM X 3 , INSTALADO EM RESERVAÇÃO DE ÁGUA DE EDIFICAÇÃO QUE POSSUA RESERVATÓRIO DE FIBRA/FIBROCIMENTO   FORNECIMENTO E INSTALAÇÃO. AF_06/2016</v>
          </cell>
          <cell r="C4378" t="str">
            <v>UN</v>
          </cell>
          <cell r="D4378">
            <v>400.82</v>
          </cell>
        </row>
        <row r="4379">
          <cell r="A4379" t="str">
            <v>94715</v>
          </cell>
          <cell r="B4379" t="str">
            <v>ADAPTADOR COM FLANGES LIVRES, PVC, SOLDÁVEL, DN 110 MM X 4 , INSTALADO EM RESERVAÇÃO DE ÁGUA DE EDIFICAÇÃO QUE POSSUA RESERVATÓRIO DE FIBRA/FIBROCIMENTO   FORNECIMENTO E INSTALAÇÃO. AF_06/2016</v>
          </cell>
          <cell r="C4379" t="str">
            <v>UN</v>
          </cell>
          <cell r="D4379">
            <v>557.45000000000005</v>
          </cell>
        </row>
        <row r="4380">
          <cell r="A4380" t="str">
            <v>94724</v>
          </cell>
          <cell r="B4380" t="str">
            <v>CONECTOR, CPVC, SOLDÁVEL, DN 22 MM X 3/4, INSTALADO EM RESERVAÇÃO DE ÁGUA DE EDIFICAÇÃO QUE POSSUA RESERVATÓRIO DE FIBRA/FIBROCIMENTO  FORNECIMENTO E INSTALAÇÃO. AF_06/2016</v>
          </cell>
          <cell r="C4380" t="str">
            <v>UN</v>
          </cell>
          <cell r="D4380">
            <v>28.93</v>
          </cell>
        </row>
        <row r="4381">
          <cell r="A4381" t="str">
            <v>94725</v>
          </cell>
          <cell r="B4381" t="str">
            <v>LUVA, CPVC, SOLDÁVEL, DN 22 MM, INSTALADO EM RESERVAÇÃO DE ÁGUA DE EDIFICAÇÃO QUE POSSUA RESERVATÓRIO DE FIBRA/FIBROCIMENTO  FORNECIMENTO E INSTALAÇÃO. AF_06/2016</v>
          </cell>
          <cell r="C4381" t="str">
            <v>UN</v>
          </cell>
          <cell r="D4381">
            <v>6.34</v>
          </cell>
        </row>
        <row r="4382">
          <cell r="A4382" t="str">
            <v>94726</v>
          </cell>
          <cell r="B4382" t="str">
            <v>CONECTOR, CPVC, SOLDÁVEL, DN 28 MM X 1, INSTALADO EM RESERVAÇÃO DE ÁGUA DE EDIFICAÇÃO QUE POSSUA RESERVATÓRIO DE FIBRA/FIBROCIMENTO  FORNECIMENTO E INSTALAÇÃO. AF_06/2016</v>
          </cell>
          <cell r="C4382" t="str">
            <v>UN</v>
          </cell>
          <cell r="D4382">
            <v>45.08</v>
          </cell>
        </row>
        <row r="4383">
          <cell r="A4383" t="str">
            <v>94727</v>
          </cell>
          <cell r="B4383" t="str">
            <v>LUVA, CPVC, SOLDÁVEL, DN 28 MM, INSTALADO EM RESERVAÇÃO DE ÁGUA DE EDIFICAÇÃO QUE POSSUA RESERVATÓRIO DE FIBRA/FIBROCIMENTO  FORNECIMENTO E INSTALAÇÃO. AF_06/2016</v>
          </cell>
          <cell r="C4383" t="str">
            <v>UN</v>
          </cell>
          <cell r="D4383">
            <v>9.33</v>
          </cell>
        </row>
        <row r="4384">
          <cell r="A4384" t="str">
            <v>94728</v>
          </cell>
          <cell r="B4384" t="str">
            <v>CONECTOR, CPVC, SOLDÁVEL, DN 35 MM X 1 1/4, INSTALADO EM RESERVAÇÃO DE ÁGUA DE EDIFICAÇÃO QUE POSSUA RESERVATÓRIO DE FIBRA/FIBROCIMENTO  FORNECIMENTO E INSTALAÇÃO. AF_06/2016</v>
          </cell>
          <cell r="C4384" t="str">
            <v>UN</v>
          </cell>
          <cell r="D4384">
            <v>172.42</v>
          </cell>
        </row>
        <row r="4385">
          <cell r="A4385" t="str">
            <v>94729</v>
          </cell>
          <cell r="B4385" t="str">
            <v>LUVA, CPVC, SOLDÁVEL, DN 35 MM, INSTALADO EM RESERVAÇÃO DE ÁGUA DE EDIFICAÇÃO QUE POSSUA RESERVATÓRIO DE FIBRA/FIBROCIMENTO  FORNECIMENTO E INSTALAÇÃO. AF_06/2016</v>
          </cell>
          <cell r="C4385" t="str">
            <v>UN</v>
          </cell>
          <cell r="D4385">
            <v>16.809999999999999</v>
          </cell>
        </row>
        <row r="4386">
          <cell r="A4386" t="str">
            <v>94730</v>
          </cell>
          <cell r="B4386" t="str">
            <v>CONECTOR, CPVC, SOLDÁVEL, DN 42 MM X 1 1/2, INSTALADO EM RESERVAÇÃO DE ÁGUA DE EDIFICAÇÃO QUE POSSUA RESERVATÓRIO DE FIBRA/FIBROCIMENTO  FORNECIMENTO E INSTALAÇÃO. AF_06/2016</v>
          </cell>
          <cell r="C4386" t="str">
            <v>UN</v>
          </cell>
          <cell r="D4386">
            <v>209.67</v>
          </cell>
        </row>
        <row r="4387">
          <cell r="A4387" t="str">
            <v>94731</v>
          </cell>
          <cell r="B4387" t="str">
            <v>LUVA, CPVC, SOLDÁVEL, DN 42 MM, INSTALADO EM RESERVAÇÃO DE ÁGUA DE EDIFICAÇÃO QUE POSSUA RESERVATÓRIO DE FIBRA/FIBROCIMENTO  FORNECIMENTO E INSTALAÇÃO. AF_06/2016</v>
          </cell>
          <cell r="C4387" t="str">
            <v>UN</v>
          </cell>
          <cell r="D4387">
            <v>21.34</v>
          </cell>
        </row>
        <row r="4388">
          <cell r="A4388" t="str">
            <v>94733</v>
          </cell>
          <cell r="B4388" t="str">
            <v>LUVA, CPVC, SOLDÁVEL, DN 54 MM, INSTALADO EM RESERVAÇÃO DE ÁGUA DE EDIFICAÇÃO QUE POSSUA RESERVATÓRIO DE FIBRA/FIBROCIMENTO  FORNECIMENTO E INSTALAÇÃO. AF_06/2016</v>
          </cell>
          <cell r="C4388" t="str">
            <v>UN</v>
          </cell>
          <cell r="D4388">
            <v>41.62</v>
          </cell>
        </row>
        <row r="4389">
          <cell r="A4389" t="str">
            <v>94737</v>
          </cell>
          <cell r="B4389" t="str">
            <v>LUVA, CPVC, SOLDÁVEL, DN 89 MM, INSTALADO EM RESERVAÇÃO DE ÁGUA DE EDIFICAÇÃO QUE POSSUA RESERVATÓRIO DE FIBRA/FIBROCIMENTO  FORNECIMENTO E INSTALAÇÃO. AF_06/2016</v>
          </cell>
          <cell r="C4389" t="str">
            <v>UN</v>
          </cell>
          <cell r="D4389">
            <v>177.88</v>
          </cell>
        </row>
        <row r="4390">
          <cell r="A4390" t="str">
            <v>94740</v>
          </cell>
          <cell r="B4390" t="str">
            <v>JOELHO 90 GRAUS, CPVC, SOLDÁVEL, DN 22 MM, INSTALADO EM RESERVAÇÃO DE ÁGUA DE EDIFICAÇÃO QUE POSSUA RESERVATÓRIO DE FIBRA/FIBROCIMENTO  FORNECIMENTO E INSTALAÇÃO. AF_06/2016</v>
          </cell>
          <cell r="C4390" t="str">
            <v>UN</v>
          </cell>
          <cell r="D4390">
            <v>10.1</v>
          </cell>
        </row>
        <row r="4391">
          <cell r="A4391" t="str">
            <v>94741</v>
          </cell>
          <cell r="B4391" t="str">
            <v>CURVA 90 GRAUS, CPVC, SOLDÁVEL, DN 22 MM, INSTALADO EM RESERVAÇÃO DE ÁGUA DE EDIFICAÇÃO QUE POSSUA RESERVATÓRIO DE FIBRA/FIBROCIMENTO  FORNECIMENTO E INSTALAÇÃO. AF_06/2016</v>
          </cell>
          <cell r="C4391" t="str">
            <v>UN</v>
          </cell>
          <cell r="D4391">
            <v>12.83</v>
          </cell>
        </row>
        <row r="4392">
          <cell r="A4392" t="str">
            <v>94742</v>
          </cell>
          <cell r="B4392" t="str">
            <v>JOELHO 90 GRAUS, CPVC, SOLDÁVEL, DN 28 MM, INSTALADO EM RESERVAÇÃO DE ÁGUA DE EDIFICAÇÃO QUE POSSUA RESERVATÓRIO DE FIBRA/FIBROCIMENTO  FORNECIMENTO E INSTALAÇÃO. AF_06/2016</v>
          </cell>
          <cell r="C4392" t="str">
            <v>UN</v>
          </cell>
          <cell r="D4392">
            <v>15.88</v>
          </cell>
        </row>
        <row r="4393">
          <cell r="A4393" t="str">
            <v>94743</v>
          </cell>
          <cell r="B4393" t="str">
            <v>CURVA 90 GRAUS, CPVC, SOLDÁVEL, DN 28 MM, INSTALADO EM RESERVAÇÃO DE ÁGUA DE EDIFICAÇÃO QUE POSSUA RESERVATÓRIO DE FIBRA/FIBROCIMENTO  FORNECIMENTO E INSTALAÇÃO. AF_06/2016</v>
          </cell>
          <cell r="C4393" t="str">
            <v>UN</v>
          </cell>
          <cell r="D4393">
            <v>17.600000000000001</v>
          </cell>
        </row>
        <row r="4394">
          <cell r="A4394" t="str">
            <v>94744</v>
          </cell>
          <cell r="B4394" t="str">
            <v>JOELHO 90 GRAUS, CPVC, SOLDÁVEL, DN 35 MM, INSTALADO EM RESERVAÇÃO DE ÁGUA DE EDIFICAÇÃO QUE POSSUA RESERVATÓRIO DE FIBRA/FIBROCIMENTO  FORNECIMENTO E INSTALAÇÃO. AF_06/2016</v>
          </cell>
          <cell r="C4394" t="str">
            <v>UN</v>
          </cell>
          <cell r="D4394">
            <v>25.64</v>
          </cell>
        </row>
        <row r="4395">
          <cell r="A4395" t="str">
            <v>94746</v>
          </cell>
          <cell r="B4395" t="str">
            <v>JOELHO 90 GRAUS, CPVC, SOLDÁVEL, DN 42 MM, INSTALADO EM RESERVAÇÃO DE ÁGUA DE EDIFICAÇÃO QUE POSSUA RESERVATÓRIO DE FIBRA/FIBROCIMENTO  FORNECIMENTO E INSTALAÇÃO. AF_06/2016</v>
          </cell>
          <cell r="C4395" t="str">
            <v>UN</v>
          </cell>
          <cell r="D4395">
            <v>37.14</v>
          </cell>
        </row>
        <row r="4396">
          <cell r="A4396" t="str">
            <v>94748</v>
          </cell>
          <cell r="B4396" t="str">
            <v>JOELHO 90 GRAUS, CPVC, SOLDÁVEL, DN 54 MM, INSTALADO EM RESERVAÇÃO DE ÁGUA DE EDIFICAÇÃO QUE POSSUA RESERVATÓRIO DE FIBRA/FIBROCIMENTO  FORNECIMENTO E INSTALAÇÃO. AF_06/2016</v>
          </cell>
          <cell r="C4396" t="str">
            <v>UN</v>
          </cell>
          <cell r="D4396">
            <v>77.05</v>
          </cell>
        </row>
        <row r="4397">
          <cell r="A4397" t="str">
            <v>94750</v>
          </cell>
          <cell r="B4397" t="str">
            <v>JOELHO 90 GRAUS, CPVC, SOLDÁVEL, DN 73 MM, INSTALADO EM RESERVAÇÃO DE ÁGUA DE EDIFICAÇÃO QUE POSSUA RESERVATÓRIO DE FIBRA/FIBROCIMENTO  FORNECIMENTO E INSTALAÇÃO. AF_06/2016</v>
          </cell>
          <cell r="C4397" t="str">
            <v>UN</v>
          </cell>
          <cell r="D4397">
            <v>185.82</v>
          </cell>
        </row>
        <row r="4398">
          <cell r="A4398" t="str">
            <v>94752</v>
          </cell>
          <cell r="B4398" t="str">
            <v>JOELHO 90 GRAUS, CPVC, SOLDÁVEL, DN 89 MM, INSTALADO EM RESERVAÇÃO DE ÁGUA DE EDIFICAÇÃO QUE POSSUA RESERVATÓRIO DE FIBRA/FIBROCIMENTO  FORNECIMENTO E INSTALAÇÃO. AF_06/2016</v>
          </cell>
          <cell r="C4398" t="str">
            <v>UN</v>
          </cell>
          <cell r="D4398">
            <v>224.81</v>
          </cell>
        </row>
        <row r="4399">
          <cell r="A4399" t="str">
            <v>94756</v>
          </cell>
          <cell r="B4399" t="str">
            <v>TE, CPVC, SOLDÁVEL, DN 22 MM, INSTALADO EM RESERVAÇÃO DE ÁGUA DE EDIFICAÇÃO QUE POSSUA RESERVATÓRIO DE FIBRA/FIBROCIMENTO  FORNECIMENTO E INSTALAÇÃO. AF_06/2016</v>
          </cell>
          <cell r="C4399" t="str">
            <v>UN</v>
          </cell>
          <cell r="D4399">
            <v>12.7</v>
          </cell>
        </row>
        <row r="4400">
          <cell r="A4400" t="str">
            <v>94757</v>
          </cell>
          <cell r="B4400" t="str">
            <v>TE, CPVC, SOLDÁVEL, DN 28 MM, INSTALADO EM RESERVAÇÃO DE ÁGUA DE EDIFICAÇÃO QUE POSSUA RESERVATÓRIO DE FIBRA/FIBROCIMENTO  FORNECIMENTO E INSTALAÇÃO. AF_06/2016</v>
          </cell>
          <cell r="C4400" t="str">
            <v>UN</v>
          </cell>
          <cell r="D4400">
            <v>17.86</v>
          </cell>
        </row>
        <row r="4401">
          <cell r="A4401" t="str">
            <v>94758</v>
          </cell>
          <cell r="B4401" t="str">
            <v>TE, CPVC, SOLDÁVEL, DN 35 MM, INSTALADO EM RESERVAÇÃO DE ÁGUA DE EDIFICAÇÃO QUE POSSUA RESERVATÓRIO DE FIBRA/FIBROCIMENTO  FORNECIMENTO E INSTALAÇÃO. AF_06/2016</v>
          </cell>
          <cell r="C4401" t="str">
            <v>UN</v>
          </cell>
          <cell r="D4401">
            <v>47.37</v>
          </cell>
        </row>
        <row r="4402">
          <cell r="A4402" t="str">
            <v>94759</v>
          </cell>
          <cell r="B4402" t="str">
            <v>TE, CPVC, SOLDÁVEL, DN 42 MM, INSTALADO EM RESERVAÇÃO DE ÁGUA DE EDIFICAÇÃO QUE POSSUA RESERVATÓRIO DE FIBRA/FIBROCIMENTO  FORNECIMENTO E INSTALAÇÃO. AF_06/2016</v>
          </cell>
          <cell r="C4402" t="str">
            <v>UN</v>
          </cell>
          <cell r="D4402">
            <v>58.84</v>
          </cell>
        </row>
        <row r="4403">
          <cell r="A4403" t="str">
            <v>94760</v>
          </cell>
          <cell r="B4403" t="str">
            <v>TE, CPVC, SOLDÁVEL, DN 54 MM, INSTALADO EM RESERVAÇÃO DE ÁGUA DE EDIFICAÇÃO QUE POSSUA RESERVATÓRIO DE FIBRA/FIBROCIMENTO  FORNECIMENTO E INSTALAÇÃO. AF_06/2016</v>
          </cell>
          <cell r="C4403" t="str">
            <v>UN</v>
          </cell>
          <cell r="D4403">
            <v>96.51</v>
          </cell>
        </row>
        <row r="4404">
          <cell r="A4404" t="str">
            <v>94761</v>
          </cell>
          <cell r="B4404" t="str">
            <v>TE, CPVC, SOLDÁVEL, DN 73 MM, INSTALADO EM RESERVAÇÃO DE ÁGUA DE EDIFICAÇÃO QUE POSSUA RESERVATÓRIO DE FIBRA/FIBROCIMENTO  FORNECIMENTO E INSTALAÇÃO. AF_06/2016</v>
          </cell>
          <cell r="C4404" t="str">
            <v>UN</v>
          </cell>
          <cell r="D4404">
            <v>211.48</v>
          </cell>
        </row>
        <row r="4405">
          <cell r="A4405" t="str">
            <v>94762</v>
          </cell>
          <cell r="B4405" t="str">
            <v>TE, CPVC, SOLDÁVEL, DN 89 MM, INSTALADO EM RESERVAÇÃO DE ÁGUA DE EDIFICAÇÃO QUE POSSUA RESERVATÓRIO DE FIBRA/FIBROCIMENTO  FORNECIMENTO E INSTALAÇÃO. AF_06/2016</v>
          </cell>
          <cell r="C4405" t="str">
            <v>UN</v>
          </cell>
          <cell r="D4405">
            <v>268.38</v>
          </cell>
        </row>
        <row r="4406">
          <cell r="A4406" t="str">
            <v>94783</v>
          </cell>
          <cell r="B4406" t="str">
            <v>ADAPTADOR COM FLANGE E ANEL DE VEDAÇÃO, PVC, SOLDÁVEL, DN  20 MM X 1/2 , INSTALADO EM RESERVAÇÃO DE ÁGUA DE EDIFICAÇÃO QUE POSSUA RESERVATÓRIO DE FIBRA/FIBROCIMENTO   FORNECIMENTO E INSTALAÇÃO. AF_06/2016</v>
          </cell>
          <cell r="C4406" t="str">
            <v>UN</v>
          </cell>
          <cell r="D4406">
            <v>22.26</v>
          </cell>
        </row>
        <row r="4407">
          <cell r="A4407" t="str">
            <v>94785</v>
          </cell>
          <cell r="B4407" t="str">
            <v>ADAPTADOR COM FLANGES LIVRES, PVC, SOLDÁVEL LONGO, DN 32 MM X 1 , INSTALADO EM RESERVAÇÃO DE ÁGUA DE EDIFICAÇÃO QUE POSSUA RESERVATÓRIO DE FIBRA/FIBROCIMENTO   FORNECIMENTO E INSTALAÇÃO. AF_06/2016</v>
          </cell>
          <cell r="C4407" t="str">
            <v>UN</v>
          </cell>
          <cell r="D4407">
            <v>41.54</v>
          </cell>
        </row>
        <row r="4408">
          <cell r="A4408" t="str">
            <v>94786</v>
          </cell>
          <cell r="B4408" t="str">
            <v>ADAPTADOR COM FLANGES LIVRES, PVC, SOLDÁVEL LONGO, DN 40 MM X 1 1/4 , INSTALADO EM RESERVAÇÃO DE ÁGUA DE EDIFICAÇÃO QUE POSSUA RESERVATÓRIO DE FIBRA/FIBROCIMENTO   FORNECIMENTO E INSTALAÇÃO. AF_06/2016</v>
          </cell>
          <cell r="C4408" t="str">
            <v>UN</v>
          </cell>
          <cell r="D4408">
            <v>56.23</v>
          </cell>
        </row>
        <row r="4409">
          <cell r="A4409" t="str">
            <v>94787</v>
          </cell>
          <cell r="B4409" t="str">
            <v>ADAPTADOR COM FLANGES LIVRES, PVC, SOLDÁVEL LONGO, DN 50 MM X 1 1/2 , INSTALADO EM RESERVAÇÃO DE ÁGUA DE EDIFICAÇÃO QUE POSSUA RESERVATÓRIO DE FIBRA/FIBROCIMENTO   FORNECIMENTO E INSTALAÇÃO. AF_06/2016</v>
          </cell>
          <cell r="C4409" t="str">
            <v>UN</v>
          </cell>
          <cell r="D4409">
            <v>72.08</v>
          </cell>
        </row>
        <row r="4410">
          <cell r="A4410" t="str">
            <v>94788</v>
          </cell>
          <cell r="B4410" t="str">
            <v>ADAPTADOR COM FLANGES LIVRES, PVC, SOLDÁVEL LONGO, DN 60 MM X 2 , INSTALADO EM RESERVAÇÃO DE ÁGUA DE EDIFICAÇÃO QUE POSSUA RESERVATÓRIO DE FIBRA/FIBROCIMENTO   FORNECIMENTO E INSTALAÇÃO. AF_06/2016</v>
          </cell>
          <cell r="C4410" t="str">
            <v>UN</v>
          </cell>
          <cell r="D4410">
            <v>109</v>
          </cell>
        </row>
        <row r="4411">
          <cell r="A4411" t="str">
            <v>94789</v>
          </cell>
          <cell r="B4411" t="str">
            <v>ADAPTADOR COM FLANGES LIVRES, PVC, SOLDÁVEL LONGO, DN 75 MM X 2 1/2 , INSTALADO EM RESERVAÇÃO DE ÁGUA DE EDIFICAÇÃO QUE POSSUA RESERVATÓRIO DE FIBRA/FIBROCIMENTO   FORNECIMENTO E INSTALAÇÃO. AF_06/2016</v>
          </cell>
          <cell r="C4411" t="str">
            <v>UN</v>
          </cell>
          <cell r="D4411">
            <v>365.2</v>
          </cell>
        </row>
        <row r="4412">
          <cell r="A4412" t="str">
            <v>94790</v>
          </cell>
          <cell r="B4412" t="str">
            <v>ADAPTADOR COM FLANGES LIVRES, PVC, SOLDÁVEL LONGO, DN 85 MM X 3 , INSTALADO EM RESERVAÇÃO DE ÁGUA DE EDIFICAÇÃO QUE POSSUA RESERVATÓRIO DE FIBRA/FIBROCIMENTO   FORNECIMENTO E INSTALAÇÃO. AF_06/2016</v>
          </cell>
          <cell r="C4412" t="str">
            <v>UN</v>
          </cell>
          <cell r="D4412">
            <v>424.13</v>
          </cell>
        </row>
        <row r="4413">
          <cell r="A4413" t="str">
            <v>94791</v>
          </cell>
          <cell r="B4413" t="str">
            <v>ADAPTADOR COM FLANGES LIVRES, PVC, SOLDÁVEL LONGO, DN 110 MM X 4 , INSTALADO EM RESERVAÇÃO DE ÁGUA DE EDIFICAÇÃO QUE POSSUA RESERVATÓRIO DE FIBRA/FIBROCIMENTO   FORNECIMENTO E INSTALAÇÃO. AF_06/2016</v>
          </cell>
          <cell r="C4413" t="str">
            <v>UN</v>
          </cell>
          <cell r="D4413">
            <v>598.48</v>
          </cell>
        </row>
        <row r="4414">
          <cell r="A4414" t="str">
            <v>94863</v>
          </cell>
          <cell r="B4414" t="str">
            <v>LUVA, CPVC, SOLDÁVEL, DN 73 MM, INSTALADO EM RESERVAÇÃO DE ÁGUA DE EDIFICAÇÃO QUE POSSUA RESERVATÓRIO DE FIBRA/FIBROCIMENTO  FORNECIMENTO E INSTALAÇÃO. AF_06/2016</v>
          </cell>
          <cell r="C4414" t="str">
            <v>UN</v>
          </cell>
          <cell r="D4414">
            <v>152.68</v>
          </cell>
        </row>
        <row r="4415">
          <cell r="A4415" t="str">
            <v>95141</v>
          </cell>
          <cell r="B4415" t="str">
            <v>ADAPTADOR COM FLANGES LIVRES, PVC, SOLDÁVEL LONGO, DN  25 MM X 3/4 , INSTALADO EM RESERVAÇÃO DE ÁGUA DE EDIFICAÇÃO QUE POSSUA RESERVATÓRIO DE FIBRA/FIBROCIMENTO    FORNECIMENTO E INSTALAÇÃO. AF_06/2016</v>
          </cell>
          <cell r="C4415" t="str">
            <v>UN</v>
          </cell>
          <cell r="D4415">
            <v>38.35</v>
          </cell>
        </row>
        <row r="4416">
          <cell r="A4416" t="str">
            <v>95237</v>
          </cell>
          <cell r="B4416" t="str">
            <v>LUVA COM BUCHA DE LATÃO, PVC, SOLDÁVEL, DN 32MM X 1 , INSTALADO EM RAMAL DE DISTRIBUIÇÃO DE ÁGUA   FORNECIMENTO E INSTALAÇÃO. AF_12/2014</v>
          </cell>
          <cell r="C4416" t="str">
            <v>UN</v>
          </cell>
          <cell r="D4416">
            <v>32.909999999999997</v>
          </cell>
        </row>
        <row r="4417">
          <cell r="A4417" t="str">
            <v>95693</v>
          </cell>
          <cell r="B4417" t="str">
            <v>LUVA SIMPLES, PVC, SÉRIE NORMAL, ESGOTO PREDIAL, DN 150 MM, JUNTA ELÁSTICA, FORNECIDO E INSTALADO EM SUBCOLETOR AÉREO DE ESGOTO SANITÁRIO. AF_12/2014</v>
          </cell>
          <cell r="C4417" t="str">
            <v>UN</v>
          </cell>
          <cell r="D4417">
            <v>66.08</v>
          </cell>
        </row>
        <row r="4418">
          <cell r="A4418" t="str">
            <v>95694</v>
          </cell>
          <cell r="B4418" t="str">
            <v>CURVA 90 GRAUS, PVC, SERIE R, ÁGUA PLUVIAL, DN 100 MM, JUNTA ELÁSTICA, FORNECIDO E INSTALADO EM RAMAL DE ENCAMINHAMENTO. AF_12/2014</v>
          </cell>
          <cell r="C4418" t="str">
            <v>UN</v>
          </cell>
          <cell r="D4418">
            <v>94.61</v>
          </cell>
        </row>
        <row r="4419">
          <cell r="A4419" t="str">
            <v>95695</v>
          </cell>
          <cell r="B4419" t="str">
            <v>CURVA 90 GRAUS, PVC, SERIE R, ÁGUA PLUVIAL, DN 100 MM, JUNTA ELÁSTICA, FORNECIDO E INSTALADO EM CONDUTORES VERTICAIS DE ÁGUAS PLUVIAIS. AF_12/2014</v>
          </cell>
          <cell r="C4419" t="str">
            <v>UN</v>
          </cell>
          <cell r="D4419">
            <v>93.04</v>
          </cell>
        </row>
        <row r="4420">
          <cell r="A4420" t="str">
            <v>95696</v>
          </cell>
          <cell r="B4420" t="str">
            <v>SPRINKLER TIPO PENDENTE, 68 °C, UNIÃO POR ROSCA DN 15 (1/2") - FORNECIMENTO E INSTALAÇÃO. AF_10/2020</v>
          </cell>
          <cell r="C4420" t="str">
            <v>UN</v>
          </cell>
          <cell r="D4420">
            <v>49.32</v>
          </cell>
        </row>
        <row r="4421">
          <cell r="A4421" t="str">
            <v>96637</v>
          </cell>
          <cell r="B4421" t="str">
            <v>JOELHO 90 GRAUS, PPR, DN 25 MM, CLASSE PN 25, INSTALADO EM RAMAL OU SUB-RAMAL DE ÁGUA  FORNECIMENTO E INSTALAÇÃO . AF_06/2015</v>
          </cell>
          <cell r="C4421" t="str">
            <v>UN</v>
          </cell>
          <cell r="D4421">
            <v>12.63</v>
          </cell>
        </row>
        <row r="4422">
          <cell r="A4422" t="str">
            <v>96638</v>
          </cell>
          <cell r="B4422" t="str">
            <v>JOELHO 45 GRAUS, PPR, DN 25 MM, CLASSE PN 25, INSTALADO EM RAMAL OU SUB-RAMAL DE ÁGUA  FORNECIMENTO E INSTALAÇÃO . AF_06/2015</v>
          </cell>
          <cell r="C4422" t="str">
            <v>UN</v>
          </cell>
          <cell r="D4422">
            <v>12.01</v>
          </cell>
        </row>
        <row r="4423">
          <cell r="A4423" t="str">
            <v>96639</v>
          </cell>
          <cell r="B4423" t="str">
            <v>LUVA, PPR, DN 25 MM, CLASSE PN 25, INSTALADO EM RAMAL OU SUB-RAMAL DE ÁGUA  FORNECIMENTO E INSTALAÇÃO . AF_06/2015</v>
          </cell>
          <cell r="C4423" t="str">
            <v>UN</v>
          </cell>
          <cell r="D4423">
            <v>8.94</v>
          </cell>
        </row>
        <row r="4424">
          <cell r="A4424" t="str">
            <v>96640</v>
          </cell>
          <cell r="B4424" t="str">
            <v>CONECTOR MACHO, PPR, 25 X 1/2'', CLASSE PN 25, INSTALADO EM RAMAL OU SUB-RAMAL DE ÁGUA   FORNECIMENTO E INSTALAÇÃO . AF_06/2015</v>
          </cell>
          <cell r="C4424" t="str">
            <v>UN</v>
          </cell>
          <cell r="D4424">
            <v>26.48</v>
          </cell>
        </row>
        <row r="4425">
          <cell r="A4425" t="str">
            <v>96641</v>
          </cell>
          <cell r="B4425" t="str">
            <v>CONECTOR FÊMEA, PPR, 25 X 1/2'', CLASSE PN 25, INSTALADO EM RAMAL OU SUB-RAMAL DE ÁGUA   FORNECIMENTO E INSTALAÇÃO . AF_06/2015</v>
          </cell>
          <cell r="C4425" t="str">
            <v>UN</v>
          </cell>
          <cell r="D4425">
            <v>20.21</v>
          </cell>
        </row>
        <row r="4426">
          <cell r="A4426" t="str">
            <v>96642</v>
          </cell>
          <cell r="B4426" t="str">
            <v>TÊ NORMAL, PPR, DN 25 MM, CLASSE PN 25, INSTALADO EM RAMAL OU SUB-RAMAL DE ÁGUA  FORNECIMENTO E INSTALAÇÃO . AF_06/2015</v>
          </cell>
          <cell r="C4426" t="str">
            <v>UN</v>
          </cell>
          <cell r="D4426">
            <v>16.690000000000001</v>
          </cell>
        </row>
        <row r="4427">
          <cell r="A4427" t="str">
            <v>96643</v>
          </cell>
          <cell r="B4427" t="str">
            <v>TÊ MISTURADOR, PPR, 25 X 3/4'' , CLASSE PN 25, INSTALADO EM RAMAL OU SUB-RAMAL DE ÁGUA  FORNECIMENTO E INSTALAÇÃO . AF_06/2015</v>
          </cell>
          <cell r="C4427" t="str">
            <v>UN</v>
          </cell>
          <cell r="D4427">
            <v>53.4</v>
          </cell>
        </row>
        <row r="4428">
          <cell r="A4428" t="str">
            <v>96650</v>
          </cell>
          <cell r="B4428" t="str">
            <v>JOELHO 90 GRAUS, PPR, DN 25 MM, CLASSE PN 25, INSTALADO EM RAMAL DE DISTRIBUIÇÃO  FORNECIMENTO E INSTALAÇÃO . AF_06/2015</v>
          </cell>
          <cell r="C4428" t="str">
            <v>UN</v>
          </cell>
          <cell r="D4428">
            <v>9.67</v>
          </cell>
        </row>
        <row r="4429">
          <cell r="A4429" t="str">
            <v>96651</v>
          </cell>
          <cell r="B4429" t="str">
            <v>JOELHO 45 GRAUS, PPR, DN 25 MM, CLASSE PN 25, INSTALADO EM RAMAL DE DISTRIBUIÇÃO DE ÁGUA  FORNECIMENTO E INSTALAÇÃO . AF_06/2015</v>
          </cell>
          <cell r="C4429" t="str">
            <v>UN</v>
          </cell>
          <cell r="D4429">
            <v>9.0500000000000007</v>
          </cell>
        </row>
        <row r="4430">
          <cell r="A4430" t="str">
            <v>96652</v>
          </cell>
          <cell r="B4430" t="str">
            <v>JOELHO 90 GRAUS, PPR, DN 32 MM, CLASSE PN 25, INSTALADO EM RAMAL DE DISTRIBUIÇÃO  FORNECIMENTO E INSTALAÇÃO . AF_06/2015</v>
          </cell>
          <cell r="C4430" t="str">
            <v>UN</v>
          </cell>
          <cell r="D4430">
            <v>18.05</v>
          </cell>
        </row>
        <row r="4431">
          <cell r="A4431" t="str">
            <v>96653</v>
          </cell>
          <cell r="B4431" t="str">
            <v>JOELHO 45 GRAUS, PPR, DN 32 MM, CLASSE PN 25, INSTALADO EM RAMAL DE DISTRIBUIÇÃO DE ÁGUA  FORNECIMENTO E INSTALAÇÃO . AF_06/2015</v>
          </cell>
          <cell r="C4431" t="str">
            <v>UN</v>
          </cell>
          <cell r="D4431">
            <v>17.98</v>
          </cell>
        </row>
        <row r="4432">
          <cell r="A4432" t="str">
            <v>96654</v>
          </cell>
          <cell r="B4432" t="str">
            <v>JOELHO 90 GRAUS, PPR, DN 40 MM, CLASSE PN 25, INSTALADO EM RAMAL DE DISTRIBUIÇÃO  FORNECIMENTO E INSTALAÇÃO . AF_06/2015</v>
          </cell>
          <cell r="C4432" t="str">
            <v>UN</v>
          </cell>
          <cell r="D4432">
            <v>30.26</v>
          </cell>
        </row>
        <row r="4433">
          <cell r="A4433" t="str">
            <v>96655</v>
          </cell>
          <cell r="B4433" t="str">
            <v>JOELHO 45 GRAUS, PPR, DN 40 MM, CLASSE PN 25, INSTALADO EM RAMAL DE DISTRIBUIÇÃO DE ÁGUA  FORNECIMENTO E INSTALAÇÃO . AF_06/2015</v>
          </cell>
          <cell r="C4433" t="str">
            <v>UN</v>
          </cell>
          <cell r="D4433">
            <v>29.57</v>
          </cell>
        </row>
        <row r="4434">
          <cell r="A4434" t="str">
            <v>96656</v>
          </cell>
          <cell r="B4434" t="str">
            <v>LUVA, PPR, DN 25 MM, CLASSE PN 25, INSTALADO EM RAMAL DE DISTRIBUIÇÃO DE ÁGUA  FORNECIMENTO E INSTALAÇÃO . AF_06/2015</v>
          </cell>
          <cell r="C4434" t="str">
            <v>UN</v>
          </cell>
          <cell r="D4434">
            <v>6.98</v>
          </cell>
        </row>
        <row r="4435">
          <cell r="A4435" t="str">
            <v>96657</v>
          </cell>
          <cell r="B4435" t="str">
            <v>CONECTOR MACHO, PPR, 25 X 1/2, CLASSE PN 25, INSTALADO EM RAMAL DE DISTRIBUIÇÃO DE ÁGUA  FORNECIMENTO E INSTALAÇÃO . AF_06/2015</v>
          </cell>
          <cell r="C4435" t="str">
            <v>UN</v>
          </cell>
          <cell r="D4435">
            <v>24.52</v>
          </cell>
        </row>
        <row r="4436">
          <cell r="A4436" t="str">
            <v>96658</v>
          </cell>
          <cell r="B4436" t="str">
            <v>CONECTOR FÊMEA, PPR, 25 X 1/2'', CLASSE PN 25, INSTALADO EM RAMAL DE DISTRIBUIÇÃO DE ÁGUA   FORNECIMENTO E INSTALAÇÃO . AF_06/2015</v>
          </cell>
          <cell r="C4436" t="str">
            <v>UN</v>
          </cell>
          <cell r="D4436">
            <v>18.25</v>
          </cell>
        </row>
        <row r="4437">
          <cell r="A4437" t="str">
            <v>96659</v>
          </cell>
          <cell r="B4437" t="str">
            <v>LUVA, PPR, DN 32 MM, CLASSE PN 25, INSTALADO EM RAMAL DE DISTRIBUIÇÃO DE ÁGUA  FORNECIMENTO E INSTALAÇÃO. AF_06/2015</v>
          </cell>
          <cell r="C4437" t="str">
            <v>UN</v>
          </cell>
          <cell r="D4437">
            <v>12.26</v>
          </cell>
        </row>
        <row r="4438">
          <cell r="A4438" t="str">
            <v>96660</v>
          </cell>
          <cell r="B4438" t="str">
            <v>CONECTOR MACHO, PPR, 32 X 3/4'', CLASSE PN 25, INSTALADO EM RAMAL DE DISTRIBUIÇÃO DE ÁGUA   FORNECIMENTO E INSTALAÇÃO. AF_06/2015</v>
          </cell>
          <cell r="C4438" t="str">
            <v>UN</v>
          </cell>
          <cell r="D4438">
            <v>41.49</v>
          </cell>
        </row>
        <row r="4439">
          <cell r="A4439" t="str">
            <v>96661</v>
          </cell>
          <cell r="B4439" t="str">
            <v>CONECTOR FÊMEA, PPR, 32 X 3/4'', CLASSE PN 25, INSTALADO EM RAMAL DE DISTRIBUIÇÃO DE ÁGUA   FORNECIMENTO E INSTALAÇÃO . AF_06/2015</v>
          </cell>
          <cell r="C4439" t="str">
            <v>UN</v>
          </cell>
          <cell r="D4439">
            <v>31.86</v>
          </cell>
        </row>
        <row r="4440">
          <cell r="A4440" t="str">
            <v>96662</v>
          </cell>
          <cell r="B4440" t="str">
            <v>BUCHA DE REDUÇÃO, PPR, 32 X 25, CLASSE PN 25, INSTALADO EM RAMAL DE DISTRIBUIÇÃO DE ÁGUA  FORNECIMENTO E INSTALAÇÃO . AF_06/2015</v>
          </cell>
          <cell r="C4440" t="str">
            <v>UN</v>
          </cell>
          <cell r="D4440">
            <v>12.58</v>
          </cell>
        </row>
        <row r="4441">
          <cell r="A4441" t="str">
            <v>96663</v>
          </cell>
          <cell r="B4441" t="str">
            <v>LUVA, PPR, DN 40 MM, CLASSE PN 25, INSTALADO EM RAMAL DE DISTRIBUIÇÃO DE ÁGUA  FORNECIMENTO E INSTALAÇÃO. AF_06/2015</v>
          </cell>
          <cell r="C4441" t="str">
            <v>UN</v>
          </cell>
          <cell r="D4441">
            <v>22.96</v>
          </cell>
        </row>
        <row r="4442">
          <cell r="A4442" t="str">
            <v>96664</v>
          </cell>
          <cell r="B4442" t="str">
            <v>BUCHA DE REDUÇÃO, PPR, 40 X 25, CLASSE PN 25, INSTALADO EM RAMAL DE DISTRIBUIÇÃO DE ÁGUA  FORNECIMENTO E INSTALAÇÃO . AF_06/2015</v>
          </cell>
          <cell r="C4442" t="str">
            <v>UN</v>
          </cell>
          <cell r="D4442">
            <v>25.03</v>
          </cell>
        </row>
        <row r="4443">
          <cell r="A4443" t="str">
            <v>96665</v>
          </cell>
          <cell r="B4443" t="str">
            <v>TÊ NORMAL, PPR, DN 25 MM, CLASSE PN 25, INSTALADO EM RAMAL DE DISTRIBUIÇÃO DE ÁGUA  FORNECIMENTO E INSTALAÇÃO . AF_06/2015</v>
          </cell>
          <cell r="C4443" t="str">
            <v>UN</v>
          </cell>
          <cell r="D4443">
            <v>12.7</v>
          </cell>
        </row>
        <row r="4444">
          <cell r="A4444" t="str">
            <v>96666</v>
          </cell>
          <cell r="B4444" t="str">
            <v>TÊ NORMAL, PPR, DN 32 MM, CLASSE PN 25, INSTALADO EM RAMAL DE DISTRIBUIÇÃO DE ÁGUA  FORNECIMENTO E INSTALAÇÃO . AF_06/2015</v>
          </cell>
          <cell r="C4444" t="str">
            <v>UN</v>
          </cell>
          <cell r="D4444">
            <v>24.22</v>
          </cell>
        </row>
        <row r="4445">
          <cell r="A4445" t="str">
            <v>96667</v>
          </cell>
          <cell r="B4445" t="str">
            <v>TÊ NORMAL, PPR, DN 40 MM, CLASSE PN 25, INSTALADO EM RAMAL DE DISTRIBUIÇÃO DE ÁGUA  FORNECIMENTO E INSTALAÇÃO . AF_06/2015</v>
          </cell>
          <cell r="C4445" t="str">
            <v>UN</v>
          </cell>
          <cell r="D4445">
            <v>43.2</v>
          </cell>
        </row>
        <row r="4446">
          <cell r="A4446" t="str">
            <v>96684</v>
          </cell>
          <cell r="B4446" t="str">
            <v>JOELHO 90 GRAUS, PPR, DN 25 MM, CLASSE PN 25, INSTALADO EM PRUMADA DE ÁGUA  FORNECIMENTO E INSTALAÇÃO . AF_06/2015</v>
          </cell>
          <cell r="C4446" t="str">
            <v>UN</v>
          </cell>
          <cell r="D4446">
            <v>5.2</v>
          </cell>
        </row>
        <row r="4447">
          <cell r="A4447" t="str">
            <v>96685</v>
          </cell>
          <cell r="B4447" t="str">
            <v>JOELHO 45 GRAUS, PPR, DN 25 MM, CLASSE PN 25, INSTALADO EM PRUMADA DE ÁGUA  FORNECIMENTO E INSTALAÇÃO . AF_06/2015</v>
          </cell>
          <cell r="C4447" t="str">
            <v>UN</v>
          </cell>
          <cell r="D4447">
            <v>4.58</v>
          </cell>
        </row>
        <row r="4448">
          <cell r="A4448" t="str">
            <v>96686</v>
          </cell>
          <cell r="B4448" t="str">
            <v>JOELHO 90 GRAUS, PPR, DN 32 MM, CLASSE PN 25, INSTALADO EM PRUMADA DE ÁGUA  FORNECIMENTO E INSTALAÇÃO . AF_06/2015</v>
          </cell>
          <cell r="C4448" t="str">
            <v>UN</v>
          </cell>
          <cell r="D4448">
            <v>7.84</v>
          </cell>
        </row>
        <row r="4449">
          <cell r="A4449" t="str">
            <v>96687</v>
          </cell>
          <cell r="B4449" t="str">
            <v>JOELHO 45 GRAUS, PPR, DN 32 MM, CLASSE PN 25, INSTALADO EM PRUMADA DE ÁGUA  FORNECIMENTO E INSTALAÇÃO . AF_06/2015</v>
          </cell>
          <cell r="C4449" t="str">
            <v>UN</v>
          </cell>
          <cell r="D4449">
            <v>7.77</v>
          </cell>
        </row>
        <row r="4450">
          <cell r="A4450" t="str">
            <v>96688</v>
          </cell>
          <cell r="B4450" t="str">
            <v>JOELHO 90 GRAUS, PPR, DN 40 MM, CLASSE PN 25, INSTALADO EM PRUMADA DE ÁGUA  FORNECIMENTO E INSTALAÇÃO . AF_06/2015</v>
          </cell>
          <cell r="C4450" t="str">
            <v>UN</v>
          </cell>
          <cell r="D4450">
            <v>13.76</v>
          </cell>
        </row>
        <row r="4451">
          <cell r="A4451" t="str">
            <v>96689</v>
          </cell>
          <cell r="B4451" t="str">
            <v>JOELHO 45 GRAUS, PPR, DN 40 MM, CLASSE PN 25, INSTALADO EM PRUMADA DE ÁGUA  FORNECIMENTO E INSTALAÇÃO . AF_06/2015</v>
          </cell>
          <cell r="C4451" t="str">
            <v>UN</v>
          </cell>
          <cell r="D4451">
            <v>13.07</v>
          </cell>
        </row>
        <row r="4452">
          <cell r="A4452" t="str">
            <v>96690</v>
          </cell>
          <cell r="B4452" t="str">
            <v>JOELHO 90 GRAUS, PPR, DN 50 MM, CLASSE PN 25, INSTALADO EM PRUMADA DE ÁGUA  FORNECIMENTO E INSTALAÇÃO . AF_06/2015</v>
          </cell>
          <cell r="C4452" t="str">
            <v>UN</v>
          </cell>
          <cell r="D4452">
            <v>26.2</v>
          </cell>
        </row>
        <row r="4453">
          <cell r="A4453" t="str">
            <v>96691</v>
          </cell>
          <cell r="B4453" t="str">
            <v>JOELHO 45 GRAUS, PPR, DN 50 MM, CLASSE PN 25, INSTALADO EM PRUMADA DE ÁGUA  FORNECIMENTO E INSTALAÇÃO . AF_06/2015</v>
          </cell>
          <cell r="C4453" t="str">
            <v>UN</v>
          </cell>
          <cell r="D4453">
            <v>27.14</v>
          </cell>
        </row>
        <row r="4454">
          <cell r="A4454" t="str">
            <v>96692</v>
          </cell>
          <cell r="B4454" t="str">
            <v>JOELHO 90 GRAUS, PPR, DN 63 MM, CLASSE PN 25, INSTALADO EM PRUMADA DE ÁGUA  FORNECIMENTO E INSTALAÇÃO . AF_06/2015</v>
          </cell>
          <cell r="C4454" t="str">
            <v>UN</v>
          </cell>
          <cell r="D4454">
            <v>39.549999999999997</v>
          </cell>
        </row>
        <row r="4455">
          <cell r="A4455" t="str">
            <v>96693</v>
          </cell>
          <cell r="B4455" t="str">
            <v>JOELHO 45 GRAUS, PPR, DN 63 MM, CLASSE PN 25, INSTALADO EM PRUMADA DE ÁGUA  FORNECIMENTO E INSTALAÇÃO . AF_06/2015</v>
          </cell>
          <cell r="C4455" t="str">
            <v>UN</v>
          </cell>
          <cell r="D4455">
            <v>37.25</v>
          </cell>
        </row>
        <row r="4456">
          <cell r="A4456" t="str">
            <v>96694</v>
          </cell>
          <cell r="B4456" t="str">
            <v>JOELHO 90 GRAUS, PPR, DN 75 MM, CLASSE PN 25, INSTALADO EM PRUMADA DE ÁGUA  FORNECIMENTO E INSTALAÇÃO . AF_06/2015</v>
          </cell>
          <cell r="C4456" t="str">
            <v>UN</v>
          </cell>
          <cell r="D4456">
            <v>90.01</v>
          </cell>
        </row>
        <row r="4457">
          <cell r="A4457" t="str">
            <v>96695</v>
          </cell>
          <cell r="B4457" t="str">
            <v>JOELHO 45 GRAUS, PPR, DN 75 MM, CLASSE PN 25, INSTALADO EM PRUMADA DE ÁGUA  FORNECIMENTO E INSTALAÇÃO . AF_06/2015</v>
          </cell>
          <cell r="C4457" t="str">
            <v>UN</v>
          </cell>
          <cell r="D4457">
            <v>87.31</v>
          </cell>
        </row>
        <row r="4458">
          <cell r="A4458" t="str">
            <v>96696</v>
          </cell>
          <cell r="B4458" t="str">
            <v>JOELHO 90 GRAUS, PPR, DN 90 MM, CLASSE PN 25, INSTALADO EM PRUMADA DE ÁGUA  FORNECIMENTO E INSTALAÇÃO . AF_06/2015</v>
          </cell>
          <cell r="C4458" t="str">
            <v>UN</v>
          </cell>
          <cell r="D4458">
            <v>135.97999999999999</v>
          </cell>
        </row>
        <row r="4459">
          <cell r="A4459" t="str">
            <v>96697</v>
          </cell>
          <cell r="B4459" t="str">
            <v>JOELHO 90 GRAUS, PPR, DN 110 MM, CLASSE PN 25, INSTALADO EM PRUMADA DE ÁGUA  FORNECIMENTO E INSTALAÇÃO . AF_06/2015</v>
          </cell>
          <cell r="C4459" t="str">
            <v>UN</v>
          </cell>
          <cell r="D4459">
            <v>203.56</v>
          </cell>
        </row>
        <row r="4460">
          <cell r="A4460" t="str">
            <v>96698</v>
          </cell>
          <cell r="B4460" t="str">
            <v>LUVA, PPR, DN 25 MM, CLASSE PN 25, INSTALADO EM PRUMADA DE ÁGUA  FORNECIMENTO E INSTALAÇÃO . AF_06/2015</v>
          </cell>
          <cell r="C4460" t="str">
            <v>UN</v>
          </cell>
          <cell r="D4460">
            <v>4.0199999999999996</v>
          </cell>
        </row>
        <row r="4461">
          <cell r="A4461" t="str">
            <v>96699</v>
          </cell>
          <cell r="B4461" t="str">
            <v>CONECTOR MACHO, PPR, 25 X 1/2'', CLASSE PN 25, INSTALADO EM PRUMADA DE ÁGUA   FORNECIMENTO E INSTALAÇÃO . AF_06/2015</v>
          </cell>
          <cell r="C4461" t="str">
            <v>UN</v>
          </cell>
          <cell r="D4461">
            <v>21.56</v>
          </cell>
        </row>
        <row r="4462">
          <cell r="A4462" t="str">
            <v>96700</v>
          </cell>
          <cell r="B4462" t="str">
            <v>CONECTOR FÊMEA, PPR, 25 X 1/2'', CLASSE PN 25, INSTALADO EM PRUMADA DE ÁGUA   FORNECIMENTO E INSTALAÇÃO . AF_06/2015</v>
          </cell>
          <cell r="C4462" t="str">
            <v>UN</v>
          </cell>
          <cell r="D4462">
            <v>15.29</v>
          </cell>
        </row>
        <row r="4463">
          <cell r="A4463" t="str">
            <v>96701</v>
          </cell>
          <cell r="B4463" t="str">
            <v>LUVA, PPR, DN 32 MM, CLASSE PN 25, INSTALADO EM PRUMADA DE ÁGUA  FORNECIMENTO E INSTALAÇÃO. AF_06/2015</v>
          </cell>
          <cell r="C4463" t="str">
            <v>UN</v>
          </cell>
          <cell r="D4463">
            <v>5.45</v>
          </cell>
        </row>
        <row r="4464">
          <cell r="A4464" t="str">
            <v>96702</v>
          </cell>
          <cell r="B4464" t="str">
            <v>BUCHA DE REDUÇÃO, PPR, 32 X 25, CLASSE PN 25, INSTALADO EM PRUMADA DE ÁGUA  FORNECIMENTO E INSTALAÇÃO . AF_06/2015</v>
          </cell>
          <cell r="C4464" t="str">
            <v>UN</v>
          </cell>
          <cell r="D4464">
            <v>5.77</v>
          </cell>
        </row>
        <row r="4465">
          <cell r="A4465" t="str">
            <v>96703</v>
          </cell>
          <cell r="B4465" t="str">
            <v>LUVA, PPR, DN 40 MM, CLASSE PN 25, INSTALADO EM PRUMADA DE ÁGUA  FORNECIMENTO E INSTALAÇÃO. AF_06/2015</v>
          </cell>
          <cell r="C4465" t="str">
            <v>UN</v>
          </cell>
          <cell r="D4465">
            <v>11.92</v>
          </cell>
        </row>
        <row r="4466">
          <cell r="A4466" t="str">
            <v>96704</v>
          </cell>
          <cell r="B4466" t="str">
            <v>BUCHA DE REDUÇÃO, PPR, 40 X 25, CLASSE PN 25, INSTALADO EM PRUMADA DE ÁGUA  FORNECIMENTO E INSTALAÇÃO . AF_06/2015</v>
          </cell>
          <cell r="C4466" t="str">
            <v>UN</v>
          </cell>
          <cell r="D4466">
            <v>13.99</v>
          </cell>
        </row>
        <row r="4467">
          <cell r="A4467" t="str">
            <v>96705</v>
          </cell>
          <cell r="B4467" t="str">
            <v>LUVA, PPR, DN 50 MM, CLASSE PN 25, INSTALADO EM PRUMADA DE ÁGUA  FORNECIMENTO E INSTALAÇÃO. AF_06/2015</v>
          </cell>
          <cell r="C4467" t="str">
            <v>UN</v>
          </cell>
          <cell r="D4467">
            <v>17.98</v>
          </cell>
        </row>
        <row r="4468">
          <cell r="A4468" t="str">
            <v>96706</v>
          </cell>
          <cell r="B4468" t="str">
            <v>LUVA, PPR, DN 63 MM, CLASSE PN 25, INSTALADO EM PRUMADA DE ÁGUA  FORNECIMENTO E INSTALAÇÃO. AF_06/2015</v>
          </cell>
          <cell r="C4468" t="str">
            <v>UN</v>
          </cell>
          <cell r="D4468">
            <v>26.95</v>
          </cell>
        </row>
        <row r="4469">
          <cell r="A4469" t="str">
            <v>96707</v>
          </cell>
          <cell r="B4469" t="str">
            <v>LUVA, PPR, DN 75 MM, CLASSE PN 25, INSTALADO EM PRUMADA DE ÁGUA  FORNECIMENTO E INSTALAÇÃO. AF_06/2015</v>
          </cell>
          <cell r="C4469" t="str">
            <v>UN</v>
          </cell>
          <cell r="D4469">
            <v>57.72</v>
          </cell>
        </row>
        <row r="4470">
          <cell r="A4470" t="str">
            <v>96708</v>
          </cell>
          <cell r="B4470" t="str">
            <v>LUVA, PPR, DN 90 MM, CLASSE PN 25, INSTALADO EM PRUMADA DE ÁGUA  FORNECIMENTO E INSTALAÇÃO. AF_06/2015</v>
          </cell>
          <cell r="C4470" t="str">
            <v>UN</v>
          </cell>
          <cell r="D4470">
            <v>91.6</v>
          </cell>
        </row>
        <row r="4471">
          <cell r="A4471" t="str">
            <v>96709</v>
          </cell>
          <cell r="B4471" t="str">
            <v>LUVA, PPR, DN 110 MM, CLASSE PN 25, INSTALADO EM PRUMADA DE ÁGUA  FORNECIMENTO E INSTALAÇÃO. AF_06/2015</v>
          </cell>
          <cell r="C4471" t="str">
            <v>UN</v>
          </cell>
          <cell r="D4471">
            <v>145.16999999999999</v>
          </cell>
        </row>
        <row r="4472">
          <cell r="A4472" t="str">
            <v>96710</v>
          </cell>
          <cell r="B4472" t="str">
            <v>TÊ NORMAL, PPR, DN 25 MM, CLASSE PN 25, INSTALADO EM PRUMADA DE ÁGUA  FORNECIMENTO E INSTALAÇÃO . AF_06/2015</v>
          </cell>
          <cell r="C4472" t="str">
            <v>UN</v>
          </cell>
          <cell r="D4472">
            <v>6.79</v>
          </cell>
        </row>
        <row r="4473">
          <cell r="A4473" t="str">
            <v>96711</v>
          </cell>
          <cell r="B4473" t="str">
            <v>TÊ NORMAL, PPR, DN 32 MM, CLASSE PN 25, INSTALADO EM PRUMADA DE ÁGUA  FORNECIMENTO E INSTALAÇÃO . AF_06/2015</v>
          </cell>
          <cell r="C4473" t="str">
            <v>UN</v>
          </cell>
          <cell r="D4473">
            <v>10.64</v>
          </cell>
        </row>
        <row r="4474">
          <cell r="A4474" t="str">
            <v>96712</v>
          </cell>
          <cell r="B4474" t="str">
            <v>TÊ NORMAL, PPR, DN 40 MM, CLASSE PN 25, INSTALADO EM PRUMADA DE ÁGUA  FORNECIMENTO E INSTALAÇÃO . AF_06/2015</v>
          </cell>
          <cell r="C4474" t="str">
            <v>UN</v>
          </cell>
          <cell r="D4474">
            <v>21.14</v>
          </cell>
        </row>
        <row r="4475">
          <cell r="A4475" t="str">
            <v>96713</v>
          </cell>
          <cell r="B4475" t="str">
            <v>TÊ NORMAL, PPR, DN 50 MM, CLASSE PN 25, INSTALADO EM PRUMADA DE ÁGUA  FORNECIMENTO E INSTALAÇÃO . AF_06/2015</v>
          </cell>
          <cell r="C4475" t="str">
            <v>UN</v>
          </cell>
          <cell r="D4475">
            <v>29.11</v>
          </cell>
        </row>
        <row r="4476">
          <cell r="A4476" t="str">
            <v>96714</v>
          </cell>
          <cell r="B4476" t="str">
            <v>TÊ NORMAL, PPR, DN 63 MM, CLASSE PN 25, INSTALADO EM PRUMADA DE ÁGUA  FORNECIMENTO E INSTALAÇÃO . AF_06/2015</v>
          </cell>
          <cell r="C4476" t="str">
            <v>UN</v>
          </cell>
          <cell r="D4476">
            <v>49.61</v>
          </cell>
        </row>
        <row r="4477">
          <cell r="A4477" t="str">
            <v>96715</v>
          </cell>
          <cell r="B4477" t="str">
            <v>TÊ NORMAL, PPR, DN 75 MM, CLASSE PN 25, INSTALADO EM PRUMADA DE ÁGUA  FORNECIMENTO E INSTALAÇÃO . AF_06/2015</v>
          </cell>
          <cell r="C4477" t="str">
            <v>UN</v>
          </cell>
          <cell r="D4477">
            <v>95.55</v>
          </cell>
        </row>
        <row r="4478">
          <cell r="A4478" t="str">
            <v>96716</v>
          </cell>
          <cell r="B4478" t="str">
            <v>TÊ NORMAL, PPR, DN 90 MM, CLASSE PN 25, INSTALADO EM PRUMADA DE ÁGUA  FORNECIMENTO E INSTALAÇÃO . AF_06/2015</v>
          </cell>
          <cell r="C4478" t="str">
            <v>UN</v>
          </cell>
          <cell r="D4478">
            <v>144.06</v>
          </cell>
        </row>
        <row r="4479">
          <cell r="A4479" t="str">
            <v>96717</v>
          </cell>
          <cell r="B4479" t="str">
            <v>TÊ NORMAL, PPR, DN 110 MM, CLASSE PN 25, INSTALADO EM PRUMADA DE ÁGUA  FORNECIMENTO E INSTALAÇÃO . AF_06/2015</v>
          </cell>
          <cell r="C4479" t="str">
            <v>UN</v>
          </cell>
          <cell r="D4479">
            <v>227.76</v>
          </cell>
        </row>
        <row r="4480">
          <cell r="A4480" t="str">
            <v>96736</v>
          </cell>
          <cell r="B4480" t="str">
            <v>LUVA, PPR, DN 20 MM, CLASSE PN 25, INSTALADO EM RESERVAÇÃO DE ÁGUA DE EDIFICAÇÃO QUE POSSUA RESERVATÓRIO DE FIBRA/FIBROCIMENTO  FORNECIMENTO E INSTALAÇÃO. AF_06/2016</v>
          </cell>
          <cell r="C4480" t="str">
            <v>UN</v>
          </cell>
          <cell r="D4480">
            <v>5.21</v>
          </cell>
        </row>
        <row r="4481">
          <cell r="A4481" t="str">
            <v>96737</v>
          </cell>
          <cell r="B4481" t="str">
            <v>LUVA, PPR, DN 25 MM, CLASSE PN 25, INSTALADO EM RESERVAÇÃO DE ÁGUA DE EDIFICAÇÃO QUE POSSUA RESERVATÓRIO DE FIBRA/FIBROCIMENTO  FORNECIMENTO E INSTALAÇÃO. AF_06/2016</v>
          </cell>
          <cell r="C4481" t="str">
            <v>UN</v>
          </cell>
          <cell r="D4481">
            <v>6.16</v>
          </cell>
        </row>
        <row r="4482">
          <cell r="A4482" t="str">
            <v>96738</v>
          </cell>
          <cell r="B4482" t="str">
            <v>CONECTOR MACHO, PPR, 25 X 1/2'', CLASSE PN 25,  INSTALADO EM RESERVAÇÃO DE ÁGUA DE EDIFICAÇÃO QUE POSSUA RESERVATÓRIO DE FIBRA/FIBROCIMENTO   FORNECIMENTO E INSTALAÇÃO. AF_06/2016</v>
          </cell>
          <cell r="C4482" t="str">
            <v>UN</v>
          </cell>
          <cell r="D4482">
            <v>23.7</v>
          </cell>
        </row>
        <row r="4483">
          <cell r="A4483" t="str">
            <v>96739</v>
          </cell>
          <cell r="B4483" t="str">
            <v>LUVA, PPR, DN 32 MM, CLASSE PN 25, INSTALADO EM RESERVAÇÃO DE ÁGUA DE EDIFICAÇÃO QUE POSSUA RESERVATÓRIO DE FIBRA/FIBROCIMENTO  FORNECIMENTO E INSTALAÇÃO. AF_06/2016</v>
          </cell>
          <cell r="C4483" t="str">
            <v>UN</v>
          </cell>
          <cell r="D4483">
            <v>8</v>
          </cell>
        </row>
        <row r="4484">
          <cell r="A4484" t="str">
            <v>96740</v>
          </cell>
          <cell r="B4484" t="str">
            <v>CONECTOR MACHO, PPR, 32 X 3/4'', CLASSE PN 25,  INSTALADO EM RESERVAÇÃO DE ÁGUA DE EDIFICAÇÃO QUE POSSUA RESERVATÓRIO DE FIBRA/FIBROCIMENTO   FORNECIMENTO E INSTALAÇÃO. AF_06/2016</v>
          </cell>
          <cell r="C4484" t="str">
            <v>UN</v>
          </cell>
          <cell r="D4484">
            <v>37.229999999999997</v>
          </cell>
        </row>
        <row r="4485">
          <cell r="A4485" t="str">
            <v>96741</v>
          </cell>
          <cell r="B4485" t="str">
            <v>LUVA, PPR, DN 40 MM, CLASSE PN 25, INSTALADO EM RESERVAÇÃO DE ÁGUA DE EDIFICAÇÃO QUE POSSUA RESERVATÓRIO DE FIBRA/FIBROCIMENTO  FORNECIMENTO E INSTALAÇÃO. AF_06/2016</v>
          </cell>
          <cell r="C4485" t="str">
            <v>UN</v>
          </cell>
          <cell r="D4485">
            <v>13.69</v>
          </cell>
        </row>
        <row r="4486">
          <cell r="A4486" t="str">
            <v>96742</v>
          </cell>
          <cell r="B4486" t="str">
            <v>LUVA, PPR, DN 50 MM, CLASSE PN 25, INSTALADO EM RESERVAÇÃO DE ÁGUA DE EDIFICAÇÃO QUE POSSUA RESERVATÓRIO DE FIBRA/FIBROCIMENTO  FORNECIMENTO E INSTALAÇÃO. AF_06/2016</v>
          </cell>
          <cell r="C4486" t="str">
            <v>UN</v>
          </cell>
          <cell r="D4486">
            <v>20.76</v>
          </cell>
        </row>
        <row r="4487">
          <cell r="A4487" t="str">
            <v>96743</v>
          </cell>
          <cell r="B4487" t="str">
            <v>LUVA, PPR, DN 63 MM, CLASSE PN 25, INSTALADO EM RESERVAÇÃO DE ÁGUA DE EDIFICAÇÃO QUE POSSUA RESERVATÓRIO DE FIBRA/FIBROCIMENTO  FORNECIMENTO E INSTALAÇÃO. AF_06/2016</v>
          </cell>
          <cell r="C4487" t="str">
            <v>UN</v>
          </cell>
          <cell r="D4487">
            <v>27.69</v>
          </cell>
        </row>
        <row r="4488">
          <cell r="A4488" t="str">
            <v>96744</v>
          </cell>
          <cell r="B4488" t="str">
            <v>LUVA, PPR, DN 75 MM, CLASSE PN 25, INSTALADO EM RESERVAÇÃO DE ÁGUA DE EDIFICAÇÃO QUE POSSUA RESERVATÓRIO DE FIBRA/FIBROCIMENTO  FORNECIMENTO E INSTALAÇÃO. AF_06/2016</v>
          </cell>
          <cell r="C4488" t="str">
            <v>UN</v>
          </cell>
          <cell r="D4488">
            <v>60.46</v>
          </cell>
        </row>
        <row r="4489">
          <cell r="A4489" t="str">
            <v>96745</v>
          </cell>
          <cell r="B4489" t="str">
            <v>LUVA, PPR, DN 90 MM, CLASSE PN 25, INSTALADO EM RESERVAÇÃO DE ÁGUA DE EDIFICAÇÃO QUE POSSUA RESERVATÓRIO DE FIBRA/FIBROCIMENTO  FORNECIMENTO E INSTALAÇÃO. AF_06/2016</v>
          </cell>
          <cell r="C4489" t="str">
            <v>UN</v>
          </cell>
          <cell r="D4489">
            <v>90.93</v>
          </cell>
        </row>
        <row r="4490">
          <cell r="A4490" t="str">
            <v>96746</v>
          </cell>
          <cell r="B4490" t="str">
            <v>LUVA, PPR, DN 110 MM, CLASSE PN 25, INSTALADO EM RESERVAÇÃO DE ÁGUA DE EDIFICAÇÃO QUE POSSUA RESERVATÓRIO DE FIBRA/FIBROCIMENTO  FORNECIMENTO E INSTALAÇÃO. AF_06/2016</v>
          </cell>
          <cell r="C4490" t="str">
            <v>UN</v>
          </cell>
          <cell r="D4490">
            <v>145.13999999999999</v>
          </cell>
        </row>
        <row r="4491">
          <cell r="A4491" t="str">
            <v>96747</v>
          </cell>
          <cell r="B4491" t="str">
            <v>JOELHO 90 GRAUS, PPR, DN 20 MM, CLASSE PN 25,  INSTALADO EM RESERVAÇÃO DE ÁGUA DE EDIFICAÇÃO QUE POSSUA RESERVATÓRIO DE FIBRA/FIBROCIMENTO  FORNECIMENTO E INSTALAÇÃO. AF_06/2016</v>
          </cell>
          <cell r="C4491" t="str">
            <v>UN</v>
          </cell>
          <cell r="D4491">
            <v>7.25</v>
          </cell>
        </row>
        <row r="4492">
          <cell r="A4492" t="str">
            <v>96748</v>
          </cell>
          <cell r="B4492" t="str">
            <v>JOELHO 90 GRAUS, PPR, DN 25 MM, CLASSE PN 25,  INSTALADO EM RESERVAÇÃO DE ÁGUA DE EDIFICAÇÃO QUE POSSUA RESERVATÓRIO DE FIBRA/FIBROCIMENTO  FORNECIMENTO E INSTALAÇÃO. AF_06/2016</v>
          </cell>
          <cell r="C4492" t="str">
            <v>UN</v>
          </cell>
          <cell r="D4492">
            <v>8.4499999999999993</v>
          </cell>
        </row>
        <row r="4493">
          <cell r="A4493" t="str">
            <v>96749</v>
          </cell>
          <cell r="B4493" t="str">
            <v>JOELHO 90 GRAUS, PPR, DN 32 MM, CLASSE PN 25,  INSTALADO EM RESERVAÇÃO DE ÁGUA DE EDIFICAÇÃO QUE POSSUA RESERVATÓRIO DE FIBRA/FIBROCIMENTO  FORNECIMENTO E INSTALAÇÃO. AF_06/2016</v>
          </cell>
          <cell r="C4493" t="str">
            <v>UN</v>
          </cell>
          <cell r="D4493">
            <v>11.68</v>
          </cell>
        </row>
        <row r="4494">
          <cell r="A4494" t="str">
            <v>96750</v>
          </cell>
          <cell r="B4494" t="str">
            <v>JOELHO 90 GRAUS, PPR, DN 40 MM, CLASSE PN 25,  INSTALADO EM RESERVAÇÃO DE ÁGUA DE EDIFICAÇÃO QUE POSSUA RESERVATÓRIO DE FIBRA/FIBROCIMENTO  FORNECIMENTO E INSTALAÇÃO. AF_06/2016</v>
          </cell>
          <cell r="C4494" t="str">
            <v>UN</v>
          </cell>
          <cell r="D4494">
            <v>16.38</v>
          </cell>
        </row>
        <row r="4495">
          <cell r="A4495" t="str">
            <v>96751</v>
          </cell>
          <cell r="B4495" t="str">
            <v>JOELHO 90 GRAUS, PPR, DN 50 MM, CLASSE PN 25,  INSTALADO EM RESERVAÇÃO DE ÁGUA DE EDIFICAÇÃO QUE POSSUA RESERVATÓRIO DE FIBRA/FIBROCIMENTO  FORNECIMENTO E INSTALAÇÃO. AF_06/2016</v>
          </cell>
          <cell r="C4495" t="str">
            <v>UN</v>
          </cell>
          <cell r="D4495">
            <v>30.34</v>
          </cell>
        </row>
        <row r="4496">
          <cell r="A4496" t="str">
            <v>96752</v>
          </cell>
          <cell r="B4496" t="str">
            <v>JOELHO 90 GRAUS, PPR, DN 63 MM, CLASSE PN 25,  INSTALADO EM RESERVAÇÃO DE ÁGUA DE EDIFICAÇÃO QUE POSSUA RESERVATÓRIO DE FIBRA/FIBROCIMENTO  FORNECIMENTO E INSTALAÇÃO. AF_06/2016</v>
          </cell>
          <cell r="C4496" t="str">
            <v>UN</v>
          </cell>
          <cell r="D4496">
            <v>40.64</v>
          </cell>
        </row>
        <row r="4497">
          <cell r="A4497" t="str">
            <v>96753</v>
          </cell>
          <cell r="B4497" t="str">
            <v>JOELHO 90 GRAUS, PPR, DN 75 MM, CLASSE PN 25,  INSTALADO EM RESERVAÇÃO DE ÁGUA DE EDIFICAÇÃO QUE POSSUA RESERVATÓRIO DE FIBRA/FIBROCIMENTO  FORNECIMENTO E INSTALAÇÃO. AF_06/2016</v>
          </cell>
          <cell r="C4497" t="str">
            <v>UN</v>
          </cell>
          <cell r="D4497">
            <v>94.12</v>
          </cell>
        </row>
        <row r="4498">
          <cell r="A4498" t="str">
            <v>96754</v>
          </cell>
          <cell r="B4498" t="str">
            <v>JOELHO 90 GRAUS, PPR, DN 90 MM, CLASSE PN 25,  INSTALADO EM RESERVAÇÃO DE ÁGUA DE EDIFICAÇÃO QUE POSSUA RESERVATÓRIO DE FIBRA/FIBROCIMENTO  FORNECIMENTO E INSTALAÇÃO. AF_06/2016</v>
          </cell>
          <cell r="C4498" t="str">
            <v>UN</v>
          </cell>
          <cell r="D4498">
            <v>134.96</v>
          </cell>
        </row>
        <row r="4499">
          <cell r="A4499" t="str">
            <v>96755</v>
          </cell>
          <cell r="B4499" t="str">
            <v>JOELHO 90 GRAUS, PPR, DN 110 MM, CLASSE PN 25,  INSTALADO EM RESERVAÇÃO DE ÁGUA DE EDIFICAÇÃO QUE POSSUA RESERVATÓRIO DE FIBRA/FIBROCIMENTO  FORNECIMENTO E INSTALAÇÃO. AF_06/2016</v>
          </cell>
          <cell r="C4499" t="str">
            <v>UN</v>
          </cell>
          <cell r="D4499">
            <v>203.53</v>
          </cell>
        </row>
        <row r="4500">
          <cell r="A4500" t="str">
            <v>96756</v>
          </cell>
          <cell r="B4500" t="str">
            <v>TÊ MISTURADOR, PPR, DN 20 MM, CLASSE PN 25,  INSTALADO EM RESERVAÇÃO DE ÁGUA DE EDIFICAÇÃO QUE POSSUA RESERVATÓRIO DE FIBRA/FIBROCIMENTO  FORNECIMENTO E INSTALAÇÃO. AF_06/2016</v>
          </cell>
          <cell r="C4500" t="str">
            <v>UN</v>
          </cell>
          <cell r="D4500">
            <v>14.21</v>
          </cell>
        </row>
        <row r="4501">
          <cell r="A4501" t="str">
            <v>96757</v>
          </cell>
          <cell r="B4501" t="str">
            <v>TÊ MISTURADOR, PPR, DN 25 MM, CLASSE PN 25,  INSTALADO EM RESERVAÇÃO DE ÁGUA DE EDIFICAÇÃO QUE POSSUA RESERVATÓRIO DE FIBRA/FIBROCIMENTO  FORNECIMENTO E INSTALAÇÃO. AF_06/2016</v>
          </cell>
          <cell r="C4501" t="str">
            <v>UN</v>
          </cell>
          <cell r="D4501">
            <v>13.58</v>
          </cell>
        </row>
        <row r="4502">
          <cell r="A4502" t="str">
            <v>96758</v>
          </cell>
          <cell r="B4502" t="str">
            <v>TÊ, PPR, DN 32 MM, CLASSE PN 25,  INSTALADO EM RESERVAÇÃO DE ÁGUA DE EDIFICAÇÃO QUE POSSUA RESERVATÓRIO DE FIBRA/FIBROCIMENTO  FORNECIMENTO E INSTALAÇÃO. AF_06/2016</v>
          </cell>
          <cell r="C4502" t="str">
            <v>UN</v>
          </cell>
          <cell r="D4502">
            <v>15.73</v>
          </cell>
        </row>
        <row r="4503">
          <cell r="A4503" t="str">
            <v>96759</v>
          </cell>
          <cell r="B4503" t="str">
            <v>TÊ, PPR, DN 40 MM, CLASSE PN 25,  INSTALADO EM RESERVAÇÃO DE ÁGUA DE EDIFICAÇÃO QUE POSSUA RESERVATÓRIO DE FIBRA/FIBROCIMENTO  FORNECIMENTO E INSTALAÇÃO. AF_06/2016</v>
          </cell>
          <cell r="C4503" t="str">
            <v>UN</v>
          </cell>
          <cell r="D4503">
            <v>24.66</v>
          </cell>
        </row>
        <row r="4504">
          <cell r="A4504" t="str">
            <v>96760</v>
          </cell>
          <cell r="B4504" t="str">
            <v>TÊ, PPR, DN 50 MM, CLASSE PN 25,  INSTALADO EM RESERVAÇÃO DE ÁGUA DE EDIFICAÇÃO QUE POSSUA RESERVATÓRIO DE FIBRA/FIBROCIMENTO  FORNECIMENTO E INSTALAÇÃO. AF_06/2016</v>
          </cell>
          <cell r="C4504" t="str">
            <v>UN</v>
          </cell>
          <cell r="D4504">
            <v>34.619999999999997</v>
          </cell>
        </row>
        <row r="4505">
          <cell r="A4505" t="str">
            <v>96761</v>
          </cell>
          <cell r="B4505" t="str">
            <v>TÊ, PPR, DN 63 MM, CLASSE PN 25,  INSTALADO EM RESERVAÇÃO DE ÁGUA DE EDIFICAÇÃO QUE POSSUA RESERVATÓRIO DE FIBRA/FIBROCIMENTO  FORNECIMENTO E INSTALAÇÃO. AF_06/2016</v>
          </cell>
          <cell r="C4505" t="str">
            <v>UN</v>
          </cell>
          <cell r="D4505">
            <v>51.09</v>
          </cell>
        </row>
        <row r="4506">
          <cell r="A4506" t="str">
            <v>96762</v>
          </cell>
          <cell r="B4506" t="str">
            <v>TÊ, PPR, DN 75 MM, CLASSE PN 25,  INSTALADO EM RESERVAÇÃO DE ÁGUA DE EDIFICAÇÃO QUE POSSUA RESERVATÓRIO DE FIBRA/FIBROCIMENTO  FORNECIMENTO E INSTALAÇÃO. AF_06/2016</v>
          </cell>
          <cell r="C4506" t="str">
            <v>UN</v>
          </cell>
          <cell r="D4506">
            <v>100.99</v>
          </cell>
        </row>
        <row r="4507">
          <cell r="A4507" t="str">
            <v>96763</v>
          </cell>
          <cell r="B4507" t="str">
            <v>TÊ, PPR, DN 90 MM, CLASSE PN 25,  INSTALADO EM RESERVAÇÃO DE ÁGUA DE EDIFICAÇÃO QUE POSSUA RESERVATÓRIO DE FIBRA/FIBROCIMENTO  FORNECIMENTO E INSTALAÇÃO. AF_06/2016</v>
          </cell>
          <cell r="C4507" t="str">
            <v>UN</v>
          </cell>
          <cell r="D4507">
            <v>142.69</v>
          </cell>
        </row>
        <row r="4508">
          <cell r="A4508" t="str">
            <v>96764</v>
          </cell>
          <cell r="B4508" t="str">
            <v>TÊ, PPR, DN 110 MM, CLASSE PN 25,  INSTALADO EM RESERVAÇÃO DE ÁGUA DE EDIFICAÇÃO QUE POSSUA RESERVATÓRIO DE FIBRA/FIBROCIMENTO  FORNECIMENTO E INSTALAÇÃO. AF_06/2016</v>
          </cell>
          <cell r="C4508" t="str">
            <v>UN</v>
          </cell>
          <cell r="D4508">
            <v>227.69</v>
          </cell>
        </row>
        <row r="4509">
          <cell r="A4509" t="str">
            <v>96802</v>
          </cell>
          <cell r="B4509" t="str">
            <v>KIT CHASSI PEX, PRÉ-FABRICADO, PARA CHUVEIRO COM REGISTROS DE PRESSÃO E CONEXÕES POR CRIMPAGEM  FORNECIMENTO E INSTALAÇÃO. AF_06/2015</v>
          </cell>
          <cell r="C4509" t="str">
            <v>UN</v>
          </cell>
          <cell r="D4509">
            <v>299.58</v>
          </cell>
        </row>
        <row r="4510">
          <cell r="A4510" t="str">
            <v>96803</v>
          </cell>
          <cell r="B4510" t="str">
            <v>KIT CHASSI PEX, PRÉ-FABRICADO, PARA COZINHA COM CUBA SIMPLES E CONEXÕES POR CRIMPAGEM  FORNECIMENTO E INSTALAÇÃO. AF_06/2015</v>
          </cell>
          <cell r="C4510" t="str">
            <v>UN</v>
          </cell>
          <cell r="D4510">
            <v>152.82</v>
          </cell>
        </row>
        <row r="4511">
          <cell r="A4511" t="str">
            <v>96804</v>
          </cell>
          <cell r="B4511" t="str">
            <v>KIT CHASSI PEX, PRÉ-FABRICADO, PARA ÁREA DE SERVIÇO COM TANQUE E MÁQUINA DE LAVAR ROUPA, E CONEXÕES POR CRIMPAGEM  FORNECIMENTO E INSTALAÇÃO. AF_06/2015</v>
          </cell>
          <cell r="C4511" t="str">
            <v>UN</v>
          </cell>
          <cell r="D4511">
            <v>270.69</v>
          </cell>
        </row>
        <row r="4512">
          <cell r="A4512" t="str">
            <v>96805</v>
          </cell>
          <cell r="B4512" t="str">
            <v>KIT CHASSI PEX, PRÉ-FABRICADO, PARA CHUVEIRO COM REGISTROS DE PRESSÃO E CONEXÕES POR ANEL DESLIZANTE  FORNECIMENTO E INSTALAÇÃO. AF_06/2015</v>
          </cell>
          <cell r="C4512" t="str">
            <v>UN</v>
          </cell>
          <cell r="D4512">
            <v>307.36</v>
          </cell>
        </row>
        <row r="4513">
          <cell r="A4513" t="str">
            <v>96806</v>
          </cell>
          <cell r="B4513" t="str">
            <v>KIT CHASSI PEX, PRÉ-FABRICADO, PARA COZINHA COM CUBA SIMPLES E CONEXÕES POR ANEL DESLIZANTE  FORNECIMENTO E INSTALAÇÃO. AF_06/2015</v>
          </cell>
          <cell r="C4513" t="str">
            <v>UN</v>
          </cell>
          <cell r="D4513">
            <v>146.97</v>
          </cell>
        </row>
        <row r="4514">
          <cell r="A4514" t="str">
            <v>96807</v>
          </cell>
          <cell r="B4514" t="str">
            <v>KIT CHASSI PEX, PRÉ-FABRICADO, PARA ÁREA DE SERVIÇO COM TANQUE E MÁQUINA DE LAVAR ROUPA, E CONEXÕES POR ANEL DESLIZANTE  FORNECIMENTO E INSTALAÇÃO. AF_06/2015</v>
          </cell>
          <cell r="C4514" t="str">
            <v>UN</v>
          </cell>
          <cell r="D4514">
            <v>243.27</v>
          </cell>
        </row>
        <row r="4515">
          <cell r="A4515" t="str">
            <v>96808</v>
          </cell>
          <cell r="B4515" t="str">
            <v>UNIÃO METÁLICA PARA INSTALAÇÕES EM PEX, DN 16 MM, FIXAÇÃO DAS CONEXÕES POR ANEL DESLIZANTE  FORNECIMENTO E INSTALAÇÃO . AF_06/2015</v>
          </cell>
          <cell r="C4515" t="str">
            <v>UN</v>
          </cell>
          <cell r="D4515">
            <v>12.99</v>
          </cell>
        </row>
        <row r="4516">
          <cell r="A4516" t="str">
            <v>96809</v>
          </cell>
          <cell r="B4516" t="str">
            <v>CONEXÃO FIXA, ROSCA FÊMEA, METÁLICA, PARA INSTALAÇÕES EM PEX, DN 16 MM X 1/2", COM ANEL DESLIZANTE. FORNECIMENTO E INSTALAÇÃO. AF_06/2015</v>
          </cell>
          <cell r="C4516" t="str">
            <v>UN</v>
          </cell>
          <cell r="D4516">
            <v>15.04</v>
          </cell>
        </row>
        <row r="4517">
          <cell r="A4517" t="str">
            <v>96810</v>
          </cell>
          <cell r="B4517" t="str">
            <v>CONEXÃO MÓVEL, ROSCA FÊMEA, METÁLICA, PARA INSTALAÇÕES EM PEX, DN 16 MM X 3/4", COM ANEL DESLIZANTE. FORNECIMENTO E INSTALAÇÃO. AF_06/2015</v>
          </cell>
          <cell r="C4517" t="str">
            <v>UN</v>
          </cell>
          <cell r="D4517">
            <v>16.420000000000002</v>
          </cell>
        </row>
        <row r="4518">
          <cell r="A4518" t="str">
            <v>96811</v>
          </cell>
          <cell r="B4518" t="str">
            <v>UNIÃO METÁLICA PARA INSTALAÇÕES EM PEX, DN 20 MM, FIXAÇÃO DAS CONEXÕES POR ANEL DESLIZANTE  FORNECIMENTO E INSTALAÇÃO . AF_06/2015</v>
          </cell>
          <cell r="C4518" t="str">
            <v>UN</v>
          </cell>
          <cell r="D4518">
            <v>17.54</v>
          </cell>
        </row>
        <row r="4519">
          <cell r="A4519" t="str">
            <v>96812</v>
          </cell>
          <cell r="B4519" t="str">
            <v>CONEXÃO FIXA, ROSCA FÊMEA, METÁLICA, PARA INSTALAÇÕES EM PEX, DN 20 MM X 1/2", COM ANEL DESLIZANTE. FORNECIMENTO E INSTALAÇÃO. AF_06/2015</v>
          </cell>
          <cell r="C4519" t="str">
            <v>UN</v>
          </cell>
          <cell r="D4519">
            <v>16.809999999999999</v>
          </cell>
        </row>
        <row r="4520">
          <cell r="A4520" t="str">
            <v>96813</v>
          </cell>
          <cell r="B4520" t="str">
            <v>CONEXÃO FIXA, ROSCA FÊMEA, METÁLICA, PARA INSTALAÇÕES EM PEX, DN 20 MM X 3/4", COM ANEL DESLIZANTE. FORNECIMENTO E INSTALAÇÃO. AF_06/2015</v>
          </cell>
          <cell r="C4520" t="str">
            <v>UN</v>
          </cell>
          <cell r="D4520">
            <v>19.559999999999999</v>
          </cell>
        </row>
        <row r="4521">
          <cell r="A4521" t="str">
            <v>96814</v>
          </cell>
          <cell r="B4521" t="str">
            <v>UNIÃO DE REDUÇÃO, METÁLICA, PARA INSTALAÇÕES EM PEX, DN 20 X 16 MM, CONEXÃO POR ANEL DESLIZANTE  FORNECIMENTO E INSTALAÇÃO. AF_06/2015</v>
          </cell>
          <cell r="C4521" t="str">
            <v>UN</v>
          </cell>
          <cell r="D4521">
            <v>16.350000000000001</v>
          </cell>
        </row>
        <row r="4522">
          <cell r="A4522" t="str">
            <v>96815</v>
          </cell>
          <cell r="B4522" t="str">
            <v>UNIÃO METÁLICA PARA INSTALAÇÕES EM PEX, DN 25 MM, FIXAÇÃO DAS CONEXÕES POR ANEL DESLIZANTE   FORNECIMENTO E INSTALAÇÃO. AF_06/2015</v>
          </cell>
          <cell r="C4522" t="str">
            <v>UN</v>
          </cell>
          <cell r="D4522">
            <v>28.16</v>
          </cell>
        </row>
        <row r="4523">
          <cell r="A4523" t="str">
            <v>96816</v>
          </cell>
          <cell r="B4523" t="str">
            <v>CONEXÃO FIXA, ROSCA FÊMEA, METÁLICA, PARA INSTALAÇÕES EM PEX, DN 25 MM X 3/4", COM ANEL DESLIZANTE. FORNECIMENTO E INSTALAÇÃO. AF_06/2015</v>
          </cell>
          <cell r="C4523" t="str">
            <v>UN</v>
          </cell>
          <cell r="D4523">
            <v>22.92</v>
          </cell>
        </row>
        <row r="4524">
          <cell r="A4524" t="str">
            <v>96817</v>
          </cell>
          <cell r="B4524" t="str">
            <v>CONEXÃO FIXA, ROSCA FÊMEA, METÁLICA, PARA INSTALAÇÕES EM PEX, DN 25 MM X 1", COM ANEL DESLIZANTE. FORNECIMENTO E INSTALAÇÃO. AF_06/2015</v>
          </cell>
          <cell r="C4524" t="str">
            <v>UN</v>
          </cell>
          <cell r="D4524">
            <v>26.26</v>
          </cell>
        </row>
        <row r="4525">
          <cell r="A4525" t="str">
            <v>96818</v>
          </cell>
          <cell r="B4525" t="str">
            <v>UNIÃO DE REDUÇÃO, METÁLICA, PEX, DN 25 X 16 MM, CONEXÃO POR ANEL DESLIZANTE  FORNECIMENTO E INSTALAÇÃO. AF_06/2015</v>
          </cell>
          <cell r="C4525" t="str">
            <v>UN</v>
          </cell>
          <cell r="D4525">
            <v>24.36</v>
          </cell>
        </row>
        <row r="4526">
          <cell r="A4526" t="str">
            <v>96819</v>
          </cell>
          <cell r="B4526" t="str">
            <v>UNIÃO DE REDUÇÃO, METÁLICA, PEX, DN 25 X 20 MM, CONEXÃO POR ANEL DESLIZANTE  FORNECIMENTO E INSTALAÇÃO. AF_06/2015</v>
          </cell>
          <cell r="C4526" t="str">
            <v>UN</v>
          </cell>
          <cell r="D4526">
            <v>24.36</v>
          </cell>
        </row>
        <row r="4527">
          <cell r="A4527" t="str">
            <v>96820</v>
          </cell>
          <cell r="B4527" t="str">
            <v>UNIÃO METÁLICA PARA INSTALAÇÕES EM PEX, DN 32 MM, FIXAÇÃO DAS CONEXÕES POR ANEL DESLIZANTE   FORNECIMENTO E INSTALAÇÃO. AF_06/2015</v>
          </cell>
          <cell r="C4527" t="str">
            <v>UN</v>
          </cell>
          <cell r="D4527">
            <v>45.12</v>
          </cell>
        </row>
        <row r="4528">
          <cell r="A4528" t="str">
            <v>96821</v>
          </cell>
          <cell r="B4528" t="str">
            <v>CONEXÃO FIXA, ROSCA FÊMEA, METÁLICA, PARA INSTALAÇÕES EM PEX, DN 32 MM X 1", COM ANEL DESLIZANTE  FORNECIMENTO E INSTALAÇÃO. AF_06/2015</v>
          </cell>
          <cell r="C4528" t="str">
            <v>UN</v>
          </cell>
          <cell r="D4528">
            <v>38.18</v>
          </cell>
        </row>
        <row r="4529">
          <cell r="A4529" t="str">
            <v>96822</v>
          </cell>
          <cell r="B4529" t="str">
            <v>UNIÃO DE REDUÇÃO, METÁLICA, PEX, DN 32 X 25 MM, CONEXÃO POR ANEL DESLIZANTE  FORNECIMENTO E INSTALAÇÃO. AF_06/2015</v>
          </cell>
          <cell r="C4529" t="str">
            <v>UN</v>
          </cell>
          <cell r="D4529">
            <v>38.72</v>
          </cell>
        </row>
        <row r="4530">
          <cell r="A4530" t="str">
            <v>96823</v>
          </cell>
          <cell r="B4530" t="str">
            <v>LUVA PARA INSTALAÇÕES EM PEX, DN 16 MM, CONEXÃO POR CRIMPAGEM  FORNECIMENTO E INSTALAÇÃO . AF_06/2015</v>
          </cell>
          <cell r="C4530" t="str">
            <v>UN</v>
          </cell>
          <cell r="D4530">
            <v>15.93</v>
          </cell>
        </row>
        <row r="4531">
          <cell r="A4531" t="str">
            <v>96824</v>
          </cell>
          <cell r="B4531" t="str">
            <v>CONEXÃO FIXA, ROSCA FÊMEA, PARA INSTALAÇÕES EM PEX, DN 16MM X 1/2", CONEXÃO POR CRIMPAGEM  FORNECIMENTO E INSTALAÇÃO. AF_06/2015</v>
          </cell>
          <cell r="C4531" t="str">
            <v>UN</v>
          </cell>
          <cell r="D4531">
            <v>18.059999999999999</v>
          </cell>
        </row>
        <row r="4532">
          <cell r="A4532" t="str">
            <v>96825</v>
          </cell>
          <cell r="B4532" t="str">
            <v>CONEXÃO FIXA, ROSCA FÊMEA, PARA INSTALAÇÕES EM PEX, DN 16MM X 3/4", CONEXÃO POR CRIMPAGEM  FORNECIMENTO E INSTALAÇÃO. AF_06/2015</v>
          </cell>
          <cell r="C4532" t="str">
            <v>UN</v>
          </cell>
          <cell r="D4532">
            <v>24.74</v>
          </cell>
        </row>
        <row r="4533">
          <cell r="A4533" t="str">
            <v>96826</v>
          </cell>
          <cell r="B4533" t="str">
            <v>LUVA PARA INSTALAÇÕES EM PEX, DN 20 MM, CONEXÃO POR CRIMPAGEM   FORNECIMENTO E INSTALAÇÃO. AF_06/2015</v>
          </cell>
          <cell r="C4533" t="str">
            <v>UN</v>
          </cell>
          <cell r="D4533">
            <v>22.23</v>
          </cell>
        </row>
        <row r="4534">
          <cell r="A4534" t="str">
            <v>96827</v>
          </cell>
          <cell r="B4534" t="str">
            <v>CONEXÃO FIXA, ROSCA FÊMEA, PARA INSTALAÇÕES EM PEX, DN 20MM X 1/2", CONEXÃO POR CRIMPAGEM  FORNECIMENTO E INSTALAÇÃO. AF_06/2015</v>
          </cell>
          <cell r="C4534" t="str">
            <v>UN</v>
          </cell>
          <cell r="D4534">
            <v>23.09</v>
          </cell>
        </row>
        <row r="4535">
          <cell r="A4535" t="str">
            <v>96828</v>
          </cell>
          <cell r="B4535" t="str">
            <v>CONEXÃO FIXA, ROSCA FÊMEA, PARA INSTALAÇÕES EM PEX, DN 20MM X 3/4", CONEXÃO POR CRIMPAGEM  FORNECIMENTO E INSTALAÇÃO. AF_06/2015</v>
          </cell>
          <cell r="C4535" t="str">
            <v>UN</v>
          </cell>
          <cell r="D4535">
            <v>29.21</v>
          </cell>
        </row>
        <row r="4536">
          <cell r="A4536" t="str">
            <v>96829</v>
          </cell>
          <cell r="B4536" t="str">
            <v>LUVA DE REDUÇÃO PARA INSTALAÇÕES EM PEX, DN 20 X 16 MM, CONEXÃO POR CRIMPAGEM  FORNECIMENTO E INSTALAÇÃO. AF_06/2015</v>
          </cell>
          <cell r="C4536" t="str">
            <v>UN</v>
          </cell>
          <cell r="D4536">
            <v>22.19</v>
          </cell>
        </row>
        <row r="4537">
          <cell r="A4537" t="str">
            <v>96830</v>
          </cell>
          <cell r="B4537" t="str">
            <v>LUVA PARA INSTALAÇÕES EM PEX, DN 25 MM, CONEXÃO POR CRIMPAGEM   FORNECIMENTO E INSTALAÇÃO. AF_06/2015</v>
          </cell>
          <cell r="C4537" t="str">
            <v>UN</v>
          </cell>
          <cell r="D4537">
            <v>32.47</v>
          </cell>
        </row>
        <row r="4538">
          <cell r="A4538" t="str">
            <v>96831</v>
          </cell>
          <cell r="B4538" t="str">
            <v>CONEXÃO FIXA, ROSCA FÊMEA, PARA INSTALAÇÕES EM PEX, DN 25MM X 1/2", CONEXÃO POR CRIMPAGEM  FORNECIMENTO E INSTALAÇÃO. AF_06/2015</v>
          </cell>
          <cell r="C4538" t="str">
            <v>UN</v>
          </cell>
          <cell r="D4538">
            <v>26.28</v>
          </cell>
        </row>
        <row r="4539">
          <cell r="A4539" t="str">
            <v>96832</v>
          </cell>
          <cell r="B4539" t="str">
            <v>CONEXÃO FIXA, ROSCA FÊMEA, PARA INSTALAÇÕES EM PEX, DN 25MM X 3/4", CONEXÃO POR CRIMPAGEM  FORNECIMENTO E INSTALAÇÃO. AF_06/2015</v>
          </cell>
          <cell r="C4539" t="str">
            <v>UN</v>
          </cell>
          <cell r="D4539">
            <v>30.54</v>
          </cell>
        </row>
        <row r="4540">
          <cell r="A4540" t="str">
            <v>96833</v>
          </cell>
          <cell r="B4540" t="str">
            <v>LUVA DE REDUÇÃO PARA INSTALAÇÕES EM PEX, DN 25 X 16 MM, CONEXÃO POR CRIMPAGEM  FORNECIMENTO E INSTALAÇÃO. AF_06/2015</v>
          </cell>
          <cell r="C4540" t="str">
            <v>UN</v>
          </cell>
          <cell r="D4540">
            <v>28.54</v>
          </cell>
        </row>
        <row r="4541">
          <cell r="A4541" t="str">
            <v>96834</v>
          </cell>
          <cell r="B4541" t="str">
            <v>LUVA PARA INSTALAÇÕES EM PEX, DN 32 MM, CONEXÃO POR CRIMPAGEM  FORNECIMENTO E INSTALAÇÃO . AF_06/2015</v>
          </cell>
          <cell r="C4541" t="str">
            <v>UN</v>
          </cell>
          <cell r="D4541">
            <v>47.57</v>
          </cell>
        </row>
        <row r="4542">
          <cell r="A4542" t="str">
            <v>96835</v>
          </cell>
          <cell r="B4542" t="str">
            <v>CONEXÃO FIXA, ROSCA FÊMEA, PARA INSTALAÇÕES EM PEX, DN 32 MM X 3/4", CONEXÃO POR CRIMPAGEM  FORNECIMENTO E INSTALAÇÃO. AF_06/2015</v>
          </cell>
          <cell r="C4542" t="str">
            <v>UN</v>
          </cell>
          <cell r="D4542">
            <v>40.96</v>
          </cell>
        </row>
        <row r="4543">
          <cell r="A4543" t="str">
            <v>96836</v>
          </cell>
          <cell r="B4543" t="str">
            <v>LUVA DE REDUÇÃO PARA INSTALAÇÕES EM PEX, DN 32 X 25 MM, CONEXÃO POR CRIMPAGEM  FORNECIMENTO E INSTALAÇÃO. AF_06/2015</v>
          </cell>
          <cell r="C4543" t="str">
            <v>UN</v>
          </cell>
          <cell r="D4543">
            <v>43.71</v>
          </cell>
        </row>
        <row r="4544">
          <cell r="A4544" t="str">
            <v>96837</v>
          </cell>
          <cell r="B4544" t="str">
            <v>JOELHO 90 GRAUS, METÁLICO, PARA INSTALAÇÕES EM PEX, DN 16 MM, CONEXÃO POR ANEL DESLIZANTE   FORNECIMENTO E INSTALAÇÃO. AF_06/2015</v>
          </cell>
          <cell r="C4544" t="str">
            <v>UN</v>
          </cell>
          <cell r="D4544">
            <v>22.95</v>
          </cell>
        </row>
        <row r="4545">
          <cell r="A4545" t="str">
            <v>96838</v>
          </cell>
          <cell r="B4545" t="str">
            <v>JOELHO 90 GRAUS, ROSCA FÊMEA TERMINAL, METÁLICO, PARA INSTALAÇÕES EM PEX, DN 16MM X 1/2", CONEXÃO POR ANEL DESLIZANTE  FORNECIMENTO E INSTALAÇÃO. AF_06/2015</v>
          </cell>
          <cell r="C4545" t="str">
            <v>UN</v>
          </cell>
          <cell r="D4545">
            <v>20.97</v>
          </cell>
        </row>
        <row r="4546">
          <cell r="A4546" t="str">
            <v>96839</v>
          </cell>
          <cell r="B4546" t="str">
            <v>JOELHO, ROSCA FÊMEA, COM BASE FIXA, METÁLICO, PARA INSTALAÇÕES EM PEX, DN 16MM X 1/2", CONEXÃO POR ANEL DESLIZANTE  FORNECIMENTO E INSTALAÇÃO. AF_06/2015</v>
          </cell>
          <cell r="C4546" t="str">
            <v>UN</v>
          </cell>
          <cell r="D4546">
            <v>20.62</v>
          </cell>
        </row>
        <row r="4547">
          <cell r="A4547" t="str">
            <v>96840</v>
          </cell>
          <cell r="B4547" t="str">
            <v>JOELHO 90 GRAUS, METÁLICO, PARA INSTALAÇÕES EM PEX, DN 20 MM, CONEXÃO POR ANEL DESLIZANTE  FORNECIMENTO E INSTALAÇÃO . AF_06/2015</v>
          </cell>
          <cell r="C4547" t="str">
            <v>UN</v>
          </cell>
          <cell r="D4547">
            <v>26.79</v>
          </cell>
        </row>
        <row r="4548">
          <cell r="A4548" t="str">
            <v>96841</v>
          </cell>
          <cell r="B4548" t="str">
            <v>JOELHO 90 GRAUS, ROSCA FÊMEA TERMINAL, METÁLICO, PARA INSTALAÇÕES EM PEX, DN 20 MM X 1/2", CONEXÃO POR ANEL DESLIZANTE  FORNECIMENTO E INSTALAÇÃO. AF_06/2015</v>
          </cell>
          <cell r="C4548" t="str">
            <v>UN</v>
          </cell>
          <cell r="D4548">
            <v>23.23</v>
          </cell>
        </row>
        <row r="4549">
          <cell r="A4549" t="str">
            <v>96842</v>
          </cell>
          <cell r="B4549" t="str">
            <v>JOELHO 90 GRAUS, ROSCA FÊMEA TERMINAL, METÁLICO, PARA INSTALAÇÕES EM PEX, DN 20 MM X 3/4", CONEXÃO POR ANEL DESLIZANTE  FORNECIMENTO E INSTALAÇÃO. AF_06/2015</v>
          </cell>
          <cell r="C4549" t="str">
            <v>UN</v>
          </cell>
          <cell r="D4549">
            <v>30.04</v>
          </cell>
        </row>
        <row r="4550">
          <cell r="A4550" t="str">
            <v>96843</v>
          </cell>
          <cell r="B4550" t="str">
            <v>JOELHO ROSCA FÊMEA, COM BASE FIXA, METÁLICO, PARA INSTALAÇÕES EM PEX, DN 20MM X 1/2", CONEXÃO POR ANEL DESLIZANTE  FORNECIMENTO E INSTALAÇÃO. AF_06/2015</v>
          </cell>
          <cell r="C4550" t="str">
            <v>UN</v>
          </cell>
          <cell r="D4550">
            <v>28.82</v>
          </cell>
        </row>
        <row r="4551">
          <cell r="A4551" t="str">
            <v>96844</v>
          </cell>
          <cell r="B4551" t="str">
            <v>JOELHO ROSCA FÊMEA, MÓVEL, METÁLICO, PARA INSTALAÇÕES EM PEX, DN 20MM X 3/4", CONEXÃO POR ANEL DESLIZANTE  FORNECIMENTO E INSTALAÇÃO. AF_06/2015</v>
          </cell>
          <cell r="C4551" t="str">
            <v>UN</v>
          </cell>
          <cell r="D4551">
            <v>39.92</v>
          </cell>
        </row>
        <row r="4552">
          <cell r="A4552" t="str">
            <v>96845</v>
          </cell>
          <cell r="B4552" t="str">
            <v>JOELHO 90 GRAUS, METÁLICO, PARA INSTALAÇÕES EM PEX, DN 25 MM, CONEXÃO POR ANEL DESLIZANTE   FORNECIMENTO E INSTALAÇÃO. AF_06/2015</v>
          </cell>
          <cell r="C4552" t="str">
            <v>UN</v>
          </cell>
          <cell r="D4552">
            <v>42.54</v>
          </cell>
        </row>
        <row r="4553">
          <cell r="A4553" t="str">
            <v>96846</v>
          </cell>
          <cell r="B4553" t="str">
            <v>JOELHO 90 GRAUS, ROSCA FÊMEA TERMINAL, METÁLICO, PARA INSTALAÇÕES EM PEX, DN 25 MM X 3/4", CONEXÃO POR ANEL DESLIZANTE  FORNECIMENTO E INSTALAÇÃO. AF_06/2015</v>
          </cell>
          <cell r="C4553" t="str">
            <v>UN</v>
          </cell>
          <cell r="D4553">
            <v>33.06</v>
          </cell>
        </row>
        <row r="4554">
          <cell r="A4554" t="str">
            <v>96847</v>
          </cell>
          <cell r="B4554" t="str">
            <v>JOELHO ROSCA FÊMEA, COM BASE FIXA, METÁLICO, PARA INSTALAÇÕES EM PEX, DN 25MM X 3/4", CONEXÃO POR ANEL DESLIZANTE  FORNECIMENTO E INSTALAÇÃO. AF_06/2015</v>
          </cell>
          <cell r="C4554" t="str">
            <v>UN</v>
          </cell>
          <cell r="D4554">
            <v>36.53</v>
          </cell>
        </row>
        <row r="4555">
          <cell r="A4555" t="str">
            <v>96848</v>
          </cell>
          <cell r="B4555" t="str">
            <v>JOELHO 90 GRAUS, METÁLICO, PARA INSTALAÇÕES EM PEX, DN 32 MM, CONEXÃO POR ANEL DESLIZANTE  FORNECIMENTO E INSTALAÇÃO . AF_06/2015</v>
          </cell>
          <cell r="C4555" t="str">
            <v>UN</v>
          </cell>
          <cell r="D4555">
            <v>55.31</v>
          </cell>
        </row>
        <row r="4556">
          <cell r="A4556" t="str">
            <v>96849</v>
          </cell>
          <cell r="B4556" t="str">
            <v>JOELHO 90 GRAUS, PARA INSTALAÇÕES EM PEX, DN 16 MM, CONEXÃO POR CRIMPAGEM   FORNECIMENTO E INSTALAÇÃO. AF_06/2015</v>
          </cell>
          <cell r="C4556" t="str">
            <v>UN</v>
          </cell>
          <cell r="D4556">
            <v>19.88</v>
          </cell>
        </row>
        <row r="4557">
          <cell r="A4557" t="str">
            <v>96850</v>
          </cell>
          <cell r="B4557" t="str">
            <v>JOELHO 90 GRAUS, ROSCA FÊMEA TERMINAL, PARA INSTALAÇÕES EM PEX, DN 16MM X 1/2", CONEXÃO POR CRIMPAGEM  FORNECIMENTO E INSTALAÇÃO. AF_06/2015</v>
          </cell>
          <cell r="C4557" t="str">
            <v>UN</v>
          </cell>
          <cell r="D4557">
            <v>23.44</v>
          </cell>
        </row>
        <row r="4558">
          <cell r="A4558" t="str">
            <v>96851</v>
          </cell>
          <cell r="B4558" t="str">
            <v>JOELHO 90 GRAUS, ROSCA FÊMEA TERMINAL, PARA INSTALAÇÕES EM PEX, DN 16MM X 3/4", CONEXÃO POR CRIMPAGEM  FORNECIMENTO E INSTALAÇÃO. AF_06/2015</v>
          </cell>
          <cell r="C4558" t="str">
            <v>UN</v>
          </cell>
          <cell r="D4558">
            <v>31.38</v>
          </cell>
        </row>
        <row r="4559">
          <cell r="A4559" t="str">
            <v>96852</v>
          </cell>
          <cell r="B4559" t="str">
            <v>JOELHO 90 GRAUS, PARA INSTALAÇÕES EM PEX, DN 20 MM, CONEXÃO POR CRIMPAGEM   FORNECIMENTO E INSTALAÇÃO. AF_06/2015</v>
          </cell>
          <cell r="C4559" t="str">
            <v>UN</v>
          </cell>
          <cell r="D4559">
            <v>26.62</v>
          </cell>
        </row>
        <row r="4560">
          <cell r="A4560" t="str">
            <v>96853</v>
          </cell>
          <cell r="B4560" t="str">
            <v>JOELHO 90 GRAUS, ROSCA FÊMEA TERMINAL, PARA INSTALAÇÕES EM PEX, DN 20MM X 1/2", CONEXÃO POR CRIMPAGEM  FORNECIMENTO E INSTALAÇÃO. AF_06/2015</v>
          </cell>
          <cell r="C4560" t="str">
            <v>UN</v>
          </cell>
          <cell r="D4560">
            <v>30.08</v>
          </cell>
        </row>
        <row r="4561">
          <cell r="A4561" t="str">
            <v>96854</v>
          </cell>
          <cell r="B4561" t="str">
            <v>JOELHO 90 GRAUS, ROSCA FÊMEA TERMINAL, PARA INSTALAÇÕES EM PEX, DN 20MM X 3/4", CONEXÃO POR CRIMPAGEM  FORNECIMENTO E INSTALAÇÃO. AF_06/2015</v>
          </cell>
          <cell r="C4561" t="str">
            <v>UN</v>
          </cell>
          <cell r="D4561">
            <v>36.229999999999997</v>
          </cell>
        </row>
        <row r="4562">
          <cell r="A4562" t="str">
            <v>96855</v>
          </cell>
          <cell r="B4562" t="str">
            <v>JOELHO 90 GRAUS, PARA INSTALAÇÕES EM PEX, DN 25 MM, CONEXÃO POR CRIMPAGEM   FORNECIMENTO E INSTALAÇÃO. AF_06/2015</v>
          </cell>
          <cell r="C4562" t="str">
            <v>UN</v>
          </cell>
          <cell r="D4562">
            <v>33.11</v>
          </cell>
        </row>
        <row r="4563">
          <cell r="A4563" t="str">
            <v>96856</v>
          </cell>
          <cell r="B4563" t="str">
            <v>JOELHO 90 GRAUS, ROSCA FÊMEA TERMINAL, PARA INSTALAÇÕES EM PEX, DN 25MM X 1/2", CONEXÃO POR CRIMPAGEM  FORNECIMENTO E INSTALAÇÃO. AF_06/2015</v>
          </cell>
          <cell r="C4563" t="str">
            <v>UN</v>
          </cell>
          <cell r="D4563">
            <v>33.619999999999997</v>
          </cell>
        </row>
        <row r="4564">
          <cell r="A4564" t="str">
            <v>96857</v>
          </cell>
          <cell r="B4564" t="str">
            <v>JOELHO 90 GRAUS, ROSCA FÊMEA TERMINAL, PARA INSTALAÇÕES EM PEX, DN 25MM X 1, CONEXÃO POR CRIMPAGEM  FORNECIMENTO E INSTALAÇÃO. AF_06/2015</v>
          </cell>
          <cell r="C4564" t="str">
            <v>UN</v>
          </cell>
          <cell r="D4564">
            <v>54.41</v>
          </cell>
        </row>
        <row r="4565">
          <cell r="A4565" t="str">
            <v>96858</v>
          </cell>
          <cell r="B4565" t="str">
            <v>JOELHO 90 GRAUS, PARA INSTALAÇÕES EM PEX, DN 32 MM, CONEXÃO POR CRIMPAGEM   FORNECIMENTO E INSTALAÇÃO. AF_06/2015</v>
          </cell>
          <cell r="C4565" t="str">
            <v>UN</v>
          </cell>
          <cell r="D4565">
            <v>54.68</v>
          </cell>
        </row>
        <row r="4566">
          <cell r="A4566" t="str">
            <v>96859</v>
          </cell>
          <cell r="B4566" t="str">
            <v>JOELHO 90 GRAUS, ROSCA FÊMEA TERMINAL, PARA INSTALAÇÕES EM PEX, DN 32 MM X 1", CONEXÃO POR CRIMPAGEM  FORNECIMENTO E INSTALAÇÃO. AF_06/2015</v>
          </cell>
          <cell r="C4566" t="str">
            <v>UN</v>
          </cell>
          <cell r="D4566">
            <v>68.180000000000007</v>
          </cell>
        </row>
        <row r="4567">
          <cell r="A4567" t="str">
            <v>96860</v>
          </cell>
          <cell r="B4567" t="str">
            <v>TÊ, METÁLICO, PARA INSTALAÇÕES EM PEX, DN 16 MM, CONEXÃO POR ANEL DESLIZANTE  FORNECIMENTO E INSTALAÇÃO. AF_06/2015</v>
          </cell>
          <cell r="C4567" t="str">
            <v>UN</v>
          </cell>
          <cell r="D4567">
            <v>26.41</v>
          </cell>
        </row>
        <row r="4568">
          <cell r="A4568" t="str">
            <v>96861</v>
          </cell>
          <cell r="B4568" t="str">
            <v>TÊ, ROSCA FÊMEA, METÁLICO, PARA INSTALAÇÕES EM PEX, DN 16 MM X ½, CONEXÃO POR ANEL DESLIZANTE   FORNECIMENTO E INSTALAÇÃO. AF_06/2015</v>
          </cell>
          <cell r="C4568" t="str">
            <v>UN</v>
          </cell>
          <cell r="D4568">
            <v>28.65</v>
          </cell>
        </row>
        <row r="4569">
          <cell r="A4569" t="str">
            <v>96862</v>
          </cell>
          <cell r="B4569" t="str">
            <v>TÊ, METÁLICO, PARA INSTALAÇÕES EM PEX, DN 20 MM, CONEXÃO POR ANEL DESLIZANTE  FORNECIMENTO E INSTALAÇÃO. AF_06/2015</v>
          </cell>
          <cell r="C4569" t="str">
            <v>UN</v>
          </cell>
          <cell r="D4569">
            <v>31.85</v>
          </cell>
        </row>
        <row r="4570">
          <cell r="A4570" t="str">
            <v>96863</v>
          </cell>
          <cell r="B4570" t="str">
            <v>TÊ, ROSCA FÊMEA, METÁLICO, PARA INSTALAÇÕES EM PEX, DN 20 MM X ½, CONEXÃO POR ANEL DESLIZANTE   FORNECIMENTO E INSTALAÇÃO. AF_06/2015</v>
          </cell>
          <cell r="C4570" t="str">
            <v>UN</v>
          </cell>
          <cell r="D4570">
            <v>31.48</v>
          </cell>
        </row>
        <row r="4571">
          <cell r="A4571" t="str">
            <v>96864</v>
          </cell>
          <cell r="B4571" t="str">
            <v>TÊ, METÁLICO, PARA INSTALAÇÕES EM PEX, DN 25 MM, CONEXÃO POR ANEL DESLIZANTE  FORNECIMENTO E INSTALAÇÃO. AF_06/2015</v>
          </cell>
          <cell r="C4571" t="str">
            <v>UN</v>
          </cell>
          <cell r="D4571">
            <v>50.7</v>
          </cell>
        </row>
        <row r="4572">
          <cell r="A4572" t="str">
            <v>96865</v>
          </cell>
          <cell r="B4572" t="str">
            <v>TÊ, ROSCA FÊMEA, METÁLICO, PARA INSTALAÇÕES EM PEX, DN 25 MM X 3/4", CONEXÃO POR ANEL DESLIZANTE  FORNECIMENTO E INSTALAÇÃO. AF_06/2015</v>
          </cell>
          <cell r="C4572" t="str">
            <v>UN</v>
          </cell>
          <cell r="D4572">
            <v>49.6</v>
          </cell>
        </row>
        <row r="4573">
          <cell r="A4573" t="str">
            <v>96866</v>
          </cell>
          <cell r="B4573" t="str">
            <v>TÊ, METÁLICO, PARA INSTALAÇÕES EM PEX, DN 32 MM, CONEXÃO POR ANEL DESLIZANTE  FORNECIMENTO E INSTALAÇÃO. AF_06/2015</v>
          </cell>
          <cell r="C4573" t="str">
            <v>UN</v>
          </cell>
          <cell r="D4573">
            <v>66.86</v>
          </cell>
        </row>
        <row r="4574">
          <cell r="A4574" t="str">
            <v>96867</v>
          </cell>
          <cell r="B4574" t="str">
            <v>TÊ, ROSCA MACHO, METÁLICO, PARA INSTALAÇÕES EM PEX, DN 32 MM X 1", CONEXÃO POR ANEL DESLIZANTE  FORNECIMENTO E INSTALAÇÃO. AF_06/2015</v>
          </cell>
          <cell r="C4574" t="str">
            <v>UN</v>
          </cell>
          <cell r="D4574">
            <v>78.2</v>
          </cell>
        </row>
        <row r="4575">
          <cell r="A4575" t="str">
            <v>96868</v>
          </cell>
          <cell r="B4575" t="str">
            <v>TÊ, PARA INSTALAÇÕES EM PEX, DN 16 MM, CONEXÃO POR CRIMPAGEM  FORNECIMENTO E INSTALAÇÃO. AF_06/2015</v>
          </cell>
          <cell r="C4575" t="str">
            <v>UN</v>
          </cell>
          <cell r="D4575">
            <v>31.04</v>
          </cell>
        </row>
        <row r="4576">
          <cell r="A4576" t="str">
            <v>96869</v>
          </cell>
          <cell r="B4576" t="str">
            <v>TÊ, PARA INSTALAÇÕES EM PEX, DN 20 MM, CONEXÃO POR CRIMPAGEM  FORNECIMENTO E INSTALAÇÃO. AF_06/2015</v>
          </cell>
          <cell r="C4576" t="str">
            <v>UN</v>
          </cell>
          <cell r="D4576">
            <v>37.1</v>
          </cell>
        </row>
        <row r="4577">
          <cell r="A4577" t="str">
            <v>96870</v>
          </cell>
          <cell r="B4577" t="str">
            <v>TÊ, PEX, DN 25 MM, CONEXÃO POR CRIMPAGEM  FORNECIMENTO E INSTALAÇÃO. AF_06/2015</v>
          </cell>
          <cell r="C4577" t="str">
            <v>UN</v>
          </cell>
          <cell r="D4577">
            <v>59.22</v>
          </cell>
        </row>
        <row r="4578">
          <cell r="A4578" t="str">
            <v>96871</v>
          </cell>
          <cell r="B4578" t="str">
            <v>TÊ, PARA INSTALAÇÕES EM PEX, DN 32 MM, CONEXÃO POR CRIMPAGEM  FORNECIMENTO E INSTALAÇÃO. AF_06/2015</v>
          </cell>
          <cell r="C4578" t="str">
            <v>UN</v>
          </cell>
          <cell r="D4578">
            <v>86.27</v>
          </cell>
        </row>
        <row r="4579">
          <cell r="A4579" t="str">
            <v>96872</v>
          </cell>
          <cell r="B4579" t="str">
            <v>DISTRIBUIDOR 2 SAÍDAS, METÁLICO, PARA INSTALAÇÕES EM PEX, ENTRADA DE 3/4" X 2 SAÍDAS DE 1/2", CONEXÃO POR ANEL DESLIZANTE  FORNECIMENTO E INSTALAÇÃO. AF_06/2015</v>
          </cell>
          <cell r="C4579" t="str">
            <v>UN</v>
          </cell>
          <cell r="D4579">
            <v>77.23</v>
          </cell>
        </row>
        <row r="4580">
          <cell r="A4580" t="str">
            <v>96873</v>
          </cell>
          <cell r="B4580" t="str">
            <v>DISTRIBUIDOR 2 SAÍDAS, METÁLICO, PARA INSTALAÇÕES EM PEX, ENTRADA DE 1" X 2 SAÍDAS DE 1/2", CONEXÃO POR ANEL DESLIZANTE  FORNECIMENTO E INSTALAÇÃO. AF_06/2015</v>
          </cell>
          <cell r="C4580" t="str">
            <v>UN</v>
          </cell>
          <cell r="D4580">
            <v>89.74</v>
          </cell>
        </row>
        <row r="4581">
          <cell r="A4581" t="str">
            <v>96874</v>
          </cell>
          <cell r="B4581" t="str">
            <v>DISTRIBUIDOR 3 SAÍDAS, METÁLICO, PARA INSTALAÇÕES EM PEX, ENTRADA DE 3/4" X 3 SAÍDAS DE 1/2", CONEXÃO POR ANEL DESLIZANTE  FORNECIMENTO E INSTALAÇÃO . AF_06/2015</v>
          </cell>
          <cell r="C4581" t="str">
            <v>UN</v>
          </cell>
          <cell r="D4581">
            <v>93.76</v>
          </cell>
        </row>
        <row r="4582">
          <cell r="A4582" t="str">
            <v>96875</v>
          </cell>
          <cell r="B4582" t="str">
            <v>DISTRIBUIDOR 3 SAÍDAS, METÁLICO, PARA INSTALAÇÕES EM PEX, ENTRADA DE 1 X 3 SAÍDAS DE 1/2, CONEXÃO POR ANEL DESLIZANTE   FORNECIMENTO E INSTALAÇÃO. AF_06/2015</v>
          </cell>
          <cell r="C4582" t="str">
            <v>UN</v>
          </cell>
          <cell r="D4582">
            <v>113.88</v>
          </cell>
        </row>
        <row r="4583">
          <cell r="A4583" t="str">
            <v>96876</v>
          </cell>
          <cell r="B4583" t="str">
            <v>DISTRIBUIDOR 2 SAÍDAS, PARA INSTALAÇÕES EM PEX, ENTRADA DE 32 MM X 2 SAÍDAS DE 16 MM, CONEXÃO POR CRIMPAGEM FORNECIMENTO E INSTALAÇÃO. AF_06/2015</v>
          </cell>
          <cell r="C4583" t="str">
            <v>UN</v>
          </cell>
          <cell r="D4583">
            <v>206.87</v>
          </cell>
        </row>
        <row r="4584">
          <cell r="A4584" t="str">
            <v>96877</v>
          </cell>
          <cell r="B4584" t="str">
            <v>DISTRIBUIDOR 2 SAÍDAS, PARA INSTALAÇÕES EM PEX, ENTRADA DE 32 MM X 2 SAÍDAS DE 20 MM, CONEXÃO POR CRIMPAGEM  FORNECIMENTO E INSTALAÇÃO. AF_06/2015</v>
          </cell>
          <cell r="C4584" t="str">
            <v>UN</v>
          </cell>
          <cell r="D4584">
            <v>221.47</v>
          </cell>
        </row>
        <row r="4585">
          <cell r="A4585" t="str">
            <v>96878</v>
          </cell>
          <cell r="B4585" t="str">
            <v>DISTRIBUIDOR 2 SAÍDAS, PARA INSTALAÇÕES EM PEX, ENTRADA DE 32 MM X 2 SAÍDAS DE 25 MM, CONEXÃO POR CRIMPAGEM  FORNECIMENTO E INSTALAÇÃO. AF_06/2015</v>
          </cell>
          <cell r="C4585" t="str">
            <v>UN</v>
          </cell>
          <cell r="D4585">
            <v>224.2</v>
          </cell>
        </row>
        <row r="4586">
          <cell r="A4586" t="str">
            <v>96879</v>
          </cell>
          <cell r="B4586" t="str">
            <v>DISTRIBUIDOR 3 SAÍDAS, PARA INSTALAÇÕES EM PEX, ENTRADA DE 32 MM X 3 SAÍDAS DE 16 MM, CONEXÃO POR CRIMPAGEM  FORNECIMENTO E INSTALAÇÃO. AF_06/2015</v>
          </cell>
          <cell r="C4586" t="str">
            <v>UN</v>
          </cell>
          <cell r="D4586">
            <v>224.21</v>
          </cell>
        </row>
        <row r="4587">
          <cell r="A4587" t="str">
            <v>96880</v>
          </cell>
          <cell r="B4587" t="str">
            <v>DISTRIBUIDOR 3 SAÍDAS, PARA INSTALAÇÕES EM PEX, ENTRADA DE 32 MM X 3 SAÍDAS DE 20 MM, CONEXÃO POR CRIMPAGEM  FORNECIMENTO E INSTALAÇÃO. AF_06/2015</v>
          </cell>
          <cell r="C4587" t="str">
            <v>UN</v>
          </cell>
          <cell r="D4587">
            <v>256.91000000000003</v>
          </cell>
        </row>
        <row r="4588">
          <cell r="A4588" t="str">
            <v>96881</v>
          </cell>
          <cell r="B4588" t="str">
            <v>DISTRIBUIDOR 3 SAÍDAS, PARA INSTALAÇÕES EM PEX, ENTRADA DE 32 MM X 3 SAÍDAS DE 25 MM, CONEXÃO POR CRIMPAGEM  FORNECIMENTO E INSTALAÇÃO. AF_06/2015</v>
          </cell>
          <cell r="C4588" t="str">
            <v>UN</v>
          </cell>
          <cell r="D4588">
            <v>271.72000000000003</v>
          </cell>
        </row>
        <row r="4589">
          <cell r="A4589" t="str">
            <v>97425</v>
          </cell>
          <cell r="B4589" t="str">
            <v>FLANGE EM AÇO, DN 15 MM X 1/2'', INSTALADO EM RESERVAÇÃO DE ÁGUA DE EDIFICAÇÃO QUE POSSUA RESERVATÓRIO DE FIBRA/FIBROCIMENTO - FORNECIMENTO E INSTALAÇÃO. AF_06/2016</v>
          </cell>
          <cell r="C4589" t="str">
            <v>UN</v>
          </cell>
          <cell r="D4589">
            <v>25.02</v>
          </cell>
        </row>
        <row r="4590">
          <cell r="A4590" t="str">
            <v>97426</v>
          </cell>
          <cell r="B4590" t="str">
            <v>FLANGE EM AÇO, DN 20 MM X 3/4'', INSTALADO EM RESERVAÇÃO DE ÁGUA DE EDIFICAÇÃO QUE POSSUA RESERVATÓRIO DE FIBRA/FIBROCIMENTO - FORNECIMENTO E INSTALAÇÃO. AF_06/2016</v>
          </cell>
          <cell r="C4590" t="str">
            <v>UN</v>
          </cell>
          <cell r="D4590">
            <v>30.33</v>
          </cell>
        </row>
        <row r="4591">
          <cell r="A4591" t="str">
            <v>97427</v>
          </cell>
          <cell r="B4591" t="str">
            <v>FLANGE EM AÇO, DN 25 MM X 1'', INSTALADO EM RESERVAÇÃO DE ÁGUA DE EDIFICAÇÃO QUE POSSUA RESERVATÓRIO DE FIBRA/FIBROCIMENTO - FORNECIMENTO E INSTALAÇÃO. AF_06/2016</v>
          </cell>
          <cell r="C4591" t="str">
            <v>UN</v>
          </cell>
          <cell r="D4591">
            <v>34.35</v>
          </cell>
        </row>
        <row r="4592">
          <cell r="A4592" t="str">
            <v>97428</v>
          </cell>
          <cell r="B4592" t="str">
            <v>FLANGE EM AÇO, DN 32 MM X 1 1/4'', INSTALADO EM RESERVAÇÃO DE ÁGUA DE EDIFICAÇÃO QUE POSSUA RESERVATÓRIO DE FIBRA/FIBROCIMENTO - FORNECIMENTO E INSTALAÇÃO. AF_06/2016</v>
          </cell>
          <cell r="C4592" t="str">
            <v>UN</v>
          </cell>
          <cell r="D4592">
            <v>43.67</v>
          </cell>
        </row>
        <row r="4593">
          <cell r="A4593" t="str">
            <v>97429</v>
          </cell>
          <cell r="B4593" t="str">
            <v>FLANGE EM AÇO, DN 40 MM X 1 1/2'', INSTALADO EM RESERVAÇÃO DE ÁGUA DE EDIFICAÇÃO QUE POSSUA RESERVATÓRIO DE FIBRA/FIBROCIMENTO - FORNECIMENTO E INSTALAÇÃO. AF_06/2016</v>
          </cell>
          <cell r="C4593" t="str">
            <v>UN</v>
          </cell>
          <cell r="D4593">
            <v>52.25</v>
          </cell>
        </row>
        <row r="4594">
          <cell r="A4594" t="str">
            <v>97430</v>
          </cell>
          <cell r="B4594" t="str">
            <v>ACOPLAMENTO RÍGIDO EM AÇO, CONEXÃO RANHURADA, DN 50 (2"), INSTALADO EM PRUMADAS - FORNECIMENTO E INSTALAÇÃO. AF_10/2020</v>
          </cell>
          <cell r="C4594" t="str">
            <v>UN</v>
          </cell>
          <cell r="D4594">
            <v>44.81</v>
          </cell>
        </row>
        <row r="4595">
          <cell r="A4595" t="str">
            <v>97431</v>
          </cell>
          <cell r="B4595" t="str">
            <v>ACOPLAMENTO RÍGIDO EM AÇO, CONEXÃO RANHURADA, DN 65 (2 1/2"), INSTALADO EM PRUMADAS - FORNECIMENTO E INSTALAÇÃO. AF_10/2020</v>
          </cell>
          <cell r="C4595" t="str">
            <v>UN</v>
          </cell>
          <cell r="D4595">
            <v>49.63</v>
          </cell>
        </row>
        <row r="4596">
          <cell r="A4596" t="str">
            <v>97432</v>
          </cell>
          <cell r="B4596" t="str">
            <v>ACOPLAMENTO RÍGIDO EM AÇO, CONEXÃO RANHURADA, DN 80 (3"), INSTALADO EM PRUMADAS - FORNECIMENTO E INSTALAÇÃO. AF_10/2020</v>
          </cell>
          <cell r="C4596" t="str">
            <v>UN</v>
          </cell>
          <cell r="D4596">
            <v>55.93</v>
          </cell>
        </row>
        <row r="4597">
          <cell r="A4597" t="str">
            <v>97433</v>
          </cell>
          <cell r="B4597" t="str">
            <v>CURVA 45 GRAUS, EM AÇO, CONEXÃO RANHURADA, DN 50 (2"), INSTALADO EM PRUMADAS - FORNECIMENTO E INSTALAÇÃO. AF_10/2020</v>
          </cell>
          <cell r="C4597" t="str">
            <v>UN</v>
          </cell>
          <cell r="D4597">
            <v>109.44</v>
          </cell>
        </row>
        <row r="4598">
          <cell r="A4598" t="str">
            <v>97434</v>
          </cell>
          <cell r="B4598" t="str">
            <v>CURVA 90 GRAUS, EM AÇO, CONEXÃO RANHURADA, DN 50 (2"), INSTALADO EM PRUMADAS - FORNECIMENTO E INSTALAÇÃO. AF_10/2020</v>
          </cell>
          <cell r="C4598" t="str">
            <v>UN</v>
          </cell>
          <cell r="D4598">
            <v>111.76</v>
          </cell>
        </row>
        <row r="4599">
          <cell r="A4599" t="str">
            <v>97435</v>
          </cell>
          <cell r="B4599" t="str">
            <v>CURVA 45 GRAUS, EM AÇO, CONEXÃO RANHURADA, DN 65 (2 1/2"), INSTALADO EM PRUMADAS - FORNECIMENTO E INSTALAÇÃO. AF_10/2020</v>
          </cell>
          <cell r="C4599" t="str">
            <v>UN</v>
          </cell>
          <cell r="D4599">
            <v>128.25</v>
          </cell>
        </row>
        <row r="4600">
          <cell r="A4600" t="str">
            <v>97436</v>
          </cell>
          <cell r="B4600" t="str">
            <v>CURVA 90 GRAUS, EM AÇO, CONEXÃO RANHURADA, DN 65 (2 1/2"), INSTALADO EM PRUMADAS - FORNECIMENTO E INSTALAÇÃO. AF_10/2020</v>
          </cell>
          <cell r="C4600" t="str">
            <v>UN</v>
          </cell>
          <cell r="D4600">
            <v>132.69</v>
          </cell>
        </row>
        <row r="4601">
          <cell r="A4601" t="str">
            <v>97437</v>
          </cell>
          <cell r="B4601" t="str">
            <v>CURVA 45 GRAUS, EM AÇO, CONEXÃO RANHURADA, DN 80 (3), INSTALADO EM PRUMADAS - FORNECIMENTO E INSTALAÇÃO. AF_10/2020</v>
          </cell>
          <cell r="C4601" t="str">
            <v>UN</v>
          </cell>
          <cell r="D4601">
            <v>146.91999999999999</v>
          </cell>
        </row>
        <row r="4602">
          <cell r="A4602" t="str">
            <v>97438</v>
          </cell>
          <cell r="B4602" t="str">
            <v>CURVA 90 GRAUS, EM AÇO, CONEXÃO RANHURADA, DN 80 (3"), INSTALADO EM PRUMADAS - FORNECIMENTO E INSTALAÇÃO. AF_10/2020</v>
          </cell>
          <cell r="C4602" t="str">
            <v>UN</v>
          </cell>
          <cell r="D4602">
            <v>151.68</v>
          </cell>
        </row>
        <row r="4603">
          <cell r="A4603" t="str">
            <v>97439</v>
          </cell>
          <cell r="B4603" t="str">
            <v>TÊ, EM AÇO, CONEXÃO RANHURADA, DN 50 (2"), INSTALADO EM PRUMADAS - FORNECIMENTO E INSTALAÇÃO. AF_10/2020</v>
          </cell>
          <cell r="C4603" t="str">
            <v>UN</v>
          </cell>
          <cell r="D4603">
            <v>168.08</v>
          </cell>
        </row>
        <row r="4604">
          <cell r="A4604" t="str">
            <v>97440</v>
          </cell>
          <cell r="B4604" t="str">
            <v>TÊ, EM AÇO, CONEXÃO RANHURADA, DN 65 (2 1/2"), INSTALADO EM PRUMADAS - FORNECIMENTO E INSTALAÇÃO. AF_10/2020</v>
          </cell>
          <cell r="C4604" t="str">
            <v>UN</v>
          </cell>
          <cell r="D4604">
            <v>202.34</v>
          </cell>
        </row>
        <row r="4605">
          <cell r="A4605" t="str">
            <v>97442</v>
          </cell>
          <cell r="B4605" t="str">
            <v>TÊ, EM AÇO, CONEXÃO RANHURADA, DN 80 (3"), INSTALADO EM PRUMADAS - FORNECIMENTO E INSTALAÇÃO. AF_10/2020</v>
          </cell>
          <cell r="C4605" t="str">
            <v>UN</v>
          </cell>
          <cell r="D4605">
            <v>223.03</v>
          </cell>
        </row>
        <row r="4606">
          <cell r="A4606" t="str">
            <v>97443</v>
          </cell>
          <cell r="B4606" t="str">
            <v>LUVA, EM AÇO, CONEXÃO SOLDADA, DN 50 (2"), INSTALADO EM PRUMADAS - FORNECIMENTO E INSTALAÇÃO. AF_10/2020</v>
          </cell>
          <cell r="C4606" t="str">
            <v>UN</v>
          </cell>
          <cell r="D4606">
            <v>109.57</v>
          </cell>
        </row>
        <row r="4607">
          <cell r="A4607" t="str">
            <v>97444</v>
          </cell>
          <cell r="B4607" t="str">
            <v>LUVA COM REDUÇÃO, EM AÇO, CONEXÃO SOLDADA, DN 50 X 40 MM (2  X 1 1/2"), INSTALADO EM PRUMADAS - FORNECIMENTO E INSTALAÇÃO. AF_10/2020</v>
          </cell>
          <cell r="C4607" t="str">
            <v>UN</v>
          </cell>
          <cell r="D4607">
            <v>130.44999999999999</v>
          </cell>
        </row>
        <row r="4608">
          <cell r="A4608" t="str">
            <v>97446</v>
          </cell>
          <cell r="B4608" t="str">
            <v>LUVA, EM AÇO, CONEXÃO SOLDADA, DN 65 (2 1/2"), INSTALADO EM PRUMADAS - FORNECIMENTO E INSTALAÇÃO. AF_10/2020</v>
          </cell>
          <cell r="C4608" t="str">
            <v>UN</v>
          </cell>
          <cell r="D4608">
            <v>230.77</v>
          </cell>
        </row>
        <row r="4609">
          <cell r="A4609" t="str">
            <v>97447</v>
          </cell>
          <cell r="B4609" t="str">
            <v>LUVA COM REDUÇÃO, EM AÇO, CONEXÃO SOLDADA, DN 65 X 50 MM (2 1/2" X 2"), INSTALADO EM PRUMADAS - FORNECIMENTO E INSTALAÇÃO. AF_10/2020</v>
          </cell>
          <cell r="C4609" t="str">
            <v>UN</v>
          </cell>
          <cell r="D4609">
            <v>230.77</v>
          </cell>
        </row>
        <row r="4610">
          <cell r="A4610" t="str">
            <v>97449</v>
          </cell>
          <cell r="B4610" t="str">
            <v>LUVA, EM AÇO, CONEXÃO SOLDADA, DN 80 (3"), INSTALADO EM PRUMADAS - FORNECIMENTO E INSTALAÇÃO. AF_10/2020</v>
          </cell>
          <cell r="C4610" t="str">
            <v>UN</v>
          </cell>
          <cell r="D4610">
            <v>245.4</v>
          </cell>
        </row>
        <row r="4611">
          <cell r="A4611" t="str">
            <v>97450</v>
          </cell>
          <cell r="B4611" t="str">
            <v>LUVA COM REDUÇÃO, EM AÇO, CONEXÃO SOLDADA, DN 80 X 65 MM (3" X 2 1/2"), INSTALADO EM PRUMADAS - FORNECIMENTO E INSTALAÇÃO. AF_10/2020</v>
          </cell>
          <cell r="C4611" t="str">
            <v>UN</v>
          </cell>
          <cell r="D4611">
            <v>302.27</v>
          </cell>
        </row>
        <row r="4612">
          <cell r="A4612" t="str">
            <v>97452</v>
          </cell>
          <cell r="B4612" t="str">
            <v>CURVA 45 GRAUS, EM AÇO, CONEXÃO SOLDADA, DN 50 (2"), INSTALADO EM PRUMADAS - FORNECIMENTO E INSTALAÇÃO. AF_10/2020</v>
          </cell>
          <cell r="C4612" t="str">
            <v>UN</v>
          </cell>
          <cell r="D4612">
            <v>181.55</v>
          </cell>
        </row>
        <row r="4613">
          <cell r="A4613" t="str">
            <v>97453</v>
          </cell>
          <cell r="B4613" t="str">
            <v>CURVA 90 GRAUS, EM AÇO, CONEXÃO SOLDADA, DN 50 (2"), INSTALADO EM PRUMADAS - FORNECIMENTO E INSTALAÇÃO. AF_10/2020</v>
          </cell>
          <cell r="C4613" t="str">
            <v>UN</v>
          </cell>
          <cell r="D4613">
            <v>193.47</v>
          </cell>
        </row>
        <row r="4614">
          <cell r="A4614" t="str">
            <v>97454</v>
          </cell>
          <cell r="B4614" t="str">
            <v>CURVA 45 GRAUS, EM AÇO, CONEXÃO SOLDADA, DN 65 (2 1/2"), INSTALADO EM PRUMADAS - FORNECIMENTO E INSTALAÇÃO. AF_10/2020</v>
          </cell>
          <cell r="C4614" t="str">
            <v>UN</v>
          </cell>
          <cell r="D4614">
            <v>316.20999999999998</v>
          </cell>
        </row>
        <row r="4615">
          <cell r="A4615" t="str">
            <v>97455</v>
          </cell>
          <cell r="B4615" t="str">
            <v>CURVA 90 GRAUS, EM AÇO, CONEXÃO SOLDADA, DN 65 (2 1/2"), INSTALADO EM PRUMADAS - FORNECIMENTO E INSTALAÇÃO. AF_10/2020</v>
          </cell>
          <cell r="C4615" t="str">
            <v>UN</v>
          </cell>
          <cell r="D4615">
            <v>335.27</v>
          </cell>
        </row>
        <row r="4616">
          <cell r="A4616" t="str">
            <v>97456</v>
          </cell>
          <cell r="B4616" t="str">
            <v>CURVA 45 GRAUS, EM AÇO, CONEXÃO SOLDADA, DN 80 (3"), INSTALADO EM PRUMADAS - FORNECIMENTO E INSTALAÇÃO. AF_10/2020</v>
          </cell>
          <cell r="C4616" t="str">
            <v>UN</v>
          </cell>
          <cell r="D4616">
            <v>732.15</v>
          </cell>
        </row>
        <row r="4617">
          <cell r="A4617" t="str">
            <v>97457</v>
          </cell>
          <cell r="B4617" t="str">
            <v>CURVA 90 GRAUS, EM AÇO, CONEXÃO SOLDADA, DN 80 (3"), INSTALADO EM PRUMADAS - FORNECIMENTO E INSTALAÇÃO. AF_10/2020</v>
          </cell>
          <cell r="C4617" t="str">
            <v>UN</v>
          </cell>
          <cell r="D4617">
            <v>646.62</v>
          </cell>
        </row>
        <row r="4618">
          <cell r="A4618" t="str">
            <v>97458</v>
          </cell>
          <cell r="B4618" t="str">
            <v>TÊ, EM AÇO, CONEXÃO SOLDADA, DN 50 (2"), INSTALADO EM PRUMADAS - FORNECIMENTO E INSTALAÇÃO. AF_10/2020</v>
          </cell>
          <cell r="C4618" t="str">
            <v>UN</v>
          </cell>
          <cell r="D4618">
            <v>289.92</v>
          </cell>
        </row>
        <row r="4619">
          <cell r="A4619" t="str">
            <v>97459</v>
          </cell>
          <cell r="B4619" t="str">
            <v>TÊ, EM AÇO, CONEXÃO SOLDADA, DN 65 (2 1/2"), INSTALADO EM PRUMADAS - FORNECIMENTO E INSTALAÇÃO. AF_10/2020</v>
          </cell>
          <cell r="C4619" t="str">
            <v>UN</v>
          </cell>
          <cell r="D4619">
            <v>507.18</v>
          </cell>
        </row>
        <row r="4620">
          <cell r="A4620" t="str">
            <v>97460</v>
          </cell>
          <cell r="B4620" t="str">
            <v>TÊ, EM AÇO, CONEXÃO SOLDADA, DN 80 (3"), INSTALADO EM PRUMADAS - FORNECIMENTO E INSTALAÇÃO. AF_10/2020</v>
          </cell>
          <cell r="C4620" t="str">
            <v>UN</v>
          </cell>
          <cell r="D4620">
            <v>787.46</v>
          </cell>
        </row>
        <row r="4621">
          <cell r="A4621" t="str">
            <v>97461</v>
          </cell>
          <cell r="B4621" t="str">
            <v>LUVA, EM AÇO, CONEXÃO SOLDADA, DN 25 (1"), INSTALADO EM REDE DE ALIMENTAÇÃO PARA HIDRANTE - FORNECIMENTO E INSTALAÇÃO. AF_10/2020</v>
          </cell>
          <cell r="C4621" t="str">
            <v>UN</v>
          </cell>
          <cell r="D4621">
            <v>34.700000000000003</v>
          </cell>
        </row>
        <row r="4622">
          <cell r="A4622" t="str">
            <v>97462</v>
          </cell>
          <cell r="B4622" t="str">
            <v>LUVA COM REDUÇÃO, EM AÇO, CONEXÃO SOLDADA, DN 25 X 20 MM (1  X 3/4"), INSTALADO EM REDE DE ALIMENTAÇÃO PARA HIDRANTE - FORNECIMENTO E INSTALAÇÃO. AF_10/2020</v>
          </cell>
          <cell r="C4622" t="str">
            <v>UN</v>
          </cell>
          <cell r="D4622">
            <v>28.58</v>
          </cell>
        </row>
        <row r="4623">
          <cell r="A4623" t="str">
            <v>97464</v>
          </cell>
          <cell r="B4623" t="str">
            <v>LUVA, EM AÇO, CONEXÃO SOLDADA, DN 32 (1 1/4"), INSTALADO EM REDE DE ALIMENTAÇÃO PARA HIDRANTE - FORNECIMENTO E INSTALAÇÃO. AF_10/2020</v>
          </cell>
          <cell r="C4623" t="str">
            <v>UN</v>
          </cell>
          <cell r="D4623">
            <v>50.34</v>
          </cell>
        </row>
        <row r="4624">
          <cell r="A4624" t="str">
            <v>97465</v>
          </cell>
          <cell r="B4624" t="str">
            <v>LUVA COM REDUÇÃO, EM AÇO, CONEXÃO SOLDADA, DN 32 X 25 MM (1 1/4"  X 1"), INSTALADO EM REDE DE ALIMENTAÇÃO PARA HIDRANTE - FORNECIMENTO E INSTALAÇÃO. AF_10/2020</v>
          </cell>
          <cell r="C4624" t="str">
            <v>UN</v>
          </cell>
          <cell r="D4624">
            <v>60.65</v>
          </cell>
        </row>
        <row r="4625">
          <cell r="A4625" t="str">
            <v>97467</v>
          </cell>
          <cell r="B4625" t="str">
            <v>LUVA, EM AÇO, CONEXÃO SOLDADA, DN 40 (1 1/2"), INSTALADO EM REDE DE ALIMENTAÇÃO PARA HIDRANTE - FORNECIMENTO E INSTALAÇÃO. AF_10/2020</v>
          </cell>
          <cell r="C4625" t="str">
            <v>UN</v>
          </cell>
          <cell r="D4625">
            <v>63.93</v>
          </cell>
        </row>
        <row r="4626">
          <cell r="A4626" t="str">
            <v>97468</v>
          </cell>
          <cell r="B4626" t="str">
            <v>LUVA COM REDUÇÃO, EM AÇO, CONEXÃO SOLDADA, DN 40  X 32 MM (1 1/2" X 1 1/4"), INSTALADO EM REDE DE ALIMENTAÇÃO PARA HIDRANTE - FORNECIMENTO E INSTALAÇÃO. AF_10/2020</v>
          </cell>
          <cell r="C4626" t="str">
            <v>UN</v>
          </cell>
          <cell r="D4626">
            <v>77.14</v>
          </cell>
        </row>
        <row r="4627">
          <cell r="A4627" t="str">
            <v>97470</v>
          </cell>
          <cell r="B4627" t="str">
            <v>LUVA, EM AÇO, CONEXÃO SOLDADA, DN 50 (2"), INSTALADO EM REDE DE ALIMENTAÇÃO PARA HIDRANTE - FORNECIMENTO E INSTALAÇÃO. AF_10/2020</v>
          </cell>
          <cell r="C4627" t="str">
            <v>UN</v>
          </cell>
          <cell r="D4627">
            <v>95.28</v>
          </cell>
        </row>
        <row r="4628">
          <cell r="A4628" t="str">
            <v>97471</v>
          </cell>
          <cell r="B4628" t="str">
            <v>LUVA COM REDUÇÃO, EM AÇO, CONEXÃO SOLDADA, DN 50 X 40 MM (2" X 1 1/2"), INSTALADO EM REDE DE ALIMENTAÇÃO PARA HIDRANTE - FORNECIMENTO E INSTALAÇÃO. AF_10/2020</v>
          </cell>
          <cell r="C4628" t="str">
            <v>UN</v>
          </cell>
          <cell r="D4628">
            <v>116.16</v>
          </cell>
        </row>
        <row r="4629">
          <cell r="A4629" t="str">
            <v>97474</v>
          </cell>
          <cell r="B4629" t="str">
            <v>LUVA, EM AÇO, CONEXÃO SOLDADA, DN 65 (2 1/2"), INSTALADO EM REDE DE ALIMENTAÇÃO PARA HIDRANTE - FORNECIMENTO E INSTALAÇÃO. AF_10/2020</v>
          </cell>
          <cell r="C4629" t="str">
            <v>UN</v>
          </cell>
          <cell r="D4629">
            <v>176.7</v>
          </cell>
        </row>
        <row r="4630">
          <cell r="A4630" t="str">
            <v>97475</v>
          </cell>
          <cell r="B4630" t="str">
            <v>LUVA COM REDUÇÃO, EM AÇO, CONEXÃO SOLDADA, DN 65 X 50 MM (2 1/2" X 2"), INSTALADO EM REDE DE ALIMENTAÇÃO PARA HIDRANTE - FORNECIMENTO E INSTALAÇÃO. AF_10/2020</v>
          </cell>
          <cell r="C4630" t="str">
            <v>UN</v>
          </cell>
          <cell r="D4630">
            <v>218.92</v>
          </cell>
        </row>
        <row r="4631">
          <cell r="A4631" t="str">
            <v>97477</v>
          </cell>
          <cell r="B4631" t="str">
            <v>LUVA, EM AÇO, CONEXÃO SOLDADA, DN 80 (3"), INSTALADO EM REDE DE ALIMENTAÇÃO PARA HIDRANTE - FORNECIMENTO E INSTALAÇÃO. AF_10/2020</v>
          </cell>
          <cell r="C4631" t="str">
            <v>UN</v>
          </cell>
          <cell r="D4631">
            <v>235.98</v>
          </cell>
        </row>
        <row r="4632">
          <cell r="A4632" t="str">
            <v>97478</v>
          </cell>
          <cell r="B4632" t="str">
            <v>LUVA COM REDUÇÃO, EM AÇO, CONEXÃO SOLDADA, DN 80 X 65 MM (3" X 2 1/2"), INSTALADO EM REDE DE ALIMENTAÇÃO PARA HIDRANTE - FORNECIMENTO E INSTALAÇÃO. AF_10/2020</v>
          </cell>
          <cell r="C4632" t="str">
            <v>UN</v>
          </cell>
          <cell r="D4632">
            <v>292.85000000000002</v>
          </cell>
        </row>
        <row r="4633">
          <cell r="A4633" t="str">
            <v>97479</v>
          </cell>
          <cell r="B4633" t="str">
            <v>CURVA 45 GRAUS, EM AÇO, CONEXÃO SOLDADA, DN 25 (1"), INSTALADO EM REDE DE ALIMENTAÇÃO PARA HIDRANTE - FORNECIMENTO E INSTALAÇÃO. AF_10/2020</v>
          </cell>
          <cell r="C4633" t="str">
            <v>UN</v>
          </cell>
          <cell r="D4633">
            <v>56.25</v>
          </cell>
        </row>
        <row r="4634">
          <cell r="A4634" t="str">
            <v>97480</v>
          </cell>
          <cell r="B4634" t="str">
            <v>CURVA 90 GRAUS, EM AÇO, CONEXÃO SOLDADA, DN 25 (1"), INSTALADO EM REDE DE ALIMENTAÇÃO PARA HIDRANTE - FORNECIMENTO E INSTALAÇÃO. AF_10/2020</v>
          </cell>
          <cell r="C4634" t="str">
            <v>UN</v>
          </cell>
          <cell r="D4634">
            <v>56.25</v>
          </cell>
        </row>
        <row r="4635">
          <cell r="A4635" t="str">
            <v>97481</v>
          </cell>
          <cell r="B4635" t="str">
            <v>CURVA 45 GRAUS, EM AÇO, CONEXÃO SOLDADA, DN 32 (1 1/4"), INSTALADO EM REDE DE ALIMENTAÇÃO PARA HIDRANTE - FORNECIMENTO E INSTALAÇÃO. AF_10/2020</v>
          </cell>
          <cell r="C4635" t="str">
            <v>UN</v>
          </cell>
          <cell r="D4635">
            <v>82.09</v>
          </cell>
        </row>
        <row r="4636">
          <cell r="A4636" t="str">
            <v>97482</v>
          </cell>
          <cell r="B4636" t="str">
            <v>CURVA 90 GRAUS, EM AÇO, CONEXÃO SOLDADA, DN 32 (1 1/4"), INSTALADO EM REDE DE ALIMENTAÇÃO PARA HIDRANTE - FORNECIMENTO E INSTALAÇÃO. AF_10/2020</v>
          </cell>
          <cell r="C4636" t="str">
            <v>UN</v>
          </cell>
          <cell r="D4636">
            <v>82.09</v>
          </cell>
        </row>
        <row r="4637">
          <cell r="A4637" t="str">
            <v>97483</v>
          </cell>
          <cell r="B4637" t="str">
            <v>CURVA 45 GRAUS, EM AÇO, CONEXÃO SOLDADA, DN 40 (1 1/2"), INSTALADO EM REDE DE ALIMENTAÇÃO PARA HIDRANTE - FORNECIMENTO E INSTALAÇÃO. AF_10/2020</v>
          </cell>
          <cell r="C4637" t="str">
            <v>UN</v>
          </cell>
          <cell r="D4637">
            <v>115.62</v>
          </cell>
        </row>
        <row r="4638">
          <cell r="A4638" t="str">
            <v>97484</v>
          </cell>
          <cell r="B4638" t="str">
            <v>CURVA 90 GRAUS, EM AÇO, CONEXÃO SOLDADA, DN 40 (1 1/2"), INSTALADO EM REDE DE ALIMENTAÇÃO PARA HIDRANTE - FORNECIMENTO E INSTALAÇÃO. AF_10/2020</v>
          </cell>
          <cell r="C4638" t="str">
            <v>UN</v>
          </cell>
          <cell r="D4638">
            <v>115.62</v>
          </cell>
        </row>
        <row r="4639">
          <cell r="A4639" t="str">
            <v>97485</v>
          </cell>
          <cell r="B4639" t="str">
            <v>CURVA 45 GRAUS, EM AÇO, CONEXÃO SOLDADA, DN 50 (2"), INSTALADO EM REDE DE ALIMENTAÇÃO PARA HIDRANTE - FORNECIMENTO E INSTALAÇÃO. AF_10/2020</v>
          </cell>
          <cell r="C4639" t="str">
            <v>UN</v>
          </cell>
          <cell r="D4639">
            <v>160.16</v>
          </cell>
        </row>
        <row r="4640">
          <cell r="A4640" t="str">
            <v>97486</v>
          </cell>
          <cell r="B4640" t="str">
            <v>CURVA 90 GRAUS, EM AÇO, CONEXÃO SOLDADA, DN 50 (2"), INSTALADO EM REDE DE ALIMENTAÇÃO PARA HIDRANTE - FORNECIMENTO E INSTALAÇÃO. AF_10/2020</v>
          </cell>
          <cell r="C4640" t="str">
            <v>UN</v>
          </cell>
          <cell r="D4640">
            <v>172.08</v>
          </cell>
        </row>
        <row r="4641">
          <cell r="A4641" t="str">
            <v>97487</v>
          </cell>
          <cell r="B4641" t="str">
            <v>CURVA 45 GRAUS, EM AÇO, CONEXÃO SOLDADA, DN 65 (2 1/2"), INSTALADO EM REDE DE ALIMENTAÇÃO PARA HIDRANTE - FORNECIMENTO E INSTALAÇÃO. AF_10/2020</v>
          </cell>
          <cell r="C4641" t="str">
            <v>UN</v>
          </cell>
          <cell r="D4641">
            <v>298.45999999999998</v>
          </cell>
        </row>
        <row r="4642">
          <cell r="A4642" t="str">
            <v>97488</v>
          </cell>
          <cell r="B4642" t="str">
            <v>CURVA 90 GRAUS, EM AÇO, CONEXÃO SOLDADA, DN 65 (2 1/2"), INSTALADO EM REDE DE ALIMENTAÇÃO PARA HIDRANTE - FORNECIMENTO E INSTALAÇÃO. AF_10/2020</v>
          </cell>
          <cell r="C4642" t="str">
            <v>UN</v>
          </cell>
          <cell r="D4642">
            <v>317.52</v>
          </cell>
        </row>
        <row r="4643">
          <cell r="A4643" t="str">
            <v>97489</v>
          </cell>
          <cell r="B4643" t="str">
            <v>CURVA 45 GRAUS, EM AÇO, CONEXÃO SOLDADA, DN 80 (3"), INSTALADO EM REDE DE ALIMENTAÇÃO PARA HIDRANTE - FORNECIMENTO E INSTALAÇÃO. AF_10/2020</v>
          </cell>
          <cell r="C4643" t="str">
            <v>UN</v>
          </cell>
          <cell r="D4643">
            <v>718</v>
          </cell>
        </row>
        <row r="4644">
          <cell r="A4644" t="str">
            <v>97490</v>
          </cell>
          <cell r="B4644" t="str">
            <v>CURVA 90 GRAUS, EM AÇO, CONEXÃO SOLDADA, DN 80 (3"), INSTALADO EM REDE DE ALIMENTAÇÃO PARA HIDRANTE - FORNECIMENTO E INSTALAÇÃO. AF_10/2020</v>
          </cell>
          <cell r="C4644" t="str">
            <v>UN</v>
          </cell>
          <cell r="D4644">
            <v>632.47</v>
          </cell>
        </row>
        <row r="4645">
          <cell r="A4645" t="str">
            <v>97491</v>
          </cell>
          <cell r="B4645" t="str">
            <v>TÊ, EM AÇO, CONEXÃO SOLDADA, DN 25 (1"), INSTALADO EM REDE DE ALIMENTAÇÃO PARA HIDRANTE - FORNECIMENTO E INSTALAÇÃO. AF_10/2020</v>
          </cell>
          <cell r="C4645" t="str">
            <v>UN</v>
          </cell>
          <cell r="D4645">
            <v>87.62</v>
          </cell>
        </row>
        <row r="4646">
          <cell r="A4646" t="str">
            <v>97492</v>
          </cell>
          <cell r="B4646" t="str">
            <v>TÊ, EM AÇO, CONEXÃO SOLDADA, DN 32 (1 1/4"), INSTALADO EM REDE DE ALIMENTAÇÃO PARA HIDRANTE - FORNECIMENTO E INSTALAÇÃO. AF_10/2020</v>
          </cell>
          <cell r="C4646" t="str">
            <v>UN</v>
          </cell>
          <cell r="D4646">
            <v>129.38</v>
          </cell>
        </row>
        <row r="4647">
          <cell r="A4647" t="str">
            <v>97493</v>
          </cell>
          <cell r="B4647" t="str">
            <v>TÊ, EM AÇO, CONEXÃO SOLDADA, DN 40 (1 1/2"), INSTALADO EM REDE DE ALIMENTAÇÃO PARA HIDRANTE - FORNECIMENTO E INSTALAÇÃO. AF_10/2020</v>
          </cell>
          <cell r="C4647" t="str">
            <v>UN</v>
          </cell>
          <cell r="D4647">
            <v>167.08</v>
          </cell>
        </row>
        <row r="4648">
          <cell r="A4648" t="str">
            <v>97494</v>
          </cell>
          <cell r="B4648" t="str">
            <v>TÊ, EM AÇO, CONEXÃO SOLDADA, DN 50 (2"), INSTALADO EM REDE DE ALIMENTAÇÃO PARA HIDRANTE - FORNECIMENTO E INSTALAÇÃO. AF_10/2020</v>
          </cell>
          <cell r="C4648" t="str">
            <v>UN</v>
          </cell>
          <cell r="D4648">
            <v>261.35000000000002</v>
          </cell>
        </row>
        <row r="4649">
          <cell r="A4649" t="str">
            <v>97495</v>
          </cell>
          <cell r="B4649" t="str">
            <v>TÊ, EM AÇO, CONEXÃO SOLDADA, DN 65 (2 1/2"), INSTALADO EM REDE DE ALIMENTAÇÃO PARA HIDRANTE - FORNECIMENTO E INSTALAÇÃO. AF_10/2020</v>
          </cell>
          <cell r="C4649" t="str">
            <v>UN</v>
          </cell>
          <cell r="D4649">
            <v>483.47</v>
          </cell>
        </row>
        <row r="4650">
          <cell r="A4650" t="str">
            <v>97496</v>
          </cell>
          <cell r="B4650" t="str">
            <v>TÊ, EM AÇO, CONEXÃO SOLDADA, DN 80 (3"), INSTALADO EM REDE DE ALIMENTAÇÃO PARA HIDRANTE - FORNECIMENTO E INSTALAÇÃO. AF_10/2020</v>
          </cell>
          <cell r="C4650" t="str">
            <v>UN</v>
          </cell>
          <cell r="D4650">
            <v>768.63</v>
          </cell>
        </row>
        <row r="4651">
          <cell r="A4651" t="str">
            <v>97499</v>
          </cell>
          <cell r="B4651" t="str">
            <v>LUVA, EM AÇO, CONEXÃO SOLDADA, DN 25 (1"), INSTALADO EM REDE DE ALIMENTAÇÃO PARA SPRINKLER - FORNECIMENTO E INSTALAÇÃO. AF_10/2020</v>
          </cell>
          <cell r="C4651" t="str">
            <v>UN</v>
          </cell>
          <cell r="D4651">
            <v>32.39</v>
          </cell>
        </row>
        <row r="4652">
          <cell r="A4652" t="str">
            <v>97500</v>
          </cell>
          <cell r="B4652" t="str">
            <v>LUVA COM REDUÇÃO, EM AÇO, CONEXÃO SOLDADA, DN 25 X 20 MM (1" X 3/4"), INSTALADO EM REDE DE ALIMENTAÇÃO PARA SPRINKLER - FORNECIMENTO E INSTALAÇÃO. AF_10/2020</v>
          </cell>
          <cell r="C4652" t="str">
            <v>UN</v>
          </cell>
          <cell r="D4652">
            <v>26.27</v>
          </cell>
        </row>
        <row r="4653">
          <cell r="A4653" t="str">
            <v>97502</v>
          </cell>
          <cell r="B4653" t="str">
            <v>LUVA, EM AÇO, CONEXÃO SOLDADA, DN 32 (1 1/4"), INSTALADO EM REDE DE ALIMENTAÇÃO PARA SPRINKLER - FORNECIMENTO E INSTALAÇÃO. AF_10/2020</v>
          </cell>
          <cell r="C4653" t="str">
            <v>UN</v>
          </cell>
          <cell r="D4653">
            <v>46.06</v>
          </cell>
        </row>
        <row r="4654">
          <cell r="A4654" t="str">
            <v>97503</v>
          </cell>
          <cell r="B4654" t="str">
            <v>LUVA COM REDUÇÃO, EM AÇO, CONEXÃO SOLDADA, DN 32 X 25 MM (1 1/4"  X 1"), INSTALADO EM REDE DE ALIMENTAÇÃO PARA SPRINKLER - FORNECIMENTO E INSTALAÇÃO. AF_10/2020</v>
          </cell>
          <cell r="C4654" t="str">
            <v>UN</v>
          </cell>
          <cell r="D4654">
            <v>56.57</v>
          </cell>
        </row>
        <row r="4655">
          <cell r="A4655" t="str">
            <v>97505</v>
          </cell>
          <cell r="B4655" t="str">
            <v>LUVA, EM AÇO, CONEXÃO SOLDADA, DN 40 (1 1/2"), INSTALADO EM REDE DE ALIMENTAÇÃO PARA SPRINKLER - FORNECIMENTO E INSTALAÇÃO. AF_10/2020</v>
          </cell>
          <cell r="C4655" t="str">
            <v>UN</v>
          </cell>
          <cell r="D4655">
            <v>57.9</v>
          </cell>
        </row>
        <row r="4656">
          <cell r="A4656" t="str">
            <v>97506</v>
          </cell>
          <cell r="B4656" t="str">
            <v>LUVA COM REDUÇÃO, EM AÇO, CONEXÃO SOLDADA, DN 40  X 32 MM (1 1/2" X 1 1/4"), INSTALADO EM REDE DE ALIMENTAÇÃO PARA SPRINKLER - FORNECIMENTO E INSTALAÇÃO. AF_10/2020</v>
          </cell>
          <cell r="C4656" t="str">
            <v>UN</v>
          </cell>
          <cell r="D4656">
            <v>71.11</v>
          </cell>
        </row>
        <row r="4657">
          <cell r="A4657" t="str">
            <v>97508</v>
          </cell>
          <cell r="B4657" t="str">
            <v>LUVA, EM AÇO, CONEXÃO SOLDADA, DN 50 (2"), INSTALADO EM REDE DE ALIMENTAÇÃO PARA SPRINKLER - FORNECIMENTO E INSTALAÇÃO. AF_10/2020</v>
          </cell>
          <cell r="C4657" t="str">
            <v>UN</v>
          </cell>
          <cell r="D4657">
            <v>86.74</v>
          </cell>
        </row>
        <row r="4658">
          <cell r="A4658" t="str">
            <v>97509</v>
          </cell>
          <cell r="B4658" t="str">
            <v>LUVA COM REDUÇÃO, EM AÇO, CONEXÃO SOLDADA, DN 50 X 40 MM (2" X 1 1/2"), INSTALADO EM REDE DE ALIMENTAÇÃO PARA SPRINKLER - FORNECIMENTO E INSTALAÇÃO. AF_10/2020</v>
          </cell>
          <cell r="C4658" t="str">
            <v>UN</v>
          </cell>
          <cell r="D4658">
            <v>107.62</v>
          </cell>
        </row>
        <row r="4659">
          <cell r="A4659" t="str">
            <v>97511</v>
          </cell>
          <cell r="B4659" t="str">
            <v>LUVA, EM AÇO, CONEXÃO SOLDADA, DN 65 (2 1/2"), INSTALADO EM REDE DE ALIMENTAÇÃO PARA SPRINKLER - FORNECIMENTO E INSTALAÇÃO. AF_10/2020</v>
          </cell>
          <cell r="C4659" t="str">
            <v>UN</v>
          </cell>
          <cell r="D4659">
            <v>164.44</v>
          </cell>
        </row>
        <row r="4660">
          <cell r="A4660" t="str">
            <v>97512</v>
          </cell>
          <cell r="B4660" t="str">
            <v>LUVA COM REDUÇÃO, EM AÇO, CONEXÃO SOLDADA, DN 65 X 50 MM (2 1/2" X 2"), INSTALADO EM REDE DE ALIMENTAÇÃO PARA SPRINKLER - FORNECIMENTO E INSTALAÇÃO. AF_10/2020</v>
          </cell>
          <cell r="C4660" t="str">
            <v>UN</v>
          </cell>
          <cell r="D4660">
            <v>206.66</v>
          </cell>
        </row>
        <row r="4661">
          <cell r="A4661" t="str">
            <v>97514</v>
          </cell>
          <cell r="B4661" t="str">
            <v>LUVA, EM AÇO, CONEXÃO SOLDADA, DN 80 (3"), INSTALADO EM REDE DE ALIMENTAÇÃO PARA SPRINKLER - FORNECIMENTO E INSTALAÇÃO. AF_10/2020</v>
          </cell>
          <cell r="C4661" t="str">
            <v>UN</v>
          </cell>
          <cell r="D4661">
            <v>219.86</v>
          </cell>
        </row>
        <row r="4662">
          <cell r="A4662" t="str">
            <v>97515</v>
          </cell>
          <cell r="B4662" t="str">
            <v>LUVA COM REDUÇÃO, EM AÇO, CONEXÃO SOLDADA, DN 80 X 65 MM (3" X 2 1/2"), INSTALADO EM REDE DE ALIMENTAÇÃO PARA SPRINKLER - FORNECIMENTO E INSTALAÇÃO. AF_10/2020</v>
          </cell>
          <cell r="C4662" t="str">
            <v>UN</v>
          </cell>
          <cell r="D4662">
            <v>276.73</v>
          </cell>
        </row>
        <row r="4663">
          <cell r="A4663" t="str">
            <v>97517</v>
          </cell>
          <cell r="B4663" t="str">
            <v>CURVA 45 GRAUS, EM AÇO, CONEXÃO SOLDADA, DN 25 (1"), INSTALADO EM REDE DE ALIMENTAÇÃO PARA SPRINKLER - FORNECIMENTO E INSTALAÇÃO. AF_10/2020</v>
          </cell>
          <cell r="C4663" t="str">
            <v>UN</v>
          </cell>
          <cell r="D4663">
            <v>52.8</v>
          </cell>
        </row>
        <row r="4664">
          <cell r="A4664" t="str">
            <v>97518</v>
          </cell>
          <cell r="B4664" t="str">
            <v>CURVA 90 GRAUS, EM AÇO, CONEXÃO SOLDADA, DN 25 (1"), INSTALADO EM REDE DE ALIMENTAÇÃO PARA SPRINKLER - FORNECIMENTO E INSTALAÇÃO. AF_10/2020</v>
          </cell>
          <cell r="C4664" t="str">
            <v>UN</v>
          </cell>
          <cell r="D4664">
            <v>52.8</v>
          </cell>
        </row>
        <row r="4665">
          <cell r="A4665" t="str">
            <v>97519</v>
          </cell>
          <cell r="B4665" t="str">
            <v>CURVA 45 GRAUS, EM AÇO, CONEXÃO SOLDADA, DN 32 (1 1/4"), INSTALADO EM REDE DE ALIMENTAÇÃO PARA SPRINKLER - FORNECIMENTO E INSTALAÇÃO. AF_10/2020</v>
          </cell>
          <cell r="C4665" t="str">
            <v>UN</v>
          </cell>
          <cell r="D4665">
            <v>76</v>
          </cell>
        </row>
        <row r="4666">
          <cell r="A4666" t="str">
            <v>97520</v>
          </cell>
          <cell r="B4666" t="str">
            <v>CURVA 90 GRAUS, EM AÇO, CONEXÃO SOLDADA, DN 32 (1 1/4"), INSTALADO EM REDE DE ALIMENTAÇÃO PARA SPRINKLER - FORNECIMENTO E INSTALAÇÃO. AF_10/2020</v>
          </cell>
          <cell r="C4666" t="str">
            <v>UN</v>
          </cell>
          <cell r="D4666">
            <v>76</v>
          </cell>
        </row>
        <row r="4667">
          <cell r="A4667" t="str">
            <v>97521</v>
          </cell>
          <cell r="B4667" t="str">
            <v>CURVA 45 GRAUS, EM AÇO, CONEXÃO SOLDADA, DN 40 (1 1/2"), INSTALADO EM REDE DE ALIMENTAÇÃO PARA SPRINKLER - FORNECIMENTO E INSTALAÇÃO. AF_10/2020</v>
          </cell>
          <cell r="C4667" t="str">
            <v>UN</v>
          </cell>
          <cell r="D4667">
            <v>106.55</v>
          </cell>
        </row>
        <row r="4668">
          <cell r="A4668" t="str">
            <v>97522</v>
          </cell>
          <cell r="B4668" t="str">
            <v>CURVA 90 GRAUS, EM AÇO, CONEXÃO SOLDADA, DN 40 (1 1/2"), INSTALADO EM REDE DE ALIMENTAÇÃO PARA SPRINKLER - FORNECIMENTO E INSTALAÇÃO. AF_10/2020</v>
          </cell>
          <cell r="C4668" t="str">
            <v>UN</v>
          </cell>
          <cell r="D4668">
            <v>106.55</v>
          </cell>
        </row>
        <row r="4669">
          <cell r="A4669" t="str">
            <v>97523</v>
          </cell>
          <cell r="B4669" t="str">
            <v>CURVA 45 GRAUS, EM AÇO, CONEXÃO SOLDADA, DN 50 (2"), INSTALADO EM REDE DE ALIMENTAÇÃO PARA SPRINKLER - FORNECIMENTO E INSTALAÇÃO. AF_10/2020</v>
          </cell>
          <cell r="C4669" t="str">
            <v>UN</v>
          </cell>
          <cell r="D4669">
            <v>147.35</v>
          </cell>
        </row>
        <row r="4670">
          <cell r="A4670" t="str">
            <v>97524</v>
          </cell>
          <cell r="B4670" t="str">
            <v>CURVA 90 GRAUS, EM AÇO, CONEXÃO SOLDADA, DN 50 (2"), INSTALADO EM REDE DE ALIMENTAÇÃO PARA SPRINKLER - FORNECIMENTO E INSTALAÇÃO. AF_10/2020</v>
          </cell>
          <cell r="C4670" t="str">
            <v>UN</v>
          </cell>
          <cell r="D4670">
            <v>159.27000000000001</v>
          </cell>
        </row>
        <row r="4671">
          <cell r="A4671" t="str">
            <v>97525</v>
          </cell>
          <cell r="B4671" t="str">
            <v>CURVA 45 GRAUS, EM AÇO, CONEXÃO SOLDADA, DN 65 (2 1/2"), INSTALADO EM REDE DE ALIMENTAÇÃO PARA SPRINKLER - FORNECIMENTO E INSTALAÇÃO. AF_10/2020</v>
          </cell>
          <cell r="C4671" t="str">
            <v>UN</v>
          </cell>
          <cell r="D4671">
            <v>279.98</v>
          </cell>
        </row>
        <row r="4672">
          <cell r="A4672" t="str">
            <v>97526</v>
          </cell>
          <cell r="B4672" t="str">
            <v>CURVA 90 GRAUS, EM AÇO, CONEXÃO SOLDADA, DN 65 (2 1/2"), INSTALADO EM REDE DE ALIMENTAÇÃO PARA SPRINKLER - FORNECIMENTO E INSTALAÇÃO. AF_10/2020</v>
          </cell>
          <cell r="C4672" t="str">
            <v>UN</v>
          </cell>
          <cell r="D4672">
            <v>299.04000000000002</v>
          </cell>
        </row>
        <row r="4673">
          <cell r="A4673" t="str">
            <v>97527</v>
          </cell>
          <cell r="B4673" t="str">
            <v>CURVA 45 GRAUS, EM AÇO, CONEXÃO SOLDADA, DN 80 (3"), INSTALADO EM REDE DE ALIMENTAÇÃO PARA SPRINKLER - FORNECIMENTO E INSTALAÇÃO. AF_10/2020</v>
          </cell>
          <cell r="C4673" t="str">
            <v>UN</v>
          </cell>
          <cell r="D4673">
            <v>693.88</v>
          </cell>
        </row>
        <row r="4674">
          <cell r="A4674" t="str">
            <v>97528</v>
          </cell>
          <cell r="B4674" t="str">
            <v>CURVA 90 GRAUS, EM AÇO, CONEXÃO SOLDADA, DN 80 (3"), INSTALADO EM REDE DE ALIMENTAÇÃO PARA SPRINKLER - FORNECIMENTO E INSTALAÇÃO. AF_10/2020</v>
          </cell>
          <cell r="C4674" t="str">
            <v>UN</v>
          </cell>
          <cell r="D4674">
            <v>608.35</v>
          </cell>
        </row>
        <row r="4675">
          <cell r="A4675" t="str">
            <v>97529</v>
          </cell>
          <cell r="B4675" t="str">
            <v>TÊ, EM AÇO, CONEXÃO SOLDADA, DN 25 (1"), INSTALADO EM REDE DE ALIMENTAÇÃO PARA SPRINKLER - FORNECIMENTO E INSTALAÇÃO. AF_10/2020</v>
          </cell>
          <cell r="C4675" t="str">
            <v>UN</v>
          </cell>
          <cell r="D4675">
            <v>83.08</v>
          </cell>
        </row>
        <row r="4676">
          <cell r="A4676" t="str">
            <v>97530</v>
          </cell>
          <cell r="B4676" t="str">
            <v>TÊ, EM AÇO, CONEXÃO SOLDADA, DN 32 (1 1/4"), INSTALADO EM REDE DE ALIMENTAÇÃO PARA SPRINKLER - FORNECIMENTO E INSTALAÇÃO. AF_10/2020</v>
          </cell>
          <cell r="C4676" t="str">
            <v>UN</v>
          </cell>
          <cell r="D4676">
            <v>121.25</v>
          </cell>
        </row>
        <row r="4677">
          <cell r="A4677" t="str">
            <v>97531</v>
          </cell>
          <cell r="B4677" t="str">
            <v>TÊ, EM AÇO, CONEXÃO SOLDADA, DN 40 (1 1/2"), INSTALADO EM REDE DE ALIMENTAÇÃO PARA SPRINKLER - FORNECIMENTO E INSTALAÇÃO. AF_10/2020</v>
          </cell>
          <cell r="C4677" t="str">
            <v>UN</v>
          </cell>
          <cell r="D4677">
            <v>154.94999999999999</v>
          </cell>
        </row>
        <row r="4678">
          <cell r="A4678" t="str">
            <v>97532</v>
          </cell>
          <cell r="B4678" t="str">
            <v>TÊ, EM AÇO, CONEXÃO SOLDADA, DN 50 (2"), INSTALADO EM REDE DE ALIMENTAÇÃO PARA SPRINKLER - FORNECIMENTO E INSTALAÇÃO. AF_10/2020</v>
          </cell>
          <cell r="C4678" t="str">
            <v>UN</v>
          </cell>
          <cell r="D4678">
            <v>244.28</v>
          </cell>
        </row>
        <row r="4679">
          <cell r="A4679" t="str">
            <v>97533</v>
          </cell>
          <cell r="B4679" t="str">
            <v>TÊ, EM AÇO, CONEXÃO SOLDADA, DN 65 (2 1/2"), INSTALADO EM REDE DE ALIMENTAÇÃO PARA SPRINKLER - FORNECIMENTO E INSTALAÇÃO. AF_10/2020</v>
          </cell>
          <cell r="C4679" t="str">
            <v>UN</v>
          </cell>
          <cell r="D4679">
            <v>462.48</v>
          </cell>
        </row>
        <row r="4680">
          <cell r="A4680" t="str">
            <v>97534</v>
          </cell>
          <cell r="B4680" t="str">
            <v>TÊ, EM AÇO, CONEXÃO SOLDADA, DN 80 (3"), INSTALADO EM REDE DE ALIMENTAÇÃO PARA SPRINKLER - FORNECIMENTO E INSTALAÇÃO. AF_10/2020</v>
          </cell>
          <cell r="C4680" t="str">
            <v>UN</v>
          </cell>
          <cell r="D4680">
            <v>736.46</v>
          </cell>
        </row>
        <row r="4681">
          <cell r="A4681" t="str">
            <v>97537</v>
          </cell>
          <cell r="B4681" t="str">
            <v>LUVA, EM AÇO, CONEXÃO SOLDADA, DN 15 (1/2"), INSTALADO EM RAMAIS E SUB-RAMAIS DE GÁS - FORNECIMENTO E INSTALAÇÃO. AF_10/2020</v>
          </cell>
          <cell r="C4681" t="str">
            <v>UN</v>
          </cell>
          <cell r="D4681">
            <v>23.92</v>
          </cell>
        </row>
        <row r="4682">
          <cell r="A4682" t="str">
            <v>97540</v>
          </cell>
          <cell r="B4682" t="str">
            <v>LUVA, EM AÇO, CONEXÃO SOLDADA, DN 20 (3/4"), INSTALADO EM RAMAIS E SUB-RAMAIS DE GÁS - FORNECIMENTO E INSTALAÇÃO. AF_10/2020</v>
          </cell>
          <cell r="C4682" t="str">
            <v>UN</v>
          </cell>
          <cell r="D4682">
            <v>31.51</v>
          </cell>
        </row>
        <row r="4683">
          <cell r="A4683" t="str">
            <v>97541</v>
          </cell>
          <cell r="B4683" t="str">
            <v>LUVA COM REDUÇÃO, EM AÇO, CONEXÃO SOLDADA, DN 20 X 15 MM (3/4" X 1/2"), INSTALADO EM RAMAIS E SUB-RAMAIS DE GÁS - FORNECIMENTO E INSTALAÇÃO. AF_10/2020</v>
          </cell>
          <cell r="C4683" t="str">
            <v>UN</v>
          </cell>
          <cell r="D4683">
            <v>26.43</v>
          </cell>
        </row>
        <row r="4684">
          <cell r="A4684" t="str">
            <v>97543</v>
          </cell>
          <cell r="B4684" t="str">
            <v>LUVA, EM AÇO, CONEXÃO SOLDADA, DN 25 (1"), INSTALADO EM RAMAIS E SUB-RAMAIS DE GÁS - FORNECIMENTO E INSTALAÇÃO. AF_10/2020</v>
          </cell>
          <cell r="C4684" t="str">
            <v>UN</v>
          </cell>
          <cell r="D4684">
            <v>50.33</v>
          </cell>
        </row>
        <row r="4685">
          <cell r="A4685" t="str">
            <v>97544</v>
          </cell>
          <cell r="B4685" t="str">
            <v>LUVA COM REDUÇÃO, EM AÇO, CONEXÃO SOLDADA, DN 25 X 20 MM (1" X 3/4"), INSTALADO EM RAMAIS E SUB-RAMAIS DE GÁS - FORNECIMENTO E INSTALAÇÃO. AF_10/2020</v>
          </cell>
          <cell r="C4685" t="str">
            <v>UN</v>
          </cell>
          <cell r="D4685">
            <v>44.21</v>
          </cell>
        </row>
        <row r="4686">
          <cell r="A4686" t="str">
            <v>97546</v>
          </cell>
          <cell r="B4686" t="str">
            <v>CURVA 45 GRAUS, EM AÇO, CONEXÃO SOLDADA, DN 15 (1/2"), INSTALADO EM RAMAIS E SUB-RAMAIS DE GÁS - FORNECIMENTO E INSTALAÇÃO. AF_10/2020</v>
          </cell>
          <cell r="C4686" t="str">
            <v>UN</v>
          </cell>
          <cell r="D4686">
            <v>33.29</v>
          </cell>
        </row>
        <row r="4687">
          <cell r="A4687" t="str">
            <v>97547</v>
          </cell>
          <cell r="B4687" t="str">
            <v>CURVA 90 GRAUS, EM AÇO, CONEXÃO SOLDADA, DN 15 (1/2"), INSTALADO EM RAMAIS E SUB-RAMAIS DE GÁS - FORNECIMENTO E INSTALAÇÃO. AF_10/2020</v>
          </cell>
          <cell r="C4687" t="str">
            <v>UN</v>
          </cell>
          <cell r="D4687">
            <v>33.29</v>
          </cell>
        </row>
        <row r="4688">
          <cell r="A4688" t="str">
            <v>97548</v>
          </cell>
          <cell r="B4688" t="str">
            <v>CURVA 45 GRAUS, EM AÇO, CONEXÃO SOLDADA, DN 20 (3/4"), INSTALADO EM RAMAIS E SUB-RAMAIS DE GÁS - FORNECIMENTO E INSTALAÇÃO. AF_10/2020</v>
          </cell>
          <cell r="C4688" t="str">
            <v>UN</v>
          </cell>
          <cell r="D4688">
            <v>48.78</v>
          </cell>
        </row>
        <row r="4689">
          <cell r="A4689" t="str">
            <v>97549</v>
          </cell>
          <cell r="B4689" t="str">
            <v>CURVA 90 GRAUS, EM AÇO, CONEXÃO SOLDADA, DN 20 (3/4"), INSTALADO EM RAMAIS E SUB-RAMAIS DE GÁS - FORNECIMENTO E INSTALAÇÃO. AF_10/2020</v>
          </cell>
          <cell r="C4689" t="str">
            <v>UN</v>
          </cell>
          <cell r="D4689">
            <v>48.78</v>
          </cell>
        </row>
        <row r="4690">
          <cell r="A4690" t="str">
            <v>97550</v>
          </cell>
          <cell r="B4690" t="str">
            <v>CURVA 45 GRAUS, EM AÇO, CONEXÃO SOLDADA, DN 25 (1"), INSTALADO EM RAMAIS E SUB-RAMAIS DE GÁS - FORNECIMENTO E INSTALAÇÃO. AF_10/2020</v>
          </cell>
          <cell r="C4690" t="str">
            <v>UN</v>
          </cell>
          <cell r="D4690">
            <v>79.75</v>
          </cell>
        </row>
        <row r="4691">
          <cell r="A4691" t="str">
            <v>97551</v>
          </cell>
          <cell r="B4691" t="str">
            <v>CURVA 90 GRAUS, EM AÇO, CONEXÃO SOLDADA, DN 25 (1"), INSTALADO EM RAMAIS E SUB-RAMAIS DE GÁS - FORNECIMENTO E INSTALAÇÃO. AF_10/2020</v>
          </cell>
          <cell r="C4691" t="str">
            <v>UN</v>
          </cell>
          <cell r="D4691">
            <v>79.75</v>
          </cell>
        </row>
        <row r="4692">
          <cell r="A4692" t="str">
            <v>97552</v>
          </cell>
          <cell r="B4692" t="str">
            <v>TÊ, EM AÇO, CONEXÃO SOLDADA, DN 15 (1/2"), INSTALADO EM RAMAIS E SUB-RAMAIS DE GÁS - FORNECIMENTO E INSTALAÇÃO. AF_10/2020</v>
          </cell>
          <cell r="C4692" t="str">
            <v>UN</v>
          </cell>
          <cell r="D4692">
            <v>48.81</v>
          </cell>
        </row>
        <row r="4693">
          <cell r="A4693" t="str">
            <v>97553</v>
          </cell>
          <cell r="B4693" t="str">
            <v>TÊ, EM AÇO, CONEXÃO SOLDADA, DN 20 (3/4"), INSTALADO EM RAMAIS E SUB-RAMAIS DE GÁS - FORNECIMENTO E INSTALAÇÃO. AF_10/2020</v>
          </cell>
          <cell r="C4693" t="str">
            <v>UN</v>
          </cell>
          <cell r="D4693">
            <v>69.459999999999994</v>
          </cell>
        </row>
        <row r="4694">
          <cell r="A4694" t="str">
            <v>97554</v>
          </cell>
          <cell r="B4694" t="str">
            <v>TÊ, EM AÇO, CONEXÃO SOLDADA, DN 25 (1"), INSTALADO EM RAMAIS E SUB-RAMAIS DE GÁS - FORNECIMENTO E INSTALAÇÃO. AF_10/2020</v>
          </cell>
          <cell r="C4694" t="str">
            <v>UN</v>
          </cell>
          <cell r="D4694">
            <v>119.05</v>
          </cell>
        </row>
        <row r="4695">
          <cell r="A4695" t="str">
            <v>98602</v>
          </cell>
          <cell r="B4695" t="str">
            <v>CONECTOR EM BRONZE/LATÃO, DN 22 MM X 1/2", SEM ANEL DE SOLDA, BOLSA X ROSCA F, INSTALADO EM PRUMADA  FORNECIMENTO E INSTALAÇÃO. AF_01/2016</v>
          </cell>
          <cell r="C4695" t="str">
            <v>UN</v>
          </cell>
          <cell r="D4695">
            <v>20.73</v>
          </cell>
        </row>
        <row r="4696">
          <cell r="A4696" t="str">
            <v>97895</v>
          </cell>
          <cell r="B4696" t="str">
            <v>CAIXA ENTERRADA HIDRÁULICA RETANGULAR, EM CONCRETO PRÉ-MOLDADO, DIMENSÕES INTERNAS: 0,3X0,3X0,3 M. AF_12/2020</v>
          </cell>
          <cell r="C4696" t="str">
            <v>UN</v>
          </cell>
          <cell r="D4696">
            <v>122.21</v>
          </cell>
        </row>
        <row r="4697">
          <cell r="A4697" t="str">
            <v>97896</v>
          </cell>
          <cell r="B4697" t="str">
            <v>CAIXA ENTERRADA HIDRÁULICA RETANGULAR, EM CONCRETO PRÉ-MOLDADO, DIMENSÕES INTERNAS: 0,4X0,4X0,4 M. AF_12/2020</v>
          </cell>
          <cell r="C4697" t="str">
            <v>UN</v>
          </cell>
          <cell r="D4697">
            <v>226.92</v>
          </cell>
        </row>
        <row r="4698">
          <cell r="A4698" t="str">
            <v>97897</v>
          </cell>
          <cell r="B4698" t="str">
            <v>CAIXA ENTERRADA HIDRÁULICA RETANGULAR, EM CONCRETO PRÉ-MOLDADO, DIMENSÕES INTERNAS: 0,6X0,6X0,5 M. AF_12/2020</v>
          </cell>
          <cell r="C4698" t="str">
            <v>UN</v>
          </cell>
          <cell r="D4698">
            <v>296.68</v>
          </cell>
        </row>
        <row r="4699">
          <cell r="A4699" t="str">
            <v>97898</v>
          </cell>
          <cell r="B4699" t="str">
            <v>CAIXA ENTERRADA HIDRÁULICA RETANGULAR, EM CONCRETO PRÉ-MOLDADO, DIMENSÕES INTERNAS: 0,8X0,8X0,5 M. AF_12/2020</v>
          </cell>
          <cell r="C4699" t="str">
            <v>UN</v>
          </cell>
          <cell r="D4699">
            <v>607.04</v>
          </cell>
        </row>
        <row r="4700">
          <cell r="A4700" t="str">
            <v>97900</v>
          </cell>
          <cell r="B4700" t="str">
            <v>CAIXA ENTERRADA HIDRÁULICA RETANGULAR EM ALVENARIA COM TIJOLOS CERÂMICOS MACIÇOS, DIMENSÕES INTERNAS: 0,3X0,3X0,3 M PARA REDE DE ESGOTO. AF_12/2020</v>
          </cell>
          <cell r="C4700" t="str">
            <v>UN</v>
          </cell>
          <cell r="D4700">
            <v>170.52</v>
          </cell>
        </row>
        <row r="4701">
          <cell r="A4701" t="str">
            <v>97901</v>
          </cell>
          <cell r="B4701" t="str">
            <v>CAIXA ENTERRADA HIDRÁULICA RETANGULAR EM ALVENARIA COM TIJOLOS CERÂMICOS MACIÇOS, DIMENSÕES INTERNAS: 0,4X0,4X0,4 M PARA REDE DE ESGOTO. AF_12/2020</v>
          </cell>
          <cell r="C4701" t="str">
            <v>UN</v>
          </cell>
          <cell r="D4701">
            <v>270.31</v>
          </cell>
        </row>
        <row r="4702">
          <cell r="A4702" t="str">
            <v>97902</v>
          </cell>
          <cell r="B4702" t="str">
            <v>CAIXA ENTERRADA HIDRÁULICA RETANGULAR EM ALVENARIA COM TIJOLOS CERÂMICOS MACIÇOS, DIMENSÕES INTERNAS: 0,6X0,6X0,6 M PARA REDE DE ESGOTO. AF_12/2020</v>
          </cell>
          <cell r="C4702" t="str">
            <v>UN</v>
          </cell>
          <cell r="D4702">
            <v>532.08000000000004</v>
          </cell>
        </row>
        <row r="4703">
          <cell r="A4703" t="str">
            <v>97903</v>
          </cell>
          <cell r="B4703" t="str">
            <v>CAIXA ENTERRADA HIDRÁULICA RETANGULAR EM ALVENARIA COM TIJOLOS CERÂMICOS MACIÇOS, DIMENSÕES INTERNAS: 0,8X0,8X0,6 M PARA REDE DE ESGOTO. AF_12/2020</v>
          </cell>
          <cell r="C4703" t="str">
            <v>UN</v>
          </cell>
          <cell r="D4703">
            <v>735.32</v>
          </cell>
        </row>
        <row r="4704">
          <cell r="A4704" t="str">
            <v>97904</v>
          </cell>
          <cell r="B4704" t="str">
            <v>CAIXA ENTERRADA HIDRÁULICA RETANGULAR EM ALVENARIA COM TIJOLOS CERÂMICOS MACIÇOS, DIMENSÕES INTERNAS: 1X1X0,6 M PARA REDE DE ESGOTO. AF_12/2020</v>
          </cell>
          <cell r="C4704" t="str">
            <v>UN</v>
          </cell>
          <cell r="D4704">
            <v>868.5</v>
          </cell>
        </row>
        <row r="4705">
          <cell r="A4705" t="str">
            <v>97905</v>
          </cell>
          <cell r="B4705" t="str">
            <v>CAIXA ENTERRADA HIDRÁULICA RETANGULAR, EM ALVENARIA COM BLOCOS DE CONCRETO, DIMENSÕES INTERNAS: 0,4X0,4X0,4 M PARA REDE DE ESGOTO. AF_12/2020</v>
          </cell>
          <cell r="C4705" t="str">
            <v>UN</v>
          </cell>
          <cell r="D4705">
            <v>215.88</v>
          </cell>
        </row>
        <row r="4706">
          <cell r="A4706" t="str">
            <v>97906</v>
          </cell>
          <cell r="B4706" t="str">
            <v>CAIXA ENTERRADA HIDRÁULICA RETANGULAR, EM ALVENARIA COM BLOCOS DE CONCRETO, DIMENSÕES INTERNAS: 0,6X0,6X0,6 M PARA REDE DE ESGOTO. AF_12/2020</v>
          </cell>
          <cell r="C4706" t="str">
            <v>UN</v>
          </cell>
          <cell r="D4706">
            <v>401.71</v>
          </cell>
        </row>
        <row r="4707">
          <cell r="A4707" t="str">
            <v>97907</v>
          </cell>
          <cell r="B4707" t="str">
            <v>CAIXA ENTERRADA HIDRÁULICA RETANGULAR, EM ALVENARIA COM BLOCOS DE CONCRETO, DIMENSÕES INTERNAS: 0,8X0,8X0,6 M PARA REDE DE ESGOTO. AF_12/2020</v>
          </cell>
          <cell r="C4707" t="str">
            <v>UN</v>
          </cell>
          <cell r="D4707">
            <v>568.96</v>
          </cell>
        </row>
        <row r="4708">
          <cell r="A4708" t="str">
            <v>97908</v>
          </cell>
          <cell r="B4708" t="str">
            <v>CAIXA ENTERRADA HIDRÁULICA RETANGULAR, EM ALVENARIA COM BLOCOS DE CONCRETO, DIMENSÕES INTERNAS: 1X1X0,6 M PARA REDE DE ESGOTO. AF_12/2020</v>
          </cell>
          <cell r="C4708" t="str">
            <v>UN</v>
          </cell>
          <cell r="D4708">
            <v>671.65</v>
          </cell>
        </row>
        <row r="4709">
          <cell r="A4709" t="str">
            <v>98102</v>
          </cell>
          <cell r="B4709" t="str">
            <v>CAIXA DE GORDURA SIMPLES, CIRCULAR, EM CONCRETO PRÉ-MOLDADO, DIÂMETRO INTERNO = 0,4 M, ALTURA INTERNA = 0,4 M. AF_12/2020</v>
          </cell>
          <cell r="C4709" t="str">
            <v>UN</v>
          </cell>
          <cell r="D4709">
            <v>117.64</v>
          </cell>
        </row>
        <row r="4710">
          <cell r="A4710" t="str">
            <v>98104</v>
          </cell>
          <cell r="B4710" t="str">
            <v>CAIXA DE GORDURA SIMPLES (CAPACIDADE: 36L), RETANGULAR, EM ALVENARIA COM TIJOLOS CERÂMICOS MACIÇOS, DIMENSÕES INTERNAS = 0,2X0,4 M, ALTURA INTERNA = 0,8 M. AF_12/2020</v>
          </cell>
          <cell r="C4710" t="str">
            <v>UN</v>
          </cell>
          <cell r="D4710">
            <v>357.75</v>
          </cell>
        </row>
        <row r="4711">
          <cell r="A4711" t="str">
            <v>98105</v>
          </cell>
          <cell r="B4711" t="str">
            <v>CAIXA DE GORDURA DUPLA (CAPACIDADE: 126 L), RETANGULAR, EM ALVENARIA COM TIJOLOS CERÂMICOS MACIÇOS, DIMENSÕES INTERNAS = 0,4X0,7 M, ALTURA INTERNA = 0,8 M. AF_12/2020</v>
          </cell>
          <cell r="C4711" t="str">
            <v>UN</v>
          </cell>
          <cell r="D4711">
            <v>618.65</v>
          </cell>
        </row>
        <row r="4712">
          <cell r="A4712" t="str">
            <v>98106</v>
          </cell>
          <cell r="B4712" t="str">
            <v>CAIXA DE GORDURA ESPECIAL (CAPACIDADE: 312 L - PARA ATÉ 146 PESSOAS SERVIDAS NO PICO), RETANGULAR, EM ALVENARIA COM TIJOLOS CERÂMICOS MACIÇOS, DIMENSÕES INTERNAS = 0,4X1,2 M, ALTURA INTERNA = 1 M. AF_12/2020</v>
          </cell>
          <cell r="C4712" t="str">
            <v>UN</v>
          </cell>
          <cell r="D4712">
            <v>1021.41</v>
          </cell>
        </row>
        <row r="4713">
          <cell r="A4713" t="str">
            <v>98107</v>
          </cell>
          <cell r="B4713" t="str">
            <v>CAIXA DE GORDURA SIMPLES (CAPACIDADE: 36 L), RETANGULAR, EM ALVENARIA COM BLOCOS DE CONCRETO, DIMENSÕES INTERNAS = 0,2X0,4 M, ALTURA INTERNA = 0,8 M. AF_12/2020</v>
          </cell>
          <cell r="C4713" t="str">
            <v>UN</v>
          </cell>
          <cell r="D4713">
            <v>256.29000000000002</v>
          </cell>
        </row>
        <row r="4714">
          <cell r="A4714" t="str">
            <v>98108</v>
          </cell>
          <cell r="B4714" t="str">
            <v>CAIXA DE GORDURA DUPLA (CAPACIDADE: 126 L), RETANGULAR, EM ALVENARIA COM BLOCOS DE CONCRETO, DIMENSÕES INTERNAS = 0,4X0,7 M, ALTURA INTERNA = 0,8 M. AF_12/2020</v>
          </cell>
          <cell r="C4714" t="str">
            <v>UN</v>
          </cell>
          <cell r="D4714">
            <v>455.1</v>
          </cell>
        </row>
        <row r="4715">
          <cell r="A4715" t="str">
            <v>99250</v>
          </cell>
          <cell r="B4715" t="str">
            <v>CAIXA ENTERRADA HIDRÁULICA RETANGULAR EM ALVENARIA COM TIJOLOS CERÂMICOS MACIÇOS, DIMENSÕES INTERNAS: 0,3X0,3X0,3 M PARA REDE DE DRENAGEM. AF_12/2020</v>
          </cell>
          <cell r="C4715" t="str">
            <v>UN</v>
          </cell>
          <cell r="D4715">
            <v>166.6</v>
          </cell>
        </row>
        <row r="4716">
          <cell r="A4716" t="str">
            <v>99251</v>
          </cell>
          <cell r="B4716" t="str">
            <v>CAIXA ENTERRADA HIDRÁULICA RETANGULAR EM ALVENARIA COM TIJOLOS CERÂMICOS MACIÇOS, DIMENSÕES INTERNAS: 0,4X0,4X0,4 M PARA REDE DE DRENAGEM. AF_12/2020</v>
          </cell>
          <cell r="C4716" t="str">
            <v>UN</v>
          </cell>
          <cell r="D4716">
            <v>263.58</v>
          </cell>
        </row>
        <row r="4717">
          <cell r="A4717" t="str">
            <v>99253</v>
          </cell>
          <cell r="B4717" t="str">
            <v>CAIXA ENTERRADA HIDRÁULICA RETANGULAR EM ALVENARIA COM TIJOLOS CERÂMICOS MACIÇOS, DIMENSÕES INTERNAS: 0,6X0,6X0,6 M PARA REDE DE DRENAGEM. AF_12/2020</v>
          </cell>
          <cell r="C4717" t="str">
            <v>UN</v>
          </cell>
          <cell r="D4717">
            <v>516.97</v>
          </cell>
        </row>
        <row r="4718">
          <cell r="A4718" t="str">
            <v>99255</v>
          </cell>
          <cell r="B4718" t="str">
            <v>CAIXA ENTERRADA HIDRÁULICA RETANGULAR EM ALVENARIA COM TIJOLOS CERÂMICOS MACIÇOS, DIMENSÕES INTERNAS: 0,8X0,8X0,6 M PARA REDE DE DRENAGEM. AF_12/2020</v>
          </cell>
          <cell r="C4718" t="str">
            <v>UN</v>
          </cell>
          <cell r="D4718">
            <v>714.6</v>
          </cell>
        </row>
        <row r="4719">
          <cell r="A4719" t="str">
            <v>99257</v>
          </cell>
          <cell r="B4719" t="str">
            <v>CAIXA ENTERRADA HIDRÁULICA RETANGULAR EM ALVENARIA COM TIJOLOS CERÂMICOS MACIÇOS, DIMENSÕES INTERNAS: 1X1X0,6 M PARA REDE DE DRENAGEM. AF_12/2020</v>
          </cell>
          <cell r="C4719" t="str">
            <v>UN</v>
          </cell>
          <cell r="D4719">
            <v>841.7</v>
          </cell>
        </row>
        <row r="4720">
          <cell r="A4720" t="str">
            <v>99258</v>
          </cell>
          <cell r="B4720" t="str">
            <v>CAIXA ENTERRADA HIDRÁULICA RETANGULAR, EM ALVENARIA COM BLOCOS DE CONCRETO, DIMENSÕES INTERNAS: 0,4X0,4X0,4 M PARA REDE DE DRENAGEM. AF_12/2020</v>
          </cell>
          <cell r="C4720" t="str">
            <v>UN</v>
          </cell>
          <cell r="D4720">
            <v>210.32</v>
          </cell>
        </row>
        <row r="4721">
          <cell r="A4721" t="str">
            <v>99260</v>
          </cell>
          <cell r="B4721" t="str">
            <v>CAIXA ENTERRADA HIDRÁULICA RETANGULAR, EM ALVENARIA COM BLOCOS DE CONCRETO, DIMENSÕES INTERNAS: 0,6X0,6X0,6 M PARA REDE DE DRENAGEM. AF_12/2020</v>
          </cell>
          <cell r="C4721" t="str">
            <v>UN</v>
          </cell>
          <cell r="D4721">
            <v>392.2</v>
          </cell>
        </row>
        <row r="4722">
          <cell r="A4722" t="str">
            <v>99262</v>
          </cell>
          <cell r="B4722" t="str">
            <v>CAIXA ENTERRADA HIDRÁULICA RETANGULAR, EM ALVENARIA COM BLOCOS DE CONCRETO, DIMENSÕES INTERNAS: 0,8X0,8X0,6 M PARA REDE DE DRENAGEM. AF_12/2020</v>
          </cell>
          <cell r="C4722" t="str">
            <v>UN</v>
          </cell>
          <cell r="D4722">
            <v>555.38</v>
          </cell>
        </row>
        <row r="4723">
          <cell r="A4723" t="str">
            <v>99264</v>
          </cell>
          <cell r="B4723" t="str">
            <v>CAIXA ENTERRADA HIDRÁULICA RETANGULAR, EM ALVENARIA COM BLOCOS DE CONCRETO, DIMENSÕES INTERNAS: 1X1X0,6 M PARA REDE DE DRENAGEM. AF_12/2020</v>
          </cell>
          <cell r="C4723" t="str">
            <v>UN</v>
          </cell>
          <cell r="D4723">
            <v>653.29</v>
          </cell>
        </row>
        <row r="4724">
          <cell r="A4724" t="str">
            <v>102587</v>
          </cell>
          <cell r="B4724" t="str">
            <v>FURO EM CAIXA D'ÁGUA COM ESPESSURA DE 2 ATÉ 5 MM E DIÂMETRO DE 15 MM. AF_06/2021</v>
          </cell>
          <cell r="C4724" t="str">
            <v>UN</v>
          </cell>
          <cell r="D4724">
            <v>2.73</v>
          </cell>
        </row>
        <row r="4725">
          <cell r="A4725" t="str">
            <v>102588</v>
          </cell>
          <cell r="B4725" t="str">
            <v>FURO EM CAIXA D'ÁGUA COM ESPESSURA DE 6 ATÉ 8 MM E DIÂMETRO DE 15 MM. AF_06/2021</v>
          </cell>
          <cell r="C4725" t="str">
            <v>UN</v>
          </cell>
          <cell r="D4725">
            <v>3.95</v>
          </cell>
        </row>
        <row r="4726">
          <cell r="A4726" t="str">
            <v>102589</v>
          </cell>
          <cell r="B4726" t="str">
            <v>FURO EM CAIXA D'ÁGUA COM ESPESSURA DE 2 ATÉ 5 MM E DIÂMETRO DE 20 MM. AF_06/2021</v>
          </cell>
          <cell r="C4726" t="str">
            <v>UN</v>
          </cell>
          <cell r="D4726">
            <v>3.03</v>
          </cell>
        </row>
        <row r="4727">
          <cell r="A4727" t="str">
            <v>102590</v>
          </cell>
          <cell r="B4727" t="str">
            <v>FURO EM CAIXA D'ÁGUA COM ESPESSURA DE 6 ATÉ 8 MM E DIÂMETRO DE 20 MM. AF_06/2021</v>
          </cell>
          <cell r="C4727" t="str">
            <v>UN</v>
          </cell>
          <cell r="D4727">
            <v>4.26</v>
          </cell>
        </row>
        <row r="4728">
          <cell r="A4728" t="str">
            <v>102591</v>
          </cell>
          <cell r="B4728" t="str">
            <v>FURO EM CAIXA D'ÁGUA COM ESPESSURA DE 2 ATÉ 5 MM E DIÂMETRO DE 25 MM. AF_06/2021</v>
          </cell>
          <cell r="C4728" t="str">
            <v>UN</v>
          </cell>
          <cell r="D4728">
            <v>3.35</v>
          </cell>
        </row>
        <row r="4729">
          <cell r="A4729" t="str">
            <v>102592</v>
          </cell>
          <cell r="B4729" t="str">
            <v>FURO EM CAIXA D'ÁGUA COM ESPESSURA DE 6 ATÉ 8 MM E DIÂMETRO DE 25 MM. AF_06/2021</v>
          </cell>
          <cell r="C4729" t="str">
            <v>UN</v>
          </cell>
          <cell r="D4729">
            <v>4.5599999999999996</v>
          </cell>
        </row>
        <row r="4730">
          <cell r="A4730" t="str">
            <v>102593</v>
          </cell>
          <cell r="B4730" t="str">
            <v>FURO EM CAIXA D'ÁGUA COM ESPESSURA DE 2 ATÉ 5 MM E DIÂMETRO DE 32 MM. AF_06/2021</v>
          </cell>
          <cell r="C4730" t="str">
            <v>UN</v>
          </cell>
          <cell r="D4730">
            <v>3.78</v>
          </cell>
        </row>
        <row r="4731">
          <cell r="A4731" t="str">
            <v>102594</v>
          </cell>
          <cell r="B4731" t="str">
            <v>FURO EM CAIXA D'ÁGUA COM ESPESSURA DE 6 ATÉ 8 MM E DIÂMETRO DE 32 MM. AF_06/2021</v>
          </cell>
          <cell r="C4731" t="str">
            <v>UN</v>
          </cell>
          <cell r="D4731">
            <v>5</v>
          </cell>
        </row>
        <row r="4732">
          <cell r="A4732" t="str">
            <v>102595</v>
          </cell>
          <cell r="B4732" t="str">
            <v>FURO EM CAIXA D'ÁGUA COM ESPESSURA DE 2 ATÉ 5 MM E DIÂMETRO DE 40 MM. AF_06/2021</v>
          </cell>
          <cell r="C4732" t="str">
            <v>UN</v>
          </cell>
          <cell r="D4732">
            <v>4.26</v>
          </cell>
        </row>
        <row r="4733">
          <cell r="A4733" t="str">
            <v>102596</v>
          </cell>
          <cell r="B4733" t="str">
            <v>FURO EM CAIXA D'ÁGUA COM ESPESSURA DE 6 ATÉ 8 MM E DIÂMETRO DE 40 MM. AF_06/2021</v>
          </cell>
          <cell r="C4733" t="str">
            <v>UN</v>
          </cell>
          <cell r="D4733">
            <v>5.49</v>
          </cell>
        </row>
        <row r="4734">
          <cell r="A4734" t="str">
            <v>102597</v>
          </cell>
          <cell r="B4734" t="str">
            <v>FURO EM CAIXA D'ÁGUA COM ESPESSURA DE 2 ATÉ 5 MM E DIÂMETRO DE 50 MM. AF_06/2021</v>
          </cell>
          <cell r="C4734" t="str">
            <v>UN</v>
          </cell>
          <cell r="D4734">
            <v>4.8899999999999997</v>
          </cell>
        </row>
        <row r="4735">
          <cell r="A4735" t="str">
            <v>102598</v>
          </cell>
          <cell r="B4735" t="str">
            <v>FURO EM CAIXA D'ÁGUA COM ESPESSURA DE 6 ATÉ 8 MM E DIÂMETRO DE 50 MM. AF_06/2021</v>
          </cell>
          <cell r="C4735" t="str">
            <v>UN</v>
          </cell>
          <cell r="D4735">
            <v>6.1</v>
          </cell>
        </row>
        <row r="4736">
          <cell r="A4736" t="str">
            <v>102599</v>
          </cell>
          <cell r="B4736" t="str">
            <v>FURO EM CAIXA D'ÁGUA COM ESPESSURA DE 2 ATÉ 5 MM E DIÂMETRO DE 60 MM. AF_06/2021</v>
          </cell>
          <cell r="C4736" t="str">
            <v>UN</v>
          </cell>
          <cell r="D4736">
            <v>5.5</v>
          </cell>
        </row>
        <row r="4737">
          <cell r="A4737" t="str">
            <v>102600</v>
          </cell>
          <cell r="B4737" t="str">
            <v>FURO EM CAIXA D'ÁGUA COM ESPESSURA DE 6 ATÉ 8 MM E DIÂMETRO DE 60 MM. AF_06/2021</v>
          </cell>
          <cell r="C4737" t="str">
            <v>UN</v>
          </cell>
          <cell r="D4737">
            <v>6.72</v>
          </cell>
        </row>
        <row r="4738">
          <cell r="A4738" t="str">
            <v>102601</v>
          </cell>
          <cell r="B4738" t="str">
            <v>FURO EM CAIXA D'ÁGUA COM ESPESSURA DE 2 ATÉ 5 MM E DIÂMETRO DE 75 MM. AF_06/2021</v>
          </cell>
          <cell r="C4738" t="str">
            <v>UN</v>
          </cell>
          <cell r="D4738">
            <v>6.42</v>
          </cell>
        </row>
        <row r="4739">
          <cell r="A4739" t="str">
            <v>102602</v>
          </cell>
          <cell r="B4739" t="str">
            <v>FURO EM CAIXA D'ÁGUA COM ESPESSURA DE 6 ATÉ 8 MM E DIÂMETRO DE 75 MM. AF_06/2021</v>
          </cell>
          <cell r="C4739" t="str">
            <v>UN</v>
          </cell>
          <cell r="D4739">
            <v>7.65</v>
          </cell>
        </row>
        <row r="4740">
          <cell r="A4740" t="str">
            <v>102603</v>
          </cell>
          <cell r="B4740" t="str">
            <v>FURO EM CAIXA D'ÁGUA COM ESPESSURA DE 2 ATÉ 5 MM E DIÂMETRO DE 100 MM. AF_06/2021</v>
          </cell>
          <cell r="C4740" t="str">
            <v>UN</v>
          </cell>
          <cell r="D4740">
            <v>7.97</v>
          </cell>
        </row>
        <row r="4741">
          <cell r="A4741" t="str">
            <v>102604</v>
          </cell>
          <cell r="B4741" t="str">
            <v>FURO EM CAIXA D'ÁGUA COM ESPESSURA DE 6 ATÉ 8 MM E DIÂMETRO DE 100 MM. AF_06/2021</v>
          </cell>
          <cell r="C4741" t="str">
            <v>UN</v>
          </cell>
          <cell r="D4741">
            <v>9.19</v>
          </cell>
        </row>
        <row r="4742">
          <cell r="A4742" t="str">
            <v>102605</v>
          </cell>
          <cell r="B4742" t="str">
            <v>CAIXA D´ÁGUA EM POLIETILENO, 500 LITROS - FORNECIMENTO E INSTALAÇÃO. AF_06/2021</v>
          </cell>
          <cell r="C4742" t="str">
            <v>UN</v>
          </cell>
          <cell r="D4742">
            <v>275.69</v>
          </cell>
        </row>
        <row r="4743">
          <cell r="A4743" t="str">
            <v>102606</v>
          </cell>
          <cell r="B4743" t="str">
            <v>CAIXA D´ÁGUA EM POLIETILENO, 750 LITROS - FORNECIMENTO E INSTALAÇÃO. AF_06/2021</v>
          </cell>
          <cell r="C4743" t="str">
            <v>UN</v>
          </cell>
          <cell r="D4743">
            <v>470.8</v>
          </cell>
        </row>
        <row r="4744">
          <cell r="A4744" t="str">
            <v>102607</v>
          </cell>
          <cell r="B4744" t="str">
            <v>CAIXA D´ÁGUA EM POLIETILENO, 1000 LITROS - FORNECIMENTO E INSTALAÇÃO. AF_06/2021</v>
          </cell>
          <cell r="C4744" t="str">
            <v>UN</v>
          </cell>
          <cell r="D4744">
            <v>478.93</v>
          </cell>
        </row>
        <row r="4745">
          <cell r="A4745" t="str">
            <v>102608</v>
          </cell>
          <cell r="B4745" t="str">
            <v>CAIXA D´ÁGUA EM POLIETILENO, 1500 LITROS - FORNECIMENTO E INSTALAÇÃO. AF_06/2021</v>
          </cell>
          <cell r="C4745" t="str">
            <v>UN</v>
          </cell>
          <cell r="D4745">
            <v>968.57</v>
          </cell>
        </row>
        <row r="4746">
          <cell r="A4746" t="str">
            <v>102609</v>
          </cell>
          <cell r="B4746" t="str">
            <v>CAIXA D´ÁGUA EM POLIETILENO, 2000 LITROS - FORNECIMENTO E INSTALAÇÃO. AF_06/2021</v>
          </cell>
          <cell r="C4746" t="str">
            <v>UN</v>
          </cell>
          <cell r="D4746">
            <v>1089.6300000000001</v>
          </cell>
        </row>
        <row r="4747">
          <cell r="A4747" t="str">
            <v>102611</v>
          </cell>
          <cell r="B4747" t="str">
            <v>CAIXA D´ÁGUA EM POLIÉSTER REFORÇADO COM FIBRA DE VIDRO, 500 LITROS - FORNECIMENTO E INSTALAÇÃO. AF_06/2021</v>
          </cell>
          <cell r="C4747" t="str">
            <v>UN</v>
          </cell>
          <cell r="D4747">
            <v>397.49</v>
          </cell>
        </row>
        <row r="4748">
          <cell r="A4748" t="str">
            <v>102613</v>
          </cell>
          <cell r="B4748" t="str">
            <v>CAIXA D´ÁGUA EM POLIÉSTER REFORÇADO COM FIBRA DE VIDRO, 1000 LITROS - FORNECIMENTO E INSTALAÇÃO. AF_06/2021</v>
          </cell>
          <cell r="C4748" t="str">
            <v>UN</v>
          </cell>
          <cell r="D4748">
            <v>546.14</v>
          </cell>
        </row>
        <row r="4749">
          <cell r="A4749" t="str">
            <v>102614</v>
          </cell>
          <cell r="B4749" t="str">
            <v>CAIXA D´ÁGUA EM POLIÉSTER REFORÇADO COM FIBRA DE VIDRO, 1500 LITROS - FORNECIMENTO E INSTALAÇÃO. AF_06/2021</v>
          </cell>
          <cell r="C4749" t="str">
            <v>UN</v>
          </cell>
          <cell r="D4749">
            <v>884.06</v>
          </cell>
        </row>
        <row r="4750">
          <cell r="A4750" t="str">
            <v>102615</v>
          </cell>
          <cell r="B4750" t="str">
            <v>CAIXA D´ÁGUA EM POLIÉSTER REFORÇADO COM FIBRA DE VIDRO, 2000 LITROS - FORNECIMENTO E INSTALAÇÃO. AF_06/2021</v>
          </cell>
          <cell r="C4750" t="str">
            <v>UN</v>
          </cell>
          <cell r="D4750">
            <v>1139.33</v>
          </cell>
        </row>
        <row r="4751">
          <cell r="A4751" t="str">
            <v>102617</v>
          </cell>
          <cell r="B4751" t="str">
            <v>CAIXA D´ÁGUA EM POLIÉSTER REFORÇADO COM FIBRA DE VIDRO, 5000 LITROS - FORNECIMENTO E INSTALAÇÃO. AF_06/2021</v>
          </cell>
          <cell r="C4751" t="str">
            <v>UN</v>
          </cell>
          <cell r="D4751">
            <v>3041.38</v>
          </cell>
        </row>
        <row r="4752">
          <cell r="A4752" t="str">
            <v>102619</v>
          </cell>
          <cell r="B4752" t="str">
            <v>CAIXA D´ÁGUA EM POLIÉSTER REFORÇADO COM FIBRA DE VIDRO, 10000 LITROS - FORNECIMENTO E INSTALAÇÃO. AF_06/2021</v>
          </cell>
          <cell r="C4752" t="str">
            <v>UN</v>
          </cell>
          <cell r="D4752">
            <v>5742.44</v>
          </cell>
        </row>
        <row r="4753">
          <cell r="A4753" t="str">
            <v>102622</v>
          </cell>
          <cell r="B4753" t="str">
            <v>CAIXA D´ÁGUA EM POLIETILENO, 500 LITROS (INCLUSOS TUBOS, CONEXÕES E TORNEIRA DE BÓIA) - FORNECIMENTO E INSTALAÇÃO. AF_06/2021</v>
          </cell>
          <cell r="C4753" t="str">
            <v>UN</v>
          </cell>
          <cell r="D4753">
            <v>647.76</v>
          </cell>
        </row>
        <row r="4754">
          <cell r="A4754" t="str">
            <v>102623</v>
          </cell>
          <cell r="B4754" t="str">
            <v>CAIXA D´ÁGUA EM POLIETILENO, 1000 LITROS (INCLUSOS TUBOS, CONEXÕES E TORNEIRA DE BÓIA) - FORNECIMENTO E INSTALAÇÃO. AF_06/2021</v>
          </cell>
          <cell r="C4754" t="str">
            <v>UN</v>
          </cell>
          <cell r="D4754">
            <v>912.97</v>
          </cell>
        </row>
        <row r="4755">
          <cell r="A4755" t="str">
            <v>89482</v>
          </cell>
          <cell r="B4755" t="str">
            <v>CAIXA SIFONADA, PVC, DN 100 X 100 X 50 MM, FORNECIDA E INSTALADA EM RAMAIS DE ENCAMINHAMENTO DE ÁGUA PLUVIAL. AF_12/2014</v>
          </cell>
          <cell r="C4755" t="str">
            <v>UN</v>
          </cell>
          <cell r="D4755">
            <v>35.44</v>
          </cell>
        </row>
        <row r="4756">
          <cell r="A4756" t="str">
            <v>89491</v>
          </cell>
          <cell r="B4756" t="str">
            <v>CAIXA SIFONADA, PVC, DN 150 X 185 X 75 MM, FORNECIDA E INSTALADA EM RAMAIS DE ENCAMINHAMENTO DE ÁGUA PLUVIAL. AF_12/2014</v>
          </cell>
          <cell r="C4756" t="str">
            <v>UN</v>
          </cell>
          <cell r="D4756">
            <v>84.55</v>
          </cell>
        </row>
        <row r="4757">
          <cell r="A4757" t="str">
            <v>89495</v>
          </cell>
          <cell r="B4757" t="str">
            <v>RALO SIFONADO, PVC, DN 100 X 40 MM, JUNTA SOLDÁVEL, FORNECIDO E INSTALADO EM RAMAIS DE ENCAMINHAMENTO DE ÁGUA PLUVIAL. AF_12/2014</v>
          </cell>
          <cell r="C4757" t="str">
            <v>UN</v>
          </cell>
          <cell r="D4757">
            <v>14.45</v>
          </cell>
        </row>
        <row r="4758">
          <cell r="A4758" t="str">
            <v>89707</v>
          </cell>
          <cell r="B4758" t="str">
            <v>CAIXA SIFONADA, PVC, DN 100 X 100 X 50 MM, JUNTA ELÁSTICA, FORNECIDA E INSTALADA EM RAMAL DE DESCARGA OU EM RAMAL DE ESGOTO SANITÁRIO. AF_12/2014</v>
          </cell>
          <cell r="C4758" t="str">
            <v>UN</v>
          </cell>
          <cell r="D4758">
            <v>39.369999999999997</v>
          </cell>
        </row>
        <row r="4759">
          <cell r="A4759" t="str">
            <v>89708</v>
          </cell>
          <cell r="B4759" t="str">
            <v>CAIXA SIFONADA, PVC, DN 150 X 185 X 75 MM, JUNTA ELÁSTICA, FORNECIDA E INSTALADA EM RAMAL DE DESCARGA OU EM RAMAL DE ESGOTO SANITÁRIO. AF_12/2014</v>
          </cell>
          <cell r="C4759" t="str">
            <v>UN</v>
          </cell>
          <cell r="D4759">
            <v>91.01</v>
          </cell>
        </row>
        <row r="4760">
          <cell r="A4760" t="str">
            <v>89709</v>
          </cell>
          <cell r="B4760" t="str">
            <v>RALO SIFONADO, PVC, DN 100 X 40 MM, JUNTA SOLDÁVEL, FORNECIDO E INSTALADO EM RAMAL DE DESCARGA OU EM RAMAL DE ESGOTO SANITÁRIO. AF_12/2014</v>
          </cell>
          <cell r="C4760" t="str">
            <v>UN</v>
          </cell>
          <cell r="D4760">
            <v>15.83</v>
          </cell>
        </row>
        <row r="4761">
          <cell r="A4761" t="str">
            <v>89710</v>
          </cell>
          <cell r="B4761" t="str">
            <v>RALO SECO, PVC, DN 100 X 40 MM, JUNTA SOLDÁVEL, FORNECIDO E INSTALADO EM RAMAL DE DESCARGA OU EM RAMAL DE ESGOTO SANITÁRIO. AF_12/2014</v>
          </cell>
          <cell r="C4761" t="str">
            <v>UN</v>
          </cell>
          <cell r="D4761">
            <v>13.21</v>
          </cell>
        </row>
        <row r="4762">
          <cell r="A4762" t="str">
            <v>86872</v>
          </cell>
          <cell r="B4762" t="str">
            <v>TANQUE DE LOUÇA BRANCA COM COLUNA, 30L OU EQUIVALENTE - FORNECIMENTO E INSTALAÇÃO. AF_01/2020</v>
          </cell>
          <cell r="C4762" t="str">
            <v>UN</v>
          </cell>
          <cell r="D4762">
            <v>574.99</v>
          </cell>
        </row>
        <row r="4763">
          <cell r="A4763" t="str">
            <v>86874</v>
          </cell>
          <cell r="B4763" t="str">
            <v>TANQUE DE LOUÇA BRANCA SUSPENSO, 18L OU EQUIVALENTE - FORNECIMENTO E INSTALAÇÃO. AF_01/2020</v>
          </cell>
          <cell r="C4763" t="str">
            <v>UN</v>
          </cell>
          <cell r="D4763">
            <v>401.85</v>
          </cell>
        </row>
        <row r="4764">
          <cell r="A4764" t="str">
            <v>86875</v>
          </cell>
          <cell r="B4764" t="str">
            <v>TANQUE DE MÁRMORE SINTÉTICO COM COLUNA, 22L OU EQUIVALENTE   FORNECIMENTO E INSTALAÇÃO. AF_01/2020</v>
          </cell>
          <cell r="C4764" t="str">
            <v>UN</v>
          </cell>
          <cell r="D4764">
            <v>369.92</v>
          </cell>
        </row>
        <row r="4765">
          <cell r="A4765" t="str">
            <v>86876</v>
          </cell>
          <cell r="B4765" t="str">
            <v>TANQUE DE MÁRMORE SINTÉTICO SUSPENSO, 22L OU EQUIVALENTE - FORNECIMENTO E INSTALAÇÃO. AF_01/2020</v>
          </cell>
          <cell r="C4765" t="str">
            <v>UN</v>
          </cell>
          <cell r="D4765">
            <v>214.32</v>
          </cell>
        </row>
        <row r="4766">
          <cell r="A4766" t="str">
            <v>86877</v>
          </cell>
          <cell r="B4766" t="str">
            <v>VÁLVULA EM METAL CROMADO 1.1/2 X 1.1/2 PARA TANQUE OU LAVATÓRIO, COM OU SEM LADRÃO - FORNECIMENTO E INSTALAÇÃO. AF_01/2020</v>
          </cell>
          <cell r="C4766" t="str">
            <v>UN</v>
          </cell>
          <cell r="D4766">
            <v>52.52</v>
          </cell>
        </row>
        <row r="4767">
          <cell r="A4767" t="str">
            <v>86878</v>
          </cell>
          <cell r="B4767" t="str">
            <v>VÁLVULA EM METAL CROMADO TIPO AMERICANA 3.1/2 X 1.1/2 PARA PIA - FORNECIMENTO E INSTALAÇÃO. AF_01/2020</v>
          </cell>
          <cell r="C4767" t="str">
            <v>UN</v>
          </cell>
          <cell r="D4767">
            <v>56.58</v>
          </cell>
        </row>
        <row r="4768">
          <cell r="A4768" t="str">
            <v>86879</v>
          </cell>
          <cell r="B4768" t="str">
            <v>VÁLVULA EM PLÁSTICO 1 PARA PIA, TANQUE OU LAVATÓRIO, COM OU SEM LADRÃO - FORNECIMENTO E INSTALAÇÃO. AF_01/2020</v>
          </cell>
          <cell r="C4768" t="str">
            <v>UN</v>
          </cell>
          <cell r="D4768">
            <v>6.24</v>
          </cell>
        </row>
        <row r="4769">
          <cell r="A4769" t="str">
            <v>86880</v>
          </cell>
          <cell r="B4769" t="str">
            <v>VÁLVULA EM PLÁSTICO CROMADO TIPO AMERICANA 3.1/2 X 1.1/2 SEM ADAPTADOR PARA PIA - FORNECIMENTO E INSTALAÇÃO. AF_01/2020</v>
          </cell>
          <cell r="C4769" t="str">
            <v>UN</v>
          </cell>
          <cell r="D4769">
            <v>16.97</v>
          </cell>
        </row>
        <row r="4770">
          <cell r="A4770" t="str">
            <v>86881</v>
          </cell>
          <cell r="B4770" t="str">
            <v>SIFÃO DO TIPO GARRAFA EM METAL CROMADO 1 X 1.1/2 - FORNECIMENTO E INSTALAÇÃO. AF_01/2020</v>
          </cell>
          <cell r="C4770" t="str">
            <v>UN</v>
          </cell>
          <cell r="D4770">
            <v>158.72999999999999</v>
          </cell>
        </row>
        <row r="4771">
          <cell r="A4771" t="str">
            <v>86882</v>
          </cell>
          <cell r="B4771" t="str">
            <v>SIFÃO DO TIPO GARRAFA/COPO EM PVC 1.1/4  X 1.1/2 - FORNECIMENTO E INSTALAÇÃO. AF_01/2020</v>
          </cell>
          <cell r="C4771" t="str">
            <v>UN</v>
          </cell>
          <cell r="D4771">
            <v>17.41</v>
          </cell>
        </row>
        <row r="4772">
          <cell r="A4772" t="str">
            <v>86883</v>
          </cell>
          <cell r="B4772" t="str">
            <v>SIFÃO DO TIPO FLEXÍVEL EM PVC 1  X 1.1/2  - FORNECIMENTO E INSTALAÇÃO. AF_01/2020</v>
          </cell>
          <cell r="C4772" t="str">
            <v>UN</v>
          </cell>
          <cell r="D4772">
            <v>9.9700000000000006</v>
          </cell>
        </row>
        <row r="4773">
          <cell r="A4773" t="str">
            <v>86884</v>
          </cell>
          <cell r="B4773" t="str">
            <v>ENGATE FLEXÍVEL EM PLÁSTICO BRANCO, 1/2 X 30CM - FORNECIMENTO E INSTALAÇÃO. AF_01/2020</v>
          </cell>
          <cell r="C4773" t="str">
            <v>UN</v>
          </cell>
          <cell r="D4773">
            <v>7.67</v>
          </cell>
        </row>
        <row r="4774">
          <cell r="A4774" t="str">
            <v>86885</v>
          </cell>
          <cell r="B4774" t="str">
            <v>ENGATE FLEXÍVEL EM PLÁSTICO BRANCO, 1/2 X 40CM - FORNECIMENTO E INSTALAÇÃO. AF_01/2020</v>
          </cell>
          <cell r="C4774" t="str">
            <v>UN</v>
          </cell>
          <cell r="D4774">
            <v>10.63</v>
          </cell>
        </row>
        <row r="4775">
          <cell r="A4775" t="str">
            <v>86886</v>
          </cell>
          <cell r="B4775" t="str">
            <v>ENGATE FLEXÍVEL EM INOX, 1/2  X 30CM - FORNECIMENTO E INSTALAÇÃO. AF_01/2020</v>
          </cell>
          <cell r="C4775" t="str">
            <v>UN</v>
          </cell>
          <cell r="D4775">
            <v>38.93</v>
          </cell>
        </row>
        <row r="4776">
          <cell r="A4776" t="str">
            <v>86887</v>
          </cell>
          <cell r="B4776" t="str">
            <v>ENGATE FLEXÍVEL EM INOX, 1/2  X 40CM - FORNECIMENTO E INSTALAÇÃO. AF_01/2020</v>
          </cell>
          <cell r="C4776" t="str">
            <v>UN</v>
          </cell>
          <cell r="D4776">
            <v>42.2</v>
          </cell>
        </row>
        <row r="4777">
          <cell r="A4777" t="str">
            <v>86888</v>
          </cell>
          <cell r="B4777" t="str">
            <v>VASO SANITÁRIO SIFONADO COM CAIXA ACOPLADA LOUÇA BRANCA - FORNECIMENTO E INSTALAÇÃO. AF_01/2020</v>
          </cell>
          <cell r="C4777" t="str">
            <v>UN</v>
          </cell>
          <cell r="D4777">
            <v>391.18</v>
          </cell>
        </row>
        <row r="4778">
          <cell r="A4778" t="str">
            <v>86889</v>
          </cell>
          <cell r="B4778" t="str">
            <v>BANCADA DE GRANITO CINZA POLIDO, DE 1,50 X 0,60 M, PARA PIA DE COZINHA - FORNECIMENTO E INSTALAÇÃO. AF_01/2020</v>
          </cell>
          <cell r="C4778" t="str">
            <v>UN</v>
          </cell>
          <cell r="D4778">
            <v>417.83</v>
          </cell>
        </row>
        <row r="4779">
          <cell r="A4779" t="str">
            <v>86893</v>
          </cell>
          <cell r="B4779" t="str">
            <v>BANCADA DE MÁRMORE BRANCO POLIDO, DE 1,50 X 0,60 M, PARA PIA DE COZINHA - FORNECIMENTO E INSTALAÇÃO. AF_01/2020</v>
          </cell>
          <cell r="C4779" t="str">
            <v>UN</v>
          </cell>
          <cell r="D4779">
            <v>484.79</v>
          </cell>
        </row>
        <row r="4780">
          <cell r="A4780" t="str">
            <v>86894</v>
          </cell>
          <cell r="B4780" t="str">
            <v>BANCADA DE MÁRMORE SINTÉTICO, DE 120 X 60CM, COM CUBA INTEGRADA - FORNECIMENTO E INSTALAÇÃO. AF_01/2020</v>
          </cell>
          <cell r="C4780" t="str">
            <v>UN</v>
          </cell>
          <cell r="D4780">
            <v>248.58</v>
          </cell>
        </row>
        <row r="4781">
          <cell r="A4781" t="str">
            <v>86895</v>
          </cell>
          <cell r="B4781" t="str">
            <v>BANCADA DE GRANITO CINZA POLIDO, DE 0,50 X 0,60 M, PARA LAVATÓRIO - FORNECIMENTO E INSTALAÇÃO. AF_01/2020</v>
          </cell>
          <cell r="C4781" t="str">
            <v>UN</v>
          </cell>
          <cell r="D4781">
            <v>245.74</v>
          </cell>
        </row>
        <row r="4782">
          <cell r="A4782" t="str">
            <v>86899</v>
          </cell>
          <cell r="B4782" t="str">
            <v>BANCADA DE MÁRMORE BRANCO POLIDO, DE 0,50 X 0,60 M, PARA LAVATÓRIO - FORNECIMENTO E INSTALAÇÃO. AF_01/2020</v>
          </cell>
          <cell r="C4782" t="str">
            <v>UN</v>
          </cell>
          <cell r="D4782">
            <v>270.86</v>
          </cell>
        </row>
        <row r="4783">
          <cell r="A4783" t="str">
            <v>86900</v>
          </cell>
          <cell r="B4783" t="str">
            <v>CUBA DE EMBUTIR RETANGULAR DE AÇO INOXIDÁVEL, 46 X 30 X 12 CM - FORNECIMENTO E INSTALAÇÃO. AF_01/2020</v>
          </cell>
          <cell r="C4783" t="str">
            <v>UN</v>
          </cell>
          <cell r="D4783">
            <v>187.67</v>
          </cell>
        </row>
        <row r="4784">
          <cell r="A4784" t="str">
            <v>86901</v>
          </cell>
          <cell r="B4784" t="str">
            <v>CUBA DE EMBUTIR OVAL EM LOUÇA BRANCA, 35 X 50CM OU EQUIVALENTE - FORNECIMENTO E INSTALAÇÃO. AF_01/2020</v>
          </cell>
          <cell r="C4784" t="str">
            <v>UN</v>
          </cell>
          <cell r="D4784">
            <v>122.53</v>
          </cell>
        </row>
        <row r="4785">
          <cell r="A4785" t="str">
            <v>86902</v>
          </cell>
          <cell r="B4785" t="str">
            <v>LAVATÓRIO LOUÇA BRANCA COM COLUNA, *44 X 35,5* CM, PADRÃO POPULAR - FORNECIMENTO E INSTALAÇÃO. AF_01/2020</v>
          </cell>
          <cell r="C4785" t="str">
            <v>UN</v>
          </cell>
          <cell r="D4785">
            <v>250.87</v>
          </cell>
        </row>
        <row r="4786">
          <cell r="A4786" t="str">
            <v>86903</v>
          </cell>
          <cell r="B4786" t="str">
            <v>LAVATÓRIO LOUÇA BRANCA COM COLUNA, 45 X 55CM OU EQUIVALENTE, PADRÃO MÉDIO - FORNECIMENTO E INSTALAÇÃO. AF_01/2020</v>
          </cell>
          <cell r="C4786" t="str">
            <v>UN</v>
          </cell>
          <cell r="D4786">
            <v>284.02</v>
          </cell>
        </row>
        <row r="4787">
          <cell r="A4787" t="str">
            <v>86904</v>
          </cell>
          <cell r="B4787" t="str">
            <v>LAVATÓRIO LOUÇA BRANCA SUSPENSO, 29,5 X 39CM OU EQUIVALENTE, PADRÃO POPULAR - FORNECIMENTO E INSTALAÇÃO. AF_01/2020</v>
          </cell>
          <cell r="C4787" t="str">
            <v>UN</v>
          </cell>
          <cell r="D4787">
            <v>117.75</v>
          </cell>
        </row>
        <row r="4788">
          <cell r="A4788" t="str">
            <v>86905</v>
          </cell>
          <cell r="B4788" t="str">
            <v>APARELHO MISTURADOR DE MESA PARA LAVATÓRIO, PADRÃO MÉDIO - FORNECIMENTO E INSTALAÇÃO. AF_01/2020</v>
          </cell>
          <cell r="C4788" t="str">
            <v>UN</v>
          </cell>
          <cell r="D4788">
            <v>278.95</v>
          </cell>
        </row>
        <row r="4789">
          <cell r="A4789" t="str">
            <v>86906</v>
          </cell>
          <cell r="B4789" t="str">
            <v>TORNEIRA CROMADA DE MESA, 1/2 OU 3/4, PARA LAVATÓRIO, PADRÃO POPULAR - FORNECIMENTO E INSTALAÇÃO. AF_01/2020</v>
          </cell>
          <cell r="C4789" t="str">
            <v>UN</v>
          </cell>
          <cell r="D4789">
            <v>51.67</v>
          </cell>
        </row>
        <row r="4790">
          <cell r="A4790" t="str">
            <v>86908</v>
          </cell>
          <cell r="B4790" t="str">
            <v>APARELHO MISTURADOR DE MESA PARA PIA DE COZINHA, PADRÃO MÉDIO - FORNECIMENTO E INSTALAÇÃO. AF_01/2020</v>
          </cell>
          <cell r="C4790" t="str">
            <v>UN</v>
          </cell>
          <cell r="D4790">
            <v>332.22</v>
          </cell>
        </row>
        <row r="4791">
          <cell r="A4791" t="str">
            <v>86909</v>
          </cell>
          <cell r="B4791" t="str">
            <v>TORNEIRA CROMADA TUBO MÓVEL, DE MESA, 1/2 OU 3/4, PARA PIA DE COZINHA, PADRÃO ALTO - FORNECIMENTO E INSTALAÇÃO. AF_01/2020</v>
          </cell>
          <cell r="C4791" t="str">
            <v>UN</v>
          </cell>
          <cell r="D4791">
            <v>89.72</v>
          </cell>
        </row>
        <row r="4792">
          <cell r="A4792" t="str">
            <v>86910</v>
          </cell>
          <cell r="B4792" t="str">
            <v>TORNEIRA CROMADA TUBO MÓVEL, DE PAREDE, 1/2 OU 3/4, PARA PIA DE COZINHA, PADRÃO MÉDIO - FORNECIMENTO E INSTALAÇÃO. AF_01/2020</v>
          </cell>
          <cell r="C4792" t="str">
            <v>UN</v>
          </cell>
          <cell r="D4792">
            <v>88.06</v>
          </cell>
        </row>
        <row r="4793">
          <cell r="A4793" t="str">
            <v>86911</v>
          </cell>
          <cell r="B4793" t="str">
            <v>TORNEIRA CROMADA LONGA, DE PAREDE, 1/2 OU 3/4, PARA PIA DE COZINHA, PADRÃO POPULAR - FORNECIMENTO E INSTALAÇÃO. AF_01/2020</v>
          </cell>
          <cell r="C4793" t="str">
            <v>UN</v>
          </cell>
          <cell r="D4793">
            <v>60.49</v>
          </cell>
        </row>
        <row r="4794">
          <cell r="A4794" t="str">
            <v>86913</v>
          </cell>
          <cell r="B4794" t="str">
            <v>TORNEIRA CROMADA 1/2 OU 3/4 PARA TANQUE, PADRÃO POPULAR - FORNECIMENTO E INSTALAÇÃO. AF_01/2020</v>
          </cell>
          <cell r="C4794" t="str">
            <v>UN</v>
          </cell>
          <cell r="D4794">
            <v>38.33</v>
          </cell>
        </row>
        <row r="4795">
          <cell r="A4795" t="str">
            <v>86914</v>
          </cell>
          <cell r="B4795" t="str">
            <v>TORNEIRA CROMADA 1/2 OU 3/4 PARA TANQUE, PADRÃO MÉDIO - FORNECIMENTO E INSTALAÇÃO. AF_01/2020</v>
          </cell>
          <cell r="C4795" t="str">
            <v>UN</v>
          </cell>
          <cell r="D4795">
            <v>68.040000000000006</v>
          </cell>
        </row>
        <row r="4796">
          <cell r="A4796" t="str">
            <v>86915</v>
          </cell>
          <cell r="B4796" t="str">
            <v>TORNEIRA CROMADA DE MESA, 1/2 OU 3/4, PARA LAVATÓRIO, PADRÃO MÉDIO - FORNECIMENTO E INSTALAÇÃO. AF_01/2020</v>
          </cell>
          <cell r="C4796" t="str">
            <v>UN</v>
          </cell>
          <cell r="D4796">
            <v>98.4</v>
          </cell>
        </row>
        <row r="4797">
          <cell r="A4797" t="str">
            <v>86916</v>
          </cell>
          <cell r="B4797" t="str">
            <v>TORNEIRA PLÁSTICA 3/4 PARA TANQUE - FORNECIMENTO E INSTALAÇÃO. AF_01/2020</v>
          </cell>
          <cell r="C4797" t="str">
            <v>UN</v>
          </cell>
          <cell r="D4797">
            <v>32.450000000000003</v>
          </cell>
        </row>
        <row r="4798">
          <cell r="A4798" t="str">
            <v>86919</v>
          </cell>
          <cell r="B4798" t="str">
            <v>TANQUE DE LOUÇA BRANCA COM COLUNA, 30L OU EQUIVALENTE, INCLUSO SIFÃO FLEXÍVEL EM PVC, VÁLVULA METÁLICA E TORNEIRA DE METAL CROMADO PADRÃO MÉDIO - FORNECIMENTO E INSTALAÇÃO. AF_01/2020</v>
          </cell>
          <cell r="C4798" t="str">
            <v>UN</v>
          </cell>
          <cell r="D4798">
            <v>705.52</v>
          </cell>
        </row>
        <row r="4799">
          <cell r="A4799" t="str">
            <v>86920</v>
          </cell>
          <cell r="B4799" t="str">
            <v>TANQUE DE LOUÇA BRANCA COM COLUNA, 30L OU EQUIVALENTE, INCLUSO SIFÃO FLEXÍVEL EM PVC, VÁLVULA PLÁSTICA E TORNEIRA DE METAL CROMADO PADRÃO POPULAR - FORNECIMENTO E INSTALAÇÃO. AF_01/2020</v>
          </cell>
          <cell r="C4799" t="str">
            <v>UN</v>
          </cell>
          <cell r="D4799">
            <v>629.53</v>
          </cell>
        </row>
        <row r="4800">
          <cell r="A4800" t="str">
            <v>86921</v>
          </cell>
          <cell r="B4800" t="str">
            <v>TANQUE DE LOUÇA BRANCA COM COLUNA, 30L OU EQUIVALENTE, INCLUSO SIFÃO FLEXÍVEL EM PVC, VÁLVULA PLÁSTICA E TORNEIRA DE PLÁSTICO - FORNECIMENTO E INSTALAÇÃO. AF_01/2020</v>
          </cell>
          <cell r="C4800" t="str">
            <v>UN</v>
          </cell>
          <cell r="D4800">
            <v>623.65</v>
          </cell>
        </row>
        <row r="4801">
          <cell r="A4801" t="str">
            <v>86922</v>
          </cell>
          <cell r="B4801" t="str">
            <v>TANQUE DE LOUÇA BRANCA SUSPENSO, 18L OU EQUIVALENTE, INCLUSO SIFÃO TIPO GARRAFA EM METAL CROMADO, VÁLVULA METÁLICA E TORNEIRA DE METAL CROMADO PADRÃO MÉDIO - FORNECIMENTO E INSTALAÇÃO. AF_01/2020</v>
          </cell>
          <cell r="C4801" t="str">
            <v>UN</v>
          </cell>
          <cell r="D4801">
            <v>681.14</v>
          </cell>
        </row>
        <row r="4802">
          <cell r="A4802" t="str">
            <v>86923</v>
          </cell>
          <cell r="B4802" t="str">
            <v>TANQUE DE LOUÇA BRANCA SUSPENSO, 18L OU EQUIVALENTE, INCLUSO SIFÃO TIPO GARRAFA EM PVC, VÁLVULA PLÁSTICA E TORNEIRA DE METAL CROMADO PADRÃO POPULAR - FORNECIMENTO E INSTALAÇÃO. AF_01/2020</v>
          </cell>
          <cell r="C4802" t="str">
            <v>UN</v>
          </cell>
          <cell r="D4802">
            <v>463.83</v>
          </cell>
        </row>
        <row r="4803">
          <cell r="A4803" t="str">
            <v>86924</v>
          </cell>
          <cell r="B4803" t="str">
            <v>TANQUE DE LOUÇA BRANCA SUSPENSO, 18L OU EQUIVALENTE, INCLUSO SIFÃO TIPO GARRAFA EM PVC, VÁLVULA PLÁSTICA E TORNEIRA DE PLÁSTICO - FORNECIMENTO E INSTALAÇÃO. AF_01/2020</v>
          </cell>
          <cell r="C4803" t="str">
            <v>UN</v>
          </cell>
          <cell r="D4803">
            <v>457.95</v>
          </cell>
        </row>
        <row r="4804">
          <cell r="A4804" t="str">
            <v>86925</v>
          </cell>
          <cell r="B4804" t="str">
            <v>TANQUE DE MÁRMORE SINTÉTICO COM COLUNA, 22L OU EQUIVALENTE, INCLUSO SIFÃO FLEXÍVEL EM PVC, VÁLVULA PLÁSTICA E TORNEIRA DE METAL CROMADO PADRÃO POPULAR - FORNECIMENTO E INSTALAÇÃO. AF_01/2020</v>
          </cell>
          <cell r="C4804" t="str">
            <v>UN</v>
          </cell>
          <cell r="D4804">
            <v>424.46</v>
          </cell>
        </row>
        <row r="4805">
          <cell r="A4805" t="str">
            <v>86926</v>
          </cell>
          <cell r="B4805" t="str">
            <v>TANQUE DE MÁRMORE SINTÉTICO COM COLUNA, 22L OU EQUIVALENTE, INCLUSO SIFÃO FLEXÍVEL EM PVC, VÁLVULA PLÁSTICA E TORNEIRA DE PLÁSTICO - FORNECIMENTO E INSTALAÇÃO. AF_01/2020</v>
          </cell>
          <cell r="C4805" t="str">
            <v>UN</v>
          </cell>
          <cell r="D4805">
            <v>418.58</v>
          </cell>
        </row>
        <row r="4806">
          <cell r="A4806" t="str">
            <v>86927</v>
          </cell>
          <cell r="B4806" t="str">
            <v>TANQUE DE MÁRMORE SINTÉTICO SUSPENSO, 22L OU EQUIVALENTE, INCLUSO SIFÃO TIPO GARRAFA EM PVC, VÁLVULA PLÁSTICA E TORNEIRA DE METAL CROMADO PADRÃO POPULAR - FORNEC. E INSTALAÇÃO. AF_01/2020</v>
          </cell>
          <cell r="C4806" t="str">
            <v>UN</v>
          </cell>
          <cell r="D4806">
            <v>276.3</v>
          </cell>
        </row>
        <row r="4807">
          <cell r="A4807" t="str">
            <v>86928</v>
          </cell>
          <cell r="B4807" t="str">
            <v>TANQUE DE MÁRMORE SINTÉTICO SUSPENSO, 22L OU EQUIVALENTE, INCLUSO SIFÃO TIPO GARRAFA EM PVC, VÁLVULA PLÁSTICA E TORNEIRA DE PLÁSTICO - FORNECIMENTO E INSTALAÇÃO. AF_01/2020</v>
          </cell>
          <cell r="C4807" t="str">
            <v>UN</v>
          </cell>
          <cell r="D4807">
            <v>270.42</v>
          </cell>
        </row>
        <row r="4808">
          <cell r="A4808" t="str">
            <v>86929</v>
          </cell>
          <cell r="B4808" t="str">
            <v>TANQUE DE MÁRMORE SINTÉTICO SUSPENSO, 22L OU EQUIVALENTE, INCLUSO SIFÃO FLEXÍVEL EM PVC, VÁLVULA PLÁSTICA E TORNEIRA DE METAL CROMADO PADRÃO POPULAR - FORNECIMENTO E INSTALAÇÃO. AF_01/2020</v>
          </cell>
          <cell r="C4808" t="str">
            <v>UN</v>
          </cell>
          <cell r="D4808">
            <v>268.86</v>
          </cell>
        </row>
        <row r="4809">
          <cell r="A4809" t="str">
            <v>86930</v>
          </cell>
          <cell r="B4809" t="str">
            <v>TANQUE DE MÁRMORE SINTÉTICO SUSPENSO, 22L OU EQUIVALENTE, INCLUSO SIFÃO FLEXÍVEL EM PVC, VÁLVULA PLÁSTICA E TORNEIRA DE PLÁSTICO - FORNECIMENTO E INSTALAÇÃO. AF_01/2020</v>
          </cell>
          <cell r="C4809" t="str">
            <v>UN</v>
          </cell>
          <cell r="D4809">
            <v>262.98</v>
          </cell>
        </row>
        <row r="4810">
          <cell r="A4810" t="str">
            <v>86931</v>
          </cell>
          <cell r="B4810" t="str">
            <v>VASO SANITÁRIO SIFONADO COM CAIXA ACOPLADA LOUÇA BRANCA, INCLUSO ENGATE FLEXÍVEL EM PLÁSTICO BRANCO, 1/2  X 40CM - FORNECIMENTO E INSTALAÇÃO. AF_01/2020</v>
          </cell>
          <cell r="C4810" t="str">
            <v>UN</v>
          </cell>
          <cell r="D4810">
            <v>401.81</v>
          </cell>
        </row>
        <row r="4811">
          <cell r="A4811" t="str">
            <v>86932</v>
          </cell>
          <cell r="B4811" t="str">
            <v>VASO SANITÁRIO SIFONADO COM CAIXA ACOPLADA LOUÇA BRANCA - PADRÃO MÉDIO, INCLUSO ENGATE FLEXÍVEL EM METAL CROMADO, 1/2  X 40CM - FORNECIMENTO E INSTALAÇÃO. AF_01/2020</v>
          </cell>
          <cell r="C4811" t="str">
            <v>UN</v>
          </cell>
          <cell r="D4811">
            <v>433.38</v>
          </cell>
        </row>
        <row r="4812">
          <cell r="A4812" t="str">
            <v>86933</v>
          </cell>
          <cell r="B4812" t="str">
            <v>BANCADA DE MÁRMORE SINTÉTICO 120 X 60CM, COM CUBA INTEGRADA, INCLUSO SIFÃO TIPO GARRAFA EM PVC, VÁLVULA EM PLÁSTICO CROMADO TIPO AMERICANA E TORNEIRA CROMADA LONGA, DE PAREDE, PADRÃO POPULAR - FORNECIMENTO E INSTALAÇÃO. AF_01/2020</v>
          </cell>
          <cell r="C4812" t="str">
            <v>UN</v>
          </cell>
          <cell r="D4812">
            <v>343.45</v>
          </cell>
        </row>
        <row r="4813">
          <cell r="A4813" t="str">
            <v>86934</v>
          </cell>
          <cell r="B4813" t="str">
            <v>BANCADA DE MÁRMORE SINTÉTICO 120 X 60CM, COM CUBA INTEGRADA, INCLUSO SIFÃO TIPO FLEXÍVEL EM PVC, VÁLVULA EM PLÁSTICO CROMADO TIPO AMERICANA E TORNEIRA CROMADA LONGA, DE PAREDE, PADRÃO POPULAR - FORNECIMENTO E INSTALAÇÃO. AF_01/2020</v>
          </cell>
          <cell r="C4813" t="str">
            <v>UN</v>
          </cell>
          <cell r="D4813">
            <v>336.01</v>
          </cell>
        </row>
        <row r="4814">
          <cell r="A4814" t="str">
            <v>86935</v>
          </cell>
          <cell r="B4814" t="str">
            <v>CUBA DE EMBUTIR DE AÇO INOXIDÁVEL MÉDIA, INCLUSO VÁLVULA TIPO AMERICANA EM METAL CROMADO E SIFÃO FLEXÍVEL EM PVC - FORNECIMENTO E INSTALAÇÃO. AF_01/2020</v>
          </cell>
          <cell r="C4814" t="str">
            <v>UN</v>
          </cell>
          <cell r="D4814">
            <v>254.22</v>
          </cell>
        </row>
        <row r="4815">
          <cell r="A4815" t="str">
            <v>86936</v>
          </cell>
          <cell r="B4815" t="str">
            <v>CUBA DE EMBUTIR DE AÇO INOXIDÁVEL MÉDIA, INCLUSO VÁLVULA TIPO AMERICANA E SIFÃO TIPO GARRAFA EM METAL CROMADO - FORNECIMENTO E INSTALAÇÃO. AF_01/2020</v>
          </cell>
          <cell r="C4815" t="str">
            <v>UN</v>
          </cell>
          <cell r="D4815">
            <v>402.98</v>
          </cell>
        </row>
        <row r="4816">
          <cell r="A4816" t="str">
            <v>86937</v>
          </cell>
          <cell r="B4816" t="str">
            <v>CUBA DE EMBUTIR OVAL EM LOUÇA BRANCA, 35 X 50CM OU EQUIVALENTE, INCLUSO VÁLVULA EM METAL CROMADO E SIFÃO FLEXÍVEL EM PVC - FORNECIMENTO E INSTALAÇÃO. AF_01/2020</v>
          </cell>
          <cell r="C4816" t="str">
            <v>UN</v>
          </cell>
          <cell r="D4816">
            <v>185.02</v>
          </cell>
        </row>
        <row r="4817">
          <cell r="A4817" t="str">
            <v>86938</v>
          </cell>
          <cell r="B4817" t="str">
            <v>CUBA DE EMBUTIR OVAL EM LOUÇA BRANCA, 35 X 50CM OU EQUIVALENTE, INCLUSO VÁLVULA E SIFÃO TIPO GARRAFA EM METAL CROMADO - FORNECIMENTO E INSTALAÇÃO. AF_01/2020</v>
          </cell>
          <cell r="C4817" t="str">
            <v>UN</v>
          </cell>
          <cell r="D4817">
            <v>333.78</v>
          </cell>
        </row>
        <row r="4818">
          <cell r="A4818" t="str">
            <v>86939</v>
          </cell>
          <cell r="B4818" t="str">
            <v>LAVATÓRIO LOUÇA BRANCA COM COLUNA, *44 X 35,5* CM, PADRÃO POPULAR, INCLUSO SIFÃO FLEXÍVEL EM PVC, VÁLVULA E ENGATE FLEXÍVEL 30CM EM PLÁSTICO E COM TORNEIRA CROMADA PADRÃO POPULAR - FORNECIMENTO E INSTALAÇÃO. AF_01/2020</v>
          </cell>
          <cell r="C4818" t="str">
            <v>UN</v>
          </cell>
          <cell r="D4818">
            <v>326.42</v>
          </cell>
        </row>
        <row r="4819">
          <cell r="A4819" t="str">
            <v>86940</v>
          </cell>
          <cell r="B4819" t="str">
            <v>LAVATÓRIO LOUÇA BRANCA COM COLUNA, 45 X 55CM OU EQUIVALENTE, PADRÃO MÉDIO, INCLUSO SIFÃO TIPO GARRAFA, VÁLVULA E ENGATE FLEXÍVEL DE 40CM EM METAL CROMADO, COM APARELHO MISTURADOR PADRÃO MÉDIO - FORNECIMENTO E INSTALAÇÃO. AF_01/2020</v>
          </cell>
          <cell r="C4819" t="str">
            <v>UN</v>
          </cell>
          <cell r="D4819">
            <v>858.62</v>
          </cell>
        </row>
        <row r="4820">
          <cell r="A4820" t="str">
            <v>86941</v>
          </cell>
          <cell r="B4820" t="str">
            <v>LAVATÓRIO LOUÇA BRANCA COM COLUNA, 45 X 55CM OU EQUIVALENTE, PADRÃO MÉDIO, INCLUSO SIFÃO TIPO GARRAFA, VÁLVULA E ENGATE FLEXÍVEL DE 40CM EM METAL CROMADO, COM TORNEIRA CROMADA DE MESA, PADRÃO MÉDIO - FORNECIMENTO E INSTALAÇÃO. AF_01/2020</v>
          </cell>
          <cell r="C4820" t="str">
            <v>UN</v>
          </cell>
          <cell r="D4820">
            <v>635.87</v>
          </cell>
        </row>
        <row r="4821">
          <cell r="A4821" t="str">
            <v>86942</v>
          </cell>
          <cell r="B4821" t="str">
            <v>LAVATÓRIO LOUÇA BRANCA SUSPENSO, 29,5 X 39CM OU EQUIVALENTE, PADRÃO POPULAR, INCLUSO SIFÃO TIPO GARRAFA EM PVC, VÁLVULA E ENGATE FLEXÍVEL 30CM EM PLÁSTICO E TORNEIRA CROMADA DE MESA, PADRÃO POPULAR - FORNECIMENTO E INSTALAÇÃO. AF_01/2020</v>
          </cell>
          <cell r="C4821" t="str">
            <v>UN</v>
          </cell>
          <cell r="D4821">
            <v>200.74</v>
          </cell>
        </row>
        <row r="4822">
          <cell r="A4822" t="str">
            <v>86943</v>
          </cell>
          <cell r="B4822" t="str">
            <v>LAVATÓRIO LOUÇA BRANCA SUSPENSO, 29,5 X 39CM OU EQUIVALENTE, PADRÃO POPULAR, INCLUSO SIFÃO FLEXÍVEL EM PVC, VÁLVULA E ENGATE FLEXÍVEL 30CM EM PLÁSTICO E TORNEIRA CROMADA DE MESA, PADRÃO POPULAR - FORNECIMENTO E INSTALAÇÃO. AF_01/2020</v>
          </cell>
          <cell r="C4822" t="str">
            <v>UN</v>
          </cell>
          <cell r="D4822">
            <v>193.3</v>
          </cell>
        </row>
        <row r="4823">
          <cell r="A4823" t="str">
            <v>86947</v>
          </cell>
          <cell r="B4823" t="str">
            <v>BANCADA MÁRMORE BRANCO, 50 X 60 CM, INCLUSO CUBA DE EMBUTIR OVAL EM LOUÇA BRANCA 35 X 50 CM, VÁLVULA, SIFÃO TIPO GARRAFA E ENGATE FLEXÍVEL 40 CM EM METAL CROMADO E APARELHO MISTURADOR DE MESA, PADRÃO MÉDIO - FORNEC. E INSTALAÇÃO. AF_01/2020</v>
          </cell>
          <cell r="C4823" t="str">
            <v>UN</v>
          </cell>
          <cell r="D4823">
            <v>967.99</v>
          </cell>
        </row>
        <row r="4824">
          <cell r="A4824" t="str">
            <v>93396</v>
          </cell>
          <cell r="B4824" t="str">
            <v>BANCADA GRANITO CINZA,  50 X 60 CM, INCL. CUBA DE EMBUTIR OVAL LOUÇA BRANCA 35 X 50 CM, VÁLVULA METAL CROMADO, SIFÃO FLEXÍVEL PVC, ENGATE 30 CM FLEXÍVEL PLÁSTICO E TORNEIRA CROMADA DE MESA, PADRÃO POPULAR - FORNEC. E INSTALAÇÃO. AF_01/2020</v>
          </cell>
          <cell r="C4824" t="str">
            <v>UN</v>
          </cell>
          <cell r="D4824">
            <v>490.1</v>
          </cell>
        </row>
        <row r="4825">
          <cell r="A4825" t="str">
            <v>93441</v>
          </cell>
          <cell r="B4825" t="str">
            <v>BANCADA GRANITO CINZA  150 X 60 CM, COM CUBA DE EMBUTIR DE AÇO, VÁLVULA AMERICANA EM METAL, SIFÃO FLEXÍVEL EM PVC, ENGATE FLEXÍVEL 30 CM, TORNEIRA CROMADA LONGA, DE PAREDE, 1/2 OU 3/4, P/ COZINHA, PADRÃO POPULAR - FORNEC. E INSTALAÇÃO. AF_01/2020</v>
          </cell>
          <cell r="C4825" t="str">
            <v>UN</v>
          </cell>
          <cell r="D4825">
            <v>740.21</v>
          </cell>
        </row>
        <row r="4826">
          <cell r="A4826" t="str">
            <v>93442</v>
          </cell>
          <cell r="B4826" t="str">
            <v>BANCADA MÁRMORE BRANCO 150 X 60 CM, COM CUBA DE EMBUTIR DE AÇO, VÁLVULA AMERICANA E SIFÃO TIPO GARRAFA EM METAL , ENGATE FLEXÍVEL 30 CM, TORNEIRA CROMADA, DE MESA, 1/2 OU 3/4, PARA PIA COZINHA, PADRÃO ALTO - FORNEC. E INSTALAÇÃO. AF_01/2020</v>
          </cell>
          <cell r="C4826" t="str">
            <v>UN</v>
          </cell>
          <cell r="D4826">
            <v>985.16</v>
          </cell>
        </row>
        <row r="4827">
          <cell r="A4827" t="str">
            <v>95469</v>
          </cell>
          <cell r="B4827" t="str">
            <v>VASO SANITARIO SIFONADO CONVENCIONAL COM  LOUÇA BRANCA - FORNECIMENTO E INSTALAÇÃO. AF_01/2020</v>
          </cell>
          <cell r="C4827" t="str">
            <v>UN</v>
          </cell>
          <cell r="D4827">
            <v>239.35</v>
          </cell>
        </row>
        <row r="4828">
          <cell r="A4828" t="str">
            <v>95470</v>
          </cell>
          <cell r="B4828" t="str">
            <v>VASO SANITARIO SIFONADO CONVENCIONAL COM LOUÇA BRANCA, INCLUSO CONJUNTO DE LIGAÇÃO PARA BACIA SANITÁRIA AJUSTÁVEL - FORNECIMENTO E INSTALAÇÃO. AF_10/2016</v>
          </cell>
          <cell r="C4828" t="str">
            <v>UN</v>
          </cell>
          <cell r="D4828">
            <v>249.19</v>
          </cell>
        </row>
        <row r="4829">
          <cell r="A4829" t="str">
            <v>95471</v>
          </cell>
          <cell r="B4829" t="str">
            <v>VASO SANITARIO SIFONADO CONVENCIONAL PARA PCD SEM FURO FRONTAL COM  LOUÇA BRANCA SEM ASSENTO -  FORNECIMENTO E INSTALAÇÃO. AF_01/2020</v>
          </cell>
          <cell r="C4829" t="str">
            <v>UN</v>
          </cell>
          <cell r="D4829">
            <v>613.11</v>
          </cell>
        </row>
        <row r="4830">
          <cell r="A4830" t="str">
            <v>95472</v>
          </cell>
          <cell r="B4830" t="str">
            <v>VASO SANITARIO SIFONADO CONVENCIONAL PARA PCD SEM FURO FRONTAL COM LOUÇA BRANCA SEM ASSENTO, INCLUSO CONJUNTO DE LIGAÇÃO PARA BACIA SANITÁRIA AJUSTÁVEL - FORNECIMENTO E INSTALAÇÃO. AF_01/2020</v>
          </cell>
          <cell r="C4830" t="str">
            <v>UN</v>
          </cell>
          <cell r="D4830">
            <v>622.95000000000005</v>
          </cell>
        </row>
        <row r="4831">
          <cell r="A4831" t="str">
            <v>95542</v>
          </cell>
          <cell r="B4831" t="str">
            <v>PORTA TOALHA ROSTO EM METAL CROMADO, TIPO ARGOLA, INCLUSO FIXAÇÃO. AF_01/2020</v>
          </cell>
          <cell r="C4831" t="str">
            <v>UN</v>
          </cell>
          <cell r="D4831">
            <v>27.69</v>
          </cell>
        </row>
        <row r="4832">
          <cell r="A4832" t="str">
            <v>95543</v>
          </cell>
          <cell r="B4832" t="str">
            <v>PORTA TOALHA BANHO EM METAL CROMADO, TIPO BARRA, INCLUSO FIXAÇÃO. AF_01/2020</v>
          </cell>
          <cell r="C4832" t="str">
            <v>UN</v>
          </cell>
          <cell r="D4832">
            <v>47</v>
          </cell>
        </row>
        <row r="4833">
          <cell r="A4833" t="str">
            <v>95544</v>
          </cell>
          <cell r="B4833" t="str">
            <v>PAPELEIRA DE PAREDE EM METAL CROMADO SEM TAMPA, INCLUSO FIXAÇÃO. AF_01/2020</v>
          </cell>
          <cell r="C4833" t="str">
            <v>UN</v>
          </cell>
          <cell r="D4833">
            <v>33.549999999999997</v>
          </cell>
        </row>
        <row r="4834">
          <cell r="A4834" t="str">
            <v>95545</v>
          </cell>
          <cell r="B4834" t="str">
            <v>SABONETEIRA DE PAREDE EM METAL CROMADO, INCLUSO FIXAÇÃO. AF_01/2020</v>
          </cell>
          <cell r="C4834" t="str">
            <v>UN</v>
          </cell>
          <cell r="D4834">
            <v>32.93</v>
          </cell>
        </row>
        <row r="4835">
          <cell r="A4835" t="str">
            <v>95546</v>
          </cell>
          <cell r="B4835" t="str">
            <v>KIT DE ACESSORIOS PARA BANHEIRO EM METAL CROMADO, 5 PECAS, INCLUSO FIXAÇÃO. AF_01/2020</v>
          </cell>
          <cell r="C4835" t="str">
            <v>UN</v>
          </cell>
          <cell r="D4835">
            <v>116.24</v>
          </cell>
        </row>
        <row r="4836">
          <cell r="A4836" t="str">
            <v>95547</v>
          </cell>
          <cell r="B4836" t="str">
            <v>SABONETEIRA PLASTICA TIPO DISPENSER PARA SABONETE LIQUIDO COM RESERVATORIO 800 A 1500 ML, INCLUSO FIXAÇÃO. AF_01/2020</v>
          </cell>
          <cell r="C4836" t="str">
            <v>UN</v>
          </cell>
          <cell r="D4836">
            <v>74.13</v>
          </cell>
        </row>
        <row r="4837">
          <cell r="A4837" t="str">
            <v>100848</v>
          </cell>
          <cell r="B4837" t="str">
            <v>VASO SANITÁRIO INFANTIL LOUÇA BRANCA - FORNECIMENTO E INSTALACAO. AF_01/2020</v>
          </cell>
          <cell r="C4837" t="str">
            <v>UN</v>
          </cell>
          <cell r="D4837">
            <v>440.8</v>
          </cell>
        </row>
        <row r="4838">
          <cell r="A4838" t="str">
            <v>100849</v>
          </cell>
          <cell r="B4838" t="str">
            <v>ASSENTO SANITÁRIO CONVENCIONAL - FORNECIMENTO E INSTALACAO. AF_01/2020</v>
          </cell>
          <cell r="C4838" t="str">
            <v>UN</v>
          </cell>
          <cell r="D4838">
            <v>44.04</v>
          </cell>
        </row>
        <row r="4839">
          <cell r="A4839" t="str">
            <v>100851</v>
          </cell>
          <cell r="B4839" t="str">
            <v>ASSENTO SANITÁRIO INFANTIL - FORNECIMENTO E INSTALACAO. AF_01/2020</v>
          </cell>
          <cell r="C4839" t="str">
            <v>UN</v>
          </cell>
          <cell r="D4839">
            <v>88.95</v>
          </cell>
        </row>
        <row r="4840">
          <cell r="A4840" t="str">
            <v>100852</v>
          </cell>
          <cell r="B4840" t="str">
            <v>CUBA DE EMBUTIR RETANGULAR DE AÇO INOXIDÁVEL, 56 X 33 X 12 CM - FORNECIMENTO E INSTALAÇÃO. AF_01/2020</v>
          </cell>
          <cell r="C4840" t="str">
            <v>UN</v>
          </cell>
          <cell r="D4840">
            <v>205.47</v>
          </cell>
        </row>
        <row r="4841">
          <cell r="A4841" t="str">
            <v>100853</v>
          </cell>
          <cell r="B4841" t="str">
            <v>TORNEIRA CROMADA DE MESA PARA LAVATORIO, TIPO MONOCOMANDO. AF_01/2020</v>
          </cell>
          <cell r="C4841" t="str">
            <v>UN</v>
          </cell>
          <cell r="D4841">
            <v>237.46</v>
          </cell>
        </row>
        <row r="4842">
          <cell r="A4842" t="str">
            <v>100854</v>
          </cell>
          <cell r="B4842" t="str">
            <v>TORNEIRA CROMADA DE MESA PARA LAVATÓRIO COM SENSOR DE PRESENCA. AF_01/2020</v>
          </cell>
          <cell r="C4842" t="str">
            <v>UN</v>
          </cell>
          <cell r="D4842">
            <v>1227.7</v>
          </cell>
        </row>
        <row r="4843">
          <cell r="A4843" t="str">
            <v>100855</v>
          </cell>
          <cell r="B4843" t="str">
            <v>SABONETEIRA DE PAREDE EM PLASTICO ABS COM ACABAMENTO CROMADO E ACRILICO, INCLUSO FIXAÇÃO. AF_01/2020</v>
          </cell>
          <cell r="C4843" t="str">
            <v>UN</v>
          </cell>
          <cell r="D4843">
            <v>32.93</v>
          </cell>
        </row>
        <row r="4844">
          <cell r="A4844" t="str">
            <v>100856</v>
          </cell>
          <cell r="B4844" t="str">
            <v>MANOPLA E CANOPLA CROMADA  FORNECIMENTO E INSTALAÇÃO. AF_01/2020</v>
          </cell>
          <cell r="C4844" t="str">
            <v>UN</v>
          </cell>
          <cell r="D4844">
            <v>26.46</v>
          </cell>
        </row>
        <row r="4845">
          <cell r="A4845" t="str">
            <v>100857</v>
          </cell>
          <cell r="B4845" t="str">
            <v>ACABAMENTO MONOCOMANDO PARA CHUVEIRO  FORNECIMENTO E INSTALAÇÃO. AF_01/2020</v>
          </cell>
          <cell r="C4845" t="str">
            <v>UN</v>
          </cell>
          <cell r="D4845">
            <v>360.65</v>
          </cell>
        </row>
        <row r="4846">
          <cell r="A4846" t="str">
            <v>100858</v>
          </cell>
          <cell r="B4846" t="str">
            <v>MICTÓRIO SIFONADO LOUÇA BRANCA  PADRÃO MÉDIO  FORNECIMENTO E INSTALAÇÃO. AF_01/2020</v>
          </cell>
          <cell r="C4846" t="str">
            <v>UN</v>
          </cell>
          <cell r="D4846">
            <v>538.34</v>
          </cell>
        </row>
        <row r="4847">
          <cell r="A4847" t="str">
            <v>100859</v>
          </cell>
          <cell r="B4847" t="str">
            <v>MICTÓRIO SIFONADO LOUÇA BRANCA PARA ENTRADA DE ÁGUA EMBUTIDA  PADRÃO ALTO  FORNECIMENTO E INSTALAÇÃO. AF_01/2020</v>
          </cell>
          <cell r="C4847" t="str">
            <v>UN</v>
          </cell>
          <cell r="D4847">
            <v>808.85</v>
          </cell>
        </row>
        <row r="4848">
          <cell r="A4848" t="str">
            <v>100860</v>
          </cell>
          <cell r="B4848" t="str">
            <v>CHUVEIRO ELÉTRICO COMUM CORPO PLÁSTICO, TIPO DUCHA  FORNECIMENTO E INSTALAÇÃO. AF_01/2020</v>
          </cell>
          <cell r="C4848" t="str">
            <v>UN</v>
          </cell>
          <cell r="D4848">
            <v>78.92</v>
          </cell>
        </row>
        <row r="4849">
          <cell r="A4849" t="str">
            <v>100861</v>
          </cell>
          <cell r="B4849" t="str">
            <v>SUPORTE MÃO FRANCESA EM AÇO, ABAS IGUAIS 30 CM, CAPACIDADE MINIMA 60 KG, BRANCO - FORNECIMENTO E INSTALAÇÃO. AF_01/2020</v>
          </cell>
          <cell r="C4849" t="str">
            <v>UN</v>
          </cell>
          <cell r="D4849">
            <v>45.28</v>
          </cell>
        </row>
        <row r="4850">
          <cell r="A4850" t="str">
            <v>100862</v>
          </cell>
          <cell r="B4850" t="str">
            <v>SUPORTE MÃO FRANCESA EM ACO, ABAS IGUAIS 40 CM, CAPACIDADE MINIMA 70 KG, BRANCO - FORNECIMENTO E INSTALAÇÃO. AF_01/2020</v>
          </cell>
          <cell r="C4850" t="str">
            <v>UN</v>
          </cell>
          <cell r="D4850">
            <v>51.41</v>
          </cell>
        </row>
        <row r="4851">
          <cell r="A4851" t="str">
            <v>100863</v>
          </cell>
          <cell r="B4851" t="str">
            <v>BARRA DE APOIO EM "L", EM ACO INOX POLIDO 70 X 70 CM, FIXADA NA PAREDE - FORNECIMENTO E INSTALACAO. AF_01/2020</v>
          </cell>
          <cell r="C4851" t="str">
            <v>UN</v>
          </cell>
          <cell r="D4851">
            <v>499.69</v>
          </cell>
        </row>
        <row r="4852">
          <cell r="A4852" t="str">
            <v>100864</v>
          </cell>
          <cell r="B4852" t="str">
            <v>BARRA DE APOIO EM "L", EM ACO INOX POLIDO 80 X 80 CM, FIXADA NA PAREDE - FORNECIMENTO E INSTALACAO. AF_01/2020</v>
          </cell>
          <cell r="C4852" t="str">
            <v>UN</v>
          </cell>
          <cell r="D4852">
            <v>548.53</v>
          </cell>
        </row>
        <row r="4853">
          <cell r="A4853" t="str">
            <v>100865</v>
          </cell>
          <cell r="B4853" t="str">
            <v>BARRA DE APOIO LATERAL ARTICULADA, COM TRAVA, EM ACO INOX POLIDO, FIXADA NA PAREDE - FORNECIMENTO E INSTALAÇÃO. AF_01/2020</v>
          </cell>
          <cell r="C4853" t="str">
            <v>UN</v>
          </cell>
          <cell r="D4853">
            <v>485.8</v>
          </cell>
        </row>
        <row r="4854">
          <cell r="A4854" t="str">
            <v>100866</v>
          </cell>
          <cell r="B4854" t="str">
            <v>BARRA DE APOIO RETA, EM ACO INOX POLIDO, COMPRIMENTO 60CM, FIXADA NA PAREDE - FORNECIMENTO E INSTALAÇÃO. AF_01/2020</v>
          </cell>
          <cell r="C4854" t="str">
            <v>UN</v>
          </cell>
          <cell r="D4854">
            <v>258.25</v>
          </cell>
        </row>
        <row r="4855">
          <cell r="A4855" t="str">
            <v>100867</v>
          </cell>
          <cell r="B4855" t="str">
            <v>BARRA DE APOIO RETA, EM ACO INOX POLIDO, COMPRIMENTO 70 CM,  FIXADA NA PAREDE - FORNECIMENTO E INSTALAÇÃO. AF_01/2020</v>
          </cell>
          <cell r="C4855" t="str">
            <v>UN</v>
          </cell>
          <cell r="D4855">
            <v>274.35000000000002</v>
          </cell>
        </row>
        <row r="4856">
          <cell r="A4856" t="str">
            <v>100868</v>
          </cell>
          <cell r="B4856" t="str">
            <v>BARRA DE APOIO RETA, EM ACO INOX POLIDO, COMPRIMENTO 80 CM,  FIXADA NA PAREDE - FORNECIMENTO E INSTALAÇÃO. AF_01/2020</v>
          </cell>
          <cell r="C4856" t="str">
            <v>UN</v>
          </cell>
          <cell r="D4856">
            <v>285.07</v>
          </cell>
        </row>
        <row r="4857">
          <cell r="A4857" t="str">
            <v>100869</v>
          </cell>
          <cell r="B4857" t="str">
            <v>BARRA DE APOIO RETA, EM ACO INOX POLIDO, COMPRIMENTO 90 CM,  FIXADA NA PAREDE - FORNECIMENTO E INSTALAÇÃO. AF_01/2020</v>
          </cell>
          <cell r="C4857" t="str">
            <v>UN</v>
          </cell>
          <cell r="D4857">
            <v>293.29000000000002</v>
          </cell>
        </row>
        <row r="4858">
          <cell r="A4858" t="str">
            <v>100870</v>
          </cell>
          <cell r="B4858" t="str">
            <v>BARRA DE APOIO RETA, EM ALUMINIO, COMPRIMENTO 60 CM,  FIXADA NA PAREDE - FORNECIMENTO E INSTALAÇÃO. AF_01/2020</v>
          </cell>
          <cell r="C4858" t="str">
            <v>UN</v>
          </cell>
          <cell r="D4858">
            <v>239.84</v>
          </cell>
        </row>
        <row r="4859">
          <cell r="A4859" t="str">
            <v>100871</v>
          </cell>
          <cell r="B4859" t="str">
            <v>BARRA DE APOIO RETA, EM ALUMINIO, COMPRIMENTO 70 CM,  FIXADA NA PAREDE - FORNECIMENTO E INSTALAÇÃO. AF_01/2020</v>
          </cell>
          <cell r="C4859" t="str">
            <v>UN</v>
          </cell>
          <cell r="D4859">
            <v>258.51</v>
          </cell>
        </row>
        <row r="4860">
          <cell r="A4860" t="str">
            <v>100872</v>
          </cell>
          <cell r="B4860" t="str">
            <v>BARRA DE APOIO RETA, EM ALUMINIO, COMPRIMENTO 80 CM,  FIXADA NA PAREDE - FORNECIMENTO E INSTALAÇÃO. AF_01/2020</v>
          </cell>
          <cell r="C4860" t="str">
            <v>UN</v>
          </cell>
          <cell r="D4860">
            <v>270.42</v>
          </cell>
        </row>
        <row r="4861">
          <cell r="A4861" t="str">
            <v>100873</v>
          </cell>
          <cell r="B4861" t="str">
            <v>BARRA DE APOIO RETA, EM ALUMINIO, COMPRIMENTO 90 CM,  FIXADA NA PAREDE - FORNECIMENTO E INSTALAÇÃO. AF_01/2020</v>
          </cell>
          <cell r="C4861" t="str">
            <v>UN</v>
          </cell>
          <cell r="D4861">
            <v>277.86</v>
          </cell>
        </row>
        <row r="4862">
          <cell r="A4862" t="str">
            <v>100874</v>
          </cell>
          <cell r="B4862" t="str">
            <v>PUXADOR PARA PCD, FIXADO NA PORTA - FORNECIMENTO E INSTALAÇÃO. AF_01/2020</v>
          </cell>
          <cell r="C4862" t="str">
            <v>UN</v>
          </cell>
          <cell r="D4862">
            <v>258.25</v>
          </cell>
        </row>
        <row r="4863">
          <cell r="A4863" t="str">
            <v>100875</v>
          </cell>
          <cell r="B4863" t="str">
            <v>BANCO ARTICULADO, EM ACO INOX, PARA PCD, FIXADO NA PAREDE - FORNECIMENTO E INSTALAÇÃO. AF_01/2020</v>
          </cell>
          <cell r="C4863" t="str">
            <v>UN</v>
          </cell>
          <cell r="D4863">
            <v>896.93</v>
          </cell>
        </row>
        <row r="4864">
          <cell r="A4864" t="str">
            <v>100878</v>
          </cell>
          <cell r="B4864" t="str">
            <v>VASO SANITÁRIO SIFONADO COM CAIXA ACOPLADA, LOUÇA BRANCA - PADRÃO ALTO - FORNECIMENTO E INSTALAÇÃO. AF_01/2020</v>
          </cell>
          <cell r="C4864" t="str">
            <v>UN</v>
          </cell>
          <cell r="D4864">
            <v>524.92999999999995</v>
          </cell>
        </row>
        <row r="4865">
          <cell r="A4865" t="str">
            <v>98052</v>
          </cell>
          <cell r="B4865" t="str">
            <v>TANQUE SÉPTICO CIRCULAR, EM CONCRETO PRÉ-MOLDADO, DIÂMETRO INTERNO = 1,10 M, ALTURA INTERNA = 2,50 M, VOLUME ÚTIL: 2138,2 L (PARA 5 CONTRIBUINTES). AF_12/2020</v>
          </cell>
          <cell r="C4865" t="str">
            <v>UN</v>
          </cell>
          <cell r="D4865">
            <v>1633.12</v>
          </cell>
        </row>
        <row r="4866">
          <cell r="A4866" t="str">
            <v>98053</v>
          </cell>
          <cell r="B4866" t="str">
            <v>TANQUE SÉPTICO CIRCULAR, EM CONCRETO PRÉ-MOLDADO, DIÂMETRO INTERNO = 1,40 M, ALTURA INTERNA = 2,50 M, VOLUME ÚTIL: 3463,6 L (PARA 13 CONTRIBUINTES). AF_12/2020</v>
          </cell>
          <cell r="C4866" t="str">
            <v>UN</v>
          </cell>
          <cell r="D4866">
            <v>2224.71</v>
          </cell>
        </row>
        <row r="4867">
          <cell r="A4867" t="str">
            <v>98054</v>
          </cell>
          <cell r="B4867" t="str">
            <v>TANQUE SÉPTICO CIRCULAR, EM CONCRETO PRÉ-MOLDADO, DIÂMETRO INTERNO = 1,88 M, ALTURA INTERNA = 2,50 M, VOLUME ÚTIL: 6245,8 L (PARA 32 CONTRIBUINTES). AF_12/2020</v>
          </cell>
          <cell r="C4867" t="str">
            <v>UN</v>
          </cell>
          <cell r="D4867">
            <v>3508.18</v>
          </cell>
        </row>
        <row r="4868">
          <cell r="A4868" t="str">
            <v>98055</v>
          </cell>
          <cell r="B4868" t="str">
            <v>TANQUE SÉPTICO CIRCULAR, EM CONCRETO PRÉ-MOLDADO, DIÂMETRO INTERNO = 2,38 M, ALTURA INTERNA = 2,50 M, VOLUME ÚTIL: 10009,8 L (PARA 69 CONTRIBUINTES). AF_12/2020</v>
          </cell>
          <cell r="C4868" t="str">
            <v>UN</v>
          </cell>
          <cell r="D4868">
            <v>4750.34</v>
          </cell>
        </row>
        <row r="4869">
          <cell r="A4869" t="str">
            <v>98056</v>
          </cell>
          <cell r="B4869" t="str">
            <v>TANQUE SÉPTICO CIRCULAR, EM CONCRETO PRÉ-MOLDADO, DIÂMETRO INTERNO = 2,38 M, ALTURA INTERNA = 3,0 M, VOLUME ÚTIL: 12234,2 L (PARA 86 CONTRIBUINTES). AF_12/2020</v>
          </cell>
          <cell r="C4869" t="str">
            <v>UN</v>
          </cell>
          <cell r="D4869">
            <v>5506.73</v>
          </cell>
        </row>
        <row r="4870">
          <cell r="A4870" t="str">
            <v>98057</v>
          </cell>
          <cell r="B4870" t="str">
            <v>TANQUE SÉPTICO CIRCULAR, EM CONCRETO PRÉ-MOLDADO, DIÂMETRO INTERNO = 2,88 M, ALTURA INTERNA = 2,50 M, VOLUME ÚTIL: 14657,4 L (PARA 105 CONTRIBUINTES). AF_12/2020</v>
          </cell>
          <cell r="C4870" t="str">
            <v>UN</v>
          </cell>
          <cell r="D4870">
            <v>6518.92</v>
          </cell>
        </row>
        <row r="4871">
          <cell r="A4871" t="str">
            <v>98058</v>
          </cell>
          <cell r="B4871" t="str">
            <v>FILTRO ANAERÓBIO CIRCULAR, EM CONCRETO PRÉ-MOLDADO, DIÂMETRO INTERNO = 1,10 M, ALTURA INTERNA = 1,50 M, VOLUME ÚTIL: 1140,4 L (PARA 5 CONTRIBUINTES). AF_12/2020</v>
          </cell>
          <cell r="C4871" t="str">
            <v>UN</v>
          </cell>
          <cell r="D4871">
            <v>1455.69</v>
          </cell>
        </row>
        <row r="4872">
          <cell r="A4872" t="str">
            <v>98059</v>
          </cell>
          <cell r="B4872" t="str">
            <v>FILTRO ANAERÓBIO CIRCULAR, EM CONCRETO PRÉ-MOLDADO, DIÂMETRO INTERNO = 1,88 M, ALTURA INTERNA = 1,50 M, VOLUME ÚTIL: 3331,1 L (PARA 19 CONTRIBUINTES). AF_12/2020</v>
          </cell>
          <cell r="C4872" t="str">
            <v>UN</v>
          </cell>
          <cell r="D4872">
            <v>3070.06</v>
          </cell>
        </row>
        <row r="4873">
          <cell r="A4873" t="str">
            <v>98060</v>
          </cell>
          <cell r="B4873" t="str">
            <v>FILTRO ANAERÓBIO CIRCULAR, EM CONCRETO PRÉ-MOLDADO, DIÂMETRO INTERNO = 2,38 M, ALTURA INTERNA = 1,50 M, VOLUME ÚTIL: 5338,6 L (PARA 34 CONTRIBUINTES). AF_12/2020</v>
          </cell>
          <cell r="C4873" t="str">
            <v>UN</v>
          </cell>
          <cell r="D4873">
            <v>4298.99</v>
          </cell>
        </row>
        <row r="4874">
          <cell r="A4874" t="str">
            <v>98061</v>
          </cell>
          <cell r="B4874" t="str">
            <v>FILTRO ANAERÓBIO CIRCULAR, EM CONCRETO PRÉ-MOLDADO, DIÂMETRO INTERNO = 2,88 M, ALTURA INTERNA = 1,50 M, VOLUME ÚTIL: 7817,3 L (PARA 75 CONTRIBUINTES). AF_12/2020</v>
          </cell>
          <cell r="C4874" t="str">
            <v>UN</v>
          </cell>
          <cell r="D4874">
            <v>5954.02</v>
          </cell>
        </row>
        <row r="4875">
          <cell r="A4875" t="str">
            <v>98062</v>
          </cell>
          <cell r="B4875" t="str">
            <v>SUMIDOURO CIRCULAR, EM CONCRETO PRÉ-MOLDADO, DIÂMETRO INTERNO = 1,88 M, ALTURA INTERNA = 2,00 M, ÁREA DE INFILTRAÇÃO: 13,1 M² (PARA 5 CONTRIBUINTES). AF_12/2020</v>
          </cell>
          <cell r="C4875" t="str">
            <v>UN</v>
          </cell>
          <cell r="D4875">
            <v>2256.8200000000002</v>
          </cell>
        </row>
        <row r="4876">
          <cell r="A4876" t="str">
            <v>98063</v>
          </cell>
          <cell r="B4876" t="str">
            <v>SUMIDOURO CIRCULAR, EM CONCRETO PRÉ-MOLDADO, DIÂMETRO INTERNO = 2,38 M, ALTURA INTERNA = 2,50 M, ÁREA DE INFILTRAÇÃO: 21,3 M² (PARA 8 CONTRIBUINTES). AF_12/2020</v>
          </cell>
          <cell r="C4876" t="str">
            <v>UN</v>
          </cell>
          <cell r="D4876">
            <v>3427.91</v>
          </cell>
        </row>
        <row r="4877">
          <cell r="A4877" t="str">
            <v>98064</v>
          </cell>
          <cell r="B4877" t="str">
            <v>SUMIDOURO CIRCULAR, EM CONCRETO PRÉ-MOLDADO, DIÂMETRO INTERNO = 2,38 M, ALTURA INTERNA = 3,0 M, ÁREA DE INFILTRAÇÃO: 25 M² (PARA 10 CONTRIBUINTES). AF_12/2020</v>
          </cell>
          <cell r="C4877" t="str">
            <v>UN</v>
          </cell>
          <cell r="D4877">
            <v>3923.53</v>
          </cell>
        </row>
        <row r="4878">
          <cell r="A4878" t="str">
            <v>98065</v>
          </cell>
          <cell r="B4878" t="str">
            <v>SUMIDOURO CIRCULAR, EM CONCRETO PRÉ-MOLDADO, DIÂMETRO INTERNO = 2,88 M, ALTURA INTERNA = 3,0 M, ÁREA DE INFILTRAÇÃO: 31,4 M² (PARA 12 CONTRIBUINTES). AF_12/2020</v>
          </cell>
          <cell r="C4878" t="str">
            <v>UN</v>
          </cell>
          <cell r="D4878">
            <v>5414.22</v>
          </cell>
        </row>
        <row r="4879">
          <cell r="A4879" t="str">
            <v>98066</v>
          </cell>
          <cell r="B4879" t="str">
            <v>TANQUE SÉPTICO RETANGULAR, EM ALVENARIA COM TIJOLOS CERÂMICOS MACIÇOS, DIMENSÕES INTERNAS: 1,0 X 2,0 X 1,4 M, VOLUME ÚTIL: 2000 L (PARA 5 CONTRIBUINTES). AF_12/2020</v>
          </cell>
          <cell r="C4879" t="str">
            <v>UN</v>
          </cell>
          <cell r="D4879">
            <v>4670.1000000000004</v>
          </cell>
        </row>
        <row r="4880">
          <cell r="A4880" t="str">
            <v>98067</v>
          </cell>
          <cell r="B4880" t="str">
            <v>TANQUE SÉPTICO RETANGULAR, EM ALVENARIA COM TIJOLOS CERÂMICOS MACIÇOS, DIMENSÕES INTERNAS: 1,2 X 2,4 X 1,6 M, VOLUME ÚTIL: 3456 L (PARA 13 CONTRIBUINTES). AF_12/2020</v>
          </cell>
          <cell r="C4880" t="str">
            <v>UN</v>
          </cell>
          <cell r="D4880">
            <v>6227</v>
          </cell>
        </row>
        <row r="4881">
          <cell r="A4881" t="str">
            <v>98068</v>
          </cell>
          <cell r="B4881" t="str">
            <v>TANQUE SÉPTICO RETANGULAR, EM ALVENARIA COM TIJOLOS CERÂMICOS MACIÇOS, DIMENSÕES INTERNAS: 1,4 X 3,2 X 1,8 M, VOLUME ÚTIL: 6272 L (PARA 32 CONTRIBUINTES). AF_12/2020</v>
          </cell>
          <cell r="C4881" t="str">
            <v>UN</v>
          </cell>
          <cell r="D4881">
            <v>8793.3700000000008</v>
          </cell>
        </row>
        <row r="4882">
          <cell r="A4882" t="str">
            <v>98069</v>
          </cell>
          <cell r="B4882" t="str">
            <v>TANQUE SÉPTICO RETANGULAR, EM ALVENARIA COM TIJOLOS CERÂMICOS MACIÇOS, DIMENSÕES INTERNAS: 1,6 X 4,4 X 1,8 M, VOLUME ÚTIL: 9856 L (PARA 68 CONTRIBUINTES). AF_12/2020</v>
          </cell>
          <cell r="C4882" t="str">
            <v>UN</v>
          </cell>
          <cell r="D4882">
            <v>11799.94</v>
          </cell>
        </row>
        <row r="4883">
          <cell r="A4883" t="str">
            <v>98070</v>
          </cell>
          <cell r="B4883" t="str">
            <v>TANQUE SÉPTICO RETANGULAR, EM ALVENARIA COM TIJOLOS CERÂMICOS MACIÇOS, DIMENSÕES INTERNAS: 1,6 X 4,8 X 2,0 M, VOLUME ÚTIL: 12288 L (PARA 86 CONTRIBUINTES). AF_12/2020</v>
          </cell>
          <cell r="C4883" t="str">
            <v>UN</v>
          </cell>
          <cell r="D4883">
            <v>13498.87</v>
          </cell>
        </row>
        <row r="4884">
          <cell r="A4884" t="str">
            <v>98071</v>
          </cell>
          <cell r="B4884" t="str">
            <v>TANQUE SÉPTICO RETANGULAR, EM ALVENARIA COM TIJOLOS CERÂMICOS MACIÇOS, DIMENSÕES INTERNAS: 1,6 X 4,6 X 2,4 M, VOLUME ÚTIL: 14720 L (PARA 105 CONTRIBUINTES). AF_12/2020</v>
          </cell>
          <cell r="C4884" t="str">
            <v>UN</v>
          </cell>
          <cell r="D4884">
            <v>14768.68</v>
          </cell>
        </row>
        <row r="4885">
          <cell r="A4885" t="str">
            <v>98072</v>
          </cell>
          <cell r="B4885" t="str">
            <v>FILTRO ANAERÓBIO RETANGULAR, EM ALVENARIA COM TIJOLOS CERÂMICOS MACIÇOS, DIMENSÕES INTERNAS: 0,8 X 1,2 X 1,67 M, VOLUME ÚTIL: 1152 L (PARA 5 CONTRIBUINTES). AF_12/2020</v>
          </cell>
          <cell r="C4885" t="str">
            <v>UN</v>
          </cell>
          <cell r="D4885">
            <v>3925.86</v>
          </cell>
        </row>
        <row r="4886">
          <cell r="A4886" t="str">
            <v>98073</v>
          </cell>
          <cell r="B4886" t="str">
            <v>FILTRO ANAERÓBIO RETANGULAR, EM ALVENARIA COM TIJOLOS CERÂMICOS MACIÇOS, DIMENSÕES INTERNAS: 1,2 X 1,8 X 1,67 M, VOLUME ÚTIL: 2592 L (PARA 13 CONTRIBUINTES). AF_12/2020</v>
          </cell>
          <cell r="C4886" t="str">
            <v>UN</v>
          </cell>
          <cell r="D4886">
            <v>6126.47</v>
          </cell>
        </row>
        <row r="4887">
          <cell r="A4887" t="str">
            <v>98074</v>
          </cell>
          <cell r="B4887" t="str">
            <v>FILTRO ANAERÓBIO RETANGULAR, EM ALVENARIA COM TIJOLOS CERÂMICOS MACIÇOS, DIMENSÕES INTERNAS: 1,4 X 3,0 X 1,67 M, VOLUME ÚTIL: 5040 L (PARA 32 CONTRIBUINTES). AF_12/2020</v>
          </cell>
          <cell r="C4887" t="str">
            <v>UN</v>
          </cell>
          <cell r="D4887">
            <v>9499.07</v>
          </cell>
        </row>
        <row r="4888">
          <cell r="A4888" t="str">
            <v>98075</v>
          </cell>
          <cell r="B4888" t="str">
            <v>FILTRO ANAERÓBIO RETANGULAR, EM ALVENARIA COM TIJOLOS CERÂMICOS MACIÇOS, DIMENSÕES INTERNAS: 1,4 X 4,2 X 1,67 M, VOLUME ÚTIL: 7056 L (PARA 67 CONTRIBUINTES). AF_12/2020</v>
          </cell>
          <cell r="C4888" t="str">
            <v>UN</v>
          </cell>
          <cell r="D4888">
            <v>12343.59</v>
          </cell>
        </row>
        <row r="4889">
          <cell r="A4889" t="str">
            <v>98076</v>
          </cell>
          <cell r="B4889" t="str">
            <v>FILTRO ANAERÓBIO RETANGULAR, EM ALVENARIA COM TIJOLOS CERÂMICOS MACIÇOS, DIMENSÕES INTERNAS: 1,6 X 4,6 X 1,67 M, VOLUME ÚTIL: 8832 L (PARA 84 CONTRIBUINTES). AF_12/2020</v>
          </cell>
          <cell r="C4889" t="str">
            <v>UN</v>
          </cell>
          <cell r="D4889">
            <v>14218.36</v>
          </cell>
        </row>
        <row r="4890">
          <cell r="A4890" t="str">
            <v>98077</v>
          </cell>
          <cell r="B4890" t="str">
            <v>FILTRO ANAERÓBIO RETANGULAR, EM ALVENARIA COM TIJOLOS CERÂMICOS MACIÇOS, DIMENSÕES INTERNAS: 1,6 X 5,6 X 1,67 M, VOLUME ÚTIL: 10752 L (PARA 103 CONTRIBUINTES). AF_12/2020</v>
          </cell>
          <cell r="C4890" t="str">
            <v>UN</v>
          </cell>
          <cell r="D4890">
            <v>16733.89</v>
          </cell>
        </row>
        <row r="4891">
          <cell r="A4891" t="str">
            <v>98078</v>
          </cell>
          <cell r="B4891" t="str">
            <v>SUMIDOURO RETANGULAR, EM ALVENARIA COM TIJOLOS CERÂMICOS MACIÇOS, DIMENSÕES INTERNAS: 0,8 X 1,4 X 3,0 M, ÁREA DE INFILTRAÇÃO: 13,2 M² (PARA 5 CONTRIBUINTES). AF_12/2020</v>
          </cell>
          <cell r="C4891" t="str">
            <v>UN</v>
          </cell>
          <cell r="D4891">
            <v>3865.45</v>
          </cell>
        </row>
        <row r="4892">
          <cell r="A4892" t="str">
            <v>98079</v>
          </cell>
          <cell r="B4892" t="str">
            <v>SUMIDOURO RETANGULAR, EM ALVENARIA COM TIJOLOS CERÂMICOS MACIÇOS, DIMENSÕES INTERNAS: 1,0 X 3,0 X 3,0 M, ÁREA DE INFILTRAÇÃO: 25 M² (PARA 10 CONTRIBUINTES). AF_12/2020</v>
          </cell>
          <cell r="C4892" t="str">
            <v>UN</v>
          </cell>
          <cell r="D4892">
            <v>6784.51</v>
          </cell>
        </row>
        <row r="4893">
          <cell r="A4893" t="str">
            <v>98080</v>
          </cell>
          <cell r="B4893" t="str">
            <v>SUMIDOURO RETANGULAR, EM ALVENARIA COM TIJOLOS CERÂMICOS MACIÇOS, DIMENSÕES INTERNAS: 1,6 X 3,4 X 3,0 M, ÁREA DE INFILTRAÇÃO: 32,9 M² (PARA 13 CONTRIBUINTES). AF_12/2020</v>
          </cell>
          <cell r="C4893" t="str">
            <v>UN</v>
          </cell>
          <cell r="D4893">
            <v>8742.9</v>
          </cell>
        </row>
        <row r="4894">
          <cell r="A4894" t="str">
            <v>98081</v>
          </cell>
          <cell r="B4894" t="str">
            <v>SUMIDOURO RETANGULAR, EM ALVENARIA COM TIJOLOS CERÂMICOS MACIÇOS, DIMENSÕES INTERNAS: 1,6 X 5,8 X 3,0 M, ÁREA DE INFILTRAÇÃO: 50 M² (PARA 20 CONTRIBUINTES). AF_12/2020</v>
          </cell>
          <cell r="C4894" t="str">
            <v>UN</v>
          </cell>
          <cell r="D4894">
            <v>12966.73</v>
          </cell>
        </row>
        <row r="4895">
          <cell r="A4895" t="str">
            <v>98082</v>
          </cell>
          <cell r="B4895" t="str">
            <v>TANQUE SÉPTICO RETANGULAR, EM ALVENARIA COM BLOCOS DE CONCRETO, DIMENSÕES INTERNAS: 1,0 X 2,0 X 1,4 M, VOLUME ÚTIL: 2000 L (PARA 5 CONTRIBUINTES). AF_12/2020</v>
          </cell>
          <cell r="C4895" t="str">
            <v>UN</v>
          </cell>
          <cell r="D4895">
            <v>3590.1</v>
          </cell>
        </row>
        <row r="4896">
          <cell r="A4896" t="str">
            <v>98083</v>
          </cell>
          <cell r="B4896" t="str">
            <v>TANQUE SÉPTICO RETANGULAR, EM ALVENARIA COM BLOCOS DE CONCRETO, DIMENSÕES INTERNAS: 1,2 X 2,4 X 1,6 M, VOLUME ÚTIL: 3456 L (PARA 13 CONTRIBUINTES). AF_12/2020</v>
          </cell>
          <cell r="C4896" t="str">
            <v>UN</v>
          </cell>
          <cell r="D4896">
            <v>4736.5</v>
          </cell>
        </row>
        <row r="4897">
          <cell r="A4897" t="str">
            <v>98084</v>
          </cell>
          <cell r="B4897" t="str">
            <v>TANQUE SÉPTICO RETANGULAR, EM ALVENARIA COM BLOCOS DE CONCRETO, DIMENSÕES INTERNAS: 1,4 X 3,2 X 1,8 M, VOLUME ÚTIL: 6272 L (PARA 32 CONTRIBUINTES). AF_12/2020</v>
          </cell>
          <cell r="C4897" t="str">
            <v>UN</v>
          </cell>
          <cell r="D4897">
            <v>6643.09</v>
          </cell>
        </row>
        <row r="4898">
          <cell r="A4898" t="str">
            <v>98085</v>
          </cell>
          <cell r="B4898" t="str">
            <v>TANQUE SÉPTICO RETANGULAR, EM ALVENARIA COM BLOCOS DE CONCRETO, DIMENSÕES INTERNAS: 1,6 X 4,4 X 1,8 M, VOLUME ÚTIL: 9856 L (PARA 68 CONTRIBUINTES). AF_12/2020</v>
          </cell>
          <cell r="C4898" t="str">
            <v>UN</v>
          </cell>
          <cell r="D4898">
            <v>9008.66</v>
          </cell>
        </row>
        <row r="4899">
          <cell r="A4899" t="str">
            <v>98086</v>
          </cell>
          <cell r="B4899" t="str">
            <v>TANQUE SÉPTICO RETANGULAR, EM ALVENARIA COM BLOCOS DE CONCRETO, DIMENSÕES INTERNAS: 1,6 X 4,8 X 2,0 M, VOLUME ÚTIL: 12288 L (PARA 86 CONTRIBUINTES). AF_12/2020</v>
          </cell>
          <cell r="C4899" t="str">
            <v>UN</v>
          </cell>
          <cell r="D4899">
            <v>10170.23</v>
          </cell>
        </row>
        <row r="4900">
          <cell r="A4900" t="str">
            <v>98087</v>
          </cell>
          <cell r="B4900" t="str">
            <v>TANQUE SÉPTICO RETANGULAR, EM ALVENARIA COM BLOCOS DE CONCRETO, DIMENSÕES INTERNAS: 1,6 X 4,6 X 2,4 M, VOLUME ÚTIL: 14720 L (PARA 105 CONTRIBUINTES). AF_12/2020</v>
          </cell>
          <cell r="C4900" t="str">
            <v>UN</v>
          </cell>
          <cell r="D4900">
            <v>10857.52</v>
          </cell>
        </row>
        <row r="4901">
          <cell r="A4901" t="str">
            <v>98088</v>
          </cell>
          <cell r="B4901" t="str">
            <v>FILTRO ANAERÓBIO RETANGULAR, EM ALVENARIA COM BLOCOS DE CONCRETO, DIMENSÕES INTERNAS: 0,8 X 1,2 X 1,67 M, VOLUME ÚTIL: 1152 L (PARA 5 CONTRIBUINTES). AF_12/2020</v>
          </cell>
          <cell r="C4901" t="str">
            <v>UN</v>
          </cell>
          <cell r="D4901">
            <v>3080.22</v>
          </cell>
        </row>
        <row r="4902">
          <cell r="A4902" t="str">
            <v>98089</v>
          </cell>
          <cell r="B4902" t="str">
            <v>FILTRO ANAERÓBIO RETANGULAR, EM ALVENARIA COM BLOCOS DE CONCRETO, DIMENSÕES INTERNAS: 1,2 X 1,8 X 1,67 M, VOLUME ÚTIL: 2592 L (PARA 13 CONTRIBUINTES). AF_12/2020</v>
          </cell>
          <cell r="C4902" t="str">
            <v>UN</v>
          </cell>
          <cell r="D4902">
            <v>4866.3500000000004</v>
          </cell>
        </row>
        <row r="4903">
          <cell r="A4903" t="str">
            <v>98090</v>
          </cell>
          <cell r="B4903" t="str">
            <v>FILTRO ANAERÓBIO RETANGULAR, EM ALVENARIA COM BLOCOS DE CONCRETO, DIMENSÕES INTERNAS: 1,4 X 3,0 X 1,67 M, VOLUME ÚTIL: 5040 L (PARA 32 CONTRIBUINTES). AF_12/2020</v>
          </cell>
          <cell r="C4903" t="str">
            <v>UN</v>
          </cell>
          <cell r="D4903">
            <v>7641.83</v>
          </cell>
        </row>
        <row r="4904">
          <cell r="A4904" t="str">
            <v>98091</v>
          </cell>
          <cell r="B4904" t="str">
            <v>FILTRO ANAERÓBIO RETANGULAR, EM ALVENARIA COM BLOCOS DE CONCRETO, DIMENSÕES INTERNAS: 1,4 X 4,2 X 1,67 M, VOLUME ÚTIL: 7056 L (PARA 67 CONTRIBUINTES). AF_12/2020</v>
          </cell>
          <cell r="C4904" t="str">
            <v>UN</v>
          </cell>
          <cell r="D4904">
            <v>9844.36</v>
          </cell>
        </row>
        <row r="4905">
          <cell r="A4905" t="str">
            <v>98092</v>
          </cell>
          <cell r="B4905" t="str">
            <v>FILTRO ANAERÓBIO RETANGULAR, EM ALVENARIA COM BLOCOS DE CONCRETO, DIMENSÕES INTERNAS: 1,6 X 4,6 X 1,67 M, VOLUME ÚTIL: 8832 L (PARA 84 CONTRIBUINTES). AF_12/2020</v>
          </cell>
          <cell r="C4905" t="str">
            <v>UN</v>
          </cell>
          <cell r="D4905">
            <v>11592.18</v>
          </cell>
        </row>
        <row r="4906">
          <cell r="A4906" t="str">
            <v>98093</v>
          </cell>
          <cell r="B4906" t="str">
            <v>FILTRO ANAERÓBIO RETANGULAR, EM ALVENARIA COM BLOCOS DE CONCRETO, DIMENSÕES INTERNAS: 1,6 X 5,6 X 1,67 M, VOLUME ÚTIL: 10752 L (PARA 103 CONTRIBUINTES). AF_12/2020</v>
          </cell>
          <cell r="C4906" t="str">
            <v>UN</v>
          </cell>
          <cell r="D4906">
            <v>13682.77</v>
          </cell>
        </row>
        <row r="4907">
          <cell r="A4907" t="str">
            <v>98094</v>
          </cell>
          <cell r="B4907" t="str">
            <v>SUMIDOURO RETANGULAR, EM ALVENARIA COM BLOCOS DE CONCRETO, DIMENSÕES INTERNAS: 0,8 X 1,4 X 3,0 M, ÁREA DE INFILTRAÇÃO: 13,2 M² (PARA 5 CONTRIBUINTES). AF_12/2020</v>
          </cell>
          <cell r="C4907" t="str">
            <v>UN</v>
          </cell>
          <cell r="D4907">
            <v>2500.75</v>
          </cell>
        </row>
        <row r="4908">
          <cell r="A4908" t="str">
            <v>98099</v>
          </cell>
          <cell r="B4908" t="str">
            <v>SUMIDOURO RETANGULAR, EM ALVENARIA COM BLOCOS DE CONCRETO, DIMENSÕES INTERNAS: 1,0 X 3,0 X 3,0 M, ÁREA DE INFILTRAÇÃO: 25 M² (PARA 10 CONTRIBUINTES). AF_12/2020</v>
          </cell>
          <cell r="C4908" t="str">
            <v>UN</v>
          </cell>
          <cell r="D4908">
            <v>4274.22</v>
          </cell>
        </row>
        <row r="4909">
          <cell r="A4909" t="str">
            <v>98100</v>
          </cell>
          <cell r="B4909" t="str">
            <v>SUMIDOURO RETANGULAR, EM ALVENARIA COM BLOCOS DE CONCRETO, DIMENSÕES INTERNAS: 1,6 X 3,4 X 3,0 M, ÁREA DE INFILTRAÇÃO: 32,9 M² (PARA 13 CONTRIBUINTES). . AF_12/2020</v>
          </cell>
          <cell r="C4909" t="str">
            <v>UN</v>
          </cell>
          <cell r="D4909">
            <v>5596.16</v>
          </cell>
        </row>
        <row r="4910">
          <cell r="A4910" t="str">
            <v>98101</v>
          </cell>
          <cell r="B4910" t="str">
            <v>SUMIDOURO RETANGULAR, EM ALVENARIA COM BLOCOS DE CONCRETO, DIMENSÕES INTERNAS: 1,6 X 5,8 X 3,0 M, ÁREA DE INFILTRAÇÃO: 50 M² (PARA 20 CONTRIBUINTES). . AF_12/2020</v>
          </cell>
          <cell r="C4910" t="str">
            <v>UN</v>
          </cell>
          <cell r="D4910">
            <v>8273.83</v>
          </cell>
        </row>
        <row r="4911">
          <cell r="A4911" t="str">
            <v>98109</v>
          </cell>
          <cell r="B4911" t="str">
            <v>CAIXA DE GORDURA ESPECIAL (CAPACIDADE: 312 L - PARA ATÉ 146 PESSOAS SERVIDAS NO PICO), RETANGULAR, EM ALVENARIA COM BLOCOS DE CONCRETO, DIMENSÕES INTERNAS = 0,4X1,2 M, ALTURA INTERNA = 1 M. AF_12/2020</v>
          </cell>
          <cell r="C4911" t="str">
            <v>UN</v>
          </cell>
          <cell r="D4911">
            <v>739.21</v>
          </cell>
        </row>
        <row r="4912">
          <cell r="A4912" t="str">
            <v>98110</v>
          </cell>
          <cell r="B4912" t="str">
            <v>CAIXA DE GORDURA PEQUENA (CAPACIDADE: 19 L), CIRCULAR, EM PVC, DIÂMETRO INTERNO= 0,3 M. AF_12/2020</v>
          </cell>
          <cell r="C4912" t="str">
            <v>UN</v>
          </cell>
          <cell r="D4912">
            <v>401.43</v>
          </cell>
        </row>
        <row r="4913">
          <cell r="A4913" t="str">
            <v>98111</v>
          </cell>
          <cell r="B4913" t="str">
            <v>CAIXA DE INSPEÇÃO PARA ATERRAMENTO, CIRCULAR, EM POLIETILENO, DIÂMETRO INTERNO = 0,3 M. AF_12/2020</v>
          </cell>
          <cell r="C4913" t="str">
            <v>UN</v>
          </cell>
          <cell r="D4913">
            <v>53.82</v>
          </cell>
        </row>
        <row r="4914">
          <cell r="A4914" t="str">
            <v>98112</v>
          </cell>
          <cell r="B4914" t="str">
            <v>TIL (TUBO DE INSPEÇÃO E LIMPEZA) CONDOMINIAL PARA ESGOTO, EM PVC, DN 100 X 100 MM. AF_12/2020</v>
          </cell>
          <cell r="C4914" t="str">
            <v>UN</v>
          </cell>
          <cell r="D4914">
            <v>127.6</v>
          </cell>
        </row>
        <row r="4915">
          <cell r="A4915" t="str">
            <v>98114</v>
          </cell>
          <cell r="B4915" t="str">
            <v>TAMPA CIRCULAR PARA ESGOTO E DRENAGEM, EM FERRO FUNDIDO, DIÂMETRO INTERNO = 0,6 M. AF_12/2020</v>
          </cell>
          <cell r="C4915" t="str">
            <v>UN</v>
          </cell>
          <cell r="D4915">
            <v>730.82</v>
          </cell>
        </row>
        <row r="4916">
          <cell r="A4916" t="str">
            <v>98115</v>
          </cell>
          <cell r="B4916" t="str">
            <v>TAMPA CIRCULAR PARA ESGOTO E DRENAGEM, EM CONCRETO PRÉ-MOLDADO, DIÂMETRO INTERNO = 0,6 M. AF_12/2020</v>
          </cell>
          <cell r="C4916" t="str">
            <v>UN</v>
          </cell>
          <cell r="D4916">
            <v>133.87</v>
          </cell>
        </row>
        <row r="4917">
          <cell r="A4917" t="str">
            <v>89957</v>
          </cell>
          <cell r="B4917" t="str">
            <v>PONTO DE CONSUMO TERMINAL DE ÁGUA FRIA (SUBRAMAL) COM TUBULAÇÃO DE PVC, DN 25 MM, INSTALADO EM RAMAL DE ÁGUA, INCLUSOS RASGO E CHUMBAMENTO EM ALVENARIA. AF_12/2014</v>
          </cell>
          <cell r="C4917" t="str">
            <v>UN</v>
          </cell>
          <cell r="D4917">
            <v>129.72999999999999</v>
          </cell>
        </row>
        <row r="4918">
          <cell r="A4918" t="str">
            <v>89959</v>
          </cell>
          <cell r="B4918" t="str">
            <v>PONTO DE CONSUMO TERMINAL DE ÁGUA QUENTE (SUBRAMAL) COM TUBULAÇÃO DE CPVC, DN 22 MM, INSTALADO EM RAMAL DE ÁGUA, INCLUSOS RASGO E CHUMBAMENTO EM ALVENARIA. AF_12/2014</v>
          </cell>
          <cell r="C4918" t="str">
            <v>UN</v>
          </cell>
          <cell r="D4918">
            <v>221.5</v>
          </cell>
        </row>
        <row r="4919">
          <cell r="A4919" t="str">
            <v>89349</v>
          </cell>
          <cell r="B4919" t="str">
            <v>REGISTRO DE PRESSÃO BRUTO, LATÃO, ROSCÁVEL, 1/2" - FORNECIMENTO E INSTALAÇÃO. AF_08/2021</v>
          </cell>
          <cell r="C4919" t="str">
            <v>UN</v>
          </cell>
          <cell r="D4919">
            <v>24.92</v>
          </cell>
        </row>
        <row r="4920">
          <cell r="A4920" t="str">
            <v>89351</v>
          </cell>
          <cell r="B4920" t="str">
            <v>REGISTRO DE PRESSÃO BRUTO, LATÃO,  ROSCÁVEL, 3/4'' - FORNECIMENTO E INSTALAÇÃO. AF_08/2021</v>
          </cell>
          <cell r="C4920" t="str">
            <v>UN</v>
          </cell>
          <cell r="D4920">
            <v>30.73</v>
          </cell>
        </row>
        <row r="4921">
          <cell r="A4921" t="str">
            <v>89352</v>
          </cell>
          <cell r="B4921" t="str">
            <v>REGISTRO DE GAVETA BRUTO, LATÃO, ROSCÁVEL, 1/2" - FORNECIMENTO E INSTALAÇÃO. AF_08/2021</v>
          </cell>
          <cell r="C4921" t="str">
            <v>UN</v>
          </cell>
          <cell r="D4921">
            <v>33.97</v>
          </cell>
        </row>
        <row r="4922">
          <cell r="A4922" t="str">
            <v>89353</v>
          </cell>
          <cell r="B4922" t="str">
            <v>REGISTRO DE GAVETA BRUTO, LATÃO, ROSCÁVEL, 3/4" - FORNECIMENTO E INSTALAÇÃO. AF_08/2021</v>
          </cell>
          <cell r="C4922" t="str">
            <v>UN</v>
          </cell>
          <cell r="D4922">
            <v>37.21</v>
          </cell>
        </row>
        <row r="4923">
          <cell r="A4923" t="str">
            <v>89354</v>
          </cell>
          <cell r="B4923" t="str">
            <v>MISTURADOR MONOCOMANDO PARA CHUVEIRO, BASE BRUTA E ACABAMENTO CROMADO - FORNECIMENTO E INSTALAÇÃO. AF_08/2021</v>
          </cell>
          <cell r="C4923" t="str">
            <v>UN</v>
          </cell>
          <cell r="D4923">
            <v>375.65</v>
          </cell>
        </row>
        <row r="4924">
          <cell r="A4924" t="str">
            <v>89969</v>
          </cell>
          <cell r="B4924" t="str">
            <v>KIT DE REGISTRO DE PRESSÃO BRUTO DE LATÃO ½", INCLUSIVE CONEXÕES,  ROSCÁVEL, INSTALADO EM RAMAL DE ÁGUA FRIA - FORNECIMENTO E INSTALAÇÃO. AF_12/2014</v>
          </cell>
          <cell r="C4924" t="str">
            <v>UN</v>
          </cell>
          <cell r="D4924">
            <v>41.2</v>
          </cell>
        </row>
        <row r="4925">
          <cell r="A4925" t="str">
            <v>89970</v>
          </cell>
          <cell r="B4925" t="str">
            <v>KIT DE REGISTRO DE PRESSÃO BRUTO DE LATÃO ¾", INCLUSIVE CONEXÕES, ROSCÁVEL, INSTALADO EM RAMAL DE ÁGUA FRIA - FORNECIMENTO E INSTALAÇÃO. AF_12/2014</v>
          </cell>
          <cell r="C4925" t="str">
            <v>UN</v>
          </cell>
          <cell r="D4925">
            <v>44.7</v>
          </cell>
        </row>
        <row r="4926">
          <cell r="A4926" t="str">
            <v>89971</v>
          </cell>
          <cell r="B4926" t="str">
            <v>KIT DE REGISTRO DE GAVETA BRUTO DE LATÃO ½", INCLUSIVE CONEXÕES, ROSCÁVEL, INSTALADO EM RAMAL DE ÁGUA FRIA - FORNECIMENTO E INSTALAÇÃO. AF_12/2014</v>
          </cell>
          <cell r="C4926" t="str">
            <v>UN</v>
          </cell>
          <cell r="D4926">
            <v>44.71</v>
          </cell>
        </row>
        <row r="4927">
          <cell r="A4927" t="str">
            <v>89972</v>
          </cell>
          <cell r="B4927" t="str">
            <v>KIT DE REGISTRO DE GAVETA BRUTO DE LATÃO ¾", INCLUSIVE CONEXÕES, ROSCÁVEL, INSTALADO EM RAMAL DE ÁGUA FRIA - FORNECIMENTO E INSTALAÇÃO. AF_12/2014</v>
          </cell>
          <cell r="C4927" t="str">
            <v>UN</v>
          </cell>
          <cell r="D4927">
            <v>50.01</v>
          </cell>
        </row>
        <row r="4928">
          <cell r="A4928" t="str">
            <v>89973</v>
          </cell>
          <cell r="B4928" t="str">
            <v>KIT DE MISTURADOR BASE BRUTA DE LATÃO ¾" MONOCOMANDO PARA CHUVEIRO, INCLUSIVE CONEXÕES, INSTALADO EM RAMAL DE ÁGUA - FORNECIMENTO E INSTALAÇÃO. AF_12/2014</v>
          </cell>
          <cell r="C4928" t="str">
            <v>UN</v>
          </cell>
          <cell r="D4928">
            <v>594.11</v>
          </cell>
        </row>
        <row r="4929">
          <cell r="A4929" t="str">
            <v>89974</v>
          </cell>
          <cell r="B4929" t="str">
            <v>KIT DE TÊ MISTURADOR EM CPVC ¾" COM DUPLO COMANDO PARA CHUVEIRO, INCLUSIVE CONEXÕES, INSTALADO EM RAMAL DE ÁGUA - FORNECIMENTO E INSTALAÇÃO. AF_12/2014</v>
          </cell>
          <cell r="C4929" t="str">
            <v>UN</v>
          </cell>
          <cell r="D4929">
            <v>296.61</v>
          </cell>
        </row>
        <row r="4930">
          <cell r="A4930" t="str">
            <v>89984</v>
          </cell>
          <cell r="B4930" t="str">
            <v>REGISTRO DE PRESSÃO BRUTO, LATÃO, ROSCÁVEL, 1/2", COM ACABAMENTO E CANOPLA CROMADOS - FORNECIMENTO E INSTALAÇÃO. AF_08/2021</v>
          </cell>
          <cell r="C4930" t="str">
            <v>UN</v>
          </cell>
          <cell r="D4930">
            <v>80.17</v>
          </cell>
        </row>
        <row r="4931">
          <cell r="A4931" t="str">
            <v>89985</v>
          </cell>
          <cell r="B4931" t="str">
            <v>REGISTRO DE PRESSÃO BRUTO, LATÃO, ROSCÁVEL, 3/4", COM ACABAMENTO E CANOPLA CROMADOS - FORNECIMENTO E INSTALAÇÃO. AF_08/2021</v>
          </cell>
          <cell r="C4931" t="str">
            <v>UN</v>
          </cell>
          <cell r="D4931">
            <v>84.17</v>
          </cell>
        </row>
        <row r="4932">
          <cell r="A4932" t="str">
            <v>89986</v>
          </cell>
          <cell r="B4932" t="str">
            <v>REGISTRO DE GAVETA BRUTO, LATÃO, ROSCÁVEL, 1/2", COM ACABAMENTO E CANOPLA CROMADOS - FORNECIMENTO E INSTALAÇÃO. AF_08/2021</v>
          </cell>
          <cell r="C4932" t="str">
            <v>UN</v>
          </cell>
          <cell r="D4932">
            <v>78.099999999999994</v>
          </cell>
        </row>
        <row r="4933">
          <cell r="A4933" t="str">
            <v>89987</v>
          </cell>
          <cell r="B4933" t="str">
            <v>REGISTRO DE GAVETA BRUTO, LATÃO, ROSCÁVEL, 3/4", COM ACABAMENTO E CANOPLA CROMADOS - FORNECIMENTO E INSTALAÇÃO. AF_08/2021</v>
          </cell>
          <cell r="C4933" t="str">
            <v>UN</v>
          </cell>
          <cell r="D4933">
            <v>88.71</v>
          </cell>
        </row>
        <row r="4934">
          <cell r="A4934" t="str">
            <v>90371</v>
          </cell>
          <cell r="B4934" t="str">
            <v>REGISTRO DE ESFERA, PVC, ROSCÁVEL, COM VOLANTE, 3/4" - FORNECIMENTO E INSTALAÇÃO. AF_08/2021</v>
          </cell>
          <cell r="C4934" t="str">
            <v>UN</v>
          </cell>
          <cell r="D4934">
            <v>35.130000000000003</v>
          </cell>
        </row>
        <row r="4935">
          <cell r="A4935" t="str">
            <v>94489</v>
          </cell>
          <cell r="B4935" t="str">
            <v>REGISTRO DE ESFERA, PVC, SOLDÁVEL, COM VOLANTE, DN  25 MM - FORNECIMENTO E INSTALAÇÃO. AF_08/2021</v>
          </cell>
          <cell r="C4935" t="str">
            <v>UN</v>
          </cell>
          <cell r="D4935">
            <v>35.770000000000003</v>
          </cell>
        </row>
        <row r="4936">
          <cell r="A4936" t="str">
            <v>94490</v>
          </cell>
          <cell r="B4936" t="str">
            <v>REGISTRO DE ESFERA, PVC, SOLDÁVEL, COM VOLANTE, DN  32 MM - FORNECIMENTO E INSTALAÇÃO. AF_08/2021</v>
          </cell>
          <cell r="C4936" t="str">
            <v>UN</v>
          </cell>
          <cell r="D4936">
            <v>54.05</v>
          </cell>
        </row>
        <row r="4937">
          <cell r="A4937" t="str">
            <v>94491</v>
          </cell>
          <cell r="B4937" t="str">
            <v>REGISTRO DE ESFERA, PVC, SOLDÁVEL, COM VOLANTE, DN  40 MM - FORNECIMENTO E INSTALAÇÃO. AF_08/2021</v>
          </cell>
          <cell r="C4937" t="str">
            <v>UN</v>
          </cell>
          <cell r="D4937">
            <v>73.34</v>
          </cell>
        </row>
        <row r="4938">
          <cell r="A4938" t="str">
            <v>94492</v>
          </cell>
          <cell r="B4938" t="str">
            <v>REGISTRO DE ESFERA, PVC, SOLDÁVEL, COM VOLANTE, DN  50 MM - FORNECIMENTO E INSTALAÇÃO. AF_08/2021</v>
          </cell>
          <cell r="C4938" t="str">
            <v>UN</v>
          </cell>
          <cell r="D4938">
            <v>75.5</v>
          </cell>
        </row>
        <row r="4939">
          <cell r="A4939" t="str">
            <v>94493</v>
          </cell>
          <cell r="B4939" t="str">
            <v>REGISTRO DE ESFERA, PVC, SOLDÁVEL, COM VOLANTE, DN  60 MM - FORNECIMENTO E INSTALAÇÃO. AF_08/2021</v>
          </cell>
          <cell r="C4939" t="str">
            <v>UN</v>
          </cell>
          <cell r="D4939">
            <v>138.47999999999999</v>
          </cell>
        </row>
        <row r="4940">
          <cell r="A4940" t="str">
            <v>94495</v>
          </cell>
          <cell r="B4940" t="str">
            <v>REGISTRO DE GAVETA BRUTO, LATÃO, ROSCÁVEL, 1" - FORNECIMENTO E INSTALAÇÃO. AF_08/2021</v>
          </cell>
          <cell r="C4940" t="str">
            <v>UN</v>
          </cell>
          <cell r="D4940">
            <v>57.69</v>
          </cell>
        </row>
        <row r="4941">
          <cell r="A4941" t="str">
            <v>94496</v>
          </cell>
          <cell r="B4941" t="str">
            <v>REGISTRO DE GAVETA BRUTO, LATÃO, ROSCÁVEL, 1 1/4" - FORNECIMENTO E INSTALAÇÃO. AF_08/2021</v>
          </cell>
          <cell r="C4941" t="str">
            <v>UN</v>
          </cell>
          <cell r="D4941">
            <v>78.599999999999994</v>
          </cell>
        </row>
        <row r="4942">
          <cell r="A4942" t="str">
            <v>94497</v>
          </cell>
          <cell r="B4942" t="str">
            <v>REGISTRO DE GAVETA BRUTO, LATÃO, ROSCÁVEL, 1 1/2" - FORNECIMENTO E INSTALAÇÃO. AF_08/2021</v>
          </cell>
          <cell r="C4942" t="str">
            <v>UN</v>
          </cell>
          <cell r="D4942">
            <v>99.53</v>
          </cell>
        </row>
        <row r="4943">
          <cell r="A4943" t="str">
            <v>94498</v>
          </cell>
          <cell r="B4943" t="str">
            <v>REGISTRO DE GAVETA BRUTO, LATÃO, ROSCÁVEL, 2" - FORNECIMENTO E INSTALAÇÃO. AF_08/2021</v>
          </cell>
          <cell r="C4943" t="str">
            <v>UN</v>
          </cell>
          <cell r="D4943">
            <v>137.54</v>
          </cell>
        </row>
        <row r="4944">
          <cell r="A4944" t="str">
            <v>94499</v>
          </cell>
          <cell r="B4944" t="str">
            <v>REGISTRO DE GAVETA BRUTO, LATÃO, ROSCÁVEL, 2 1/2" - FORNECIMENTO E INSTALAÇÃO. AF_08/2021</v>
          </cell>
          <cell r="C4944" t="str">
            <v>UN</v>
          </cell>
          <cell r="D4944">
            <v>275.19</v>
          </cell>
        </row>
        <row r="4945">
          <cell r="A4945" t="str">
            <v>94500</v>
          </cell>
          <cell r="B4945" t="str">
            <v>REGISTRO DE GAVETA BRUTO, LATÃO, ROSCÁVEL, 3" - FORNECIMENTO E INSTALAÇÃO. AF_08/2021</v>
          </cell>
          <cell r="C4945" t="str">
            <v>UN</v>
          </cell>
          <cell r="D4945">
            <v>333.89</v>
          </cell>
        </row>
        <row r="4946">
          <cell r="A4946" t="str">
            <v>94501</v>
          </cell>
          <cell r="B4946" t="str">
            <v>REGISTRO DE GAVETA BRUTO, LATÃO, ROSCÁVEL, 4" - FORNECIMENTO E INSTALAÇÃO. AF_08/2021</v>
          </cell>
          <cell r="C4946" t="str">
            <v>UN</v>
          </cell>
          <cell r="D4946">
            <v>677.13</v>
          </cell>
        </row>
        <row r="4947">
          <cell r="A4947" t="str">
            <v>94792</v>
          </cell>
          <cell r="B4947" t="str">
            <v>REGISTRO DE GAVETA BRUTO, LATÃO, ROSCÁVEL, 1", COM ACABAMENTO E CANOPLA CROMADOS - FORNECIMENTO E INSTALAÇÃO. AF_08/2021</v>
          </cell>
          <cell r="C4947" t="str">
            <v>UN</v>
          </cell>
          <cell r="D4947">
            <v>108.16</v>
          </cell>
        </row>
        <row r="4948">
          <cell r="A4948" t="str">
            <v>94793</v>
          </cell>
          <cell r="B4948" t="str">
            <v>REGISTRO DE GAVETA BRUTO, LATÃO, ROSCÁVEL, 1 1/4", COM ACABAMENTO E CANOPLA CROMADOS - FORNECIMENTO E INSTALAÇÃO. AF_08/2021</v>
          </cell>
          <cell r="C4948" t="str">
            <v>UN</v>
          </cell>
          <cell r="D4948">
            <v>148.47999999999999</v>
          </cell>
        </row>
        <row r="4949">
          <cell r="A4949" t="str">
            <v>94794</v>
          </cell>
          <cell r="B4949" t="str">
            <v>REGISTRO DE GAVETA BRUTO, LATÃO, ROSCÁVEL, 1 1/2", COM ACABAMENTO E CANOPLA CROMADOS - FORNECIMENTO E INSTALAÇÃO. AF_08/2021</v>
          </cell>
          <cell r="C4949" t="str">
            <v>UN</v>
          </cell>
          <cell r="D4949">
            <v>157.16</v>
          </cell>
        </row>
        <row r="4950">
          <cell r="A4950" t="str">
            <v>94795</v>
          </cell>
          <cell r="B4950" t="str">
            <v>TORNEIRA DE BOIA PARA CAIXA D'ÁGUA, ROSCÁVEL, 1/2" - FORNECIMENTO E INSTALAÇÃO. AF_08/2021</v>
          </cell>
          <cell r="C4950" t="str">
            <v>UN</v>
          </cell>
          <cell r="D4950">
            <v>34.46</v>
          </cell>
        </row>
        <row r="4951">
          <cell r="A4951" t="str">
            <v>94796</v>
          </cell>
          <cell r="B4951" t="str">
            <v>TORNEIRA DE BOIA PARA CAIXA D'ÁGUA, ROSCÁVEL, 3/4" - FORNECIMENTO E INSTALAÇÃO. AF_08/2021</v>
          </cell>
          <cell r="C4951" t="str">
            <v>UN</v>
          </cell>
          <cell r="D4951">
            <v>39.43</v>
          </cell>
        </row>
        <row r="4952">
          <cell r="A4952" t="str">
            <v>94797</v>
          </cell>
          <cell r="B4952" t="str">
            <v>TORNEIRA DE BOIA PARA CAIXA D'ÁGUA, ROSCÁVEL, 1" - FORNECIMENTO E INSTALAÇÃO. AF_08/2021</v>
          </cell>
          <cell r="C4952" t="str">
            <v>UN</v>
          </cell>
          <cell r="D4952">
            <v>81.91</v>
          </cell>
        </row>
        <row r="4953">
          <cell r="A4953" t="str">
            <v>94798</v>
          </cell>
          <cell r="B4953" t="str">
            <v>TORNEIRA DE BOIA PARA CAIXA D'ÁGUA, ROSCÁVEL, 1 1/4" - FORNECIMENTO E INSTALAÇÃO. AF_08/2021</v>
          </cell>
          <cell r="C4953" t="str">
            <v>UN</v>
          </cell>
          <cell r="D4953">
            <v>136.04</v>
          </cell>
        </row>
        <row r="4954">
          <cell r="A4954" t="str">
            <v>94799</v>
          </cell>
          <cell r="B4954" t="str">
            <v>TORNEIRA DE BOIA PARA CAIXA D'ÁGUA, ROSCÁVEL, 1 1/2" - FORNECIMENTO E INSTALAÇÃO. AF_08/2021</v>
          </cell>
          <cell r="C4954" t="str">
            <v>UN</v>
          </cell>
          <cell r="D4954">
            <v>166.96</v>
          </cell>
        </row>
        <row r="4955">
          <cell r="A4955" t="str">
            <v>94800</v>
          </cell>
          <cell r="B4955" t="str">
            <v>TORNEIRA DE BOIA PARA CAIXA D'ÁGUA, ROSCÁVEL, 2" - FORNECIMENTO E INSTALAÇÃO. AF_08/2021</v>
          </cell>
          <cell r="C4955" t="str">
            <v>UN</v>
          </cell>
          <cell r="D4955">
            <v>214.37</v>
          </cell>
        </row>
        <row r="4956">
          <cell r="A4956" t="str">
            <v>95248</v>
          </cell>
          <cell r="B4956" t="str">
            <v>VÁLVULA DE ESFERA BRUTA, BRONZE, ROSCÁVEL, 1/2" - FORNECIMENTO E INSTALAÇÃO. AF_08/2021</v>
          </cell>
          <cell r="C4956" t="str">
            <v>UN</v>
          </cell>
          <cell r="D4956">
            <v>49.46</v>
          </cell>
        </row>
        <row r="4957">
          <cell r="A4957" t="str">
            <v>95249</v>
          </cell>
          <cell r="B4957" t="str">
            <v>VÁLVULA DE ESFERA BRUTA, BRONZE, ROSCÁVEL, 3/4'' - FORNECIMENTO E INSTALAÇÃO. AF_08/2021</v>
          </cell>
          <cell r="C4957" t="str">
            <v>UN</v>
          </cell>
          <cell r="D4957">
            <v>58.18</v>
          </cell>
        </row>
        <row r="4958">
          <cell r="A4958" t="str">
            <v>95250</v>
          </cell>
          <cell r="B4958" t="str">
            <v>VÁLVULA DE ESFERA BRUTA, BRONZE, ROSCÁVEL, 1'' - FORNECIMENTO E INSTALAÇÃO. AF_08/2021</v>
          </cell>
          <cell r="C4958" t="str">
            <v>UN</v>
          </cell>
          <cell r="D4958">
            <v>78.53</v>
          </cell>
        </row>
        <row r="4959">
          <cell r="A4959" t="str">
            <v>95251</v>
          </cell>
          <cell r="B4959" t="str">
            <v>VÁLVULA DE ESFERA BRUTA, BRONZE, ROSCÁVEL, 1 1/4'' - FORNECIMENTO E INSTALAÇÃO. AF_08/2021</v>
          </cell>
          <cell r="C4959" t="str">
            <v>UN</v>
          </cell>
          <cell r="D4959">
            <v>116.25</v>
          </cell>
        </row>
        <row r="4960">
          <cell r="A4960" t="str">
            <v>95252</v>
          </cell>
          <cell r="B4960" t="str">
            <v>VÁLVULA DE ESFERA BRUTA, BRONZE, ROSCÁVEL, 1 1/2'' - FORNECIMENTO E INSTALAÇÃO. AF_08/2021</v>
          </cell>
          <cell r="C4960" t="str">
            <v>UN</v>
          </cell>
          <cell r="D4960">
            <v>140.85</v>
          </cell>
        </row>
        <row r="4961">
          <cell r="A4961" t="str">
            <v>95253</v>
          </cell>
          <cell r="B4961" t="str">
            <v>VÁLVULA DE ESFERA BRUTA, BRONZE, ROSCÁVEL, 2'' - FORNECIMENTO E INSTALAÇÃO. AF_08/2021</v>
          </cell>
          <cell r="C4961" t="str">
            <v>UN</v>
          </cell>
          <cell r="D4961">
            <v>214.52</v>
          </cell>
        </row>
        <row r="4962">
          <cell r="A4962" t="str">
            <v>99619</v>
          </cell>
          <cell r="B4962" t="str">
            <v>VÁLVULA DE RETENÇÃO HORIZONTAL, DE BRONZE, ROSCÁVEL, 3/4" - FORNECIMENTO E INSTALAÇÃO. AF_08/2021</v>
          </cell>
          <cell r="C4962" t="str">
            <v>UN</v>
          </cell>
          <cell r="D4962">
            <v>84.37</v>
          </cell>
        </row>
        <row r="4963">
          <cell r="A4963" t="str">
            <v>99620</v>
          </cell>
          <cell r="B4963" t="str">
            <v>VÁLVULA DE RETENÇÃO HORIZONTAL, DE BRONZE, ROSCÁVEL, 1" - FORNECIMENTO E INSTALAÇÃO. AF_08/2021</v>
          </cell>
          <cell r="C4963" t="str">
            <v>UN</v>
          </cell>
          <cell r="D4963">
            <v>114.62</v>
          </cell>
        </row>
        <row r="4964">
          <cell r="A4964" t="str">
            <v>99621</v>
          </cell>
          <cell r="B4964" t="str">
            <v>VÁLVULA DE RETENÇÃO HORIZONTAL, DE BRONZE, ROSCÁVEL, 1 1/4" - FORNECIMENTO E INSTALAÇÃO. AF_08/2021</v>
          </cell>
          <cell r="C4964" t="str">
            <v>UN</v>
          </cell>
          <cell r="D4964">
            <v>170.75</v>
          </cell>
        </row>
        <row r="4965">
          <cell r="A4965" t="str">
            <v>99622</v>
          </cell>
          <cell r="B4965" t="str">
            <v>VÁLVULA DE RETENÇÃO HORIZONTAL, DE BRONZE, ROSCÁVEL, 1 1/2"  - FORNECIMENTO E INSTALAÇÃO. AF_08/2021</v>
          </cell>
          <cell r="C4965" t="str">
            <v>UN</v>
          </cell>
          <cell r="D4965">
            <v>192.3</v>
          </cell>
        </row>
        <row r="4966">
          <cell r="A4966" t="str">
            <v>99623</v>
          </cell>
          <cell r="B4966" t="str">
            <v>VÁLVULA DE RETENÇÃO HORIZONTAL, DE BRONZE, ROSCÁVEL, 2"  - FORNECIMENTO E INSTALAÇÃO. AF_08/2021</v>
          </cell>
          <cell r="C4966" t="str">
            <v>UN</v>
          </cell>
          <cell r="D4966">
            <v>268.24</v>
          </cell>
        </row>
        <row r="4967">
          <cell r="A4967" t="str">
            <v>99624</v>
          </cell>
          <cell r="B4967" t="str">
            <v>VÁLVULA DE RETENÇÃO HORIZONTAL, DE BRONZE, ROSCÁVEL, 2 1/2" - FORNECIMENTO E INSTALAÇÃO. AF_08/2021</v>
          </cell>
          <cell r="C4967" t="str">
            <v>UN</v>
          </cell>
          <cell r="D4967">
            <v>382.32</v>
          </cell>
        </row>
        <row r="4968">
          <cell r="A4968" t="str">
            <v>99625</v>
          </cell>
          <cell r="B4968" t="str">
            <v>VÁLVULA DE RETENÇÃO HORIZONTAL, DE BRONZE, ROSCÁVEL, 3" - FORNECIMENTO E INSTALAÇÃO. AF_08/2021</v>
          </cell>
          <cell r="C4968" t="str">
            <v>UN</v>
          </cell>
          <cell r="D4968">
            <v>525.66999999999996</v>
          </cell>
        </row>
        <row r="4969">
          <cell r="A4969" t="str">
            <v>99626</v>
          </cell>
          <cell r="B4969" t="str">
            <v>VÁLVULA DE RETENÇÃO HORIZONTAL, DE BRONZE, ROSCÁVEL, 4" - FORNECIMENTO E INSTALAÇÃO. AF_08/2021</v>
          </cell>
          <cell r="C4969" t="str">
            <v>UN</v>
          </cell>
          <cell r="D4969">
            <v>808.9</v>
          </cell>
        </row>
        <row r="4970">
          <cell r="A4970" t="str">
            <v>99627</v>
          </cell>
          <cell r="B4970" t="str">
            <v>VÁLVULA DE RETENÇÃO VERTICAL, DE BRONZE, ROSCÁVEL, 1/2" - FORNECIMENTO E INSTALAÇÃO. AF_08/2021</v>
          </cell>
          <cell r="C4970" t="str">
            <v>UN</v>
          </cell>
          <cell r="D4970">
            <v>50.93</v>
          </cell>
        </row>
        <row r="4971">
          <cell r="A4971" t="str">
            <v>99628</v>
          </cell>
          <cell r="B4971" t="str">
            <v>VÁLVULA DE RETENÇÃO VERTICAL, DE BRONZE, ROSCÁVEL, 3/4" - FORNECIMENTO E INSTALAÇÃO. AF_08/2021</v>
          </cell>
          <cell r="C4971" t="str">
            <v>UN</v>
          </cell>
          <cell r="D4971">
            <v>55.69</v>
          </cell>
        </row>
        <row r="4972">
          <cell r="A4972" t="str">
            <v>99629</v>
          </cell>
          <cell r="B4972" t="str">
            <v>VÁLVULA DE RETENÇÃO VERTICAL, DE BRONZE, ROSCÁVEL, 1" - FORNECIMENTO E INSTALAÇÃO. AF_08/2021</v>
          </cell>
          <cell r="C4972" t="str">
            <v>UN</v>
          </cell>
          <cell r="D4972">
            <v>61.97</v>
          </cell>
        </row>
        <row r="4973">
          <cell r="A4973" t="str">
            <v>99630</v>
          </cell>
          <cell r="B4973" t="str">
            <v>VÁLVULA DE RETENÇÃO VERTICAL, DE BRONZE, ROSCÁVEL, 1 1/4" - FORNECIMENTO E INSTALAÇÃO. AF_08/2021</v>
          </cell>
          <cell r="C4973" t="str">
            <v>UN</v>
          </cell>
          <cell r="D4973">
            <v>92.12</v>
          </cell>
        </row>
        <row r="4974">
          <cell r="A4974" t="str">
            <v>99631</v>
          </cell>
          <cell r="B4974" t="str">
            <v>VÁLVULA DE RETENÇÃO VERTICAL, DE BRONZE, ROSCÁVEL, 1 1/2" - FORNECIMENTO E INSTALAÇÃO. AF_08/2021</v>
          </cell>
          <cell r="C4974" t="str">
            <v>UN</v>
          </cell>
          <cell r="D4974">
            <v>107.32</v>
          </cell>
        </row>
        <row r="4975">
          <cell r="A4975" t="str">
            <v>99632</v>
          </cell>
          <cell r="B4975" t="str">
            <v>VÁLVULA DE RETENÇÃO VERTICAL, DE BRONZE, ROSCÁVEL, 2" - FORNECIMENTO E INSTALAÇÃO. AF_08/2021</v>
          </cell>
          <cell r="C4975" t="str">
            <v>UN</v>
          </cell>
          <cell r="D4975">
            <v>154.61000000000001</v>
          </cell>
        </row>
        <row r="4976">
          <cell r="A4976" t="str">
            <v>99633</v>
          </cell>
          <cell r="B4976" t="str">
            <v>VÁLVULA DE RETENÇÃO VERTICAL, DE BRONZE, ROSCÁVEL, 3" - FORNECIMENTO E INSTALAÇÃO. AF_08/2021</v>
          </cell>
          <cell r="C4976" t="str">
            <v>UN</v>
          </cell>
          <cell r="D4976">
            <v>331.26</v>
          </cell>
        </row>
        <row r="4977">
          <cell r="A4977" t="str">
            <v>99634</v>
          </cell>
          <cell r="B4977" t="str">
            <v>VÁLVULA DE RETENÇÃO VERTICAL, DE BRONZE, ROSCÁVEL, 4" - FORNECIMENTO E INSTALAÇÃO. AF_08/2021</v>
          </cell>
          <cell r="C4977" t="str">
            <v>UN</v>
          </cell>
          <cell r="D4977">
            <v>564.28</v>
          </cell>
        </row>
        <row r="4978">
          <cell r="A4978" t="str">
            <v>99635</v>
          </cell>
          <cell r="B4978" t="str">
            <v>VÁLVULA DE DESCARGA METÁLICA, BASE 1 1/2", ACABAMENTO METALICO CROMADO - FORNECIMENTO E INSTALAÇÃO. AF_08/2021</v>
          </cell>
          <cell r="C4978" t="str">
            <v>UN</v>
          </cell>
          <cell r="D4978">
            <v>249.27</v>
          </cell>
        </row>
        <row r="4979">
          <cell r="A4979" t="str">
            <v>103008</v>
          </cell>
          <cell r="B4979" t="str">
            <v>VÁLVULA DE RETENÇÃO HORIZONTAL, DE BRONZE, ROSCÁVEL, 1/2" - FORNECIMENTO E INSTALAÇÃO. AF_08/2021</v>
          </cell>
          <cell r="C4979" t="str">
            <v>UN</v>
          </cell>
          <cell r="D4979">
            <v>68.86</v>
          </cell>
        </row>
        <row r="4980">
          <cell r="A4980" t="str">
            <v>103009</v>
          </cell>
          <cell r="B4980" t="str">
            <v>VÁLVULA DE RETENÇÃO VERTICAL, DE BRONZE, ROSCÁVEL, 2 1/2" - FORNECIMENTO E INSTALAÇÃO. AF_08/2021</v>
          </cell>
          <cell r="C4980" t="str">
            <v>UN</v>
          </cell>
          <cell r="D4980">
            <v>244.11</v>
          </cell>
        </row>
        <row r="4981">
          <cell r="A4981" t="str">
            <v>103010</v>
          </cell>
          <cell r="B4981" t="str">
            <v>VÁLVULA DE RETENÇÃO, DE BRONZE, PÉ COM CRIVOS, ROSCÁVEL, 3/4" - FORNECIMENTO E INSTALAÇÃO. AF_08/2021</v>
          </cell>
          <cell r="C4981" t="str">
            <v>UN</v>
          </cell>
          <cell r="D4981">
            <v>52.22</v>
          </cell>
        </row>
        <row r="4982">
          <cell r="A4982" t="str">
            <v>103011</v>
          </cell>
          <cell r="B4982" t="str">
            <v>VÁLVULA DE RETENÇÃO, DE BRONZE, PÉ COM CRIVOS, ROSCÁVEL, 1" - FORNECIMENTO E INSTALAÇÃO. AF_08/2021</v>
          </cell>
          <cell r="C4982" t="str">
            <v>UN</v>
          </cell>
          <cell r="D4982">
            <v>58.27</v>
          </cell>
        </row>
        <row r="4983">
          <cell r="A4983" t="str">
            <v>103012</v>
          </cell>
          <cell r="B4983" t="str">
            <v>VÁLVULA DE RETENÇÃO, DE BRONZE, PÉ COM CRIVOS, ROSCÁVEL, 1 1/4" - FORNECIMENTO E INSTALAÇÃO. AF_08/2021</v>
          </cell>
          <cell r="C4983" t="str">
            <v>UN</v>
          </cell>
          <cell r="D4983">
            <v>91.82</v>
          </cell>
        </row>
        <row r="4984">
          <cell r="A4984" t="str">
            <v>103013</v>
          </cell>
          <cell r="B4984" t="str">
            <v>VÁLVULA DE RETENÇÃO, DE BRONZE, PÉ COM CRIVOS, ROSCÁVEL, 1 1/2" - FORNECIMENTO E INSTALAÇÃO. AF_08/2021</v>
          </cell>
          <cell r="C4984" t="str">
            <v>UN</v>
          </cell>
          <cell r="D4984">
            <v>98.94</v>
          </cell>
        </row>
        <row r="4985">
          <cell r="A4985" t="str">
            <v>103014</v>
          </cell>
          <cell r="B4985" t="str">
            <v>VÁLVULA DE RETENÇÃO, DE BRONZE, PÉ COM CRIVOS, ROSCÁVEL, 2" - FORNECIMENTO E INSTALAÇÃO. AF_08/2021</v>
          </cell>
          <cell r="C4985" t="str">
            <v>UN</v>
          </cell>
          <cell r="D4985">
            <v>148.69</v>
          </cell>
        </row>
        <row r="4986">
          <cell r="A4986" t="str">
            <v>103015</v>
          </cell>
          <cell r="B4986" t="str">
            <v>VÁLVULA DE RETENÇÃO, DE BRONZE, PÉ COM CRIVOS, ROSCÁVEL, 2 1/2" - FORNECIMENTO E INSTALAÇÃO. AF_08/2021</v>
          </cell>
          <cell r="C4986" t="str">
            <v>UN</v>
          </cell>
          <cell r="D4986">
            <v>262.64</v>
          </cell>
        </row>
        <row r="4987">
          <cell r="A4987" t="str">
            <v>103016</v>
          </cell>
          <cell r="B4987" t="str">
            <v>VÁLVULA DE RETENÇÃO, DE BRONZE, PÉ COM CRIVOS, ROSCÁVEL, 3" - FORNECIMENTO E INSTALAÇÃO. AF_08/2021</v>
          </cell>
          <cell r="C4987" t="str">
            <v>UN</v>
          </cell>
          <cell r="D4987">
            <v>358.96</v>
          </cell>
        </row>
        <row r="4988">
          <cell r="A4988" t="str">
            <v>103017</v>
          </cell>
          <cell r="B4988" t="str">
            <v>VÁLVULA DE RETENÇÃO, DE BRONZE, PÉ COM CRIVOS, ROSCÁVEL, 4" - FORNECIMENTO E INSTALAÇÃO. AF_08/2021</v>
          </cell>
          <cell r="C4988" t="str">
            <v>UN</v>
          </cell>
          <cell r="D4988">
            <v>626.14</v>
          </cell>
        </row>
        <row r="4989">
          <cell r="A4989" t="str">
            <v>103018</v>
          </cell>
          <cell r="B4989" t="str">
            <v>VÁLVULA DE DESCARGA METÁLICA, BASE 1 1/4", ACABAMENTO METALICO CROMADO - FORNECIMENTO E INSTALAÇÃO. AF_08/2021</v>
          </cell>
          <cell r="C4989" t="str">
            <v>UN</v>
          </cell>
          <cell r="D4989">
            <v>204.03</v>
          </cell>
        </row>
        <row r="4990">
          <cell r="A4990" t="str">
            <v>103019</v>
          </cell>
          <cell r="B4990" t="str">
            <v>REGISTRO OU VÁLVULA GLOBO ANGULAR EM LATÃO, PARA HIDRANTES EM INSTALAÇÃO PREDIAL DE INCÊNDIO, 45 GRAUS, 2 1/2" - FORNECIMENTO E INSTALAÇÃO. AF_08/2021</v>
          </cell>
          <cell r="C4990" t="str">
            <v>UN</v>
          </cell>
          <cell r="D4990">
            <v>201.74</v>
          </cell>
        </row>
        <row r="4991">
          <cell r="A4991" t="str">
            <v>103029</v>
          </cell>
          <cell r="B4991" t="str">
            <v>REGISTRO OU REGULADOR DE GÁS DE COZINHA - FORNECIMENTO E INSTALAÇÃO. AF_08/2021</v>
          </cell>
          <cell r="C4991" t="str">
            <v>UN</v>
          </cell>
          <cell r="D4991">
            <v>42.62</v>
          </cell>
        </row>
        <row r="4992">
          <cell r="A4992" t="str">
            <v>103036</v>
          </cell>
          <cell r="B4992" t="str">
            <v>REGISTRO DE ESFERA, PVC, ROSCÁVEL, COM VOLANTE, 1/2" - FORNECIMENTO E INSTALAÇÃO. AF_08/2021</v>
          </cell>
          <cell r="C4992" t="str">
            <v>UN</v>
          </cell>
          <cell r="D4992">
            <v>28.52</v>
          </cell>
        </row>
        <row r="4993">
          <cell r="A4993" t="str">
            <v>103037</v>
          </cell>
          <cell r="B4993" t="str">
            <v>REGISTRO DE ESFERA, PVC, ROSCÁVEL, COM VOLANTE, 1" - FORNECIMENTO E INSTALAÇÃO. AF_08/2021</v>
          </cell>
          <cell r="C4993" t="str">
            <v>UN</v>
          </cell>
          <cell r="D4993">
            <v>56.05</v>
          </cell>
        </row>
        <row r="4994">
          <cell r="A4994" t="str">
            <v>103038</v>
          </cell>
          <cell r="B4994" t="str">
            <v>REGISTRO DE ESFERA, PVC, ROSCÁVEL, COM VOLANTE, 1 1/4" - FORNECIMENTO E INSTALAÇÃO. AF_08/2021</v>
          </cell>
          <cell r="C4994" t="str">
            <v>UN</v>
          </cell>
          <cell r="D4994">
            <v>74.98</v>
          </cell>
        </row>
        <row r="4995">
          <cell r="A4995" t="str">
            <v>103039</v>
          </cell>
          <cell r="B4995" t="str">
            <v>REGISTRO DE ESFERA, PVC, ROSCÁVEL, COM VOLANTE, 1 1/2" - FORNECIMENTO E INSTALAÇÃO. AF_08/2021</v>
          </cell>
          <cell r="C4995" t="str">
            <v>UN</v>
          </cell>
          <cell r="D4995">
            <v>80.760000000000005</v>
          </cell>
        </row>
        <row r="4996">
          <cell r="A4996" t="str">
            <v>103040</v>
          </cell>
          <cell r="B4996" t="str">
            <v>REGISTRO DE ESFERA, PVC, ROSCÁVEL, COM VOLANTE, 2" - FORNECIMENTO E INSTALAÇÃO. AF_08/2021</v>
          </cell>
          <cell r="C4996" t="str">
            <v>UN</v>
          </cell>
          <cell r="D4996">
            <v>121.05</v>
          </cell>
        </row>
        <row r="4997">
          <cell r="A4997" t="str">
            <v>103041</v>
          </cell>
          <cell r="B4997" t="str">
            <v>REGISTRO DE ESFERA, PVC, ROSCÁVEL, COM BORBOLETA, 1/2" - FORNECIMENTO E INSTALAÇÃO. AF_08/2021</v>
          </cell>
          <cell r="C4997" t="str">
            <v>UN</v>
          </cell>
          <cell r="D4997">
            <v>23.53</v>
          </cell>
        </row>
        <row r="4998">
          <cell r="A4998" t="str">
            <v>103042</v>
          </cell>
          <cell r="B4998" t="str">
            <v>REGISTRO DE ESFERA, PVC, ROSCÁVEL, COM BORBOLETA, 3/4" - FORNECIMENTO E INSTALAÇÃO. AF_08/2021</v>
          </cell>
          <cell r="C4998" t="str">
            <v>UN</v>
          </cell>
          <cell r="D4998">
            <v>28.68</v>
          </cell>
        </row>
        <row r="4999">
          <cell r="A4999" t="str">
            <v>103043</v>
          </cell>
          <cell r="B4999" t="str">
            <v>REGISTRO DE ESFERA, PVC, ROSCÁVEL, COM CABEÇA QUADRADA, 1/2" - FORNECIMENTO E INSTALAÇÃO. AF_08/2021</v>
          </cell>
          <cell r="C4999" t="str">
            <v>UN</v>
          </cell>
          <cell r="D4999">
            <v>27.39</v>
          </cell>
        </row>
        <row r="5000">
          <cell r="A5000" t="str">
            <v>103044</v>
          </cell>
          <cell r="B5000" t="str">
            <v>REGISTRO DE ESFERA, PVC, ROSCÁVEL, COM CABEÇA QUADRADA, 3/4" - FORNECIMENTO E INSTALAÇÃO. AF_08/2021</v>
          </cell>
          <cell r="C5000" t="str">
            <v>UN</v>
          </cell>
          <cell r="D5000">
            <v>36.72</v>
          </cell>
        </row>
        <row r="5001">
          <cell r="A5001" t="str">
            <v>103045</v>
          </cell>
          <cell r="B5001" t="str">
            <v>REGISTRO DE PRESSÃO, PVC, ROSCÁVEL, VOLANTE SIMPLES, 1/2" - FORNECIMENTO E INSTALAÇÃO. AF_08/2021</v>
          </cell>
          <cell r="C5001" t="str">
            <v>UN</v>
          </cell>
          <cell r="D5001">
            <v>10.84</v>
          </cell>
        </row>
        <row r="5002">
          <cell r="A5002" t="str">
            <v>103046</v>
          </cell>
          <cell r="B5002" t="str">
            <v>REGISTRO DE PRESSÃO, PVC, ROSCÁVEL, VOLANTE SIMPLES, 3/4" - FORNECIMENTO E INSTALAÇÃO. AF_08/2021</v>
          </cell>
          <cell r="C5002" t="str">
            <v>UN</v>
          </cell>
          <cell r="D5002">
            <v>27.06</v>
          </cell>
        </row>
        <row r="5003">
          <cell r="A5003" t="str">
            <v>103047</v>
          </cell>
          <cell r="B5003" t="str">
            <v>REGISTRO DE ESFERA, PVC, SOLDÁVEL, COM VOLANTE, DN  20 MM - FORNECIMENTO E INSTALAÇÃO. AF_08/2021</v>
          </cell>
          <cell r="C5003" t="str">
            <v>UN</v>
          </cell>
          <cell r="D5003">
            <v>28.64</v>
          </cell>
        </row>
        <row r="5004">
          <cell r="A5004" t="str">
            <v>103048</v>
          </cell>
          <cell r="B5004" t="str">
            <v>REGISTRO DE PRESSÃO, PVC, SOLDÁVEL, VOLANTE SIMPLES, DN  20 MM - FORNECIMENTO E INSTALAÇÃO. AF_08/2021</v>
          </cell>
          <cell r="C5004" t="str">
            <v>UN</v>
          </cell>
          <cell r="D5004">
            <v>20.97</v>
          </cell>
        </row>
        <row r="5005">
          <cell r="A5005" t="str">
            <v>103049</v>
          </cell>
          <cell r="B5005" t="str">
            <v>REGISTRO DE PRESSÃO, PVC, SOLDÁVEL, VOLANTE SIMPLES, DN  25 MM - FORNECIMENTO E INSTALAÇÃO. AF_08/2021</v>
          </cell>
          <cell r="C5005" t="str">
            <v>UN</v>
          </cell>
          <cell r="D5005">
            <v>22.99</v>
          </cell>
        </row>
        <row r="5006">
          <cell r="A5006" t="str">
            <v>103050</v>
          </cell>
          <cell r="B5006" t="str">
            <v>SUBSTITUIÇÃO DE REGISTRO OU VÁLVULA, ROSCÁVEL, DN  20 MM. AF_08/2021</v>
          </cell>
          <cell r="C5006" t="str">
            <v>UN</v>
          </cell>
          <cell r="D5006">
            <v>22.2</v>
          </cell>
        </row>
        <row r="5007">
          <cell r="A5007" t="str">
            <v>103051</v>
          </cell>
          <cell r="B5007" t="str">
            <v>SUBSTITUIÇÃO DE REGISTRO OU VÁLVULA, ROSCÁVEL, DN  25 MM. AF_08/2021</v>
          </cell>
          <cell r="C5007" t="str">
            <v>UN</v>
          </cell>
          <cell r="D5007">
            <v>27.14</v>
          </cell>
        </row>
        <row r="5008">
          <cell r="A5008" t="str">
            <v>103052</v>
          </cell>
          <cell r="B5008" t="str">
            <v>SUBSTITUIÇÃO DE REGISTRO OU VÁLVULA, ROSCÁVEL, DN  32 MM. AF_08/2021</v>
          </cell>
          <cell r="C5008" t="str">
            <v>UN</v>
          </cell>
          <cell r="D5008">
            <v>38.42</v>
          </cell>
        </row>
        <row r="5009">
          <cell r="A5009" t="str">
            <v>95634</v>
          </cell>
          <cell r="B5009" t="str">
            <v>KIT CAVALETE PARA MEDIÇÃO DE ÁGUA - ENTRADA PRINCIPAL, EM PVC SOLDÁVEL DN 20 (½")   FORNECIMENTO E INSTALAÇÃO (EXCLUSIVE HIDRÔMETRO). AF_11/2016</v>
          </cell>
          <cell r="C5009" t="str">
            <v>UN</v>
          </cell>
          <cell r="D5009">
            <v>188.94</v>
          </cell>
        </row>
        <row r="5010">
          <cell r="A5010" t="str">
            <v>95635</v>
          </cell>
          <cell r="B5010" t="str">
            <v>KIT CAVALETE PARA MEDIÇÃO DE ÁGUA - ENTRADA PRINCIPAL, EM PVC SOLDÁVEL DN 25 (¾")   FORNECIMENTO E INSTALAÇÃO (EXCLUSIVE HIDRÔMETRO). AF_11/2016</v>
          </cell>
          <cell r="C5010" t="str">
            <v>UN</v>
          </cell>
          <cell r="D5010">
            <v>200.37</v>
          </cell>
        </row>
        <row r="5011">
          <cell r="A5011" t="str">
            <v>95636</v>
          </cell>
          <cell r="B5011" t="str">
            <v>KIT CAVALETE PARA MEDIÇÃO DE ÁGUA - ENTRADA PRINCIPAL, EM AÇO GALVANIZADO DN 25 (1 )   FORNECIMENTO E INSTALAÇÃO (EXCLUSIVE HIDRÔMETRO). AF_11/2016</v>
          </cell>
          <cell r="C5011" t="str">
            <v>UN</v>
          </cell>
          <cell r="D5011">
            <v>327.14999999999998</v>
          </cell>
        </row>
        <row r="5012">
          <cell r="A5012" t="str">
            <v>95637</v>
          </cell>
          <cell r="B5012" t="str">
            <v>KIT CAVALETE PARA MEDIÇÃO DE ÁGUA - ENTRADA PRINCIPAL, EM AÇO GALVANIZADO DN 32 (1 ¼)  FORNECIMENTO E INSTALAÇÃO (EXCLUSIVE HIDRÔMETRO). AF_11/2016</v>
          </cell>
          <cell r="C5012" t="str">
            <v>UN</v>
          </cell>
          <cell r="D5012">
            <v>499.24</v>
          </cell>
        </row>
        <row r="5013">
          <cell r="A5013" t="str">
            <v>95638</v>
          </cell>
          <cell r="B5013" t="str">
            <v>KIT CAVALETE PARA MEDIÇÃO DE ÁGUA - ENTRADA PRINCIPAL, EM AÇO GALVANIZADO DN 40 (1 ½)  FORNECIMENTO E INSTALAÇÃO (EXCLUSIVE HIDRÔMETRO). AF_11/2016</v>
          </cell>
          <cell r="C5013" t="str">
            <v>UN</v>
          </cell>
          <cell r="D5013">
            <v>605.46</v>
          </cell>
        </row>
        <row r="5014">
          <cell r="A5014" t="str">
            <v>95639</v>
          </cell>
          <cell r="B5014" t="str">
            <v>KIT CAVALETE PARA MEDIÇÃO DE ÁGUA - ENTRADA PRINCIPAL, EM AÇO GALVANIZADO DN 50 (2)  FORNECIMENTO E INSTALAÇÃO (EXCLUSIVE HIDRÔMETRO). AF_11/2016</v>
          </cell>
          <cell r="C5014" t="str">
            <v>UN</v>
          </cell>
          <cell r="D5014">
            <v>781.61</v>
          </cell>
        </row>
        <row r="5015">
          <cell r="A5015" t="str">
            <v>95641</v>
          </cell>
          <cell r="B5015" t="str">
            <v>KIT CAVALETE PARA MEDIÇÃO DE ÁGUA - ENTRADA INDIVIDUALIZADA, EM PVC DN 25 (¾), PARA 2 MEDIDORES  FORNECIMENTO E INSTALAÇÃO (EXCLUSIVE HIDRÔMETRO). AF_11/2016</v>
          </cell>
          <cell r="C5015" t="str">
            <v>UN</v>
          </cell>
          <cell r="D5015">
            <v>311.74</v>
          </cell>
        </row>
        <row r="5016">
          <cell r="A5016" t="str">
            <v>95642</v>
          </cell>
          <cell r="B5016" t="str">
            <v>KIT CAVALETE PARA MEDIÇÃO DE ÁGUA - ENTRADA INDIVIDUALIZADA, EM PVC DN 25 (¾), PARA 3 MEDIDORES  FORNECIMENTO E INSTALAÇÃO (EXCLUSIVE HIDRÔMETRO). AF_11/2016</v>
          </cell>
          <cell r="C5016" t="str">
            <v>UN</v>
          </cell>
          <cell r="D5016">
            <v>460.26</v>
          </cell>
        </row>
        <row r="5017">
          <cell r="A5017" t="str">
            <v>95643</v>
          </cell>
          <cell r="B5017" t="str">
            <v>KIT CAVALETE PARA MEDIÇÃO DE ÁGUA - ENTRADA INDIVIDUALIZADA, EM PVC DN 25 (¾), PARA 4 MEDIDORES  FORNECIMENTO E INSTALAÇÃO (EXCLUSIVE HIDRÔMETRO). AF_11/2016</v>
          </cell>
          <cell r="C5017" t="str">
            <v>UN</v>
          </cell>
          <cell r="D5017">
            <v>602.03</v>
          </cell>
        </row>
        <row r="5018">
          <cell r="A5018" t="str">
            <v>95644</v>
          </cell>
          <cell r="B5018" t="str">
            <v>KIT CAVALETE PARA MEDIÇÃO DE ÁGUA - ENTRADA INDIVIDUALIZADA, EM PVC DN 32 (1), PARA 1 MEDIDOR  FORNECIMENTO E INSTALAÇÃO (EXCLUSIVE HIDRÔMETRO). AF_11/2016</v>
          </cell>
          <cell r="C5018" t="str">
            <v>UN</v>
          </cell>
          <cell r="D5018">
            <v>234.47</v>
          </cell>
        </row>
        <row r="5019">
          <cell r="A5019" t="str">
            <v>95645</v>
          </cell>
          <cell r="B5019" t="str">
            <v>KIT CAVALETE PARA MEDIÇÃO DE ÁGUA - ENTRADA INDIVIDUALIZADA, EM PVC DN 32 (1), PARA 2 MEDIDORES  FORNECIMENTO E INSTALAÇÃO (EXCLUSIVE HIDRÔMETRO). AF_11/2016</v>
          </cell>
          <cell r="C5019" t="str">
            <v>UN</v>
          </cell>
          <cell r="D5019">
            <v>428.51</v>
          </cell>
        </row>
        <row r="5020">
          <cell r="A5020" t="str">
            <v>95646</v>
          </cell>
          <cell r="B5020" t="str">
            <v>KIT CAVALETE PARA MEDIÇÃO DE ÁGUA - ENTRADA INDIVIDUALIZADA, EM PVC DN 32 (1), PARA 3 MEDIDORES  FORNECIMENTO E INSTALAÇÃO (EXCLUSIVE HIDRÔMETRO). AF_11/2016</v>
          </cell>
          <cell r="C5020" t="str">
            <v>UN</v>
          </cell>
          <cell r="D5020">
            <v>638.74</v>
          </cell>
        </row>
        <row r="5021">
          <cell r="A5021" t="str">
            <v>95647</v>
          </cell>
          <cell r="B5021" t="str">
            <v>KIT CAVALETE PARA MEDIÇÃO DE ÁGUA - ENTRADA INDIVIDUALIZADA, EM PVC DN 32 (1), PARA 4 MEDIDORES  FORNECIMENTO E INSTALAÇÃO (EXCLUSIVE HIDRÔMETRO). AF_11/2016</v>
          </cell>
          <cell r="C5021" t="str">
            <v>UN</v>
          </cell>
          <cell r="D5021">
            <v>837.34</v>
          </cell>
        </row>
        <row r="5022">
          <cell r="A5022" t="str">
            <v>95673</v>
          </cell>
          <cell r="B5022" t="str">
            <v>HIDRÔMETRO DN 20 (½), 1,5 M³/H  FORNECIMENTO E INSTALAÇÃO. AF_11/2016</v>
          </cell>
          <cell r="C5022" t="str">
            <v>UN</v>
          </cell>
          <cell r="D5022">
            <v>114.02</v>
          </cell>
        </row>
        <row r="5023">
          <cell r="A5023" t="str">
            <v>95674</v>
          </cell>
          <cell r="B5023" t="str">
            <v>HIDRÔMETRO DN 20 (½), 3,0 M³/H  FORNECIMENTO E INSTALAÇÃO. AF_11/2016</v>
          </cell>
          <cell r="C5023" t="str">
            <v>UN</v>
          </cell>
          <cell r="D5023">
            <v>121.07</v>
          </cell>
        </row>
        <row r="5024">
          <cell r="A5024" t="str">
            <v>95675</v>
          </cell>
          <cell r="B5024" t="str">
            <v>HIDRÔMETRO DN 25 (¾ ), 5,0 M³/H FORNECIMENTO E INSTALAÇÃO. AF_11/2016</v>
          </cell>
          <cell r="C5024" t="str">
            <v>UN</v>
          </cell>
          <cell r="D5024">
            <v>147.91999999999999</v>
          </cell>
        </row>
        <row r="5025">
          <cell r="A5025" t="str">
            <v>95676</v>
          </cell>
          <cell r="B5025" t="str">
            <v>CAIXA EM CONCRETO PRÉ-MOLDADO PARA ABRIGO DE HIDRÔMETRO COM DN 20 (½)  FORNECIMENTO E INSTALAÇÃO. AF_11/2016</v>
          </cell>
          <cell r="C5025" t="str">
            <v>UN</v>
          </cell>
          <cell r="D5025">
            <v>85.36</v>
          </cell>
        </row>
        <row r="5026">
          <cell r="A5026" t="str">
            <v>97741</v>
          </cell>
          <cell r="B5026" t="str">
            <v>KIT CAVALETE PARA MEDIÇÃO DE ÁGUA - ENTRADA INDIVIDUALIZADA, EM PVC DN 25 (¾), PARA 1 MEDIDOR  FORNECIMENTO E INSTALAÇÃO (EXCLUSIVE HIDRÔMETRO). AF_11/2016</v>
          </cell>
          <cell r="C5026" t="str">
            <v>UN</v>
          </cell>
          <cell r="D5026">
            <v>175.41</v>
          </cell>
        </row>
        <row r="5027">
          <cell r="A5027" t="str">
            <v>90436</v>
          </cell>
          <cell r="B5027" t="str">
            <v>FURO EM ALVENARIA PARA DIÂMETROS MENORES OU IGUAIS A 40 MM. AF_05/2015</v>
          </cell>
          <cell r="C5027" t="str">
            <v>UN</v>
          </cell>
          <cell r="D5027">
            <v>12.15</v>
          </cell>
        </row>
        <row r="5028">
          <cell r="A5028" t="str">
            <v>90437</v>
          </cell>
          <cell r="B5028" t="str">
            <v>FURO EM ALVENARIA PARA DIÂMETROS MAIORES QUE 40 MM E MENORES OU IGUAIS A 75 MM. AF_05/2015</v>
          </cell>
          <cell r="C5028" t="str">
            <v>UN</v>
          </cell>
          <cell r="D5028">
            <v>29.53</v>
          </cell>
        </row>
        <row r="5029">
          <cell r="A5029" t="str">
            <v>90438</v>
          </cell>
          <cell r="B5029" t="str">
            <v>FURO EM ALVENARIA PARA DIÂMETROS MAIORES QUE 75 MM. AF_05/2015</v>
          </cell>
          <cell r="C5029" t="str">
            <v>UN</v>
          </cell>
          <cell r="D5029">
            <v>42.33</v>
          </cell>
        </row>
        <row r="5030">
          <cell r="A5030" t="str">
            <v>90439</v>
          </cell>
          <cell r="B5030" t="str">
            <v>FURO EM CONCRETO PARA DIÂMETROS MENORES OU IGUAIS A 40 MM. AF_05/2015</v>
          </cell>
          <cell r="C5030" t="str">
            <v>UN</v>
          </cell>
          <cell r="D5030">
            <v>50.16</v>
          </cell>
        </row>
        <row r="5031">
          <cell r="A5031" t="str">
            <v>90440</v>
          </cell>
          <cell r="B5031" t="str">
            <v>FURO EM CONCRETO PARA DIÂMETROS MAIORES QUE 40 MM E MENORES OU IGUAIS A 75 MM. AF_05/2015</v>
          </cell>
          <cell r="C5031" t="str">
            <v>UN</v>
          </cell>
          <cell r="D5031">
            <v>80.33</v>
          </cell>
        </row>
        <row r="5032">
          <cell r="A5032" t="str">
            <v>90441</v>
          </cell>
          <cell r="B5032" t="str">
            <v>FURO EM CONCRETO PARA DIÂMETROS MAIORES QUE 75 MM. AF_05/2015</v>
          </cell>
          <cell r="C5032" t="str">
            <v>M</v>
          </cell>
          <cell r="D5032">
            <v>102.61</v>
          </cell>
        </row>
        <row r="5033">
          <cell r="A5033" t="str">
            <v>90443</v>
          </cell>
          <cell r="B5033" t="str">
            <v>RASGO EM ALVENARIA PARA RAMAIS/ DISTRIBUIÇÃO COM DIAMETROS MENORES OU IGUAIS A 40 MM. AF_05/2015</v>
          </cell>
          <cell r="C5033" t="str">
            <v>M</v>
          </cell>
          <cell r="D5033">
            <v>11.05</v>
          </cell>
        </row>
        <row r="5034">
          <cell r="A5034" t="str">
            <v>90444</v>
          </cell>
          <cell r="B5034" t="str">
            <v>RASGO EM CONTRAPISO PARA RAMAIS/ DISTRIBUIÇÃO COM DIÂMETROS MENORES OU IGUAIS A 40 MM. AF_05/2015</v>
          </cell>
          <cell r="C5034" t="str">
            <v>M</v>
          </cell>
          <cell r="D5034">
            <v>21.51</v>
          </cell>
        </row>
        <row r="5035">
          <cell r="A5035" t="str">
            <v>90445</v>
          </cell>
          <cell r="B5035" t="str">
            <v>RASGO EM CONTRAPISO PARA RAMAIS/ DISTRIBUIÇÃO COM DIÂMETROS MAIORES QUE 40 MM E MENORES OU IGUAIS A 75 MM. AF_05/2015</v>
          </cell>
          <cell r="C5035" t="str">
            <v>M</v>
          </cell>
          <cell r="D5035">
            <v>22.97</v>
          </cell>
        </row>
        <row r="5036">
          <cell r="A5036" t="str">
            <v>90446</v>
          </cell>
          <cell r="B5036" t="str">
            <v>RASGO EM CONTRAPISO PARA RAMAIS/ DISTRIBUIÇÃO COM DIÂMETROS MAIORES QUE 75 MM. AF_05/2015</v>
          </cell>
          <cell r="C5036" t="str">
            <v>M</v>
          </cell>
          <cell r="D5036">
            <v>24.96</v>
          </cell>
        </row>
        <row r="5037">
          <cell r="A5037" t="str">
            <v>90447</v>
          </cell>
          <cell r="B5037" t="str">
            <v>RASGO EM ALVENARIA PARA ELETRODUTOS COM DIAMETROS MENORES OU IGUAIS A 40 MM. AF_05/2015</v>
          </cell>
          <cell r="C5037" t="str">
            <v>UN</v>
          </cell>
          <cell r="D5037">
            <v>6.47</v>
          </cell>
        </row>
        <row r="5038">
          <cell r="A5038" t="str">
            <v>90451</v>
          </cell>
          <cell r="B5038" t="str">
            <v>PASSANTE TIPO PEÇA EM POLIESTIRENO PARA ABERTURA PARA PASSAGEM DE 1 TUBO, FIXADO EM LAJE. AF_05/2015</v>
          </cell>
          <cell r="C5038" t="str">
            <v>UN</v>
          </cell>
          <cell r="D5038">
            <v>3.74</v>
          </cell>
        </row>
        <row r="5039">
          <cell r="A5039" t="str">
            <v>90452</v>
          </cell>
          <cell r="B5039" t="str">
            <v>PASSANTE TIPO PEÇA EM POLIESTIRENO PARA ABERTURA PARA PASSAGEM DE MAIS DE 1 TUBO, FIXADO EM LAJE. AF_05/2015</v>
          </cell>
          <cell r="C5039" t="str">
            <v>UN</v>
          </cell>
          <cell r="D5039">
            <v>14.62</v>
          </cell>
        </row>
        <row r="5040">
          <cell r="A5040" t="str">
            <v>90453</v>
          </cell>
          <cell r="B5040" t="str">
            <v>PASSANTE TIPO TUBO DE DIÂMETRO MENOR OU IGUAL A 40 MM, FIXADO EM LAJE. AF_05/2015</v>
          </cell>
          <cell r="C5040" t="str">
            <v>UN</v>
          </cell>
          <cell r="D5040">
            <v>2.92</v>
          </cell>
        </row>
        <row r="5041">
          <cell r="A5041" t="str">
            <v>90454</v>
          </cell>
          <cell r="B5041" t="str">
            <v>PASSANTE TIPO TUBO DE DIÂMETRO MAIORES QUE 40 MM E MENORES OU IGUAIS A 75 MM, FIXADO EM LAJE. AF_05/2015</v>
          </cell>
          <cell r="C5041" t="str">
            <v>UN</v>
          </cell>
          <cell r="D5041">
            <v>5.48</v>
          </cell>
        </row>
        <row r="5042">
          <cell r="A5042" t="str">
            <v>90455</v>
          </cell>
          <cell r="B5042" t="str">
            <v>PASSANTE TIPO TUBO DE DIÂMETRO MAIOR QUE 75 MM, FIXADO EM LAJE. AF_05/2015</v>
          </cell>
          <cell r="C5042" t="str">
            <v>UN</v>
          </cell>
          <cell r="D5042">
            <v>6.98</v>
          </cell>
        </row>
        <row r="5043">
          <cell r="A5043" t="str">
            <v>90456</v>
          </cell>
          <cell r="B5043" t="str">
            <v>QUEBRA EM ALVENARIA PARA INSTALAÇÃO DE CAIXA DE TOMADA (4X4 OU 4X2). AF_05/2015</v>
          </cell>
          <cell r="C5043" t="str">
            <v>UN</v>
          </cell>
          <cell r="D5043">
            <v>3.54</v>
          </cell>
        </row>
        <row r="5044">
          <cell r="A5044" t="str">
            <v>90457</v>
          </cell>
          <cell r="B5044" t="str">
            <v>QUEBRA EM ALVENARIA PARA INSTALAÇÃO DE QUADRO DISTRIBUIÇÃO PEQUENO (19X25 CM). AF_05/2015</v>
          </cell>
          <cell r="C5044" t="str">
            <v>UN</v>
          </cell>
          <cell r="D5044">
            <v>8.08</v>
          </cell>
        </row>
        <row r="5045">
          <cell r="A5045" t="str">
            <v>90458</v>
          </cell>
          <cell r="B5045" t="str">
            <v>QUEBRA EM ALVENARIA PARA INSTALAÇÃO DE QUADRO DISTRIBUIÇÃO GRANDE (76X40 CM). AF_05/2015</v>
          </cell>
          <cell r="C5045" t="str">
            <v>UN</v>
          </cell>
          <cell r="D5045">
            <v>22.94</v>
          </cell>
        </row>
        <row r="5046">
          <cell r="A5046" t="str">
            <v>90459</v>
          </cell>
          <cell r="B5046" t="str">
            <v>QUEBRA EM ALVENARIA PARA INSTALAÇÃO DE ABRIGO PARA MANGUEIRAS (90X60 CM). AF_05/2015</v>
          </cell>
          <cell r="C5046" t="str">
            <v>M</v>
          </cell>
          <cell r="D5046">
            <v>32.369999999999997</v>
          </cell>
        </row>
        <row r="5047">
          <cell r="A5047" t="str">
            <v>90460</v>
          </cell>
          <cell r="B5047" t="str">
            <v>SUPORTE PARA ATÉ 3 TUBOS HORIZONTAIS, ESPAÇADO A CADA 1 M, EM PERFILADO DE SEÇÃO 38X76 MM, POR METRO DE TUBULAÇÃO FIXADA. AF_05/2015</v>
          </cell>
          <cell r="C5047" t="str">
            <v>M</v>
          </cell>
          <cell r="D5047">
            <v>10.47</v>
          </cell>
        </row>
        <row r="5048">
          <cell r="A5048" t="str">
            <v>90461</v>
          </cell>
          <cell r="B5048" t="str">
            <v>SUPORTE PARA MAIS DE 3 TUBOS HORIZONTAIS, ESPAÇADO A CADA 1 M, EM PERFILADO DE SEÇÃO 38X76 MM, POR METRO DE TUBULAÇÃO FIXADA. AF_05/2015</v>
          </cell>
          <cell r="C5048" t="str">
            <v>M</v>
          </cell>
          <cell r="D5048">
            <v>6.81</v>
          </cell>
        </row>
        <row r="5049">
          <cell r="A5049" t="str">
            <v>90462</v>
          </cell>
          <cell r="B5049" t="str">
            <v>SUPORTE PARA ATÉ 3 TUBOS VERTICAIS, ESPAÇADO A CADA 3 M, EM PERFILADO DE SEÇÃO 38X38 MM, POR METRO DE TUBULAÇÃO FIXADA. AF_05/2015</v>
          </cell>
          <cell r="C5049" t="str">
            <v>M</v>
          </cell>
          <cell r="D5049">
            <v>1.39</v>
          </cell>
        </row>
        <row r="5050">
          <cell r="A5050" t="str">
            <v>90463</v>
          </cell>
          <cell r="B5050" t="str">
            <v>SUPORTE PARA MAIS DE 3 TUBOS VERTICAIS, ESPAÇADO A CADA 3 M, EM PERFILADO DE SEÇÃO 38X38 MM, POR METRO DE TUBULAÇÃO FIXADA. AF_05/2015</v>
          </cell>
          <cell r="C5050" t="str">
            <v>M</v>
          </cell>
          <cell r="D5050">
            <v>1.2</v>
          </cell>
        </row>
        <row r="5051">
          <cell r="A5051" t="str">
            <v>90466</v>
          </cell>
          <cell r="B5051" t="str">
            <v>CHUMBAMENTO LINEAR EM ALVENARIA PARA RAMAIS/DISTRIBUIÇÃO COM DIÂMETROS MENORES OU IGUAIS A 40 MM. AF_05/2015</v>
          </cell>
          <cell r="C5051" t="str">
            <v>M</v>
          </cell>
          <cell r="D5051">
            <v>10.94</v>
          </cell>
        </row>
        <row r="5052">
          <cell r="A5052" t="str">
            <v>90467</v>
          </cell>
          <cell r="B5052" t="str">
            <v>CHUMBAMENTO LINEAR EM ALVENARIA PARA RAMAIS/DISTRIBUIÇÃO COM DIÂMETROS MAIORES QUE 40 MM E MENORES OU IGUAIS A 75 MM. AF_05/2015</v>
          </cell>
          <cell r="C5052" t="str">
            <v>M</v>
          </cell>
          <cell r="D5052">
            <v>17.3</v>
          </cell>
        </row>
        <row r="5053">
          <cell r="A5053" t="str">
            <v>90468</v>
          </cell>
          <cell r="B5053" t="str">
            <v>CHUMBAMENTO LINEAR EM CONTRAPISO PARA RAMAIS/DISTRIBUIÇÃO COM DIÂMETROS MENORES OU IGUAIS A 40 MM. AF_05/2015</v>
          </cell>
          <cell r="C5053" t="str">
            <v>M</v>
          </cell>
          <cell r="D5053">
            <v>4.75</v>
          </cell>
        </row>
        <row r="5054">
          <cell r="A5054" t="str">
            <v>90469</v>
          </cell>
          <cell r="B5054" t="str">
            <v>CHUMBAMENTO LINEAR EM CONTRAPISO PARA RAMAIS/DISTRIBUIÇÃO COM DIÂMETROS MAIORES QUE 40 MM E MENORES OU IGUAIS A 75 MM. AF_05/2015</v>
          </cell>
          <cell r="C5054" t="str">
            <v>M</v>
          </cell>
          <cell r="D5054">
            <v>7.61</v>
          </cell>
        </row>
        <row r="5055">
          <cell r="A5055" t="str">
            <v>90470</v>
          </cell>
          <cell r="B5055" t="str">
            <v>CHUMBAMENTO LINEAR EM CONTRAPISO PARA RAMAIS/DISTRIBUIÇÃO COM DIÂMETROS MAIORES QUE 75 MM. AF_05/2015</v>
          </cell>
          <cell r="C5055" t="str">
            <v>M</v>
          </cell>
          <cell r="D5055">
            <v>10.43</v>
          </cell>
        </row>
        <row r="5056">
          <cell r="A5056" t="str">
            <v>91166</v>
          </cell>
          <cell r="B5056" t="str">
            <v>FIXAÇÃO DE TUBOS HORIZONTAIS DE PEX DIAMETROS IGUAIS OU INFERIORES A 40 MM COM ABRAÇADEIRA PLÁSTICA 390 MM, FIXADA EM LAJE. AF_05/2015</v>
          </cell>
          <cell r="C5056" t="str">
            <v>M</v>
          </cell>
          <cell r="D5056">
            <v>3.34</v>
          </cell>
        </row>
        <row r="5057">
          <cell r="A5057" t="str">
            <v>91167</v>
          </cell>
          <cell r="B5057" t="str">
            <v>FIXAÇÃO DE TUBOS HORIZONTAIS DE PPR DIÂMETROS MENORES OU IGUAIS A 40 MM COM ABRAÇADEIRA METÁLICA RÍGIDA TIPO D 1/2", FIXADA EM PERFILADO EM LAJE. AF_05/2015</v>
          </cell>
          <cell r="C5057" t="str">
            <v>M</v>
          </cell>
          <cell r="D5057">
            <v>11.27</v>
          </cell>
        </row>
        <row r="5058">
          <cell r="A5058" t="str">
            <v>91168</v>
          </cell>
          <cell r="B5058" t="str">
            <v>FIXAÇÃO DE TUBOS HORIZONTAIS DE PPR DIÂMETROS MAIORES QUE 40 MM E MENORES OU IGUAIS A 75 MM COM ABRAÇADEIRA METÁLICA RÍGIDA TIPO D 1 1/2", FIXADA EM PERFILADO EM LAJE. AF_05/2015</v>
          </cell>
          <cell r="C5058" t="str">
            <v>M</v>
          </cell>
          <cell r="D5058">
            <v>8.58</v>
          </cell>
        </row>
        <row r="5059">
          <cell r="A5059" t="str">
            <v>91169</v>
          </cell>
          <cell r="B5059" t="str">
            <v>FIXAÇÃO DE TUBOS HORIZONTAIS DE PPR DIÂMETROS MAIORES QUE 75 MM COM ABRAÇADEIRA METÁLICA RÍGIDA TIPO D 3", FIXADA EM PERFILADO EM LAJE. AF_05/2015</v>
          </cell>
          <cell r="C5059" t="str">
            <v>M</v>
          </cell>
          <cell r="D5059">
            <v>10.14</v>
          </cell>
        </row>
        <row r="5060">
          <cell r="A5060" t="str">
            <v>91170</v>
          </cell>
          <cell r="B5060" t="str">
            <v>FIXAÇÃO DE TUBOS HORIZONTAIS DE PVC, CPVC OU COBRE DIÂMETROS MENORES OU IGUAIS A 40 MM OU ELETROCALHAS ATÉ 150MM DE LARGURA, COM ABRAÇADEIRA METÁLICA RÍGIDA TIPO D 1/2, FIXADA EM PERFILADO EM LAJE. AF_05/2015</v>
          </cell>
          <cell r="C5060" t="str">
            <v>M</v>
          </cell>
          <cell r="D5060">
            <v>2.9</v>
          </cell>
        </row>
        <row r="5061">
          <cell r="A5061" t="str">
            <v>91171</v>
          </cell>
          <cell r="B5061" t="str">
            <v>FIXAÇÃO DE TUBOS HORIZONTAIS DE PVC, CPVC OU COBRE DIÂMETROS MAIORES QUE 40 MM E MENORES OU IGUAIS A 75 MM COM ABRAÇADEIRA METÁLICA RÍGIDA TIPO D 1 1/2", FIXADA EM PERFILADO EM LAJE. AF_05/2015</v>
          </cell>
          <cell r="C5061" t="str">
            <v>M</v>
          </cell>
          <cell r="D5061">
            <v>3.65</v>
          </cell>
        </row>
        <row r="5062">
          <cell r="A5062" t="str">
            <v>91172</v>
          </cell>
          <cell r="B5062" t="str">
            <v>FIXAÇÃO DE TUBOS HORIZONTAIS DE PVC, CPVC OU COBRE DIÂMETROS MAIORES QUE 75 MM COM ABRAÇADEIRA METÁLICA RÍGIDA TIPO D 3", FIXADA EM PERFILADO EM LAJE. AF_05/2015</v>
          </cell>
          <cell r="C5062" t="str">
            <v>M</v>
          </cell>
          <cell r="D5062">
            <v>5.36</v>
          </cell>
        </row>
        <row r="5063">
          <cell r="A5063" t="str">
            <v>91173</v>
          </cell>
          <cell r="B5063" t="str">
            <v>FIXAÇÃO DE TUBOS VERTICAIS DE PPR DIÂMETROS MENORES OU IGUAIS A 40 MM COM ABRAÇADEIRA METÁLICA RÍGIDA TIPO D 1/2", FIXADA EM PERFILADO EM ALVENARIA. AF_05/2015</v>
          </cell>
          <cell r="C5063" t="str">
            <v>M</v>
          </cell>
          <cell r="D5063">
            <v>1.46</v>
          </cell>
        </row>
        <row r="5064">
          <cell r="A5064" t="str">
            <v>91174</v>
          </cell>
          <cell r="B5064" t="str">
            <v>FIXAÇÃO DE TUBOS VERTICAIS DE PPR DIÂMETROS MAIORES QUE 40 MM E MENORES OU IGUAIS A 75 MM COM ABRAÇADEIRA METÁLICA RÍGIDA TIPO D 1 1/2", FIXADA EM PERFILADO EM ALVENARIA. AF_05/2015</v>
          </cell>
          <cell r="C5064" t="str">
            <v>M</v>
          </cell>
          <cell r="D5064">
            <v>2.89</v>
          </cell>
        </row>
        <row r="5065">
          <cell r="A5065" t="str">
            <v>91175</v>
          </cell>
          <cell r="B5065" t="str">
            <v>FIXAÇÃO DE TUBOS VERTICAIS DE PPR DIÂMETROS MAIORES QUE 75 MM COM ABRAÇADEIRA METÁLICA RÍGIDA TIPO D 3", FIXADA EM PERFILADO EM ALVENARIA. AF_05/2015</v>
          </cell>
          <cell r="C5065" t="str">
            <v>M</v>
          </cell>
          <cell r="D5065">
            <v>4.71</v>
          </cell>
        </row>
        <row r="5066">
          <cell r="A5066" t="str">
            <v>91176</v>
          </cell>
          <cell r="B5066" t="str">
            <v>FIXAÇÃO DE TUBOS HORIZONTAIS DE PPR DIÂMETROS MENORES OU IGUAIS A 40 MM COM ABRAÇADEIRA METÁLICA RÍGIDA TIPO  D  1/2" , FIXADA DIRETAMENTE NA LAJE. AF_05/2015</v>
          </cell>
          <cell r="C5066" t="str">
            <v>M</v>
          </cell>
          <cell r="D5066">
            <v>24.78</v>
          </cell>
        </row>
        <row r="5067">
          <cell r="A5067" t="str">
            <v>91177</v>
          </cell>
          <cell r="B5067" t="str">
            <v>FIXAÇÃO DE TUBOS HORIZONTAIS DE PPR DIÂMETROS MAIORES QUE 40 MM E MENORES OU IGUAIS A 75 MM COM ABRAÇADEIRA METÁLICA RÍGIDA TIPO  D  1 1/2" , FIXADA DIRETAMENTE NA LAJE. AF_05/2015</v>
          </cell>
          <cell r="C5067" t="str">
            <v>M</v>
          </cell>
          <cell r="D5067">
            <v>11.86</v>
          </cell>
        </row>
        <row r="5068">
          <cell r="A5068" t="str">
            <v>91178</v>
          </cell>
          <cell r="B5068" t="str">
            <v>FIXAÇÃO DE TUBOS HORIZONTAIS DE PPR DIÂMETROS MAIORES QUE 75 MM COM ABRAÇADEIRA METÁLICA RÍGIDA TIPO  D  3" , FIXADA DIRETAMENTE NA LAJE. AF_05/2015</v>
          </cell>
          <cell r="C5068" t="str">
            <v>M</v>
          </cell>
          <cell r="D5068">
            <v>13.95</v>
          </cell>
        </row>
        <row r="5069">
          <cell r="A5069" t="str">
            <v>91179</v>
          </cell>
          <cell r="B5069" t="str">
            <v>FIXAÇÃO DE TUBOS HORIZONTAIS DE PVC, CPVC OU COBRE DIÂMETROS MENORES OU IGUAIS A 40 MM COM ABRAÇADEIRA METÁLICA RÍGIDA TIPO  D  1/2" , FIXADA DIRETAMENTE NA LAJE. AF_05/2015</v>
          </cell>
          <cell r="C5069" t="str">
            <v>M</v>
          </cell>
          <cell r="D5069">
            <v>6.35</v>
          </cell>
        </row>
        <row r="5070">
          <cell r="A5070" t="str">
            <v>91180</v>
          </cell>
          <cell r="B5070" t="str">
            <v>FIXAÇÃO DE TUBOS HORIZONTAIS DE PVC, CPVC OU COBRE DIÂMETROS MAIORES QUE 40 MM E MENORES OU IGUAIS A 75 MM COM ABRAÇADEIRA METÁLICA RÍGIDA TIPO D 1 1/2, FIXADA DIRETAMENTE NA LAJE. AF_05/2015</v>
          </cell>
          <cell r="C5070" t="str">
            <v>M</v>
          </cell>
          <cell r="D5070">
            <v>5.85</v>
          </cell>
        </row>
        <row r="5071">
          <cell r="A5071" t="str">
            <v>91181</v>
          </cell>
          <cell r="B5071" t="str">
            <v>FIXAÇÃO DE TUBOS HORIZONTAIS DE PVC, CPVC OU COBRE DIÂMETROS MAIORES QUE 75 MM COM ABRAÇADEIRA METÁLICA RÍGIDA TIPO  D  3" , FIXADA DIRETAMENTE NA LAJE. AF_05/2015</v>
          </cell>
          <cell r="C5071" t="str">
            <v>M</v>
          </cell>
          <cell r="D5071">
            <v>6.49</v>
          </cell>
        </row>
        <row r="5072">
          <cell r="A5072" t="str">
            <v>91182</v>
          </cell>
          <cell r="B5072" t="str">
            <v>FIXAÇÃO DE TUBOS HORIZONTAIS DE PPR DIÂMETROS MENORES OU IGUAIS A 40 MM COM ABRAÇADEIRA METÁLICA FLEXÍVEL 18 MM, FIXADA DIRETAMENTE NA LAJE. AF_05/2015</v>
          </cell>
          <cell r="C5072" t="str">
            <v>M</v>
          </cell>
          <cell r="D5072">
            <v>23.82</v>
          </cell>
        </row>
        <row r="5073">
          <cell r="A5073" t="str">
            <v>91183</v>
          </cell>
          <cell r="B5073" t="str">
            <v>FIXAÇÃO DE TUBOS HORIZONTAIS DE PPR DIÂMETROS MAIORES QUE 40 MM E MENORES OU IGUAIS A 75 MM COM ABRAÇADEIRA METÁLICA FLEXÍVEL 18 MM, FIXADA DIRETAMENTE NA LAJE. AF_05/2015</v>
          </cell>
          <cell r="C5073" t="str">
            <v>M</v>
          </cell>
          <cell r="D5073">
            <v>11.69</v>
          </cell>
        </row>
        <row r="5074">
          <cell r="A5074" t="str">
            <v>91184</v>
          </cell>
          <cell r="B5074" t="str">
            <v>FIXAÇÃO DE TUBOS HORIZONTAIS DE PPR DIÂMETROS MAIORES QUE 75 MM COM ABRAÇADEIRA METÁLICA FLEXÍVEL 18 MM, FIXADA DIRETAMENTE NA LAJE. AF_05/2015</v>
          </cell>
          <cell r="C5074" t="str">
            <v>M</v>
          </cell>
          <cell r="D5074">
            <v>10.89</v>
          </cell>
        </row>
        <row r="5075">
          <cell r="A5075" t="str">
            <v>91185</v>
          </cell>
          <cell r="B5075" t="str">
            <v>FIXAÇÃO DE TUBOS HORIZONTAIS DE PVC, CPVC OU COBRE DIÂMETROS MENORES OU IGUAIS A 40 MM COM ABRAÇADEIRA METÁLICA FLEXÍVEL 18 MM, FIXADA DIRETAMENTE NA LAJE. AF_05/2015</v>
          </cell>
          <cell r="C5075" t="str">
            <v>M</v>
          </cell>
          <cell r="D5075">
            <v>6.1</v>
          </cell>
        </row>
        <row r="5076">
          <cell r="A5076" t="str">
            <v>91186</v>
          </cell>
          <cell r="B5076" t="str">
            <v>FIXAÇÃO DE TUBOS HORIZONTAIS DE PVC, CPVC OU COBRE DIÂMETROS MAIORES QUE 40 MM E MENORES OU IGUAIS A 75 MM COM ABRAÇADEIRA METÁLICA FLEXÍVEL 18 MM, FIXADA DIRETAMENTE NA LAJE. AF_05/2015</v>
          </cell>
          <cell r="C5076" t="str">
            <v>M</v>
          </cell>
          <cell r="D5076">
            <v>4.9800000000000004</v>
          </cell>
        </row>
        <row r="5077">
          <cell r="A5077" t="str">
            <v>91187</v>
          </cell>
          <cell r="B5077" t="str">
            <v>FIXAÇÃO DE TUBOS HORIZONTAIS DE PVC, CPVC OU COBRE DIÂMETROS MAIORES QUE 75 MM COM ABRAÇADEIRA METÁLICA FLEXÍVEL 18 MM, FIXADA DIRETAMENTE NA LAJE. AF_05/2015</v>
          </cell>
          <cell r="C5077" t="str">
            <v>UN</v>
          </cell>
          <cell r="D5077">
            <v>5.74</v>
          </cell>
        </row>
        <row r="5078">
          <cell r="A5078" t="str">
            <v>91188</v>
          </cell>
          <cell r="B5078" t="str">
            <v>CHUMBAMENTO PONTUAL DE ABERTURA EM LAJE COM PASSAGEM DE 1 TUBO DE DIAMETRO EQUIVALENTE IGUAL À  50 MM. AF_05/2015</v>
          </cell>
          <cell r="C5078" t="str">
            <v>UN</v>
          </cell>
          <cell r="D5078">
            <v>6.25</v>
          </cell>
        </row>
        <row r="5079">
          <cell r="A5079" t="str">
            <v>91189</v>
          </cell>
          <cell r="B5079" t="str">
            <v>CHUMBAMENTO PONTUAL DE ABERTURA EM LAJE COM PASSAGEM DE MAIS DE 1 TUBO DE  DIAMETRO EQUIVALENTE IGUAL À  50 MM. AF_05/2015</v>
          </cell>
          <cell r="C5079" t="str">
            <v>UN</v>
          </cell>
          <cell r="D5079">
            <v>45.64</v>
          </cell>
        </row>
        <row r="5080">
          <cell r="A5080" t="str">
            <v>91190</v>
          </cell>
          <cell r="B5080" t="str">
            <v>CHUMBAMENTO PONTUAL EM PASSAGEM DE TUBO COM DIÂMETRO MENOR OU IGUAL A 40 MM. AF_05/2015</v>
          </cell>
          <cell r="C5080" t="str">
            <v>UN</v>
          </cell>
          <cell r="D5080">
            <v>4.24</v>
          </cell>
        </row>
        <row r="5081">
          <cell r="A5081" t="str">
            <v>91191</v>
          </cell>
          <cell r="B5081" t="str">
            <v>CHUMBAMENTO PONTUAL EM PASSAGEM DE TUBO COM DIÂMETROS ENTRE 40 MM E 75 MM. AF_05/2015</v>
          </cell>
          <cell r="C5081" t="str">
            <v>UN</v>
          </cell>
          <cell r="D5081">
            <v>4.5</v>
          </cell>
        </row>
        <row r="5082">
          <cell r="A5082" t="str">
            <v>91192</v>
          </cell>
          <cell r="B5082" t="str">
            <v>CHUMBAMENTO PONTUAL EM PASSAGEM DE TUBO COM DIÂMETRO MAIOR QUE 75 MM. AF_05/2015</v>
          </cell>
          <cell r="C5082" t="str">
            <v>M</v>
          </cell>
          <cell r="D5082">
            <v>4.99</v>
          </cell>
        </row>
        <row r="5083">
          <cell r="A5083" t="str">
            <v>91222</v>
          </cell>
          <cell r="B5083" t="str">
            <v>RASGO EM ALVENARIA PARA RAMAIS/ DISTRIBUIÇÃO COM DIÂMETROS MAIORES QUE 40 MM E MENORES OU IGUAIS A 75 MM. AF_05/2015</v>
          </cell>
          <cell r="C5083" t="str">
            <v>UN</v>
          </cell>
          <cell r="D5083">
            <v>11.89</v>
          </cell>
        </row>
        <row r="5084">
          <cell r="A5084" t="str">
            <v>94480</v>
          </cell>
          <cell r="B5084" t="str">
            <v>CONJUNTO HIDRÁULICO PARA INSTALAÇÃO DE BOMBA EM AÇO ROSCÁVEL, DN SUCÇÃO 65 (2½) E DN RECALQUE 50 (2), PARA EDIFICAÇÃO ENTRE 12 E 18 PAVIMENTOS  FORNECIMENTO E INSTALAÇÃO. AF_06/2016</v>
          </cell>
          <cell r="C5084" t="str">
            <v>UN</v>
          </cell>
          <cell r="D5084">
            <v>2299.36</v>
          </cell>
        </row>
        <row r="5085">
          <cell r="A5085" t="str">
            <v>94481</v>
          </cell>
          <cell r="B5085" t="str">
            <v>CONJUNTO HIDRÁULICO PARA INSTALAÇÃO DE BOMBA EM AÇO ROSCÁVEL, DN SUCÇÃO 50 (2) E DN RECALQUE 40 (1 1/2), PARA EDIFICAÇÃO ENTRE 8 E 12 PAVIMENTOS  FORNECIMENTO E INSTALAÇÃO. AF_06/2016</v>
          </cell>
          <cell r="C5085" t="str">
            <v>UN</v>
          </cell>
          <cell r="D5085">
            <v>1611.75</v>
          </cell>
        </row>
        <row r="5086">
          <cell r="A5086" t="str">
            <v>94482</v>
          </cell>
          <cell r="B5086" t="str">
            <v>CONJUNTO HIDRÁULICO PARA INSTALAÇÃO DE BOMBA EM AÇO ROSCÁVEL, DN SUCÇÃO 40 (1 1/2) E DN RECALQUE 32 (1 1/4), PARA EDIFICAÇÃO ENTRE 4 E 8 PAVIMENTOS  FORNECIMENTO E INSTALAÇÃO. AF_06/2016</v>
          </cell>
          <cell r="C5086" t="str">
            <v>UN</v>
          </cell>
          <cell r="D5086">
            <v>1272.8800000000001</v>
          </cell>
        </row>
        <row r="5087">
          <cell r="A5087" t="str">
            <v>94483</v>
          </cell>
          <cell r="B5087" t="str">
            <v>CONJUNTO HIDRÁULICO PARA INSTALAÇÃO DE BOMBA EM AÇO ROSCÁVEL, DN SUCÇÃO 32 (1 1/4) E DN RECALQUE 25 (1), PARA EDIFICAÇÃO ATÉ 4 PAVIMENTOS  FORNECIMENTO E INSTALAÇÃO. AF_06/2016</v>
          </cell>
          <cell r="C5087" t="str">
            <v>UN</v>
          </cell>
          <cell r="D5087">
            <v>1069.98</v>
          </cell>
        </row>
        <row r="5088">
          <cell r="A5088" t="str">
            <v>95541</v>
          </cell>
          <cell r="B5088" t="str">
            <v>FIXAÇÃO UTILIZANDO PARAFUSO E BUCHA DE NYLON, SOMENTE MÃO DE OBRA. AF_10/2016</v>
          </cell>
          <cell r="C5088" t="str">
            <v>M2</v>
          </cell>
          <cell r="D5088">
            <v>3.94</v>
          </cell>
        </row>
        <row r="5089">
          <cell r="A5089" t="str">
            <v>96559</v>
          </cell>
          <cell r="B5089" t="str">
            <v>SUPORTE PARA DUTO EM CHAPA GALVANIZADA BITOLA 26, ESPAÇADO A CADA 1 M, EM PERFILADO DE SEÇÃO 38X76 MM, POR ÁREA DE DUTO FIXADO. AF_07/2017</v>
          </cell>
          <cell r="C5089" t="str">
            <v>M2</v>
          </cell>
          <cell r="D5089">
            <v>28.99</v>
          </cell>
        </row>
        <row r="5090">
          <cell r="A5090" t="str">
            <v>96560</v>
          </cell>
          <cell r="B5090" t="str">
            <v>SUPORTE PARA DUTO EM CHAPA GALVANIZADA BITOLA 24, ESPAÇADO A CADA 1 M, EM PERFILADO DE SEÇÃO 38X76 MM, POR ÁREA DE DUTO FIXADO. AF_07/2017</v>
          </cell>
          <cell r="C5090" t="str">
            <v>M2</v>
          </cell>
          <cell r="D5090">
            <v>20.21</v>
          </cell>
        </row>
        <row r="5091">
          <cell r="A5091" t="str">
            <v>96561</v>
          </cell>
          <cell r="B5091" t="str">
            <v>SUPORTE PARA DUTO EM CHAPA GALVANIZADA BITOLA 22, ESPAÇADO A CADA 1 M, EM PERFILADO DE SEÇÃO 38X76 MM, POR ÁREA DE DUTO FIXADO. AF_07/2017</v>
          </cell>
          <cell r="C5091" t="str">
            <v>M</v>
          </cell>
          <cell r="D5091">
            <v>15.46</v>
          </cell>
        </row>
        <row r="5092">
          <cell r="A5092" t="str">
            <v>96562</v>
          </cell>
          <cell r="B5092" t="str">
            <v>SUPORTE PARA ELETROCALHA LISA OU PERFURADA EM AÇO GALVANIZADO, LARGURA 200 OU 400 MM E ALTURA 50 MM, ESPAÇADO A CADA 1,5 M, EM PERFILADO DE SEÇÃO 38X76 MM, POR METRO DE ELETRECOLHA FIXADA. AF_07/2017</v>
          </cell>
          <cell r="C5092" t="str">
            <v>M</v>
          </cell>
          <cell r="D5092">
            <v>18.350000000000001</v>
          </cell>
        </row>
        <row r="5093">
          <cell r="A5093" t="str">
            <v>96563</v>
          </cell>
          <cell r="B5093" t="str">
            <v>SUPORTE PARA ELETROCALHA LISA OU PERFURADA EM AÇO GALVANIZADO, LARGURA 500 OU 800 MM E ALTURA 50 MM, ESPAÇADO A CADA 1,5 M, EM PERFILADO DE SEÇÃO 38X76 MM, POR METRO DE ELETROCALHA FIXADA. AF_07/2017</v>
          </cell>
          <cell r="C5093" t="str">
            <v>UN</v>
          </cell>
          <cell r="D5093">
            <v>24.09</v>
          </cell>
        </row>
        <row r="5094">
          <cell r="A5094" t="str">
            <v>101802</v>
          </cell>
          <cell r="B5094" t="str">
            <v>CAIXA ENTERRADA RETENTORA DE AREIA RETANGULAR, EM ALVENARIA COM BLOCOS DE CONCRETO, DIMENSÕES INTERNAS: 1,00 X 1,00 X 1,20 M, EXCLUINDO TAMPÃO. AF_12/2020</v>
          </cell>
          <cell r="C5094" t="str">
            <v>UN</v>
          </cell>
          <cell r="D5094">
            <v>1354.87</v>
          </cell>
        </row>
        <row r="5095">
          <cell r="A5095" t="str">
            <v>101803</v>
          </cell>
          <cell r="B5095" t="str">
            <v>CAIXA ENTERRADA SEPARADORA DE ÓLEO RETANGULAR, EM ALVENARIA COM BLOCOS DE CONCRETO, DIMENSÕES INTERNAS: 0,6 X 0,6 X 1,00 M, EXCLUINDO TAMPÃO. AF_12/2020</v>
          </cell>
          <cell r="C5095" t="str">
            <v>UN</v>
          </cell>
          <cell r="D5095">
            <v>846.18</v>
          </cell>
        </row>
        <row r="5096">
          <cell r="A5096" t="str">
            <v>101804</v>
          </cell>
          <cell r="B5096" t="str">
            <v>CAIXA ENTERRADA SEPARADORA DE ÓLEO RETANGULAR, EM ALVENARIA COM BLOCOS DE CONCRETO, DIMENSÕES INTERNAS: 0,8 X 0,8 X 1,00 M, EXCLUINDO TAMPÃO. AF_12/2020</v>
          </cell>
          <cell r="C5096" t="str">
            <v>UN</v>
          </cell>
          <cell r="D5096">
            <v>1060.8900000000001</v>
          </cell>
        </row>
        <row r="5097">
          <cell r="A5097" t="str">
            <v>101805</v>
          </cell>
          <cell r="B5097" t="str">
            <v>CAIXA ENTERRADA SEPARADORA DE ÓLEO RETANGULAR, EM ALVENARIA COM BLOCOS DE CONCRETO, DIMENSÕES INTERNAS: 1,00 X 1,00 X 1,00 M, EXCLUINDO TAMPÃO. AF_12/2020</v>
          </cell>
          <cell r="C5097" t="str">
            <v>UN</v>
          </cell>
          <cell r="D5097">
            <v>1355.38</v>
          </cell>
        </row>
        <row r="5098">
          <cell r="A5098" t="str">
            <v>102111</v>
          </cell>
          <cell r="B5098" t="str">
            <v>BOMBA CENTRÍFUGA, MONOFÁSICA, 0,5 CV OU 0,49 HP, HM 6 A 20 M, Q 1,2 A 8,3 M3/H - FORNECIMENTO E INSTALAÇÃO. AF_12/2020</v>
          </cell>
          <cell r="C5098" t="str">
            <v>UN</v>
          </cell>
          <cell r="D5098">
            <v>909.8</v>
          </cell>
        </row>
        <row r="5099">
          <cell r="A5099" t="str">
            <v>102112</v>
          </cell>
          <cell r="B5099" t="str">
            <v>BOMBA CENTRÍFUGA, MONOFÁSICA, 0,5 CV OU 0,49 HP, HM 6 A 20 M, Q 1,2 A 8,3 M3/H (NÃO INCLUI O FORNECIMENTO DA BOMBA). AF_12/2020</v>
          </cell>
          <cell r="C5099" t="str">
            <v>UN</v>
          </cell>
          <cell r="D5099">
            <v>115.39</v>
          </cell>
        </row>
        <row r="5100">
          <cell r="A5100" t="str">
            <v>102113</v>
          </cell>
          <cell r="B5100" t="str">
            <v>BOMBA CENTRÍFUGA, TRIFÁSICA, 1 CV OU 0,99 HP, HM 14 A 40 M, Q 0,6 A 8,4 M3/H - FORNECIMENTO E INSTALAÇÃO. AF_12/2020</v>
          </cell>
          <cell r="C5100" t="str">
            <v>UN</v>
          </cell>
          <cell r="D5100">
            <v>1457.31</v>
          </cell>
        </row>
        <row r="5101">
          <cell r="A5101" t="str">
            <v>102114</v>
          </cell>
          <cell r="B5101" t="str">
            <v>BOMBA CENTRÍFUGA, TRIFÁSICA, 1 CV OU 0,99 HP, HM 14 A 40 M, Q 0,6 A 8,4 M3/H (NÃO INCLUI O FORNECIMENTO DA BOMBA). AF_12/2020</v>
          </cell>
          <cell r="C5101" t="str">
            <v>UN</v>
          </cell>
          <cell r="D5101">
            <v>118.2</v>
          </cell>
        </row>
        <row r="5102">
          <cell r="A5102" t="str">
            <v>102115</v>
          </cell>
          <cell r="B5102" t="str">
            <v>BOMBA CENTRÍFUGA, TRIFÁSICA, 1,5 CV OU 1,48 HP, HM 10 A 70 M, Q 1,8 A 5,3 M3/H - FORNECIMENTO E INSTALAÇÃO. AF_12/2020</v>
          </cell>
          <cell r="C5102" t="str">
            <v>UN</v>
          </cell>
          <cell r="D5102">
            <v>2546.37</v>
          </cell>
        </row>
        <row r="5103">
          <cell r="A5103" t="str">
            <v>102116</v>
          </cell>
          <cell r="B5103" t="str">
            <v>BOMBA CENTRÍFUGA, TRIFÁSICA, 1,5 CV OU 1,48 HP, HM 10 A 24 M, Q 6,1 A 21,9 M3/H - FORNECIMENTO E INSTALAÇÃO. AF_12/2020</v>
          </cell>
          <cell r="C5103" t="str">
            <v>UN</v>
          </cell>
          <cell r="D5103">
            <v>1557.16</v>
          </cell>
        </row>
        <row r="5104">
          <cell r="A5104" t="str">
            <v>102117</v>
          </cell>
          <cell r="B5104" t="str">
            <v>BOMBA CENTRÍFUGA, TRIFÁSICA, 1,5 CV OU 1,48 HP (NÃO INCLUI O FORNECIMENTO DA BOMBA). AF_12/2020</v>
          </cell>
          <cell r="C5104" t="str">
            <v>UN</v>
          </cell>
          <cell r="D5104">
            <v>121.63</v>
          </cell>
        </row>
        <row r="5105">
          <cell r="A5105" t="str">
            <v>102118</v>
          </cell>
          <cell r="B5105" t="str">
            <v>BOMBA CENTRÍFUGA, TRIFÁSICA, 3 CV OU 2,96 HP, HM 34 A 40 M, Q 8,6 A 14,8 M3/H - FORNECIMENTO E INSTALAÇÃO. AF_12/2020</v>
          </cell>
          <cell r="C5105" t="str">
            <v>UN</v>
          </cell>
          <cell r="D5105">
            <v>2127.58</v>
          </cell>
        </row>
        <row r="5106">
          <cell r="A5106" t="str">
            <v>102119</v>
          </cell>
          <cell r="B5106" t="str">
            <v>BOMBA CENTRÍFUGA, TRIFÁSICA, 3 CV OU 2,96 HP, HM 34 A 40 M, Q 8,6 A 14,8 M3/H (NÃO INCLUI O FORNECIMENTO DA BOMBA). AF_12/2020</v>
          </cell>
          <cell r="C5106" t="str">
            <v>UN</v>
          </cell>
          <cell r="D5106">
            <v>124.57</v>
          </cell>
        </row>
        <row r="5107">
          <cell r="A5107" t="str">
            <v>102121</v>
          </cell>
          <cell r="B5107" t="str">
            <v>MOTO BOMBA HORIZONTAL ATÉ 10 CV, HM 75 A 80 M, Q 25,4 A 48 (NÃO INCLUI O FORNECIMENTO DA BOMBA). AF_12/2020</v>
          </cell>
          <cell r="C5107" t="str">
            <v>UN</v>
          </cell>
          <cell r="D5107">
            <v>155.38</v>
          </cell>
        </row>
        <row r="5108">
          <cell r="A5108" t="str">
            <v>102122</v>
          </cell>
          <cell r="B5108" t="str">
            <v>BOMBA CENTRÍFUGA, TRIFÁSICA, 10 CV OU 9,86 HP, HM 85 A 140 M, Q 4,2 A 14,9 M3/H - FORNECIMENTO E INSTALAÇÃO. AF_12/2020</v>
          </cell>
          <cell r="C5108" t="str">
            <v>UN</v>
          </cell>
          <cell r="D5108">
            <v>7228.5</v>
          </cell>
        </row>
        <row r="5109">
          <cell r="A5109" t="str">
            <v>102123</v>
          </cell>
          <cell r="B5109" t="str">
            <v>BOMBA CENTRÍFUGA, TRIFÁSICA, 10 CV OU 9,86 HP, HM 85 A 140 M, Q 4,2 A 14,9 M3/H (NÃO INCLUI O FORNECIMENTO DA BOMBA). AF_12/2020</v>
          </cell>
          <cell r="C5109" t="str">
            <v>UN</v>
          </cell>
          <cell r="D5109">
            <v>164.16</v>
          </cell>
        </row>
        <row r="5110">
          <cell r="A5110" t="str">
            <v>102136</v>
          </cell>
          <cell r="B5110" t="str">
            <v>INSTALAÇÃO DE QUADRO ELÉTRICO PARA BOMBAS TRIFÁSICAS ATÉ 25 CV (NÃO INCLUI O FORNECIMENTO DO QUADRO). AF_12/2020</v>
          </cell>
          <cell r="C5110" t="str">
            <v>UN</v>
          </cell>
          <cell r="D5110">
            <v>67.3</v>
          </cell>
        </row>
        <row r="5111">
          <cell r="A5111" t="str">
            <v>102137</v>
          </cell>
          <cell r="B5111" t="str">
            <v>CHAVE DE BOIA AUTOMÁTICA SUPERIOR/INFERIOR 15A/250V - FORNECIMENTO E INSTALAÇÃO. AF_12/2020</v>
          </cell>
          <cell r="C5111" t="str">
            <v>UN</v>
          </cell>
          <cell r="D5111">
            <v>71.989999999999995</v>
          </cell>
        </row>
        <row r="5112">
          <cell r="A5112" t="str">
            <v>102138</v>
          </cell>
          <cell r="B5112" t="str">
            <v>MOTO BOMBA HORIZONTAL DE 12,5 A 25 CV, HM 140 M (NÃO INCLUI O FORNECIMENTO DA BOMBA). AF_12/2020</v>
          </cell>
          <cell r="C5112" t="str">
            <v>UN</v>
          </cell>
          <cell r="D5112">
            <v>178.45</v>
          </cell>
        </row>
        <row r="5113">
          <cell r="A5113" t="str">
            <v>93350</v>
          </cell>
          <cell r="B5113"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5113" t="str">
            <v>UN</v>
          </cell>
          <cell r="D5113">
            <v>1187.3699999999999</v>
          </cell>
        </row>
        <row r="5114">
          <cell r="A5114" t="str">
            <v>93351</v>
          </cell>
          <cell r="B5114"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5114" t="str">
            <v>UN</v>
          </cell>
          <cell r="D5114">
            <v>977.22</v>
          </cell>
        </row>
        <row r="5115">
          <cell r="A5115" t="str">
            <v>93352</v>
          </cell>
          <cell r="B5115"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5115" t="str">
            <v>UN</v>
          </cell>
          <cell r="D5115">
            <v>768.06</v>
          </cell>
        </row>
        <row r="5116">
          <cell r="A5116" t="str">
            <v>93353</v>
          </cell>
          <cell r="B5116"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5116" t="str">
            <v>UN</v>
          </cell>
          <cell r="D5116">
            <v>563.23</v>
          </cell>
        </row>
        <row r="5117">
          <cell r="A5117" t="str">
            <v>93354</v>
          </cell>
          <cell r="B5117"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5117" t="str">
            <v>UN</v>
          </cell>
          <cell r="D5117">
            <v>879.01</v>
          </cell>
        </row>
        <row r="5118">
          <cell r="A5118" t="str">
            <v>93355</v>
          </cell>
          <cell r="B5118"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5118" t="str">
            <v>UN</v>
          </cell>
          <cell r="D5118">
            <v>734.2</v>
          </cell>
        </row>
        <row r="5119">
          <cell r="A5119" t="str">
            <v>93356</v>
          </cell>
          <cell r="B5119"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5119" t="str">
            <v>UN</v>
          </cell>
          <cell r="D5119">
            <v>588.54</v>
          </cell>
        </row>
        <row r="5120">
          <cell r="A5120" t="str">
            <v>93357</v>
          </cell>
          <cell r="B5120"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5120" t="str">
            <v>M3</v>
          </cell>
          <cell r="D5120">
            <v>445.39</v>
          </cell>
        </row>
        <row r="5121">
          <cell r="A5121" t="str">
            <v>96520</v>
          </cell>
          <cell r="B5121" t="str">
            <v>ESCAVAÇÃO MECANIZADA PARA BLOCO DE COROAMENTO OU SAPATA COM RETROESCAVADEIRA (SEM ESCAVAÇÃO PARA COLOCAÇÃO DE FÔRMAS). AF_06/2017</v>
          </cell>
          <cell r="C5121" t="str">
            <v>M3</v>
          </cell>
          <cell r="D5121">
            <v>93.94</v>
          </cell>
        </row>
        <row r="5122">
          <cell r="A5122" t="str">
            <v>96521</v>
          </cell>
          <cell r="B5122" t="str">
            <v>ESCAVAÇÃO MECANIZADA PARA BLOCO DE COROAMENTO OU SAPATA COM RETROESCAVADEIRA (INCLUINDO ESCAVAÇÃO PARA COLOCAÇÃO DE FÔRMAS). AF_06/2017</v>
          </cell>
          <cell r="C5122" t="str">
            <v>M3</v>
          </cell>
          <cell r="D5122">
            <v>41.49</v>
          </cell>
        </row>
        <row r="5123">
          <cell r="A5123" t="str">
            <v>96522</v>
          </cell>
          <cell r="B5123" t="str">
            <v>ESCAVAÇÃO MANUAL PARA BLOCO DE COROAMENTO OU SAPATA (SEM ESCAVAÇÃO PARA COLOCAÇÃO DE FÔRMAS). AF_06/2017</v>
          </cell>
          <cell r="C5123" t="str">
            <v>M3</v>
          </cell>
          <cell r="D5123">
            <v>134.71</v>
          </cell>
        </row>
        <row r="5124">
          <cell r="A5124" t="str">
            <v>96523</v>
          </cell>
          <cell r="B5124" t="str">
            <v>ESCAVAÇÃO MANUAL PARA BLOCO DE COROAMENTO OU SAPATA (INCLUINDO ESCAVAÇÃO PARA COLOCAÇÃO DE FÔRMAS). AF_06/2017</v>
          </cell>
          <cell r="C5124" t="str">
            <v>M3</v>
          </cell>
          <cell r="D5124">
            <v>85.3</v>
          </cell>
        </row>
        <row r="5125">
          <cell r="A5125" t="str">
            <v>96524</v>
          </cell>
          <cell r="B5125" t="str">
            <v>ESCAVAÇÃO MECANIZADA PARA VIGA BALDRAME COM MINI-ESCAVADEIRA (SEM ESCAVAÇÃO PARA COLOCAÇÃO DE FÔRMAS). AF_06/2017</v>
          </cell>
          <cell r="C5125" t="str">
            <v>M3</v>
          </cell>
          <cell r="D5125">
            <v>163.69</v>
          </cell>
        </row>
        <row r="5126">
          <cell r="A5126" t="str">
            <v>96525</v>
          </cell>
          <cell r="B5126" t="str">
            <v>ESCAVAÇÃO MECANIZADA PARA VIGA BALDRAME COM MINI-ESCAVADEIRA (INCLUINDO ESCAVAÇÃO PARA COLOCAÇÃO DE FÔRMAS). AF_06/2017</v>
          </cell>
          <cell r="C5126" t="str">
            <v>M3</v>
          </cell>
          <cell r="D5126">
            <v>35.1</v>
          </cell>
        </row>
        <row r="5127">
          <cell r="A5127" t="str">
            <v>96526</v>
          </cell>
          <cell r="B5127" t="str">
            <v>ESCAVAÇÃO MANUAL DE VALA PARA VIGA BALDRAME (SEM ESCAVAÇÃO PARA COLOCAÇÃO DE FÔRMAS). AF_06/2017</v>
          </cell>
          <cell r="C5127" t="str">
            <v>M3</v>
          </cell>
          <cell r="D5127">
            <v>272.73</v>
          </cell>
        </row>
        <row r="5128">
          <cell r="A5128" t="str">
            <v>96527</v>
          </cell>
          <cell r="B5128" t="str">
            <v>ESCAVAÇÃO MANUAL DE VALA PARA VIGA BALDRAME (INCLUINDO ESCAVAÇÃO PARA COLOCAÇÃO DE FÔRMAS). AF_06/2017</v>
          </cell>
          <cell r="C5128" t="str">
            <v>M2</v>
          </cell>
          <cell r="D5128">
            <v>111.76</v>
          </cell>
        </row>
        <row r="5129">
          <cell r="A5129" t="str">
            <v>96528</v>
          </cell>
          <cell r="B5129" t="str">
            <v>FABRICAÇÃO, MONTAGEM E DESMONTAGEM DE FÔRMA PARA BLOCO DE COROAMENTO, EM MADEIRA SERRADA, E=25 MM, 1 UTILIZAÇÃO. AF_06/2017</v>
          </cell>
          <cell r="C5129" t="str">
            <v>M3</v>
          </cell>
          <cell r="D5129">
            <v>204.34</v>
          </cell>
        </row>
        <row r="5130">
          <cell r="A5130" t="str">
            <v>101114</v>
          </cell>
          <cell r="B5130" t="str">
            <v>ESCAVAÇÃO HORIZONTAL EM SOLO DE 1A CATEGORIA COM TRATOR DE ESTEIRAS (100HP/LÂMINA: 2,19M3). AF_07/2020</v>
          </cell>
          <cell r="C5130" t="str">
            <v>M3</v>
          </cell>
          <cell r="D5130">
            <v>3.66</v>
          </cell>
        </row>
        <row r="5131">
          <cell r="A5131" t="str">
            <v>101115</v>
          </cell>
          <cell r="B5131" t="str">
            <v>ESCAVAÇÃO HORIZONTAL EM SOLO DE 1A CATEGORIA COM TRATOR DE ESTEIRAS (150HP/LÂMINA: 3,18M3). AF_07/2020</v>
          </cell>
          <cell r="C5131" t="str">
            <v>M3</v>
          </cell>
          <cell r="D5131">
            <v>3.04</v>
          </cell>
        </row>
        <row r="5132">
          <cell r="A5132" t="str">
            <v>101116</v>
          </cell>
          <cell r="B5132" t="str">
            <v>ESCAVAÇÃO HORIZONTAL EM SOLO DE 1A CATEGORIA COM TRATOR DE ESTEIRAS (170HP/LÂMINA: 5,20M3). AF_07/2020</v>
          </cell>
          <cell r="C5132" t="str">
            <v>M3</v>
          </cell>
          <cell r="D5132">
            <v>1.89</v>
          </cell>
        </row>
        <row r="5133">
          <cell r="A5133" t="str">
            <v>101117</v>
          </cell>
          <cell r="B5133" t="str">
            <v>ESCAVAÇÃO HORIZONTAL EM SOLO DE 1A CATEGORIA COM TRATOR DE ESTEIRAS (347HP/LÂMINA: 8,70M3). AF_07/2020</v>
          </cell>
          <cell r="C5133" t="str">
            <v>M3</v>
          </cell>
          <cell r="D5133">
            <v>2.56</v>
          </cell>
        </row>
        <row r="5134">
          <cell r="A5134" t="str">
            <v>101118</v>
          </cell>
          <cell r="B5134" t="str">
            <v>ESCAVAÇÃO HORIZONTAL EM SOLO DE 1A CATEGORIA COM TRATOR DE ESTEIRAS (125HP/LÂMINA: 2,70M3). AF_07/2020</v>
          </cell>
          <cell r="C5134" t="str">
            <v>M3</v>
          </cell>
          <cell r="D5134">
            <v>3.14</v>
          </cell>
        </row>
        <row r="5135">
          <cell r="A5135" t="str">
            <v>101119</v>
          </cell>
          <cell r="B5135" t="str">
            <v>ESCAVAÇÃO HORIZONTAL, INCLUINDO ESCARIFICAÇÃO EM SOLO DE 2A CATEGORIA COM TRATOR DE ESTEIRAS (100HP/LÂMINA: 2,19M3). AF_07/2020</v>
          </cell>
          <cell r="C5135" t="str">
            <v>M3</v>
          </cell>
          <cell r="D5135">
            <v>6.99</v>
          </cell>
        </row>
        <row r="5136">
          <cell r="A5136" t="str">
            <v>101120</v>
          </cell>
          <cell r="B5136" t="str">
            <v>ESCAVAÇÃO HORIZONTAL, INCLUINDO ESCARIFICAÇÃO EM SOLO DE 2A CATEGORIA COM TRATOR DE ESTEIRAS (150HP/LÂMINA: 3,18M3). AF_07/2020</v>
          </cell>
          <cell r="C5136" t="str">
            <v>M3</v>
          </cell>
          <cell r="D5136">
            <v>5.82</v>
          </cell>
        </row>
        <row r="5137">
          <cell r="A5137" t="str">
            <v>101121</v>
          </cell>
          <cell r="B5137" t="str">
            <v>ESCAVAÇÃO HORIZONTAL, INCLUINDO ESCARIFICAÇÃO EM SOLO DE 2A CATEGORIA COM TRATOR DE ESTEIRAS (170HP/LÂMINA: 5,20M3). AF_07/2020</v>
          </cell>
          <cell r="C5137" t="str">
            <v>M3</v>
          </cell>
          <cell r="D5137">
            <v>3.64</v>
          </cell>
        </row>
        <row r="5138">
          <cell r="A5138" t="str">
            <v>101122</v>
          </cell>
          <cell r="B5138" t="str">
            <v>ESCAVAÇÃO HORIZONTAL, INCLUINDO ESCARIFICAÇÃO EM SOLO DE 2A CATEGORIA COM TRATOR DE ESTEIRAS (347HP/LÂMINA: 8,70M3). AF_07/2020</v>
          </cell>
          <cell r="C5138" t="str">
            <v>M3</v>
          </cell>
          <cell r="D5138">
            <v>4.8899999999999997</v>
          </cell>
        </row>
        <row r="5139">
          <cell r="A5139" t="str">
            <v>101123</v>
          </cell>
          <cell r="B5139" t="str">
            <v>ESCAVAÇÃO HORIZONTAL, INCLUINDO ESCARIFICAÇÃO EM SOLO DE 2A CATEGORIA COM TRATOR DE ESTEIRAS (125HP/LÂMINA: 2,70M3). AF_07/2020</v>
          </cell>
          <cell r="C5139" t="str">
            <v>M3</v>
          </cell>
          <cell r="D5139">
            <v>6</v>
          </cell>
        </row>
        <row r="5140">
          <cell r="A5140" t="str">
            <v>101124</v>
          </cell>
          <cell r="B5140" t="str">
            <v>ESCAVAÇÃO HORIZONTAL, INCLUINDO CARGA E DESCARGA EM SOLO DE 1A CATEGORIA COM TRATOR DE ESTEIRAS (100HP/LÂMINA: 2,19M3). AF_07/2020</v>
          </cell>
          <cell r="C5140" t="str">
            <v>M3</v>
          </cell>
          <cell r="D5140">
            <v>12.53</v>
          </cell>
        </row>
        <row r="5141">
          <cell r="A5141" t="str">
            <v>101125</v>
          </cell>
          <cell r="B5141" t="str">
            <v>ESCAVAÇÃO HORIZONTAL, INCLUINDO CARGA E DESCARGA EM SOLO DE 1A CATEGORIA COM TRATOR DE ESTEIRAS (150HP/LÂMINA: 3,18M3). AF_07/2020</v>
          </cell>
          <cell r="C5141" t="str">
            <v>M3</v>
          </cell>
          <cell r="D5141">
            <v>11.91</v>
          </cell>
        </row>
        <row r="5142">
          <cell r="A5142" t="str">
            <v>101126</v>
          </cell>
          <cell r="B5142" t="str">
            <v>ESCAVAÇÃO HORIZONTAL, INCLUINDO CARGA E DESCARGA EM SOLO DE 1A CATEGORIA COM TRATOR DE ESTEIRAS (170HP/LÂMINA: 5,20M3). AF_07/2020</v>
          </cell>
          <cell r="C5142" t="str">
            <v>M3</v>
          </cell>
          <cell r="D5142">
            <v>10.76</v>
          </cell>
        </row>
        <row r="5143">
          <cell r="A5143" t="str">
            <v>101127</v>
          </cell>
          <cell r="B5143" t="str">
            <v>ESCAVAÇÃO HORIZONTAL, INCLUINDO CARGA E DESCARGA EM SOLO DE 1A CATEGORIA COM TRATOR DE ESTEIRAS (347HP/LÂMINA: 8,70M3). AF_07/2020</v>
          </cell>
          <cell r="C5143" t="str">
            <v>M3</v>
          </cell>
          <cell r="D5143">
            <v>11.43</v>
          </cell>
        </row>
        <row r="5144">
          <cell r="A5144" t="str">
            <v>101128</v>
          </cell>
          <cell r="B5144" t="str">
            <v>ESCAVAÇÃO HORIZONTAL, INCLUINDO CARGA E DESCARGA EM SOLO DE 1A CATEGORIA COM TRATOR DE ESTEIRAS (125HP/LÂMINA: 2,70M3). AF_07/2020</v>
          </cell>
          <cell r="C5144" t="str">
            <v>M3</v>
          </cell>
          <cell r="D5144">
            <v>12.01</v>
          </cell>
        </row>
        <row r="5145">
          <cell r="A5145" t="str">
            <v>101129</v>
          </cell>
          <cell r="B5145" t="str">
            <v>ESCAVAÇÃO HORIZONTAL, INCLUINDO ESCARIFICAÇÃO, CARGA E DESCARGA EM SOLO DE 2A CATEGORIA COM TRATOR DE ESTEIRAS (100HP/LÂMINA: 2,19M3). AF_07/2020</v>
          </cell>
          <cell r="C5145" t="str">
            <v>M3</v>
          </cell>
          <cell r="D5145">
            <v>16.22</v>
          </cell>
        </row>
        <row r="5146">
          <cell r="A5146" t="str">
            <v>101130</v>
          </cell>
          <cell r="B5146" t="str">
            <v>ESCAVAÇÃO HORIZONTAL, INCLUINDO ESCARIFICAÇÃO, CARGA E DESCARGA EM SOLO DE 2A CATEGORIA COM TRATOR DE ESTEIRAS (150HP/LÂMINA: 3,18M3). AF_07/2020</v>
          </cell>
          <cell r="C5146" t="str">
            <v>M3</v>
          </cell>
          <cell r="D5146">
            <v>15.05</v>
          </cell>
        </row>
        <row r="5147">
          <cell r="A5147" t="str">
            <v>101131</v>
          </cell>
          <cell r="B5147" t="str">
            <v>ESCAVAÇÃO HORIZONTAL, INCLUINDO ESCARIFICAÇÃO, CARGA E DESCARGA EM SOLO DE 2A CATEGORIA COM TRATOR DE ESTEIRAS (170HP/LÂMINA: 5,20M3). AF_07/2020</v>
          </cell>
          <cell r="C5147" t="str">
            <v>M3</v>
          </cell>
          <cell r="D5147">
            <v>12.87</v>
          </cell>
        </row>
        <row r="5148">
          <cell r="A5148" t="str">
            <v>101132</v>
          </cell>
          <cell r="B5148" t="str">
            <v>ESCAVAÇÃO HORIZONTAL, INCLUINDO ESCARIFICAÇÃO, CARGA E DESCARGA EM SOLO DE 2A CATEGORIA COM TRATOR DE ESTEIRAS (347HP/LÂMINA: 8,70M3). AF_07/2020</v>
          </cell>
          <cell r="C5148" t="str">
            <v>M3</v>
          </cell>
          <cell r="D5148">
            <v>14.12</v>
          </cell>
        </row>
        <row r="5149">
          <cell r="A5149" t="str">
            <v>101133</v>
          </cell>
          <cell r="B5149" t="str">
            <v>ESCAVAÇÃO HORIZONTAL, INCLUINDO ESCARIFICAÇÃO, CARGA E DESCARGA EM SOLO DE 2A CATEGORIA COM TRATOR DE ESTEIRAS (125HP/LÂMINA: 2,70M3). AF_07/2020</v>
          </cell>
          <cell r="C5149" t="str">
            <v>M3</v>
          </cell>
          <cell r="D5149">
            <v>15.23</v>
          </cell>
        </row>
        <row r="5150">
          <cell r="A5150" t="str">
            <v>101134</v>
          </cell>
          <cell r="B5150" t="str">
            <v>ESCAVAÇÃO HORIZONTAL, INCLUINDO CARGA, DESCARGA E TRANSPORTE EM SOLO DE 1A CATEGORIA COM TRATOR DE ESTEIRAS (100HP/LÂMINA: 2,19M3) E CAMINHÃO BASCULANTE DE 10M3, DMT ATÉ 200M. AF_07/2020</v>
          </cell>
          <cell r="C5150" t="str">
            <v>M3</v>
          </cell>
          <cell r="D5150">
            <v>13.06</v>
          </cell>
        </row>
        <row r="5151">
          <cell r="A5151" t="str">
            <v>101135</v>
          </cell>
          <cell r="B5151" t="str">
            <v>ESCAVAÇÃO HORIZONTAL, INCLUINDO CARGA, DESCARGA E TRANSPORTE EM SOLO DE 1A CATEGORIA COM TRATOR DE ESTEIRAS (150HP/LÂMINA: 3,18M3) E CAMINHÃO BASCULANTE DE 10M3, DMT ATÉ 200M AF_07/2020</v>
          </cell>
          <cell r="C5151" t="str">
            <v>M3</v>
          </cell>
          <cell r="D5151">
            <v>12.44</v>
          </cell>
        </row>
        <row r="5152">
          <cell r="A5152" t="str">
            <v>101136</v>
          </cell>
          <cell r="B5152" t="str">
            <v>ESCAVAÇÃO HORIZONTAL, INCLUINDO CARGA, DESCARGA E TRANSPORTE EM SOLO DE 1A CATEGORIA COM TRATOR DE ESTEIRAS (170HP/LÂMINA: 5,20M3) E CAMINHÃO BASCULANTE DE 10M3, DMT ATÉ 200M. AF_07/2020</v>
          </cell>
          <cell r="C5152" t="str">
            <v>M3</v>
          </cell>
          <cell r="D5152">
            <v>11.29</v>
          </cell>
        </row>
        <row r="5153">
          <cell r="A5153" t="str">
            <v>101137</v>
          </cell>
          <cell r="B5153" t="str">
            <v>ESCAVAÇÃO HORIZONTAL, INCLUINDO CARGA, DESCARGA E TRANSPORTE EM SOLO DE 1A CATEGORIA COM TRATOR DE ESTEIRAS (347HP/LÂMINA: 8,70M3) E CAMINHÃO BASCULANTE DE 10M3, DMT ATÉ 200M. AF_07/2020</v>
          </cell>
          <cell r="C5153" t="str">
            <v>M3</v>
          </cell>
          <cell r="D5153">
            <v>11.96</v>
          </cell>
        </row>
        <row r="5154">
          <cell r="A5154" t="str">
            <v>101138</v>
          </cell>
          <cell r="B5154" t="str">
            <v>ESCAVAÇÃO HORIZONTAL, INCLUINDO CARGA, DESCARGA E TRANSPORTE EM SOLO DE 1A CATEGORIA COM TRATOR DE ESTEIRAS (125HP/LÂMINA: 2,70M3) E CAMINHÃO BASCULANTE DE 10M3, DMT ATÉ 200M. AF_07/2020</v>
          </cell>
          <cell r="C5154" t="str">
            <v>M3</v>
          </cell>
          <cell r="D5154">
            <v>12.54</v>
          </cell>
        </row>
        <row r="5155">
          <cell r="A5155" t="str">
            <v>101139</v>
          </cell>
          <cell r="B5155" t="str">
            <v>ESCAVAÇÃO HORIZONTAL, INCLUINDO  ESCARIFICAÇÃO, CARGA, DESCARGA E TRANSPORTE EM SOLO DE 2A CATEGORIA COM TRATOR DE ESTEIRAS (100HP/LÂMINA: 2,19M3) E CAMINHÃO BASCULANTE DE 10M3, DMT ATÉ 200M. AF_07/2020</v>
          </cell>
          <cell r="C5155" t="str">
            <v>M3</v>
          </cell>
          <cell r="D5155">
            <v>16.77</v>
          </cell>
        </row>
        <row r="5156">
          <cell r="A5156" t="str">
            <v>101140</v>
          </cell>
          <cell r="B5156" t="str">
            <v>ESCAVAÇÃO HORIZONTAL, INCLUINDO ESCARIFICAÇÃO, CARGA, DESCARGA E TRANSPORTE EM SOLO DE 2A CATEGORIA COM TRATOR DE ESTEIRAS (150HP/LÂMINA: 3,18M3) E CAMINHÃO BASCULANTE DE 10M3, DMT ATÉ 200M. AF_07/2020</v>
          </cell>
          <cell r="C5156" t="str">
            <v>M3</v>
          </cell>
          <cell r="D5156">
            <v>15.6</v>
          </cell>
        </row>
        <row r="5157">
          <cell r="A5157" t="str">
            <v>101141</v>
          </cell>
          <cell r="B5157" t="str">
            <v>ESCAVAÇÃO HORIZONTAL, INCLUINDO ESCARIFICAÇÃO, CARGA, DESCARGA E TRANSPORTE EM SOLO DE 2A CATEGORIA COM TRATOR DE ESTEIRAS (170HP/LÂMINA: 5,20M3) E CAMINHÃO BASCULANTE DE 10M3, DMT ATÉ 200M. AF_07/2020</v>
          </cell>
          <cell r="C5157" t="str">
            <v>M3</v>
          </cell>
          <cell r="D5157">
            <v>13.42</v>
          </cell>
        </row>
        <row r="5158">
          <cell r="A5158" t="str">
            <v>101142</v>
          </cell>
          <cell r="B5158" t="str">
            <v>ESCAVAÇÃO HORIZONTAL, INCLUINDO ESCARIFICAÇÃO, CARGA, DESCARGA E TRANSPORTE EM SOLO DE 2A CATEGORIA COM TRATOR DE ESTEIRAS (347HP/LÂMINA: 8,70M3) E CAMINHÃO BASCULANTE DE 10M3, DMT ATÉ 200M. AF_07/2020</v>
          </cell>
          <cell r="C5158" t="str">
            <v>M3</v>
          </cell>
          <cell r="D5158">
            <v>14.67</v>
          </cell>
        </row>
        <row r="5159">
          <cell r="A5159" t="str">
            <v>101143</v>
          </cell>
          <cell r="B5159" t="str">
            <v>ESCAVAÇÃO HORIZONTAL, INCLUINDO ESCARIFICAÇÃO, CARGA, DESCARGA E TRANSPORTE EM SOLO DE 2A CATEGORIA COM TRATOR DE ESTEIRAS (125HP/LÂMINA: 2,70M3) E CAMINHÃO BASCULANTE DE 10M3, DMT ATÉ 200M. AF_07/2020</v>
          </cell>
          <cell r="C5159" t="str">
            <v>M3</v>
          </cell>
          <cell r="D5159">
            <v>15.78</v>
          </cell>
        </row>
        <row r="5160">
          <cell r="A5160" t="str">
            <v>101144</v>
          </cell>
          <cell r="B5160" t="str">
            <v>ESCAVAÇÃO HORIZONTAL, INCLUINDO CARGA, DESCARGA E TRANSPORTE EM SOLO DE 1A CATEGORIA COM TRATOR DE ESTEIRAS (100HP/LÂMINA: 2,19M3) E CAMINHÃO BASCULANTE DE 14M3, DMT ATÉ 200M. AF_07/2020</v>
          </cell>
          <cell r="C5160" t="str">
            <v>M3</v>
          </cell>
          <cell r="D5160">
            <v>13.16</v>
          </cell>
        </row>
        <row r="5161">
          <cell r="A5161" t="str">
            <v>101145</v>
          </cell>
          <cell r="B5161" t="str">
            <v>ESCAVAÇÃO HORIZONTAL, INCLUINDO CARGA, DESCARGA E TRANSPORTE EM SOLO DE 1A CATEGORIA COM TRATOR DE ESTEIRAS (150HP/LÂMINA: 3,18M3) E CAMINHÃO BASCULANTE DE 14M3, DMT ATÉ 200M. AF_07/2020</v>
          </cell>
          <cell r="C5161" t="str">
            <v>M3</v>
          </cell>
          <cell r="D5161">
            <v>12.54</v>
          </cell>
        </row>
        <row r="5162">
          <cell r="A5162" t="str">
            <v>101146</v>
          </cell>
          <cell r="B5162" t="str">
            <v>ESCAVAÇÃO HORIZONTAL, INCLUINDO CARGA, DESCARGA E TRANSPORTE EM SOLO DE 1A CATEGORIA COM TRATOR DE ESTEIRAS (170HP/LÂMINA: 5,20M3) E CAMINHÃO BASCULANTE DE 14M3, DMT ATÉ 200M. AF_07/2020</v>
          </cell>
          <cell r="C5162" t="str">
            <v>M3</v>
          </cell>
          <cell r="D5162">
            <v>11.39</v>
          </cell>
        </row>
        <row r="5163">
          <cell r="A5163" t="str">
            <v>101147</v>
          </cell>
          <cell r="B5163" t="str">
            <v>ESCAVAÇÃO HORIZONTAL, INCLUINDO CARGA, DESCARGA E TRANSPORTE EM SOLO DE 1A CATEGORIA COM TRATOR DE ESTEIRAS (347HP/LÂMINA: 8,70M3) E CAMINHÃO BASCULANTE DE 14M3, DMT ATÉ 200M. AF_07/2020</v>
          </cell>
          <cell r="C5163" t="str">
            <v>M3</v>
          </cell>
          <cell r="D5163">
            <v>12.06</v>
          </cell>
        </row>
        <row r="5164">
          <cell r="A5164" t="str">
            <v>101148</v>
          </cell>
          <cell r="B5164" t="str">
            <v>ESCAVAÇÃO HORIZONTAL, INCLUINDO CARGA, DESCARGA E TRANSPORTE EM SOLO DE 1A CATEGORIA COM TRATOR DE ESTEIRAS (125HP/LÂMINA: 2,70M3) E CAMINHÃO BASCULANTE DE 14M3, DMT ATÉ 200M. AF_07/2020</v>
          </cell>
          <cell r="C5164" t="str">
            <v>M3</v>
          </cell>
          <cell r="D5164">
            <v>12.64</v>
          </cell>
        </row>
        <row r="5165">
          <cell r="A5165" t="str">
            <v>101149</v>
          </cell>
          <cell r="B5165" t="str">
            <v>ESCAVAÇÃO HORIZONTAL, INCLUINDO ESCARIFICAÇÃO, CARGA, DESCARGA E TRANSPORTE EM SOLO DE 2A CATEGORIA COM TRATOR DE ESTEIRAS (100HP/LÂMINA: 2,19M3) E CAMINHÃO BASCULANTE DE 14M3, DMT ATÉ 200M. AF_07/2020</v>
          </cell>
          <cell r="C5165" t="str">
            <v>M3</v>
          </cell>
          <cell r="D5165">
            <v>16.87</v>
          </cell>
        </row>
        <row r="5166">
          <cell r="A5166" t="str">
            <v>101150</v>
          </cell>
          <cell r="B5166" t="str">
            <v>ESCAVAÇÃO HORIZONTAL, INCLUINDO ESCARIFICAÇÃO, CARGA, DESCARGA E TRANSPORTE EM SOLO DE 2A CATEGORIA COM TRATOR DE ESTEIRAS (150HP/LÂMINA: 3,18M3) E CAMINHÃO BASCULANTE DE 14M3, DMT ATÉ 200M. AF_07/2020</v>
          </cell>
          <cell r="C5166" t="str">
            <v>M3</v>
          </cell>
          <cell r="D5166">
            <v>15.7</v>
          </cell>
        </row>
        <row r="5167">
          <cell r="A5167" t="str">
            <v>101151</v>
          </cell>
          <cell r="B5167" t="str">
            <v>ESCAVAÇÃO HORIZONTAL, INCLUINDO ESCARIFICAÇÃO, CARGA, DESCARGA E TRANSPORTE EM SOLO DE 2A CATEGORIA COM TRATOR DE ESTEIRAS (170HP/LÂMINA: 5,20M3) E CAMINHÃO BASCULANTE DE 14M3, DMT ATÉ 200M. AF_07/2020</v>
          </cell>
          <cell r="C5167" t="str">
            <v>M3</v>
          </cell>
          <cell r="D5167">
            <v>13.52</v>
          </cell>
        </row>
        <row r="5168">
          <cell r="A5168" t="str">
            <v>101152</v>
          </cell>
          <cell r="B5168" t="str">
            <v>ESCAVAÇÃO HORIZONTAL, INCLUINDO ESCARIFICAÇÃO, CARGA, DESCARGA E TRANSPORTE EM SOLO DE 2A CATEGORIA COM TRATOR DE ESTEIRAS (347HP/LÂMINA: 8,70M3) E CAMINHÃO BASCULANTE DE 14M3, DMT ATÉ 200M. AF_07/2020</v>
          </cell>
          <cell r="C5168" t="str">
            <v>M3</v>
          </cell>
          <cell r="D5168">
            <v>14.77</v>
          </cell>
        </row>
        <row r="5169">
          <cell r="A5169" t="str">
            <v>101153</v>
          </cell>
          <cell r="B5169" t="str">
            <v>ESCAVAÇÃO HORIZONTAL, INCLUINDO ESCARIFICAÇÃO, CARGA, DESCARGA E TRANSPORTE EM SOLO DE 2A CATEGORIA COM TRATOR DE ESTEIRAS (125HP/LÂMINA: 2,70M3) E CAMINHÃO BASCULANTE DE 14M3, DMT ATÉ 200M. AF_07/2020</v>
          </cell>
          <cell r="C5169" t="str">
            <v>M3</v>
          </cell>
          <cell r="D5169">
            <v>15.88</v>
          </cell>
        </row>
        <row r="5170">
          <cell r="A5170" t="str">
            <v>101206</v>
          </cell>
          <cell r="B5170" t="str">
            <v>ESCAVAÇÃO VERTICAL A CÉU ABERTO, EM OBRAS DE EDIFICAÇÃO, INCLUINDO CARGA, DESCARGA E TRANSPORTE, EM SOLO DE 1ª CATEGORIA COM ESCAVADEIRA HIDRÁULICA (CAÇAMBA: 0,8 M³ / 111 HP), FROTA DE 3 CAMINHÕES BASCULANTES DE 14 M³, DMT ATÉ 1 KM E VELOCIDADE MÉDIA 14KM/H. AF_05/2020</v>
          </cell>
          <cell r="C5170" t="str">
            <v>M3</v>
          </cell>
          <cell r="D5170">
            <v>10.43</v>
          </cell>
        </row>
        <row r="5171">
          <cell r="A5171" t="str">
            <v>101207</v>
          </cell>
          <cell r="B5171" t="str">
            <v>ESCAVAÇÃO VERTICAL A CÉU ABERTO, EMOBRAS DE EDIFICAÇÃO  INCLUINDO CARGA, DESCARGA E TRANSPORTE, EM SOLO DE 1ª CATEGORIA COM ESCAVADEIRA HIDRÁULICA (CAÇAMBA: 0,8 M³ / 111 HP), FROTA DE 2 CAMINHÕES BASCULANTES DE 18 M³, DMT ATÉ 1 KM E VELOCIDADE MÉDIA 14 KM/H. AF_05/2020</v>
          </cell>
          <cell r="C5171" t="str">
            <v>M3</v>
          </cell>
          <cell r="D5171">
            <v>9.1199999999999992</v>
          </cell>
        </row>
        <row r="5172">
          <cell r="A5172" t="str">
            <v>101208</v>
          </cell>
          <cell r="B5172" t="str">
            <v>ESCAVAÇÃO VERTICAL A CÉU ABERTO, EM OBRAS DE EDIFICAÇÃO, INCLUINDO CARGA, DESCARGA E TRANSPORTE, EM SOLO DE 1ª CATEGORIA COM ESCAVADEIRA HIDRÁULICA (CAÇAMBA: 1,2 M³ / 155 HP), FROTA DE 3 CAMINHÕES BASCULANTES DE 14 M³, DMT ATÉ 1 KM E VELOCIDADE MÉDIA 14KM/H. AF_05/2020</v>
          </cell>
          <cell r="C5172" t="str">
            <v>M3</v>
          </cell>
          <cell r="D5172">
            <v>8.85</v>
          </cell>
        </row>
        <row r="5173">
          <cell r="A5173" t="str">
            <v>101209</v>
          </cell>
          <cell r="B5173" t="str">
            <v>ESCAVAÇÃO VERTICAL A CÉU ABERTO, EM OBRAS DE EDIFICAÇÃO, INCLUINDO CARGA, DESCARGA E TRANSPORTE, EM SOLO DE 1ª CATEGORIA COM ESCAVADEIRA HIDRÁULICA (CAÇAMBA: 1,2 M³ / 155 HP), FROTA DE 3 CAMINHÕES BASCULANTES DE 18 M³, DMT ATÉ 1 KM E VELOCIDADE MÉDIA 14KM/H. AF_05/2020</v>
          </cell>
          <cell r="C5173" t="str">
            <v>M3</v>
          </cell>
          <cell r="D5173">
            <v>8.19</v>
          </cell>
        </row>
        <row r="5174">
          <cell r="A5174" t="str">
            <v>101210</v>
          </cell>
          <cell r="B5174" t="str">
            <v>ESCAVAÇÃO VERTICAL A CÉU ABERTO, EM OBRAS DE EDIFICAÇÃO, INCLUINDO CARGA, DESCARGA E TRANSPORTE, EM SOLO DE 1ª CATEGORIA COM ESCAVADEIRA HIDRÁULICA (CAÇAMBA: 0,8 M³ / 111 HP), FROTA DE 4 CAMINHÕES BASCULANTES DE 14 M³, DMT DE 1,5 KM E VELOCIDADE MÉDIA 18KM/H. AF_05/2020</v>
          </cell>
          <cell r="C5174" t="str">
            <v>M3</v>
          </cell>
          <cell r="D5174">
            <v>14.58</v>
          </cell>
        </row>
        <row r="5175">
          <cell r="A5175" t="str">
            <v>101211</v>
          </cell>
          <cell r="B5175" t="str">
            <v>ESCAVAÇÃO VERTICAL A CÉU ABERTO, EM OBRAS DE EDIFICAÇÃO, INCLUINDO CARGA, DESCARGA E TRANSPORTE, EM SOLO DE 1ª CATEGORIA COM ESCAVADEIRA HIDRÁULICA (CAÇAMBA: 0,8 M³ / 111 HP), FROTA DE 4 CAMINHÕES BASCULANTES DE 14 M³, DMT DE 2 KM E VELOCIDADE MÉDIA 19KM/H. AF_05/2020</v>
          </cell>
          <cell r="C5175" t="str">
            <v>M3</v>
          </cell>
          <cell r="D5175">
            <v>15.63</v>
          </cell>
        </row>
        <row r="5176">
          <cell r="A5176" t="str">
            <v>101212</v>
          </cell>
          <cell r="B5176" t="str">
            <v>ESCAVAÇÃO VERTICAL A CÉU ABERTO, EM OBRAS DE EDIFICAÇÃO, INCLUINDO CARGA, DESCARGA E TRANSPORTE, EM SOLO DE 1ª CATEGORIA COM ESCAVADEIRA HIDRÁULICA (CAÇAMBA: 0,8 M³ / 111 HP), FROTA DE 5 CAMINHÕES BASCULANTES DE 14 M³, DMT DE 3 KM E VELOCIDADE MÉDIA 20KM/H. AF_05/2020</v>
          </cell>
          <cell r="C5176" t="str">
            <v>M3</v>
          </cell>
          <cell r="D5176">
            <v>18.16</v>
          </cell>
        </row>
        <row r="5177">
          <cell r="A5177" t="str">
            <v>101213</v>
          </cell>
          <cell r="B5177" t="str">
            <v>ESCAVAÇÃO VERTICAL A CÉU ABERTO, EM OBRAS DE EDIFICAÇÃO, INCLUINDO CARGA, DESCARGA E TRANSPORTE, EM SOLO DE 1ª CATEGORIA COM ESCAVADEIRA HIDRÁULICA (CAÇAMBA: 0,8 M³ / 111 HP), FROTA DE 6 CAMINHÕES BASCULANTES DE 14 M³, DMT DE 4 KM E VELOCIDADE MÉDIA 22KM/H. AF_05/2020</v>
          </cell>
          <cell r="C5177" t="str">
            <v>M3</v>
          </cell>
          <cell r="D5177">
            <v>20.21</v>
          </cell>
        </row>
        <row r="5178">
          <cell r="A5178" t="str">
            <v>101214</v>
          </cell>
          <cell r="B5178" t="str">
            <v>ESCAVAÇÃO VERTICAL A CÉU ABERTO, EM OBRAS DE EDIFICAÇÃO, INCLUINDO CARGA, DESCARGA E TRANSPORTE, EM SOLO DE 1ª CATEGORIA COM ESCAVADEIRA HIDRÁULICA (CAÇAMBA: 0,8 M³ / 111 HP), FROTA DE 7 CAMINHÕES BASCULANTES DE 14 M³, DMT DE 6 KM E VELOCIDADE MÉDIA 22KM/H. AF_05/2020</v>
          </cell>
          <cell r="C5178" t="str">
            <v>M3</v>
          </cell>
          <cell r="D5178">
            <v>24.42</v>
          </cell>
        </row>
        <row r="5179">
          <cell r="A5179" t="str">
            <v>101215</v>
          </cell>
          <cell r="B5179" t="str">
            <v>ESCAVAÇÃO VERTICAL A CÉU ABERTO, EM OBRAS DE EDIFICAÇÃO, INCLUINDO CARGA, DESCARGA E TRANSPORTE, EM SOLO DE 1ª CATEGORIA COM ESCAVADEIRA HIDRÁULICA (CAÇAMBA: 0,8 M³ / 111 HP), FROTA DE 4 CAMINHÕES BASCULANTES DE 18 M³, DMT DE 1,5 KM E VELOCIDADE MÉDIA 18KM/H. AF_05/2020</v>
          </cell>
          <cell r="C5179" t="str">
            <v>M3</v>
          </cell>
          <cell r="D5179">
            <v>13.92</v>
          </cell>
        </row>
        <row r="5180">
          <cell r="A5180" t="str">
            <v>101216</v>
          </cell>
          <cell r="B5180" t="str">
            <v>ESCAVAÇÃO VERTICAL A CÉU ABERTO, EM OBRAS DE EDIFICAÇÃO, INCLUINDO CARGA, DESCARGA E TRANSPORTE, EM SOLO DE 1ª CATEGORIA COM ESCAVADEIRA HIDRÁULICA (CAÇAMBA: 0,8 M³ / 111 HP), FROTA DE 4 CAMINHÕES BASCULANTES DE 18 M³, DMT DE 2 KM E VELOCIDADE MÉDIA 19KM/H. AF_05/2020</v>
          </cell>
          <cell r="C5180" t="str">
            <v>M3</v>
          </cell>
          <cell r="D5180">
            <v>14.62</v>
          </cell>
        </row>
        <row r="5181">
          <cell r="A5181" t="str">
            <v>101217</v>
          </cell>
          <cell r="B5181" t="str">
            <v>ESCAVAÇÃO VERTICAL A CÉU ABERTO, EM OBRAS DE EDIFICAÇÃO, INCLUINDO CARGA, DESCARGA E TRANSPORTE, EM SOLO DE 1ª CATEGORIA COM ESCAVADEIRA HIDRÁULICA (CAÇAMBA: 0,8 M³ / 111 HP), FROTA DE 5 CAMINHÕES BASCULANTES DE 18 M³, DMT DE 3 KM E VELOCIDADE MÉDIA 20KM/H. AF_05/2020</v>
          </cell>
          <cell r="C5181" t="str">
            <v>M3</v>
          </cell>
          <cell r="D5181">
            <v>16.93</v>
          </cell>
        </row>
        <row r="5182">
          <cell r="A5182" t="str">
            <v>101218</v>
          </cell>
          <cell r="B5182" t="str">
            <v>ESCAVAÇÃO VERTICAL A CÉU ABERTO, EM OBRAS DE EDIFICAÇÃO, INCLUINDO CARGA, DESCARGA E TRANSPORTE, EM SOLO DE 1ª CATEGORIA COM ESCAVADEIRA HIDRÁULICA (CAÇAMBA: 0,8 M³ / 111 HP), FROTA DE 5 CAMINHÕES BASCULANTES DE 18 M³, DMT DE 4 KM E VELOCIDADE MÉDIA 22KM/H. AF_05/2020</v>
          </cell>
          <cell r="C5182" t="str">
            <v>M3</v>
          </cell>
          <cell r="D5182">
            <v>17.96</v>
          </cell>
        </row>
        <row r="5183">
          <cell r="A5183" t="str">
            <v>101219</v>
          </cell>
          <cell r="B5183" t="str">
            <v>ESCAVAÇÃO VERTICAL A CÉU ABERTO, EM OBRAS DE EDIFICAÇÃO, INCLUINDO CARGA, DESCARGA E TRANSPORTE, EM SOLO DE 1ª CATEGORIA COM ESCAVADEIRA HIDRÁULICA (CAÇAMBA: 0,8 M³ / 111 HP), FROTA DE 6 CAMINHÕES BASCULANTES DE 18 M³, DMT DE 6 KM E VELOCIDADE MÉDIA 22KM/H. AF_05/2020</v>
          </cell>
          <cell r="C5183" t="str">
            <v>M3</v>
          </cell>
          <cell r="D5183">
            <v>21.74</v>
          </cell>
        </row>
        <row r="5184">
          <cell r="A5184" t="str">
            <v>101220</v>
          </cell>
          <cell r="B5184" t="str">
            <v>ESCAVAÇÃO VERTICAL A CÉU ABERTO, EM OBRAS DE EDIFICAÇÃO, INCLUINDO CARGA, DESCARGA E TRANSPORTE, EM SOLO DE 1ª CATEGORIA COM ESCAVADEIRA HIDRÁULICA (CAÇAMBA: 1,2 M³ / 155 HP), FROTA DE 5 CAMINHÕES BASCULANTES DE 14 M³, DMT DE 1,5 KM E VELOCIDADE MÉDIA 18KM/H. AF_05/2020</v>
          </cell>
          <cell r="C5184" t="str">
            <v>M3</v>
          </cell>
          <cell r="D5184">
            <v>13.69</v>
          </cell>
        </row>
        <row r="5185">
          <cell r="A5185" t="str">
            <v>101221</v>
          </cell>
          <cell r="B5185" t="str">
            <v>ESCAVAÇÃO VERTICAL A CÉU ABERTO, EM OBRAS DE EDIFICAÇÃO, INCLUINDO CARGA, DESCARGA E TRANSPORTE, EM SOLO DE 1ª CATEGORIA COM ESCAVADEIRA HIDRÁULICA (CAÇAMBA: 1,2 M³ / 155 HP), FROTA DE 5 CAMINHÕES BASCULANTES DE 14 M³, DMT DE 2 KM E VELOCIDADE MÉDIA 19KM/H. AF_05/2020</v>
          </cell>
          <cell r="C5185" t="str">
            <v>M3</v>
          </cell>
          <cell r="D5185">
            <v>14.49</v>
          </cell>
        </row>
        <row r="5186">
          <cell r="A5186" t="str">
            <v>101222</v>
          </cell>
          <cell r="B5186" t="str">
            <v>ESCAVAÇÃO VERTICAL A CÉU ABERTO, EM OBRAS DE EDIFICAÇÃO, INCLUINDO CARGA, DESCARGA E TRANSPORTE, EM SOLO DE 1ª CATEGORIA COM ESCAVADEIRA HIDRÁULICA (CAÇAMBA: 1,2 M³ / 155 HP), FROTA DE 6 CAMINHÕES BASCULANTES DE 14 M³, DMT DE 3 KM E VELOCIDADE MÉDIA 20KM/H. AF_05/2020</v>
          </cell>
          <cell r="C5186" t="str">
            <v>M3</v>
          </cell>
          <cell r="D5186">
            <v>16.8</v>
          </cell>
        </row>
        <row r="5187">
          <cell r="A5187" t="str">
            <v>101223</v>
          </cell>
          <cell r="B5187" t="str">
            <v>ESCAVAÇÃO VERTICAL A CÉU ABERTO, EM OBRAS DE EDIFICAÇÃO, INCLUINDO CARGA, DESCARGA E TRANSPORTE, EM SOLO DE 1ª CATEGORIA COM ESCAVADEIRA HIDRÁULICA (CAÇAMBA: 1,2 M³ / 155 HP), FROTA DE 7 CAMINHÕES BASCULANTES DE 14 M³, DMT DE 4 KM E VELOCIDADE MÉDIA 22KM/H. AF_05/2020</v>
          </cell>
          <cell r="C5187" t="str">
            <v>M3</v>
          </cell>
          <cell r="D5187">
            <v>18.64</v>
          </cell>
        </row>
        <row r="5188">
          <cell r="A5188" t="str">
            <v>101224</v>
          </cell>
          <cell r="B5188" t="str">
            <v>ESCAVAÇÃO VERTICAL A CÉU ABERTO, EM OBRAS DE EDIFICAÇÃO, INCLUINDO CARGA, DESCARGA E TRANSPORTE, EM SOLO DE 1ª CATEGORIA COM ESCAVADEIRA HIDRÁULICA (CAÇAMBA: 1,2 M³ / 155 HP), FROTA DE 9 CAMINHÕES BASCULANTES DE 14 M³, DMT DE 6 KM E VELOCIDADE MÉDIA 22KM/H. AF_05/2020</v>
          </cell>
          <cell r="C5188" t="str">
            <v>M3</v>
          </cell>
          <cell r="D5188">
            <v>23.3</v>
          </cell>
        </row>
        <row r="5189">
          <cell r="A5189" t="str">
            <v>101225</v>
          </cell>
          <cell r="B5189" t="str">
            <v>ESCAVAÇÃO VERTICAL A CÉU ABERTO, EM OBRAS DE EDIFICAÇÃO, INCLUINDO CARGA, DESCARGA E TRANSPORTE, EM SOLO DE 1ª CATEGORIA COM ESCAVADEIRA HIDRÁULICA (CAÇAMBA: 1,2 M³ / 155 HP), FROTA DE 5 CAMINHÕES BASCULANTES DE 18 M³, DMT DE 1,5 KM E VELOCIDADE MÉDIA 18KM/H. AF_05/2020</v>
          </cell>
          <cell r="C5189" t="str">
            <v>M3</v>
          </cell>
          <cell r="D5189">
            <v>12.52</v>
          </cell>
        </row>
        <row r="5190">
          <cell r="A5190" t="str">
            <v>101226</v>
          </cell>
          <cell r="B5190" t="str">
            <v>ESCAVAÇÃO VERTICAL A CÉU ABERTO, EM OBRAS DE EDIFICAÇÃO, INCLUINDO CARGA, DESCARGA E TRANSPORTE, EM SOLO DE 1ª CATEGORIA COM ESCAVADEIRA HIDRÁULICA (CAÇAMBA: 1,2 M³ / 155 HP), FROTA DE 5 CAMINHÕES BASCULANTES DE 18 M³, DMT DE 2 KM E VELOCIDADE MÉDIA 19KM/H. AF_05/2020</v>
          </cell>
          <cell r="C5190" t="str">
            <v>M3</v>
          </cell>
          <cell r="D5190">
            <v>13.21</v>
          </cell>
        </row>
        <row r="5191">
          <cell r="A5191" t="str">
            <v>101227</v>
          </cell>
          <cell r="B5191" t="str">
            <v>ESCAVAÇÃO VERTICAL A CÉU ABERTO, EM OBRAS DE EDIFICAÇÃO, INCLUINDO CARGA, DESCARGA E TRANSPORTE, EM SOLO DE 1ª CATEGORIA COM ESCAVADEIRA HIDRÁULICA (CAÇAMBA: 1,2 M³ / 155 HP), FROTA DE 6 CAMINHÕES BASCULANTES DE 18 M³, DMT DE 3 KM E VELOCIDADE MÉDIA 20KM/H. AF_05/2020</v>
          </cell>
          <cell r="C5191" t="str">
            <v>M3</v>
          </cell>
          <cell r="D5191">
            <v>15.27</v>
          </cell>
        </row>
        <row r="5192">
          <cell r="A5192" t="str">
            <v>101228</v>
          </cell>
          <cell r="B5192" t="str">
            <v>ESCAVAÇÃO VERTICAL A CÉU ABERTO, EM OBRAS DE EDIFICAÇÃO, INCLUINDO CARGA, DESCARGA E TRANSPORTE, EM SOLO DE 1ª CATEGORIA COM ESCAVADEIRA HIDRÁULICA (CAÇAMBA: 1,2 M³ / 155 HP), FROTA DE 6 CAMINHÕES BASCULANTES DE 18 M³, DMT DE 4 KM E VELOCIDADE MÉDIA 22KM/H. AF_05/2020</v>
          </cell>
          <cell r="C5192" t="str">
            <v>M3</v>
          </cell>
          <cell r="D5192">
            <v>16.329999999999998</v>
          </cell>
        </row>
        <row r="5193">
          <cell r="A5193" t="str">
            <v>101229</v>
          </cell>
          <cell r="B5193" t="str">
            <v>ESCAVAÇÃO VERTICAL A CÉU ABERTO, EM OBRAS DE EDIFICAÇÃO, INCLUINDO CARGA, DESCARGA E TRANSPORTE, EM SOLO DE 1ª CATEGORIA COM ESCAVADEIRA HIDRÁULICA (CAÇAMBA: 1,2 M³ / 155 HP), FROTA DE 8 CAMINHÕES BASCULANTES DE 18 M³, DMT DE 6 KM E VELOCIDADE MÉDIA 22KM/H. AF_05/2020</v>
          </cell>
          <cell r="C5193" t="str">
            <v>M3</v>
          </cell>
          <cell r="D5193">
            <v>20.49</v>
          </cell>
        </row>
        <row r="5194">
          <cell r="A5194" t="str">
            <v>101230</v>
          </cell>
          <cell r="B5194" t="str">
            <v>ESCAVAÇÃO VERTICAL A CÉU ABERTO, EM OBRAS DE INFRAESTRUTURA, INCLUINDO CARGA, DESCARGA E TRANSPORTE, EM SOLO DE 1ª CATEGORIA COM ESCAVADEIRA HIDRÁULICA (CAÇAMBA: 0,8 M³ / 111 HP), FROTA DE 3 CAMINHÕES BASCULANTES DE 14 M³, DMT ATÉ 1 KM E VELOCIDADE MÉDIA14KM/H. AF_05/2020</v>
          </cell>
          <cell r="C5194" t="str">
            <v>M3</v>
          </cell>
          <cell r="D5194">
            <v>9.2200000000000006</v>
          </cell>
        </row>
        <row r="5195">
          <cell r="A5195" t="str">
            <v>101231</v>
          </cell>
          <cell r="B5195" t="str">
            <v>ESCAVAÇÃO VERTICAL A CÉU ABERTO, EM OBRAS DE INFRAESTRUTURA, INCLUINDO CARGA, DESCARGA E TRANSPORTE, EM SOLO DE 1ª CATEGORIA COM ESCAVADEIRA HIDRÁULICA (CAÇAMBA: 0,8 M³ / 111 HP), FROTA DE 3 CAMINHÕES BASCULANTES DE 18 M³, DMT ATÉ 1 KM E VELOCIDADE MÉDIA14KM/H. AF_05/2020</v>
          </cell>
          <cell r="C5195" t="str">
            <v>M3</v>
          </cell>
          <cell r="D5195">
            <v>8.73</v>
          </cell>
        </row>
        <row r="5196">
          <cell r="A5196" t="str">
            <v>101232</v>
          </cell>
          <cell r="B5196" t="str">
            <v>ESCAVAÇÃO VERTICAL A CÉU ABERTO, EM OBRAS DE INFRAESTRUTURA, INCLUINDO CARGA, DESCARGA E TRANSPORTE, EM SOLO DE 1ª CATEGORIA COM ESCAVADEIRA HIDRÁULICA (CAÇAMBA: 1,2 M³ / 155 HP), FROTA DE 3 CAMINHÕES BASCULANTES DE 14 M³, DMT ATÉ 1 KM E VELOCIDADE MÉDIA14KM/H. AF_05/2020</v>
          </cell>
          <cell r="C5196" t="str">
            <v>M3</v>
          </cell>
          <cell r="D5196">
            <v>7.92</v>
          </cell>
        </row>
        <row r="5197">
          <cell r="A5197" t="str">
            <v>101233</v>
          </cell>
          <cell r="B5197" t="str">
            <v>ESCAVAÇÃO VERTICAL A CÉU ABERTO, EM OBRAS DE INFRAESTRUTURA, INCLUINDO CARGA, DESCARGA E TRANSPORTE, EM SOLO DE 1ª CATEGORIA COM ESCAVADEIRA HIDRÁULICA (CAÇAMBA: 1,2 M³ / 155 HP), FROTA DE 3 CAMINHÕES BASCULANTES DE 18 M³, DMT ATÉ 1 KM E VELOCIDADE MÉDIA14KM/H. AF_05/2020</v>
          </cell>
          <cell r="C5197" t="str">
            <v>M3</v>
          </cell>
          <cell r="D5197">
            <v>7.27</v>
          </cell>
        </row>
        <row r="5198">
          <cell r="A5198" t="str">
            <v>101234</v>
          </cell>
          <cell r="B5198" t="str">
            <v>ESCAVAÇÃO VERTICAL A CÉU ABERTO, EM OBRAS DE INFRAESTRUTURA, INCLUINDO CARGA, DESCARGA E TRANSPORTE, EM SOLO DE 1ª CATEGORIA COM ESCAVADEIRA HIDRÁULICA (CAÇAMBA: 0,8 M³ / 111HP), FROTA DE 5 CAMINHÕES BASCULANTES DE 14 M³, DMT DE 1,5 KM E VELOCIDADE MÉDIA18KM/H. AF_05/2020</v>
          </cell>
          <cell r="C5198" t="str">
            <v>M3</v>
          </cell>
          <cell r="D5198">
            <v>14.2</v>
          </cell>
        </row>
        <row r="5199">
          <cell r="A5199" t="str">
            <v>101235</v>
          </cell>
          <cell r="B5199" t="str">
            <v>ESCAVAÇÃO VERTICAL A CÉU ABERTO, EM OBRAS DE INFRAESTRUTURA, INCLUINDO CARGA, DESCARGA E TRANSPORTE, EM SOLO DE 1ª CATEGORIA COM ESCAVADEIRA HIDRÁULICA (CAÇAMBA: 0,8 M³ / 111HP), FROTA DE 5 CAMINHÕES BASCULANTES DE 14 M³, DMT DE 2 KM E VELOCIDADE MÉDIA 19KM/H. AF_05/2020</v>
          </cell>
          <cell r="C5199" t="str">
            <v>M3</v>
          </cell>
          <cell r="D5199">
            <v>14.97</v>
          </cell>
        </row>
        <row r="5200">
          <cell r="A5200" t="str">
            <v>101236</v>
          </cell>
          <cell r="B5200" t="str">
            <v>ESCAVAÇÃO VERTICAL A CÉU ABERTO, EM OBRAS DE INFRAESTRUTURA, INCLUINDO CARGA, DESCARGA E TRANSPORTE, EM SOLO DE 1ª CATEGORIA COM ESCAVADEIRA HIDRÁULICA (CAÇAMBA: 0,8 M³ / 111HP), FROTA DE 6 CAMINHÕES BASCULANTES DE 14 M³, DMT DE 3 KM E VELOCIDADE MÉDIA 20KM/H. AF_05/2020</v>
          </cell>
          <cell r="C5200" t="str">
            <v>M3</v>
          </cell>
          <cell r="D5200">
            <v>17.38</v>
          </cell>
        </row>
        <row r="5201">
          <cell r="A5201" t="str">
            <v>101237</v>
          </cell>
          <cell r="B5201" t="str">
            <v>ESCAVAÇÃO VERTICAL A CÉU ABERTO, EM OBRAS DE INFRAESTRUTURA, INCLUINDO CARGA, DESCARGA E TRANSPORTE, EM SOLO DE 1ª CATEGORIA COM ESCAVADEIRA HIDRÁULICA (CAÇAMBA: 0,8 M³ / 111HP), FROTA DE 6 CAMINHÕES BASCULANTES DE 14 M³, DMT DE 4 KM E VELOCIDADE MÉDIA 22KM/H. AF_05/2020</v>
          </cell>
          <cell r="C5201" t="str">
            <v>M3</v>
          </cell>
          <cell r="D5201">
            <v>18.57</v>
          </cell>
        </row>
        <row r="5202">
          <cell r="A5202" t="str">
            <v>101238</v>
          </cell>
          <cell r="B5202" t="str">
            <v>ESCAVAÇÃO VERTICAL A CÉU ABERTO, EM OBRAS DE INFRAESTRUTURA, INCLUINDO CARGA, DESCARGA E TRANSPORTE, EM SOLO DE 1ª CATEGORIA COM ESCAVADEIRA HIDRÁULICA (CAÇAMBA: 0,8 M³ / 111HP), FROTA DE 8 CAMINHÕES BASCULANTES DE 14 M³, DMT DE 6 KM E VELOCIDADE MÉDIA 22KM/H. AF_05/2020</v>
          </cell>
          <cell r="C5202" t="str">
            <v>M3</v>
          </cell>
          <cell r="D5202">
            <v>23.38</v>
          </cell>
        </row>
        <row r="5203">
          <cell r="A5203" t="str">
            <v>101239</v>
          </cell>
          <cell r="B5203" t="str">
            <v>ESCAVAÇÃO VERTICAL A CÉU ABERTO, EM OBRAS DE INFRAESTRUTURA, INCLUINDO CARGA, DESCARGA E TRANSPORTE, EM SOLO DE 1ª CATEGORIA COM ESCAVADEIRA HIDRÁULICA (CAÇAMBA: 0,8 M³ / 111HP), FROTA DE 4 CAMINHÕES BASCULANTES DE 18 M³, DMT DE 1,5 KM E VELOCIDADE MÉDIA18KM/H. AF_05/2020</v>
          </cell>
          <cell r="C5203" t="str">
            <v>M3</v>
          </cell>
          <cell r="D5203">
            <v>12.51</v>
          </cell>
        </row>
        <row r="5204">
          <cell r="A5204" t="str">
            <v>101240</v>
          </cell>
          <cell r="B5204" t="str">
            <v>ESCAVAÇÃO VERTICAL A CÉU ABERTO, EM OBRAS DE INFRAESTRUTURA, INCLUINDO CARGA, DESCARGA E TRANSPORTE, EM SOLO DE 1ª CATEGORIA COM ESCAVADEIRA HIDRÁULICA (CAÇAMBA: 0,8 M³ / 111HP), FROTA DE 4 CAMINHÕES BASCULANTES DE 18 M³, DMT DE 2 KM E VELOCIDADE MÉDIA 19KM/H. AF_05/2020</v>
          </cell>
          <cell r="C5204" t="str">
            <v>M3</v>
          </cell>
          <cell r="D5204">
            <v>13.22</v>
          </cell>
        </row>
        <row r="5205">
          <cell r="A5205" t="str">
            <v>101241</v>
          </cell>
          <cell r="B5205" t="str">
            <v>ESCAVAÇÃO VERTICAL A CÉU ABERTO, EM OBRAS DE INFRAESTRUTURA, INCLUINDO CARGA, DESCARGA E TRANSPORTE, EM SOLO DE 1ª CATEGORIA COM ESCAVADEIRA HIDRÁULICA (CAÇAMBA: 0,8 M³ / 111HP), FROTA DE 5 CAMINHÕES BASCULANTES DE 18 M³, DMT DE 3 KM E VELOCIDADE MÉDIA 20KM/H. AF_05/2020</v>
          </cell>
          <cell r="C5205" t="str">
            <v>M3</v>
          </cell>
          <cell r="D5205">
            <v>15.39</v>
          </cell>
        </row>
        <row r="5206">
          <cell r="A5206" t="str">
            <v>101242</v>
          </cell>
          <cell r="B5206" t="str">
            <v>ESCAVAÇÃO VERTICAL A CÉU ABERTO, EM OBRAS DE INFRAESTRUTURA, INCLUINDO CARGA, DESCARGA E TRANSPORTE, EM SOLO DE 1ª CATEGORIA COM ESCAVADEIRA HIDRÁULICA (CAÇAMBA: 0,8 M³ / 111HP), FROTA DE 6 CAMINHÕES BASCULANTES DE 18 M³, DMT DE 4 KM E VELOCIDADE MÉDIA 22KM/H. AF_05/2020</v>
          </cell>
          <cell r="C5206" t="str">
            <v>M3</v>
          </cell>
          <cell r="D5206">
            <v>17.12</v>
          </cell>
        </row>
        <row r="5207">
          <cell r="A5207" t="str">
            <v>101243</v>
          </cell>
          <cell r="B5207" t="str">
            <v>ESCAVAÇÃO VERTICAL A CÉU ABERTO, EM OBRAS DE INFRAESTRUTURA, INCLUINDO CARGA, DESCARGA E TRANSPORTE, EM SOLO DE 1ª CATEGORIA COM ESCAVADEIRA HIDRÁULICA (CAÇAMBA: 0,8 M³ / 111HP), FROTA DE 7 CAMINHÕES BASCULANTES DE 18 M³, DMT DE 6 KM E VELOCIDADE MÉDIA 22KM/H. AF_05/2020</v>
          </cell>
          <cell r="C5207" t="str">
            <v>M3</v>
          </cell>
          <cell r="D5207">
            <v>20.76</v>
          </cell>
        </row>
        <row r="5208">
          <cell r="A5208" t="str">
            <v>101244</v>
          </cell>
          <cell r="B5208"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C5208" t="str">
            <v>M3</v>
          </cell>
          <cell r="D5208">
            <v>13.1</v>
          </cell>
        </row>
        <row r="5209">
          <cell r="A5209" t="str">
            <v>101245</v>
          </cell>
          <cell r="B5209" t="str">
            <v>ESCAVAÇÃO VERTICAL A CÉU ABERTO, EM OBRAS DE INFRAESTRUTURA, INCLUINDO CARGA, DESCARGA E TRANSPORTE, EM SOLO DE 1ª CATEGORIA COM ESCAVADEIRA HIDRÁULICA (CAÇAMBA: 1,2 M³ / 155HP), FROTA DE 6 CAMINHÕES BASCULANTES DE 14 M³, DMT DE 2 KM E VELOCIDADE MÉDIA 19KM/H. AF_05/2020</v>
          </cell>
          <cell r="C5209" t="str">
            <v>M3</v>
          </cell>
          <cell r="D5209">
            <v>13.89</v>
          </cell>
        </row>
        <row r="5210">
          <cell r="A5210" t="str">
            <v>101246</v>
          </cell>
          <cell r="B5210" t="str">
            <v>ESCAVAÇÃO VERTICAL A CÉU ABERTO, EM OBRAS DE INFRAESTRUTURA, INCLUINDO CARGA, DESCARGA E TRANSPORTE, EM SOLO DE 1ª CATEGORIA COM ESCAVADEIRA HIDRÁULICA (CAÇAMBA: 1,2 M³ / 155HP), FROTA DE 7 CAMINHÕES BASCULANTES DE 14 M³, DMT DE 3 KM E VELOCIDADE MÉDIA 20KM/H. AF_05/2020</v>
          </cell>
          <cell r="C5210" t="str">
            <v>M3</v>
          </cell>
          <cell r="D5210">
            <v>16.12</v>
          </cell>
        </row>
        <row r="5211">
          <cell r="A5211" t="str">
            <v>101247</v>
          </cell>
          <cell r="B5211" t="str">
            <v>ESCAVAÇÃO VERTICAL A CÉU ABERTO, EM OBRAS DE INFRAESTRUTURA, INCLUINDO CARGA, DESCARGA E TRANSPORTE, EM SOLO DE 1ª CATEGORIA COM ESCAVADEIRA HIDRÁULICA (CAÇAMBA: 1,2 M³ / 155HP), FROTA DE 8 CAMINHÕES BASCULANTES DE 14 M³, DMT DE 4 KM E VELOCIDADE MÉDIA 22KM/H. AF_05/2020</v>
          </cell>
          <cell r="C5211" t="str">
            <v>M3</v>
          </cell>
          <cell r="D5211">
            <v>17.850000000000001</v>
          </cell>
        </row>
        <row r="5212">
          <cell r="A5212" t="str">
            <v>101248</v>
          </cell>
          <cell r="B5212" t="str">
            <v>ESCAVAÇÃO VERTICAL A CÉU ABERTO, EM OBRAS DE INFRAESTRUTURA, INCLUINDO CARGA, DESCARGA E TRANSPORTE, EM SOLO DE 1ª CATEGORIA COM ESCAVADEIRA HIDRÁULICA (CAÇAMBA: 1,2 M³ / 155HP), FROTA DE 10 CAMINHÕES BASCULANTES DE 14 M³, DMT DE 6 KM E VELOCIDADE MÉDIA22KM/H. AF_05/2020</v>
          </cell>
          <cell r="C5212" t="str">
            <v>M3</v>
          </cell>
          <cell r="D5212">
            <v>22.31</v>
          </cell>
        </row>
        <row r="5213">
          <cell r="A5213" t="str">
            <v>101249</v>
          </cell>
          <cell r="B5213" t="str">
            <v>ESCAVAÇÃO VERTICAL A CÉU ABERTO, EM OBRAS DE INFRAESTRUTURA, INCLUINDO CARGA, DESCARGA E TRANSPORTE, EM SOLO DE 1ª CATEGORIA COM ESCAVADEIRA HIDRÁULICA (CAÇAMBA: 1,2 M³ / 155HP), FROTA DE 5 CAMINHÕES BASCULANTES DE 18 M³, DMT DE 1,5 KM E VELOCIDADE MÉDIA18KM/H. AF_05/2020</v>
          </cell>
          <cell r="C5213" t="str">
            <v>M3</v>
          </cell>
          <cell r="D5213">
            <v>11.41</v>
          </cell>
        </row>
        <row r="5214">
          <cell r="A5214" t="str">
            <v>101250</v>
          </cell>
          <cell r="B5214" t="str">
            <v>ESCAVAÇÃO VERTICAL A CÉU ABERTO, EM OBRAS DE INFRAESTRUTURA, INCLUINDO CARGA, DESCARGA E TRANSPORTE, EM SOLO DE 1ª CATEGORIA COM ESCAVADEIRA HIDRÁULICA (CAÇAMBA: 1,2 M³ / 155HP), FROTA DE 6 CAMINHÕES BASCULANTES DE 18 M³, DMT DE 2 KM E VELOCIDADE MÉDIA 19KM/H. AF_05/2020</v>
          </cell>
          <cell r="C5214" t="str">
            <v>M3</v>
          </cell>
          <cell r="D5214">
            <v>12.62</v>
          </cell>
        </row>
        <row r="5215">
          <cell r="A5215" t="str">
            <v>101251</v>
          </cell>
          <cell r="B5215" t="str">
            <v>ESCAVAÇÃO VERTICAL A CÉU ABERTO, EM OBRAS DE INFRAESTRUTURA, INCLUINDO CARGA, DESCARGA E TRANSPORTE, EM SOLO DE 1ª CATEGORIA COM ESCAVADEIRA HIDRÁULICA (CAÇAMBA: 1,2 M³ / 155HP), FROTA DE 6 CAMINHÕES BASCULANTES DE 18 M³, DMT DE 3 KM E VELOCIDADE MÉDIA 20KM/H. AF_05/2020</v>
          </cell>
          <cell r="C5215" t="str">
            <v>M3</v>
          </cell>
          <cell r="D5215">
            <v>14.46</v>
          </cell>
        </row>
        <row r="5216">
          <cell r="A5216" t="str">
            <v>101252</v>
          </cell>
          <cell r="B5216" t="str">
            <v>ESCAVAÇÃO VERTICAL A CÉU ABERTO, EM OBRAS DE INFRAESTRUTURA, INCLUINDO CARGA, DESCARGA E TRANSPORTE, EM SOLO DE 1ª CATEGORIA COM ESCAVADEIRA HIDRÁULICA (CAÇAMBA: 1,2 M³ / 155HP), FROTA DE 7 CAMINHÕES BASCULANTES DE 18 M³, DMT DE 4 KM E VELOCIDADE MÉDIA 22KM/H. AF_05/2020</v>
          </cell>
          <cell r="C5216" t="str">
            <v>M3</v>
          </cell>
          <cell r="D5216">
            <v>15.61</v>
          </cell>
        </row>
        <row r="5217">
          <cell r="A5217" t="str">
            <v>101253</v>
          </cell>
          <cell r="B5217" t="str">
            <v>ESCAVAÇÃO VERTICAL A CÉU ABERTO, EM OBRAS DE INFRAESTRUTURA, INCLUINDO CARGA, DESCARGA E TRANSPORTE, EM SOLO DE 1ª CATEGORIA COM ESCAVADEIRA HIDRÁULICA (CAÇAMBA: 1,2 M³ / 155HP), FROTA DE 9 CAMINHÕES BASCULANTES DE 18 M³, DMT DE 6 KM E VELOCIDADE MÉDIA 22KM/H. AF_05/2020</v>
          </cell>
          <cell r="C5217" t="str">
            <v>M3</v>
          </cell>
          <cell r="D5217">
            <v>19.62</v>
          </cell>
        </row>
        <row r="5218">
          <cell r="A5218" t="str">
            <v>101254</v>
          </cell>
          <cell r="B5218" t="str">
            <v>ESCAVAÇÃO VERTICAL A CÉU ABERTO, EM OBRAS DE EDIFICAÇÃO, INCLUINDO CARGA, DESCARGA E TRANSPORTE, EM SOLO DE 1ª CATEGORIA COM ESCAVADEIRA HIDRÁULICA (CAÇAMBA: 0,8 M³ / 111HP), FROTA DE 3 CAMINHÕES BASCULANTES DE 10 M³, DMT ATÉ 1 KM E VELOCIDADE MÉDIA 14KM/H. AF_05/2020</v>
          </cell>
          <cell r="C5218" t="str">
            <v>M3</v>
          </cell>
          <cell r="D5218">
            <v>10.52</v>
          </cell>
        </row>
        <row r="5219">
          <cell r="A5219" t="str">
            <v>101255</v>
          </cell>
          <cell r="B5219" t="str">
            <v>ESCAVAÇÃO VERTICAL A CÉU ABERTO, EM OBRAS DE EDIFICAÇÃO, INCLUINDO CARGA, DESCARGA E TRANSPORTE, EM SOLO DE 1ª CATEGORIA COM ESCAVADEIRA HIDRÁULICA (CAÇAMBA: 1,2 M³ / 155HP), FROTA DE 3 CAMINHÕES BASCULANTES DE 10 M³, DMT ATÉ 1 KM E VELOCIDADE MÉDIA 14KM/H. AF_05/2020</v>
          </cell>
          <cell r="C5219" t="str">
            <v>M3</v>
          </cell>
          <cell r="D5219">
            <v>9.33</v>
          </cell>
        </row>
        <row r="5220">
          <cell r="A5220" t="str">
            <v>101256</v>
          </cell>
          <cell r="B5220" t="str">
            <v>ESCAVAÇÃO VERTICAL A CÉU ABERTO, EM OBRAS DE EDIFICAÇÃO, INCLUINDO CARGA, DESCARGA E TRANSPORTE, EM SOLO DE 1ª CATEGORIA COM ESCAVADEIRA HIDRÁULICA (CAÇAMBA: 0,8 M³ / 111HP), FROTA DE 5 CAMINHÕES BASCULANTES DE 10 M³, DMT DE 1,5 KM E VELOCIDADE MÉDIA 18KM/H. AF_05/2020</v>
          </cell>
          <cell r="C5220" t="str">
            <v>M3</v>
          </cell>
          <cell r="D5220">
            <v>16.03</v>
          </cell>
        </row>
        <row r="5221">
          <cell r="A5221" t="str">
            <v>101257</v>
          </cell>
          <cell r="B5221" t="str">
            <v>ESCAVAÇÃO VERTICAL A CÉU ABERTO, EM OBRAS DE EDIFICAÇÃO, INCLUINDO CARGA, DESCARGA E TRANSPORTE, EM SOLO DE 1ª CATEGORIA COM ESCAVADEIRA HIDRÁULICA (CAÇAMBA: 0,8 M³ / 111HP), FROTA DE 5 CAMINHÕES BASCULANTES DE 10 M³, DMT DE 2 KM E VELOCIDADE MÉDIA 19KM/H. AF_05/2020</v>
          </cell>
          <cell r="C5221" t="str">
            <v>M3</v>
          </cell>
          <cell r="D5221">
            <v>16.93</v>
          </cell>
        </row>
        <row r="5222">
          <cell r="A5222" t="str">
            <v>101258</v>
          </cell>
          <cell r="B5222" t="str">
            <v>ESCAVAÇÃO VERTICAL A CÉU ABERTO, EM OBRAS DE EDIFICAÇÃO, INCLUINDO CARGA, DESCARGA E TRANSPORTE, EM SOLO DE 1ª CATEGORIA COM ESCAVADEIRA HIDRÁULICA (CAÇAMBA: 0,8 M³ / 111HP), FROTA DE 6 CAMINHÕES BASCULANTES DE 10 M³, DMT DE 3 KM E VELOCIDADE MÉDIA 20KM/H. AF_05/2020</v>
          </cell>
          <cell r="C5222" t="str">
            <v>M3</v>
          </cell>
          <cell r="D5222">
            <v>19.559999999999999</v>
          </cell>
        </row>
        <row r="5223">
          <cell r="A5223" t="str">
            <v>101259</v>
          </cell>
          <cell r="B5223" t="str">
            <v>ESCAVAÇÃO VERTICAL A CÉU ABERTO, EM OBRAS DE EDIFICAÇÃO, INCLUINDO CARGA, DESCARGA E TRANSPORTE, EM SOLO DE 1ª CATEGORIA COM ESCAVADEIRA HIDRÁULICA (CAÇAMBA: 0,8 M³ / 111HP), FROTA DE 7 CAMINHÕES BASCULANTES DE 10 M³, DMT DE 4 KM E VELOCIDADE MÉDIA 22KM/H. AF_05/2020</v>
          </cell>
          <cell r="C5223" t="str">
            <v>M3</v>
          </cell>
          <cell r="D5223">
            <v>21.64</v>
          </cell>
        </row>
        <row r="5224">
          <cell r="A5224" t="str">
            <v>101260</v>
          </cell>
          <cell r="B5224" t="str">
            <v>ESCAVAÇÃO VERTICAL A CÉU ABERTO, EM OBRAS DE EDIFICAÇÃO, INCLUINDO CARGA, DESCARGA E TRANSPORTE, EM SOLO DE 1ª CATEGORIA COM ESCAVADEIRA HIDRÁULICA (CAÇAMBA: 0,8 M³ / 111HP), FROTA DE 9 CAMINHÕES BASCULANTES DE 10 M³, DMT DE 6 KM E VELOCIDADE MÉDIA 22KM/H. AF_05/2020</v>
          </cell>
          <cell r="C5224" t="str">
            <v>M3</v>
          </cell>
          <cell r="D5224">
            <v>26.94</v>
          </cell>
        </row>
        <row r="5225">
          <cell r="A5225" t="str">
            <v>101261</v>
          </cell>
          <cell r="B5225" t="str">
            <v>ESCAVAÇÃO VERTICAL A CÉU ABERTO, EM OBRAS DE EDIFICAÇÃO, INCLUINDO CARGA, DESCARGA E TRANSPORTE, EM SOLO DE 1ª CATEGORIA COM ESCAVADEIRA HIDRÁULICA (CAÇAMBA: 1,2 M³ / 155HP), FROTA DE 6 CAMINHÕES BASCULANTES DE 10 M³, DMT DE 1,5 KM E VELOCIDADE MÉDIA 18KM/H. AF_05/2020</v>
          </cell>
          <cell r="C5225" t="str">
            <v>M3</v>
          </cell>
          <cell r="D5225">
            <v>15.15</v>
          </cell>
        </row>
        <row r="5226">
          <cell r="A5226" t="str">
            <v>101262</v>
          </cell>
          <cell r="B5226" t="str">
            <v>ESCAVAÇÃO VERTICAL A CÉU ABERTO, EM OBRAS DE EDIFICAÇÃO, INCLUINDO CARGA, DESCARGA E TRANSPORTE, EM SOLO DE 1ª CATEGORIA COM ESCAVADEIRA HIDRÁULICA (CAÇAMBA: 1,2 M³ / 155HP), FROTA DE 6 CAMINHÕES BASCULANTES DE 10 M³, DMT DE 2 KM E VELOCIDADE MÉDIA 19KM/H. AF_05/2020</v>
          </cell>
          <cell r="C5226" t="str">
            <v>M3</v>
          </cell>
          <cell r="D5226">
            <v>16.010000000000002</v>
          </cell>
        </row>
        <row r="5227">
          <cell r="A5227" t="str">
            <v>101263</v>
          </cell>
          <cell r="B5227" t="str">
            <v>ESCAVAÇÃO VERTICAL A CÉU ABERTO, EM OBRAS DE EDIFICAÇÃO, INCLUINDO CARGA, DESCARGA E TRANSPORTE, EM SOLO DE 1ª CATEGORIA COM ESCAVADEIRA HIDRÁULICA (CAÇAMBA: 1,2 M³ / 155HP), FROTA DE 7 CAMINHÕES BASCULANTES DE 10 M³, DMT DE 3 KM E VELOCIDADE MÉDIA 20KM/H. AF_05/2020</v>
          </cell>
          <cell r="C5227" t="str">
            <v>M3</v>
          </cell>
          <cell r="D5227">
            <v>18.48</v>
          </cell>
        </row>
        <row r="5228">
          <cell r="A5228" t="str">
            <v>101264</v>
          </cell>
          <cell r="B5228" t="str">
            <v>ESCAVAÇÃO VERTICAL A CÉU ABERTO, EM OBRAS DE EDIFICAÇÃO, INCLUINDO CARGA, DESCARGA E TRANSPORTE, EM SOLO DE 1ª CATEGORIA COM ESCAVADEIRA HIDRÁULICA (CAÇAMBA: 1,2 M³ / 155HP), FROTA DE 8 CAMINHÕES BASCULANTES DE 10 M³, DMT DE 4 KM E VELOCIDADE MÉDIA 22KM/H. AF_05/2020</v>
          </cell>
          <cell r="C5228" t="str">
            <v>M3</v>
          </cell>
          <cell r="D5228">
            <v>20.43</v>
          </cell>
        </row>
        <row r="5229">
          <cell r="A5229" t="str">
            <v>101265</v>
          </cell>
          <cell r="B5229" t="str">
            <v>ESCAVAÇÃO VERTICAL A CÉU ABERTO, EM OBRAS DE EDIFICAÇÃO, INCLUINDO CARGA, DESCARGA E TRANSPORTE, EM SOLO DE 1ª CATEGORIA COM ESCAVADEIRA HIDRÁULICA (CAÇAMBA: 1,2 M³ / 155HP), FROTA DE 10 CAMINHÕES BASCULANTES DE 10 M³, DMT DE 6 KM E VELOCIDADE MÉDIA 22KM/H. AF_05/2020</v>
          </cell>
          <cell r="C5229" t="str">
            <v>M3</v>
          </cell>
          <cell r="D5229">
            <v>25.39</v>
          </cell>
        </row>
        <row r="5230">
          <cell r="A5230" t="str">
            <v>101266</v>
          </cell>
          <cell r="B5230" t="str">
            <v>ESCAVAÇÃO VERTICAL A CÉU ABERTO, EM OBRAS DE INFRAESTRUTURA, INCLUINDO CARGA, DESCARGA E TRANSPORTE, EM SOLO DE 1ª CATEGORIA COM ESCAVADEIRA HIDRÁULICA (CAÇAMBA: 0,8 M³ / 111HP), FROTA DE 3 CAMINHÕES BASCULANTES DE 10 M³, DMT ATÉ 1 KM E VELOCIDADE MÉDIA14KM/H. AF_05/2020</v>
          </cell>
          <cell r="C5230" t="str">
            <v>M3</v>
          </cell>
          <cell r="D5230">
            <v>9.36</v>
          </cell>
        </row>
        <row r="5231">
          <cell r="A5231" t="str">
            <v>101267</v>
          </cell>
          <cell r="B5231" t="str">
            <v>ESCAVAÇÃO VERTICAL A CÉU ABERTO, EM OBRAS DE INFRAESTRUTURA, INCLUINDO CARGA, DESCARGA E TRANSPORTE, EM SOLO DE 1ª CATEGORIA COM ESCAVADEIRA HIDRÁULICA (CAÇAMBA: 1,2 M³ / 155HP), FROTA DE 4 CAMINHÕES BASCULANTES DE 10 M³, DMT ATÉ 1 KM E VELOCIDADE MÉDIA14KM/H. AF_05/2020</v>
          </cell>
          <cell r="C5231" t="str">
            <v>M3</v>
          </cell>
          <cell r="D5231">
            <v>8.9499999999999993</v>
          </cell>
        </row>
        <row r="5232">
          <cell r="A5232" t="str">
            <v>101268</v>
          </cell>
          <cell r="B5232" t="str">
            <v>ESCAVAÇÃO VERTICAL A CÉU ABERTO, EM OBRAS DE INFRAESTRUTURA, INCLUINDO CARGA, DESCARGA E TRANSPORTE, EM SOLO DE 1ª CATEGORIA COM ESCAVADEIRA HIDRÁULICA (CAÇAMBA: 0,8 M³ / 111HP), FROTA DE 5 CAMINHÕES BASCULANTES DE 10 M³, DMT DE 1,5 KM E VELOCIDADE MÉDIA18KM/H. AF_05/2020</v>
          </cell>
          <cell r="C5232" t="str">
            <v>M3</v>
          </cell>
          <cell r="D5232">
            <v>14.59</v>
          </cell>
        </row>
        <row r="5233">
          <cell r="A5233" t="str">
            <v>101269</v>
          </cell>
          <cell r="B5233" t="str">
            <v>ESCAVAÇÃO VERTICAL A CÉU ABERTO, EM OBRAS DE INFRAESTRUTURA, INCLUINDO CARGA, DESCARGA E TRANSPORTE, EM SOLO DE 1ª CATEGORIA COM ESCAVADEIRA HIDRÁULICA (CAÇAMBA: 0,8 M³ / 111HP), FROTA DE 6 CAMINHÕES BASCULANTES DE 10 M³, DMT DE 2 KM E VELOCIDADE MÉDIA 19KM/H. AF_05/2020</v>
          </cell>
          <cell r="C5233" t="str">
            <v>M3</v>
          </cell>
          <cell r="D5233">
            <v>16.170000000000002</v>
          </cell>
        </row>
        <row r="5234">
          <cell r="A5234" t="str">
            <v>101270</v>
          </cell>
          <cell r="B5234" t="str">
            <v>ESCAVAÇÃO VERTICAL A CÉU ABERTO, EM OBRAS DE INFRAESTRUTURA, INCLUINDO CARGA, DESCARGA E TRANSPORTE, EM SOLO DE 1ª CATEGORIA COM ESCAVADEIRA HIDRÁULICA (CAÇAMBA: 0,8 M³ / 111HP), FROTA DE 7 CAMINHÕES BASCULANTES DE 10 M³, DMT DE 3 KM E VELOCIDADE MÉDIA 20KM/H. AF_05/2020</v>
          </cell>
          <cell r="C5234" t="str">
            <v>M3</v>
          </cell>
          <cell r="D5234">
            <v>18.68</v>
          </cell>
        </row>
        <row r="5235">
          <cell r="A5235" t="str">
            <v>101271</v>
          </cell>
          <cell r="B5235" t="str">
            <v>ESCAVAÇÃO VERTICAL A CÉU ABERTO, EM OBRAS DE INFRAESTRUTURA, INCLUINDO CARGA, DESCARGA E TRANSPORTE, EM SOLO DE 1ª CATEGORIA COM ESCAVADEIRA HIDRÁULICA (CAÇAMBA: 0,8 M³ / 111HP), FROTA DE 8 CAMINHÕES BASCULANTES DE 10 M³, DMT DE 4 KM E VELOCIDADE MÉDIA 22KM/H. AF_05/2020</v>
          </cell>
          <cell r="C5235" t="str">
            <v>M3</v>
          </cell>
          <cell r="D5235">
            <v>20.67</v>
          </cell>
        </row>
        <row r="5236">
          <cell r="A5236" t="str">
            <v>101272</v>
          </cell>
          <cell r="B5236" t="str">
            <v>ESCAVAÇÃO VERTICAL A CÉU ABERTO, EM OBRAS DE INFRAESTRUTURA, INCLUINDO CARGA, DESCARGA E TRANSPORTE, EM SOLO DE 1ª CATEGORIA COM ESCAVADEIRA HIDRÁULICA (CAÇAMBA: 0,8 M³ / 111HP), FROTA DE 10 CAMINHÕES BASCULANTES DE 10 M³, DMT DE 6 KM E VELOCIDADE MÉDIA22KM/H. AF_05/2020</v>
          </cell>
          <cell r="C5236" t="str">
            <v>M3</v>
          </cell>
          <cell r="D5236">
            <v>25.73</v>
          </cell>
        </row>
        <row r="5237">
          <cell r="A5237" t="str">
            <v>101273</v>
          </cell>
          <cell r="B5237" t="str">
            <v>ESCAVAÇÃO VERTICAL A CÉU ABERTO, EM OBRAS DE INFRAESTRUTURA, INCLUINDO CARGA, DESCARGA E TRANSPORTE, EM SOLO DE 1ª CATEGORIA COM ESCAVADEIRA HIDRÁULICA (CAÇAMBA: 1,2 M³ / 155HP), FROTA DE 6 CAMINHÕES BASCULANTES DE 10 M³, DMT DE 1,5 KM E VELOCIDADE MÉDIA18KM/H. AF_05/2020</v>
          </cell>
          <cell r="C5237" t="str">
            <v>M3</v>
          </cell>
          <cell r="D5237">
            <v>13.93</v>
          </cell>
        </row>
        <row r="5238">
          <cell r="A5238" t="str">
            <v>101274</v>
          </cell>
          <cell r="B5238" t="str">
            <v>ESCAVAÇÃO VERTICAL A CÉU ABERTO, EM OBRAS DE INFRAESTRUTURA, INCLUINDO CARGA, DESCARGA E TRANSPORTE, EM SOLO DE 1ª CATEGORIA COM ESCAVADEIRA HIDRÁULICA (CAÇAMBA: 1,2 M³ / 155HP), FROTA DE 7 CAMINHÕES BASCULANTES DE 10 M³, DMT DE 2 KM E VELOCIDADE MÉDIA 19KM/H. AF_05/2020</v>
          </cell>
          <cell r="C5238" t="str">
            <v>M3</v>
          </cell>
          <cell r="D5238">
            <v>15.35</v>
          </cell>
        </row>
        <row r="5239">
          <cell r="A5239" t="str">
            <v>101275</v>
          </cell>
          <cell r="B5239" t="str">
            <v>ESCAVAÇÃO VERTICAL A CÉU ABERTO, EM OBRAS DE INFRAESTRUTURA, INCLUINDO CARGA, DESCARGA E TRANSPORTE, EM SOLO DE 1ª CATEGORIA COM ESCAVADEIRA HIDRÁULICA (CAÇAMBA: 1,2 M³ / 155HP), FROTA DE 8 CAMINHÕES BASCULANTES DE 10 M³, DMT DE 3 KM E VELOCIDADE MÉDIA 20KM/H. AF_05/2020</v>
          </cell>
          <cell r="C5239" t="str">
            <v>M3</v>
          </cell>
          <cell r="D5239">
            <v>17.739999999999998</v>
          </cell>
        </row>
        <row r="5240">
          <cell r="A5240" t="str">
            <v>101276</v>
          </cell>
          <cell r="B5240" t="str">
            <v>ESCAVAÇÃO VERTICAL A CÉU ABERTO, EM OBRAS DE INFRAESTRUTURA, INCLUINDO CARGA, DESCARGA E TRANSPORTE, EM SOLO DE 1ª CATEGORIA COM ESCAVADEIRA HIDRÁULICA (CAÇAMBA: 1,2 M³ / 155HP), FROTA DE 9 CAMINHÕES BASCULANTES DE 10 M³, DMT DE 4 KM E VELOCIDADE MÉDIA 22KM/H. AF_05/2020</v>
          </cell>
          <cell r="C5240" t="str">
            <v>M3</v>
          </cell>
          <cell r="D5240">
            <v>19.57</v>
          </cell>
        </row>
        <row r="5241">
          <cell r="A5241" t="str">
            <v>101277</v>
          </cell>
          <cell r="B5241" t="str">
            <v>ESCAVAÇÃO VERTICAL A CÉU ABERTO, EM OBRAS DE INFRAESTRUTURA, INCLUINDO CARGA, DESCARGA E TRANSPORTE, EM SOLO DE 1ª CATEGORIA COM ESCAVADEIRA HIDRÁULICA (CAÇAMBA: 1,2 M³ / 155HP), FROTA DE 12 CAMINHÕES BASCULANTES DE 10 M³, DMT DE 6 KM E VELOCIDADE MÉDIA22KM/H. AF_05/2020</v>
          </cell>
          <cell r="C5241" t="str">
            <v>M3</v>
          </cell>
          <cell r="D5241">
            <v>24.9</v>
          </cell>
        </row>
        <row r="5242">
          <cell r="A5242" t="str">
            <v>102354</v>
          </cell>
          <cell r="B5242" t="str">
            <v>DESMONTE DE MATERIAL DE 3ª CATEGORIA (BLOCOS DE ROCHAS OU MATACOS), COM MARTELETE PNEUMÁTICO MANUAL  EXCLUSIVE CARGA E TRANSPORTE. AF_03/2021</v>
          </cell>
          <cell r="C5242" t="str">
            <v>M3</v>
          </cell>
          <cell r="D5242">
            <v>116.13</v>
          </cell>
        </row>
        <row r="5243">
          <cell r="A5243" t="str">
            <v>102355</v>
          </cell>
          <cell r="B5243" t="str">
            <v>DESMONTE DE MATERIAL DE 3ª CATEGORIA (BLOCOS DE ROCHAS OU MATACOS), EM VALA, COM MARTELETE PNEUMÁTICO MANUAL   EXCLUSIVE RETIRADA, CARGA E TRANSPORTE. AF_03/2021</v>
          </cell>
          <cell r="C5243" t="str">
            <v>M3</v>
          </cell>
          <cell r="D5243">
            <v>134.35</v>
          </cell>
        </row>
        <row r="5244">
          <cell r="A5244" t="str">
            <v>102360</v>
          </cell>
          <cell r="B5244" t="str">
            <v>RETIRADA DE MATERIAL DE 3ª CATEGORIA (APÓS ESCAVAÇÃO/DESMONTE) EM VALAS, COM ESCAVADEIRA HIDRÁULICA - EXCLUSIVE CARGA E TRANSPORTE. AF_03/2021</v>
          </cell>
          <cell r="C5244" t="str">
            <v>M3</v>
          </cell>
          <cell r="D5244">
            <v>22.86</v>
          </cell>
        </row>
        <row r="5245">
          <cell r="A5245" t="str">
            <v>102361</v>
          </cell>
          <cell r="B5245" t="str">
            <v>RETIRADA DE MATERIAL DE 3ª CATEGORIA (APÓS ESCAVAÇÃO/DESMONTE) EM VALAS, COM RETROESCAVADEIRA - EXCLUSIVE CARGA E TRANSPORTE. AF_03/2021</v>
          </cell>
          <cell r="C5245" t="str">
            <v>M3</v>
          </cell>
          <cell r="D5245">
            <v>33.57</v>
          </cell>
        </row>
        <row r="5246">
          <cell r="A5246" t="str">
            <v>90082</v>
          </cell>
          <cell r="B5246" t="str">
            <v>ESCAVAÇÃO MECANIZADA DE VALA COM PROF. ATÉ 1,5 M (MÉDIA MONTANTE E JUSANTE/UMA COMPOSIÇÃO POR TRECHO), ESCAVADEIRA (0,8 M3), LARG. DE 1,5 M A 2,5 M, EM SOLO DE 1A CATEGORIA, EM LOCAIS COM ALTO NÍVEL DE INTERFERÊNCIA. AF_02/2021</v>
          </cell>
          <cell r="C5246" t="str">
            <v>M3</v>
          </cell>
          <cell r="D5246">
            <v>10.5</v>
          </cell>
        </row>
        <row r="5247">
          <cell r="A5247" t="str">
            <v>90084</v>
          </cell>
          <cell r="B5247" t="str">
            <v>ESCAVAÇÃO MECANIZADA DE VALA COM PROF. MAIOR QUE 1,5 M ATÉ 3,0 M (MÉDIA MONTANTE E JUSANTE/UMA COMPOSIÇÃO POR TRECHO), ESCAVADEIRA (0,8 M3), LARGURA ATÉ 1,5 M, EM SOLO DE 1A CATEGORIA, EM LOCAIS COM ALTO NÍVEL DE INTERFERÊNCIA. AF_02/2021</v>
          </cell>
          <cell r="C5247" t="str">
            <v>M3</v>
          </cell>
          <cell r="D5247">
            <v>10.17</v>
          </cell>
        </row>
        <row r="5248">
          <cell r="A5248" t="str">
            <v>90086</v>
          </cell>
          <cell r="B5248" t="str">
            <v>ESCAVAÇÃO MECANIZADA DE VALA COM PROF. MAIOR QUE 3,0 M ATÉ 4,5 M(MÉDIA MONTANTE E JUSANTE/UMA COMPOSIÇÃO POR TRECHO), ESCAVADEIRA (0,8 M3), LARG. MENOR QUE 1,5 M, EM SOLO DE 1A CATEGORIA, EM LOCAIS COM ALTO NÍVEL DE INTERFERÊNCIA. AF_02/2021</v>
          </cell>
          <cell r="C5248" t="str">
            <v>M3</v>
          </cell>
          <cell r="D5248">
            <v>9.6199999999999992</v>
          </cell>
        </row>
        <row r="5249">
          <cell r="A5249" t="str">
            <v>90087</v>
          </cell>
          <cell r="B5249" t="str">
            <v>ESCAVAÇÃO MECANIZADA DE VALA COM PROF. DE 3,0 M ATÉ 4,5 M(MÉDIA MONTANTE E JUSANTE/UMA COMPOSIÇÃO POR TRECHO), ESCAVADEIRA (1,2 M3), LARG. DE 1,5 M A 2,5 M, EM SOLO DE 1A CATEGORIA, EM LOCAIS COM ALTO NÍVEL DE INTERFERÊNCIA. AF_02/2021</v>
          </cell>
          <cell r="C5249" t="str">
            <v>M3</v>
          </cell>
          <cell r="D5249">
            <v>8.75</v>
          </cell>
        </row>
        <row r="5250">
          <cell r="A5250" t="str">
            <v>90090</v>
          </cell>
          <cell r="B5250" t="str">
            <v>ESCAVAÇÃO MECANIZADA DE VALA COM PROF. MAIOR QUE 4,5 M ATÉ 6,0 M(MÉDIA MONTANTE E JUSANTE/UMA COMPOSIÇÃO POR TRECHO), ESCAVADEIRA (1,2 M3), LARG. DE 1,5 M A 2,5 M, EM SOLO DE 1A CATEGORIA, EM LOCAIS COM ALTO NÍVEL DE INTERFERÊNCIA. AF_02/2021</v>
          </cell>
          <cell r="C5250" t="str">
            <v>M3</v>
          </cell>
          <cell r="D5250">
            <v>8.5500000000000007</v>
          </cell>
        </row>
        <row r="5251">
          <cell r="A5251" t="str">
            <v>90091</v>
          </cell>
          <cell r="B5251" t="str">
            <v>ESCAVAÇÃO MECANIZADA DE VALA COM PROF. ATÉ 1,5 M (MÉDIA MONTANTE E JUSANTE/UMA COMPOSIÇÃO POR TRECHO), ESCAVADEIRA (0,8 M3), LARG. DE 1,5 M A 2,5 M, EM SOLO DE 1A CATEGORIA, LOCAIS COM BAIXO NÍVEL DE INTERFERÊNCIA. AF_02/2021</v>
          </cell>
          <cell r="C5251" t="str">
            <v>M3</v>
          </cell>
          <cell r="D5251">
            <v>5.68</v>
          </cell>
        </row>
        <row r="5252">
          <cell r="A5252" t="str">
            <v>90092</v>
          </cell>
          <cell r="B5252" t="str">
            <v>ESCAVAÇÃO MECANIZADA DE VALA COM PROF. MAIOR QUE 1,5 M E ATÉ 3,0 M(MÉDIA MONTANTE E JUSANTE/UMA COMPOSIÇÃO POR TRECHO), ESCAVADEIRA (0,8 M3), LARG. MENOR QUE 1,5 M, EM SOLO DE 1A CATEGORIA, LOCAIS COM BAIXO NÍVEL DE INTERFERÊNCIA. AF_02/2021</v>
          </cell>
          <cell r="C5252" t="str">
            <v>M3</v>
          </cell>
          <cell r="D5252">
            <v>5.61</v>
          </cell>
        </row>
        <row r="5253">
          <cell r="A5253" t="str">
            <v>90094</v>
          </cell>
          <cell r="B5253" t="str">
            <v>ESCAVAÇÃO MECANIZADA DE VALA COM PROF. MAIOR QUE 3,0 M ATÉ 4,5 M (MÉDIA MONTANTE E JUSANTE/UMA COMPOSIÇÃO POR TRECHO), ESCAVADEIRA (0,8 M3), LARG. MENOR QUE 1,5 M, EM SOLO DE 1A CATEGORIA, LOCAIS COM BAIXO NÍVEL DE INTERFERÊNCIA. AF_02/2021</v>
          </cell>
          <cell r="C5253" t="str">
            <v>M3</v>
          </cell>
          <cell r="D5253">
            <v>5.3</v>
          </cell>
        </row>
        <row r="5254">
          <cell r="A5254" t="str">
            <v>90095</v>
          </cell>
          <cell r="B5254" t="str">
            <v>ESCAVAÇÃO MECANIZADA DE VALA COM PROF. MAIOR QUE 3,0 M ATÉ 4,5 M (MÉDIA MONTANTE E JUSANTE/UMA COMPOSIÇÃO POR TRECHO), ESCAVADEIRA (1,2 M3), LARG. DE 1,5 M A 2,5 M, EM SOLO DE 1A CATEGORIA, LOCAIS COM BAIXO NÍVEL DE INTERFERÊNCIA. AF_02/2021</v>
          </cell>
          <cell r="C5254" t="str">
            <v>M3</v>
          </cell>
          <cell r="D5254">
            <v>4.8099999999999996</v>
          </cell>
        </row>
        <row r="5255">
          <cell r="A5255" t="str">
            <v>90098</v>
          </cell>
          <cell r="B5255" t="str">
            <v>ESCAVAÇÃO MECANIZADA DE VALA COM PROF. MAIOR QUE 4,5 M ATÉ 6,0 M (MÉDIA MONTANTE E JUSANTE/UMA COMPOSIÇÃO POR TRECHO), ESCAVADEIRA (1,2 M3), LARG. DE 1,5 M A 2,5 M, EM SOLO DE 1A CATEGORIA, LOCAIS COM BAIXO NÍVEL DE INTERFERÊNCIA. AF_02/2021</v>
          </cell>
          <cell r="C5255" t="str">
            <v>M3</v>
          </cell>
          <cell r="D5255">
            <v>4.7300000000000004</v>
          </cell>
        </row>
        <row r="5256">
          <cell r="A5256" t="str">
            <v>90099</v>
          </cell>
          <cell r="B5256" t="str">
            <v>ESCAVAÇÃO MECANIZADA DE VALA COM PROF. ATÉ 1,5 M (MÉDIA MONTANTE E JUSANTE/UMA COMPOSIÇÃO POR TRECHO), RETROESCAV. (0,26 M3), LARG. MENOR QUE 0,8 M, EM SOLO DE 1A CATEGORIA, EM LOCAIS COM ALTO NÍVEL DE INTERFERÊNCIA. AF_02/2021</v>
          </cell>
          <cell r="C5256" t="str">
            <v>M3</v>
          </cell>
          <cell r="D5256">
            <v>14.36</v>
          </cell>
        </row>
        <row r="5257">
          <cell r="A5257" t="str">
            <v>90100</v>
          </cell>
          <cell r="B5257" t="str">
            <v>ESCAVAÇÃO MECANIZADA DE VALA COM PROF. ATÉ 1,5 M (MÉDIA MONTANTE E JUSANTE/UMA COMPOSIÇÃO POR TRECHO), RETROESCAV. (0,26 M3), LARG. DE 0,8 M A 1,5 M, EM SOLO DE 1A CATEGORIA, EM LOCAIS COM ALTO NÍVEL DE INTERFERÊNCIA. AF_02/2021</v>
          </cell>
          <cell r="C5257" t="str">
            <v>M3</v>
          </cell>
          <cell r="D5257">
            <v>12.18</v>
          </cell>
        </row>
        <row r="5258">
          <cell r="A5258" t="str">
            <v>90101</v>
          </cell>
          <cell r="B5258" t="str">
            <v>ESCAVAÇÃO MECANIZADA DE VALA COM PROF. MAIOR QUE 1,5 M ATÉ 3,0 M (MÉDIA MONTANTE E JUSANTE/UMA COMPOSIÇÃO POR TRECHO), RETROESCAV. (0,26 M3), LARG. MENOR QUE 0,8 M, EM SOLO DE 1A CATEGORIA, EM LOCAIS COM ALTO NÍVEL DE INTERFERÊNCIA. AF_02/2021</v>
          </cell>
          <cell r="C5258" t="str">
            <v>M3</v>
          </cell>
          <cell r="D5258">
            <v>12.04</v>
          </cell>
        </row>
        <row r="5259">
          <cell r="A5259" t="str">
            <v>90102</v>
          </cell>
          <cell r="B5259" t="str">
            <v>ESCAVAÇÃO MECANIZADA DE VALA COM PROF. MAIOR QUE 1,5 M ATÉ 3,0 M (MÉDIA MONTANTE E JUSANTE/UMA COMPOSIÇÃO POR TRECHO), RETROESCAV. (0,26 M3), LARGURA DE 0,8 M A 1,5 M, EM SOLO DE 1A CATEGORIA, EM LOCAIS COM ALTO NÍVEL DE INTERFERÊNCIA. AF_02/2021</v>
          </cell>
          <cell r="C5259" t="str">
            <v>M3</v>
          </cell>
          <cell r="D5259">
            <v>10.96</v>
          </cell>
        </row>
        <row r="5260">
          <cell r="A5260" t="str">
            <v>90105</v>
          </cell>
          <cell r="B5260" t="str">
            <v>ESCAVAÇÃO MECANIZADA DE VALA COM PROFUNDIDADE ATÉ 1,5 M (MÉDIA MONTANTE E JUSANTE/UMA COMPOSIÇÃO POR TRECHO), RETROESCAV. (0,26 M3), LARGURA MENOR QUE 0,8 M, EM SOLO DE 1A CATEGORIA, LOCAIS COM BAIXO NÍVEL DE INTERFERÊNCIA. AF_02/2021</v>
          </cell>
          <cell r="C5260" t="str">
            <v>M3</v>
          </cell>
          <cell r="D5260">
            <v>7.91</v>
          </cell>
        </row>
        <row r="5261">
          <cell r="A5261" t="str">
            <v>90106</v>
          </cell>
          <cell r="B5261" t="str">
            <v>ESCAVAÇÃO MECANIZADA DE VALA COM PROFUNDIDADE ATÉ 1,5 M (MÉDIA MONTANTE E JUSANTE/UMA COMPOSIÇÃO POR TRECHO), RETROESCAV. (0,26 M3), LARGURA DE 0,8 M A 1,5 M, EM SOLO DE 1A CATEGORIA, LOCAIS COM BAIXO NÍVEL DE INTERFERÊNCIA. AF_02/2021</v>
          </cell>
          <cell r="C5261" t="str">
            <v>M3</v>
          </cell>
          <cell r="D5261">
            <v>6.73</v>
          </cell>
        </row>
        <row r="5262">
          <cell r="A5262" t="str">
            <v>90107</v>
          </cell>
          <cell r="B5262" t="str">
            <v>ESCAVAÇÃO MECANIZADA DE VALA COM PROFUNDIDADE MAIOR QUE 1,5 M ATÉ 3,0 M (MÉDIA MONTANTE E JUSANTE/UMA COMPOSIÇÃO POR TRECHO), RETROESCAV. (0,26 M3), LARGURA MENOR QUE 0,8 M, EM SOLO DE 1A CATEGORIA, LOCAIS COM BAIXO NÍVEL DE INTERFERÊNCIA. AF_02/2021</v>
          </cell>
          <cell r="C5262" t="str">
            <v>M3</v>
          </cell>
          <cell r="D5262">
            <v>6.64</v>
          </cell>
        </row>
        <row r="5263">
          <cell r="A5263" t="str">
            <v>90108</v>
          </cell>
          <cell r="B5263" t="str">
            <v>ESCAVAÇÃO MECANIZADA DE VALA COM PROFUNDIDADE MAIOR QUE 1,5 M ATÉ 3,0 M (MÉDIA MONTANTE E JUSANTE/UMA COMPOSIÇÃO POR TRECHO), RETROESCAV (0,26 M3), LARGURA DE 0,8 M A 1,5 M, EM SOLO DE 1A CATEGORIA, LOCAIS COM BAIXO NÍVEL DE INTERFERÊNCIA. AF_02/2021</v>
          </cell>
          <cell r="C5263" t="str">
            <v>M3</v>
          </cell>
          <cell r="D5263">
            <v>6.04</v>
          </cell>
        </row>
        <row r="5264">
          <cell r="A5264" t="str">
            <v>93358</v>
          </cell>
          <cell r="B5264" t="str">
            <v>ESCAVAÇÃO MANUAL DE VALA COM PROFUNDIDADE MENOR OU IGUAL A 1,30 M. AF_02/2021</v>
          </cell>
          <cell r="C5264" t="str">
            <v>M3</v>
          </cell>
          <cell r="D5264">
            <v>71.64</v>
          </cell>
        </row>
        <row r="5265">
          <cell r="A5265" t="str">
            <v>102276</v>
          </cell>
          <cell r="B5265" t="str">
            <v>ESCAVAÇÃO MECANIZADA DE VALA COM PROF. ATÉ 1,5 M (MÉDIA MONTANTE E JUSANTE/UMA COMPOSIÇÃO POR TRECHO), ESCAVADEIRA (0,8 M3), LARG. MENOR QUE 1,5 M, EM SOLO DE 1A CATEGORIA, EM LOCAIS COM ALTO NÍVEL DE INTERFERÊNCIA. AF_02/2021</v>
          </cell>
          <cell r="C5265" t="str">
            <v>M3</v>
          </cell>
          <cell r="D5265">
            <v>11.81</v>
          </cell>
        </row>
        <row r="5266">
          <cell r="A5266" t="str">
            <v>102277</v>
          </cell>
          <cell r="B5266" t="str">
            <v>ESCAVAÇÃO MECANIZADA DE VALA COM PROF. MAIOR QUE  4,5 M ATÉ 6,0 M (MÉDIA MONTANTE E JUSANTE/UMA COMPOSIÇÃO POR TRECHO), ESCAVADEIRA (0,8 M3), LARG. MENOR QUE 1,5 M, EM SOLO DE 1A CATEGORIA, EM LOCAIS COM ALTO NÍVEL DE INTERFERÊNCIA. AF_02/2021</v>
          </cell>
          <cell r="C5266" t="str">
            <v>M3</v>
          </cell>
          <cell r="D5266">
            <v>9.33</v>
          </cell>
        </row>
        <row r="5267">
          <cell r="A5267" t="str">
            <v>102278</v>
          </cell>
          <cell r="B5267" t="str">
            <v>ESCAVAÇÃO MECANIZADA DE VALA COM PROF. MAIOR QUE 1,50 M ATÉ 3,0 M (MÉDIA MONTANTE E JUSANTE/UMA COMPOSIÇÃO POR TRECHO), ESCAVADEIRA (1,2 M3), LARG. DE 1,5 M A 2,5 M, EM SOLO DE 1A CATEGORIA, EM LOCAIS COM ALTO NÍVEL DE INTERFERÊNCIA. AF_02/2021</v>
          </cell>
          <cell r="C5267" t="str">
            <v>M3</v>
          </cell>
          <cell r="D5267">
            <v>9.1</v>
          </cell>
        </row>
        <row r="5268">
          <cell r="A5268" t="str">
            <v>102279</v>
          </cell>
          <cell r="B5268" t="str">
            <v>ESCAVAÇÃO MECANIZADA DE VALA COM PROF. ATÉ 1,5 M (MÉDIA MONTANTE E JUSANTE/UMA COMPOSIÇÃO POR TRECHO), ESCAVADEIRA (0,8 M3),LARG. MENOR QUE 1,5 M, EM SOLO DE 1A CATEGORIA, LOCAIS COM BAIXO NÍVEL DE INTERFERÊNCIA. AF_02/2021</v>
          </cell>
          <cell r="C5268" t="str">
            <v>M3</v>
          </cell>
          <cell r="D5268">
            <v>6.52</v>
          </cell>
        </row>
        <row r="5269">
          <cell r="A5269" t="str">
            <v>102280</v>
          </cell>
          <cell r="B5269" t="str">
            <v>ESCAVAÇÃO MECANIZADA DE VALA COM PROF. MAIOR QUE 4,5 M ATÉ 6,0 M (MÉDIA MONTANTE E JUSANTE/UMA COMPOSIÇÃO POR TRECHO),COM ESCAVADEIRA (0,8 M3), LARG. MENOR QUE 1,5 M, EM SOLO DE 1A CATEGORIA, LOCAIS COM BAIXO NÍVEL DE INTERFERÊNCIA. AF_02/2021</v>
          </cell>
          <cell r="C5269" t="str">
            <v>M3</v>
          </cell>
          <cell r="D5269">
            <v>5.14</v>
          </cell>
        </row>
        <row r="5270">
          <cell r="A5270" t="str">
            <v>102281</v>
          </cell>
          <cell r="B5270" t="str">
            <v>ESCAVAÇÃO MECANIZADA DE VALA COM PROF. MAIOR QUE 1,5 M ATÉ 3,0 M (MÉDIA MONTANTE E JUSANTE/UMA COMPOSIÇÃO POR TRECHO),COM ESCAVADEIRA (1,2 M3),LARG. DE 1,5 M A 2,5 M, EM SOLO DE 1A CATEGORIA, LOCAIS COM BAIXO NÍVEL DE INTERFERÊNCIA. AF_02/2021</v>
          </cell>
          <cell r="C5270" t="str">
            <v>M3</v>
          </cell>
          <cell r="D5270">
            <v>5.0199999999999996</v>
          </cell>
        </row>
        <row r="5271">
          <cell r="A5271" t="str">
            <v>102282</v>
          </cell>
          <cell r="B5271" t="str">
            <v>ESCAVAÇÃO MECANIZADA DE VALA COM PROF. ATÉ 1,5 M (MÉDIA MONTANTE E JUSANTE/UMA COMPOSIÇÃO POR TRECHO), ESCAVADEIRA (0,8 M3),LARG. MENOR QUE 1,5 M, EM SOLO DE MOLE, EM LOCAIS COM ALTO NÍVEL DE INTERFERÊNCIA. AF_02/2021</v>
          </cell>
          <cell r="C5271" t="str">
            <v>M3</v>
          </cell>
          <cell r="D5271">
            <v>13.12</v>
          </cell>
        </row>
        <row r="5272">
          <cell r="A5272" t="str">
            <v>102283</v>
          </cell>
          <cell r="B5272" t="str">
            <v>ESCAVAÇÃO MECANIZADA DE VALA COM PROF. ATÉ 1,5 M (MÉDIA MONTANTE E JUSANTE/UMA COMPOSIÇÃO POR TRECHO), ESCAVADEIRA (0,8 M3), LARG. DE 1,5 M A 2,5 M, EM SOLO MOLE, EM LOCAIS COM ALTO NÍVEL DE INTERFERÊNCIA. AF_02/2021</v>
          </cell>
          <cell r="C5272" t="str">
            <v>M3</v>
          </cell>
          <cell r="D5272">
            <v>11.66</v>
          </cell>
        </row>
        <row r="5273">
          <cell r="A5273" t="str">
            <v>102284</v>
          </cell>
          <cell r="B5273" t="str">
            <v>ESCAVAÇÃO MECANIZADA DE VALA COM PROF. MAIOR QUE 1,5 M ATÉ 3,0 M (MÉDIA MONTANTE E JUSANTE/UMA COMPOSIÇÃO POR TRECHO), ESCAVADEIRA (0,8 M3), LARGURA ATÉ 1,5 M, EM SOLO MOLE, EM LOCAIS COM ALTO NÍVEL DE INTERFERÊNCIA. AF_02/2021</v>
          </cell>
          <cell r="C5273" t="str">
            <v>M3</v>
          </cell>
          <cell r="D5273">
            <v>11.29</v>
          </cell>
        </row>
        <row r="5274">
          <cell r="A5274" t="str">
            <v>102285</v>
          </cell>
          <cell r="B5274" t="str">
            <v>ESCAVAÇÃO MECANIZADA DE VALA COM PROF. MAIOR QUE 3,0 M ATÉ 4,5 M (MÉDIA MONTANTE E JUSANTE/UMA COMPOSIÇÃO POR TRECHO), ESCAVADEIRA (0,8 M3), LARG. MENOR QUE 1,5 M, EM SOLO  MOLE, EM LOCAIS COM ALTO NÍVEL DE INTERFERÊNCIA. AF_02/2021</v>
          </cell>
          <cell r="C5274" t="str">
            <v>M3</v>
          </cell>
          <cell r="D5274">
            <v>10.67</v>
          </cell>
        </row>
        <row r="5275">
          <cell r="A5275" t="str">
            <v>102286</v>
          </cell>
          <cell r="B5275" t="str">
            <v>ESCAVAÇÃO MECANIZADA DE VALA COM PROF. MAIOR QUE 4,5 M ATÉ 6,0 M (MÉDIA MONTANTE E JUSANTE/UMA COMPOSIÇÃO POR TRECHO), ESCAVADEIRA (0,8 M3),LARG. MENOR QUE 1,5 M, EM SOLO DE MOLE, EM LOCAIS COM ALTO NÍVEL DE INTERFERÊNCIA. AF_02/2021</v>
          </cell>
          <cell r="C5275" t="str">
            <v>M3</v>
          </cell>
          <cell r="D5275">
            <v>10.37</v>
          </cell>
        </row>
        <row r="5276">
          <cell r="A5276" t="str">
            <v>102287</v>
          </cell>
          <cell r="B5276" t="str">
            <v>ESCAVAÇÃO MECANIZADA DE VALA COM PROF. MAIOR QUE 1,5 M ATÉ 3,0 M (MÉDIA MONTANTE E JUSANTE/UMA COMPOSIÇÃO POR TRECHO),COM ESCAVADEIRA (1,2 M3),LARG. DE 1,5 M A 2,5 M, EM SOLO MOLE, EM LOCAIS COM ALTO NÍVEL DE INTERFERÊNCIA. AF_02/2021</v>
          </cell>
          <cell r="C5276" t="str">
            <v>M3</v>
          </cell>
          <cell r="D5276">
            <v>10.130000000000001</v>
          </cell>
        </row>
        <row r="5277">
          <cell r="A5277" t="str">
            <v>102288</v>
          </cell>
          <cell r="B5277" t="str">
            <v>ESCAVAÇÃO MECANIZADA DE VALA COM PROF. DE 3,0 M ATÉ 4,5 M (MÉDIA MONTANTE E JUSANTE/UMA COMPOSIÇÃO POR TRECHO), ESCAVADEIRA (1,2 M3), LARG. DE 1,5 M A 2,5 M, EM SOLO MOLE, EM LOCAIS COM ALTO NÍVEL DE INTERFERÊNCIA. AF_02/2021</v>
          </cell>
          <cell r="C5277" t="str">
            <v>M3</v>
          </cell>
          <cell r="D5277">
            <v>9.73</v>
          </cell>
        </row>
        <row r="5278">
          <cell r="A5278" t="str">
            <v>102289</v>
          </cell>
          <cell r="B5278" t="str">
            <v>ESCAVAÇÃO MECANIZADA DE VALA COM PROF. MAIOR QUE 4,5 M ATÉ 6,0 M (MÉDIA MONTANTE E JUSANTE/UMA COMPOSIÇÃO POR TRECHO), ESCAVADEIRA (1,2 M3), LARG. DE 1,5 M A 2,5 M, EM SOLO MOLE, EM LOCAIS COM ALTO NÍVEL DE INTERFERÊNCIA. AF_02/2021</v>
          </cell>
          <cell r="C5278" t="str">
            <v>M3</v>
          </cell>
          <cell r="D5278">
            <v>9.5</v>
          </cell>
        </row>
        <row r="5279">
          <cell r="A5279" t="str">
            <v>102290</v>
          </cell>
          <cell r="B5279" t="str">
            <v>ESCAVAÇÃO MECANIZADA DE VALA COM PROF. ATÉ 1,5 M (MÉDIA MONTANTE E JUSANTE/UMA COMPOSIÇÃO POR TRECHO), ESCAVADEIRA (0,8 M3),LARG. MENOR QUE 1,5 M, EM SOLO MOLE, LOCAIS COM BAIXO NÍVEL DE INTERFERÊNCIA. AF_02/2021</v>
          </cell>
          <cell r="C5279" t="str">
            <v>M3</v>
          </cell>
          <cell r="D5279">
            <v>7.24</v>
          </cell>
        </row>
        <row r="5280">
          <cell r="A5280" t="str">
            <v>102291</v>
          </cell>
          <cell r="B5280" t="str">
            <v>ESCAVAÇÃO MECANIZADA DE VALA COM PROF. ATÉ 1,5 M (MÉDIA MONTANTE E JUSANTE/UMA COMPOSIÇÃO POR TRECHO), ESCAVADEIRA (0,8 M3), LARG. DE 1,5 M A 2,5 M, EM SOLO MOLE, LOCAIS COM BAIXO NÍVEL DE INTERFERÊNCIA. AF_02/2021</v>
          </cell>
          <cell r="C5280" t="str">
            <v>M3</v>
          </cell>
          <cell r="D5280">
            <v>6.43</v>
          </cell>
        </row>
        <row r="5281">
          <cell r="A5281" t="str">
            <v>102292</v>
          </cell>
          <cell r="B5281" t="str">
            <v>ESCAVAÇÃO MECANIZADA DE VALA COM PROF. MAIOR QUE 1,5 M E ATÉ 3,0 M (MÉDIA MONTANTE E JUSANTE/UMA COMPOSIÇÃO POR TRECHO), ESCAVADEIRA (0,8 M3), LARG. MENOR QUE 1,5 M, EM SOLO MOLE, LOCAIS COM BAIXO NÍVEL DE INTERFERÊNCIA. AF_02/2021</v>
          </cell>
          <cell r="C5281" t="str">
            <v>M3</v>
          </cell>
          <cell r="D5281">
            <v>6.23</v>
          </cell>
        </row>
        <row r="5282">
          <cell r="A5282" t="str">
            <v>102293</v>
          </cell>
          <cell r="B5282" t="str">
            <v>ESCAVAÇÃO MECANIZADA DE VALA COM PROF.MAIOR QUE 3,0 M ATÉ 4,5 M (MÉDIA MONTANTE E JUSANTE/UMA COMPOSIÇÃO POR TRECHO), ESCAVADEIRA (0,8 M3), LARG. MENOR QUE 1,5 M, EM SOLO MOLE, LOCAIS COM BAIXO NÍVEL DE INTERFERÊNCIA. AF_02/2021</v>
          </cell>
          <cell r="C5282" t="str">
            <v>M3</v>
          </cell>
          <cell r="D5282">
            <v>5.9</v>
          </cell>
        </row>
        <row r="5283">
          <cell r="A5283" t="str">
            <v>102294</v>
          </cell>
          <cell r="B5283" t="str">
            <v>ESCAVAÇÃO MECANIZADA DE VALA COM PROF. MAIOR QUE 4,5 M ATÉ 6,0 M (MÉDIA MONTANTE E JUSANTE/UMA COMPOSIÇÃO POR TRECHO),COM ESCAVADEIRA (0,8 M3), LARG. MENOR QUE 1,5 M, EM SOLO MOLE, LOCAIS COM BAIXO NÍVEL DE INTERFERÊNCIA. AF_02/2021</v>
          </cell>
          <cell r="C5283" t="str">
            <v>M3</v>
          </cell>
          <cell r="D5283">
            <v>5.73</v>
          </cell>
        </row>
        <row r="5284">
          <cell r="A5284" t="str">
            <v>102295</v>
          </cell>
          <cell r="B5284" t="str">
            <v>ESCAVAÇÃO MECANIZADA DE VALA COM PROF. MAIOR QUE 1,5 M ATÉ 3,0 M (MÉDIA MONTANTE E JUSANTE/UMA COMPOSIÇÃO POR TRECHO),COM ESCAVADEIRA (1,2 M3), LARG. DE 1,5 M A 2,5 M, EM SOLO MOLE, LOCAIS COM BAIXO NÍVEL DE INTERFERÊNCIA. AF_02/2021</v>
          </cell>
          <cell r="C5284" t="str">
            <v>M3</v>
          </cell>
          <cell r="D5284">
            <v>5.58</v>
          </cell>
        </row>
        <row r="5285">
          <cell r="A5285" t="str">
            <v>102296</v>
          </cell>
          <cell r="B5285" t="str">
            <v>ESCAVAÇÃO MECANIZADA DE VALA COM PROF. MAIOR QUE 3,0 M ATÉ 4,5 M (MÉDIA MONTANTE E JUSANTE/UMA COMPOSIÇÃO POR TRECHO), ESCAVADEIRA (1,2 M3), LARG. DE 1,5 M A 2,5 M, EM SOLO MOLE, LOCAIS COM BAIXO NÍVEL DE INTERFERÊNCIA. AF_02/2021</v>
          </cell>
          <cell r="C5285" t="str">
            <v>M3</v>
          </cell>
          <cell r="D5285">
            <v>5.36</v>
          </cell>
        </row>
        <row r="5286">
          <cell r="A5286" t="str">
            <v>102297</v>
          </cell>
          <cell r="B5286" t="str">
            <v>ESCAVAÇÃO MECANIZADA DE VALA COM PROF. MAIOR QUE 4,5 M ATÉ 6,0 M (MÉDIA MONTANTE E JUSANTE/UMA COMPOSIÇÃO POR TRECHO), ESCAVADEIRA (1,2 M3), LARG. DE 1,5 M A 2,5 M, EM SOLO MOLE, LOCAIS COM BAIXO NÍVEL DE INTERFERÊNCIA. AF_02/2021</v>
          </cell>
          <cell r="C5286" t="str">
            <v>M3</v>
          </cell>
          <cell r="D5286">
            <v>5.23</v>
          </cell>
        </row>
        <row r="5287">
          <cell r="A5287" t="str">
            <v>102298</v>
          </cell>
          <cell r="B5287" t="str">
            <v>ESCAVAÇÃO MECANIZADA DE VALA COM PROF. ATÉ 1,5 M (MÉDIA MONTANTE E JUSANTE/UMA COMPOSIÇÃO POR TRECHO), RETROESCAV. (0,26 M3), LARG. MENOR QUE 0,8 M, EM SOLO MOLE, EM LOCAIS COM ALTO NÍVEL DE INTERFERÊNCIA. AF_02/2021</v>
          </cell>
          <cell r="C5287" t="str">
            <v>M3</v>
          </cell>
          <cell r="D5287">
            <v>15.95</v>
          </cell>
        </row>
        <row r="5288">
          <cell r="A5288" t="str">
            <v>102299</v>
          </cell>
          <cell r="B5288" t="str">
            <v>ESCAVAÇÃO MECANIZADA DE VALA COM PROF. ATÉ 1,5 M (MÉDIA MONTANTE E JUSANTE/UMA COMPOSIÇÃO POR TRECHO), RETROESCAV. (0,26 M3), LARG. DE 0,8 M A 1,5 M, EM SOLO MOLE, EM LOCAIS COM ALTO NÍVEL DE INTERFERÊNCIA. AF_02/2021</v>
          </cell>
          <cell r="C5288" t="str">
            <v>M3</v>
          </cell>
          <cell r="D5288">
            <v>13.54</v>
          </cell>
        </row>
        <row r="5289">
          <cell r="A5289" t="str">
            <v>102300</v>
          </cell>
          <cell r="B5289" t="str">
            <v>ESCAVAÇÃO MECANIZADA DE VALA COM PROF. MAIOR QUE 1,5 M ATÉ 3,0 M (MÉDIA MONTANTE E JUSANTE/UMA COMPOSIÇÃO POR TRECHO), RETROESCAV. (0,26 M3), LARG. MENOR QUE 0,8 M, EM SOLO MOLE, EM LOCAIS COM ALTO NÍVEL DE INTERFERÊNCIA. AF_02/2021</v>
          </cell>
          <cell r="C5289" t="str">
            <v>M3</v>
          </cell>
          <cell r="D5289">
            <v>13.37</v>
          </cell>
        </row>
        <row r="5290">
          <cell r="A5290" t="str">
            <v>102301</v>
          </cell>
          <cell r="B5290" t="str">
            <v>ESCAVAÇÃO MECANIZADA DE VALA COM PROF. MAIOR QUE 1,5 M ATÉ 3,0 M (MÉDIA MONTANTE E JUSANTE/UMA COMPOSIÇÃO POR TRECHO), RETROESCAV. (0,26 M3), LARG. DE 0,8 M A 1,5 M, EM SOLO MOLE, EM LOCAIS COM ALTO NÍVEL DE INTERFERÊNCIA. AF_02/2021</v>
          </cell>
          <cell r="C5290" t="str">
            <v>M3</v>
          </cell>
          <cell r="D5290">
            <v>12.16</v>
          </cell>
        </row>
        <row r="5291">
          <cell r="A5291" t="str">
            <v>102302</v>
          </cell>
          <cell r="B5291" t="str">
            <v>ESCAVAÇÃO MECANIZADA DE VALA COM PROF. ATÉ 1,5 M (MÉDIA MONTANTE E JUSANTE/UMA COMPOSIÇÃO POR TRECHO), RETROESCAV. (0,26 M3), LARG. MENOR  QUE 0,8 M, EM SOLO MOLE, LOCAIS COM BAIXO NÍVEL DE NTERFERÊNCIA.  AF_02/2021</v>
          </cell>
          <cell r="C5291" t="str">
            <v>M3</v>
          </cell>
          <cell r="D5291">
            <v>8.8000000000000007</v>
          </cell>
        </row>
        <row r="5292">
          <cell r="A5292" t="str">
            <v>102303</v>
          </cell>
          <cell r="B5292" t="str">
            <v>ESCAVAÇÃO MECANIZADA DE VALA COM PROF. ATÉ 1,5 M (MÉDIA MONTANTE E JUSANTE/UMA COMPOSIÇÃO POR TRECHO), RETROESCAV. (0,26 M3), LARG. DE 0,8 M A 1,5 M, EM SOLO MOLE, LOCAIS COM BAIXO NÍVEL DE INTERFERÊNCIA. AF_02/2021</v>
          </cell>
          <cell r="C5292" t="str">
            <v>M3</v>
          </cell>
          <cell r="D5292">
            <v>7.46</v>
          </cell>
        </row>
        <row r="5293">
          <cell r="A5293" t="str">
            <v>102304</v>
          </cell>
          <cell r="B5293" t="str">
            <v>ESCAVAÇÃO MECANIZADA DE VALA COM PROF. MAIOR QUE 1,5 M ATÉ 3,0 M (MÉDIA MONTANTE E JUSANTE/UMA COMPOSIÇÃO POR TRECHO), RETROESCAV. (0,26 M3 ),LARG. MENOR QUE 0,8 M, EM SOLO MOLE, LOCAIS COM BAIXO NÍVEL DE INTERFERÊNCIA. AF_02/2021</v>
          </cell>
          <cell r="C5293" t="str">
            <v>M3</v>
          </cell>
          <cell r="D5293">
            <v>7.36</v>
          </cell>
        </row>
        <row r="5294">
          <cell r="A5294" t="str">
            <v>102305</v>
          </cell>
          <cell r="B5294" t="str">
            <v>ESCAVAÇÃO MECANIZADA DE VALA COM PROF. MAIOR QUE 1,5 M ATÉ 3,0 M (MÉDIA MONTANTE E JUSANTE/UMA COMPOSIÇÃO POR TRECHO), RETROESCAV. (0,26 M3), LARG. DE 0,8 M A 1,5 M, EM SOLO MOLE, LOCAIS COM BAIXO NÍVEL DE INTERFERÊNCIA. AF_02/2021</v>
          </cell>
          <cell r="C5294" t="str">
            <v>M3</v>
          </cell>
          <cell r="D5294">
            <v>6.72</v>
          </cell>
        </row>
        <row r="5295">
          <cell r="A5295" t="str">
            <v>102306</v>
          </cell>
          <cell r="B5295" t="str">
            <v>ESCAVAÇÃO MECANIZADA DE VALA COM PROF. ATÉ 1,5 M (MÉDIA MONTANTE E JUSANTE/UMA COMPOSIÇÃO POR TRECHO), ESCAVADEIRA (0,8 M3),LARG. ATÉ 1,5 M, EM SOLO DE 2A CATEGORIA, EM LOCAIS COM ALTO NÍVEL DE INTERFERÊNCIA.  AF_02/2021</v>
          </cell>
          <cell r="C5295" t="str">
            <v>M3</v>
          </cell>
          <cell r="D5295">
            <v>14.78</v>
          </cell>
        </row>
        <row r="5296">
          <cell r="A5296" t="str">
            <v>102307</v>
          </cell>
          <cell r="B5296" t="str">
            <v>ESCAVAÇÃO MECANIZADA DE VALA COM PROF. ATÉ 1,5 M (MÉDIA MONTANTE E JUSANTE/UMA COMPOSIÇÃO POR TRECHO), ESCAVADEIRA (0,8 M3), LARG. DE 1,5 M A 2,5 M, EM SOLO DE 2A CATEGORIA, EM LOCAIS COM ALTO NÍVEL DE INTERFERÊNCIA. AF_02/2021</v>
          </cell>
          <cell r="C5296" t="str">
            <v>M3</v>
          </cell>
          <cell r="D5296">
            <v>13.11</v>
          </cell>
        </row>
        <row r="5297">
          <cell r="A5297" t="str">
            <v>102308</v>
          </cell>
          <cell r="B5297" t="str">
            <v>ESCAVAÇÃO MECANIZADA DE VALA COM PROF. MAIOR QUE 1,5 M ATÉ 3,0 M (MÉDIA MONTANTE E JUSANTE/UMA COMPOSIÇÃO POR TRECHO), ESCAVADEIRA (0,8 M3), LARG. ATÉ 1,5 M, EM SOLO DE 2A CATEGORIA, EM LOCAIS COM ALTO NÍVEL DE INTERFERÊNCIA. AF_02/2021</v>
          </cell>
          <cell r="C5297" t="str">
            <v>M3</v>
          </cell>
          <cell r="D5297">
            <v>12.72</v>
          </cell>
        </row>
        <row r="5298">
          <cell r="A5298" t="str">
            <v>102309</v>
          </cell>
          <cell r="B5298" t="str">
            <v>ESCAVAÇÃO MECANIZADA DE VALA COM PROF. MAIOR QUE 3,0 M ATÉ 4,5 M (MÉDIA MONTANTE E JUSANTE/UMA COMPOSIÇÃO POR TRECHO), ESCAVADEIRA (0,8 M3), LARG. MENOR QUE 1,5 M, EM SOLO DE 2A CATEGORIA, EM LOCAIS COM ALTO NÍVEL DE INTERFERÊNCIA. AF_02/2021</v>
          </cell>
          <cell r="C5298" t="str">
            <v>M3</v>
          </cell>
          <cell r="D5298">
            <v>12.03</v>
          </cell>
        </row>
        <row r="5299">
          <cell r="A5299" t="str">
            <v>102310</v>
          </cell>
          <cell r="B5299" t="str">
            <v>ESCAVAÇÃO MECANIZADA DE VALA COM PROF.MAIOR QUE 4,5 M ATÉ 6,0 M (MÉDIA MONTANTE E JUSANTE/UMA COMPOSIÇÃO POR TRECHO),COM ESCAVADEIRA (0,8 M3), LARG. MENOR QUE 1,5 M, EM SOLO DE 2A CATEGORIA, EM LOCAIS COM ALTO NÍVEL DE INTERFERÊNCIA. AF_02/2021</v>
          </cell>
          <cell r="C5299" t="str">
            <v>M3</v>
          </cell>
          <cell r="D5299">
            <v>11.68</v>
          </cell>
        </row>
        <row r="5300">
          <cell r="A5300" t="str">
            <v>102311</v>
          </cell>
          <cell r="B5300" t="str">
            <v>ESCAVAÇÃO MECANIZADA DE VALA COM PROF. MAIOR QUE 1,5 M ATÉ 3,0 M (MÉDIA MONTANTE E JUSANTE/UMA COMPOSIÇÃO POR TRECHO),COM ESCAVADEIRA (1,2 M3),LARG. DE 1,5 M A 2,5 M, EM SOLO DE 2A CATEGORIA, EM LOCAIS COM ALTO NÍVEL DE INTERFERÊNCIA. AF_02/2021</v>
          </cell>
          <cell r="C5300" t="str">
            <v>M3</v>
          </cell>
          <cell r="D5300">
            <v>11.38</v>
          </cell>
        </row>
        <row r="5301">
          <cell r="A5301" t="str">
            <v>102312</v>
          </cell>
          <cell r="B5301" t="str">
            <v>ESCAVAÇÃO MECANIZADA DE VALA COM PROF. DE 3,0 M ATÉ 4,5 M (MÉDIA MONTANTE E JUSANTE/UMA COMPOSIÇÃO POR TRECHO), ESCAVADEIRA (1,2 M3), LARG. DE 1,5 M A 2,5 M, EM SOLO DE 2A CATEGORIA, EM LOCAIS COM ALTO NÍVEL DE INTERFERÊNCIA. AF_02/2021</v>
          </cell>
          <cell r="C5301" t="str">
            <v>M3</v>
          </cell>
          <cell r="D5301">
            <v>10.95</v>
          </cell>
        </row>
        <row r="5302">
          <cell r="A5302" t="str">
            <v>102313</v>
          </cell>
          <cell r="B5302" t="str">
            <v>ESCAVAÇÃO MECANIZADA DE VALA COM PROF. MAIOR QUE 4,5 M ATÉ 6,0 M (MÉDIA MONTANTE E JUSANTE/UMA COMPOSIÇÃO POR TRECHO), ESCAVADEIRA (1,2 M3), LARG. DE 1,5 M A 2,5 M, EM SOLO DE 2A CATEGORIA, EM LOCAIS COM ALTO NÍVEL DE INTERFERÊNCIA. AF_02/2021</v>
          </cell>
          <cell r="C5302" t="str">
            <v>M3</v>
          </cell>
          <cell r="D5302">
            <v>10.7</v>
          </cell>
        </row>
        <row r="5303">
          <cell r="A5303" t="str">
            <v>102314</v>
          </cell>
          <cell r="B5303" t="str">
            <v>ESCAVAÇÃO MECANIZADA DE VALA COM PROF. ATÉ 1,5 M (MÉDIA MONTANTE E JUSANTE/UMA COMPOSIÇÃO POR TRECHO),COM ESCAVADEIRA (0,8 M3), LARG. MENOR QUE 1,5 M, EM SOLO DE 2A CATEGORIA, LOCAIS COM BAIXO NÍVEL DE INTERFERÊNCIA. AF_02/2021</v>
          </cell>
          <cell r="C5303" t="str">
            <v>M3</v>
          </cell>
          <cell r="D5303">
            <v>8.16</v>
          </cell>
        </row>
        <row r="5304">
          <cell r="A5304" t="str">
            <v>102315</v>
          </cell>
          <cell r="B5304" t="str">
            <v>ESCAVAÇÃO MECANIZADA DE VALA COM PROF. ATÉ 1,5 M (MÉDIA MONTANTE E JUSANTE/UMA COMPOSIÇÃO POR TRECHO), ESCAVADEIRA (0,8 M3), LARG. DE 1,5 M A 2,5 M, EM SOLO DE 2A CATEGORIA, LOCAIS COM BAIXO NÍVEL DE INTERFERÊNCIA. AF_02/2021</v>
          </cell>
          <cell r="C5304" t="str">
            <v>M3</v>
          </cell>
          <cell r="D5304">
            <v>7.23</v>
          </cell>
        </row>
        <row r="5305">
          <cell r="A5305" t="str">
            <v>102316</v>
          </cell>
          <cell r="B5305" t="str">
            <v>ESCAVAÇÃO MECANIZADA DE VALA COM PROF. MAIOR QUE 1,5 M E ATÉ 3,0 M (MÉDIA MONTANTE E JUSANTE/UMA COMPOSIÇÃO POR TRECHO), ESCAVADEIRA (0,8 M3), LARG. MENOR QUE 1,5 M, EM SOLO DE 2A CATEGORIA, LOCAIS COM BAIXO NÍVEL DE INTERFERÊNCIA. AF_02/2021</v>
          </cell>
          <cell r="C5305" t="str">
            <v>M3</v>
          </cell>
          <cell r="D5305">
            <v>7.01</v>
          </cell>
        </row>
        <row r="5306">
          <cell r="A5306" t="str">
            <v>102317</v>
          </cell>
          <cell r="B5306" t="str">
            <v>ESCAVAÇÃO MECANIZADA DE VALA COM PROF.MAIOR QUE 3,0 M ATÉ 4,5 M (MÉDIA MONTANTE E JUSANTE/UMA COMPOSIÇÃO POR TRECHO), ESCAVADEIRA (0,8 M3), LARG. MENOR QUE 1,5 M, EM SOLO DE 2A CATEGORIA, LOCAIS COM BAIXO NÍVEL DE INTERFERÊNCIA. AF_02/2021</v>
          </cell>
          <cell r="C5306" t="str">
            <v>M3</v>
          </cell>
          <cell r="D5306">
            <v>6.62</v>
          </cell>
        </row>
        <row r="5307">
          <cell r="A5307" t="str">
            <v>102318</v>
          </cell>
          <cell r="B5307" t="str">
            <v>ESCAVAÇÃO MECANIZADA DE VALA COM PROF.MAIOR QUE 4,5 M ATÉ 6,0 M (MÉDIA MONTANTE E JUSANTE/UMA COMPOSIÇÃO POR TRECHO),COM ESCAVADEIRA (0,8 M3), LARG. MENOR QUE 1,5 M, EM SOLO DE 2A CATEGORIA, EM LOCAIS COM BAIXO NÍVEL DE INTERFERÊNCIA. AF_02/2021</v>
          </cell>
          <cell r="C5307" t="str">
            <v>M3</v>
          </cell>
          <cell r="D5307">
            <v>6.45</v>
          </cell>
        </row>
        <row r="5308">
          <cell r="A5308" t="str">
            <v>102319</v>
          </cell>
          <cell r="B5308" t="str">
            <v>ESCAVAÇÃO MECANIZADA DE VALA COM PROF. MAIOR QUE 1,5 M ATÉ 3,0 M (MÉDIA MONTANTE E JUSANTE/UMA COMPOSIÇÃO POR TRECHO),COM ESCAVADEIRA (1,2 M3),LARG. DE 1,5 M A 2,5 M, EM SOLO DE 2A CATEGORIA, LOCAIS COM BAIXO NÍVEL DE INTERFERÊNCIA. AF_02/2021</v>
          </cell>
          <cell r="C5308" t="str">
            <v>M3</v>
          </cell>
          <cell r="D5308">
            <v>6.27</v>
          </cell>
        </row>
        <row r="5309">
          <cell r="A5309" t="str">
            <v>102320</v>
          </cell>
          <cell r="B5309" t="str">
            <v>ESCAVAÇÃO MECANIZADA DE VALA COM PROF. MAIOR QUE 3,0 M ATÉ 4,5 M (MÉDIA MONTANTE E JUSANTE/UMA COMPOSIÇÃO POR TRECHO), ESCAVADEIRA (1,2 M3), LARG. DE 1,5 M A 2,5 M, EM SOLO DE 2A CATEGORIA, LOCAIS COM BAIXO NÍVEL DE INTERFERÊNCIA. AF_02/2021</v>
          </cell>
          <cell r="C5309" t="str">
            <v>M3</v>
          </cell>
          <cell r="D5309">
            <v>6.03</v>
          </cell>
        </row>
        <row r="5310">
          <cell r="A5310" t="str">
            <v>102321</v>
          </cell>
          <cell r="B5310" t="str">
            <v>ESCAVAÇÃO MECANIZADA DE VALA COM PROF. MAIOR QUE 4,5 M ATÉ 6,0 M (MÉDIA MONTANTE E JUSANTE/UMA COMPOSIÇÃO POR TRECHO), ESCAVADEIRA (1,2 M3), LARG. DE 1,5 M A 2,5 M, EM SOLO DE 2A CATEGORIA, LOCAIS COM BAIXO NÍVEL DE INTERFERÊNCIA. AF_02/2021</v>
          </cell>
          <cell r="C5310" t="str">
            <v>M3</v>
          </cell>
          <cell r="D5310">
            <v>5.9</v>
          </cell>
        </row>
        <row r="5311">
          <cell r="A5311" t="str">
            <v>102322</v>
          </cell>
          <cell r="B5311" t="str">
            <v>ESCAVAÇÃO MECANIZADA DE VALA COM PROF. ATÉ 1,5 M (MÉDIA MONTANTE E JUSANTE/UMA COMPOSIÇÃO POR TRECHO), RETROESCAV. (0,26 M3), LARG. MENOR QUE 0,8 M, EM SOLO DE 2A CATEGORIA, EM LOCAIS COM ALTO NÍVEL DE INTERFERÊNCIA. AF_02/2021</v>
          </cell>
          <cell r="C5311" t="str">
            <v>M3</v>
          </cell>
          <cell r="D5311">
            <v>17.95</v>
          </cell>
        </row>
        <row r="5312">
          <cell r="A5312" t="str">
            <v>102323</v>
          </cell>
          <cell r="B5312" t="str">
            <v>ESCAVAÇÃO MECANIZADA DE VALA COM PROF. ATÉ 1,5 M (MÉDIA MONTANTE E JUSANTE/UMA COMPOSIÇÃO POR TRECHO), RETROESCAV. (0,26 M3), LARG. DE 0,8 M A 1,5 M, EM SOLO DE 2A CATEGORIA, EM LOCAIS COM ALTO NÍVEL DE INTERFERÊNCIA. AF_02/2021</v>
          </cell>
          <cell r="C5312" t="str">
            <v>M3</v>
          </cell>
          <cell r="D5312">
            <v>15.23</v>
          </cell>
        </row>
        <row r="5313">
          <cell r="A5313" t="str">
            <v>102324</v>
          </cell>
          <cell r="B5313" t="str">
            <v>ESCAVAÇÃO MECANIZADA DE VALA COM PROF. MAIOR QUE 1,5 M ATÉ 3,0 M (MÉDIA MONTANTE E JUSANTE/UMA COMPOSIÇÃO POR TRECHO), RETROESCAV. (0,26 M3), LARG. MENOR QUE 0,8 M, EM SOLO DE 2A CATEGORIA, EM LOCAIS COM ALTO NÍVEL DE INTERFERÊNCIA. AF_02/2021</v>
          </cell>
          <cell r="C5313" t="str">
            <v>M3</v>
          </cell>
          <cell r="D5313">
            <v>15.05</v>
          </cell>
        </row>
        <row r="5314">
          <cell r="A5314" t="str">
            <v>102325</v>
          </cell>
          <cell r="B5314" t="str">
            <v>ESCAVAÇÃO MECANIZADA DE VALA COM PROF. MAIOR QUE 1,5 M ATÉ 3,0 M (MÉDIA MONTANTE E JUSANTE/UMA COMPOSIÇÃO POR TRECHO), RETROESCAV. (0,26 M3), LARG. DE 0,8 M A 1,5 M, EM SOLO DE 2A CATEGORIA, EM LOCAIS COM ALTO NÍVEL DE INTERFERÊNCIA. AF_02/2021</v>
          </cell>
          <cell r="C5314" t="str">
            <v>M3</v>
          </cell>
          <cell r="D5314">
            <v>13.69</v>
          </cell>
        </row>
        <row r="5315">
          <cell r="A5315" t="str">
            <v>102326</v>
          </cell>
          <cell r="B5315" t="str">
            <v>ESCAVAÇÃO MECANIZADA DE VALA COM PROF. ATÉ 1,5 M (MÉDIA MONTANTE E JUSANTE/UMA COMPOSIÇÃO POR TRECHO), RETROESCAV. (0,26 M3), LARGURA MENOR  QUE 0,8 M, EM SOLO DE 2A CATEGORIA, EM LOCAIS COM BAIXO NÍVEL DE NTERFERÊNCIA. AF_02/2021</v>
          </cell>
          <cell r="C5315" t="str">
            <v>M3</v>
          </cell>
          <cell r="D5315">
            <v>9.91</v>
          </cell>
        </row>
        <row r="5316">
          <cell r="A5316" t="str">
            <v>102327</v>
          </cell>
          <cell r="B5316" t="str">
            <v>ESCAVAÇÃO MECANIZADA DE VALA COM PROF. ATÉ 1,5 M (MÉDIA MONTANTE E JUSANTE/UMA COMPOSIÇÃO POR TRECHO), RETROESCAV. (0,26 M3 ), LARG. DE 0,8 M A 1,5 M, EM SOLO DE 2A CATEGORIA, EM LOCAIS COM BAIXO NÍVEL DE INTERFERÊNCIA. AF_02/2021</v>
          </cell>
          <cell r="C5316" t="str">
            <v>M3</v>
          </cell>
          <cell r="D5316">
            <v>8.41</v>
          </cell>
        </row>
        <row r="5317">
          <cell r="A5317" t="str">
            <v>102328</v>
          </cell>
          <cell r="B5317" t="str">
            <v>ESCAVAÇÃO MECANIZADA DE VALA COM PROF. MAIOR QUE 1,5 M ATÉ 3,0 M (MÉDIA MONTANTE E JUSANTE/UMA COMPOSIÇÃO POR TRECHO), RETROESCAV. (0,26 M3),LARG. MENOR QUE 0,8 M, EM SOLO DE 2A CATEGORIA, EM LOCAIS COM BAIXO NÍVEL DE INTERFERÊNCIA. AF_02/2021</v>
          </cell>
          <cell r="C5317" t="str">
            <v>M3</v>
          </cell>
          <cell r="D5317">
            <v>8.3000000000000007</v>
          </cell>
        </row>
        <row r="5318">
          <cell r="A5318" t="str">
            <v>102329</v>
          </cell>
          <cell r="B5318" t="str">
            <v>ESCAVAÇÃO MECANIZADA DE VALA COM PROF. MAIOR QUE 1,5 M ATÉ 3,0 M (MÉDIA MONTANTE E JUSANTE/UMA COMPOSIÇÃO POR TRECHO), RETROESCAV. (0,26 M3), LARG. DE 0,8 M A 1,5 M, EM SOLO DE 2A CATEGORIA, EM LOCAIS COM BAIXO NÍVEL DE INTERFERÊNCIA. AF_02/2021</v>
          </cell>
          <cell r="C5318" t="str">
            <v>M3</v>
          </cell>
          <cell r="D5318">
            <v>7.56</v>
          </cell>
        </row>
        <row r="5319">
          <cell r="A5319" t="str">
            <v>94304</v>
          </cell>
          <cell r="B5319" t="str">
            <v>ATERRO MECANIZADO DE VALA COM ESCAVADEIRA HIDRÁULICA (CAPACIDADE DA CAÇAMBA: 0,8 M³ / POTÊNCIA: 111 HP), LARGURA DE 1,5 A 2,5 M, PROFUNDIDADE ATÉ 1,5 M, COM SOLO ARGILO-ARENOSO. AF_05/2016</v>
          </cell>
          <cell r="C5319" t="str">
            <v>M3</v>
          </cell>
          <cell r="D5319">
            <v>33.729999999999997</v>
          </cell>
        </row>
        <row r="5320">
          <cell r="A5320" t="str">
            <v>94305</v>
          </cell>
          <cell r="B5320" t="str">
            <v>ATERRO MECANIZADO DE VALA COM ESCAVADEIRA HIDRÁULICA (CAPACIDADE DA CAÇAMBA: 0,8 M³ / POTÊNCIA: 111 HP), LARGURA ATÉ 1,5 M, PROFUNDIDADE DE 1,5 A 3,0 M, COM SOLO ARGILO-ARENOSO. AF_05/2016</v>
          </cell>
          <cell r="C5320" t="str">
            <v>M3</v>
          </cell>
          <cell r="D5320">
            <v>29.76</v>
          </cell>
        </row>
        <row r="5321">
          <cell r="A5321" t="str">
            <v>94306</v>
          </cell>
          <cell r="B5321" t="str">
            <v>ATERRO MECANIZADO DE VALA COM ESCAVADEIRA HIDRÁULICA (CAPACIDADE DA CAÇAMBA: 0,8 M³ / POTÊNCIA: 111 HP), LARGURA DE 1,5 A 2,5 M, PROFUNDIDADE DE 1,5 A 3,0 M, COM SOLO ARGILO-ARENOSO. AF_05/2016</v>
          </cell>
          <cell r="C5321" t="str">
            <v>M3</v>
          </cell>
          <cell r="D5321">
            <v>24.71</v>
          </cell>
        </row>
        <row r="5322">
          <cell r="A5322" t="str">
            <v>94307</v>
          </cell>
          <cell r="B5322" t="str">
            <v>ATERRO MECANIZADO DE VALA COM ESCAVADEIRA HIDRÁULICA (CAPACIDADE DA CAÇAMBA: 0,8 M³ / POTÊNCIA: 111 HP), LARGURA ATÉ 1,5 M, PROFUNDIDADE DE 3,0 A 4,5 M, COM SOLO ARGILO-ARENOSO. AF_05/2016</v>
          </cell>
          <cell r="C5322" t="str">
            <v>M3</v>
          </cell>
          <cell r="D5322">
            <v>25.86</v>
          </cell>
        </row>
        <row r="5323">
          <cell r="A5323" t="str">
            <v>94308</v>
          </cell>
          <cell r="B5323" t="str">
            <v>ATERRO MECANIZADO DE VALA COM ESCAVADEIRA HIDRÁULICA (CAPACIDADE DA CAÇAMBA: 0,8 M³ / POTÊNCIA: 111 HP), LARGURA DE 1,5 A 2,5 M, PROFUNDIDADE DE 3,0 A 4,5 M, COM SOLO ARGILO-ARENOSO. AF_05/2016</v>
          </cell>
          <cell r="C5323" t="str">
            <v>M3</v>
          </cell>
          <cell r="D5323">
            <v>22.81</v>
          </cell>
        </row>
        <row r="5324">
          <cell r="A5324" t="str">
            <v>94309</v>
          </cell>
          <cell r="B5324" t="str">
            <v>ATERRO MECANIZADO DE VALA COM ESCAVADEIRA HIDRÁULICA (CAPACIDADE DA CAÇAMBA: 0,8 M³ / POTÊNCIA: 111 HP), LARGURA ATÉ 1,5 M, PROFUNDIDADE DE 4,5 A 6,0 M, COM SOLO ARGILO-ARENOSO. AF_05/2016</v>
          </cell>
          <cell r="C5324" t="str">
            <v>M3</v>
          </cell>
          <cell r="D5324">
            <v>24.19</v>
          </cell>
        </row>
        <row r="5325">
          <cell r="A5325" t="str">
            <v>94310</v>
          </cell>
          <cell r="B5325" t="str">
            <v>ATERRO MECANIZADO DE VALA COM ESCAVADEIRA HIDRÁULICA (CAPACIDADE DA CAÇAMBA: 0,8 M³ / POTÊNCIA: 111 HP), LARGURA DE 1,5 A 2,5 M, PROFUNDIDADE DE 4,5 A 6,0 M, COM SOLO ARGILO-ARENOSO. AF_05/2016</v>
          </cell>
          <cell r="C5325" t="str">
            <v>M3</v>
          </cell>
          <cell r="D5325">
            <v>21.87</v>
          </cell>
        </row>
        <row r="5326">
          <cell r="A5326" t="str">
            <v>94315</v>
          </cell>
          <cell r="B5326" t="str">
            <v>ATERRO MECANIZADO DE VALA COM RETROESCAVADEIRA (CAPACIDADE DA CAÇAMBA DA RETRO: 0,26 M³ / POTÊNCIA: 88 HP), LARGURA ATÉ 0,8 M, PROFUNDIDADE ATÉ 1,5 M, COM SOLO ARGILO-ARENOSO. AF_05/2016</v>
          </cell>
          <cell r="C5326" t="str">
            <v>M3</v>
          </cell>
          <cell r="D5326">
            <v>41.91</v>
          </cell>
        </row>
        <row r="5327">
          <cell r="A5327" t="str">
            <v>94316</v>
          </cell>
          <cell r="B5327" t="str">
            <v>ATERRO MECANIZADO DE VALA COM RETROESCAVADEIRA (CAPACIDADE DA CAÇAMBA DA RETRO: 0,26 M³ / POTÊNCIA: 88 HP), LARGURA DE 0,8 A 1,5 M, PROFUNDIDADE ATÉ 1,5 M, COM SOLO ARGILO-ARENOSO. AF_05/2016</v>
          </cell>
          <cell r="C5327" t="str">
            <v>M3</v>
          </cell>
          <cell r="D5327">
            <v>32.619999999999997</v>
          </cell>
        </row>
        <row r="5328">
          <cell r="A5328" t="str">
            <v>94317</v>
          </cell>
          <cell r="B5328" t="str">
            <v>ATERRO MECANIZADO DE VALA COM RETROESCAVADEIRA (CAPACIDADE DA CAÇAMBA DA RETRO: 0,26 M³ / POTÊNCIA: 88 HP), LARGURA ATÉ 0,8 M, PROFUNDIDADE DE 1,5 A 3,0 M, COM SOLO ARGILO-ARENOSO. AF_05/2016</v>
          </cell>
          <cell r="C5328" t="str">
            <v>M3</v>
          </cell>
          <cell r="D5328">
            <v>28.5</v>
          </cell>
        </row>
        <row r="5329">
          <cell r="A5329" t="str">
            <v>94318</v>
          </cell>
          <cell r="B5329" t="str">
            <v>ATERRO MECANIZADO DE VALA COM RETROESCAVADEIRA (CAPACIDADE DA CAÇAMBA DA RETRO: 0,26 M³ / POTÊNCIA: 88 HP), LARGURA DE 0,8 A 1,5 M, PROFUNDIDADE DE 1,5 A 3,0 M, COM SOLO ARGILO-ARENOSO. AF_05/2016</v>
          </cell>
          <cell r="C5329" t="str">
            <v>M3</v>
          </cell>
          <cell r="D5329">
            <v>23.2</v>
          </cell>
        </row>
        <row r="5330">
          <cell r="A5330" t="str">
            <v>94319</v>
          </cell>
          <cell r="B5330" t="str">
            <v>ATERRO MANUAL DE VALAS COM SOLO ARGILO-ARENOSO E COMPACTAÇÃO MECANIZADA. AF_05/2016</v>
          </cell>
          <cell r="C5330" t="str">
            <v>M3</v>
          </cell>
          <cell r="D5330">
            <v>44.27</v>
          </cell>
        </row>
        <row r="5331">
          <cell r="A5331" t="str">
            <v>94327</v>
          </cell>
          <cell r="B5331" t="str">
            <v>ATERRO MECANIZADO DE VALA COM ESCAVADEIRA HIDRÁULICA (CAPACIDADE DA CAÇAMBA: 0,8 M³ / POTÊNCIA: 111 HP), LARGURA DE 1,5 A 2,5 M, PROFUNDIDADE ATÉ 1,5 M, COM AREIA PARA ATERRO. AF_05/2016</v>
          </cell>
          <cell r="C5331" t="str">
            <v>M3</v>
          </cell>
          <cell r="D5331">
            <v>76.7</v>
          </cell>
        </row>
        <row r="5332">
          <cell r="A5332" t="str">
            <v>94328</v>
          </cell>
          <cell r="B5332" t="str">
            <v>ATERRO MECANIZADO DE VALA COM ESCAVADEIRA HIDRÁULICA (CAPACIDADE DA CAÇAMBA: 0,8 M³ / POTÊNCIA: 111 HP), LARGURA ATÉ 1,5 M, PROFUNDIDADE DE 1,5 A 3,0 M, COM AREIA PARA ATERRO. AF_05/2016</v>
          </cell>
          <cell r="C5332" t="str">
            <v>M3</v>
          </cell>
          <cell r="D5332">
            <v>72.73</v>
          </cell>
        </row>
        <row r="5333">
          <cell r="A5333" t="str">
            <v>94329</v>
          </cell>
          <cell r="B5333" t="str">
            <v>ATERRO MECANIZADO DE VALA COM ESCAVADEIRA HIDRÁULICA (CAPACIDADE DA CAÇAMBA: 0,8 M³ / POTÊNCIA: 111 HP), LARGURA DE 1,5 A 2,5 M, PROFUNDIDADE DE 1,5 A 3,0 M, COM AREIA PARA ATERRO. AF_05/2016</v>
          </cell>
          <cell r="C5333" t="str">
            <v>M3</v>
          </cell>
          <cell r="D5333">
            <v>67.680000000000007</v>
          </cell>
        </row>
        <row r="5334">
          <cell r="A5334" t="str">
            <v>94330</v>
          </cell>
          <cell r="B5334" t="str">
            <v>ATERRO MECANIZADO DE VALA COM ESCAVADEIRA HIDRÁULICA (CAPACIDADE DA CAÇAMBA: 0,8 M³ / POTÊNCIA: 111 HP), LARGURA ATÉ 1,5 M, PROFUNDIDADE DE 3,0 A 4,5 M, COM AREIA PARA ATERRO. AF_05/2016</v>
          </cell>
          <cell r="C5334" t="str">
            <v>M3</v>
          </cell>
          <cell r="D5334">
            <v>68.83</v>
          </cell>
        </row>
        <row r="5335">
          <cell r="A5335" t="str">
            <v>94331</v>
          </cell>
          <cell r="B5335" t="str">
            <v>ATERRO MECANIZADO DE VALA COM ESCAVADEIRA HIDRÁULICA (CAPACIDADE DA CAÇAMBA: 0,8 M³ / POTÊNCIA: 111 HP), LARGURA DE 1,5 A 2,5 M, PROFUNDIDADE DE 3,0 A 4,5 M, COM AREIA PARA ATERRO. AF_05/2016</v>
          </cell>
          <cell r="C5335" t="str">
            <v>M3</v>
          </cell>
          <cell r="D5335">
            <v>65.78</v>
          </cell>
        </row>
        <row r="5336">
          <cell r="A5336" t="str">
            <v>94332</v>
          </cell>
          <cell r="B5336" t="str">
            <v>ATERRO MECANIZADO DE VALA COM ESCAVADEIRA HIDRÁULICA (CAPACIDADE DA CAÇAMBA: 0,8 M³ / POTÊNCIA: 111 HP), LARGURA ATÉ 1,5 M, PROFUNDIDADE DE 4,5 A 6,0 M, COM AREIA PARA ATERRO. AF_05/2016</v>
          </cell>
          <cell r="C5336" t="str">
            <v>M3</v>
          </cell>
          <cell r="D5336">
            <v>67.16</v>
          </cell>
        </row>
        <row r="5337">
          <cell r="A5337" t="str">
            <v>94333</v>
          </cell>
          <cell r="B5337" t="str">
            <v>ATERRO MECANIZADO DE VALA COM ESCAVADEIRA HIDRÁULICA (CAPACIDADE DA CAÇAMBA: 0,8 M³ / POTÊNCIA: 111 HP), LARGURA DE 1,5 A 2,5 M, PROFUNDIDADE DE 4,5 A 6,0 M, COM AREIA PARA ATERRO. AF_05/2016</v>
          </cell>
          <cell r="C5337" t="str">
            <v>M3</v>
          </cell>
          <cell r="D5337">
            <v>64.84</v>
          </cell>
        </row>
        <row r="5338">
          <cell r="A5338" t="str">
            <v>94338</v>
          </cell>
          <cell r="B5338" t="str">
            <v>ATERRO MECANIZADO DE VALA COM RETROESCAVADEIRA (CAPACIDADE DA CAÇAMBA DA RETRO: 0,26 M³ / POTÊNCIA: 88 HP), LARGURA ATÉ 0,8 M, PROFUNDIDADE ATÉ 1,5 M, COM AREIA PARA ATERRO. AF_05/2016</v>
          </cell>
          <cell r="C5338" t="str">
            <v>M3</v>
          </cell>
          <cell r="D5338">
            <v>84.88</v>
          </cell>
        </row>
        <row r="5339">
          <cell r="A5339" t="str">
            <v>94339</v>
          </cell>
          <cell r="B5339" t="str">
            <v>ATERRO MECANIZADO DE VALA COM RETROESCAVADEIRA (CAPACIDADE DA CAÇAMBA DA RETRO: 0,26 M³ / POTÊNCIA: 88 HP), LARGURA DE 0,8 A 1,5 M, PROFUNDIDADE ATÉ 1,5 M, COM AREIA PARA ATERRO. AF_05/2016</v>
          </cell>
          <cell r="C5339" t="str">
            <v>M3</v>
          </cell>
          <cell r="D5339">
            <v>75.59</v>
          </cell>
        </row>
        <row r="5340">
          <cell r="A5340" t="str">
            <v>94340</v>
          </cell>
          <cell r="B5340" t="str">
            <v>ATERRO MECANIZADO DE VALA COM RETROESCAVADEIRA (CAPACIDADE DA CAÇAMBA DA RETRO: 0,26 M³ / POTÊNCIA: 88 HP), LARGURA ATÉ 0,8 M, PROFUNDIDADE DE 1,5 A 3,0 M, COM AREIA PARA ATERRO. AF_05/2016</v>
          </cell>
          <cell r="C5340" t="str">
            <v>M3</v>
          </cell>
          <cell r="D5340">
            <v>71.47</v>
          </cell>
        </row>
        <row r="5341">
          <cell r="A5341" t="str">
            <v>94341</v>
          </cell>
          <cell r="B5341" t="str">
            <v>ATERRO MECANIZADO DE VALA COM RETROESCAVADEIRA (CAPACIDADE DA CAÇAMBA DA RETRO: 0,26 M³ / POTÊNCIA: 88 HP), LARGURA DE 0,8 A 1,5 M, PROFUNDIDADE DE 1,5 A 3,0 M, COM AREIA PARA ATERRO. AF_05/2016</v>
          </cell>
          <cell r="C5341" t="str">
            <v>M3</v>
          </cell>
          <cell r="D5341">
            <v>66.17</v>
          </cell>
        </row>
        <row r="5342">
          <cell r="A5342" t="str">
            <v>94342</v>
          </cell>
          <cell r="B5342" t="str">
            <v>ATERRO MANUAL DE VALAS COM AREIA PARA ATERRO E COMPACTAÇÃO MECANIZADA. AF_05/2016</v>
          </cell>
          <cell r="C5342" t="str">
            <v>M3</v>
          </cell>
          <cell r="D5342">
            <v>87.24</v>
          </cell>
        </row>
        <row r="5343">
          <cell r="A5343" t="str">
            <v>96385</v>
          </cell>
          <cell r="B5343" t="str">
            <v>EXECUÇÃO E COMPACTAÇÃO DE ATERRO COM SOLO PREDOMINANTEMENTE ARGILOSO - EXCLUSIVE SOLO, ESCAVAÇÃO, CARGA E TRANSPORTE. AF_11/2019</v>
          </cell>
          <cell r="C5343" t="str">
            <v>M3</v>
          </cell>
          <cell r="D5343">
            <v>9.6999999999999993</v>
          </cell>
        </row>
        <row r="5344">
          <cell r="A5344" t="str">
            <v>96386</v>
          </cell>
          <cell r="B5344" t="str">
            <v>EXECUÇÃO E COMPACTAÇÃO DE ATERRO COM SOLO PREDOMINANTEMENTE ARENOSO - EXCLUSIVE SOLO, ESCAVAÇÃO, CARGA E TRANSPORTE. AF_11/2019</v>
          </cell>
          <cell r="C5344" t="str">
            <v>M3</v>
          </cell>
          <cell r="D5344">
            <v>6.97</v>
          </cell>
        </row>
        <row r="5345">
          <cell r="A5345" t="str">
            <v>93360</v>
          </cell>
          <cell r="B5345" t="str">
            <v>REATERRO MECANIZADO DE VALA COM ESCAVADEIRA HIDRÁULICA (CAPACIDADE DA CAÇAMBA: 0,8 M³ / POTÊNCIA: 111 HP), LARGURA DE 1,5 A 2,5 M, PROFUNDIDADE ATÉ 1,5 M, COM SOLO DE 1ª CATEGORIA EM LOCAIS COM ALTO NÍVEL DE INTERFERÊNCIA. AF_04/2016</v>
          </cell>
          <cell r="C5345" t="str">
            <v>M3</v>
          </cell>
          <cell r="D5345">
            <v>21.84</v>
          </cell>
        </row>
        <row r="5346">
          <cell r="A5346" t="str">
            <v>93361</v>
          </cell>
          <cell r="B5346" t="str">
            <v>REATERRO MECANIZADO DE VALA COM ESCAVADEIRA HIDRÁULICA (CAPACIDADE DA CAÇAMBA: 0,8 M³ / POTÊNCIA: 111 HP), LARGURA ATÉ 1,5 M, PROFUNDIDADE DE 1,5 A 3,0 M, COM SOLO DE 1ª CATEGORIA EM LOCAIS COM ALTO NÍVEL DE INTERFERÊNCIA. AF_04/2016</v>
          </cell>
          <cell r="C5346" t="str">
            <v>M3</v>
          </cell>
          <cell r="D5346">
            <v>17.97</v>
          </cell>
        </row>
        <row r="5347">
          <cell r="A5347" t="str">
            <v>93362</v>
          </cell>
          <cell r="B5347" t="str">
            <v>REATERRO MECANIZADO DE VALA COM ESCAVADEIRA HIDRÁULICA (CAPACIDADE DA CAÇAMBA: 0,8 M³ / POTÊNCIA: 111 HP), LARGURA DE 1,5 A 2,5 M, PROFUNDIDADE DE 1,5 A 3,0 M, COM SOLO DE 1ª CATEGORIA EM LOCAIS COM ALTO NÍVEL DE INTERFERÊNCIA. AF_04/2016</v>
          </cell>
          <cell r="C5347" t="str">
            <v>M3</v>
          </cell>
          <cell r="D5347">
            <v>12.85</v>
          </cell>
        </row>
        <row r="5348">
          <cell r="A5348" t="str">
            <v>93363</v>
          </cell>
          <cell r="B5348" t="str">
            <v>REATERRO MECANIZADO DE VALA COM ESCAVADEIRA HIDRÁULICA (CAPACIDADE DA CAÇAMBA: 0,8 M³ / POTÊNCIA: 111 HP), LARGURA ATÉ 1,5 M, PROFUNDIDADE DE 3,0 A 4,5 M COM SOLO DE 1ª CATEGORIA EM LOCAIS COM ALTO NÍVEL DE INTERFERÊNCIA. AF_04/2016</v>
          </cell>
          <cell r="C5348" t="str">
            <v>M3</v>
          </cell>
          <cell r="D5348">
            <v>13.96</v>
          </cell>
        </row>
        <row r="5349">
          <cell r="A5349" t="str">
            <v>93364</v>
          </cell>
          <cell r="B5349" t="str">
            <v>REATERRO MECANIZADO DE VALA COM ESCAVADEIRA HIDRÁULICA (CAPACIDADE DA CAÇAMBA: 0,8 M³ / POTÊNCIA: 111 HP), LARGURA DE 1,5 A 2,5 M, PROFUNDIDADE DE 3,0  A 4,5 M, COM SOLO (SEM SUBSTITUIÇÃO) DE 1ª CATEGORIA EM LOCAIS COM ALTO NÍVEL DE INTERFERÊNCIA. AF_04/2016</v>
          </cell>
          <cell r="C5349" t="str">
            <v>M3</v>
          </cell>
          <cell r="D5349">
            <v>10.91</v>
          </cell>
        </row>
        <row r="5350">
          <cell r="A5350" t="str">
            <v>93365</v>
          </cell>
          <cell r="B5350" t="str">
            <v>REATERRO MECANIZADO DE VALA COM ESCAVADEIRA HIDRÁULICA (CAPACIDADE DA CAÇAMBA: 0,8 M³ / POTÊNCIA: 111 HP), LARGURA ATÉ 1,5 M, PROFUNDIDADE DE 4,5 A 6,0 M, COM SOLO DE 1ª CATEGORIA EM LOCAIS COM ALTO NÍVEL DE INTERFERÊNCIA. AF_04/2016</v>
          </cell>
          <cell r="C5350" t="str">
            <v>M3</v>
          </cell>
          <cell r="D5350">
            <v>12.2</v>
          </cell>
        </row>
        <row r="5351">
          <cell r="A5351" t="str">
            <v>93366</v>
          </cell>
          <cell r="B5351" t="str">
            <v>REATERRO MECANIZADO DE VALA COM ESCAVADEIRA HIDRÁULICA (CAPACIDADE DA CAÇAMBA: 0,8 M³ / POTÊNCIA: 111 HP), LARGURA DE 1,5 A 2,5 M, PROFUNDIDADE DE 4,5 A 6,0 M, COM SOLO DE 1ª CATEGORIA EM LOCAIS COM ALTO NÍVEL DE INTERFERÊNCIA. AF_04/2016</v>
          </cell>
          <cell r="C5351" t="str">
            <v>M3</v>
          </cell>
          <cell r="D5351">
            <v>9.99</v>
          </cell>
        </row>
        <row r="5352">
          <cell r="A5352" t="str">
            <v>93367</v>
          </cell>
          <cell r="B5352" t="str">
            <v>REATERRO MECANIZADO DE VALA COM ESCAVADEIRA HIDRÁULICA (CAPACIDADE DA CAÇAMBA: 0,8 M³ / POTÊNCIA: 111 HP), LARGURA DE 1,5 A 2,5 M, PROFUNDIDADE ATÉ 1,5 M, COM SOLO DE 1ª CATEGORIA EM LOCAIS COM BAIXO NÍVEL DE INTERFERÊNCIA. AF_04/2016</v>
          </cell>
          <cell r="C5352" t="str">
            <v>M3</v>
          </cell>
          <cell r="D5352">
            <v>20.43</v>
          </cell>
        </row>
        <row r="5353">
          <cell r="A5353" t="str">
            <v>93368</v>
          </cell>
          <cell r="B5353" t="str">
            <v>REATERRO MECANIZADO DE VALA COM ESCAVADEIRA HIDRÁULICA (CAPACIDADE DA CAÇAMBA: 0,8 M³ / POTÊNCIA: 111 HP), LARGURA ATÉ 1,5 M, PROFUNDIDADE DE 1,5 A 3,0 M, COM SOLO DE 1ª CATEGORIA EM LOCAIS COM BAIXO NÍVEL DE INTERFERÊNCIA. AF_04/2016</v>
          </cell>
          <cell r="C5353" t="str">
            <v>M3</v>
          </cell>
          <cell r="D5353">
            <v>16.47</v>
          </cell>
        </row>
        <row r="5354">
          <cell r="A5354" t="str">
            <v>93369</v>
          </cell>
          <cell r="B5354" t="str">
            <v>REATERRO MECANIZADO DE VALA COM ESCAVADEIRA HIDRÁULICA (CAPACIDADE DA CAÇAMBA: 0,8 M³ / POTÊNCIA: 111 HP), LARGURA DE 1,5 A 2,5 M, PROFUNDIDADE DE 1,5 A 3,0 M, COM SOLO (SEM SUBSTITUIÇÃO) DE 1ª CATEGORIA EM LOCAIS COM BAIXO NÍVEL DE INTERFERÊNCIA. AF_04/2016</v>
          </cell>
          <cell r="C5354" t="str">
            <v>M3</v>
          </cell>
          <cell r="D5354">
            <v>11.43</v>
          </cell>
        </row>
        <row r="5355">
          <cell r="A5355" t="str">
            <v>93370</v>
          </cell>
          <cell r="B5355" t="str">
            <v>REATERRO MECANIZADO DE VALA COM ESCAVADEIRA HIDRÁULICA (CAPACIDADE DA CAÇAMBA: 0,8 M³ / POTÊNCIA: 111 HP), LARGURA ATÉ 1,5 M, PROFUNDIDADE DE 3,0 A 4,5 M, COM SOLO DE 1ª CATEGORIA EM LOCAIS COM BAIXO NÍVEL DE INTERFERÊNCIA. AF_04/2016</v>
          </cell>
          <cell r="C5355" t="str">
            <v>M3</v>
          </cell>
          <cell r="D5355">
            <v>12.58</v>
          </cell>
        </row>
        <row r="5356">
          <cell r="A5356" t="str">
            <v>93371</v>
          </cell>
          <cell r="B5356" t="str">
            <v>REATERRO MECANIZADO DE VALA COM ESCAVADEIRA HIDRÁULICA (CAPACIDADE DA CAÇAMBA: 0,8 M³ / POTÊNCIA: 111 HP), LARGURA DE 1,5 A 2,5 M, PROFUNDIDADE DE 3,0 A 4,5 M, COM SOLO (SEM SUBSTITUIÇÃO) DE 1ª CATEGORIA EM LOCAIS COM BAIXO NÍVEL DE INTERFERÊNCIA. AF_04/2016</v>
          </cell>
          <cell r="C5356" t="str">
            <v>M3</v>
          </cell>
          <cell r="D5356">
            <v>9.5299999999999994</v>
          </cell>
        </row>
        <row r="5357">
          <cell r="A5357" t="str">
            <v>93372</v>
          </cell>
          <cell r="B5357" t="str">
            <v>REATERRO MECANIZADO DE VALA COM ESCAVADEIRA HIDRÁULICA (CAPACIDADE DA CAÇAMBA: 0,8 M³ / POTÊNCIA: 111 HP), LARGURA ATÉ 1,5 M, PROFUNDIDADE DE 4,5 A 6,0 M, COM SOLO DE 1ª CATEGORIA EM LOCAIS COM BAIXO NÍVEL DE INTERFERÊNCIA. AF_04/2016</v>
          </cell>
          <cell r="C5357" t="str">
            <v>M3</v>
          </cell>
          <cell r="D5357">
            <v>10.9</v>
          </cell>
        </row>
        <row r="5358">
          <cell r="A5358" t="str">
            <v>93373</v>
          </cell>
          <cell r="B5358" t="str">
            <v>REATERRO MECANIZADO DE VALA COM ESCAVADEIRA HIDRÁULICA (CAPACIDADE DA CAÇAMBA: 0,8 M³ / POTÊNCIA: 111 HP), LARGURA DE 1,5 A 2,5 M, PROFUNDIDADE DE 4,5 A 6,0 M, COM SOLO (SEM SUBSTITUIÇÃO) DE 1ª CATEGORIA EM LOCAIS COM BAIXO NÍVEL DE INTERFERÊNCIA. AF_04/2016</v>
          </cell>
          <cell r="C5358" t="str">
            <v>M3</v>
          </cell>
          <cell r="D5358">
            <v>8.6</v>
          </cell>
        </row>
        <row r="5359">
          <cell r="A5359" t="str">
            <v>93374</v>
          </cell>
          <cell r="B5359" t="str">
            <v>REATERRO MECANIZADO DE VALA COM RETROESCAVADEIRA (CAPACIDADE DA CAÇAMBA DA RETRO: 0,26 M³ / POTÊNCIA: 88 HP), LARGURA ATÉ 0,8 M, PROFUNDIDADE ATÉ 1,5 M, COM SOLO (SEM SUBSTITUIÇÃO) DE 1ª CATEGORIA EM LOCAIS COM ALTO NÍVEL DE INTERFERÊNCIA. AF_04/2016</v>
          </cell>
          <cell r="C5359" t="str">
            <v>M3</v>
          </cell>
          <cell r="D5359">
            <v>25.75</v>
          </cell>
        </row>
        <row r="5360">
          <cell r="A5360" t="str">
            <v>93375</v>
          </cell>
          <cell r="B5360" t="str">
            <v>REATERRO MECANIZADO DE VALA COM RETROESCAVADEIRA (CAPACIDADE DA CAÇAMBA DA RETRO: 0,26 M³ / POTÊNCIA: 88 HP), LARGURA DE 0,8 A 1,5 M, PROFUNDIDADE ATÉ 1,5 M, COM SOLO DE 1ª CATEGORIA EM LOCAIS COM ALTO NÍVEL DE INTERFERÊNCIA. AF_04/2016</v>
          </cell>
          <cell r="C5360" t="str">
            <v>M3</v>
          </cell>
          <cell r="D5360">
            <v>19.829999999999998</v>
          </cell>
        </row>
        <row r="5361">
          <cell r="A5361" t="str">
            <v>93376</v>
          </cell>
          <cell r="B5361" t="str">
            <v>REATERRO MECANIZADO DE VALA COM RETROESCAVADEIRA (CAPACIDADE DA CAÇAMBA DA RETRO: 0,26 M³ / POTÊNCIA: 88 HP), LARGURA ATÉ 0,8 M, PROFUNDIDADE DE 1,5 A 3,0 M, COM SOLO DE 1ª CATEGORIA EM LOCAIS COM ALTO NÍVEL DE INTERFERÊNCIA. AF_04/2016</v>
          </cell>
          <cell r="C5361" t="str">
            <v>M3</v>
          </cell>
          <cell r="D5361">
            <v>16.12</v>
          </cell>
        </row>
        <row r="5362">
          <cell r="A5362" t="str">
            <v>93377</v>
          </cell>
          <cell r="B5362" t="str">
            <v>REATERRO MECANIZADO DE VALA COM RETROESCAVADEIRA (CAPACIDADE DA CAÇAMBA DA RETRO: 0,26 M³ / POTÊNCIA: 88 HP), LARGURA DE 0,8 A 1,5 M, PROFUNDIDADE DE 1,5 A 3,0 M, COM SOLO (SEM SUBSTITUIÇÃO) DE 1ª CATEGORIA EM LOCAIS COM ALTO NÍVEL DE INTERFERÊNCIA. AF_04/2016</v>
          </cell>
          <cell r="C5362" t="str">
            <v>M3</v>
          </cell>
          <cell r="D5362">
            <v>10.57</v>
          </cell>
        </row>
        <row r="5363">
          <cell r="A5363" t="str">
            <v>93378</v>
          </cell>
          <cell r="B5363" t="str">
            <v>REATERRO MECANIZADO DE VALA COM RETROESCAVADEIRA (CAPACIDADE DA CAÇAMBA DA RETRO: 0,26 M³ / POTÊNCIA: 88 HP), LARGURA ATÉ 0,8 M, PROFUNDIDADE ATÉ 1,5 M, COM SOLO DE 1ª CATEGORIA EM LOCAIS COM BAIXO NÍVEL DE INTERFERÊNCIA. AF_04/2016</v>
          </cell>
          <cell r="C5363" t="str">
            <v>M3</v>
          </cell>
          <cell r="D5363">
            <v>24.21</v>
          </cell>
        </row>
        <row r="5364">
          <cell r="A5364" t="str">
            <v>93379</v>
          </cell>
          <cell r="B5364" t="str">
            <v>REATERRO MECANIZADO DE VALA COM RETROESCAVADEIRA (CAPACIDADE DA CAÇAMBA DA RETRO: 0,26 M³ / POTÊNCIA: 88 HP), LARGURA DE 0,8 A 1,5 M, PROFUNDIDADE ATÉ 1,5 M, COM SOLO DE 1ª CATEGORIA EM LOCAIS COM BAIXO NÍVEL DE INTERFERÊNCIA. AF_04/2016</v>
          </cell>
          <cell r="C5364" t="str">
            <v>M3</v>
          </cell>
          <cell r="D5364">
            <v>18.64</v>
          </cell>
        </row>
        <row r="5365">
          <cell r="A5365" t="str">
            <v>93380</v>
          </cell>
          <cell r="B5365" t="str">
            <v>REATERRO MECANIZADO DE VALA COM RETROESCAVADEIRA (CAPACIDADE DA CAÇAMBA DA RETRO: 0,26 M³ / POTÊNCIA: 88 HP), LARGURA ATÉ 0,8 M, PROFUNDIDADE DE 1,5 A 3,0 M, COM SOLO DE 1ª CATEGORIA EM LOCAIS COM BAIXO NÍVEL DE INTERFERÊNCIA. AF_04/2016</v>
          </cell>
          <cell r="C5365" t="str">
            <v>M3</v>
          </cell>
          <cell r="D5365">
            <v>15.2</v>
          </cell>
        </row>
        <row r="5366">
          <cell r="A5366" t="str">
            <v>93381</v>
          </cell>
          <cell r="B5366" t="str">
            <v>REATERRO MECANIZADO DE VALA COM RETROESCAVADEIRA (CAPACIDADE DA CAÇAMBA DA RETRO: 0,26 M³ / POTÊNCIA: 88 HP), LARGURA DE 0,8 A 1,5 M, PROFUNDIDADE DE 1,5 A 3,0 M, COM SOLO (SEM SUBSTITUIÇÃO) DE 1ª CATEGORIA EM LOCAIS COM BAIXO NÍVEL DE INTERFERÊNCIA. AF_04/2016</v>
          </cell>
          <cell r="C5366" t="str">
            <v>M3</v>
          </cell>
          <cell r="D5366">
            <v>9.92</v>
          </cell>
        </row>
        <row r="5367">
          <cell r="A5367" t="str">
            <v>93382</v>
          </cell>
          <cell r="B5367" t="str">
            <v>REATERRO MANUAL DE VALAS COM COMPACTAÇÃO MECANIZADA. AF_04/2016</v>
          </cell>
          <cell r="C5367" t="str">
            <v>M3</v>
          </cell>
          <cell r="D5367">
            <v>30.99</v>
          </cell>
        </row>
        <row r="5368">
          <cell r="A5368" t="str">
            <v>96995</v>
          </cell>
          <cell r="B5368" t="str">
            <v>REATERRO MANUAL APILOADO COM SOQUETE. AF_10/2017</v>
          </cell>
          <cell r="C5368" t="str">
            <v>TXKM</v>
          </cell>
          <cell r="D5368">
            <v>43.43</v>
          </cell>
        </row>
        <row r="5369">
          <cell r="A5369" t="str">
            <v>97916</v>
          </cell>
          <cell r="B5369" t="str">
            <v>TRANSPORTE COM CAMINHÃO BASCULANTE DE 6 M³, EM VIA URBANA EM LEITO NATURAL (UNIDADE: TXKM). AF_07/2020</v>
          </cell>
          <cell r="C5369" t="str">
            <v>TXKM</v>
          </cell>
          <cell r="D5369">
            <v>1.99</v>
          </cell>
        </row>
        <row r="5370">
          <cell r="A5370" t="str">
            <v>97917</v>
          </cell>
          <cell r="B5370" t="str">
            <v>TRANSPORTE COM CAMINHÃO BASCULANTE DE 6 M³, EM VIA URBANA EM REVESTIMENTO PRIMÁRIO (UNIDADE: TXKM). AF_07/2020</v>
          </cell>
          <cell r="C5370" t="str">
            <v>TXKM</v>
          </cell>
          <cell r="D5370">
            <v>1.72</v>
          </cell>
        </row>
        <row r="5371">
          <cell r="A5371" t="str">
            <v>97918</v>
          </cell>
          <cell r="B5371" t="str">
            <v>TRANSPORTE COM CAMINHÃO BASCULANTE DE 6 M³, EM VIA URBANA PAVIMENTADA, DMT ATÉ 30 KM (UNIDADE: TXKM). AF_07/2020</v>
          </cell>
          <cell r="C5371" t="str">
            <v>TXKM</v>
          </cell>
          <cell r="D5371">
            <v>1.58</v>
          </cell>
        </row>
        <row r="5372">
          <cell r="A5372" t="str">
            <v>97919</v>
          </cell>
          <cell r="B5372" t="str">
            <v>TRANSPORTE COM CAMINHÃO BASCULANTE DE 6 M³, EM VIA URBANA PAVIMENTADA, ADICIONAL PARA DMT EXCEDENTE A 30 KM (UNIDADE: TXKM). AF_07/2020</v>
          </cell>
          <cell r="C5372" t="str">
            <v>M2</v>
          </cell>
          <cell r="D5372">
            <v>0.62</v>
          </cell>
        </row>
        <row r="5373">
          <cell r="A5373" t="str">
            <v>101616</v>
          </cell>
          <cell r="B5373" t="str">
            <v>PREPARO DE FUNDO DE VALA COM LARGURA MENOR QUE 1,5 M (ACERTO DO SOLO NATURAL). AF_08/2020</v>
          </cell>
          <cell r="C5373" t="str">
            <v>M2</v>
          </cell>
          <cell r="D5373">
            <v>5.57</v>
          </cell>
        </row>
        <row r="5374">
          <cell r="A5374" t="str">
            <v>101617</v>
          </cell>
          <cell r="B5374" t="str">
            <v>PREPARO DE FUNDO DE VALA COM LARGURA MAIOR OU IGUAL A 1,5 M E MENOR QUE 2,5 M (ACERTO DO SOLO NATURAL). AF_08/2020</v>
          </cell>
          <cell r="C5374" t="str">
            <v>M3</v>
          </cell>
          <cell r="D5374">
            <v>2.74</v>
          </cell>
        </row>
        <row r="5375">
          <cell r="A5375" t="str">
            <v>101618</v>
          </cell>
          <cell r="B5375" t="str">
            <v>PREPARO DE FUNDO DE VALA COM LARGURA MENOR QUE 1,5 M, COM CAMADA DE AREIA, LANÇAMENTO MANUAL. AF_08/2020</v>
          </cell>
          <cell r="C5375" t="str">
            <v>M3</v>
          </cell>
          <cell r="D5375">
            <v>160.03</v>
          </cell>
        </row>
        <row r="5376">
          <cell r="A5376" t="str">
            <v>101619</v>
          </cell>
          <cell r="B5376" t="str">
            <v>PREPARO DE FUNDO DE VALA COM LARGURA MENOR QUE 1,5 M, COM CAMADA DE BRITA, LANÇAMENTO MANUAL. AF_08/2020</v>
          </cell>
          <cell r="C5376" t="str">
            <v>M3</v>
          </cell>
          <cell r="D5376">
            <v>238.15</v>
          </cell>
        </row>
        <row r="5377">
          <cell r="A5377" t="str">
            <v>101620</v>
          </cell>
          <cell r="B5377" t="str">
            <v>PREPARO DE FUNDO DE VALA COM LARGURA MAIOR OU IGUAL A 1,5 M E MENOR QUE 2,5 M, COM CAMADA DE AREIA, LANÇAMENTO MANUAL. AF_08/2020</v>
          </cell>
          <cell r="C5377" t="str">
            <v>M3</v>
          </cell>
          <cell r="D5377">
            <v>137.37</v>
          </cell>
        </row>
        <row r="5378">
          <cell r="A5378" t="str">
            <v>101621</v>
          </cell>
          <cell r="B5378" t="str">
            <v>PREPARO DE FUNDO DE VALA COM LARGURA MAIOR OU IGUAL A 1,5 M E MENOR QUE 2,5 M, COM CAMADA DE BRITA, LANÇAMENTO MANUAL. AF_08/2020</v>
          </cell>
          <cell r="C5378" t="str">
            <v>M3</v>
          </cell>
          <cell r="D5378">
            <v>215.49</v>
          </cell>
        </row>
        <row r="5379">
          <cell r="A5379" t="str">
            <v>101622</v>
          </cell>
          <cell r="B5379" t="str">
            <v>PREPARO DE FUNDO DE VALA COM LARGURA MENOR QUE 1,5 M, COM CAMADA DE AREIA, LANÇAMENTO MECANIZADO. AF_08/2020</v>
          </cell>
          <cell r="C5379" t="str">
            <v>M3</v>
          </cell>
          <cell r="D5379">
            <v>137.13999999999999</v>
          </cell>
        </row>
        <row r="5380">
          <cell r="A5380" t="str">
            <v>101623</v>
          </cell>
          <cell r="B5380" t="str">
            <v>PREPARO DE FUNDO DE VALA COM LARGURA MENOR QUE 1,5 M, COM CAMADA DE BRITA, LANÇAMENTO MECANIZADO. AF_08/2020</v>
          </cell>
          <cell r="C5380" t="str">
            <v>M3</v>
          </cell>
          <cell r="D5380">
            <v>209.93</v>
          </cell>
        </row>
        <row r="5381">
          <cell r="A5381" t="str">
            <v>101624</v>
          </cell>
          <cell r="B5381" t="str">
            <v>PREPARO DE FUNDO DE VALA COM LARGURA MAIOR OU IGUAL A 1,5 M E MENOR QUE 2,5 M, COM CAMADA DE BRITA, LANÇAMENTO MECANIZADO. AF_08/2020</v>
          </cell>
          <cell r="C5381" t="str">
            <v>M3</v>
          </cell>
          <cell r="D5381">
            <v>168.55</v>
          </cell>
        </row>
        <row r="5382">
          <cell r="A5382" t="str">
            <v>101625</v>
          </cell>
          <cell r="B5382" t="str">
            <v>PREPARO DE FUNDO DE VALA COM LARGURA MAIOR OU IGUAL A 1,5 M E MENOR QUE 2,5 M, COM CAMADA DE AREIA, LANÇAMENTO MECANIZADO. AF_08/2020</v>
          </cell>
          <cell r="C5382" t="str">
            <v>M3</v>
          </cell>
          <cell r="D5382">
            <v>100.94</v>
          </cell>
        </row>
        <row r="5383">
          <cell r="A5383" t="str">
            <v>95606</v>
          </cell>
          <cell r="B5383" t="str">
            <v>UMIDIFICAÇÃO DE MATERIAL PARA VALAS COM CAMINHÃO PIPA 10000L. AF_11/2016</v>
          </cell>
          <cell r="C5383" t="str">
            <v>M2</v>
          </cell>
          <cell r="D5383">
            <v>1.8</v>
          </cell>
        </row>
        <row r="5384">
          <cell r="A5384" t="str">
            <v>87471</v>
          </cell>
          <cell r="B5384" t="str">
            <v>ALVENARIA DE VEDAÇÃO DE BLOCOS CERÂMICOS FURADOS NA VERTICAL DE 9X19X39CM (ESPESSURA 9CM) DE PAREDES COM ÁREA LÍQUIDA MENOR QUE 6M² SEM VÃOS E ARGAMASSA DE ASSENTAMENTO COM PREPARO EM BETONEIRA. AF_06/2014</v>
          </cell>
          <cell r="C5384" t="str">
            <v>M2</v>
          </cell>
          <cell r="D5384">
            <v>46.03</v>
          </cell>
        </row>
        <row r="5385">
          <cell r="A5385" t="str">
            <v>87472</v>
          </cell>
          <cell r="B5385" t="str">
            <v>ALVENARIA DE VEDAÇÃO DE BLOCOS CERÂMICOS FURADOS NA VERTICAL DE 9X19X39CM (ESPESSURA 9CM) DE PAREDES COM ÁREA LÍQUIDA MENOR QUE 6M² SEM VÃOS E ARGAMASSA DE ASSENTAMENTO COM PREPARO MANUAL. AF_06/2014</v>
          </cell>
          <cell r="C5385" t="str">
            <v>M2</v>
          </cell>
          <cell r="D5385">
            <v>46.98</v>
          </cell>
        </row>
        <row r="5386">
          <cell r="A5386" t="str">
            <v>87473</v>
          </cell>
          <cell r="B5386" t="str">
            <v>ALVENARIA DE VEDAÇÃO DE BLOCOS CERÂMICOS FURADOS NA VERTICAL DE 14X19X39CM (ESPESSURA 14CM) DE PAREDES COM ÁREA LÍQUIDA MENOR QUE 6M² SEM VÃOS E ARGAMASSA DE ASSENTAMENTO COM PREPARO EM BETONEIRA. AF_06/2014</v>
          </cell>
          <cell r="C5386" t="str">
            <v>M2</v>
          </cell>
          <cell r="D5386">
            <v>63.1</v>
          </cell>
        </row>
        <row r="5387">
          <cell r="A5387" t="str">
            <v>87474</v>
          </cell>
          <cell r="B5387" t="str">
            <v>ALVENARIA DE VEDAÇÃO DE BLOCOS CERÂMICOS FURADOS NA VERTICAL DE 14X19X39CM (ESPESSURA 14CM) DE PAREDES COM ÁREA LÍQUIDA MENOR QUE 6M² SEM VÃOS E ARGAMASSA DE ASSENTAMENTO COM PREPARO MANUAL. AF_06/2014</v>
          </cell>
          <cell r="C5387" t="str">
            <v>M2</v>
          </cell>
          <cell r="D5387">
            <v>64.180000000000007</v>
          </cell>
        </row>
        <row r="5388">
          <cell r="A5388" t="str">
            <v>87475</v>
          </cell>
          <cell r="B5388" t="str">
            <v>ALVENARIA DE VEDAÇÃO DE BLOCOS CERÂMICOS FURADOS NA VERTICAL DE 19X19X39CM (ESPESSURA 19CM) DE PAREDES COM ÁREA LÍQUIDA MENOR QUE 6M² SEM VÃOS E ARGAMASSA DE ASSENTAMENTO COM PREPARO EM BETONEIRA. AF_06/2014</v>
          </cell>
          <cell r="C5388" t="str">
            <v>M2</v>
          </cell>
          <cell r="D5388">
            <v>77.5</v>
          </cell>
        </row>
        <row r="5389">
          <cell r="A5389" t="str">
            <v>87476</v>
          </cell>
          <cell r="B5389" t="str">
            <v>ALVENARIA DE VEDAÇÃO DE BLOCOS CERÂMICOS FURADOS NA VERTICAL DE 19X19X39CM (ESPESSURA 19CM) DE PAREDES COM ÁREA LÍQUIDA MENOR QUE 6M² SEM VÃOS E ARGAMASSA DE ASSENTAMENTO COM PREPARO MANUAL. AF_06/2014</v>
          </cell>
          <cell r="C5389" t="str">
            <v>M2</v>
          </cell>
          <cell r="D5389">
            <v>78.75</v>
          </cell>
        </row>
        <row r="5390">
          <cell r="A5390" t="str">
            <v>87477</v>
          </cell>
          <cell r="B5390" t="str">
            <v>ALVENARIA DE VEDAÇÃO DE BLOCOS CERÂMICOS FURADOS NA VERTICAL DE 9X19X39CM (ESPESSURA 9CM) DE PAREDES COM ÁREA LÍQUIDA MAIOR OU IGUAL A 6M² SEM VÃOS E ARGAMASSA DE ASSENTAMENTO COM PREPARO EM BETONEIRA. AF_06/2014</v>
          </cell>
          <cell r="C5390" t="str">
            <v>M2</v>
          </cell>
          <cell r="D5390">
            <v>40.35</v>
          </cell>
        </row>
        <row r="5391">
          <cell r="A5391" t="str">
            <v>87478</v>
          </cell>
          <cell r="B5391" t="str">
            <v>ALVENARIA DE VEDAÇÃO DE BLOCOS CERÂMICOS FURADOS NA VERTICAL DE 9X19X39CM (ESPESSURA 9CM) DE PAREDES COM ÁREA LÍQUIDA MAIOR OU IGUAL A 6M² SEM VÃOS E ARGAMASSA DE ASSENTAMENTO COM PREPARO MANUAL. AF_06/2014</v>
          </cell>
          <cell r="C5391" t="str">
            <v>M2</v>
          </cell>
          <cell r="D5391">
            <v>41.3</v>
          </cell>
        </row>
        <row r="5392">
          <cell r="A5392" t="str">
            <v>87479</v>
          </cell>
          <cell r="B5392" t="str">
            <v>ALVENARIA DE VEDAÇÃO DE BLOCOS CERÂMICOS FURADOS NA VERTICAL DE 14X19X39CM (ESPESSURA 14CM) DE PAREDES COM ÁREA LÍQUIDA MAIOR OU IGUAL A 6M² SEM VÃOS E ARGAMASSA DE ASSENTAMENTO COM PREPARO EM BETONEIRA. AF_06/2014</v>
          </cell>
          <cell r="C5392" t="str">
            <v>M2</v>
          </cell>
          <cell r="D5392">
            <v>56.25</v>
          </cell>
        </row>
        <row r="5393">
          <cell r="A5393" t="str">
            <v>87480</v>
          </cell>
          <cell r="B5393" t="str">
            <v>ALVENARIA DE VEDAÇÃO DE BLOCOS CERÂMICOS FURADOS NA VERTICAL DE 14X19X39CM (ESPESSURA 14CM) DE PAREDES COM ÁREA LÍQUIDA MAIOR OU IGUAL A 6M² SEM VÃOS E ARGAMASSA DE ASSENTAMENTO COM PREPARO MANUAL. AF_06/2014</v>
          </cell>
          <cell r="C5393" t="str">
            <v>M2</v>
          </cell>
          <cell r="D5393">
            <v>57.33</v>
          </cell>
        </row>
        <row r="5394">
          <cell r="A5394" t="str">
            <v>87481</v>
          </cell>
          <cell r="B5394" t="str">
            <v>ALVENARIA DE VEDAÇÃO DE BLOCOS CERÂMICOS FURADOS NA VERTICAL DE 19X19X39CM (ESPESSURA 19CM) DE PAREDES COM ÁREA LÍQUIDA MAIOR OU IGUAL A 6M² SEM VÃOS E ARGAMASSA DE ASSENTAMENTO COM PREPARO EM BETONEIRA. AF_06/2014</v>
          </cell>
          <cell r="C5394" t="str">
            <v>M2</v>
          </cell>
          <cell r="D5394">
            <v>68.91</v>
          </cell>
        </row>
        <row r="5395">
          <cell r="A5395" t="str">
            <v>87482</v>
          </cell>
          <cell r="B5395" t="str">
            <v>ALVENARIA DE VEDAÇÃO DE BLOCOS CERÂMICOS FURADOS NA VERTICAL DE 19X19X39CM (ESPESSURA 19CM) DE PAREDES COM ÁREA LÍQUIDA MAIOR OU IGUAL A 6M² SEM VÃOS E ARGAMASSA DE ASSENTAMENTO COM PREPARO MANUAL. AF_06/2014</v>
          </cell>
          <cell r="C5395" t="str">
            <v>M2</v>
          </cell>
          <cell r="D5395">
            <v>70.16</v>
          </cell>
        </row>
        <row r="5396">
          <cell r="A5396" t="str">
            <v>87483</v>
          </cell>
          <cell r="B5396" t="str">
            <v>ALVENARIA DE VEDAÇÃO DE BLOCOS CERÂMICOS FURADOS NA VERTICAL DE 9X19X39CM (ESPESSURA 9CM) DE PAREDES COM ÁREA LÍQUIDA MENOR QUE 6M² COM VÃOS E ARGAMASSA DE ASSENTAMENTO COM PREPARO EM BETONEIRA. AF_06/2014</v>
          </cell>
          <cell r="C5396" t="str">
            <v>M2</v>
          </cell>
          <cell r="D5396">
            <v>53.21</v>
          </cell>
        </row>
        <row r="5397">
          <cell r="A5397" t="str">
            <v>87484</v>
          </cell>
          <cell r="B5397" t="str">
            <v>ALVENARIA DE VEDAÇÃO DE BLOCOS CERÂMICOS FURADOS NA VERTICAL DE 9X19X39CM (ESPESSURA 9CM) DE PAREDES COM ÁREA LÍQUIDA MENOR QUE 6M² COM VÃOS E ARGAMASSA DE ASSENTAMENTO COM PREPARO MANUAL. AF_06/2014</v>
          </cell>
          <cell r="C5397" t="str">
            <v>M2</v>
          </cell>
          <cell r="D5397">
            <v>54.16</v>
          </cell>
        </row>
        <row r="5398">
          <cell r="A5398" t="str">
            <v>87485</v>
          </cell>
          <cell r="B5398" t="str">
            <v>ALVENARIA DE VEDAÇÃO DE BLOCOS CERÂMICOS FURADOS NA VERTICAL DE 14X19X39CM (ESPESSURA 14CM) DE PAREDES COM ÁREA LÍQUIDA MENOR QUE 6M² COM VÃOS E ARGAMASSA DE ASSENTAMENTO COM PREPARO EM BETONEIRA. AF_06/2014</v>
          </cell>
          <cell r="C5398" t="str">
            <v>M2</v>
          </cell>
          <cell r="D5398">
            <v>70.37</v>
          </cell>
        </row>
        <row r="5399">
          <cell r="A5399" t="str">
            <v>87487</v>
          </cell>
          <cell r="B5399" t="str">
            <v>ALVENARIA DE VEDAÇÃO DE BLOCOS CERÂMICOS FURADOS NA VERTICAL DE 19X19X39CM (ESPESSURA 19CM) DE PAREDES COM ÁREA LÍQUIDA MENOR QUE 6M² COM VÃOS E ARGAMASSA DE ASSENTAMENTO COM PREPARO EM BETONEIRA. AF_06/2014</v>
          </cell>
          <cell r="C5399" t="str">
            <v>M2</v>
          </cell>
          <cell r="D5399">
            <v>84.53</v>
          </cell>
        </row>
        <row r="5400">
          <cell r="A5400" t="str">
            <v>87488</v>
          </cell>
          <cell r="B5400" t="str">
            <v>ALVENARIA DE VEDAÇÃO DE BLOCOS CERÂMICOS FURADOS NA VERTICAL DE 19X19X39CM (ESPESSURA 19CM) DE PAREDES COM ÁREA LÍQUIDA MENOR QUE 6M² COM VÃOS E ARGAMASSA DE ASSENTAMENTO COM PREPARO MANUAL. AF_06/2014</v>
          </cell>
          <cell r="C5400" t="str">
            <v>M2</v>
          </cell>
          <cell r="D5400">
            <v>85.78</v>
          </cell>
        </row>
        <row r="5401">
          <cell r="A5401" t="str">
            <v>87489</v>
          </cell>
          <cell r="B5401" t="str">
            <v>ALVENARIA DE VEDAÇÃO DE BLOCOS CERÂMICOS FURADOS NA VERTICAL DE 9X19X39CM (ESPESSURA 9CM) DE PAREDES COM ÁREA LÍQUIDA MAIOR OU IGUAL A 6M² COM VÃOS E ARGAMASSA DE ASSENTAMENTO COM PREPARO EM BETONEIRA. AF_06/2014</v>
          </cell>
          <cell r="C5401" t="str">
            <v>M2</v>
          </cell>
          <cell r="D5401">
            <v>44.44</v>
          </cell>
        </row>
        <row r="5402">
          <cell r="A5402" t="str">
            <v>87490</v>
          </cell>
          <cell r="B5402" t="str">
            <v>ALVENARIA DE VEDAÇÃO DE BLOCOS CERÂMICOS FURADOS NA VERTICAL DE 9X19X39CM (ESPESSURA 9CM) DE PAREDES COM ÁREA LÍQUIDA MAIOR OU IGUAL A 6M² COM VÃOS E ARGAMASSA DE ASSENTAMENTO COM PREPARO MANUAL. AF_06/2014</v>
          </cell>
          <cell r="C5402" t="str">
            <v>M2</v>
          </cell>
          <cell r="D5402">
            <v>45.39</v>
          </cell>
        </row>
        <row r="5403">
          <cell r="A5403" t="str">
            <v>87491</v>
          </cell>
          <cell r="B5403" t="str">
            <v>ALVENARIA DE VEDAÇÃO DE BLOCOS CERÂMICOS FURADOS NA VERTICAL DE 14X19X39CM (ESPESSURA 14CM) DE PAREDES COM ÁREA LÍQUIDA MAIOR OU IGUAL A 6M² COM VÃOS E ARGAMASSA DE ASSENTAMENTO COM PREPARO EM BETONEIRA. AF_06/2014</v>
          </cell>
          <cell r="C5403" t="str">
            <v>M2</v>
          </cell>
          <cell r="D5403">
            <v>60.43</v>
          </cell>
        </row>
        <row r="5404">
          <cell r="A5404" t="str">
            <v>87492</v>
          </cell>
          <cell r="B5404" t="str">
            <v>ALVENARIA DE VEDAÇÃO DE BLOCOS CERÂMICOS FURADOS NA VERTICAL DE 14X19X39CM (ESPESSURA 14CM) DE PAREDES COM ÁREA LÍQUIDA MAIOR OU IGUAL A 6M² COM VÃOS E ARGAMASSA DE ASSENTAMENTO COM PREPARO MANUAL. AF_06/2014</v>
          </cell>
          <cell r="C5404" t="str">
            <v>M2</v>
          </cell>
          <cell r="D5404">
            <v>61.51</v>
          </cell>
        </row>
        <row r="5405">
          <cell r="A5405" t="str">
            <v>87493</v>
          </cell>
          <cell r="B5405" t="str">
            <v>ALVENARIA DE VEDAÇÃO DE BLOCOS CERÂMICOS FURADOS NA VERTICAL DE 19X19X39CM (ESPESSURA 19CM) DE PAREDES COM ÁREA LÍQUIDA MAIOR OU IGUAL A 6M² COM VÃOS E ARGAMASSA DE ASSENTAMENTO COM PREPARO EM BETONEIRA. AF_06/2014</v>
          </cell>
          <cell r="C5405" t="str">
            <v>M2</v>
          </cell>
          <cell r="D5405">
            <v>73.19</v>
          </cell>
        </row>
        <row r="5406">
          <cell r="A5406" t="str">
            <v>87494</v>
          </cell>
          <cell r="B5406" t="str">
            <v>ALVENARIA DE VEDAÇÃO DE BLOCOS CERÂMICOS FURADOS NA VERTICAL DE 19X19X39CM (ESPESSURA 19CM) DE PAREDES COM ÁREA LÍQUIDA MAIOR OU IGUAL A 6M² COM VÃOS E ARGAMASSA DE ASSENTAMENTO COM PREPARO MANUAL. AF_06/2014</v>
          </cell>
          <cell r="C5406" t="str">
            <v>M2</v>
          </cell>
          <cell r="D5406">
            <v>74.44</v>
          </cell>
        </row>
        <row r="5407">
          <cell r="A5407" t="str">
            <v>87495</v>
          </cell>
          <cell r="B5407" t="str">
            <v>ALVENARIA DE VEDAÇÃO DE BLOCOS CERÂMICOS FURADOS NA HORIZONTAL DE 9X19X19CM (ESPESSURA 9CM) DE PAREDES COM ÁREA LÍQUIDA MENOR QUE 6M² SEM VÃOS E ARGAMASSA DE ASSENTAMENTO COM PREPARO EM BETONEIRA. AF_06/2014</v>
          </cell>
          <cell r="C5407" t="str">
            <v>M2</v>
          </cell>
          <cell r="D5407">
            <v>80.25</v>
          </cell>
        </row>
        <row r="5408">
          <cell r="A5408" t="str">
            <v>87496</v>
          </cell>
          <cell r="B5408" t="str">
            <v>ALVENARIA DE VEDAÇÃO DE BLOCOS CERÂMICOS FURADOS NA HORIZONTAL DE 9X19X19CM (ESPESSURA 9CM) DE PAREDES COM ÁREA LÍQUIDA MENOR QUE 6M² SEM VÃOS E ARGAMASSA DE ASSENTAMENTO COM PREPARO MANUAL. AF_06/2014</v>
          </cell>
          <cell r="C5408" t="str">
            <v>M2</v>
          </cell>
          <cell r="D5408">
            <v>81.150000000000006</v>
          </cell>
        </row>
        <row r="5409">
          <cell r="A5409" t="str">
            <v>87497</v>
          </cell>
          <cell r="B5409" t="str">
            <v>ALVENARIA DE VEDAÇÃO DE BLOCOS CERÂMICOS FURADOS NA HORIZONTAL DE 11,5X19X19CM (ESPESSURA 11,5CM) DE PAREDES COM ÁREA LÍQUIDA MENOR QUE 6M² SEM VÃOS E ARGAMASSA DE ASSENTAMENTO COM PREPARO EM BETONEIRA. AF_06/2014</v>
          </cell>
          <cell r="C5409" t="str">
            <v>M2</v>
          </cell>
          <cell r="D5409">
            <v>78.349999999999994</v>
          </cell>
        </row>
        <row r="5410">
          <cell r="A5410" t="str">
            <v>87498</v>
          </cell>
          <cell r="B5410" t="str">
            <v>ALVENARIA DE VEDAÇÃO DE BLOCOS CERÂMICOS FURADOS NA HORIZONTAL DE 11,5X19X19CM (ESPESSURA 11,5CM) DE PAREDES COM ÁREA LÍQUIDA MENOR QUE 6M² SEM VÃOS E ARGAMASSA DE ASSENTAMENTO COM PREPARO MANUAL. AF_06/2014</v>
          </cell>
          <cell r="C5410" t="str">
            <v>M2</v>
          </cell>
          <cell r="D5410">
            <v>79.48</v>
          </cell>
        </row>
        <row r="5411">
          <cell r="A5411" t="str">
            <v>87499</v>
          </cell>
          <cell r="B5411" t="str">
            <v>ALVENARIA DE VEDAÇÃO DE BLOCOS CERÂMICOS FURADOS NA HORIZONTAL DE 9X14X19CM (ESPESSURA 9CM) DE PAREDES COM ÁREA LÍQUIDA MENOR QUE 6M² SEM VÃOS E ARGAMASSA DE ASSENTAMENTO COM PREPARO EM BETONEIRA. AF_06/2014</v>
          </cell>
          <cell r="C5411" t="str">
            <v>M2</v>
          </cell>
          <cell r="D5411">
            <v>93.11</v>
          </cell>
        </row>
        <row r="5412">
          <cell r="A5412" t="str">
            <v>87500</v>
          </cell>
          <cell r="B5412" t="str">
            <v>ALVENARIA DE VEDAÇÃO DE BLOCOS CERÂMICOS FURADOS NA HORIZONTAL DE 9X14X19CM (ESPESSURA 9CM) DE PAREDES COM ÁREA LÍQUIDA MENOR QUE 6M² SEM VÃOS E ARGAMASSA DE ASSENTAMENTO COM PREPARO MANUAL. AF_06/2014</v>
          </cell>
          <cell r="C5412" t="str">
            <v>M2</v>
          </cell>
          <cell r="D5412">
            <v>94.08</v>
          </cell>
        </row>
        <row r="5413">
          <cell r="A5413" t="str">
            <v>87501</v>
          </cell>
          <cell r="B5413" t="str">
            <v>ALVENARIA DE VEDAÇÃO DE BLOCOS CERÂMICOS FURADOS NA HORIZONTAL DE 14X9X19CM (ESPESSURA 14CM, BLOCO DEITADO) DE PAREDES COM ÁREA LÍQUIDA MENOR QUE 6M² SEM VÃOS E ARGAMASSA DE ASSENTAMENTO COM PREPARO EM BETONEIRA. AF_06/2014</v>
          </cell>
          <cell r="C5413" t="str">
            <v>M2</v>
          </cell>
          <cell r="D5413">
            <v>146.53</v>
          </cell>
        </row>
        <row r="5414">
          <cell r="A5414" t="str">
            <v>87502</v>
          </cell>
          <cell r="B5414" t="str">
            <v>ALVENARIA DE VEDAÇÃO DE BLOCOS CERÂMICOS FURADOS NA HORIZONTAL DE 14X9X19CM (ESPESSURA 14CM, BLOCO DEITADO) DE PAREDES COM ÁREA LÍQUIDA MENOR QUE 6M² SEM VÃOS E ARGAMASSA DE ASSENTAMENTO COM PREPARO MANUAL. AF_06/2014</v>
          </cell>
          <cell r="C5414" t="str">
            <v>M2</v>
          </cell>
          <cell r="D5414">
            <v>147.76</v>
          </cell>
        </row>
        <row r="5415">
          <cell r="A5415" t="str">
            <v>87503</v>
          </cell>
          <cell r="B5415" t="str">
            <v>ALVENARIA DE VEDAÇÃO DE BLOCOS CERÂMICOS FURADOS NA HORIZONTAL DE 9X19X19CM (ESPESSURA 9CM) DE PAREDES COM ÁREA LÍQUIDA MAIOR OU IGUAL A 6M² SEM VÃOS E ARGAMASSA DE ASSENTAMENTO COM PREPARO EM BETONEIRA. AF_06/2014</v>
          </cell>
          <cell r="C5415" t="str">
            <v>M2</v>
          </cell>
          <cell r="D5415">
            <v>67.36</v>
          </cell>
        </row>
        <row r="5416">
          <cell r="A5416" t="str">
            <v>87504</v>
          </cell>
          <cell r="B5416" t="str">
            <v>ALVENARIA DE VEDAÇÃO DE BLOCOS CERÂMICOS FURADOS NA HORIZONTAL DE 9X19X19CM (ESPESSURA 9CM) DE PAREDES COM ÁREA LÍQUIDA MAIOR OU IGUAL A 6M² SEM VÃOS E ARGAMASSA DE ASSENTAMENTO COM PREPARO MANUAL. AF_06/2014</v>
          </cell>
          <cell r="C5416" t="str">
            <v>M2</v>
          </cell>
          <cell r="D5416">
            <v>68.260000000000005</v>
          </cell>
        </row>
        <row r="5417">
          <cell r="A5417" t="str">
            <v>87505</v>
          </cell>
          <cell r="B5417" t="str">
            <v>ALVENARIA DE VEDAÇÃO DE BLOCOS CERÂMICOS FURADOS NA HORIZONTAL DE 11,5X19X19CM (ESPESSURA 11,5M) DE PAREDES COM ÁREA LÍQUIDA MAIOR OU IGUAL A 6M² SEM VÃOS E ARGAMASSA DE ASSENTAMENTO COM PREPARO EM BETONEIRA. AF_06/2014</v>
          </cell>
          <cell r="C5417" t="str">
            <v>M2</v>
          </cell>
          <cell r="D5417">
            <v>65.14</v>
          </cell>
        </row>
        <row r="5418">
          <cell r="A5418" t="str">
            <v>87506</v>
          </cell>
          <cell r="B5418" t="str">
            <v>ALVENARIA DE VEDAÇÃO DE BLOCOS CERÂMICOS FURADOS NA HORIZONTAL DE 11,5X19X19CM (ESPESSURA 11,5M) DE PAREDES COM ÁREA LÍQUIDA MAIOR OU IGUAL A 6M² SEM VÃOS E ARGAMASSA DE ASSENTAMENTO COM PREPARO MANUAL. AF_06/2014</v>
          </cell>
          <cell r="C5418" t="str">
            <v>M2</v>
          </cell>
          <cell r="D5418">
            <v>66.27</v>
          </cell>
        </row>
        <row r="5419">
          <cell r="A5419" t="str">
            <v>87507</v>
          </cell>
          <cell r="B5419" t="str">
            <v>ALVENARIA DE VEDAÇÃO DE BLOCOS CERÂMICOS FURADOS NA HORIZONTAL DE 9X14X19CM (ESPESSURA 9CM) DE PAREDES COM ÁREA LÍQUIDA MAIOR OU IGUAL A 6M² SEM VÃOS E ARGAMASSA DE ASSENTAMENTO COM PREPARO EM BETONEIRA. AF_06/2014</v>
          </cell>
          <cell r="C5419" t="str">
            <v>M2</v>
          </cell>
          <cell r="D5419">
            <v>76</v>
          </cell>
        </row>
        <row r="5420">
          <cell r="A5420" t="str">
            <v>87508</v>
          </cell>
          <cell r="B5420" t="str">
            <v>ALVENARIA DE VEDAÇÃO DE BLOCOS CERÂMICOS FURADOS NA HORIZONTAL DE 9X14X19CM (ESPESSURA 9CM) DE PAREDES COM ÁREA LÍQUIDA MAIOR OU IGUAL A 6M² SEM VÃOS E ARGAMASSA DE ASSENTAMENTO COM PREPARO MANUAL. AF_06/2014</v>
          </cell>
          <cell r="C5420" t="str">
            <v>M2</v>
          </cell>
          <cell r="D5420">
            <v>76.97</v>
          </cell>
        </row>
        <row r="5421">
          <cell r="A5421" t="str">
            <v>87509</v>
          </cell>
          <cell r="B5421" t="str">
            <v>ALVENARIA DE VEDAÇÃO DE BLOCOS CERÂMICOS FURADOS NA HORIZONTAL DE 14X9X19CM (ESPESSURA 14CM, BLOCO DEITADO) DE PAREDES COM ÁREA LÍQUIDA MAIOR OU IGUAL A 6M² SEM VÃOS E ARGAMASSA DE ASSENTAMENTO COM PREPARO EM BETONEIRA. AF_06/2014</v>
          </cell>
          <cell r="C5421" t="str">
            <v>M2</v>
          </cell>
          <cell r="D5421">
            <v>118.14</v>
          </cell>
        </row>
        <row r="5422">
          <cell r="A5422" t="str">
            <v>87510</v>
          </cell>
          <cell r="B5422" t="str">
            <v>ALVENARIA DE VEDAÇÃO DE BLOCOS CERÂMICOS FURADOS NA HORIZONTAL DE 14X9X19CM (ESPESSURA 14CM, BLOCO DEITADO) DE PAREDES COM ÁREA LÍQUIDA MAIOR OU IGUAL A 6M² SEM VÃOS E ARGAMASSA DE ASSENTAMENTO COM PREPARO MANUAL. AF_06/2014</v>
          </cell>
          <cell r="C5422" t="str">
            <v>M2</v>
          </cell>
          <cell r="D5422">
            <v>119.37</v>
          </cell>
        </row>
        <row r="5423">
          <cell r="A5423" t="str">
            <v>87511</v>
          </cell>
          <cell r="B5423" t="str">
            <v>ALVENARIA DE VEDAÇÃO DE BLOCOS CERÂMICOS FURADOS NA HORIZONTAL DE 9X19X19CM (ESPESSURA 9CM) DE PAREDES COM ÁREA LÍQUIDA MENOR QUE 6M² COM VÃOS E ARGAMASSA DE ASSENTAMENTO COM PREPARO EM BETONEIRA. AF_06/2014</v>
          </cell>
          <cell r="C5423" t="str">
            <v>M2</v>
          </cell>
          <cell r="D5423">
            <v>90.38</v>
          </cell>
        </row>
        <row r="5424">
          <cell r="A5424" t="str">
            <v>87512</v>
          </cell>
          <cell r="B5424" t="str">
            <v>ALVENARIA DE VEDAÇÃO DE BLOCOS CERÂMICOS FURADOS NA HORIZONTAL DE 9X19X19CM (ESPESSURA 9CM) DE PAREDES COM ÁREA LÍQUIDA MENOR QUE 6M² COM VÃOS E ARGAMASSA DE ASSENTAMENTO COM PREPARO MANUAL. AF_06/2014</v>
          </cell>
          <cell r="C5424" t="str">
            <v>M2</v>
          </cell>
          <cell r="D5424">
            <v>91.28</v>
          </cell>
        </row>
        <row r="5425">
          <cell r="A5425" t="str">
            <v>87513</v>
          </cell>
          <cell r="B5425" t="str">
            <v>ALVENARIA DE VEDAÇÃO DE BLOCOS CERÂMICOS FURADOS NA HORIZONTAL DE 11,5X19X19CM (ESPESSURA 11,5CM) DE PAREDES COM ÁREA LÍQUIDA MENOR QUE 6M² COM VÃOS E ARGAMASSA DE ASSENTAMENTO COM PREPARO EM BETONEIRA. AF_06/2014</v>
          </cell>
          <cell r="C5425" t="str">
            <v>M2</v>
          </cell>
          <cell r="D5425">
            <v>88.9</v>
          </cell>
        </row>
        <row r="5426">
          <cell r="A5426" t="str">
            <v>87514</v>
          </cell>
          <cell r="B5426" t="str">
            <v>ALVENARIA DE VEDAÇÃO DE BLOCOS CERÂMICOS FURADOS NA HORIZONTAL DE 11,5X19X19CM (ESPESSURA 11,5CM) DE PAREDES COM ÁREA LÍQUIDA MENOR QUE 6M² COM VÃOS E ARGAMASSA DE ASSENTAMENTO COM PREPARO MANUAL. AF_06/2014</v>
          </cell>
          <cell r="C5426" t="str">
            <v>M2</v>
          </cell>
          <cell r="D5426">
            <v>90.03</v>
          </cell>
        </row>
        <row r="5427">
          <cell r="A5427" t="str">
            <v>87515</v>
          </cell>
          <cell r="B5427" t="str">
            <v>ALVENARIA DE VEDAÇÃO DE BLOCOS CERÂMICOS FURADOS NA HORIZONTAL DE 9X14X19CM (ESPESSURA 9CM) DE PAREDES COM ÁREA LÍQUIDA MENOR QUE 6M² COM VÃOS E ARGAMASSA DE ASSENTAMENTO COM PREPARO EM BETONEIRA. AF_06/2014</v>
          </cell>
          <cell r="C5427" t="str">
            <v>M2</v>
          </cell>
          <cell r="D5427">
            <v>107.3</v>
          </cell>
        </row>
        <row r="5428">
          <cell r="A5428" t="str">
            <v>87516</v>
          </cell>
          <cell r="B5428" t="str">
            <v>ALVENARIA DE VEDAÇÃO DE BLOCOS CERÂMICOS FURADOS NA HORIZONTAL DE 9X14X19CM (ESPESSURA 9CM) DE PAREDES COM ÁREA LÍQUIDA MENOR QUE 6M² COM VÃOS E ARGAMASSA DE ASSENTAMENTO COM PREPARO MANUAL. AF_06/2014</v>
          </cell>
          <cell r="C5428" t="str">
            <v>M2</v>
          </cell>
          <cell r="D5428">
            <v>108.27</v>
          </cell>
        </row>
        <row r="5429">
          <cell r="A5429" t="str">
            <v>87517</v>
          </cell>
          <cell r="B5429" t="str">
            <v>ALVENARIA DE VEDAÇÃO DE BLOCOS CERÂMICOS FURADOS NA HORIZONTAL DE 14X9X19CM (ESPESSURA 14CM, BLOCO DEITADO) DE PAREDES COM ÁREA LÍQUIDA MENOR QUE 6M² COM VÃOS E ARGAMASSA DE ASSENTAMENTO COM PREPARO EM BETONEIRA. AF_06/2014</v>
          </cell>
          <cell r="C5429" t="str">
            <v>M2</v>
          </cell>
          <cell r="D5429">
            <v>168.6</v>
          </cell>
        </row>
        <row r="5430">
          <cell r="A5430" t="str">
            <v>87518</v>
          </cell>
          <cell r="B5430" t="str">
            <v>ALVENARIA DE VEDAÇÃO DE BLOCOS CERÂMICOS FURADOS NA HORIZONTAL DE 14X9X19CM (ESPESSURA 14CM, BLOCO DEITADO) DE PAREDES COM ÁREA LÍQUIDA MENOR QUE 6M² COM VÃOS E ARGAMASSA DE ASSENTAMENTO COM PREPARO MANUAL. AF_06/2014</v>
          </cell>
          <cell r="C5430" t="str">
            <v>M2</v>
          </cell>
          <cell r="D5430">
            <v>169.83</v>
          </cell>
        </row>
        <row r="5431">
          <cell r="A5431" t="str">
            <v>87519</v>
          </cell>
          <cell r="B5431" t="str">
            <v>ALVENARIA DE VEDAÇÃO DE BLOCOS CERÂMICOS FURADOS NA HORIZONTAL DE 9X19X19CM (ESPESSURA 9CM) DE PAREDES COM ÁREA LÍQUIDA MAIOR OU IGUAL A 6M² COM VÃOS E ARGAMASSA DE ASSENTAMENTO COM PREPARO EM BETONEIRA. AF_06/2014</v>
          </cell>
          <cell r="C5431" t="str">
            <v>M2</v>
          </cell>
          <cell r="D5431">
            <v>73.72</v>
          </cell>
        </row>
        <row r="5432">
          <cell r="A5432" t="str">
            <v>87520</v>
          </cell>
          <cell r="B5432" t="str">
            <v>ALVENARIA DE VEDAÇÃO DE BLOCOS CERÂMICOS FURADOS NA HORIZONTAL DE 9X19X19CM (ESPESSURA 9CM) DE PAREDES COM ÁREA LÍQUIDA MAIOR OU IGUAL A 6M² COM VÃOS E ARGAMASSA DE ASSENTAMENTO COM PREPARO MANUAL. AF_06/2014</v>
          </cell>
          <cell r="C5432" t="str">
            <v>M2</v>
          </cell>
          <cell r="D5432">
            <v>74.62</v>
          </cell>
        </row>
        <row r="5433">
          <cell r="A5433" t="str">
            <v>87521</v>
          </cell>
          <cell r="B5433" t="str">
            <v>ALVENARIA DE VEDAÇÃO DE BLOCOS CERÂMICOS FURADOS NA HORIZONTAL DE 11,5X19X19CM (ESPESSURA 11,5CM) DE PAREDES COM ÁREA LÍQUIDA MAIOR OU IGUAL A 6M² COM VÃOS E ARGAMASSA DE ASSENTAMENTO COM PREPARO EM BETONEIRA. AF_06/2014</v>
          </cell>
          <cell r="C5433" t="str">
            <v>M2</v>
          </cell>
          <cell r="D5433">
            <v>71.569999999999993</v>
          </cell>
        </row>
        <row r="5434">
          <cell r="A5434" t="str">
            <v>87522</v>
          </cell>
          <cell r="B5434" t="str">
            <v>ALVENARIA DE VEDAÇÃO DE BLOCOS CERÂMICOS FURADOS NA HORIZONTAL DE 11,5X19X19CM (ESPESSURA 11,5CM) DE PAREDES COM ÁREA LÍQUIDA MAIOR OU IGUAL A 6M² COM VÃOS E ARGAMASSA DE ASSENTAMENTO COM PREPARO MANUAL. AF_06/2014</v>
          </cell>
          <cell r="C5434" t="str">
            <v>M2</v>
          </cell>
          <cell r="D5434">
            <v>72.7</v>
          </cell>
        </row>
        <row r="5435">
          <cell r="A5435" t="str">
            <v>87523</v>
          </cell>
          <cell r="B5435" t="str">
            <v>ALVENARIA DE VEDAÇÃO DE BLOCOS CERÂMICOS FURADOS NA HORIZONTAL DE 9X14X19CM (ESPESSURA 9CM) DE PAREDES COM ÁREA LÍQUIDA MAIOR OU IGUAL A 6M² COM VÃOS E ARGAMASSA DE ASSENTAMENTO COM PREPARO EM BETONEIRA. AF_06/2014</v>
          </cell>
          <cell r="C5435" t="str">
            <v>M2</v>
          </cell>
          <cell r="D5435">
            <v>84.65</v>
          </cell>
        </row>
        <row r="5436">
          <cell r="A5436" t="str">
            <v>87524</v>
          </cell>
          <cell r="B5436" t="str">
            <v>ALVENARIA DE VEDAÇÃO DE BLOCOS CERÂMICOS FURADOS NA HORIZONTAL DE 9X14X19CM (ESPESSURA 9CM) DE PAREDES COM ÁREA LÍQUIDA MAIOR OU IGUAL A 6M² COM VÃOS E ARGAMASSA DE ASSENTAMENTO COM PREPARO MANUAL. AF_06/2014</v>
          </cell>
          <cell r="C5436" t="str">
            <v>M2</v>
          </cell>
          <cell r="D5436">
            <v>85.62</v>
          </cell>
        </row>
        <row r="5437">
          <cell r="A5437" t="str">
            <v>87525</v>
          </cell>
          <cell r="B5437" t="str">
            <v>ALVENARIA DE VEDAÇÃO DE BLOCOS CERÂMICOS FURADOS NA HORIZONTAL DE 14X9X19CM (ESPESSURA 14CM, BLOCO DEITADO) DE PAREDES COM ÁREA LÍQUIDA MAIOR OU IGUAL A 6M² COM VÃOS E ARGAMASSA DE ASSENTAMENTO COM PREPARO EM BETONEIRA. AF_06/2014</v>
          </cell>
          <cell r="C5437" t="str">
            <v>M2</v>
          </cell>
          <cell r="D5437">
            <v>131.51</v>
          </cell>
        </row>
        <row r="5438">
          <cell r="A5438" t="str">
            <v>87526</v>
          </cell>
          <cell r="B5438" t="str">
            <v>ALVENARIA DE VEDAÇÃO DE BLOCOS CERÂMICOS FURADOS NA HORIZONTAL DE 14X9X19CM (ESPESSURA 14CM, BLOCO DEITADO) DE PAREDES COM ÁREA LÍQUIDA MAIOR OU IGUAL A 6M² COM VÃOS E ARGAMASSA DE ASSENTAMENTO COM PREPARO MANUAL. AF_06/2014</v>
          </cell>
          <cell r="C5438" t="str">
            <v>M2</v>
          </cell>
          <cell r="D5438">
            <v>132.74</v>
          </cell>
        </row>
        <row r="5439">
          <cell r="A5439" t="str">
            <v>89043</v>
          </cell>
          <cell r="B5439" t="str">
            <v>(COMPOSIÇÃO REPRESENTATIVA) DO SERVIÇO DE ALVENARIA DE VEDAÇÃO DE BLOCOS VAZADOS DE CERÂMICA DE 9X19X19CM (ESPESSURA 9CM), PARA EDIFICAÇÃO HABITACIONAL MULTIFAMILIAR (PRÉDIO). AF_11/2014</v>
          </cell>
          <cell r="C5439" t="str">
            <v>M2</v>
          </cell>
          <cell r="D5439">
            <v>75.569999999999993</v>
          </cell>
        </row>
        <row r="5440">
          <cell r="A5440" t="str">
            <v>89168</v>
          </cell>
          <cell r="B5440" t="str">
            <v>(COMPOSIÇÃO REPRESENTATIVA) DO SERVIÇO DE ALVENARIA DE VEDAÇÃO DE BLOCOS VAZADOS DE CERÂMICA DE 9X19X19CM (ESPESSURA 9CM), PARA EDIFICAÇÃO HABITACIONAL UNIFAMILIAR (CASA) E EDIFICAÇÃO PÚBLICA PADRÃO. AF_11/2014</v>
          </cell>
          <cell r="C5440" t="str">
            <v>M2</v>
          </cell>
          <cell r="D5440">
            <v>78.06</v>
          </cell>
        </row>
        <row r="5441">
          <cell r="A5441" t="str">
            <v>89977</v>
          </cell>
          <cell r="B5441" t="str">
            <v>(COMPOSIÇÃO REPRESENTATIVA) DO SERVIÇO DE ALVENARIA DE VEDAÇÃO DE BLOCOS VAZADOS DE CERÂMICA DE 14X9X19CM (ESPESSURA 14CM, BLOCO DEITADO), PARA EDIFICAÇÃO HABITACIONAL UNIFAMILIAR (CASA) E EDIFICAÇÃO PÚBLICA PADRÃO. AF_12/2014</v>
          </cell>
          <cell r="C5441" t="str">
            <v>M2</v>
          </cell>
          <cell r="D5441">
            <v>141.44999999999999</v>
          </cell>
        </row>
        <row r="5442">
          <cell r="A5442" t="str">
            <v>90112</v>
          </cell>
          <cell r="B5442" t="str">
            <v>ALVENARIA DE VEDAÇÃO DE BLOCOS CERÂMICOS FURADOS NA VERTICAL DE 14X19X39CM (ESPESSURA 14CM) DE PAREDES COM ÁREA LÍQUIDA MENOR QUE 6M2 COM VÃOS E ARGAMASSA DE ASSENTAMENTO COM PREPARO MANUAL. AF_06/2014</v>
          </cell>
          <cell r="C5442" t="str">
            <v>M2</v>
          </cell>
          <cell r="D5442">
            <v>71.45</v>
          </cell>
        </row>
        <row r="5443">
          <cell r="A5443" t="str">
            <v>101159</v>
          </cell>
          <cell r="B5443" t="str">
            <v>ALVENARIA DE VEDAÇÃO DE BLOCOS CERÂMICOS MACIÇOS DE 5X10X20CM (ESPESSURA 10CM) E ARGAMASSA DE ASSENTAMENTO COM PREPARO EM BETONEIRA. AF_05/2020</v>
          </cell>
          <cell r="C5443" t="str">
            <v>M2</v>
          </cell>
          <cell r="D5443">
            <v>110.25</v>
          </cell>
        </row>
        <row r="5444">
          <cell r="A5444" t="str">
            <v>89282</v>
          </cell>
          <cell r="B5444" t="str">
            <v>ALVENARIA ESTRUTURAL DE BLOCOS CERÂMICOS 14X19X39, (ESPESSURA DE 14 CM), PARA PAREDES COM ÁREA LÍQUIDA MENOR QUE 6M², SEM VÃOS, UTILIZANDO PALHETA E ARGAMASSA DE ASSENTAMENTO COM PREPARO EM BETONEIRA. AF_12/2014</v>
          </cell>
          <cell r="C5444" t="str">
            <v>M2</v>
          </cell>
          <cell r="D5444">
            <v>59.01</v>
          </cell>
        </row>
        <row r="5445">
          <cell r="A5445" t="str">
            <v>89283</v>
          </cell>
          <cell r="B5445" t="str">
            <v>ALVENARIA ESTRUTURAL DE BLOCOS CERÂMICOS 14X19X39, (ESPESSURA DE 14 CM), PARA PAREDES COM ÁREA LÍQUIDA MENOR QUE 6M², SEM VÃOS, UTILIZANDO PALHETA E ARGAMASSA DE ASSENTAMENTO COM PREPARO MANUAL. AF_12/2014</v>
          </cell>
          <cell r="C5445" t="str">
            <v>M2</v>
          </cell>
          <cell r="D5445">
            <v>60.04</v>
          </cell>
        </row>
        <row r="5446">
          <cell r="A5446" t="str">
            <v>89284</v>
          </cell>
          <cell r="B5446" t="str">
            <v>ALVENARIA ESTRUTURAL DE BLOCOS CERÂMICOS 14X19X39, (ESPESSURA DE 14 CM), PARA PAREDES COM ÁREA LÍQUIDA MAIOR OU IGUAL QUE 6M², SEM VÃOS, UTILIZANDO PALHETA E ARGAMASSA DE ASSENTAMENTO COM PREPARO EM BETONEIRA. AF_12/2014</v>
          </cell>
          <cell r="C5446" t="str">
            <v>M2</v>
          </cell>
          <cell r="D5446">
            <v>51.56</v>
          </cell>
        </row>
        <row r="5447">
          <cell r="A5447" t="str">
            <v>89285</v>
          </cell>
          <cell r="B5447" t="str">
            <v>ALVENARIA ESTRUTURAL DE BLOCOS CERÂMICOS 14X19X39, (ESPESSURA DE 14 CM), PARA PAREDES COM ÁREA LÍQUIDA MAIOR OU IGUAL QUE 6M², SEM VÃOS, UTILIZANDO PALHETA E ARGAMASSA DE ASSENTAMENTO COM PREPARO MANUAL. AF_12/2014</v>
          </cell>
          <cell r="C5447" t="str">
            <v>M2</v>
          </cell>
          <cell r="D5447">
            <v>52.59</v>
          </cell>
        </row>
        <row r="5448">
          <cell r="A5448" t="str">
            <v>89286</v>
          </cell>
          <cell r="B5448" t="str">
            <v>ALVENARIA ESTRUTURAL DE BLOCOS CERÂMICOS 14X19X39, (ESPESSURA DE 14 CM), PARA PAREDES COM ÁREA LÍQUIDA MENOR QUE 6M², COM VÃOS, UTILIZANDO PALHETA E ARGAMASSA DE ASSENTAMENTO COM PREPARO EM BETONEIRA. AF_12/2014</v>
          </cell>
          <cell r="C5448" t="str">
            <v>M2</v>
          </cell>
          <cell r="D5448">
            <v>63.47</v>
          </cell>
        </row>
        <row r="5449">
          <cell r="A5449" t="str">
            <v>89287</v>
          </cell>
          <cell r="B5449" t="str">
            <v>ALVENARIA ESTRUTURAL DE BLOCOS CERÂMICOS 14X19X39, (ESPESSURA DE 14 CM), PARA PAREDES COM ÁREA LÍQUIDA MENOR QUE 6M², COM VÃOS, UTILIZANDO PALHETA E ARGAMASSA DE ASSENTAMENTO COM PREPARO MANUAL. AF_12/2014</v>
          </cell>
          <cell r="C5449" t="str">
            <v>M2</v>
          </cell>
          <cell r="D5449">
            <v>64.5</v>
          </cell>
        </row>
        <row r="5450">
          <cell r="A5450" t="str">
            <v>89288</v>
          </cell>
          <cell r="B5450" t="str">
            <v>ALVENARIA ESTRUTURAL DE BLOCOS CERÂMICOS 14X19X39, (ESPESSURA DE 14 CM), PARA PAREDES COM ÁREA LÍQUIDA MAIOR OU IGUAL A 6M², COM VÃOS, UTILIZANDO PALHETA E ARGAMASSA DE ASSENTAMENTO COM PREPARO EM BETONEIRA. AF_12/2014</v>
          </cell>
          <cell r="C5450" t="str">
            <v>M2</v>
          </cell>
          <cell r="D5450">
            <v>53.96</v>
          </cell>
        </row>
        <row r="5451">
          <cell r="A5451" t="str">
            <v>89289</v>
          </cell>
          <cell r="B5451" t="str">
            <v>ALVENARIA ESTRUTURAL DE BLOCOS CERÂMICOS 14X19X39, (ESPESSURA DE 14 CM), PARA PAREDES COM ÁREA LÍQUIDA MAIOR OU IGUAL A 6M², COM VÃOS, UTILIZANDO PALHETA E ARGAMASSA DE ASSENTAMENTO COM PREPARO MANUAL. AF_12/2014</v>
          </cell>
          <cell r="C5451" t="str">
            <v>M2</v>
          </cell>
          <cell r="D5451">
            <v>54.99</v>
          </cell>
        </row>
        <row r="5452">
          <cell r="A5452" t="str">
            <v>89290</v>
          </cell>
          <cell r="B5452" t="str">
            <v>ALVENARIA ESTRUTURAL DE BLOCOS CERÂMICOS 14X19X29, (ESPESSURA DE 14 CM), PARA PAREDES COM ÁREA LÍQUIDA MENOR QUE 6M², SEM VÃOS, UTILIZANDO PALHETA E ARGAMASSA DE ASSENTAMENTO COM PREPARO EM BETONEIRA. AF_12/2014</v>
          </cell>
          <cell r="C5452" t="str">
            <v>M2</v>
          </cell>
          <cell r="D5452">
            <v>69</v>
          </cell>
        </row>
        <row r="5453">
          <cell r="A5453" t="str">
            <v>89291</v>
          </cell>
          <cell r="B5453" t="str">
            <v>ALVENARIA ESTRUTURAL DE BLOCOS CERÂMICOS 14X19X29, (ESPESSURA DE 14 CM), PARA PAREDES COM ÁREA LÍQUIDA MENOR QUE 6M², SEM VÃOS, UTILIZANDO PALHETA E ARGAMASSA DE ASSENTAMENTO COM PREPARO MANUAL. AF_12/2014</v>
          </cell>
          <cell r="C5453" t="str">
            <v>M2</v>
          </cell>
          <cell r="D5453">
            <v>70.150000000000006</v>
          </cell>
        </row>
        <row r="5454">
          <cell r="A5454" t="str">
            <v>89292</v>
          </cell>
          <cell r="B5454" t="str">
            <v>ALVENARIA ESTRUTURAL DE BLOCOS CERÂMICOS 14X19X29, (ESPESSURA DE 14 CM), PARA PAREDES COM ÁREA LÍQUIDA MAIOR OU IGUAL A 6M², SEM VÃOS, UTILIZANDO PALHETA E ARGAMASSA DE ASSENTAMENTO COM PREPARO EM BETONEIRA. AF_12/2014</v>
          </cell>
          <cell r="C5454" t="str">
            <v>M2</v>
          </cell>
          <cell r="D5454">
            <v>61.53</v>
          </cell>
        </row>
        <row r="5455">
          <cell r="A5455" t="str">
            <v>89293</v>
          </cell>
          <cell r="B5455" t="str">
            <v>ALVENARIA ESTRUTURAL DE BLOCOS CERÂMICOS 14X19X29, (ESPESSURA DE 14 CM), PARA PAREDES COM ÁREA LÍQUIDA MAIOR OU IGUAL A 6M2, SEM VÃOS, UTILIZANDO PALHETA E ARGAMASSA DE ASSENTAMENTO COM PREPARO MANUAL. AF_12/2014</v>
          </cell>
          <cell r="C5455" t="str">
            <v>M2</v>
          </cell>
          <cell r="D5455">
            <v>62.68</v>
          </cell>
        </row>
        <row r="5456">
          <cell r="A5456" t="str">
            <v>89294</v>
          </cell>
          <cell r="B5456" t="str">
            <v>ALVENARIA ESTRUTURAL DE BLOCOS CERÂMICOS 14X19X29, (ESPESSURA DE 14 CM), PARA PAREDES COM ÁREA LÍQUIDA MENOR QUE 6M², COM VÃOS, UTILIZANDO PALHETA E ARGAMASSA DE ASSENTAMENTO COM PREPARO EM BETONEIRA. AF_12/2014</v>
          </cell>
          <cell r="C5456" t="str">
            <v>M2</v>
          </cell>
          <cell r="D5456">
            <v>75.5</v>
          </cell>
        </row>
        <row r="5457">
          <cell r="A5457" t="str">
            <v>89295</v>
          </cell>
          <cell r="B5457" t="str">
            <v>ALVENARIA ESTRUTURAL DE BLOCOS CERÂMICOS 14X19X29, (ESPESSURA DE 14 CM), PARA PAREDES COM ÁREA LÍQUIDA MENOR QUE 6M², COM VÃOS, UTILIZANDO PALHETA E ARGAMASSA DE ASSENTAMENTO COM PREPARO MANUAL. AF_12/2014</v>
          </cell>
          <cell r="C5457" t="str">
            <v>M2</v>
          </cell>
          <cell r="D5457">
            <v>76.650000000000006</v>
          </cell>
        </row>
        <row r="5458">
          <cell r="A5458" t="str">
            <v>89296</v>
          </cell>
          <cell r="B5458" t="str">
            <v>ALVENARIA ESTRUTURAL DE BLOCOS CERÂMICOS 14X19X29, (ESPESSURA DE 14 CM), PARA PAREDES COM ÁREA LÍQUIDA MAIOR OU IGUAL A 6M², COM VÃOS, UTILIZANDO PALHETA E ARGAMASSA DE ASSENTAMENTO COM PREPARO EM BETONEIRA. AF_12/2014</v>
          </cell>
          <cell r="C5458" t="str">
            <v>M2</v>
          </cell>
          <cell r="D5458">
            <v>65.03</v>
          </cell>
        </row>
        <row r="5459">
          <cell r="A5459" t="str">
            <v>89297</v>
          </cell>
          <cell r="B5459" t="str">
            <v>ALVENARIA ESTRUTURAL DE BLOCOS CERÂMICOS 14X19X29, (ESPESSURA DE 14 CM), PARA PAREDES COM ÁREA LÍQUIDA MAIOR OU IGUAL A 6M², COM VÃOS, UTILIZANDO PALHETA E ARGAMASSA DE ASSENTAMENTO COM PREPARO MANUAL. AF_12/2014</v>
          </cell>
          <cell r="C5459" t="str">
            <v>M2</v>
          </cell>
          <cell r="D5459">
            <v>66.180000000000007</v>
          </cell>
        </row>
        <row r="5460">
          <cell r="A5460" t="str">
            <v>89298</v>
          </cell>
          <cell r="B5460" t="str">
            <v>ALVENARIA ESTRUTURAL DE BLOCOS CERÂMICOS 14X19X39, (ESPESSURA DE 14 CM), PARA PAREDES COM ÁREA LÍQUIDA MENOR QUE 6M², SEM VÃOS, UTILIZANDO COLHER DE PEDREIRO E ARGAMASSA DE ASSENTAMENTO COM PREPARO EM BETONEIRA. AF_12/2014</v>
          </cell>
          <cell r="C5460" t="str">
            <v>M2</v>
          </cell>
          <cell r="D5460">
            <v>71.17</v>
          </cell>
        </row>
        <row r="5461">
          <cell r="A5461" t="str">
            <v>89299</v>
          </cell>
          <cell r="B5461" t="str">
            <v>ALVENARIA ESTRUTURAL DE BLOCOS CERÂMICOS 14X19X39, (ESPESSURA DE 14 CM), PARA PAREDES COM ÁREA LÍQUIDA MENOR QUE 6M², SEM VÃOS, UTILIZANDO COLHER DE PEDREIRO E ARGAMASSA DE ASSENTAMENTO COM PREPARO MANUAL. AF_12/2014</v>
          </cell>
          <cell r="C5461" t="str">
            <v>M2</v>
          </cell>
          <cell r="D5461">
            <v>72.63</v>
          </cell>
        </row>
        <row r="5462">
          <cell r="A5462" t="str">
            <v>89300</v>
          </cell>
          <cell r="B5462" t="str">
            <v>ALVENARIA ESTRUTURAL DE BLOCOS CERÂMICOS 14X19X39, (ESPESSURA DE 14 CM), PARA PAREDES COM ÁREA LÍQUIDA MAIOR OU IGUAL A 6M², SEM VÃOS, UTILIZANDO COLHER DE PEDREIRO E ARGAMASSA DE ASSENTAMENTO COM PREPARO EM BETONEIRA. AF_12/2014</v>
          </cell>
          <cell r="C5462" t="str">
            <v>M2</v>
          </cell>
          <cell r="D5462">
            <v>63.72</v>
          </cell>
        </row>
        <row r="5463">
          <cell r="A5463" t="str">
            <v>89301</v>
          </cell>
          <cell r="B5463" t="str">
            <v>ALVENARIA ESTRUTURAL DE BLOCOS CERÂMICOS 14X19X39, (ESPESSURA DE 14 CM), PARA PAREDES COM ÁREA LÍQUIDA MAIOR OU IGUAL A 6M², SEM VÃOS, UTILIZANDO COLHER DE PEDREIRO E ARGAMASSA DE ASSENTAMENTO COM PREPARO MANUAL. AF_12/2014</v>
          </cell>
          <cell r="C5463" t="str">
            <v>M2</v>
          </cell>
          <cell r="D5463">
            <v>65.180000000000007</v>
          </cell>
        </row>
        <row r="5464">
          <cell r="A5464" t="str">
            <v>89302</v>
          </cell>
          <cell r="B5464" t="str">
            <v>ALVENARIA ESTRUTURAL DE BLOCOS CERÂMICOS 14X19X39, (ESPESSURA DE 14 CM), PARA PAREDES COM ÁREA LÍQUIDA MENOR QUE 6M², COM VÃOS, UTILIZANDO COLHER DE PEDREIRO E ARGAMASSA DE ASSENTAMENTO COM PREPARO EM BETONEIRA. AF_12/2014</v>
          </cell>
          <cell r="C5464" t="str">
            <v>M2</v>
          </cell>
          <cell r="D5464">
            <v>79.239999999999995</v>
          </cell>
        </row>
        <row r="5465">
          <cell r="A5465" t="str">
            <v>89303</v>
          </cell>
          <cell r="B5465" t="str">
            <v>ALVENARIA ESTRUTURAL DE BLOCOS CERÂMICOS 14X19X39, (ESPESSURA DE 14 CM), PARA PAREDES COM ÁREA LÍQUIDA MENOR QUE 6M², COM VÃOS, UTILIZANDO COLHER DE PEDREIRO E ARGAMASSA DE ASSENTAMENTO COM PREPARO MANUAL. AF_12/2014</v>
          </cell>
          <cell r="C5465" t="str">
            <v>M2</v>
          </cell>
          <cell r="D5465">
            <v>80.7</v>
          </cell>
        </row>
        <row r="5466">
          <cell r="A5466" t="str">
            <v>89304</v>
          </cell>
          <cell r="B5466" t="str">
            <v>ALVENARIA ESTRUTURAL DE BLOCOS CERÂMICOS 14X19X39, (ESPESSURA DE 14 CM), PARA PAREDES COM ÁREA LÍQUIDA MAIOR OU IGUAL A 6M², COM VÃOS, UTILIZANDO COLHER DE PEDREIRO E ARGAMASSA DE ASSENTAMENTO COM PREPARO EM BETONEIRA. AF_12/2014</v>
          </cell>
          <cell r="C5466" t="str">
            <v>M2</v>
          </cell>
          <cell r="D5466">
            <v>68.36</v>
          </cell>
        </row>
        <row r="5467">
          <cell r="A5467" t="str">
            <v>89305</v>
          </cell>
          <cell r="B5467" t="str">
            <v>ALVENARIA ESTRUTURAL DE BLOCOS CERÂMICOS 14X19X39, (ESPESSURA DE 14 CM), PARA PAREDES COM ÁREA LÍQUIDA MAIOR OU IGUAL A 6M², COM VÃOS, UTILIZANDO COLHER DE PEDREIRO E ARGAMASSA DE ASSENTAMENTO COM PREPARO MANUAL. AF_12/2014</v>
          </cell>
          <cell r="C5467" t="str">
            <v>M2</v>
          </cell>
          <cell r="D5467">
            <v>69.819999999999993</v>
          </cell>
        </row>
        <row r="5468">
          <cell r="A5468" t="str">
            <v>89306</v>
          </cell>
          <cell r="B5468" t="str">
            <v>ALVENARIA ESTRUTURAL DE BLOCOS CERÂMICOS 14X19X29, (ESPESSURA DE 14 CM), PARA PAREDES COM ÁREA LÍQUIDA MENOR QUE 6M², SEM VÃOS, UTILIZANDO COLHER DE PEDREIRO E ARGAMASSA DE ASSENTAMENTO COM PREPARO EM BETONEIRA. AF_12/2014</v>
          </cell>
          <cell r="C5468" t="str">
            <v>M2</v>
          </cell>
          <cell r="D5468">
            <v>81.42</v>
          </cell>
        </row>
        <row r="5469">
          <cell r="A5469" t="str">
            <v>89307</v>
          </cell>
          <cell r="B5469" t="str">
            <v>ALVENARIA ESTRUTURAL DE BLOCOS CERÂMICOS 14X19X29, (ESPESSURA DE 14 CM), PARA PAREDES COM ÁREA LÍQUIDA MENOR QUE 6M², SEM VÃOS, UTILIZANDO COLHER DE PEDREIRO E ARGAMASSA DE ASSENTAMENTO COM PREPARO MANUAL. AF_12/2014</v>
          </cell>
          <cell r="C5469" t="str">
            <v>M2</v>
          </cell>
          <cell r="D5469">
            <v>83.04</v>
          </cell>
        </row>
        <row r="5470">
          <cell r="A5470" t="str">
            <v>89308</v>
          </cell>
          <cell r="B5470" t="str">
            <v>ALVENARIA ESTRUTURAL DE BLOCOS CERÂMICOS 14X19X29, (ESPESSURA DE 14 CM), PARA PAREDES COM ÁREA LÍQUIDA MAIOR OU IGUAL A 6M², SEM VÃOS, UTILIZANDO COLHER DE PEDREIRO E ARGAMASSA DE ASSENTAMENTO COM PREPARO EM BETONEIRA. AF_12/2014</v>
          </cell>
          <cell r="C5470" t="str">
            <v>M2</v>
          </cell>
          <cell r="D5470">
            <v>73.959999999999994</v>
          </cell>
        </row>
        <row r="5471">
          <cell r="A5471" t="str">
            <v>89309</v>
          </cell>
          <cell r="B5471" t="str">
            <v>ALVENARIA ESTRUTURAL DE BLOCOS CERÂMICOS 14X19X29, (ESPESSURA DE 14 CM), PARA PAREDES COM ÁREA LÍQUIDA MAIOR OU IGUAL A 6M², SEM VÃOS, UTILIZANDO COLHER DE PEDREIRO E ARGAMASSA DE ASSENTAMENTO COM PREPARO MANUAL. AF_12/2014</v>
          </cell>
          <cell r="C5471" t="str">
            <v>M2</v>
          </cell>
          <cell r="D5471">
            <v>75.58</v>
          </cell>
        </row>
        <row r="5472">
          <cell r="A5472" t="str">
            <v>89310</v>
          </cell>
          <cell r="B5472" t="str">
            <v>ALVENARIA ESTRUTURAL DE BLOCOS CERÂMICOS 14X19X29, (ESPESSURA DE 14 CM), PARA PAREDES COM ÁREA LÍQUIDA MENOR QUE 6M², COM VÃOS, UTILIZANDO COLHER DE PEDREIRO E ARGAMASSA DE ASSENTAMENTO COM PREPARO EM BETONEIRA. AF_12/2014</v>
          </cell>
          <cell r="C5472" t="str">
            <v>M2</v>
          </cell>
          <cell r="D5472">
            <v>95.68</v>
          </cell>
        </row>
        <row r="5473">
          <cell r="A5473" t="str">
            <v>89311</v>
          </cell>
          <cell r="B5473" t="str">
            <v>ALVENARIA ESTRUTURAL DE BLOCOS CERÂMICOS 14X19X29, (ESPESSURA DE 14 CM), PARA PAREDES COM ÁREA LÍQUIDA MENOR QUE 6M², COM VÃOS, UTILIZANDO COLHER DE PEDREIRO E ARGAMASSA DE ASSENTAMENTO COM PREPARO MANUAL. AF_12/2014</v>
          </cell>
          <cell r="C5473" t="str">
            <v>M2</v>
          </cell>
          <cell r="D5473">
            <v>97.3</v>
          </cell>
        </row>
        <row r="5474">
          <cell r="A5474" t="str">
            <v>89312</v>
          </cell>
          <cell r="B5474" t="str">
            <v>ALVENARIA ESTRUTURAL DE BLOCOS CERÂMICOS 14X19X29, (ESPESSURA DE 14 CM), PARA PAREDES COM ÁREA LÍQUIDA MAIOR OU IGUAL A 6M², COM VÃOS, UTILIZANDO COLHER DE PEDREIRO E ARGAMASSA DE ASSENTAMENTO COM PREPARO EM BETONEIRA. AF_12/2014</v>
          </cell>
          <cell r="C5474" t="str">
            <v>M2</v>
          </cell>
          <cell r="D5474">
            <v>79.7</v>
          </cell>
        </row>
        <row r="5475">
          <cell r="A5475" t="str">
            <v>89313</v>
          </cell>
          <cell r="B5475" t="str">
            <v>ALVENARIA ESTRUTURAL DE BLOCOS CERÂMICOS 14X19X29, (ESPESSURA DE 14 CM), PARA PAREDES COM ÁREA LÍQUIDA MAIOR OU IGUAL A 6M², COM VÃOS, UTILIZANDO COLHER DE PEDREIRO E ARGAMASSA DE ASSENTAMENTO COM PREPARO MANUAL. AF_12/2014</v>
          </cell>
          <cell r="C5475" t="str">
            <v>M2</v>
          </cell>
          <cell r="D5475">
            <v>81.319999999999993</v>
          </cell>
        </row>
        <row r="5476">
          <cell r="A5476" t="str">
            <v>101157</v>
          </cell>
          <cell r="B5476" t="str">
            <v>ALVENARIA DE VEDAÇÃO DE BLOCOS DE GESSO DE 7X50X66CM (ESPESSURA 7CM). AF_05/2020</v>
          </cell>
          <cell r="C5476" t="str">
            <v>M2</v>
          </cell>
          <cell r="D5476">
            <v>55.82</v>
          </cell>
        </row>
        <row r="5477">
          <cell r="A5477" t="str">
            <v>101158</v>
          </cell>
          <cell r="B5477" t="str">
            <v>ALVENARIA DE VEDAÇÃO DE BLOCOS DE GESSO DE 10X50X66CM (ESPESSURA 10CM). AF_05/2020</v>
          </cell>
          <cell r="C5477" t="str">
            <v>M2</v>
          </cell>
          <cell r="D5477">
            <v>72.92</v>
          </cell>
        </row>
        <row r="5478">
          <cell r="A5478" t="str">
            <v>101162</v>
          </cell>
          <cell r="B5478" t="str">
            <v>ALVENARIA DE VEDAÇÃO COM ELEMENTO VAZADO DE CERÂMICA (COBOGÓ) DE 7X20X20CM E ARGAMASSA DE ASSENTAMENTO COM PREPARO EM BETONEIRA. AF_05/2020</v>
          </cell>
          <cell r="C5478" t="str">
            <v>M2</v>
          </cell>
          <cell r="D5478">
            <v>121.86</v>
          </cell>
        </row>
        <row r="5479">
          <cell r="A5479" t="str">
            <v>87447</v>
          </cell>
          <cell r="B5479" t="str">
            <v>ALVENARIA DE VEDAÇÃO DE BLOCOS VAZADOS DE CONCRETO DE 9X19X39CM (ESPESSURA 9CM) DE PAREDES COM ÁREA LÍQUIDA MENOR QUE 6M² SEM VÃOS E ARGAMASSA DE ASSENTAMENTO COM PREPARO EM BETONEIRA. AF_06/2014</v>
          </cell>
          <cell r="C5479" t="str">
            <v>M2</v>
          </cell>
          <cell r="D5479">
            <v>59.58</v>
          </cell>
        </row>
        <row r="5480">
          <cell r="A5480" t="str">
            <v>87448</v>
          </cell>
          <cell r="B5480" t="str">
            <v>ALVENARIA DE VEDAÇÃO DE BLOCOS VAZADOS DE CONCRETO DE 9X19X39CM (ESPESSURA 9CM) DE PAREDES COM ÁREA LÍQUIDA MENOR QUE 6M² SEM VÃOS E ARGAMASSA DE ASSENTAMENTO COM PREPARO MANUAL. AF_06/2014</v>
          </cell>
          <cell r="C5480" t="str">
            <v>M2</v>
          </cell>
          <cell r="D5480">
            <v>59.96</v>
          </cell>
        </row>
        <row r="5481">
          <cell r="A5481" t="str">
            <v>87449</v>
          </cell>
          <cell r="B5481" t="str">
            <v>ALVENARIA DE VEDAÇÃO DE BLOCOS VAZADOS DE CONCRETO DE 14X19X39CM (ESPESSURA 14CM) DE PAREDES COM ÁREA LÍQUIDA MENOR QUE 6M² SEM VÃOS E ARGAMASSA DE ASSENTAMENTO COM PREPARO EM BETONEIRA. AF_06/2014</v>
          </cell>
          <cell r="C5481" t="str">
            <v>M2</v>
          </cell>
          <cell r="D5481">
            <v>78.77</v>
          </cell>
        </row>
        <row r="5482">
          <cell r="A5482" t="str">
            <v>87450</v>
          </cell>
          <cell r="B5482" t="str">
            <v>ALVENARIA DE VEDAÇÃO DE BLOCOS VAZADOS DE CONCRETO DE 14X19X39CM (ESPESSURA 14CM) DE PAREDES COM ÁREA LÍQUIDA MENOR QUE 6M² SEM VÃOS E ARGAMASSA DE ASSENTAMENTO COM PREPARO MANUAL. AF_06/2014</v>
          </cell>
          <cell r="C5482" t="str">
            <v>M2</v>
          </cell>
          <cell r="D5482">
            <v>79.709999999999994</v>
          </cell>
        </row>
        <row r="5483">
          <cell r="A5483" t="str">
            <v>87451</v>
          </cell>
          <cell r="B5483" t="str">
            <v>ALVENARIA DE VEDAÇÃO DE BLOCOS VAZADOS DE CONCRETO DE 19X19X39CM (ESPESSURA 19CM) DE PAREDES COM ÁREA LÍQUIDA MENOR QUE 6M² SEM VÃOS E ARGAMASSA DE ASSENTAMENTO COM PREPARO EM BETONEIRA. AF_06/2014</v>
          </cell>
          <cell r="C5483" t="str">
            <v>M2</v>
          </cell>
          <cell r="D5483">
            <v>96.9</v>
          </cell>
        </row>
        <row r="5484">
          <cell r="A5484" t="str">
            <v>87452</v>
          </cell>
          <cell r="B5484" t="str">
            <v>ALVENARIA DE VEDAÇÃO DE BLOCOS VAZADOS DE CONCRETO DE 19X19X39CM (ESPESSURA 19CM) DE PAREDES COM ÁREA LÍQUIDA MENOR QUE 6M² SEM VÃOS E ARGAMASSA DE ASSENTAMENTO COM PREPARO MANUAL. AF_06/2014</v>
          </cell>
          <cell r="C5484" t="str">
            <v>M2</v>
          </cell>
          <cell r="D5484">
            <v>97.37</v>
          </cell>
        </row>
        <row r="5485">
          <cell r="A5485" t="str">
            <v>87453</v>
          </cell>
          <cell r="B5485" t="str">
            <v>ALVENARIA DE VEDAÇÃO DE BLOCOS VAZADOS DE CONCRETO DE 9X19X39CM (ESPESSURA 9CM) DE PAREDES COM ÁREA LÍQUIDA MAIOR OU IGUAL A 6M² SEM VÃOS E ARGAMASSA DE ASSENTAMENTO COM PREPARO EM BETONEIRA. AF_06/2014</v>
          </cell>
          <cell r="C5485" t="str">
            <v>M2</v>
          </cell>
          <cell r="D5485">
            <v>54.24</v>
          </cell>
        </row>
        <row r="5486">
          <cell r="A5486" t="str">
            <v>87454</v>
          </cell>
          <cell r="B5486" t="str">
            <v>ALVENARIA DE VEDAÇÃO DE BLOCOS VAZADOS DE CONCRETO DE 9X19X39CM (ESPESSURA 9CM) DE PAREDES COM ÁREA LÍQUIDA MAIOR OU IGUAL A 6M² SEM VÃOS E ARGAMASSA DE ASSENTAMENTO COM PREPARO MANUAL. AF_06/2014</v>
          </cell>
          <cell r="C5486" t="str">
            <v>M2</v>
          </cell>
          <cell r="D5486">
            <v>55.04</v>
          </cell>
        </row>
        <row r="5487">
          <cell r="A5487" t="str">
            <v>87455</v>
          </cell>
          <cell r="B5487" t="str">
            <v>ALVENARIA DE VEDAÇÃO DE BLOCOS VAZADOS DE CONCRETO DE 14X19X39CM (ESPESSURA 14CM) DE PAREDES COM ÁREA LÍQUIDA MAIOR OU IGUAL A 6M² SEM VÃOS E ARGAMASSA DE ASSENTAMENTO COM PREPARO EM BETONEIRA. AF_06/2014</v>
          </cell>
          <cell r="C5487" t="str">
            <v>M2</v>
          </cell>
          <cell r="D5487">
            <v>71.88</v>
          </cell>
        </row>
        <row r="5488">
          <cell r="A5488" t="str">
            <v>87456</v>
          </cell>
          <cell r="B5488" t="str">
            <v>ALVENARIA DE VEDAÇÃO DE BLOCOS VAZADOS DE CONCRETO DE 14X19X39CM (ESPESSURA 14CM) DE PAREDES COM ÁREA LÍQUIDA MAIOR OU IGUAL A 6M² SEM VÃOS E ARGAMASSA DE ASSENTAMENTO COM PREPARO MANUAL. AF_06/2014</v>
          </cell>
          <cell r="C5488" t="str">
            <v>M2</v>
          </cell>
          <cell r="D5488">
            <v>73.2</v>
          </cell>
        </row>
        <row r="5489">
          <cell r="A5489" t="str">
            <v>87457</v>
          </cell>
          <cell r="B5489" t="str">
            <v>ALVENARIA DE VEDAÇÃO DE BLOCOS VAZADOS DE CONCRETO DE 19X19X39CM (ESPESSURA 19CM) DE PAREDES COM ÁREA LÍQUIDA MAIOR OU IGUAL A 6M² SEM VÃOS E ARGAMASSA DE ASSENTAMENTO COM PREPARO EM BETONEIRA. AF_06/2014</v>
          </cell>
          <cell r="C5489" t="str">
            <v>M2</v>
          </cell>
          <cell r="D5489">
            <v>87.47</v>
          </cell>
        </row>
        <row r="5490">
          <cell r="A5490" t="str">
            <v>87458</v>
          </cell>
          <cell r="B5490" t="str">
            <v>ALVENARIA DE VEDAÇÃO DE BLOCOS VAZADOS DE CONCRETO DE 19X19X39CM (ESPESSURA 19CM) DE PAREDES COM ÁREA LÍQUIDA MAIOR OU IGUAL A 6M² SEM VÃOS E ARGAMASSA DE ASSENTAMENTO COM PREPARO MANUAL. AF_06/2014</v>
          </cell>
          <cell r="C5490" t="str">
            <v>M2</v>
          </cell>
          <cell r="D5490">
            <v>88.64</v>
          </cell>
        </row>
        <row r="5491">
          <cell r="A5491" t="str">
            <v>87459</v>
          </cell>
          <cell r="B5491" t="str">
            <v>ALVENARIA DE VEDAÇÃO DE BLOCOS VAZADOS DE CONCRETO DE 9X19X39CM (ESPESSURA 9CM) DE PAREDES COM ÁREA LÍQUIDA MENOR QUE 6M² COM VÃOS E ARGAMASSA DE ASSENTAMENTO COM PREPARO EM BETONEIRA. AF_06/2014</v>
          </cell>
          <cell r="C5491" t="str">
            <v>M2</v>
          </cell>
          <cell r="D5491">
            <v>66.650000000000006</v>
          </cell>
        </row>
        <row r="5492">
          <cell r="A5492" t="str">
            <v>87460</v>
          </cell>
          <cell r="B5492" t="str">
            <v>ALVENARIA DE VEDAÇÃO DE BLOCOS VAZADOS DE CONCRETO DE 9X19X39CM (ESPESSURA 9CM) DE PAREDES COM ÁREA LÍQUIDA MENOR QUE 6M² COM VÃOS E ARGAMASSA DE ASSENTAMENTO COM PREPARO MANUAL. AF_06/2014</v>
          </cell>
          <cell r="C5492" t="str">
            <v>M2</v>
          </cell>
          <cell r="D5492">
            <v>67.45</v>
          </cell>
        </row>
        <row r="5493">
          <cell r="A5493" t="str">
            <v>87461</v>
          </cell>
          <cell r="B5493" t="str">
            <v>ALVENARIA DE VEDAÇÃO DE BLOCOS VAZADOS DE CONCRETO DE 14X19X39CM (ESPESSURA 14CM) DE PAREDES COM ÁREA LÍQUIDA MENOR QUE 6M² COM VÃOS E ARGAMASSA DE ASSENTAMENTO COM PREPARO EM BETONEIRA. AF_06/2014</v>
          </cell>
          <cell r="C5493" t="str">
            <v>M2</v>
          </cell>
          <cell r="D5493">
            <v>85.88</v>
          </cell>
        </row>
        <row r="5494">
          <cell r="A5494" t="str">
            <v>87462</v>
          </cell>
          <cell r="B5494" t="str">
            <v>ALVENARIA DE VEDAÇÃO DE BLOCOS VAZADOS DE CONCRETO DE 14X19X39CM (ESPESSURA 14CM) DE PAREDES COM ÁREA LÍQUIDA MENOR QUE 6M² COM VÃOS E ARGAMASSA DE ASSENTAMENTO COM PREPARO MANUAL. AF_06/2014</v>
          </cell>
          <cell r="C5494" t="str">
            <v>M2</v>
          </cell>
          <cell r="D5494">
            <v>86.82</v>
          </cell>
        </row>
        <row r="5495">
          <cell r="A5495" t="str">
            <v>87463</v>
          </cell>
          <cell r="B5495" t="str">
            <v>ALVENARIA DE VEDAÇÃO DE BLOCOS VAZADOS DE CONCRETO DE 19X19X39CM (ESPESSURA 19CM) DE PAREDES COM ÁREA LÍQUIDA MENOR QUE 6M² COM VÃOS E ARGAMASSA DE ASSENTAMENTO COM PREPARO EM BETONEIRA. AF_06/2014</v>
          </cell>
          <cell r="C5495" t="str">
            <v>M2</v>
          </cell>
          <cell r="D5495">
            <v>103.37</v>
          </cell>
        </row>
        <row r="5496">
          <cell r="A5496" t="str">
            <v>87464</v>
          </cell>
          <cell r="B5496" t="str">
            <v>ALVENARIA DE VEDAÇÃO DE BLOCOS VAZADOS DE CONCRETO DE 19X19X39CM (ESPESSURA 19CM) DE PAREDES COM ÁREA LÍQUIDA MENOR QUE 6M² COM VÃOS E ARGAMASSA DE ASSENTAMENTO COM PREPARO MANUAL. AF_06/2014</v>
          </cell>
          <cell r="C5496" t="str">
            <v>M2</v>
          </cell>
          <cell r="D5496">
            <v>104.54</v>
          </cell>
        </row>
        <row r="5497">
          <cell r="A5497" t="str">
            <v>87465</v>
          </cell>
          <cell r="B5497" t="str">
            <v>ALVENARIA DE VEDAÇÃO DE BLOCOS VAZADOS DE CONCRETO DE 9X19X39CM (ESPESSURA 9CM) DE PAREDES COM ÁREA LÍQUIDA MAIOR OU IGUAL A 6M² COM VÃOS E ARGAMASSA DE ASSENTAMENTO COM PREPARO EM BETONEIRA. AF_06/2014</v>
          </cell>
          <cell r="C5497" t="str">
            <v>M2</v>
          </cell>
          <cell r="D5497">
            <v>58.22</v>
          </cell>
        </row>
        <row r="5498">
          <cell r="A5498" t="str">
            <v>87466</v>
          </cell>
          <cell r="B5498" t="str">
            <v>ALVENARIA DE VEDAÇÃO DE BLOCOS VAZADOS DE CONCRETO DE 9X19X39CM (ESPESSURA 9CM) DE PAREDES COM ÁREA LÍQUIDA MAIOR OU IGUAL A 6M² COM VÃOS E ARGAMASSA DE ASSENTAMENTO COM PREPARO MANUAL. AF_06/2014</v>
          </cell>
          <cell r="C5498" t="str">
            <v>M2</v>
          </cell>
          <cell r="D5498">
            <v>59.02</v>
          </cell>
        </row>
        <row r="5499">
          <cell r="A5499" t="str">
            <v>87467</v>
          </cell>
          <cell r="B5499" t="str">
            <v>ALVENARIA DE VEDAÇÃO DE BLOCOS VAZADOS DE CONCRETO DE 14X19X39CM (ESPESSURA 14CM) DE PAREDES COM ÁREA LÍQUIDA MAIOR OU IGUAL A 6M² COM VÃOS E ARGAMASSA DE ASSENTAMENTO COM PREPARO EM BETONEIRA. AF_06/2014</v>
          </cell>
          <cell r="C5499" t="str">
            <v>M2</v>
          </cell>
          <cell r="D5499">
            <v>76.290000000000006</v>
          </cell>
        </row>
        <row r="5500">
          <cell r="A5500" t="str">
            <v>87468</v>
          </cell>
          <cell r="B5500" t="str">
            <v>ALVENARIA DE VEDAÇÃO DE BLOCOS VAZADOS DE CONCRETO DE 14X19X39CM (ESPESSURA 14CM) DE PAREDES COM ÁREA LÍQUIDA MAIOR OU IGUAL A 6M² COM VÃOS E ARGAMASSA DE ASSENTAMENTO COM PREPARO MANUAL. AF_06/2014</v>
          </cell>
          <cell r="C5500" t="str">
            <v>M2</v>
          </cell>
          <cell r="D5500">
            <v>77.23</v>
          </cell>
        </row>
        <row r="5501">
          <cell r="A5501" t="str">
            <v>87469</v>
          </cell>
          <cell r="B5501" t="str">
            <v>ALVENARIA DE VEDAÇÃO DE BLOCOS VAZADOS DE CONCRETO DE 19X19X39CM (ESPESSURA 19CM) DE PAREDES COM ÁREA LÍQUIDA MAIOR OU IGUAL A 6M² COM VÃOS E ARGAMASSA DE ASSENTAMENTO COM PREPARO EM BETONEIRA. AF_06/2014</v>
          </cell>
          <cell r="C5501" t="str">
            <v>M2</v>
          </cell>
          <cell r="D5501">
            <v>92.03</v>
          </cell>
        </row>
        <row r="5502">
          <cell r="A5502" t="str">
            <v>87470</v>
          </cell>
          <cell r="B5502" t="str">
            <v>ALVENARIA DE VEDAÇÃO DE BLOCOS VAZADOS DE CONCRETO DE 19X19X39CM (ESPESSURA 19CM) DE PAREDES COM ÁREA LÍQUIDA MAIOR OU IGUAL A 6M² COM VÃOS E ARGAMASSA DE ASSENTAMENTO COM PREPARO MANUAL. AF_06/2014</v>
          </cell>
          <cell r="C5502" t="str">
            <v>M2</v>
          </cell>
          <cell r="D5502">
            <v>93.2</v>
          </cell>
        </row>
        <row r="5503">
          <cell r="A5503" t="str">
            <v>89044</v>
          </cell>
          <cell r="B5503" t="str">
            <v>(COMPOSIÇÃO REPRESENTATIVA) DO SERVIÇO DE ALVENARIA DE VEDAÇÃO DE BLOCOS VAZADOS DE CONCRETO DE 9X19X39CM (ESPESSURA 9CM), PARA EDIFICAÇÃO HABITACIONAL MULTIFAMILIAR (PRÉDIO). AF_11/2014</v>
          </cell>
          <cell r="C5503" t="str">
            <v>M2</v>
          </cell>
          <cell r="D5503">
            <v>58.68</v>
          </cell>
        </row>
        <row r="5504">
          <cell r="A5504" t="str">
            <v>89169</v>
          </cell>
          <cell r="B5504" t="str">
            <v>(COMPOSIÇÃO REPRESENTATIVA) DO SERVIÇO DE ALVENARIA DE VEDAÇÃO DE BLOCOS VAZADOS DE CONCRETO DE 9X19X39CM (ESPESSURA 9CM), PARA EDIFICAÇÃO HABITACIONAL UNIFAMILIAR (CASA) E EDIFICAÇÃO PÚBLICA PADRÃO. AF_11/2014</v>
          </cell>
          <cell r="C5504" t="str">
            <v>M2</v>
          </cell>
          <cell r="D5504">
            <v>59.79</v>
          </cell>
        </row>
        <row r="5505">
          <cell r="A5505" t="str">
            <v>89978</v>
          </cell>
          <cell r="B5505" t="str">
            <v>(COMPOSIÇÃO REPRESENTATIVA) DO SERVIÇO DE ALVENARIA DE VEDAÇÃO DE BLOCOS VAZADOS DE CONCRETO DE 14X19X39CM (ESPESSURA 14CM), PARA EDIFICAÇÃO HABITACIONAL UNIFAMILIAR (CASA) E EDIFICAÇÃO PÚBLICA PADRÃO. AF_12/2014</v>
          </cell>
          <cell r="C5505" t="str">
            <v>M2</v>
          </cell>
          <cell r="D5505">
            <v>78.319999999999993</v>
          </cell>
        </row>
        <row r="5506">
          <cell r="A5506" t="str">
            <v>89453</v>
          </cell>
          <cell r="B5506" t="str">
            <v>ALVENARIA DE BLOCOS DE CONCRETO ESTRUTURAL 14X19X39 CM, (ESPESSURA 14 CM), FBK = 4,5 MPA, PARA PAREDES COM ÁREA LÍQUIDA MENOR QUE 6M², SEM VÃOS, UTILIZANDO PALHETA. AF_12/2014</v>
          </cell>
          <cell r="C5506" t="str">
            <v>M2</v>
          </cell>
          <cell r="D5506">
            <v>68.150000000000006</v>
          </cell>
        </row>
        <row r="5507">
          <cell r="A5507" t="str">
            <v>89454</v>
          </cell>
          <cell r="B5507" t="str">
            <v>ALVENARIA DE BLOCOS DE CONCRETO ESTRUTURAL 14X19X39 CM, (ESPESSURA 14 CM), FBK = 4,5 MPA, PARA PAREDES COM ÁREA LÍQUIDA MAIOR OU IGUAL A 6M², SEM VÃOS, UTILIZANDO PALHETA. AF_12/2014</v>
          </cell>
          <cell r="C5507" t="str">
            <v>M2</v>
          </cell>
          <cell r="D5507">
            <v>63.19</v>
          </cell>
        </row>
        <row r="5508">
          <cell r="A5508" t="str">
            <v>89455</v>
          </cell>
          <cell r="B5508" t="str">
            <v>ALVENARIA DE BLOCOS DE CONCRETO ESTRUTURAL 14X19X39 CM, (ESPESSURA 14 CM) FBK = 14,0 MPA, PARA PAREDES COM ÁREA LÍQUIDA MENOR QUE 6M², SEM VÃOS, UTILIZANDO PALHETA. AF_12/2014</v>
          </cell>
          <cell r="C5508" t="str">
            <v>M2</v>
          </cell>
          <cell r="D5508">
            <v>83.33</v>
          </cell>
        </row>
        <row r="5509">
          <cell r="A5509" t="str">
            <v>89456</v>
          </cell>
          <cell r="B5509" t="str">
            <v>ALVENARIA DE BLOCOS DE CONCRETO ESTRUTURAL 14X19X39 CM, (ESPESSURA 14 CM) FBK = 14,0 MPA, PARA PAREDES COM ÁREA LÍQUIDA MAIOR OU IGUAL A 6M², SEM VÃOS, UTILIZANDO PALHETA. AF_12/2014</v>
          </cell>
          <cell r="C5509" t="str">
            <v>M2</v>
          </cell>
          <cell r="D5509">
            <v>77.89</v>
          </cell>
        </row>
        <row r="5510">
          <cell r="A5510" t="str">
            <v>89457</v>
          </cell>
          <cell r="B5510" t="str">
            <v>ALVENARIA DE BLOCOS DE CONCRETO ESTRUTURAL 14X19X39 CM, (ESPESSURA 14 CM), FBK = 4,5 MPA, PARA PAREDES COM ÁREA LÍQUIDA MENOR QUE 6M², COM VÃOS, UTILIZANDO PALHETA. AF_12/2014</v>
          </cell>
          <cell r="C5510" t="str">
            <v>M2</v>
          </cell>
          <cell r="D5510">
            <v>72.34</v>
          </cell>
        </row>
        <row r="5511">
          <cell r="A5511" t="str">
            <v>89458</v>
          </cell>
          <cell r="B5511" t="str">
            <v>ALVENARIA DE BLOCOS DE CONCRETO ESTRUTURAL 14X19X39 CM, (ESPESSURA 14 CM), FBK = 4,5 MPA, PARA PAREDES COM ÁREA LÍQUIDA MAIOR OU IGUAL A 6M², COM VÃOS, UTILIZANDO PALHETA. AF_12/2014</v>
          </cell>
          <cell r="C5511" t="str">
            <v>M2</v>
          </cell>
          <cell r="D5511">
            <v>65.63</v>
          </cell>
        </row>
        <row r="5512">
          <cell r="A5512" t="str">
            <v>89459</v>
          </cell>
          <cell r="B5512" t="str">
            <v>ALVENARIA DE BLOCOS DE CONCRETO ESTRUTURAL 14X19X39 CM, (ESPESSURA 14 CM) FBK = 14,0 MPA, PARA PAREDES COM ÁREA LÍQUIDA MENOR QUE 6M², COM VÃOS, UTILIZANDO PALHETA. AF_12/2014</v>
          </cell>
          <cell r="C5512" t="str">
            <v>M2</v>
          </cell>
          <cell r="D5512">
            <v>87.93</v>
          </cell>
        </row>
        <row r="5513">
          <cell r="A5513" t="str">
            <v>89460</v>
          </cell>
          <cell r="B5513" t="str">
            <v>ALVENARIA DE BLOCOS DE CONCRETO ESTRUTURAL 14X19X39 CM, (ESPESSURA 14 CM) FBK = 14,0 MPA, PARA PAREDES COM ÁREA LÍQUIDA MAIOR OU IGUAL A 6M², COM VÃOS, UTILIZANDO PALHETA. AF_12/2014</v>
          </cell>
          <cell r="C5513" t="str">
            <v>M2</v>
          </cell>
          <cell r="D5513">
            <v>80.709999999999994</v>
          </cell>
        </row>
        <row r="5514">
          <cell r="A5514" t="str">
            <v>89462</v>
          </cell>
          <cell r="B5514" t="str">
            <v>ALVENARIA DE BLOCOS DE CONCRETO ESTRUTURAL 14X19X29 CM, (ESPESSURA 14 CM), FBK = 4,5 MPA, PARA PAREDES COM ÁREA LÍQUIDA MENOR QUE 6M², SEM VÃOS, UTILIZANDO PALHETA. AF_12/2014</v>
          </cell>
          <cell r="C5514" t="str">
            <v>M2</v>
          </cell>
          <cell r="D5514">
            <v>81.05</v>
          </cell>
        </row>
        <row r="5515">
          <cell r="A5515" t="str">
            <v>89463</v>
          </cell>
          <cell r="B5515" t="str">
            <v>ALVENARIA DE BLOCOS DE CONCRETO ESTRUTURAL 14X19X29 CM, (ESPESSURA 14 CM), FBK = 4,5 MPA, PARA PAREDES COM ÁREA LÍQUIDA MAIOR OU IGUAL A 6M², SEM VÃOS, UTILIZANDO PALHETA. AF_12/2014</v>
          </cell>
          <cell r="C5515" t="str">
            <v>M2</v>
          </cell>
          <cell r="D5515">
            <v>76.06</v>
          </cell>
        </row>
        <row r="5516">
          <cell r="A5516" t="str">
            <v>89464</v>
          </cell>
          <cell r="B5516" t="str">
            <v>ALVENARIA DE BLOCOS DE CONCRETO ESTRUTURAL 14X19X29 CM, (ESPESSURA 14 CM) FBK = 14,0 MPA, PARA PAREDES COM ÁREA LÍQUIDA MENOR QUE 6M², SEM VÃOS, UTILIZANDO PALHETA. AF_12/2014</v>
          </cell>
          <cell r="C5516" t="str">
            <v>M2</v>
          </cell>
          <cell r="D5516">
            <v>96.34</v>
          </cell>
        </row>
        <row r="5517">
          <cell r="A5517" t="str">
            <v>89465</v>
          </cell>
          <cell r="B5517" t="str">
            <v>ALVENARIA DE BLOCOS DE CONCRETO ESTRUTURAL 14X19X29 CM, (ESPESSURA 14 CM) FBK = 14,0 MPA, PARA PAREDES COM ÁREA LÍQUIDA MAIOR OU IGUAL A 6M², SEM VÃOS, UTILIZANDO PALHETA. AF_12/2014</v>
          </cell>
          <cell r="C5517" t="str">
            <v>M2</v>
          </cell>
          <cell r="D5517">
            <v>91</v>
          </cell>
        </row>
        <row r="5518">
          <cell r="A5518" t="str">
            <v>89466</v>
          </cell>
          <cell r="B5518" t="str">
            <v>ALVENARIA DE BLOCOS DE CONCRETO ESTRUTURAL 14X19X29 CM, (ESPESSURA 14 CM), FBK = 4,5 MPA, PARA PAREDES COM ÁREA LÍQUIDA MENOR QUE 6M², COM VÃOS, UTILIZANDO PALHETA. AF_12/2014</v>
          </cell>
          <cell r="C5518" t="str">
            <v>M2</v>
          </cell>
          <cell r="D5518">
            <v>86.79</v>
          </cell>
        </row>
        <row r="5519">
          <cell r="A5519" t="str">
            <v>89467</v>
          </cell>
          <cell r="B5519" t="str">
            <v>ALVENARIA DE BLOCOS DE CONCRETO ESTRUTURAL 14X19X29 CM, (ESPESSURA 14 CM), FBK = 4,5 MPA, PARA PAREDES COM ÁREA LÍQUIDA MAIOR OU IGUAL A 6M², COM VÃOS, UTILIZANDO PALHETA. AF_12/2014</v>
          </cell>
          <cell r="C5519" t="str">
            <v>M2</v>
          </cell>
          <cell r="D5519">
            <v>79.42</v>
          </cell>
        </row>
        <row r="5520">
          <cell r="A5520" t="str">
            <v>89468</v>
          </cell>
          <cell r="B5520" t="str">
            <v>ALVENARIA DE BLOCOS DE CONCRETO ESTRUTURAL 14X19X29 CM, (ESPESSURA 14 CM) FBK = 14,0 MPA, PARA PAREDES COM ÁREA LÍQUIDA MENOR QUE 6M², COM VÃOS, UTILIZANDO PALHETA. AF_12/2014</v>
          </cell>
          <cell r="C5520" t="str">
            <v>M2</v>
          </cell>
          <cell r="D5520">
            <v>102.43</v>
          </cell>
        </row>
        <row r="5521">
          <cell r="A5521" t="str">
            <v>89469</v>
          </cell>
          <cell r="B5521" t="str">
            <v>ALVENARIA DE BLOCOS DE CONCRETO ESTRUTURAL 14X19X29 CM, (ESPESSURA 14 CM) FBK = 14,0 MPA, PARA PAREDES COM ÁREA LÍQUIDA MAIOR OU IGUAL A 6M², COM VÃOS, UTILIZANDO PALHETA. AF_12/2014</v>
          </cell>
          <cell r="C5521" t="str">
            <v>M2</v>
          </cell>
          <cell r="D5521">
            <v>94.7</v>
          </cell>
        </row>
        <row r="5522">
          <cell r="A5522" t="str">
            <v>89470</v>
          </cell>
          <cell r="B5522" t="str">
            <v>ALVENARIA DE BLOCOS DE CONCRETO ESTRUTURAL 14X19X39 CM, (ESPESSURA 14 CM), FBK = 4,5 MPA, PARA PAREDES COM ÁREA LÍQUIDA MENOR QUE 6M², SEM VÃOS, UTILIZANDO COLHER DE PEDREIRO. AF_12/2014</v>
          </cell>
          <cell r="C5522" t="str">
            <v>M2</v>
          </cell>
          <cell r="D5522">
            <v>82.13</v>
          </cell>
        </row>
        <row r="5523">
          <cell r="A5523" t="str">
            <v>89471</v>
          </cell>
          <cell r="B5523" t="str">
            <v>ALVENARIA DE BLOCOS DE CONCRETO ESTRUTURAL 14X19X39 CM, (ESPESSURA 14 CM), FBK = 4,5 MPA, PARA PAREDES COM ÁREA LÍQUIDA MAIOR OU IGUAL A 6M², SEM VÃOS, UTILIZANDO COLHER DE PEDREIRO. AF_12/2014</v>
          </cell>
          <cell r="C5523" t="str">
            <v>M2</v>
          </cell>
          <cell r="D5523">
            <v>77.19</v>
          </cell>
        </row>
        <row r="5524">
          <cell r="A5524" t="str">
            <v>89472</v>
          </cell>
          <cell r="B5524" t="str">
            <v>ALVENARIA DE BLOCOS DE CONCRETO ESTRUTURAL 14X19X39 CM, (ESPESSURA 14 CM) FBK = 14,0 MPA, PARA PAREDES COM ÁREA LÍQUIDA MENOR QUE 6M², SEM VÃOS, UTILIZANDO COLHER DE PEDREIRO. AF_12/2014</v>
          </cell>
          <cell r="C5524" t="str">
            <v>M2</v>
          </cell>
          <cell r="D5524">
            <v>97.08</v>
          </cell>
        </row>
        <row r="5525">
          <cell r="A5525" t="str">
            <v>89473</v>
          </cell>
          <cell r="B5525" t="str">
            <v>ALVENARIA DE BLOCOS DE CONCRETO ESTRUTURAL 14X19X39 CM, (ESPESSURA 14 CM) FBK = 14,0 MPA, PARA PAREDES COM ÁREA LÍQUIDA MAIOR OU IGUAL A 6M², SEM VÃOS, UTILIZANDO COLHER DE PEDREIRO. AF_12/2014</v>
          </cell>
          <cell r="C5525" t="str">
            <v>M2</v>
          </cell>
          <cell r="D5525">
            <v>91.89</v>
          </cell>
        </row>
        <row r="5526">
          <cell r="A5526" t="str">
            <v>89474</v>
          </cell>
          <cell r="B5526" t="str">
            <v>ALVENARIA DE BLOCOS DE CONCRETO ESTRUTURAL 14X19X39 CM, (ESPESSURA 14 CM), FBK = 4,5 MPA, PARA PAREDES COM ÁREA LÍQUIDA MENOR QUE 6M², COM VÃOS, UTILIZANDO COLHER DE PEDREIRO. AF_12/2014</v>
          </cell>
          <cell r="C5526" t="str">
            <v>M2</v>
          </cell>
          <cell r="D5526">
            <v>90.31</v>
          </cell>
        </row>
        <row r="5527">
          <cell r="A5527" t="str">
            <v>89475</v>
          </cell>
          <cell r="B5527" t="str">
            <v>ALVENARIA DE BLOCOS DE CONCRETO ESTRUTURAL 14X19X39 CM, (ESPESSURA 14 CM), FBK = 4,5 MPA, PARA PAREDES COM ÁREA LÍQUIDA MAIOR OU IGUAL A 6M², COM VÃOS, UTILIZANDO COLHER DE PEDREIRO. AF_12/2014</v>
          </cell>
          <cell r="C5527" t="str">
            <v>M2</v>
          </cell>
          <cell r="D5527">
            <v>81.790000000000006</v>
          </cell>
        </row>
        <row r="5528">
          <cell r="A5528" t="str">
            <v>89476</v>
          </cell>
          <cell r="B5528" t="str">
            <v>ALVENARIA DE BLOCOS DE CONCRETO ESTRUTURAL 14X19X39 CM, (ESPESSURA 14 CM) FBK = 14,0 MPA, PARA PAREDES COM ÁREA LÍQUIDA MENOR QUE 6M², COM VÃOS, UTILIZANDO COLHER DE PEDREIRO. AF_12/2014</v>
          </cell>
          <cell r="C5528" t="str">
            <v>M2</v>
          </cell>
          <cell r="D5528">
            <v>105.91</v>
          </cell>
        </row>
        <row r="5529">
          <cell r="A5529" t="str">
            <v>89477</v>
          </cell>
          <cell r="B5529" t="str">
            <v>ALVENARIA DE BLOCOS DE CONCRETO ESTRUTURAL 14X19X39 CM, (ESPESSURA 14 CM) FBK = 14,0 MPA, PARA PAREDES COM ÁREA LÍQUIDA MAIOR OU IGUAL A 6M², COM VÃOS, UTILIZANDO COLHER DE PEDREIRO. AF_12/2014</v>
          </cell>
          <cell r="C5529" t="str">
            <v>M2</v>
          </cell>
          <cell r="D5529">
            <v>97.13</v>
          </cell>
        </row>
        <row r="5530">
          <cell r="A5530" t="str">
            <v>89478</v>
          </cell>
          <cell r="B5530" t="str">
            <v>ALVENARIA DE BLOCOS DE CONCRETO ESTRUTURAL 14X19X29 CM, (ESPESSURA 14 CM), FBK = 4,5 MPA, PARA PAREDES COM ÁREA LÍQUIDA MENOR QUE 6M², SEM VÃOS, UTILIZANDO COLHER DE PEDREIRO. AF_12/2014</v>
          </cell>
          <cell r="C5530" t="str">
            <v>M2</v>
          </cell>
          <cell r="D5530">
            <v>95.28</v>
          </cell>
        </row>
        <row r="5531">
          <cell r="A5531" t="str">
            <v>89479</v>
          </cell>
          <cell r="B5531" t="str">
            <v>ALVENARIA DE BLOCOS DE CONCRETO ESTRUTURAL 14X19X29 CM, (ESPESSURA 14 CM), FBK = 4,5 MPA, PARA PAREDES COM ÁREA LÍQUIDA MAIOR OU IGUAL A 6M², SEM VÃOS, UTILIZANDO COLHER DE PEDREIRO. AF_12/2014</v>
          </cell>
          <cell r="C5531" t="str">
            <v>M2</v>
          </cell>
          <cell r="D5531">
            <v>90.29</v>
          </cell>
        </row>
        <row r="5532">
          <cell r="A5532" t="str">
            <v>89480</v>
          </cell>
          <cell r="B5532" t="str">
            <v>ALVENARIA DE BLOCOS DE CONCRETO ESTRUTURAL 14X19X29 CM, (ESPESSURA 14 CM) FBK = 14,0 MPA, PARA PAREDES COM ÁREA LÍQUIDA MENOR QUE 6M², SEM VÃOS, UTILIZANDO COLHER DE PEDREIRO. AF_12/2014</v>
          </cell>
          <cell r="C5532" t="str">
            <v>M2</v>
          </cell>
          <cell r="D5532">
            <v>110.34</v>
          </cell>
        </row>
        <row r="5533">
          <cell r="A5533" t="str">
            <v>89483</v>
          </cell>
          <cell r="B5533" t="str">
            <v>ALVENARIA DE BLOCOS DE CONCRETO ESTRUTURAL 14X19X29 CM, (ESPESSURA 14 CM) FBK = 14,0 MPA, PARA PAREDES COM ÁREA LÍQUIDA MAIOR OU IGUAL A 6M², SEM VÃOS, UTILIZANDO COLHER DE PEDREIRO. AF_12/2014</v>
          </cell>
          <cell r="C5533" t="str">
            <v>M2</v>
          </cell>
          <cell r="D5533">
            <v>105.25</v>
          </cell>
        </row>
        <row r="5534">
          <cell r="A5534" t="str">
            <v>89484</v>
          </cell>
          <cell r="B5534" t="str">
            <v>ALVENARIA DE BLOCOS DE CONCRETO ESTRUTURAL 14X19X29 CM, (ESPESSURA 14 CM), FBK = 4,5 MPA, PARA PAREDES COM ÁREA LÍQUIDA MENOR QUE 6M², COM VÃOS, UTILIZANDO COLHER DE PEDREIRO. AF_12/2014</v>
          </cell>
          <cell r="C5534" t="str">
            <v>M2</v>
          </cell>
          <cell r="D5534">
            <v>105</v>
          </cell>
        </row>
        <row r="5535">
          <cell r="A5535" t="str">
            <v>89486</v>
          </cell>
          <cell r="B5535" t="str">
            <v>ALVENARIA DE BLOCOS DE CONCRETO ESTRUTURAL 14X19X29 CM, (ESPESSURA 14 CM), FBK = 4,5 MPA, PARA PAREDES COM ÁREA LÍQUIDA MAIOR OU IGUAL A 6M², COM VÃOS, UTILIZANDO COLHER DE PEDREIRO. AF_12/2014</v>
          </cell>
          <cell r="C5535" t="str">
            <v>M2</v>
          </cell>
          <cell r="D5535">
            <v>96.07</v>
          </cell>
        </row>
        <row r="5536">
          <cell r="A5536" t="str">
            <v>89487</v>
          </cell>
          <cell r="B5536" t="str">
            <v>ALVENARIA DE BLOCOS DE CONCRETO ESTRUTURAL 14X19X29 CM, (ESPESSURA 14 CM) FBK = 14,0 MPA, PARA PAREDES COM ÁREA LÍQUIDA MENOR QUE 6M², COM VÃOS, UTILIZANDO COLHER DE PEDREIRO. AF_12/2014</v>
          </cell>
          <cell r="C5536" t="str">
            <v>M2</v>
          </cell>
          <cell r="D5536">
            <v>120.65</v>
          </cell>
        </row>
        <row r="5537">
          <cell r="A5537" t="str">
            <v>89488</v>
          </cell>
          <cell r="B5537" t="str">
            <v>ALVENARIA DE BLOCOS DE CONCRETO ESTRUTURAL 14X19X29 CM, (ESPESSURA 14 CM) FBK = 14,0 MPA, PARA PAREDES COM ÁREA LÍQUIDA MAIOR OU IGUAL A 6M², COM VÃOS, UTILIZANDO COLHER DE PEDREIRO. AF_12/2014</v>
          </cell>
          <cell r="C5537" t="str">
            <v>M2</v>
          </cell>
          <cell r="D5537">
            <v>111.36</v>
          </cell>
        </row>
        <row r="5538">
          <cell r="A5538" t="str">
            <v>91815</v>
          </cell>
          <cell r="B5538" t="str">
            <v>(COMPOSIÇÃO REPRESENTATIVA) DE ALVENARIA DE BLOCOS DE CONCRETO ESTRUTURAL 14X19X39 CM, (ESPESSURA 14 CM), FBK = 4,5 MPA, UTILIZANDO PALHETA, PARA EDIFICAÇÃO HABITACIONAL. AF_10/2015</v>
          </cell>
          <cell r="C5538" t="str">
            <v>M2</v>
          </cell>
          <cell r="D5538">
            <v>67.27</v>
          </cell>
        </row>
        <row r="5539">
          <cell r="A5539" t="str">
            <v>91816</v>
          </cell>
          <cell r="B5539" t="str">
            <v>COMPOSIÇÃO REPRESENTATIVA DE SERVIÇOS DE ALVENARIA DE BLOCOS DE CONCRETO ESTRUTURAL 14X19X29 CM, (ESPESSURA 14 CM), FBK = 4,5 MPA, UTILIZANDO PALHETA, PARA EDIFICAÇÃO HABITACIONAL. AF_10/2015</v>
          </cell>
          <cell r="C5539" t="str">
            <v>M2</v>
          </cell>
          <cell r="D5539">
            <v>80.680000000000007</v>
          </cell>
        </row>
        <row r="5540">
          <cell r="A5540" t="str">
            <v>101161</v>
          </cell>
          <cell r="B5540" t="str">
            <v>ALVENARIA DE VEDAÇÃO COM ELEMENTO VAZADO DE CONCRETO (COBOGÓ) DE 7X50X50CM E ARGAMASSA DE ASSENTAMENTO COM PREPARO EM BETONEIRA. AF_05/2020</v>
          </cell>
          <cell r="C5540" t="str">
            <v>M2</v>
          </cell>
          <cell r="D5540">
            <v>167.12</v>
          </cell>
        </row>
        <row r="5541">
          <cell r="A5541" t="str">
            <v>101163</v>
          </cell>
          <cell r="B5541" t="str">
            <v>ALVENARIA DE VEDAÇÃO COM BLOCO DE VIDRO VAZADO, TIPO VENEZIANA, DE 6X20X20CM E ARGAMASSA DE ASSENTAMENTO COM PREPARO EM BETONEIRA. AF_05/2020</v>
          </cell>
          <cell r="C5541" t="str">
            <v>M2</v>
          </cell>
          <cell r="D5541">
            <v>608.69000000000005</v>
          </cell>
        </row>
        <row r="5542">
          <cell r="A5542" t="str">
            <v>101164</v>
          </cell>
          <cell r="B5542" t="str">
            <v>ALVENARIA DE VEDAÇÃO COM BLOCO DE VIDRO, TIPO CANELADO, DE 8X19X19CM E ARGAMASSA DE ASSENTAMENTO COM PREPARO EM BETONEIRA. AF_05/2020</v>
          </cell>
          <cell r="C5542" t="str">
            <v>M2</v>
          </cell>
          <cell r="D5542">
            <v>617.13</v>
          </cell>
        </row>
        <row r="5543">
          <cell r="A5543" t="str">
            <v>96358</v>
          </cell>
          <cell r="B5543" t="str">
            <v>PAREDE COM PLACAS DE GESSO ACARTONADO (DRYWALL), PARA USO INTERNO, COM DUAS FACES SIMPLES E ESTRUTURA METÁLICA COM GUIAS SIMPLES, SEM VÃOS. AF_06/2017_P</v>
          </cell>
          <cell r="C5543" t="str">
            <v>M2</v>
          </cell>
          <cell r="D5543">
            <v>95</v>
          </cell>
        </row>
        <row r="5544">
          <cell r="A5544" t="str">
            <v>96359</v>
          </cell>
          <cell r="B5544" t="str">
            <v>PAREDE COM PLACAS DE GESSO ACARTONADO (DRYWALL), PARA USO INTERNO, COM DUAS FACES SIMPLES E ESTRUTURA METÁLICA COM GUIAS SIMPLES, COM VÃOS AF_06/2017_P</v>
          </cell>
          <cell r="C5544" t="str">
            <v>M2</v>
          </cell>
          <cell r="D5544">
            <v>110.07</v>
          </cell>
        </row>
        <row r="5545">
          <cell r="A5545" t="str">
            <v>96360</v>
          </cell>
          <cell r="B5545" t="str">
            <v>PAREDE COM PLACAS DE GESSO ACARTONADO (DRYWALL), PARA USO INTERNO, COM DUAS FACES SIMPLES E ESTRUTURA METÁLICA COM GUIAS DUPLAS, SEM VÃOS. AF_06/2017_P</v>
          </cell>
          <cell r="C5545" t="str">
            <v>M2</v>
          </cell>
          <cell r="D5545">
            <v>133.53</v>
          </cell>
        </row>
        <row r="5546">
          <cell r="A5546" t="str">
            <v>96361</v>
          </cell>
          <cell r="B5546" t="str">
            <v>PAREDE COM PLACAS DE GESSO ACARTONADO (DRYWALL), PARA USO INTERNO, COM DUAS FACES SIMPLES E ESTRUTURA METÁLICA COM GUIAS DUPLAS, COM VÃOS. AF_06/2017_P</v>
          </cell>
          <cell r="C5546" t="str">
            <v>M2</v>
          </cell>
          <cell r="D5546">
            <v>163</v>
          </cell>
        </row>
        <row r="5547">
          <cell r="A5547" t="str">
            <v>96362</v>
          </cell>
          <cell r="B5547" t="str">
            <v>PAREDE COM PLACAS DE GESSO ACARTONADO (DRYWALL), PARA USO INTERNO, COM UMA FACE SIMPLES E OUTRA FACE DUPLA E ESTRUTURA METÁLICA COM GUIAS SIMPLES, SEM VÃOS. AF_06/2017_P</v>
          </cell>
          <cell r="C5547" t="str">
            <v>M2</v>
          </cell>
          <cell r="D5547">
            <v>119.02</v>
          </cell>
        </row>
        <row r="5548">
          <cell r="A5548" t="str">
            <v>96363</v>
          </cell>
          <cell r="B5548" t="str">
            <v>PAREDE COM PLACAS DE GESSO ACARTONADO (DRYWALL), PARA USO INTERNO, COM UMA FACE SIMPLES E OUTRA FACE DUPLA E ESTRUTURA METÁLICA COM GUIAS SIMPLES, COM VÃOS. AF_06/2017_P</v>
          </cell>
          <cell r="C5548" t="str">
            <v>M2</v>
          </cell>
          <cell r="D5548">
            <v>134.52000000000001</v>
          </cell>
        </row>
        <row r="5549">
          <cell r="A5549" t="str">
            <v>96364</v>
          </cell>
          <cell r="B5549" t="str">
            <v>PAREDE COM PLACAS DE GESSO ACARTONADO (DRYWALL), PARA USO INTERNO COM UMA FACE SIMPLES E OUTRA FACE DUPLA E ESTRUTURA METÁLICA COM GUIAS DUPLAS, SEM VÃOS. AF_06/2017_P</v>
          </cell>
          <cell r="C5549" t="str">
            <v>M2</v>
          </cell>
          <cell r="D5549">
            <v>157.54</v>
          </cell>
        </row>
        <row r="5550">
          <cell r="A5550" t="str">
            <v>96365</v>
          </cell>
          <cell r="B5550" t="str">
            <v>PAREDE COM PLACAS DE GESSO ACARTONADO (DRYWALL), PARA USO INTERNO, COM UMA FACE SIMPLES E OUTRA FACE DUPLA E   ESTRUTURA METÁLICA COM GUIAS DUPLAS, COM VÃOS. AF_06/2017_P</v>
          </cell>
          <cell r="C5550" t="str">
            <v>M2</v>
          </cell>
          <cell r="D5550">
            <v>187.43</v>
          </cell>
        </row>
        <row r="5551">
          <cell r="A5551" t="str">
            <v>96366</v>
          </cell>
          <cell r="B5551" t="str">
            <v>PAREDE COM PLACAS DE GESSO ACARTONADO (DRYWALL), PARA USO INTERNO, COM DUAS FACES DUPLAS E ESTRUTURA METÁLICA COM GUIAS SIMPLES, SEM VÃOS. AF_06/2017_P</v>
          </cell>
          <cell r="C5551" t="str">
            <v>M2</v>
          </cell>
          <cell r="D5551">
            <v>143.05000000000001</v>
          </cell>
        </row>
        <row r="5552">
          <cell r="A5552" t="str">
            <v>96367</v>
          </cell>
          <cell r="B5552" t="str">
            <v>PAREDE COM PLACAS DE GESSO ACARTONADO (DRYWALL), PARA USO INTERNO, COM DUAS FACES DUPLAS E ESTRUTURA METÁLICA COM GUIAS SIMPLES, COM VÃOS. AF_06/2017_P</v>
          </cell>
          <cell r="C5552" t="str">
            <v>M2</v>
          </cell>
          <cell r="D5552">
            <v>158.94999999999999</v>
          </cell>
        </row>
        <row r="5553">
          <cell r="A5553" t="str">
            <v>96368</v>
          </cell>
          <cell r="B5553" t="str">
            <v>PAREDE COM PLACAS DE GESSO ACARTONADO (DRYWALL), PARA USO INTERNO COM DUAS FACES DUPLAS E ESTRUTURA METÁLICA COM GUIAS DUPLAS, SEM VÃOS. AF_06/2017</v>
          </cell>
          <cell r="C5553" t="str">
            <v>M2</v>
          </cell>
          <cell r="D5553">
            <v>181.58</v>
          </cell>
        </row>
        <row r="5554">
          <cell r="A5554" t="str">
            <v>96369</v>
          </cell>
          <cell r="B5554" t="str">
            <v>PAREDE COM PLACAS DE GESSO ACARTONADO (DRYWALL), PARA USO INTERNO, COM DUAS FACES DUPLAS E ESTRUTURA METÁLICA COM GUIAS DUPLAS, COM VÃOS. AF_06/2017_P</v>
          </cell>
          <cell r="C5554" t="str">
            <v>M2</v>
          </cell>
          <cell r="D5554">
            <v>211.88</v>
          </cell>
        </row>
        <row r="5555">
          <cell r="A5555" t="str">
            <v>96370</v>
          </cell>
          <cell r="B5555" t="str">
            <v>PAREDE COM PLACAS DE GESSO ACARTONADO (DRYWALL), PARA USO INTERNO, COM UMA FACE SIMPLES E ESTRUTURA METÁLICA COM GUIAS SIMPLES, SEM VÃOS. AF_06/2017_P</v>
          </cell>
          <cell r="C5555" t="str">
            <v>M2</v>
          </cell>
          <cell r="D5555">
            <v>67.38</v>
          </cell>
        </row>
        <row r="5556">
          <cell r="A5556" t="str">
            <v>96371</v>
          </cell>
          <cell r="B5556" t="str">
            <v>PAREDE COM PLACAS DE GESSO ACARTONADO (DRYWALL), PARA USO INTERNO, COM UMA FACE SIMPLES E ESTRUTURA METÁLICA COM GUIAS SIMPLES, COM VÃOS. AF_06/2017_P</v>
          </cell>
          <cell r="C5556" t="str">
            <v>M</v>
          </cell>
          <cell r="D5556">
            <v>82.21</v>
          </cell>
        </row>
        <row r="5557">
          <cell r="A5557" t="str">
            <v>96373</v>
          </cell>
          <cell r="B5557" t="str">
            <v>INSTALAÇÃO DE REFORÇO METÁLICO EM PAREDE DRYWALL. AF_06/2017</v>
          </cell>
          <cell r="C5557" t="str">
            <v>M</v>
          </cell>
          <cell r="D5557">
            <v>14.07</v>
          </cell>
        </row>
        <row r="5558">
          <cell r="A5558" t="str">
            <v>96374</v>
          </cell>
          <cell r="B5558" t="str">
            <v>INSTALAÇÃO DE REFORÇO DE MADEIRA EM PAREDE DRYWALL. AF_06/2017</v>
          </cell>
          <cell r="C5558" t="str">
            <v>M2</v>
          </cell>
          <cell r="D5558">
            <v>29.89</v>
          </cell>
        </row>
        <row r="5559">
          <cell r="A5559" t="str">
            <v>102235</v>
          </cell>
          <cell r="B5559" t="str">
            <v>DIVISÓRIA FIXA EM VIDRO TEMPERADO 10 MM, SEM ABERTURA. AF_01/2021</v>
          </cell>
          <cell r="C5559" t="str">
            <v>M2</v>
          </cell>
          <cell r="D5559">
            <v>583.67999999999995</v>
          </cell>
        </row>
        <row r="5560">
          <cell r="A5560" t="str">
            <v>102253</v>
          </cell>
          <cell r="B5560" t="str">
            <v>DIVISORIA SANITÁRIA, TIPO CABINE, EM GRANITO CINZA POLIDO, ESP = 3CM, ASSENTADO COM ARGAMASSA COLANTE AC III-E, EXCLUSIVE FERRAGENS. AF_01/2021</v>
          </cell>
          <cell r="C5560" t="str">
            <v>M2</v>
          </cell>
          <cell r="D5560">
            <v>419.56</v>
          </cell>
        </row>
        <row r="5561">
          <cell r="A5561" t="str">
            <v>102254</v>
          </cell>
          <cell r="B5561" t="str">
            <v>DIVISORIA SANITÁRIA, TIPO CABINE, EM MÁRMORE BRANCO POLIDO, ESP = 3CM, ASSENTADO COM ARGAMASSA COLANTE AC III-E, EXCLUSIVE FERRAGENS. AF_01/2021</v>
          </cell>
          <cell r="C5561" t="str">
            <v>M2</v>
          </cell>
          <cell r="D5561">
            <v>552.29999999999995</v>
          </cell>
        </row>
        <row r="5562">
          <cell r="A5562" t="str">
            <v>102255</v>
          </cell>
          <cell r="B5562" t="str">
            <v>TAPA VISTA DE MICTÓRIO EM GRANITO CINZA POLIDO, ESP = 3CM, ASSENTADO COM ARGAMASSA COLANTE AC III-E . AF_01/2021</v>
          </cell>
          <cell r="C5562" t="str">
            <v>M2</v>
          </cell>
          <cell r="D5562">
            <v>467.18</v>
          </cell>
        </row>
        <row r="5563">
          <cell r="A5563" t="str">
            <v>102256</v>
          </cell>
          <cell r="B5563" t="str">
            <v>TAPA VISTA DE MICTÓRIO EM MÁRMORE BRANCO POLIDO, ESP = 3CM, ASSENTADO COM ARGAMASSA COLANTE AC III-E . AF_01/2021</v>
          </cell>
          <cell r="C5563" t="str">
            <v>M2</v>
          </cell>
          <cell r="D5563">
            <v>687.93</v>
          </cell>
        </row>
        <row r="5564">
          <cell r="A5564" t="str">
            <v>102257</v>
          </cell>
          <cell r="B5564" t="str">
            <v>DIVISORIA SANITÁRIA, TIPO CABINE, EM PAINEL DE GRANILITE, ESP = 3CM, ASSENTADO COM ARGAMASSA COLANTE AC III-E, EXCLUSIVE FERRAGENS. AF_01/2021</v>
          </cell>
          <cell r="C5564" t="str">
            <v>M2</v>
          </cell>
          <cell r="D5564">
            <v>279.91000000000003</v>
          </cell>
        </row>
        <row r="5565">
          <cell r="A5565" t="str">
            <v>102258</v>
          </cell>
          <cell r="B5565" t="str">
            <v>TAPA VISTA DE MICTÓRIO EM PAINEL DE GRANILITE, ESP = 3CM, ASSENTADO COM ARGAMASSA COLANTE AC III-E . AF_01/2021</v>
          </cell>
          <cell r="C5565" t="str">
            <v>M2</v>
          </cell>
          <cell r="D5565">
            <v>326.74</v>
          </cell>
        </row>
        <row r="5566">
          <cell r="A5566" t="str">
            <v>101154</v>
          </cell>
          <cell r="B5566" t="str">
            <v>ALVENARIA DE VEDAÇÃO DE BLOCOS DE CONCRETO CELULAR DE 10X30X60CM (ESPESSURA 10CM) E ARGAMASSA DE ASSENTAMENTO COM PREPARO EM BETONEIRA. AF_05/2020</v>
          </cell>
          <cell r="C5566" t="str">
            <v>M2</v>
          </cell>
          <cell r="D5566">
            <v>105.49</v>
          </cell>
        </row>
        <row r="5567">
          <cell r="A5567" t="str">
            <v>101155</v>
          </cell>
          <cell r="B5567" t="str">
            <v>ALVENARIA DE VEDAÇÃO DE BLOCOS DE CONCRETO CELULAR DE 15X30X60CM (ESPESSURA 15CM) E ARGAMASSA DE ASSENTAMENTO COM PREPARO EM BETONEIRA. AF_05/2020</v>
          </cell>
          <cell r="C5567" t="str">
            <v>M2</v>
          </cell>
          <cell r="D5567">
            <v>148.35</v>
          </cell>
        </row>
        <row r="5568">
          <cell r="A5568" t="str">
            <v>101156</v>
          </cell>
          <cell r="B5568" t="str">
            <v>ALVENARIA DE VEDAÇÃO DE BLOCOS DE CONCRETO CELULAR DE 20X30X60CM (ESPESSURA 20CM) E ARGAMASSA DE ASSENTAMENTO COM PREPARO EM BETONEIRA. AF_05/2020</v>
          </cell>
          <cell r="C5568" t="str">
            <v>M3</v>
          </cell>
          <cell r="D5568">
            <v>218.28</v>
          </cell>
        </row>
        <row r="5569">
          <cell r="A5569" t="str">
            <v>101810</v>
          </cell>
          <cell r="B5569" t="str">
            <v>EXECUÇÃO DE TAPA BURACO COM APLICAÇÃO DE CONCRETO ASFÁLTICO (USINAGEM PRÓPRIA) E PINTURA DE LIGAÇÃO. AF_12/2020</v>
          </cell>
          <cell r="C5569" t="str">
            <v>M3</v>
          </cell>
          <cell r="D5569">
            <v>1298.6400000000001</v>
          </cell>
        </row>
        <row r="5570">
          <cell r="A5570" t="str">
            <v>101811</v>
          </cell>
          <cell r="B5570" t="str">
            <v>EXECUÇÃO DE TAPA BURACO COM APLICAÇÃO DE PRÉ MISTURADO A FRIO (USINAGEM PRÓPRIA) E PINTURA DE LIGAÇÃO. AF_12/2020</v>
          </cell>
          <cell r="C5570" t="str">
            <v>M3</v>
          </cell>
          <cell r="D5570">
            <v>1207.75</v>
          </cell>
        </row>
        <row r="5571">
          <cell r="A5571" t="str">
            <v>101812</v>
          </cell>
          <cell r="B5571" t="str">
            <v>RECOMPOSIÇÃO DE REVESTIMENTO EM CONCRETO ASFÁLTICO (USINAGEM PRÓPRIA), PARA O FECHAMENTO DE VALAS - INCLUSO DEMOLIÇÃO DO PAVIMENTO. AF_12/2020</v>
          </cell>
          <cell r="C5571" t="str">
            <v>M3</v>
          </cell>
          <cell r="D5571">
            <v>1467.54</v>
          </cell>
        </row>
        <row r="5572">
          <cell r="A5572" t="str">
            <v>101813</v>
          </cell>
          <cell r="B5572" t="str">
            <v>RECOMPOSIÇÃO DE REVESTIMENTO EM PRÉ MISTURADO A FRIO (USINAGEM PRÓPRIA), PARA FECHAMENTO DE VALAS - INCLUSO DEMOLIÇÃO DO PAVIMENTO. AF_12/2020</v>
          </cell>
          <cell r="C5572" t="str">
            <v>M2</v>
          </cell>
          <cell r="D5572">
            <v>1376.65</v>
          </cell>
        </row>
        <row r="5573">
          <cell r="A5573" t="str">
            <v>101814</v>
          </cell>
          <cell r="B5573" t="str">
            <v>RECOMPOSIÇÃO DE PAVIMENTOS EM PEDRA POLIÉDRICA, REJUNTAMENTO COM PÓ DE PEDRA, COM REAPROVEITAMENTO DAS PEDRAS POLIÉDRICAS PARA O FECHAMENTO DE VALAS - INCLUSO RETIRADA E COLOCAÇÃO DO MATERIAL. AF_12/2020</v>
          </cell>
          <cell r="C5573" t="str">
            <v>M2</v>
          </cell>
          <cell r="D5573">
            <v>35.76</v>
          </cell>
        </row>
        <row r="5574">
          <cell r="A5574" t="str">
            <v>101815</v>
          </cell>
          <cell r="B5574" t="str">
            <v>RECOMPOSIÇÃO DE PAVIMENTO EM PEDRAS POLIÉDRICAS, REJUNTAMENTO COM PEDRISCO E EMULSÃO ASFÁLTICA COM REAPROVEITAMENTO DAS PEDRAS POLIÉDRICAS, PARA O FECHAMENTO DE VALAS - INCLUSO RETIRADA E COLOCAÇÃO DO MATERIAL. AF_12/2020</v>
          </cell>
          <cell r="C5574" t="str">
            <v>M2</v>
          </cell>
          <cell r="D5574">
            <v>69.349999999999994</v>
          </cell>
        </row>
        <row r="5575">
          <cell r="A5575" t="str">
            <v>101816</v>
          </cell>
          <cell r="B5575" t="str">
            <v>RECOMPOSIÇÃO DE PAVIMENTO EM PEDRAS POLIÉDRICAS, REJUNTAMENTO COM ARGAMASSA, COM REAPROVEITAMENTO DAS PEDRAS POLIÉDRICAS, PARA O FECHAMENTO DE VALAS - INCLUSO RETIRADA E COLOCAÇÃO DO MATERIAL. AF_12/2020</v>
          </cell>
          <cell r="C5575" t="str">
            <v>M2</v>
          </cell>
          <cell r="D5575">
            <v>53.85</v>
          </cell>
        </row>
        <row r="5576">
          <cell r="A5576" t="str">
            <v>101817</v>
          </cell>
          <cell r="B5576" t="str">
            <v>RECOMPOSIÇÃO DE PAVIMENTO EM PARALELEPÍPEDOS, REJUNTAMENTO COM PÓ DE PEDRA, COM REAPROVEITAMENTO DOS PARALELEPÍPEDOS, PARA O FECHAMENTO DE VALAS - INCLUSO RETIRADA E COLOCAÇÃO DO MATERIAL. AF_12/2020</v>
          </cell>
          <cell r="C5576" t="str">
            <v>M2</v>
          </cell>
          <cell r="D5576">
            <v>39.479999999999997</v>
          </cell>
        </row>
        <row r="5577">
          <cell r="A5577" t="str">
            <v>101818</v>
          </cell>
          <cell r="B5577" t="str">
            <v>RECOMPOSIÇÃO DE PAVIMENTO EM PARALELEPÍPEDOS, REJUNTAMENTO COM PEDRISCO E EMULSÃO ASFÁLTICA, COM REAPROVEITAMENTO DOS PARALELEPÍPEDOS, PARA O FECHAMENTO DE VALAS - INCLUSO RETIRADA E COLOCAÇÃO DO MATERIAL. AF_12/2020</v>
          </cell>
          <cell r="C5577" t="str">
            <v>M2</v>
          </cell>
          <cell r="D5577">
            <v>56.29</v>
          </cell>
        </row>
        <row r="5578">
          <cell r="A5578" t="str">
            <v>101819</v>
          </cell>
          <cell r="B5578" t="str">
            <v>RECOMPOSIÇÃO DE PAVIMENTO EM PARALELEPÍPEDOS, REJUNTAMENTO COM ARGAMASSA, COM REAPROVEITAMENTO DOS PARALELEPÍPEDOS, PARA O FECHAMENTO DE VALAS - INCLUSO RETIRADA E COLOCAÇÃO DO MATERIAL. AF_12/2020</v>
          </cell>
          <cell r="C5578" t="str">
            <v>M2</v>
          </cell>
          <cell r="D5578">
            <v>49.86</v>
          </cell>
        </row>
        <row r="5579">
          <cell r="A5579" t="str">
            <v>101820</v>
          </cell>
          <cell r="B5579" t="str">
            <v>RECOMPOSIÇÃO DE PAVIMENTO EM PISO INTERTRAVADO SEXTAVADO, COM REAPROVEITAMENTO DOS BLOCOS SEXTAVADO, PARA O FECHAMENTO DE VALAS - INCLUSO RETIRADA E COLOCAÇÃO DO MATERIAL. AF_12/2020</v>
          </cell>
          <cell r="C5579" t="str">
            <v>M3</v>
          </cell>
          <cell r="D5579">
            <v>32.909999999999997</v>
          </cell>
        </row>
        <row r="5580">
          <cell r="A5580" t="str">
            <v>101822</v>
          </cell>
          <cell r="B5580" t="str">
            <v>RECOMPOSIÇÃO DE BASE E OU SUB-BASE PARA REMENDO PROFUNDO DE SOLOS DE COMPORTAMENTO LATERÍTICO (ARENOSO) - INCLUSO RETIRADA E COLOCAÇÃO DO MATERIAL. AF_12/2020</v>
          </cell>
          <cell r="C5580" t="str">
            <v>M3</v>
          </cell>
          <cell r="D5580">
            <v>108.04</v>
          </cell>
        </row>
        <row r="5581">
          <cell r="A5581" t="str">
            <v>101823</v>
          </cell>
          <cell r="B5581" t="str">
            <v>RECOMPOSIÇÃO DE BASE E OU SUB-BASE PARA REMENDO PROFUNDO DE SOLO MELHORADO COM CIMENTO (TEOR DE 2%) - INCLUSO RETIRADA E COLOCAÇÃO DO MATERIAL. AF_12/2020</v>
          </cell>
          <cell r="C5581" t="str">
            <v>M3</v>
          </cell>
          <cell r="D5581">
            <v>135.49</v>
          </cell>
        </row>
        <row r="5582">
          <cell r="A5582" t="str">
            <v>101824</v>
          </cell>
          <cell r="B5582" t="str">
            <v>RECOMPOSIÇÃO DE BASE E OU SUB-BASE PARA REMENDO PROFUNDO DE SOLO MELHORADO COM CIMENTO (TEOR DE 4%) - INCLUSO RETIRADA E COLOCAÇÃO DO MATERIAL. AF_12/2020</v>
          </cell>
          <cell r="C5582" t="str">
            <v>M3</v>
          </cell>
          <cell r="D5582">
            <v>161.06</v>
          </cell>
        </row>
        <row r="5583">
          <cell r="A5583" t="str">
            <v>101825</v>
          </cell>
          <cell r="B5583" t="str">
            <v>RECOMPOSIÇÃO DE BASE E OU SUB-BASE PARA REMENDO PROFUNDO DE SOLO COM CIMENTO (TEOR DE 6%) - INCLUSO RETIRADA E COLOCAÇÃO DO MATERIAL. AF_12/2020</v>
          </cell>
          <cell r="C5583" t="str">
            <v>M3</v>
          </cell>
          <cell r="D5583">
            <v>185.93</v>
          </cell>
        </row>
        <row r="5584">
          <cell r="A5584" t="str">
            <v>101826</v>
          </cell>
          <cell r="B5584" t="str">
            <v>RECOMPOSIÇÃO DE BASE E OU SUB-BASE PARA REMENDO PROFUNDO DE SOLO COM CIMENTO (TEOR DE 8%) - INCLUSO RETIRADA E COLOCAÇÃO DO MATERIAL. AF_12/2020</v>
          </cell>
          <cell r="C5584" t="str">
            <v>M3</v>
          </cell>
          <cell r="D5584">
            <v>210.48</v>
          </cell>
        </row>
        <row r="5585">
          <cell r="A5585" t="str">
            <v>101827</v>
          </cell>
          <cell r="B5585" t="str">
            <v>RECOMPOSIÇÃO DE BASE E OU SUB-BASE PARA REMENDO PROFUNDO DE SOLO BRITA (40/60) - INCLUSO RETIRADA E COLOCAÇÃO DO MATERIAL. AF_12/2020</v>
          </cell>
          <cell r="C5585" t="str">
            <v>M3</v>
          </cell>
          <cell r="D5585">
            <v>174.89</v>
          </cell>
        </row>
        <row r="5586">
          <cell r="A5586" t="str">
            <v>101828</v>
          </cell>
          <cell r="B5586" t="str">
            <v>RECOMPOSIÇÃO DE BASE E OU SUB-BASE PARA REMENDO PROFUNDO DE SOLO BRITA (50/50) - INCLUSO RETIRADA E COLOCAÇÃO DO MATERIAL. AF_12/2020</v>
          </cell>
          <cell r="C5586" t="str">
            <v>M3</v>
          </cell>
          <cell r="D5586">
            <v>163.75</v>
          </cell>
        </row>
        <row r="5587">
          <cell r="A5587" t="str">
            <v>101829</v>
          </cell>
          <cell r="B5587" t="str">
            <v>RECOMPOSIÇÃO DE BASE E OU SUB-BASE PARA REMENDO PROFUNDO DE SOLO BRITA (40/60) COM CIMENTO (TEOR DE 4%) - INCLUSO RETIRADA E COLOCAÇÃO DO MATERIAL. AF_12/2020</v>
          </cell>
          <cell r="C5587" t="str">
            <v>M3</v>
          </cell>
          <cell r="D5587">
            <v>225.24</v>
          </cell>
        </row>
        <row r="5588">
          <cell r="A5588" t="str">
            <v>101830</v>
          </cell>
          <cell r="B5588" t="str">
            <v>RECOMPOSIÇÃO DE BASE E OU SUB-BASE PARA REMENDO PROFUNDO DE SOLO BRITA (40/60) COM CIMENTO (TEOR DE 6%) - INCLUSO RETIRADA E COLOCAÇÃO DO MATERIAL. AF_12/2020</v>
          </cell>
          <cell r="C5588" t="str">
            <v>M3</v>
          </cell>
          <cell r="D5588">
            <v>248.77</v>
          </cell>
        </row>
        <row r="5589">
          <cell r="A5589" t="str">
            <v>101831</v>
          </cell>
          <cell r="B5589" t="str">
            <v>RECOMPOSIÇÃO DE BASE E OU SUB-BASE PARA REMENDO PROFUNDO DE SOLO BRITA (40/60) COM CIMENTO (TEOR DE 8%) - INCLUSO RETIRADA E COLOCAÇÃO DO MATERIAL. AF_12/2020</v>
          </cell>
          <cell r="C5589" t="str">
            <v>M3</v>
          </cell>
          <cell r="D5589">
            <v>271.99</v>
          </cell>
        </row>
        <row r="5590">
          <cell r="A5590" t="str">
            <v>101832</v>
          </cell>
          <cell r="B5590" t="str">
            <v>RECOMPOSIÇÃO DE BASE E OU SUB-BASE PARA REMENDO PROFUNDO DE SOLO BRITA (50/50) COM CIMENTO (TEOR DE 4%) - INCLUSO RETIRADA E COLOCAÇÃO DO MATERIAL. AF_12/2020</v>
          </cell>
          <cell r="C5590" t="str">
            <v>M3</v>
          </cell>
          <cell r="D5590">
            <v>214.54</v>
          </cell>
        </row>
        <row r="5591">
          <cell r="A5591" t="str">
            <v>101833</v>
          </cell>
          <cell r="B5591" t="str">
            <v>RECOMPOSIÇÃO DE BASE E OU SUB-BASE PARA REMENDO PROFUNDO DE SOLO BRITA (50/50) COM CIMENTO (TEOR DE 6%) - INCLUSO RETIRADA E COLOCAÇÃO DO MATERIAL. AF_12/2020</v>
          </cell>
          <cell r="C5591" t="str">
            <v>M3</v>
          </cell>
          <cell r="D5591">
            <v>238.3</v>
          </cell>
        </row>
        <row r="5592">
          <cell r="A5592" t="str">
            <v>101834</v>
          </cell>
          <cell r="B5592" t="str">
            <v>RECOMPOSIÇÃO DE BASE E OU SUB-BASE PARA REMENDO PROFUNDO DE SOLO BRITA (50/50) COM CIMENTO (TEOR DE 8%) - INCLUSO RETIRADA E COLOCAÇÃO DO MATERIAL. AF_12/2020</v>
          </cell>
          <cell r="C5592" t="str">
            <v>M3</v>
          </cell>
          <cell r="D5592">
            <v>261.74</v>
          </cell>
        </row>
        <row r="5593">
          <cell r="A5593" t="str">
            <v>101835</v>
          </cell>
          <cell r="B5593" t="str">
            <v>RECOMPOSIÇÃO DE BASE E OU SUB-BASE PARA REMENDO PROFUNDO DE BRITA GRADUADA SIMPLES - INCLUSO RETIRADA E COLOCAÇÃO DO MATERIAL. AF_12/2020</v>
          </cell>
          <cell r="C5593" t="str">
            <v>M3</v>
          </cell>
          <cell r="D5593">
            <v>237.27</v>
          </cell>
        </row>
        <row r="5594">
          <cell r="A5594" t="str">
            <v>101836</v>
          </cell>
          <cell r="B5594" t="str">
            <v>RECOMPOSIÇÃO DE BASE E OU SUB-BASE PARA FECHAMENTO DE VALAS DE SOLOS DE COMPORTAMENTO LATERÍTICO (ARENOSO) - INCLUSO RETIRADA E COLOCAÇÃO DO MATERIAL. AF_12/2020</v>
          </cell>
          <cell r="C5594" t="str">
            <v>M3</v>
          </cell>
          <cell r="D5594">
            <v>23.22</v>
          </cell>
        </row>
        <row r="5595">
          <cell r="A5595" t="str">
            <v>101837</v>
          </cell>
          <cell r="B5595" t="str">
            <v>RECOMPOSIÇÃO DE BASE E OU SUB-BASE PARA FECHAMENTO DE VALAS DE SOLO MELHORADO COM CIMENTO (TEOR DE 2%) - INCLUSO RETIRADA E COLOCAÇÃO DO MATERIAL. AF_12/2020</v>
          </cell>
          <cell r="C5595" t="str">
            <v>M3</v>
          </cell>
          <cell r="D5595">
            <v>50.67</v>
          </cell>
        </row>
        <row r="5596">
          <cell r="A5596" t="str">
            <v>101838</v>
          </cell>
          <cell r="B5596" t="str">
            <v>RECOMPOSIÇÃO DE BASE E OU SUB-BASE PARA FECHAMENTO DE VALAS DE SOLO MELHORADO COM CIMENTO (TEOR DE 4%) - INCLUSO RETIRADA E COLOCAÇÃO DO MATERIAL. AF_12/2020</v>
          </cell>
          <cell r="C5596" t="str">
            <v>M3</v>
          </cell>
          <cell r="D5596">
            <v>76.239999999999995</v>
          </cell>
        </row>
        <row r="5597">
          <cell r="A5597" t="str">
            <v>101839</v>
          </cell>
          <cell r="B5597" t="str">
            <v>RECOMPOSIÇÃO DE BASE E OU SUB-BASE PARA FECHAMENTO DE VALAS DE SOLO COM CIMENTO (TEOR DE 6%) - INCLUSO RETIRADA E COLOCAÇÃO DO MATERIAL. AF_12/2020</v>
          </cell>
          <cell r="C5597" t="str">
            <v>M3</v>
          </cell>
          <cell r="D5597">
            <v>101.1</v>
          </cell>
        </row>
        <row r="5598">
          <cell r="A5598" t="str">
            <v>101840</v>
          </cell>
          <cell r="B5598" t="str">
            <v>RECOMPOSIÇÃO DE BASE E OU SUB-BASE PARA FECHAMENTO DE VALAS DE SOLO COM CIMENTO (TEOR DE 8%) - INCLUSO RETIRADA E COLOCAÇÃO DO MATERIAL. AF_12/2020</v>
          </cell>
          <cell r="C5598" t="str">
            <v>M3</v>
          </cell>
          <cell r="D5598">
            <v>170.03</v>
          </cell>
        </row>
        <row r="5599">
          <cell r="A5599" t="str">
            <v>101841</v>
          </cell>
          <cell r="B5599" t="str">
            <v>RECOMPOSIÇÃO DE BASE E OU SUB-BASE PARA FECHAMENTO DE VALAS DE SOLO BRITA (40/60) - INCLUSO RETIRADA E COLOCAÇÃO DO MATERIAL. AF_12/2020</v>
          </cell>
          <cell r="C5599" t="str">
            <v>M3</v>
          </cell>
          <cell r="D5599">
            <v>90.07</v>
          </cell>
        </row>
        <row r="5600">
          <cell r="A5600" t="str">
            <v>101842</v>
          </cell>
          <cell r="B5600" t="str">
            <v>RECOMPOSIÇÃO DE BASE E OU SUB-BASE PARA FECHAMENTO DE VALAS DE SOLO BRITA (50/50) - INCLUSO RETIRADA E COLOCAÇÃO DO MATERIAL. AF_12/2020</v>
          </cell>
          <cell r="C5600" t="str">
            <v>M3</v>
          </cell>
          <cell r="D5600">
            <v>78.930000000000007</v>
          </cell>
        </row>
        <row r="5601">
          <cell r="A5601" t="str">
            <v>101843</v>
          </cell>
          <cell r="B5601" t="str">
            <v>RECOMPOSIÇÃO DE BASE E OU SUB-BASE PARA FECHAMENTO DE VALAS DE SOLO BRITA (40/60) COM CIMENTO (TEOR DE 4%) - INCLUSO RETIRADA E COLOCAÇÃO DO MATERIAL. AF_12/2020</v>
          </cell>
          <cell r="C5601" t="str">
            <v>M3</v>
          </cell>
          <cell r="D5601">
            <v>140.41999999999999</v>
          </cell>
        </row>
        <row r="5602">
          <cell r="A5602" t="str">
            <v>101844</v>
          </cell>
          <cell r="B5602" t="str">
            <v>RECOMPOSIÇÃO DE BASE E OU SUB-BASE PARA FECHAMENTO DE VALAS DE SOLO BRITA (40/60) COM CIMENTO (TEOR DE 6%) - INCLUSO RETIRADA E COLOCAÇÃO DO MATERIAL. AF_12/2020</v>
          </cell>
          <cell r="C5602" t="str">
            <v>M3</v>
          </cell>
          <cell r="D5602">
            <v>163.95</v>
          </cell>
        </row>
        <row r="5603">
          <cell r="A5603" t="str">
            <v>101845</v>
          </cell>
          <cell r="B5603" t="str">
            <v>RECOMPOSIÇÃO DE BASE E OU SUB-BASE PARA FECHAMENTO DE VALAS DE SOLO BRITA (40/60) COM CIMENTO (TEOR DE 8%) - INCLUSO RETIRADA E COLOCAÇÃO DO MATERIAL. AF_12/2020</v>
          </cell>
          <cell r="C5603" t="str">
            <v>M3</v>
          </cell>
          <cell r="D5603">
            <v>187.17</v>
          </cell>
        </row>
        <row r="5604">
          <cell r="A5604" t="str">
            <v>101846</v>
          </cell>
          <cell r="B5604" t="str">
            <v>RECOMPOSIÇÃO DE BASE E OU SUB-BASE PARA FECHAMENTO DE VALAS DE SOLO BRITA (50/50) COM CIMENTO (TEOR DE 4%) - INCLUSO RETIRADA E COLOCAÇÃO DO MATERIAL. AF_12/2020</v>
          </cell>
          <cell r="C5604" t="str">
            <v>M3</v>
          </cell>
          <cell r="D5604">
            <v>129.72</v>
          </cell>
        </row>
        <row r="5605">
          <cell r="A5605" t="str">
            <v>101847</v>
          </cell>
          <cell r="B5605" t="str">
            <v>RECOMPOSIÇÃO DE BASE E OU SUB-BASE PARA FECHAMENTO DE VALAS DE SOLO BRITA (50/50) COM CIMENTO (TEOR DE 6%) - INCLUSO RETIRADA E COLOCAÇÃO DO MATERIAL. AF_12/2020</v>
          </cell>
          <cell r="C5605" t="str">
            <v>M3</v>
          </cell>
          <cell r="D5605">
            <v>153.47999999999999</v>
          </cell>
        </row>
        <row r="5606">
          <cell r="A5606" t="str">
            <v>101848</v>
          </cell>
          <cell r="B5606" t="str">
            <v>RECOMPOSIÇÃO DE BASE E OU SUB-BASE PARA FECHAMENTO DE VALAS DE SOLO BRITA (50/50) COM CIMENTO (TEOR DE 8%) - INCLUSO RETIRADA E COLOCAÇÃO DO MATERIAL. AF_12/2020</v>
          </cell>
          <cell r="C5606" t="str">
            <v>M3</v>
          </cell>
          <cell r="D5606">
            <v>176.92</v>
          </cell>
        </row>
        <row r="5607">
          <cell r="A5607" t="str">
            <v>101849</v>
          </cell>
          <cell r="B5607" t="str">
            <v>RECOMPOSIÇÃO DE BASE E OU SUB-BASE PARA FECHAMENTO DE VALAS DE BRITA GRADUADA SIMPLES - INCLUSO RETIRADA E COLOCAÇÃO DO MATERIAL. AF_12/2020</v>
          </cell>
          <cell r="C5607" t="str">
            <v>M2</v>
          </cell>
          <cell r="D5607">
            <v>152.44999999999999</v>
          </cell>
        </row>
        <row r="5608">
          <cell r="A5608" t="str">
            <v>101850</v>
          </cell>
          <cell r="B5608" t="str">
            <v>REASSENTAMENTO DE PARALELEPÍPEDOS, REJUNTAMENTO COM PÓ DE PEDRA, COM REAPROVEITAMENTO DOS PARALELEPÍPEDOS - INCLUSO RETIRADA E COLOCAÇÃO DO MATERIAL. AF_12/2020</v>
          </cell>
          <cell r="C5608" t="str">
            <v>M2</v>
          </cell>
          <cell r="D5608">
            <v>48.37</v>
          </cell>
        </row>
        <row r="5609">
          <cell r="A5609" t="str">
            <v>101851</v>
          </cell>
          <cell r="B5609" t="str">
            <v>REASSENTAMENTO DE PARALELEPÍPEDOS, REJUNTAMENTO COM PEDRISCO E EMULSÃO ASFÁLTICA, COM REAPROVEITAMENTO DOS PARALELEPÍPEDOS - INCLUSO RETIRADA E COLOCAÇÃO DO MATERIAL. AF_12/2020_P</v>
          </cell>
          <cell r="C5609" t="str">
            <v>M2</v>
          </cell>
          <cell r="D5609">
            <v>112.68</v>
          </cell>
        </row>
        <row r="5610">
          <cell r="A5610" t="str">
            <v>101852</v>
          </cell>
          <cell r="B5610" t="str">
            <v>REASSENTAMENTO DE PARALELEPÍPEDOS, REJUNTAMENTO COM ARGAMASSA, COM REAPROVEITAMENTO DOS PARALELEPÍPEDOS - INCLUSO RETIRADA E COLOCAÇÃO DO MATERIAL. AF_12/2020</v>
          </cell>
          <cell r="C5610" t="str">
            <v>M2</v>
          </cell>
          <cell r="D5610">
            <v>59.23</v>
          </cell>
        </row>
        <row r="5611">
          <cell r="A5611" t="str">
            <v>101853</v>
          </cell>
          <cell r="B5611" t="str">
            <v>REASSENTAMENTO DE PEDRAS POLIÉDRICAS, REJUNTAMENTO COM PÓ DE PEDRA, COM REAPROVEITAMENTO DAS PEDRAS POLIÉDRICAS - INCLUSO RETIRADA E COLOCAÇÃO DO MATERIAL.  AF_12/2020</v>
          </cell>
          <cell r="C5611" t="str">
            <v>M2</v>
          </cell>
          <cell r="D5611">
            <v>42.86</v>
          </cell>
        </row>
        <row r="5612">
          <cell r="A5612" t="str">
            <v>101854</v>
          </cell>
          <cell r="B5612" t="str">
            <v>REASSENTAMENTO DE PEDRAS POLIÉDRICAS, REJUNTAMENTO COM PEDRISCO E EMULSÃO ASFÁLTICA, COM REAPROVEITAMENTO DAS PEDRAS POLIÉDRICAS - INCLUSO RETIRADA E COLOCAÇÃO DO MATERIAL. AF_12/2020_P</v>
          </cell>
          <cell r="C5612" t="str">
            <v>M2</v>
          </cell>
          <cell r="D5612">
            <v>115.78</v>
          </cell>
        </row>
        <row r="5613">
          <cell r="A5613" t="str">
            <v>101855</v>
          </cell>
          <cell r="B5613" t="str">
            <v>REASSENTAMENTO DE PEDRAS POLIÉDRICAS, REJUNTAMENTO COM ARGAMASSA, COM REAPROVEITAMENTO DAS PEDRAS POLIÉDRICAS - INCLUSO RETIRADA E COLOCAÇÃO DO MATERIAL. AF_12/2020</v>
          </cell>
          <cell r="C5613" t="str">
            <v>M2</v>
          </cell>
          <cell r="D5613">
            <v>61.34</v>
          </cell>
        </row>
        <row r="5614">
          <cell r="A5614" t="str">
            <v>101856</v>
          </cell>
          <cell r="B5614" t="str">
            <v>REASSENTAMENTO DE BLOCOS PISOGRAMA PARA PISO INTERTRAVADO, COM REAPROVEITAMENTO DOS BLOCOS PISOGRAMA - INCLUSO RETIRADA E COLOCAÇÃO DO MATERIAL. AF_12/2020</v>
          </cell>
          <cell r="C5614" t="str">
            <v>M2</v>
          </cell>
          <cell r="D5614">
            <v>20.04</v>
          </cell>
        </row>
        <row r="5615">
          <cell r="A5615" t="str">
            <v>101857</v>
          </cell>
          <cell r="B5615" t="str">
            <v>REASSENTAMENTO DE BLOCOS SEXTAVADO PARA PISO INTERTRAVADO, ESPESSURA DE 6 CM, EM CALÇADA, COM REAPROVEITAMENTO DOS BLOCOS SEXTAVADOS - INCLUSO RETIRADA E COLOCAÇÃO DO MATERIAL. AF_12/2020</v>
          </cell>
          <cell r="C5615" t="str">
            <v>M2</v>
          </cell>
          <cell r="D5615">
            <v>25.74</v>
          </cell>
        </row>
        <row r="5616">
          <cell r="A5616" t="str">
            <v>101858</v>
          </cell>
          <cell r="B5616" t="str">
            <v>REASSENTAMENTO DE BLOCOS SEXTAVADO PARA PISO INTERTRAVADO, ESPESSURA DE 6 CM, EM VIA/ESTACIONAMENTO, COM REAPROVEITAMENTO DOS BLOCOS SEXTAVADO - INCLUSO RETIRADA E COLOCAÇÃO DO MATERIAL. AF_12/2020</v>
          </cell>
          <cell r="C5616" t="str">
            <v>M2</v>
          </cell>
          <cell r="D5616">
            <v>20.52</v>
          </cell>
        </row>
        <row r="5617">
          <cell r="A5617" t="str">
            <v>101859</v>
          </cell>
          <cell r="B5617" t="str">
            <v>REASSENTAMENTO DE BLOCOS SEXTAVADO PARA PISO INTERTRAVADO, ESPESSURA DE 8 CM, EM VIA/ESTACIONAMENTO, COM REAPROVEITAMENTO DOS BLOCOS SEXTAVADO - INCLUSO RETIRADA E COLOCAÇÃO DO MATERIAL. AF_12/2020</v>
          </cell>
          <cell r="C5617" t="str">
            <v>M2</v>
          </cell>
          <cell r="D5617">
            <v>22.97</v>
          </cell>
        </row>
        <row r="5618">
          <cell r="A5618" t="str">
            <v>101860</v>
          </cell>
          <cell r="B5618" t="str">
            <v>REASSENTAMENTO DE BLOCOS SEXTAVADO PARA PISO INTERTRAVADO, ESPESSURA DE 10 CM, EM VIA/ESTACIONAMENTO, COM REAPROVEITAMENTO DOS BLOCOS SEXTAVADO - INCLUSO RETIRADA E COLOCAÇÃO DO MATERIAL. AF_12/2020</v>
          </cell>
          <cell r="C5618" t="str">
            <v>M2</v>
          </cell>
          <cell r="D5618">
            <v>26.84</v>
          </cell>
        </row>
        <row r="5619">
          <cell r="A5619" t="str">
            <v>101861</v>
          </cell>
          <cell r="B5619" t="str">
            <v>REASSENTAMENTO DE BLOCOS RETANGULAR PARA PISO INTERTRAVADO, ESPESSURA DE 4  CM, EM CALÇADA, COM REAPROVEITAMENTO DOS BLOCOS RETANGULAR - INCLUSO RETIRADA E COLOCAÇÃO DO MATERIAL. AF_12/2020</v>
          </cell>
          <cell r="C5619" t="str">
            <v>M2</v>
          </cell>
          <cell r="D5619">
            <v>24.91</v>
          </cell>
        </row>
        <row r="5620">
          <cell r="A5620" t="str">
            <v>101862</v>
          </cell>
          <cell r="B5620" t="str">
            <v>REASSENTAMENTO DE BLOCOS RETANGULAR PARA PISO INTERTRAVADO, ESPESSURA DE 6 CM, EM CALÇADA, COM REAPROVEITAMENTO DOS BLOCOS RETANGULAR - INCLUSO RETIRADA E COLOCAÇÃO DO MATERIAL. AF_12/2020</v>
          </cell>
          <cell r="C5620" t="str">
            <v>M2</v>
          </cell>
          <cell r="D5620">
            <v>27.41</v>
          </cell>
        </row>
        <row r="5621">
          <cell r="A5621" t="str">
            <v>101863</v>
          </cell>
          <cell r="B5621" t="str">
            <v>REASSENTAMENTO DE BLOCOS RETANGULAR PARA PISO INTERTRAVADO, ESPESSURA DE 6 CM, EM VIA/ESTACIONAMENTO, COM REAPROVEITAMENTO DOS BLOCOS RETANGULAR - INCLUSO RETIRADA E COLOCAÇÃO DO MATERIAL. AF_12/2020</v>
          </cell>
          <cell r="C5621" t="str">
            <v>M2</v>
          </cell>
          <cell r="D5621">
            <v>20.86</v>
          </cell>
        </row>
        <row r="5622">
          <cell r="A5622" t="str">
            <v>101864</v>
          </cell>
          <cell r="B5622" t="str">
            <v>REASSENTAMENTO DE BLOCOS RETANGULAR PARA PISO INTERTRAVADO, ESPESSURA DE 8 CM, EM VIA/ESTACIONAMENTO, COM REAPROVEITAMENTO DOS BLOCOS RETANGULAR - INCLUSO RETIRADA E COLOCAÇÃO DO MATERIAL. AF_12/2020</v>
          </cell>
          <cell r="C5622" t="str">
            <v>M2</v>
          </cell>
          <cell r="D5622">
            <v>24.72</v>
          </cell>
        </row>
        <row r="5623">
          <cell r="A5623" t="str">
            <v>101865</v>
          </cell>
          <cell r="B5623" t="str">
            <v>REASSENTAMENTO DE BLOCOS RETANGULAR PARA PISO INTERTRAVADO, ESPESSURA DE 10 CM, EM VIA/ESTACIONAMENTO, COM REAPROVEITAMENTO DOS BLOCOS RETANGULAR - INCLUSO RETIRADA E COLOCAÇÃO DO MATERIAL. AF_12/2020</v>
          </cell>
          <cell r="C5623" t="str">
            <v>M2</v>
          </cell>
          <cell r="D5623">
            <v>28.57</v>
          </cell>
        </row>
        <row r="5624">
          <cell r="A5624" t="str">
            <v>101866</v>
          </cell>
          <cell r="B5624" t="str">
            <v>REASSENTAMENTO DE BLOCOS 16 FACES PARA PISO INTERTRAVADO, ESPESSURA DE 4  CM, EM CALÇADA, COM REAPROVEITAMENTO DOS BLOCOS 16 FACES - INCLUSO RETIRADA E COLOCAÇÃO DO MATERIAL. AF_12/2020</v>
          </cell>
          <cell r="C5624" t="str">
            <v>M2</v>
          </cell>
          <cell r="D5624">
            <v>25.09</v>
          </cell>
        </row>
        <row r="5625">
          <cell r="A5625" t="str">
            <v>101867</v>
          </cell>
          <cell r="B5625" t="str">
            <v>REASSENTAMENTO DE BLOCOS 16 FACES PARA PISO INTERTRAVADO, ESPESSURA DE 6 CM, EM CALÇADA, COM REAPROVEITAMENTO DOS BLOCOS 16 FACES - INCLUSO RETIRADA E COLOCAÇÃO DO MATERIAL. AF_12/2020</v>
          </cell>
          <cell r="C5625" t="str">
            <v>M2</v>
          </cell>
          <cell r="D5625">
            <v>28.96</v>
          </cell>
        </row>
        <row r="5626">
          <cell r="A5626" t="str">
            <v>101868</v>
          </cell>
          <cell r="B5626" t="str">
            <v>REASSENTAMENTO DE BLOCOS 16 FACES PARA PISO INTERTRAVADO, ESPESSURA DE 6 CM, EM VIA/ESTACIONAMENTO, COM REAPROVEITAMENTO DOS BLOCOS 16 FACES - INCLUSO RETIRADA E COLOCAÇÃO DO MATERIAL. AF_12/2020</v>
          </cell>
          <cell r="C5626" t="str">
            <v>M2</v>
          </cell>
          <cell r="D5626">
            <v>22.41</v>
          </cell>
        </row>
        <row r="5627">
          <cell r="A5627" t="str">
            <v>101869</v>
          </cell>
          <cell r="B5627" t="str">
            <v>REASSENTAMENTO DE BLOCOS 16 FACES PARA PISO INTERTRAVADO, ESPESSURA DE 8 CM, EM VIA/ESTACIONAMENTO, COM REAPROVEITAMENTO DOS BLOCOS 16 FACES - INCLUSO RETIRADA E COLOCAÇÃO DO MATERIAL. AF_12/2020</v>
          </cell>
          <cell r="C5627" t="str">
            <v>M2</v>
          </cell>
          <cell r="D5627">
            <v>26.26</v>
          </cell>
        </row>
        <row r="5628">
          <cell r="A5628" t="str">
            <v>101870</v>
          </cell>
          <cell r="B5628" t="str">
            <v>REASSENTAMENTO DE BLOCOS 16 FACES PARA PISO INTERTRAVADO, ESPESSURA DE 10 CM, EM VIA/ESTACIONAMENTO, COM REAPROVEITAMENTO DOS BLOCOS 16 FACES - INCLUSO RETIRADA E COLOCAÇÃO DO MATERIAL. AF_12/2020</v>
          </cell>
          <cell r="C5628" t="str">
            <v>M3</v>
          </cell>
          <cell r="D5628">
            <v>30.12</v>
          </cell>
        </row>
        <row r="5629">
          <cell r="A5629" t="str">
            <v>102096</v>
          </cell>
          <cell r="B5629" t="str">
            <v>EXECUÇÃO DE TAPA BURACO COM APLICAÇÃO DE CONCRETO ASFÁLTICO (AQUISIÇÃO EM USINA) E PINTURA DE LIGAÇÃO. AF_12/2020</v>
          </cell>
          <cell r="C5629" t="str">
            <v>M3</v>
          </cell>
          <cell r="D5629">
            <v>1774.03</v>
          </cell>
        </row>
        <row r="5630">
          <cell r="A5630" t="str">
            <v>102098</v>
          </cell>
          <cell r="B5630" t="str">
            <v>RECOMPOSIÇÃO DE REVESTIMENTO EM CONCRETO ASFÁLTICO (AQUISIÇÃO EM USINA), PARA O FECHAMENTO DE VALAS - INCLUSO DEMOLIÇÃO DO PAVIMENTO. AF_12/2020</v>
          </cell>
          <cell r="C5630" t="str">
            <v>M2</v>
          </cell>
          <cell r="D5630">
            <v>1942.93</v>
          </cell>
        </row>
        <row r="5631">
          <cell r="A5631" t="str">
            <v>102101</v>
          </cell>
          <cell r="B5631" t="str">
            <v>EXECUÇÃO DE PINTURA DE LIGAÇÃO COM EMULSÃO ASFÁLTICA RR-2C, PARA O FECHAMENTO DE VALAS. AF_12/2020</v>
          </cell>
          <cell r="C5631" t="str">
            <v>M2</v>
          </cell>
          <cell r="D5631">
            <v>3.38</v>
          </cell>
        </row>
        <row r="5632">
          <cell r="A5632" t="str">
            <v>102988</v>
          </cell>
          <cell r="B5632" t="str">
            <v>RECOMPOSIÇÃO DE PAVIMENTO EM PISO INTERTRAVADO, COM REAPROVEITAMENTO DOS BLOCOS INTERTRAVADOS, PARA FECHAMENTO DE VALAS - INCLUSO RETIRADA E COLOCAÇÃO DO MATERIAL. AF_12/2020</v>
          </cell>
          <cell r="C5632" t="str">
            <v>M2</v>
          </cell>
          <cell r="D5632">
            <v>44.57</v>
          </cell>
        </row>
        <row r="5633">
          <cell r="A5633" t="str">
            <v>100576</v>
          </cell>
          <cell r="B5633" t="str">
            <v>REGULARIZAÇÃO E COMPACTAÇÃO DE SUBLEITO DE SOLO  PREDOMINANTEMENTE ARGILOSO. AF_11/2019</v>
          </cell>
          <cell r="C5633" t="str">
            <v>M2</v>
          </cell>
          <cell r="D5633">
            <v>2.09</v>
          </cell>
        </row>
        <row r="5634">
          <cell r="A5634" t="str">
            <v>100577</v>
          </cell>
          <cell r="B5634" t="str">
            <v>REGULARIZAÇÃO E COMPACTAÇÃO DE SUBLEITO DE SOLO PREDOMINANTEMENTE ARENOSO. AF_11/2019</v>
          </cell>
          <cell r="C5634" t="str">
            <v>M3</v>
          </cell>
          <cell r="D5634">
            <v>0.98</v>
          </cell>
        </row>
        <row r="5635">
          <cell r="A5635" t="str">
            <v>96388</v>
          </cell>
          <cell r="B5635" t="str">
            <v>EXECUÇÃO E COMPACTAÇÃO DE BASE E OU SUB BASE PARA PAVIMENTAÇÃO DE SOLOS DE COMPORTAMENTO LATERÍTICO (ARENOSO) - EXCLUSIVE SOLO, ESCAVAÇÃO, CARGA E TRANSPORTE. AF_11/2019</v>
          </cell>
          <cell r="C5635" t="str">
            <v>M3</v>
          </cell>
          <cell r="D5635">
            <v>9.9</v>
          </cell>
        </row>
        <row r="5636">
          <cell r="A5636" t="str">
            <v>96389</v>
          </cell>
          <cell r="B5636" t="str">
            <v>EXECUÇÃO E COMPACTAÇÃO DE BASE E OU SUB BASE PARA PAVIMENTAÇÃO DE SOLO (PREDOMINANTEMENTE ARENOSO) COM CIMENTO (TEOR DE 2%) - EXCLUSIVE SOLO, ESCAVAÇÃO, CARGA E TRANSPORTE. AF_11/2019</v>
          </cell>
          <cell r="C5636" t="str">
            <v>M3</v>
          </cell>
          <cell r="D5636">
            <v>41.93</v>
          </cell>
        </row>
        <row r="5637">
          <cell r="A5637" t="str">
            <v>96390</v>
          </cell>
          <cell r="B5637" t="str">
            <v>EXECUÇÃO E COMPACTAÇÃO DE BASE E OU SUB BASE PARA PAVIMENTAÇÃO DE SOLO (PREDOMINANTEMENTE ARENOSO) COM CIMENTO (TEOR DE 4%) - EXCLUSIVE SOLO, ESCAVAÇÃO, CARGA E TRANSPORTE. AF_11/2019</v>
          </cell>
          <cell r="C5637" t="str">
            <v>M3</v>
          </cell>
          <cell r="D5637">
            <v>65.8</v>
          </cell>
        </row>
        <row r="5638">
          <cell r="A5638" t="str">
            <v>96391</v>
          </cell>
          <cell r="B5638" t="str">
            <v>EXECUÇÃO E COMPACTAÇÃO DE BASE E OU SUB BASE PARA PAVIMENTAÇÃO DE SOLO (PREDOMINANTEMENTE ARENOSO) COM CIMENTO (TEOR DE 6%) - EXCLUSIVE SOLO, ESCAVAÇÃO, CARGA E TRANSPORTE. AF_11/2019</v>
          </cell>
          <cell r="C5638" t="str">
            <v>M3</v>
          </cell>
          <cell r="D5638">
            <v>91.49</v>
          </cell>
        </row>
        <row r="5639">
          <cell r="A5639" t="str">
            <v>96392</v>
          </cell>
          <cell r="B5639" t="str">
            <v>EXECUÇÃO E COMPACTAÇÃO DE BASE E OU SUB BASE PARA PAVIMENTAÇÃO DE SOLO (PREDOMINANTEMENTE ARENOSO) COM CIMENTO (TEOR DE 8%) - EXCLUSIVE SOLO, ESCAVAÇÃO, CARGA E TRANSPORTE. AF_11/2019</v>
          </cell>
          <cell r="C5639" t="str">
            <v>M3</v>
          </cell>
          <cell r="D5639">
            <v>116.04</v>
          </cell>
        </row>
        <row r="5640">
          <cell r="A5640" t="str">
            <v>96396</v>
          </cell>
          <cell r="B5640" t="str">
            <v>EXECUÇÃO E COMPACTAÇÃO DE BASE E OU SUB BASE PARA PAVIMENTAÇÃO DE BRITA GRADUADA SIMPLES - EXCLUSIVE CARGA E TRANSPORTE. AF_11/2019</v>
          </cell>
          <cell r="C5640" t="str">
            <v>M3</v>
          </cell>
          <cell r="D5640">
            <v>140.26</v>
          </cell>
        </row>
        <row r="5641">
          <cell r="A5641" t="str">
            <v>96397</v>
          </cell>
          <cell r="B5641" t="str">
            <v>EXECUÇÃO E COMPACTAÇÃO DE BASE E OU SUB BASE PARA PAVIMENTAÇÃO DE BRITA GRADUADA SIMPLES TRATADA COM CIMENTO - EXCLUSIVE CARGA E TRANSPORTE. AF_11/2019</v>
          </cell>
          <cell r="C5641" t="str">
            <v>M3</v>
          </cell>
          <cell r="D5641">
            <v>189.25</v>
          </cell>
        </row>
        <row r="5642">
          <cell r="A5642" t="str">
            <v>96398</v>
          </cell>
          <cell r="B5642" t="str">
            <v>EXECUÇÃO E COMPACTAÇÃO DE BASE E OU SUB BASE PARA PAVIMENTAÇÃO DE CONCRETO COMPACTADO COM ROLO - EXCLUSIVE CARGA E TRANSPORTE. AF_11/2019</v>
          </cell>
          <cell r="C5642" t="str">
            <v>M3</v>
          </cell>
          <cell r="D5642">
            <v>254.27</v>
          </cell>
        </row>
        <row r="5643">
          <cell r="A5643" t="str">
            <v>96399</v>
          </cell>
          <cell r="B5643" t="str">
            <v>EXECUÇÃO E COMPACTAÇÃO DE BASE E OU SUB BASE PARA PAVIMENTAÇÃO DE PEDRA RACHÃO  - EXCLUSIVE CARGA E TRANSPORTE. AF_11/2019</v>
          </cell>
          <cell r="C5643" t="str">
            <v>M3</v>
          </cell>
          <cell r="D5643">
            <v>97.03</v>
          </cell>
        </row>
        <row r="5644">
          <cell r="A5644" t="str">
            <v>96400</v>
          </cell>
          <cell r="B5644" t="str">
            <v>EXECUÇÃO E COMPACTAÇÃO DE BASE E OU SUB BASE PARA PAVIMENTAÇÃO DE MACADAME SECO - EXCLUSIVE CARGA E TRANSPORTE. AF_11/2019</v>
          </cell>
          <cell r="C5644" t="str">
            <v>M2</v>
          </cell>
          <cell r="D5644">
            <v>126.27</v>
          </cell>
        </row>
        <row r="5645">
          <cell r="A5645" t="str">
            <v>96402</v>
          </cell>
          <cell r="B5645" t="str">
            <v>EXECUÇÃO DE PINTURA DE LIGAÇÃO COM EMULSÃO ASFÁLTICA RR-2C. AF_11/2019</v>
          </cell>
          <cell r="C5645" t="str">
            <v>M3</v>
          </cell>
          <cell r="D5645">
            <v>2.52</v>
          </cell>
        </row>
        <row r="5646">
          <cell r="A5646" t="str">
            <v>100564</v>
          </cell>
          <cell r="B5646" t="str">
            <v>EXECUÇÃO E COMPACTAÇÃO DE BASE E OU SUB-BASE PARA PAVIMENTAÇÃO DE SOLO (PREDOMINANTEMENTE ARENOSO) BRITA - 40/60 - EXCLUSIVE SOLO, ESCAVAÇÃO, CARGA E TRANSPORTE. AF_11/2019</v>
          </cell>
          <cell r="C5646" t="str">
            <v>M3</v>
          </cell>
          <cell r="D5646">
            <v>86.41</v>
          </cell>
        </row>
        <row r="5647">
          <cell r="A5647" t="str">
            <v>100565</v>
          </cell>
          <cell r="B5647" t="str">
            <v>EXECUÇÃO E COMPACTAÇÃO DE BASE E OU SUB-BASE PARA PAVIMENTAÇÃO DE SOLO (PREDOMINANTEMENTE ARENOSO) BRITA - 50/50 - EXCLUSIVE SOLO, ESCAVAÇÃO, CARGA E TRANSPORTE. AF_11/2019</v>
          </cell>
          <cell r="C5647" t="str">
            <v>M3</v>
          </cell>
          <cell r="D5647">
            <v>75.31</v>
          </cell>
        </row>
        <row r="5648">
          <cell r="A5648" t="str">
            <v>100566</v>
          </cell>
          <cell r="B5648" t="str">
            <v>EXECUÇÃO E COMPACTAÇÃO DE BASE E OU SUB-BASE PARA PAVIMENTAÇÃO DE SOLO (PREDOMINANTEMENTE ARENOSO) BRITA - 40/60 COM CIMENTO (TEOR DE 4%) - EXCLUSIVE SOLO, ESCAVAÇÃO, CARGA E TRANSPORTE. AF_11/2019</v>
          </cell>
          <cell r="C5648" t="str">
            <v>M3</v>
          </cell>
          <cell r="D5648">
            <v>136.75</v>
          </cell>
        </row>
        <row r="5649">
          <cell r="A5649" t="str">
            <v>100567</v>
          </cell>
          <cell r="B5649" t="str">
            <v>EXECUÇÃO E COMPACTAÇÃO DE BASE E OU SUB-BASE PARA PAVIMENTAÇÃO DE SOLO (PREDOMINANTEMENTE ARENOSO) BRITA - 40/60 COM CIMENTO (TEOR DE 6%) - EXCLUSIVE SOLO, ESCAVAÇÃO, CARGA E TRANSPORTE. AF_11/2019</v>
          </cell>
          <cell r="C5649" t="str">
            <v>M3</v>
          </cell>
          <cell r="D5649">
            <v>160.33000000000001</v>
          </cell>
        </row>
        <row r="5650">
          <cell r="A5650" t="str">
            <v>100568</v>
          </cell>
          <cell r="B5650" t="str">
            <v>EXECUÇÃO E COMPACTAÇÃO DE BASE E OU SUB-BASE PARA PAVIMENTAÇÃO DE SOLO (PREDOMINANTEMENTE ARENOSO) BRITA - 40/60 COM CIMENTO (TEOR DE 8%) - EXCLUSIVE SOLO, ESCAVAÇÃO, CARGA E TRANSPORTE. AF_11/2019</v>
          </cell>
          <cell r="C5650" t="str">
            <v>M3</v>
          </cell>
          <cell r="D5650">
            <v>183.5</v>
          </cell>
        </row>
        <row r="5651">
          <cell r="A5651" t="str">
            <v>100569</v>
          </cell>
          <cell r="B5651" t="str">
            <v>EXECUÇÃO E COMPACTAÇÃO DE BASE E OU SUB-BASE PARA PAVIMENTAÇÃO DE SOLO (PREDOMINANTEMENTE ARENOSO) BRITA - 50/50 COM CIMENTO (TEOR DE 4%)  - EXCLUSIVE SOLO, ESCAVAÇÃO, CARGA E TRANSPORTE. AF_11/2019</v>
          </cell>
          <cell r="C5651" t="str">
            <v>M3</v>
          </cell>
          <cell r="D5651">
            <v>126.06</v>
          </cell>
        </row>
        <row r="5652">
          <cell r="A5652" t="str">
            <v>100570</v>
          </cell>
          <cell r="B5652" t="str">
            <v>EXECUÇÃO E COMPACTAÇÃO DE BASE E OU SUB-BASE PARA PAVIMENTAÇÃO DE SOLO (PREDOMINANTEMENTE ARENOSO) BRITA - 50/50 COM CIMENTO (TEOR DE 6%) - EXCLUSIVE SOLO, ESCAVAÇÃO, CARGA E TRANSPORTE. AF_11/2019</v>
          </cell>
          <cell r="C5652" t="str">
            <v>M3</v>
          </cell>
          <cell r="D5652">
            <v>151.81</v>
          </cell>
        </row>
        <row r="5653">
          <cell r="A5653" t="str">
            <v>100571</v>
          </cell>
          <cell r="B5653" t="str">
            <v>EXECUÇÃO E COMPACTAÇÃO DE BASE E OU SUB-BASE PARA PAVIMENTAÇÃO DE SOLO (PREDOMINANTEMENTE ARENOSO) BRITA - 50/50 COM CIMENTO (TEOR DE 8%) - EXCLUSIVE SOLO, ESCAVAÇÃO, CARGA E TRANSPORTE. AF_11/2019</v>
          </cell>
          <cell r="C5653" t="str">
            <v>M3</v>
          </cell>
          <cell r="D5653">
            <v>173.29</v>
          </cell>
        </row>
        <row r="5654">
          <cell r="A5654" t="str">
            <v>100572</v>
          </cell>
          <cell r="B5654" t="str">
            <v>EXECUÇÃO E COMPACTAÇÃO DE BASE E OU SUB-BASE PARA PAVIMENTAÇÃO DE SOLO (PREDOMINANTEMENTE ARGILOSO) BRITA - 40/60 - EXCLUSIVE SOLO, ESCAVAÇÃO, CARGA E TRANSPORTE. AF_11/2019</v>
          </cell>
          <cell r="C5654" t="str">
            <v>M3</v>
          </cell>
          <cell r="D5654">
            <v>91.14</v>
          </cell>
        </row>
        <row r="5655">
          <cell r="A5655" t="str">
            <v>100573</v>
          </cell>
          <cell r="B5655" t="str">
            <v>EXECUÇÃO E COMPACTAÇÃO DE BASE E OU SUB-BASE PARA PAVIMENTAÇÃO DE SOLO (PREDOMINANTEMENTE ARGILOSO) BRITA - 50/50 - EXCLUSIVE SOLO, ESCAVAÇÃO, CARGA E TRANSPORTE. AF_11/2019</v>
          </cell>
          <cell r="C5655" t="str">
            <v>M3</v>
          </cell>
          <cell r="D5655">
            <v>80.040000000000006</v>
          </cell>
        </row>
        <row r="5656">
          <cell r="A5656" t="str">
            <v>100574</v>
          </cell>
          <cell r="B5656" t="str">
            <v>ESPALHAMENTO DE MATERIAL COM TRATOR DE ESTEIRAS. AF_11/2019</v>
          </cell>
          <cell r="C5656" t="str">
            <v>M2</v>
          </cell>
          <cell r="D5656">
            <v>1.23</v>
          </cell>
        </row>
        <row r="5657">
          <cell r="A5657" t="str">
            <v>100575</v>
          </cell>
          <cell r="B5657" t="str">
            <v>REGULARIZAÇÃO DE SUPERFÍCIES COM MOTONIVELADORA. AF_11/2019</v>
          </cell>
          <cell r="C5657" t="str">
            <v>M3</v>
          </cell>
          <cell r="D5657">
            <v>0.11</v>
          </cell>
        </row>
        <row r="5658">
          <cell r="A5658" t="str">
            <v>101767</v>
          </cell>
          <cell r="B5658" t="str">
            <v>EXECUÇÃO E COMPACTAÇÃO DE BASE E OU SUB BASE PARA PAVIMENTAÇÃO DE SOLOS ESTABILIZADOS GRANULOMETRICAMENTE COM MISTURA DE SOLOS EM PISTA - EXCLUSIVE SOLO, ESCAVAÇÃO, CARGA E TRANSPORTE. AF_11/2019</v>
          </cell>
          <cell r="C5658" t="str">
            <v>M3</v>
          </cell>
          <cell r="D5658">
            <v>24.23</v>
          </cell>
        </row>
        <row r="5659">
          <cell r="A5659" t="str">
            <v>101768</v>
          </cell>
          <cell r="B5659" t="str">
            <v>EXECUÇÃO E COMPACTAÇÃO DE BASE E OU SUB BASE PARA PAVIMENTAÇÃO DE SOLO ESTABILIZADO GRANULOMETRICAMENTE SEM MISTURA DE SOLOS - EXCLUSIVE SOLO, ESCAVAÇÃO, CARGA E TRANSPORTE. AF_11/2019</v>
          </cell>
          <cell r="C5659" t="str">
            <v>M2</v>
          </cell>
          <cell r="D5659">
            <v>36.94</v>
          </cell>
        </row>
        <row r="5660">
          <cell r="A5660" t="str">
            <v>92391</v>
          </cell>
          <cell r="B5660" t="str">
            <v>EXECUÇÃO DE PAVIMENTO EM PISO INTERTRAVADO, COM BLOCO PISOGRAMA DE 35 X 25 CM, ESPESSURA 6 CM. AF_12/2015</v>
          </cell>
          <cell r="C5660" t="str">
            <v>M2</v>
          </cell>
          <cell r="D5660">
            <v>51.51</v>
          </cell>
        </row>
        <row r="5661">
          <cell r="A5661" t="str">
            <v>92392</v>
          </cell>
          <cell r="B5661" t="str">
            <v>EXECUÇÃO DE PAVIMENTO EM PISO INTERTRAVADO, COM BLOCO PISOGRAMA DE 35 X 25 CM, ESPESSURA 8 CM. AF_12/2015</v>
          </cell>
          <cell r="C5661" t="str">
            <v>M2</v>
          </cell>
          <cell r="D5661">
            <v>107.75</v>
          </cell>
        </row>
        <row r="5662">
          <cell r="A5662" t="str">
            <v>92393</v>
          </cell>
          <cell r="B5662" t="str">
            <v>EXECUÇÃO DE PAVIMENTO EM PISO INTERTRAVADO, COM BLOCO SEXTAVADO DE 25 X 25 CM, ESPESSURA 6 CM. AF_12/2015</v>
          </cell>
          <cell r="C5662" t="str">
            <v>M2</v>
          </cell>
          <cell r="D5662">
            <v>51.53</v>
          </cell>
        </row>
        <row r="5663">
          <cell r="A5663" t="str">
            <v>92394</v>
          </cell>
          <cell r="B5663" t="str">
            <v>EXECUÇÃO DE PAVIMENTO EM PISO INTERTRAVADO, COM BLOCO SEXTAVADO DE 25 X 25 CM, ESPESSURA 8 CM. AF_12/2015</v>
          </cell>
          <cell r="C5663" t="str">
            <v>M2</v>
          </cell>
          <cell r="D5663">
            <v>65.150000000000006</v>
          </cell>
        </row>
        <row r="5664">
          <cell r="A5664" t="str">
            <v>92395</v>
          </cell>
          <cell r="B5664" t="str">
            <v>EXECUÇÃO DE PAVIMENTO EM PISO INTERTRAVADO, COM BLOCO SEXTAVADO DE 25 X 25 CM, ESPESSURA 10 CM. AF_12/2015</v>
          </cell>
          <cell r="C5664" t="str">
            <v>M2</v>
          </cell>
          <cell r="D5664">
            <v>79.900000000000006</v>
          </cell>
        </row>
        <row r="5665">
          <cell r="A5665" t="str">
            <v>92396</v>
          </cell>
          <cell r="B5665" t="str">
            <v>EXECUÇÃO DE PASSEIO EM PISO INTERTRAVADO, COM BLOCO RETANGULAR COR NATURAL DE 20 X 10 CM, ESPESSURA 6 CM. AF_12/2015</v>
          </cell>
          <cell r="C5665" t="str">
            <v>M2</v>
          </cell>
          <cell r="D5665">
            <v>64.69</v>
          </cell>
        </row>
        <row r="5666">
          <cell r="A5666" t="str">
            <v>92397</v>
          </cell>
          <cell r="B5666" t="str">
            <v>EXECUÇÃO DE PÁTIO/ESTACIONAMENTO EM PISO INTERTRAVADO, COM BLOCO RETANGULAR COR NATURAL DE 20 X 10 CM, ESPESSURA 6 CM. AF_12/2015</v>
          </cell>
          <cell r="C5666" t="str">
            <v>M2</v>
          </cell>
          <cell r="D5666">
            <v>51.79</v>
          </cell>
        </row>
        <row r="5667">
          <cell r="A5667" t="str">
            <v>92398</v>
          </cell>
          <cell r="B5667" t="str">
            <v>EXECUÇÃO DE PÁTIO/ESTACIONAMENTO EM PISO INTERTRAVADO, COM BLOCO RETANGULAR COR NATURAL DE 20 X 10 CM, ESPESSURA 8 CM. AF_12/2015</v>
          </cell>
          <cell r="C5667" t="str">
            <v>M2</v>
          </cell>
          <cell r="D5667">
            <v>66.94</v>
          </cell>
        </row>
        <row r="5668">
          <cell r="A5668" t="str">
            <v>92399</v>
          </cell>
          <cell r="B5668" t="str">
            <v>EXECUÇÃO DE VIA EM PISO INTERTRAVADO, COM BLOCO RETANGULAR COR NATURAL DE 20 X 10 CM, ESPESSURA 8 CM. AF_12/2015</v>
          </cell>
          <cell r="C5668" t="str">
            <v>M2</v>
          </cell>
          <cell r="D5668">
            <v>68.430000000000007</v>
          </cell>
        </row>
        <row r="5669">
          <cell r="A5669" t="str">
            <v>92400</v>
          </cell>
          <cell r="B5669" t="str">
            <v>EXECUÇÃO DE PÁTIO/ESTACIONAMENTO EM PISO INTERTRAVADO, COM BLOCO RETANGULAR DE 20 X 10 CM, ESPESSURA 10 CM. AF_12/2015</v>
          </cell>
          <cell r="C5669" t="str">
            <v>M2</v>
          </cell>
          <cell r="D5669">
            <v>80.52</v>
          </cell>
        </row>
        <row r="5670">
          <cell r="A5670" t="str">
            <v>92401</v>
          </cell>
          <cell r="B5670" t="str">
            <v>EXECUÇÃO DE VIA EM PISO INTERTRAVADO, COM BLOCO RETANGULAR DE 20 X 10 CM, ESPESSURA 10 CM. AF_12/2015</v>
          </cell>
          <cell r="C5670" t="str">
            <v>M2</v>
          </cell>
          <cell r="D5670">
            <v>82.1</v>
          </cell>
        </row>
        <row r="5671">
          <cell r="A5671" t="str">
            <v>92402</v>
          </cell>
          <cell r="B5671" t="str">
            <v>EXECUÇÃO DE PASSEIO EM PISO INTERTRAVADO, COM BLOCO 16 FACES DE 22 X 11 CM, ESPESSURA 6 CM. AF_12/2015</v>
          </cell>
          <cell r="C5671" t="str">
            <v>M2</v>
          </cell>
          <cell r="D5671">
            <v>66.459999999999994</v>
          </cell>
        </row>
        <row r="5672">
          <cell r="A5672" t="str">
            <v>92403</v>
          </cell>
          <cell r="B5672" t="str">
            <v>EXECUÇÃO DE PÁTIO/ESTACIONAMENTO EM PISO INTERTRAVADO, COM BLOCO 16 FACES DE 22 X 11 CM, ESPESSURA 6 CM. AF_12/2015</v>
          </cell>
          <cell r="C5672" t="str">
            <v>M2</v>
          </cell>
          <cell r="D5672">
            <v>53.44</v>
          </cell>
        </row>
        <row r="5673">
          <cell r="A5673" t="str">
            <v>92404</v>
          </cell>
          <cell r="B5673" t="str">
            <v>EXECUÇÃO DE PÁTIO/ESTACIONAMENTO EM PISO INTERTRAVADO, COM BLOCO 16 FACES DE 22 X 11 CM, ESPESSURA 8 CM. AF_12/2015</v>
          </cell>
          <cell r="C5673" t="str">
            <v>M2</v>
          </cell>
          <cell r="D5673">
            <v>68.59</v>
          </cell>
        </row>
        <row r="5674">
          <cell r="A5674" t="str">
            <v>92405</v>
          </cell>
          <cell r="B5674" t="str">
            <v>EXECUÇÃO DE VIA EM PISO INTERTRAVADO, COM BLOCO 16 FACES DE 22 X 11 CM, ESPESSURA 8 CM. AF_12/2015</v>
          </cell>
          <cell r="C5674" t="str">
            <v>M2</v>
          </cell>
          <cell r="D5674">
            <v>70.05</v>
          </cell>
        </row>
        <row r="5675">
          <cell r="A5675" t="str">
            <v>92406</v>
          </cell>
          <cell r="B5675" t="str">
            <v>EXECUÇÃO DE PÁTIO/ESTACIONAMENTO EM PISO INTERTRAVADO, COM BLOCO 16 FACES DE 22 X 11 CM, ESPESSURA 10 CM. AF_12/2015</v>
          </cell>
          <cell r="C5675" t="str">
            <v>M2</v>
          </cell>
          <cell r="D5675">
            <v>82.2</v>
          </cell>
        </row>
        <row r="5676">
          <cell r="A5676" t="str">
            <v>92407</v>
          </cell>
          <cell r="B5676" t="str">
            <v>EXECUÇÃO DE VIA EM PISO INTERTRAVADO, COM BLOCO 16 FACES DE 22 X 11 CM, ESPESSURA 10 CM. AF_12/2015</v>
          </cell>
          <cell r="C5676" t="str">
            <v>M2</v>
          </cell>
          <cell r="D5676">
            <v>83.74</v>
          </cell>
        </row>
        <row r="5677">
          <cell r="A5677" t="str">
            <v>93679</v>
          </cell>
          <cell r="B5677" t="str">
            <v>EXECUÇÃO DE PASSEIO EM PISO INTERTRAVADO, COM BLOCO RETANGULAR COLORIDO DE 20 X 10 CM, ESPESSURA 6 CM. AF_12/2015</v>
          </cell>
          <cell r="C5677" t="str">
            <v>M2</v>
          </cell>
          <cell r="D5677">
            <v>71.66</v>
          </cell>
        </row>
        <row r="5678">
          <cell r="A5678" t="str">
            <v>93680</v>
          </cell>
          <cell r="B5678" t="str">
            <v>EXECUÇÃO DE PÁTIO/ESTACIONAMENTO EM PISO INTERTRAVADO, COM BLOCO RETANGULAR COLORIDO DE 20 X 10 CM, ESPESSURA 6 CM. AF_12/2015</v>
          </cell>
          <cell r="C5678" t="str">
            <v>M2</v>
          </cell>
          <cell r="D5678">
            <v>58.46</v>
          </cell>
        </row>
        <row r="5679">
          <cell r="A5679" t="str">
            <v>93681</v>
          </cell>
          <cell r="B5679" t="str">
            <v>EXECUÇÃO DE PÁTIO/ESTACIONAMENTO EM PISO INTERTRAVADO, COM BLOCO RETANGULAR COLORIDO DE 20 X 10 CM, ESPESSURA 8 CM. AF_12/2015</v>
          </cell>
          <cell r="C5679" t="str">
            <v>M2</v>
          </cell>
          <cell r="D5679">
            <v>72.27</v>
          </cell>
        </row>
        <row r="5680">
          <cell r="A5680" t="str">
            <v>93682</v>
          </cell>
          <cell r="B5680" t="str">
            <v>EXECUÇÃO DE VIA EM PISO INTERTRAVADO, COM BLOCO RETANGULAR COLORIDO DE 20 X 10 CM, ESPESSURA 8 CM. AF_12/2015</v>
          </cell>
          <cell r="C5680" t="str">
            <v>M2</v>
          </cell>
          <cell r="D5680">
            <v>73.81</v>
          </cell>
        </row>
        <row r="5681">
          <cell r="A5681" t="str">
            <v>97104</v>
          </cell>
          <cell r="B5681" t="str">
            <v>EXECUÇÃO DE PAVIMENTO DE CONCRETO SIMPLES (PCS), FCK = 40 MPA, CAMADA COM ESPESSURA DE 15,0 CM. AF_11/2017</v>
          </cell>
          <cell r="C5681" t="str">
            <v>M2</v>
          </cell>
          <cell r="D5681">
            <v>97.01</v>
          </cell>
        </row>
        <row r="5682">
          <cell r="A5682" t="str">
            <v>97105</v>
          </cell>
          <cell r="B5682" t="str">
            <v>EXECUÇÃO DE PAVIMENTO DE CONCRETO SIMPLES (PCS), FCK = 40 MPA, CAMADA COM ESPESSURA DE 17,5 CM. AF_11/2017</v>
          </cell>
          <cell r="C5682" t="str">
            <v>M2</v>
          </cell>
          <cell r="D5682">
            <v>114.49</v>
          </cell>
        </row>
        <row r="5683">
          <cell r="A5683" t="str">
            <v>97106</v>
          </cell>
          <cell r="B5683" t="str">
            <v>EXECUÇÃO DE PAVIMENTO DE CONCRETO SIMPLES (PCS), FCK = 40 MPA, CAMADA COM ESPESSURA DE 20,0 CM. AF_11/2017</v>
          </cell>
          <cell r="C5683" t="str">
            <v>M2</v>
          </cell>
          <cell r="D5683">
            <v>124.04</v>
          </cell>
        </row>
        <row r="5684">
          <cell r="A5684" t="str">
            <v>97107</v>
          </cell>
          <cell r="B5684" t="str">
            <v>EXECUÇÃO DE PAVIMENTO DE CONCRETO SIMPLES (PCS), FCK = 40 MPA, CAMADA COM ESPESSURA DE 22,5 CM. AF_11/2017</v>
          </cell>
          <cell r="C5684" t="str">
            <v>M2</v>
          </cell>
          <cell r="D5684">
            <v>133.56</v>
          </cell>
        </row>
        <row r="5685">
          <cell r="A5685" t="str">
            <v>97108</v>
          </cell>
          <cell r="B5685" t="str">
            <v>EXECUÇÃO DE PAVIMENTO DE CONCRETO SIMPLES (PCS), FCK = 40 MPA, CAMADA COM ESPESSURA DE 25,0 CM. AF_11/2017</v>
          </cell>
          <cell r="C5685" t="str">
            <v>M2</v>
          </cell>
          <cell r="D5685">
            <v>158.91</v>
          </cell>
        </row>
        <row r="5686">
          <cell r="A5686" t="str">
            <v>97109</v>
          </cell>
          <cell r="B5686" t="str">
            <v>EXECUÇÃO DE PAVIMENTO DE CONCRETO SIMPLES (PCS), FCK = 40 MPA, CAMADA COM ESPESSURA DE 27,5 CM. AF_11/2017</v>
          </cell>
          <cell r="C5686" t="str">
            <v>M2</v>
          </cell>
          <cell r="D5686">
            <v>168.37</v>
          </cell>
        </row>
        <row r="5687">
          <cell r="A5687" t="str">
            <v>97110</v>
          </cell>
          <cell r="B5687" t="str">
            <v>EXECUÇÃO DE PAVIMENTO DE CONCRETO ARMADO (PCA), FCK = 40 MPA, CAMADA COM ESPESSURA DE 12,5 CM. AF_11/2017</v>
          </cell>
          <cell r="C5687" t="str">
            <v>M2</v>
          </cell>
          <cell r="D5687">
            <v>188.74</v>
          </cell>
        </row>
        <row r="5688">
          <cell r="A5688" t="str">
            <v>97111</v>
          </cell>
          <cell r="B5688" t="str">
            <v>EXECUÇÃO DE PAVIMENTO DE CONCRETO ARMADO (PCA), FCK = 40 MPA, CAMADA COM ESPESSURA DE 15,0 CM. AF_11/2017</v>
          </cell>
          <cell r="C5688" t="str">
            <v>M2</v>
          </cell>
          <cell r="D5688">
            <v>214.83</v>
          </cell>
        </row>
        <row r="5689">
          <cell r="A5689" t="str">
            <v>97112</v>
          </cell>
          <cell r="B5689" t="str">
            <v>EXECUÇÃO DE PAVIMENTO DE CONCRETO ARMADO (PCA), FCK = 40 MPA, CAMADA COM ESPESSURA DE 17,5 CM. AF_11/2017</v>
          </cell>
          <cell r="C5689" t="str">
            <v>M2</v>
          </cell>
          <cell r="D5689">
            <v>223.46</v>
          </cell>
        </row>
        <row r="5690">
          <cell r="A5690" t="str">
            <v>97113</v>
          </cell>
          <cell r="B5690" t="str">
            <v>APLICAÇÃO DE LONA PLÁSTICA PARA EXECUÇÃO DE PAVIMENTOS DE CONCRETO. AF_11/2017</v>
          </cell>
          <cell r="C5690" t="str">
            <v>M</v>
          </cell>
          <cell r="D5690">
            <v>1.76</v>
          </cell>
        </row>
        <row r="5691">
          <cell r="A5691" t="str">
            <v>97114</v>
          </cell>
          <cell r="B5691" t="str">
            <v>EXECUÇÃO DE JUNTAS DE CONTRAÇÃO PARA PAVIMENTOS DE CONCRETO. AF_11/2017</v>
          </cell>
          <cell r="C5691" t="str">
            <v>KG</v>
          </cell>
          <cell r="D5691">
            <v>0.48</v>
          </cell>
        </row>
        <row r="5692">
          <cell r="A5692" t="str">
            <v>97115</v>
          </cell>
          <cell r="B5692" t="str">
            <v>APLICAÇÃO DE GRAXA EM BARRAS DE TRANSFERÊNCIA PARA EXECUÇÃO DE PAVIMENTO DE CONCRETO. AF_11/2017</v>
          </cell>
          <cell r="C5692" t="str">
            <v>KG</v>
          </cell>
          <cell r="D5692">
            <v>50.06</v>
          </cell>
        </row>
        <row r="5693">
          <cell r="A5693" t="str">
            <v>97116</v>
          </cell>
          <cell r="B5693" t="str">
            <v>BARRAS DE TRANSFERÊNCIA, AÇO CA-25 DE 16,0 MM, PARA EXECUÇÃO DE PAVIMENTO DE CONCRETO  FORNECIMENTO E INSTALAÇÃO. AF_11/2017</v>
          </cell>
          <cell r="C5693" t="str">
            <v>KG</v>
          </cell>
          <cell r="D5693">
            <v>23.32</v>
          </cell>
        </row>
        <row r="5694">
          <cell r="A5694" t="str">
            <v>97117</v>
          </cell>
          <cell r="B5694" t="str">
            <v>BARRAS DE TRANSFERÊNCIA, AÇO CA-25 DE 20,0 MM, PARA EXECUÇÃO DE PAVIMENTO DE CONCRETO  FORNECIMENTO E INSTALAÇÃO. AF_11/2017</v>
          </cell>
          <cell r="C5694" t="str">
            <v>KG</v>
          </cell>
          <cell r="D5694">
            <v>22.76</v>
          </cell>
        </row>
        <row r="5695">
          <cell r="A5695" t="str">
            <v>97118</v>
          </cell>
          <cell r="B5695" t="str">
            <v>BARRAS DE TRANSFERÊNCIA, AÇO CA-25 DE 25,0 MM, PARA EXECUÇÃO DE PAVIMENTO DE CONCRETO  FORNECIMENTO E INSTALAÇÃO. AF_11/2017</v>
          </cell>
          <cell r="C5695" t="str">
            <v>KG</v>
          </cell>
          <cell r="D5695">
            <v>20.13</v>
          </cell>
        </row>
        <row r="5696">
          <cell r="A5696" t="str">
            <v>97119</v>
          </cell>
          <cell r="B5696" t="str">
            <v>BARRAS DE TRANSFERÊNCIA, AÇO CA-25 DE 32,0 MM, PARA EXECUÇÃO DE PAVIMENTO DE CONCRETO  FORNECIMENTO E INSTALAÇÃO. AF_11/2017</v>
          </cell>
          <cell r="C5696" t="str">
            <v>KG</v>
          </cell>
          <cell r="D5696">
            <v>19.34</v>
          </cell>
        </row>
        <row r="5697">
          <cell r="A5697" t="str">
            <v>97120</v>
          </cell>
          <cell r="B5697" t="str">
            <v>BARRAS DE LIGAÇÃO, AÇO CA-50 DE 10 MM, PARA EXECUÇÃO DE PAVIMENTO DE CONCRETO  FORNECIMENTO E INSTALAÇÃO. AF_11/2017</v>
          </cell>
          <cell r="C5697" t="str">
            <v>M2</v>
          </cell>
          <cell r="D5697">
            <v>14.14</v>
          </cell>
        </row>
        <row r="5698">
          <cell r="A5698" t="str">
            <v>97802</v>
          </cell>
          <cell r="B5698" t="str">
            <v>PAVIMENTO COM TRATAMENTO SUPERFICIAL SIMPLES, COM EMULSÃO ASFÁLTICA RR-2C. AF_01/2020</v>
          </cell>
          <cell r="C5698" t="str">
            <v>M2</v>
          </cell>
          <cell r="D5698">
            <v>6.4</v>
          </cell>
        </row>
        <row r="5699">
          <cell r="A5699" t="str">
            <v>97803</v>
          </cell>
          <cell r="B5699" t="str">
            <v>PAVIMENTO COM TRATAMENTO SUPERFICIAL SIMPLES, COM EMULSÃO ASFÁLTICA RR-2C, COM BANHO DILUÍDO. AF_01/2020</v>
          </cell>
          <cell r="C5699" t="str">
            <v>M2</v>
          </cell>
          <cell r="D5699">
            <v>9.69</v>
          </cell>
        </row>
        <row r="5700">
          <cell r="A5700" t="str">
            <v>97805</v>
          </cell>
          <cell r="B5700" t="str">
            <v>PAVIMENTO COM TRATAMENTO SUPERFICIAL DUPLO, COM EMULSÃO ASFÁLTICA RR-2C. AF_01/2020</v>
          </cell>
          <cell r="C5700" t="str">
            <v>M2</v>
          </cell>
          <cell r="D5700">
            <v>16.100000000000001</v>
          </cell>
        </row>
        <row r="5701">
          <cell r="A5701" t="str">
            <v>97806</v>
          </cell>
          <cell r="B5701" t="str">
            <v>PAVIMENTO COM TRATAMENTO SUPERFICIAL DUPLO, COM EMULSÃO ASFÁLTICA RR-2C, COM BANHO DILUÍDO. AF_01/2020</v>
          </cell>
          <cell r="C5701" t="str">
            <v>M2</v>
          </cell>
          <cell r="D5701">
            <v>19.34</v>
          </cell>
        </row>
        <row r="5702">
          <cell r="A5702" t="str">
            <v>97807</v>
          </cell>
          <cell r="B5702" t="str">
            <v>PAVIMENTO COM TRATAMENTO SUPERFICIAL DUPLO, COM EMULSÃO ASFÁLTICA RR-2C, COM CAPA SELANTE. AF_01/2020</v>
          </cell>
          <cell r="C5702" t="str">
            <v>M2</v>
          </cell>
          <cell r="D5702">
            <v>21.82</v>
          </cell>
        </row>
        <row r="5703">
          <cell r="A5703" t="str">
            <v>97809</v>
          </cell>
          <cell r="B5703" t="str">
            <v>PAVIMENTO COM TRATAMENTO SUPERFICIAL TRIPLO, COM EMULSÃO ASFÁLTICA RR-2C. AF_01/2020</v>
          </cell>
          <cell r="C5703" t="str">
            <v>M2</v>
          </cell>
          <cell r="D5703">
            <v>17.989999999999998</v>
          </cell>
        </row>
        <row r="5704">
          <cell r="A5704" t="str">
            <v>97810</v>
          </cell>
          <cell r="B5704" t="str">
            <v>PAVIMENTO COM TRATAMENTO SUPERFICIAL TRIPLO, COM EMULSÃO ASFÁLTICA RR-2C, COM BANHO DILUÍDO. AF_01/2020</v>
          </cell>
          <cell r="C5704" t="str">
            <v>M2</v>
          </cell>
          <cell r="D5704">
            <v>19.510000000000002</v>
          </cell>
        </row>
        <row r="5705">
          <cell r="A5705" t="str">
            <v>97811</v>
          </cell>
          <cell r="B5705" t="str">
            <v>PAVIMENTO COM TRATAMENTO SUPERFICIAL TRIPLO, COM EMULSÃO ASFÁLTICA RR-2C, COM CAPA SELANTE. AF_01/2020</v>
          </cell>
          <cell r="C5705" t="str">
            <v>M2</v>
          </cell>
          <cell r="D5705">
            <v>22.07</v>
          </cell>
        </row>
        <row r="5706">
          <cell r="A5706" t="str">
            <v>101167</v>
          </cell>
          <cell r="B5706" t="str">
            <v>EXECUÇÃO DE PAVIMENTO EM PARALELEPÍPEDOS, REJUNTAMENTO COM PÓ DE PEDRA. AF_05/2020</v>
          </cell>
          <cell r="C5706" t="str">
            <v>M2</v>
          </cell>
          <cell r="D5706">
            <v>127.9</v>
          </cell>
        </row>
        <row r="5707">
          <cell r="A5707" t="str">
            <v>101168</v>
          </cell>
          <cell r="B5707" t="str">
            <v>EXECUÇÃO DE PAVIMENTO EM PARALELEPÍPEDOS, REJUNTAMENTO COM PEDRISCO E EMULSÃO ASFÁLTICA. AF_05/2020_P</v>
          </cell>
          <cell r="C5707" t="str">
            <v>M2</v>
          </cell>
          <cell r="D5707">
            <v>169.59</v>
          </cell>
        </row>
        <row r="5708">
          <cell r="A5708" t="str">
            <v>101169</v>
          </cell>
          <cell r="B5708" t="str">
            <v>EXECUÇÃO DE PAVIMENTO EM PARALELEPÍPEDOS, REJUNTAMENTO COM ARGAMASSA TRAÇO 1:3 (CIMENTO E AREIA). AF_05/2020</v>
          </cell>
          <cell r="C5708" t="str">
            <v>M2</v>
          </cell>
          <cell r="D5708">
            <v>138.79</v>
          </cell>
        </row>
        <row r="5709">
          <cell r="A5709" t="str">
            <v>101170</v>
          </cell>
          <cell r="B5709" t="str">
            <v>EXECUÇÃO DE PAVIMENTO EM PEDRAS POLIÉDRICAS, REJUNTAMENTO COM PÓ DE PEDRA. AF_05/2020</v>
          </cell>
          <cell r="C5709" t="str">
            <v>M2</v>
          </cell>
          <cell r="D5709">
            <v>32.96</v>
          </cell>
        </row>
        <row r="5710">
          <cell r="A5710" t="str">
            <v>101171</v>
          </cell>
          <cell r="B5710" t="str">
            <v>EXECUÇÃO DE PAVIMENTO EM PEDRAS POLIÉDRICAS, REJUNTAMENTO COM PEDRISCO E EMULSÃO ASFÁLTICA. AF_05/2020_P</v>
          </cell>
          <cell r="C5710" t="str">
            <v>M2</v>
          </cell>
          <cell r="D5710">
            <v>86.85</v>
          </cell>
        </row>
        <row r="5711">
          <cell r="A5711" t="str">
            <v>101172</v>
          </cell>
          <cell r="B5711" t="str">
            <v>EXECUÇÃO DE PAVIMENTO EM PEDRAS POLIÉDRICAS, REJUNTAMENTO COM ARGAMASSA TRAÇO 1:3 (CIMENTO E AREIA). AF_05/2020</v>
          </cell>
          <cell r="C5711" t="str">
            <v>M3</v>
          </cell>
          <cell r="D5711">
            <v>51.56</v>
          </cell>
        </row>
        <row r="5712">
          <cell r="A5712" t="str">
            <v>95995</v>
          </cell>
          <cell r="B5712" t="str">
            <v>EXECUÇÃO DE PAVIMENTO COM APLICAÇÃO DE CONCRETO ASFÁLTICO, CAMADA DE ROLAMENTO - EXCLUSIVE CARGA E TRANSPORTE. AF_11/2019</v>
          </cell>
          <cell r="C5712" t="str">
            <v>M3</v>
          </cell>
          <cell r="D5712">
            <v>1558.96</v>
          </cell>
        </row>
        <row r="5713">
          <cell r="A5713" t="str">
            <v>95996</v>
          </cell>
          <cell r="B5713" t="str">
            <v>EXECUÇÃO DE PAVIMENTO COM APLICAÇÃO DE CONCRETO ASFÁLTICO, CAMADA DE BINDER - EXCLUSIVE CARGA E TRANSPORTE. AF_11/2019</v>
          </cell>
          <cell r="C5713" t="str">
            <v>M2</v>
          </cell>
          <cell r="D5713">
            <v>1482.41</v>
          </cell>
        </row>
        <row r="5714">
          <cell r="A5714" t="str">
            <v>96001</v>
          </cell>
          <cell r="B5714" t="str">
            <v>FRESAGEM DE PAVIMENTO ASFÁLTICO (PROFUNDIDADE ATÉ 5,0 CM) - EXCLUSIVE TRANSPORTE. AF_11/2019</v>
          </cell>
          <cell r="C5714" t="str">
            <v>M3</v>
          </cell>
          <cell r="D5714">
            <v>7.99</v>
          </cell>
        </row>
        <row r="5715">
          <cell r="A5715" t="str">
            <v>96393</v>
          </cell>
          <cell r="B5715" t="str">
            <v>USINAGEM DE BRITA GRADUADA SIMPLES. AF_03/2020</v>
          </cell>
          <cell r="C5715" t="str">
            <v>M3</v>
          </cell>
          <cell r="D5715">
            <v>129.22999999999999</v>
          </cell>
        </row>
        <row r="5716">
          <cell r="A5716" t="str">
            <v>96394</v>
          </cell>
          <cell r="B5716" t="str">
            <v>USINAGEM DE BRITA GRADUADA TRATADA COM CIMENTO. AF_03/2020</v>
          </cell>
          <cell r="C5716" t="str">
            <v>M3</v>
          </cell>
          <cell r="D5716">
            <v>176.73</v>
          </cell>
        </row>
        <row r="5717">
          <cell r="A5717" t="str">
            <v>96395</v>
          </cell>
          <cell r="B5717" t="str">
            <v>USINAGEM DE CONCRETO PARA COMPACTAÇÃO COM ROLO. AF_03/2020</v>
          </cell>
          <cell r="C5717" t="str">
            <v>M3</v>
          </cell>
          <cell r="D5717">
            <v>243.24</v>
          </cell>
        </row>
        <row r="5718">
          <cell r="A5718" t="str">
            <v>100624</v>
          </cell>
          <cell r="B5718" t="str">
            <v>EXECUÇÃO DE PAVIMENTO COM APLICAÇÃO DE PRÉ-MISTURADO A FRIO, CAMADA DE ROLAMENTO - EXCLUSIVE CARGA E TRANSPORTE. AF_11/2019</v>
          </cell>
          <cell r="C5718" t="str">
            <v>M3</v>
          </cell>
          <cell r="D5718">
            <v>948.96</v>
          </cell>
        </row>
        <row r="5719">
          <cell r="A5719" t="str">
            <v>100625</v>
          </cell>
          <cell r="B5719" t="str">
            <v>EXECUÇÃO DE PAVIMENTO COM APLICAÇÃO DE PRÉ-MISTURADO A FRIO, CAMADA DE BINDER - EXCLUSIVE CARGA E TRANSPORTE. AF_11/2019</v>
          </cell>
          <cell r="C5719" t="str">
            <v>T</v>
          </cell>
          <cell r="D5719">
            <v>903.91</v>
          </cell>
        </row>
        <row r="5720">
          <cell r="A5720" t="str">
            <v>101020</v>
          </cell>
          <cell r="B5720" t="str">
            <v>USINAGEM DE CONCRETO ASFÁLTICO COM CAP 50/70, PARA CAMADA DE BINDER, PADRÃO DNIT FAIXA B, EM USINA DE ASFALTO CONTÍNUA DE 80 TON/H. AF_03/2020</v>
          </cell>
          <cell r="C5720" t="str">
            <v>T</v>
          </cell>
          <cell r="D5720">
            <v>401.7</v>
          </cell>
        </row>
        <row r="5721">
          <cell r="A5721" t="str">
            <v>101021</v>
          </cell>
          <cell r="B5721" t="str">
            <v>USINAGEM DE CONCRETO ASFÁLTICO COM CAP 50/70, PARA CAMADA DE ROLAMENTO, PADRÃO DNIT FAIXA C, EM USINA DE ASFALTO CONTÍNUA DE 80 TON/H. AF_03/2020</v>
          </cell>
          <cell r="C5721" t="str">
            <v>T</v>
          </cell>
          <cell r="D5721">
            <v>430.98</v>
          </cell>
        </row>
        <row r="5722">
          <cell r="A5722" t="str">
            <v>101022</v>
          </cell>
          <cell r="B5722" t="str">
            <v>USINAGEM DE CONCRETO ASFÁLTICO COM CAP 50/70, PARA CAMADA DE BINDER, PADRÃO DNIT FAIXA B, EM USINA DE ASFALTO CONTÍNUA DE 140 TON/H. AF_03/2020_P</v>
          </cell>
          <cell r="C5722" t="str">
            <v>T</v>
          </cell>
          <cell r="D5722">
            <v>350.13</v>
          </cell>
        </row>
        <row r="5723">
          <cell r="A5723" t="str">
            <v>101023</v>
          </cell>
          <cell r="B5723" t="str">
            <v>USINAGEM DE CONCRETO ASFÁLTICO COM CAP 50/70, PARA CAMADA DE ROLAMENTO, PADRÃO DNIT FAIXA C, EM USINA DE ASFALTO CONTÍNUA DE 140 TON/H. AF_03/2020_P</v>
          </cell>
          <cell r="C5723" t="str">
            <v>T</v>
          </cell>
          <cell r="D5723">
            <v>379.42</v>
          </cell>
        </row>
        <row r="5724">
          <cell r="A5724" t="str">
            <v>101024</v>
          </cell>
          <cell r="B5724" t="str">
            <v>USINAGEM DE CONCRETO ASFÁLTICO COM CAP 50/70, PARA CAMADA DE BINDER, PADRÃO DNIT FAIXA B, EM USINA DE ASFALTO GRAVIMÉTRICA DE 150 TON/H. AF_03/2020_P</v>
          </cell>
          <cell r="C5724" t="str">
            <v>T</v>
          </cell>
          <cell r="D5724">
            <v>356.31</v>
          </cell>
        </row>
        <row r="5725">
          <cell r="A5725" t="str">
            <v>101025</v>
          </cell>
          <cell r="B5725" t="str">
            <v>USINAGEM DE CONCRETO ASFÁLTICO COM CAP 50/70 PARA CAMADA DE ROLAMENTO, PADRÃO DNIT FAIXA C, EM USINA DE ASFALTO GRAVIMÉTRICA DE 150 TON/H. AF_03/2020_P</v>
          </cell>
          <cell r="C5725" t="str">
            <v>T</v>
          </cell>
          <cell r="D5725">
            <v>385.59</v>
          </cell>
        </row>
        <row r="5726">
          <cell r="A5726" t="str">
            <v>101026</v>
          </cell>
          <cell r="B5726" t="str">
            <v>USINAGEM DE PRÉ MISTURADO A FRIO, PARA CAMADA DE BINDER, PADRÃO DNIT FAIXA B. AF_03/2020_P</v>
          </cell>
          <cell r="C5726" t="str">
            <v>T</v>
          </cell>
          <cell r="D5726">
            <v>348.22</v>
          </cell>
        </row>
        <row r="5727">
          <cell r="A5727" t="str">
            <v>101027</v>
          </cell>
          <cell r="B5727" t="str">
            <v>USINAGEM DE PRÉ MISTURADO A FRIO, PARA CAMADA DE ROLAMENTO, PADRÃO DNIT FAIXA C. AF_03/2020_P</v>
          </cell>
          <cell r="C5727" t="str">
            <v>M2</v>
          </cell>
          <cell r="D5727">
            <v>358.8</v>
          </cell>
        </row>
        <row r="5728">
          <cell r="A5728" t="str">
            <v>88411</v>
          </cell>
          <cell r="B5728" t="str">
            <v>APLICAÇÃO MANUAL DE FUNDO SELADOR ACRÍLICO EM PANOS COM PRESENÇA DE VÃOS DE EDIFÍCIOS DE MÚLTIPLOS PAVIMENTOS. AF_06/2014</v>
          </cell>
          <cell r="C5728" t="str">
            <v>M2</v>
          </cell>
          <cell r="D5728">
            <v>3.05</v>
          </cell>
        </row>
        <row r="5729">
          <cell r="A5729" t="str">
            <v>88412</v>
          </cell>
          <cell r="B5729" t="str">
            <v>APLICAÇÃO MANUAL DE FUNDO SELADOR ACRÍLICO EM PANOS CEGOS DE FACHADA (SEM PRESENÇA DE VÃOS) DE EDIFÍCIOS DE MÚLTIPLOS PAVIMENTOS. AF_06/2014</v>
          </cell>
          <cell r="C5729" t="str">
            <v>M2</v>
          </cell>
          <cell r="D5729">
            <v>2.36</v>
          </cell>
        </row>
        <row r="5730">
          <cell r="A5730" t="str">
            <v>88413</v>
          </cell>
          <cell r="B5730" t="str">
            <v>APLICAÇÃO MANUAL DE FUNDO SELADOR ACRÍLICO EM SUPERFÍCIES EXTERNAS DE SACADA DE EDIFÍCIOS DE MÚLTIPLOS PAVIMENTOS. AF_06/2014</v>
          </cell>
          <cell r="C5730" t="str">
            <v>M2</v>
          </cell>
          <cell r="D5730">
            <v>4.43</v>
          </cell>
        </row>
        <row r="5731">
          <cell r="A5731" t="str">
            <v>88414</v>
          </cell>
          <cell r="B5731" t="str">
            <v>APLICAÇÃO MANUAL DE FUNDO SELADOR ACRÍLICO EM SUPERFÍCIES INTERNAS DA SACADA DE EDIFÍCIOS DE MÚLTIPLOS PAVIMENTOS. AF_06/2014</v>
          </cell>
          <cell r="C5731" t="str">
            <v>M2</v>
          </cell>
          <cell r="D5731">
            <v>4.87</v>
          </cell>
        </row>
        <row r="5732">
          <cell r="A5732" t="str">
            <v>88415</v>
          </cell>
          <cell r="B5732" t="str">
            <v>APLICAÇÃO MANUAL DE FUNDO SELADOR ACRÍLICO EM PAREDES EXTERNAS DE CASAS. AF_06/2014</v>
          </cell>
          <cell r="C5732" t="str">
            <v>M2</v>
          </cell>
          <cell r="D5732">
            <v>3.27</v>
          </cell>
        </row>
        <row r="5733">
          <cell r="A5733" t="str">
            <v>88416</v>
          </cell>
          <cell r="B5733" t="str">
            <v>APLICAÇÃO MANUAL DE PINTURA COM TINTA TEXTURIZADA ACRÍLICA EM PANOS COM PRESENÇA DE VÃOS DE EDIFÍCIOS DE MÚLTIPLOS PAVIMENTOS, UMA COR. AF_06/2014</v>
          </cell>
          <cell r="C5733" t="str">
            <v>M2</v>
          </cell>
          <cell r="D5733">
            <v>15</v>
          </cell>
        </row>
        <row r="5734">
          <cell r="A5734" t="str">
            <v>88417</v>
          </cell>
          <cell r="B5734" t="str">
            <v>APLICAÇÃO MANUAL DE PINTURA COM TINTA TEXTURIZADA ACRÍLICA EM PANOS CEGOS DE FACHADA (SEM PRESENÇA DE VÃOS) DE EDIFÍCIOS DE MÚLTIPLOS PAVIMENTOS, UMA COR. AF_06/2014</v>
          </cell>
          <cell r="C5734" t="str">
            <v>M2</v>
          </cell>
          <cell r="D5734">
            <v>12.56</v>
          </cell>
        </row>
        <row r="5735">
          <cell r="A5735" t="str">
            <v>88420</v>
          </cell>
          <cell r="B5735" t="str">
            <v>APLICAÇÃO MANUAL DE PINTURA COM TINTA TEXTURIZADA ACRÍLICA EM SUPERFÍCIES EXTERNAS DE SACADA DE EDIFÍCIOS DE MÚLTIPLOS PAVIMENTOS, UMA COR. AF_06/2014</v>
          </cell>
          <cell r="C5735" t="str">
            <v>M2</v>
          </cell>
          <cell r="D5735">
            <v>19.96</v>
          </cell>
        </row>
        <row r="5736">
          <cell r="A5736" t="str">
            <v>88421</v>
          </cell>
          <cell r="B5736" t="str">
            <v>APLICAÇÃO MANUAL DE PINTURA COM TINTA TEXTURIZADA ACRÍLICA EM SUPERFÍCIES INTERNAS DA SACADA DE EDIFÍCIOS DE MÚLTIPLOS PAVIMENTOS, UMA COR. AF_06/2014</v>
          </cell>
          <cell r="C5736" t="str">
            <v>M2</v>
          </cell>
          <cell r="D5736">
            <v>21.52</v>
          </cell>
        </row>
        <row r="5737">
          <cell r="A5737" t="str">
            <v>88423</v>
          </cell>
          <cell r="B5737" t="str">
            <v>APLICAÇÃO MANUAL DE PINTURA COM TINTA TEXTURIZADA ACRÍLICA EM PAREDES EXTERNAS DE CASAS, UMA COR. AF_06/2014</v>
          </cell>
          <cell r="C5737" t="str">
            <v>M2</v>
          </cell>
          <cell r="D5737">
            <v>15.77</v>
          </cell>
        </row>
        <row r="5738">
          <cell r="A5738" t="str">
            <v>88424</v>
          </cell>
          <cell r="B5738" t="str">
            <v>APLICAÇÃO MANUAL DE PINTURA COM TINTA TEXTURIZADA ACRÍLICA EM PANOS COM PRESENÇA DE VÃOS DE EDIFÍCIOS DE MÚLTIPLOS PAVIMENTOS, DUAS CORES. AF_06/2014</v>
          </cell>
          <cell r="C5738" t="str">
            <v>M2</v>
          </cell>
          <cell r="D5738">
            <v>18.37</v>
          </cell>
        </row>
        <row r="5739">
          <cell r="A5739" t="str">
            <v>88426</v>
          </cell>
          <cell r="B5739" t="str">
            <v>APLICAÇÃO MANUAL DE PINTURA COM TINTA TEXTURIZADA ACRÍLICA EM PANOS CEGOS DE FACHADA (SEM PRESENÇA DE VÃOS) DE EDIFÍCIOS DE MÚLTIPLOS PAVIMENTOS, DUAS CORES. AF_06/2014</v>
          </cell>
          <cell r="C5739" t="str">
            <v>M2</v>
          </cell>
          <cell r="D5739">
            <v>14.14</v>
          </cell>
        </row>
        <row r="5740">
          <cell r="A5740" t="str">
            <v>88428</v>
          </cell>
          <cell r="B5740" t="str">
            <v>APLICAÇÃO MANUAL DE PINTURA COM TINTA TEXTURIZADA ACRÍLICA EM SUPERFÍCIES EXTERNAS DE SACADA DE EDIFÍCIOS DE MÚLTIPLOS PAVIMENTOS, DUAS CORES. AF_06/2014</v>
          </cell>
          <cell r="C5740" t="str">
            <v>M2</v>
          </cell>
          <cell r="D5740">
            <v>26.88</v>
          </cell>
        </row>
        <row r="5741">
          <cell r="A5741" t="str">
            <v>88429</v>
          </cell>
          <cell r="B5741" t="str">
            <v>APLICAÇÃO MANUAL DE PINTURA COM TINTA TEXTURIZADA ACRÍLICA EM SUPERFÍCIES INTERNAS DA SACADA DE EDIFÍCIOS DE MÚLTIPLOS PAVIMENTOS, DUAS CORES. AF_06/2014</v>
          </cell>
          <cell r="C5741" t="str">
            <v>M2</v>
          </cell>
          <cell r="D5741">
            <v>29.61</v>
          </cell>
        </row>
        <row r="5742">
          <cell r="A5742" t="str">
            <v>88431</v>
          </cell>
          <cell r="B5742" t="str">
            <v>APLICAÇÃO MANUAL DE PINTURA COM TINTA TEXTURIZADA ACRÍLICA EM PAREDES EXTERNAS DE CASAS, DUAS CORES. AF_06/2014</v>
          </cell>
          <cell r="C5742" t="str">
            <v>M2</v>
          </cell>
          <cell r="D5742">
            <v>19.71</v>
          </cell>
        </row>
        <row r="5743">
          <cell r="A5743" t="str">
            <v>88432</v>
          </cell>
          <cell r="B5743" t="str">
            <v>APLICAÇÃO MANUAL DE PINTURA COM TINTA TEXTURIZADA ACRÍLICA EM MOLDURAS DE EPS, PRÉ-FABRICADOS, OU OUTROS. AF_06/2014</v>
          </cell>
          <cell r="C5743" t="str">
            <v>M2</v>
          </cell>
          <cell r="D5743">
            <v>15.72</v>
          </cell>
        </row>
        <row r="5744">
          <cell r="A5744" t="str">
            <v>88484</v>
          </cell>
          <cell r="B5744" t="str">
            <v>APLICAÇÃO DE FUNDO SELADOR ACRÍLICO EM TETO, UMA DEMÃO. AF_06/2014</v>
          </cell>
          <cell r="C5744" t="str">
            <v>M2</v>
          </cell>
          <cell r="D5744">
            <v>3.28</v>
          </cell>
        </row>
        <row r="5745">
          <cell r="A5745" t="str">
            <v>88485</v>
          </cell>
          <cell r="B5745" t="str">
            <v>APLICAÇÃO DE FUNDO SELADOR ACRÍLICO EM PAREDES, UMA DEMÃO. AF_06/2014</v>
          </cell>
          <cell r="C5745" t="str">
            <v>M2</v>
          </cell>
          <cell r="D5745">
            <v>2.87</v>
          </cell>
        </row>
        <row r="5746">
          <cell r="A5746" t="str">
            <v>88488</v>
          </cell>
          <cell r="B5746" t="str">
            <v>APLICAÇÃO MANUAL DE PINTURA COM TINTA LÁTEX ACRÍLICA EM TETO, DUAS DEMÃOS. AF_06/2014</v>
          </cell>
          <cell r="C5746" t="str">
            <v>M2</v>
          </cell>
          <cell r="D5746">
            <v>15.44</v>
          </cell>
        </row>
        <row r="5747">
          <cell r="A5747" t="str">
            <v>88489</v>
          </cell>
          <cell r="B5747" t="str">
            <v>APLICAÇÃO MANUAL DE PINTURA COM TINTA LÁTEX ACRÍLICA EM PAREDES, DUAS DEMÃOS. AF_06/2014</v>
          </cell>
          <cell r="C5747" t="str">
            <v>M2</v>
          </cell>
          <cell r="D5747">
            <v>13.56</v>
          </cell>
        </row>
        <row r="5748">
          <cell r="A5748" t="str">
            <v>88494</v>
          </cell>
          <cell r="B5748" t="str">
            <v>APLICAÇÃO E LIXAMENTO DE MASSA LÁTEX EM TETO, UMA DEMÃO. AF_06/2014</v>
          </cell>
          <cell r="C5748" t="str">
            <v>M2</v>
          </cell>
          <cell r="D5748">
            <v>20.32</v>
          </cell>
        </row>
        <row r="5749">
          <cell r="A5749" t="str">
            <v>88495</v>
          </cell>
          <cell r="B5749" t="str">
            <v>APLICAÇÃO E LIXAMENTO DE MASSA LÁTEX EM PAREDES, UMA DEMÃO. AF_06/2014</v>
          </cell>
          <cell r="C5749" t="str">
            <v>M2</v>
          </cell>
          <cell r="D5749">
            <v>11.38</v>
          </cell>
        </row>
        <row r="5750">
          <cell r="A5750" t="str">
            <v>88496</v>
          </cell>
          <cell r="B5750" t="str">
            <v>APLICAÇÃO E LIXAMENTO DE MASSA LÁTEX EM TETO, DUAS DEMÃOS. AF_06/2014</v>
          </cell>
          <cell r="C5750" t="str">
            <v>M2</v>
          </cell>
          <cell r="D5750">
            <v>27.69</v>
          </cell>
        </row>
        <row r="5751">
          <cell r="A5751" t="str">
            <v>88497</v>
          </cell>
          <cell r="B5751" t="str">
            <v>APLICAÇÃO E LIXAMENTO DE MASSA LÁTEX EM PAREDES, DUAS DEMÃOS. AF_06/2014</v>
          </cell>
          <cell r="C5751" t="str">
            <v>M2</v>
          </cell>
          <cell r="D5751">
            <v>15.77</v>
          </cell>
        </row>
        <row r="5752">
          <cell r="A5752" t="str">
            <v>95305</v>
          </cell>
          <cell r="B5752" t="str">
            <v>TEXTURA ACRÍLICA, APLICAÇÃO MANUAL EM PAREDE, UMA DEMÃO. AF_09/2016</v>
          </cell>
          <cell r="C5752" t="str">
            <v>M2</v>
          </cell>
          <cell r="D5752">
            <v>12.28</v>
          </cell>
        </row>
        <row r="5753">
          <cell r="A5753" t="str">
            <v>95306</v>
          </cell>
          <cell r="B5753" t="str">
            <v>TEXTURA ACRÍLICA, APLICAÇÃO MANUAL EM TETO, UMA DEMÃO. AF_09/2016</v>
          </cell>
          <cell r="C5753" t="str">
            <v>M2</v>
          </cell>
          <cell r="D5753">
            <v>14.65</v>
          </cell>
        </row>
        <row r="5754">
          <cell r="A5754" t="str">
            <v>95622</v>
          </cell>
          <cell r="B5754" t="str">
            <v>APLICAÇÃO MANUAL DE TINTA LÁTEX ACRÍLICA EM PANOS COM PRESENÇA DE VÃOS DE EDIFÍCIOS DE MÚLTIPLOS PAVIMENTOS, DUAS DEMÃOS. AF_11/2016</v>
          </cell>
          <cell r="C5754" t="str">
            <v>M2</v>
          </cell>
          <cell r="D5754">
            <v>14.03</v>
          </cell>
        </row>
        <row r="5755">
          <cell r="A5755" t="str">
            <v>95623</v>
          </cell>
          <cell r="B5755" t="str">
            <v>APLICAÇÃO MANUAL DE TINTA LÁTEX ACRÍLICA EM PANOS SEM PRESENÇA DE VÃOS DE EDIFÍCIOS DE MÚLTIPLOS PAVIMENTOS, DUAS DEMÃOS. AF_11/2016</v>
          </cell>
          <cell r="C5755" t="str">
            <v>M2</v>
          </cell>
          <cell r="D5755">
            <v>10.68</v>
          </cell>
        </row>
        <row r="5756">
          <cell r="A5756" t="str">
            <v>95624</v>
          </cell>
          <cell r="B5756" t="str">
            <v>APLICAÇÃO MANUAL DE TINTA LÁTEX ACRÍLICA EM SUPERFÍCIES EXTERNAS DE SACADA DE EDIFÍCIOS DE MÚLTIPLOS PAVIMENTOS, DUAS DEMÃOS. AF_11/2016</v>
          </cell>
          <cell r="C5756" t="str">
            <v>M2</v>
          </cell>
          <cell r="D5756">
            <v>20.84</v>
          </cell>
        </row>
        <row r="5757">
          <cell r="A5757" t="str">
            <v>95625</v>
          </cell>
          <cell r="B5757" t="str">
            <v>APLICAÇÃO MANUAL DE TINTA LÁTEX ACRÍLICA EM SUPERFÍCIES INTERNAS DE SACADA DE EDIFÍCIOS DE MÚLTIPLOS PAVIMENTOS, DUAS DEMÃOS. AF_11/2016</v>
          </cell>
          <cell r="C5757" t="str">
            <v>M2</v>
          </cell>
          <cell r="D5757">
            <v>22.98</v>
          </cell>
        </row>
        <row r="5758">
          <cell r="A5758" t="str">
            <v>95626</v>
          </cell>
          <cell r="B5758" t="str">
            <v>APLICAÇÃO MANUAL DE TINTA LÁTEX ACRÍLICA EM PAREDE EXTERNAS DE CASAS, DUAS DEMÃOS. AF_11/2016</v>
          </cell>
          <cell r="C5758" t="str">
            <v>M2</v>
          </cell>
          <cell r="D5758">
            <v>15.11</v>
          </cell>
        </row>
        <row r="5759">
          <cell r="A5759" t="str">
            <v>96126</v>
          </cell>
          <cell r="B5759" t="str">
            <v>APLICAÇÃO MANUAL DE MASSA ACRÍLICA EM PANOS DE FACHADA COM PRESENÇA DE VÃOS, DE EDIFÍCIOS DE MÚLTIPLOS PAVIMENTOS, UMA DEMÃO. AF_05/2017</v>
          </cell>
          <cell r="C5759" t="str">
            <v>M2</v>
          </cell>
          <cell r="D5759">
            <v>19.2</v>
          </cell>
        </row>
        <row r="5760">
          <cell r="A5760" t="str">
            <v>96127</v>
          </cell>
          <cell r="B5760" t="str">
            <v>APLICAÇÃO MANUAL DE MASSA ACRÍLICA EM PANOS DE FACHADA SEM PRESENÇA DE VÃOS, DE EDIFÍCIOS DE MÚLTIPLOS PAVIMENTOS, UMA DEMÃO. AF_05/2017</v>
          </cell>
          <cell r="C5760" t="str">
            <v>M2</v>
          </cell>
          <cell r="D5760">
            <v>15.02</v>
          </cell>
        </row>
        <row r="5761">
          <cell r="A5761" t="str">
            <v>96128</v>
          </cell>
          <cell r="B5761" t="str">
            <v>APLICAÇÃO MANUAL DE MASSA ACRÍLICA EM SUPERFÍCIES EXTERNAS DE SACADA DE EDIFÍCIOS DE MÚLTIPLOS PAVIMENTOS, UMA DEMÃO. AF_05/2017</v>
          </cell>
          <cell r="C5761" t="str">
            <v>M2</v>
          </cell>
          <cell r="D5761">
            <v>27.67</v>
          </cell>
        </row>
        <row r="5762">
          <cell r="A5762" t="str">
            <v>96129</v>
          </cell>
          <cell r="B5762" t="str">
            <v>APLICAÇÃO MANUAL DE MASSA ACRÍLICA EM SUPERFÍCIES INTERNAS DE SACADA DE EDIFÍCIOS DE MÚLTIPLOS PAVIMENTOS, UMA DEMÃO. AF_05/2017</v>
          </cell>
          <cell r="C5762" t="str">
            <v>M2</v>
          </cell>
          <cell r="D5762">
            <v>30.36</v>
          </cell>
        </row>
        <row r="5763">
          <cell r="A5763" t="str">
            <v>96130</v>
          </cell>
          <cell r="B5763" t="str">
            <v>APLICAÇÃO MANUAL DE MASSA ACRÍLICA EM PAREDES EXTERNAS DE CASAS, UMA DEMÃO. AF_05/2017</v>
          </cell>
          <cell r="C5763" t="str">
            <v>M2</v>
          </cell>
          <cell r="D5763">
            <v>20.51</v>
          </cell>
        </row>
        <row r="5764">
          <cell r="A5764" t="str">
            <v>96131</v>
          </cell>
          <cell r="B5764" t="str">
            <v>APLICAÇÃO MANUAL DE MASSA ACRÍLICA EM PANOS DE FACHADA COM PRESENÇA DE VÃOS, DE EDIFÍCIOS DE MÚLTIPLOS PAVIMENTOS, DUAS DEMÃOS. AF_05/2017</v>
          </cell>
          <cell r="C5764" t="str">
            <v>M2</v>
          </cell>
          <cell r="D5764">
            <v>26.71</v>
          </cell>
        </row>
        <row r="5765">
          <cell r="A5765" t="str">
            <v>96132</v>
          </cell>
          <cell r="B5765" t="str">
            <v>APLICAÇÃO MANUAL DE MASSA ACRÍLICA EM PANOS DE FACHADA SEM PRESENÇA DE VÃOS, DE EDIFÍCIOS DE MÚLTIPLOS PAVIMENTOS, DUAS DEMÃOS. AF_05/2017</v>
          </cell>
          <cell r="C5765" t="str">
            <v>M2</v>
          </cell>
          <cell r="D5765">
            <v>21.15</v>
          </cell>
        </row>
        <row r="5766">
          <cell r="A5766" t="str">
            <v>96133</v>
          </cell>
          <cell r="B5766" t="str">
            <v>APLICAÇÃO MANUAL DE MASSA ACRÍLICA EM SUPERFÍCIES EXTERNAS DE SACADA DE EDIFÍCIOS DE MÚLTIPLOS PAVIMENTOS, DUAS DEMÃOS. AF_05/2017</v>
          </cell>
          <cell r="C5766" t="str">
            <v>M2</v>
          </cell>
          <cell r="D5766">
            <v>37.97</v>
          </cell>
        </row>
        <row r="5767">
          <cell r="A5767" t="str">
            <v>96134</v>
          </cell>
          <cell r="B5767" t="str">
            <v>APLICAÇÃO MANUAL DE MASSA ACRÍLICA EM SUPERFÍCIES INTERNAS DE SACADA DE EDIFÍCIOS DE MÚLTIPLOS PAVIMENTOS, DUAS DEMÃOS. AF_05/2017</v>
          </cell>
          <cell r="C5767" t="str">
            <v>M2</v>
          </cell>
          <cell r="D5767">
            <v>41.57</v>
          </cell>
        </row>
        <row r="5768">
          <cell r="A5768" t="str">
            <v>96135</v>
          </cell>
          <cell r="B5768" t="str">
            <v>APLICAÇÃO MANUAL DE MASSA ACRÍLICA EM PAREDES EXTERNAS DE CASAS, DUAS DEMÃOS. AF_05/2017</v>
          </cell>
          <cell r="C5768" t="str">
            <v>M2</v>
          </cell>
          <cell r="D5768">
            <v>28.49</v>
          </cell>
        </row>
        <row r="5769">
          <cell r="A5769" t="str">
            <v>102193</v>
          </cell>
          <cell r="B5769" t="str">
            <v>LIXAMENTO DE MADEIRA PARA APLICAÇÃO DE FUNDO OU PINTURA. AF_01/2021</v>
          </cell>
          <cell r="C5769" t="str">
            <v>M2</v>
          </cell>
          <cell r="D5769">
            <v>2.0099999999999998</v>
          </cell>
        </row>
        <row r="5770">
          <cell r="A5770" t="str">
            <v>102194</v>
          </cell>
          <cell r="B5770" t="str">
            <v>LIXAMENTO DE MASSA PARA MADEIRA. AF_01/2021</v>
          </cell>
          <cell r="C5770" t="str">
            <v>M2</v>
          </cell>
          <cell r="D5770">
            <v>7.62</v>
          </cell>
        </row>
        <row r="5771">
          <cell r="A5771" t="str">
            <v>102197</v>
          </cell>
          <cell r="B5771" t="str">
            <v>PINTURA FUNDO NIVELADOR ALQUÍDICO BRANCO EM MADEIRA. AF_01/2021</v>
          </cell>
          <cell r="C5771" t="str">
            <v>M2</v>
          </cell>
          <cell r="D5771">
            <v>23.33</v>
          </cell>
        </row>
        <row r="5772">
          <cell r="A5772" t="str">
            <v>102200</v>
          </cell>
          <cell r="B5772" t="str">
            <v>APLICAÇÃO MASSA ALQUÍDICA PARA MADEIRA, PARA PINTURA COM TINTA DE ACABAMENTO (PIGMENTADA). AF_01/2021</v>
          </cell>
          <cell r="C5772" t="str">
            <v>M2</v>
          </cell>
          <cell r="D5772">
            <v>19.14</v>
          </cell>
        </row>
        <row r="5773">
          <cell r="A5773" t="str">
            <v>102202</v>
          </cell>
          <cell r="B5773" t="str">
            <v>APLICAÇÃO MASSA EPÓXI PARA MADEIRA, PARA PINTURA COM TINTA PU DE ACABAMENTO (PIGMENTADA). AF_01/2021</v>
          </cell>
          <cell r="C5773" t="str">
            <v>M2</v>
          </cell>
          <cell r="D5773">
            <v>58.89</v>
          </cell>
        </row>
        <row r="5774">
          <cell r="A5774" t="str">
            <v>102203</v>
          </cell>
          <cell r="B5774" t="str">
            <v>PINTURA VERNIZ (INCOLOR) ALQUÍDICO EM MADEIRA, USO INTERNO E EXTERNO, 1 DEMÃO. AF_01/2021</v>
          </cell>
          <cell r="C5774" t="str">
            <v>M2</v>
          </cell>
          <cell r="D5774">
            <v>8.98</v>
          </cell>
        </row>
        <row r="5775">
          <cell r="A5775" t="str">
            <v>102204</v>
          </cell>
          <cell r="B5775" t="str">
            <v>PINTURA VERNIZ (INCOLOR) ALQUÍDICO EM MADEIRA, USO INTERNO, 1 DEMÃO. AF_01/2021</v>
          </cell>
          <cell r="C5775" t="str">
            <v>M2</v>
          </cell>
          <cell r="D5775">
            <v>9.24</v>
          </cell>
        </row>
        <row r="5776">
          <cell r="A5776" t="str">
            <v>102205</v>
          </cell>
          <cell r="B5776" t="str">
            <v>PINTURA VERNIZ (INCOLOR) POLIURETÂNICO (RESINA ALQUÍDICA MODIFICADA) EM MADEIRA, 1 DEMÃO. AF_01/2021</v>
          </cell>
          <cell r="C5776" t="str">
            <v>M2</v>
          </cell>
          <cell r="D5776">
            <v>8.43</v>
          </cell>
        </row>
        <row r="5777">
          <cell r="A5777" t="str">
            <v>102207</v>
          </cell>
          <cell r="B5777" t="str">
            <v>PINTURA TINTA DE ACABAMENTO (PIGMENTADA) A ÓLEO EM MADEIRA, 1 DEMÃO. AF_01/2021</v>
          </cell>
          <cell r="C5777" t="str">
            <v>M2</v>
          </cell>
          <cell r="D5777">
            <v>7.67</v>
          </cell>
        </row>
        <row r="5778">
          <cell r="A5778" t="str">
            <v>102208</v>
          </cell>
          <cell r="B5778" t="str">
            <v>PINTURA TINTA DE ACABAMENTO (PIGMENTADA) ESMALTE SINTÉTICO FOSCO EM MADEIRA, 1 DEMÃO. AF_01/2021</v>
          </cell>
          <cell r="C5778" t="str">
            <v>M2</v>
          </cell>
          <cell r="D5778">
            <v>7.34</v>
          </cell>
        </row>
        <row r="5779">
          <cell r="A5779" t="str">
            <v>102209</v>
          </cell>
          <cell r="B5779" t="str">
            <v>PINTURA TINTA DE ACABAMENTO (PIGMENTADA) ESMALTE SINTÉTICO ACETINADO EM MADEIRA, 1 DEMÃO. AF_01/2021</v>
          </cell>
          <cell r="C5779" t="str">
            <v>M2</v>
          </cell>
          <cell r="D5779">
            <v>7.57</v>
          </cell>
        </row>
        <row r="5780">
          <cell r="A5780" t="str">
            <v>102210</v>
          </cell>
          <cell r="B5780" t="str">
            <v>PINTURA TINTA DE ACABAMENTO (PIGMENTADA) ESMALTE SINTÉTICO BRILHANTE EM MADEIRA, 1 DEMÃO. AF_01/2021</v>
          </cell>
          <cell r="C5780" t="str">
            <v>M2</v>
          </cell>
          <cell r="D5780">
            <v>7.21</v>
          </cell>
        </row>
        <row r="5781">
          <cell r="A5781" t="str">
            <v>102213</v>
          </cell>
          <cell r="B5781" t="str">
            <v>PINTURA VERNIZ (INCOLOR) ALQUÍDICO EM MADEIRA, USO INTERNO E EXTERNO, 2 DEMÃOS. AF_01/2021</v>
          </cell>
          <cell r="C5781" t="str">
            <v>M2</v>
          </cell>
          <cell r="D5781">
            <v>17.97</v>
          </cell>
        </row>
        <row r="5782">
          <cell r="A5782" t="str">
            <v>102214</v>
          </cell>
          <cell r="B5782" t="str">
            <v>PINTURA VERNIZ (INCOLOR) ALQUÍDICO EM MADEIRA, USO INTERNO, 2 DEMÃOS. AF_01/2021</v>
          </cell>
          <cell r="C5782" t="str">
            <v>M2</v>
          </cell>
          <cell r="D5782">
            <v>18.48</v>
          </cell>
        </row>
        <row r="5783">
          <cell r="A5783" t="str">
            <v>102215</v>
          </cell>
          <cell r="B5783" t="str">
            <v>PINTURA VERNIZ (INCOLOR) POLIURETÂNICO (RESINA ALQUÍDICA MODIFICADA) EM MADEIRA, 2 DEMÃOS. AF_01/2021</v>
          </cell>
          <cell r="C5783" t="str">
            <v>M2</v>
          </cell>
          <cell r="D5783">
            <v>16.88</v>
          </cell>
        </row>
        <row r="5784">
          <cell r="A5784" t="str">
            <v>102217</v>
          </cell>
          <cell r="B5784" t="str">
            <v>PINTURA TINTA DE ACABAMENTO (PIGMENTADA) A ÓLEO EM MADEIRA, 2 DEMÃOS. AF_01/2021</v>
          </cell>
          <cell r="C5784" t="str">
            <v>M2</v>
          </cell>
          <cell r="D5784">
            <v>15.36</v>
          </cell>
        </row>
        <row r="5785">
          <cell r="A5785" t="str">
            <v>102218</v>
          </cell>
          <cell r="B5785" t="str">
            <v>PINTURA TINTA DE ACABAMENTO (PIGMENTADA) ESMALTE SINTÉTICO FOSCO EM MADEIRA, 2 DEMÃOS. AF_01/2021</v>
          </cell>
          <cell r="C5785" t="str">
            <v>M2</v>
          </cell>
          <cell r="D5785">
            <v>14.67</v>
          </cell>
        </row>
        <row r="5786">
          <cell r="A5786" t="str">
            <v>102219</v>
          </cell>
          <cell r="B5786" t="str">
            <v>PINTURA TINTA DE ACABAMENTO (PIGMENTADA) ESMALTE SINTÉTICO ACETINADO EM MADEIRA, 2 DEMÃOS. AF_01/2021</v>
          </cell>
          <cell r="C5786" t="str">
            <v>M2</v>
          </cell>
          <cell r="D5786">
            <v>15.14</v>
          </cell>
        </row>
        <row r="5787">
          <cell r="A5787" t="str">
            <v>102220</v>
          </cell>
          <cell r="B5787" t="str">
            <v>PINTURA TINTA DE ACABAMENTO (PIGMENTADA) ESMALTE SINTÉTICO BRILHANTE EM MADEIRA, 2 DEMÃOS. AF_01/2021</v>
          </cell>
          <cell r="C5787" t="str">
            <v>M2</v>
          </cell>
          <cell r="D5787">
            <v>14.45</v>
          </cell>
        </row>
        <row r="5788">
          <cell r="A5788" t="str">
            <v>102223</v>
          </cell>
          <cell r="B5788" t="str">
            <v>PINTURA VERNIZ (INCOLOR) ALQUÍDICO EM MADEIRA, USO INTERNO E EXTERNO, 3 DEMÃOS. AF_01/2021</v>
          </cell>
          <cell r="C5788" t="str">
            <v>M2</v>
          </cell>
          <cell r="D5788">
            <v>26.95</v>
          </cell>
        </row>
        <row r="5789">
          <cell r="A5789" t="str">
            <v>102224</v>
          </cell>
          <cell r="B5789" t="str">
            <v>PINTURA VERNIZ (INCOLOR) ALQUÍDICO EM MADEIRA, USO INTERNO, 3 DEMÃOS. AF_01/2021</v>
          </cell>
          <cell r="C5789" t="str">
            <v>M2</v>
          </cell>
          <cell r="D5789">
            <v>27.71</v>
          </cell>
        </row>
        <row r="5790">
          <cell r="A5790" t="str">
            <v>102225</v>
          </cell>
          <cell r="B5790" t="str">
            <v>PINTURA VERNIZ (INCOLOR) POLIURETÂNICO (RESINA ALQUÍDICA MODIFICADA) EM MADEIRA, 3 DEMÃOS. AF_01/2021</v>
          </cell>
          <cell r="C5790" t="str">
            <v>M2</v>
          </cell>
          <cell r="D5790">
            <v>25.31</v>
          </cell>
        </row>
        <row r="5791">
          <cell r="A5791" t="str">
            <v>102227</v>
          </cell>
          <cell r="B5791" t="str">
            <v>PINTURA TINTA DE ACABAMENTO (PIGMENTADA) A ÓLEO EM MADEIRA, 3 DEMÃOS. AF_01/2021</v>
          </cell>
          <cell r="C5791" t="str">
            <v>M2</v>
          </cell>
          <cell r="D5791">
            <v>23.06</v>
          </cell>
        </row>
        <row r="5792">
          <cell r="A5792" t="str">
            <v>102228</v>
          </cell>
          <cell r="B5792" t="str">
            <v>PINTURA TINTA DE ACABAMENTO (PIGMENTADA) ESMALTE SINTÉTICO FOSCO EM MADEIRA, 3 DEMÃOS. AF_01/2021</v>
          </cell>
          <cell r="C5792" t="str">
            <v>M2</v>
          </cell>
          <cell r="D5792">
            <v>22.04</v>
          </cell>
        </row>
        <row r="5793">
          <cell r="A5793" t="str">
            <v>102229</v>
          </cell>
          <cell r="B5793" t="str">
            <v>PINTURA TINTA DE ACABAMENTO (PIGMENTADA) ESMALTE SINTÉTICO ACETINADO EM MADEIRA, 3 DEMÃOS. AF_01/2021</v>
          </cell>
          <cell r="C5793" t="str">
            <v>M2</v>
          </cell>
          <cell r="D5793">
            <v>22.72</v>
          </cell>
        </row>
        <row r="5794">
          <cell r="A5794" t="str">
            <v>102230</v>
          </cell>
          <cell r="B5794" t="str">
            <v>PINTURA TINTA DE ACABAMENTO (PIGMENTADA) ESMALTE SINTÉTICO BRILHANTE EM MADEIRA, 3 DEMÃOS. AF_01/2021</v>
          </cell>
          <cell r="C5794" t="str">
            <v>M2</v>
          </cell>
          <cell r="D5794">
            <v>21.69</v>
          </cell>
        </row>
        <row r="5795">
          <cell r="A5795" t="str">
            <v>102233</v>
          </cell>
          <cell r="B5795" t="str">
            <v>PINTURA IMUNIZANTE PARA MADEIRA, 1 DEMÃO. AF_01/2021</v>
          </cell>
          <cell r="C5795" t="str">
            <v>M2</v>
          </cell>
          <cell r="D5795">
            <v>9.7200000000000006</v>
          </cell>
        </row>
        <row r="5796">
          <cell r="A5796" t="str">
            <v>102234</v>
          </cell>
          <cell r="B5796" t="str">
            <v>PINTURA IMUNIZANTE PARA MADEIRA, 2 DEMÃOS. AF_01/2021</v>
          </cell>
          <cell r="C5796" t="str">
            <v>M2</v>
          </cell>
          <cell r="D5796">
            <v>19.440000000000001</v>
          </cell>
        </row>
        <row r="5797">
          <cell r="A5797" t="str">
            <v>100716</v>
          </cell>
          <cell r="B5797" t="str">
            <v>JATEAMENTO ABRASIVO COM GRANALHA DE AÇO EM PERFIL METÁLICO EM FÁBRICA. AF_01/2020</v>
          </cell>
          <cell r="C5797" t="str">
            <v>M2</v>
          </cell>
          <cell r="D5797">
            <v>25.38</v>
          </cell>
        </row>
        <row r="5798">
          <cell r="A5798" t="str">
            <v>100717</v>
          </cell>
          <cell r="B5798" t="str">
            <v>LIXAMENTO MANUAL EM SUPERFÍCIES METÁLICAS EM OBRA. AF_01/2020</v>
          </cell>
          <cell r="C5798" t="str">
            <v>M</v>
          </cell>
          <cell r="D5798">
            <v>9.1999999999999993</v>
          </cell>
        </row>
        <row r="5799">
          <cell r="A5799" t="str">
            <v>100718</v>
          </cell>
          <cell r="B5799" t="str">
            <v>COLOCAÇÃO DE FITA PROTETORA PARA PINTURA. AF_01/2020</v>
          </cell>
          <cell r="C5799" t="str">
            <v>M2</v>
          </cell>
          <cell r="D5799">
            <v>1.24</v>
          </cell>
        </row>
        <row r="5800">
          <cell r="A5800" t="str">
            <v>100719</v>
          </cell>
          <cell r="B5800" t="str">
            <v>PINTURA COM TINTA ALQUÍDICA DE FUNDO (TIPO ZARCÃO) PULVERIZADA SOBRE PERFIL METÁLICO EXECUTADO EM FÁBRICA (POR DEMÃO). AF_01/2020_P</v>
          </cell>
          <cell r="C5800" t="str">
            <v>M2</v>
          </cell>
          <cell r="D5800">
            <v>9.5</v>
          </cell>
        </row>
        <row r="5801">
          <cell r="A5801" t="str">
            <v>100720</v>
          </cell>
          <cell r="B5801" t="str">
            <v>PINTURA COM TINTA ALQUÍDICA DE FUNDO (TIPO ZARCÃO) APLICADA A ROLO OU PINCEL SOBRE PERFIL METÁLICO EXECUTADO EM FÁBRICA (POR DEMÃO). AF_01/2020</v>
          </cell>
          <cell r="C5801" t="str">
            <v>M2</v>
          </cell>
          <cell r="D5801">
            <v>9.68</v>
          </cell>
        </row>
        <row r="5802">
          <cell r="A5802" t="str">
            <v>100721</v>
          </cell>
          <cell r="B5802" t="str">
            <v>PINTURA COM TINTA ALQUÍDICA DE FUNDO (TIPO ZARCÃO) PULVERIZADA SOBRE SUPERFÍCIES METÁLICAS (EXCETO PERFIL) EXECUTADO EM OBRA (POR DEMÃO). AF_01/2020_P</v>
          </cell>
          <cell r="C5802" t="str">
            <v>M2</v>
          </cell>
          <cell r="D5802">
            <v>22.39</v>
          </cell>
        </row>
        <row r="5803">
          <cell r="A5803" t="str">
            <v>100722</v>
          </cell>
          <cell r="B5803" t="str">
            <v>PINTURA COM TINTA ALQUÍDICA DE FUNDO (TIPO ZARCÃO) APLICADA A ROLO OU PINCEL SOBRE SUPERFÍCIES METÁLICAS (EXCETO PERFIL) EXECUTADO EM OBRA (POR DEMÃO). AF_01/2020</v>
          </cell>
          <cell r="C5803" t="str">
            <v>M2</v>
          </cell>
          <cell r="D5803">
            <v>22.06</v>
          </cell>
        </row>
        <row r="5804">
          <cell r="A5804" t="str">
            <v>100723</v>
          </cell>
          <cell r="B5804" t="str">
            <v>PINTURA COM TINTA ALQUÍDICA DE FUNDO E ACABAMENTO (ESMALTE SINTÉTICO GRAFITE) PULVERIZADA SOBRE PERFIL METÁLICO EXECUTADO EM FÁBRICA (POR DEMÃO). AF_01/2020_P</v>
          </cell>
          <cell r="C5804" t="str">
            <v>M2</v>
          </cell>
          <cell r="D5804">
            <v>10.199999999999999</v>
          </cell>
        </row>
        <row r="5805">
          <cell r="A5805" t="str">
            <v>100724</v>
          </cell>
          <cell r="B5805" t="str">
            <v>PINTURA COM TINTA ALQUÍDICA DE FUNDO E ACABAMENTO (ESMALTE SINTÉTICO GRAFITE) APLICADA A ROLO OU PINCEL SOBRE PERFIL METÁLICO EXECUTADO EM FÁBRICA (POR DEMÃO). AF_01/2020</v>
          </cell>
          <cell r="C5805" t="str">
            <v>M2</v>
          </cell>
          <cell r="D5805">
            <v>12.51</v>
          </cell>
        </row>
        <row r="5806">
          <cell r="A5806" t="str">
            <v>100725</v>
          </cell>
          <cell r="B5806" t="str">
            <v>PINTURA COM TINTA ALQUÍDICA DE FUNDO E ACABAMENTO (ESMALTE SINTÉTICO GRAFITE) PULVERIZADA SOBRE SUPERFÍCIES METÁLICAS (EXCETO PERFIL) EXECUTADO EM OBRA (POR DEMÃO). AF_01/2020_P</v>
          </cell>
          <cell r="C5806" t="str">
            <v>M2</v>
          </cell>
          <cell r="D5806">
            <v>22.62</v>
          </cell>
        </row>
        <row r="5807">
          <cell r="A5807" t="str">
            <v>100726</v>
          </cell>
          <cell r="B5807" t="str">
            <v>PINTURA COM TINTA ALQUÍDICA DE FUNDO E ACABAMENTO (ESMALTE SINTÉTICO GRAFITE) APLICADA A ROLO OU PINCEL SOBRE SUPERFÍCIES METÁLICAS (EXCETO PERFIL) EXECUTADO EM OBRA (POR DEMÃO). AF_01/2020</v>
          </cell>
          <cell r="C5807" t="str">
            <v>M2</v>
          </cell>
          <cell r="D5807">
            <v>24.79</v>
          </cell>
        </row>
        <row r="5808">
          <cell r="A5808" t="str">
            <v>100727</v>
          </cell>
          <cell r="B5808" t="str">
            <v>PINTURA COM TINTA EPOXÍDICA DE FUNDO PULVERIZADA SOBRE PERFIL METÁLICO EXECUTADO EM FÁBRICA (POR DEMÃO). AF_01/2020_P</v>
          </cell>
          <cell r="C5808" t="str">
            <v>M2</v>
          </cell>
          <cell r="D5808">
            <v>23.46</v>
          </cell>
        </row>
        <row r="5809">
          <cell r="A5809" t="str">
            <v>100728</v>
          </cell>
          <cell r="B5809" t="str">
            <v>PINTURA COM TINTA EPOXÍDICA DE FUNDO APLICADA A ROLO OU PINCEL SOBRE PERFIL METÁLICO EXECUTADO EM FÁBRICA (POR DEMÃO). AF_01/2020</v>
          </cell>
          <cell r="C5809" t="str">
            <v>M2</v>
          </cell>
          <cell r="D5809">
            <v>21.5</v>
          </cell>
        </row>
        <row r="5810">
          <cell r="A5810" t="str">
            <v>100729</v>
          </cell>
          <cell r="B5810" t="str">
            <v>PINTURA COM TINTA EPOXÍDICA DE ACABAMENTO PULVERIZADA SOBRE PERFIL METÁLICO EXECUTADO EM FÁBRICA (POR DEMÃO). AF_01/2020_P</v>
          </cell>
          <cell r="C5810" t="str">
            <v>M2</v>
          </cell>
          <cell r="D5810">
            <v>17.670000000000002</v>
          </cell>
        </row>
        <row r="5811">
          <cell r="A5811" t="str">
            <v>100730</v>
          </cell>
          <cell r="B5811" t="str">
            <v>PINTURA COM TINTA EPOXÍDICA DE ACABAMENTO APLICADA A ROLO OU PINCEL SOBRE PERFIL METÁLICO EXECUTADO EM FÁBRICA (POR DEMÃO). AF_01/2020</v>
          </cell>
          <cell r="C5811" t="str">
            <v>M2</v>
          </cell>
          <cell r="D5811">
            <v>21.1</v>
          </cell>
        </row>
        <row r="5812">
          <cell r="A5812" t="str">
            <v>100733</v>
          </cell>
          <cell r="B5812" t="str">
            <v>PINTURA COM TINTA ACRÍLICA DE FUNDO PULVERIZADA SOBRE SUPERFÍCIES METÁLICAS (EXCETO PERFIL) EXECUTADO EM OBRA (POR DEMÃO). AF_01/2020_P</v>
          </cell>
          <cell r="C5812" t="str">
            <v>M2</v>
          </cell>
          <cell r="D5812">
            <v>11.74</v>
          </cell>
        </row>
        <row r="5813">
          <cell r="A5813" t="str">
            <v>100734</v>
          </cell>
          <cell r="B5813" t="str">
            <v>PINTURA COM TINTA ACRÍLICA DE FUNDO APLICADA A ROLO OU PINCEL SOBRE SUPERFÍCIES METÁLICAS (EXCETO PERFIL) EXECUTADO EM OBRA (POR DEMÃO). AF_01/2020</v>
          </cell>
          <cell r="C5813" t="str">
            <v>M2</v>
          </cell>
          <cell r="D5813">
            <v>14.79</v>
          </cell>
        </row>
        <row r="5814">
          <cell r="A5814" t="str">
            <v>100735</v>
          </cell>
          <cell r="B5814" t="str">
            <v>PINTURA COM TINTA ACRÍLICA DE ACABAMENTO PULVERIZADA SOBRE SUPERFÍCIES METÁLICAS (EXCETO PERFIL) EXECUTADO EM OBRA (POR DEMÃO). AF_01/2020_P</v>
          </cell>
          <cell r="C5814" t="str">
            <v>M2</v>
          </cell>
          <cell r="D5814">
            <v>10.07</v>
          </cell>
        </row>
        <row r="5815">
          <cell r="A5815" t="str">
            <v>100736</v>
          </cell>
          <cell r="B5815" t="str">
            <v>PINTURA COM TINTA ACRÍLICA DE ACABAMENTO APLICADA A ROLO OU PINCEL SOBRE SUPERFÍCIES METÁLICAS (EXCETO PERFIL) EXECUTADO EM OBRA (POR DEMÃO). AF_01/2020</v>
          </cell>
          <cell r="C5815" t="str">
            <v>M2</v>
          </cell>
          <cell r="D5815">
            <v>13.43</v>
          </cell>
        </row>
        <row r="5816">
          <cell r="A5816" t="str">
            <v>100739</v>
          </cell>
          <cell r="B5816" t="str">
            <v>PINTURA COM TINTA ALQUÍDICA DE ACABAMENTO (ESMALTE SINTÉTICO ACETINADO) PULVERIZADA SOBRE PERFIL METÁLICO EXECUTADO EM FÁBRICA (POR DEMÃO). AF_01/2020_P</v>
          </cell>
          <cell r="C5816" t="str">
            <v>M2</v>
          </cell>
          <cell r="D5816">
            <v>9.35</v>
          </cell>
        </row>
        <row r="5817">
          <cell r="A5817" t="str">
            <v>100740</v>
          </cell>
          <cell r="B5817" t="str">
            <v>PINTURA COM TINTA ALQUÍDICA DE ACABAMENTO (ESMALTE SINTÉTICO ACETINADO) APLICADA A ROLO OU PINCEL SOBRE PERFIL METÁLICO EXECUTADO EM FÁBRICA (POR DEMÃO). AF_01/2020</v>
          </cell>
          <cell r="C5817" t="str">
            <v>M2</v>
          </cell>
          <cell r="D5817">
            <v>10.18</v>
          </cell>
        </row>
        <row r="5818">
          <cell r="A5818" t="str">
            <v>100741</v>
          </cell>
          <cell r="B5818" t="str">
            <v>PINTURA COM TINTA ALQUÍDICA DE ACABAMENTO (ESMALTE SINTÉTICO ACETINADO) PULVERIZADA SOBRE SUPERFÍCIES METÁLICAS (EXCETO PERFIL) EXECUTADO EM OBRA (POR DEMÃO). AF_01/2020_P</v>
          </cell>
          <cell r="C5818" t="str">
            <v>M2</v>
          </cell>
          <cell r="D5818">
            <v>22.07</v>
          </cell>
        </row>
        <row r="5819">
          <cell r="A5819" t="str">
            <v>100742</v>
          </cell>
          <cell r="B5819" t="str">
            <v>PINTURA COM TINTA ALQUÍDICA DE ACABAMENTO (ESMALTE SINTÉTICO ACETINADO) APLICADA A ROLO OU PINCEL SOBRE SUPERFÍCIES METÁLICAS (EXCETO PERFIL) EXECUTADO EM OBRA (POR DEMÃO). AF_01/2020</v>
          </cell>
          <cell r="C5819" t="str">
            <v>M2</v>
          </cell>
          <cell r="D5819">
            <v>22.53</v>
          </cell>
        </row>
        <row r="5820">
          <cell r="A5820" t="str">
            <v>100743</v>
          </cell>
          <cell r="B5820" t="str">
            <v>PINTURA COM TINTA ALQUÍDICA DE ACABAMENTO (ESMALTE SINTÉTICO BRILHANTE) PULVERIZADA SOBRE PERFIL METÁLICO EXECUTADO EM FÁBRICA  (POR DEMÃO). AF_01/2020_P</v>
          </cell>
          <cell r="C5820" t="str">
            <v>M2</v>
          </cell>
          <cell r="D5820">
            <v>9.14</v>
          </cell>
        </row>
        <row r="5821">
          <cell r="A5821" t="str">
            <v>100744</v>
          </cell>
          <cell r="B5821" t="str">
            <v>PINTURA COM TINTA ALQUÍDICA DE ACABAMENTO (ESMALTE SINTÉTICO BRILHANTE) APLICADA A ROLO OU PINCEL SOBRE PERFIL METÁLICO EXECUTADO EM FÁBRICA (POR DEMÃO). AF_01/2020</v>
          </cell>
          <cell r="C5821" t="str">
            <v>M2</v>
          </cell>
          <cell r="D5821">
            <v>10.039999999999999</v>
          </cell>
        </row>
        <row r="5822">
          <cell r="A5822" t="str">
            <v>100745</v>
          </cell>
          <cell r="B5822" t="str">
            <v>PINTURA COM TINTA ALQUÍDICA DE ACABAMENTO (ESMALTE SINTÉTICO BRILHANTE) PULVERIZADA SOBRE SUPERFÍCIES METÁLICAS (EXCETO PERFIL) EXECUTADO EM OBRA  (POR DEMÃO). AF_01/2020_P</v>
          </cell>
          <cell r="C5822" t="str">
            <v>M2</v>
          </cell>
          <cell r="D5822">
            <v>21.84</v>
          </cell>
        </row>
        <row r="5823">
          <cell r="A5823" t="str">
            <v>100746</v>
          </cell>
          <cell r="B5823" t="str">
            <v>PINTURA COM TINTA ALQUÍDICA DE ACABAMENTO (ESMALTE SINTÉTICO BRILHANTE) APLICADA A ROLO OU PINCEL SOBRE SUPERFÍCIES METÁLICAS (EXCETO PERFIL) EXECUTADO EM OBRA (POR DEMÃO). AF_01/2020</v>
          </cell>
          <cell r="C5823" t="str">
            <v>M2</v>
          </cell>
          <cell r="D5823">
            <v>22.39</v>
          </cell>
        </row>
        <row r="5824">
          <cell r="A5824" t="str">
            <v>100747</v>
          </cell>
          <cell r="B5824" t="str">
            <v>PINTURA COM TINTA ALQUÍDICA DE ACABAMENTO (ESMALTE SINTÉTICO FOSCO) PULVERIZADA SOBRE PERFIL METÁLICO EXECUTADO EM FÁBRICA (POR DEMÃO). AF_01/2020_P</v>
          </cell>
          <cell r="C5824" t="str">
            <v>M2</v>
          </cell>
          <cell r="D5824">
            <v>9.23</v>
          </cell>
        </row>
        <row r="5825">
          <cell r="A5825" t="str">
            <v>100748</v>
          </cell>
          <cell r="B5825" t="str">
            <v>PINTURA COM TINTA ALQUÍDICA DE ACABAMENTO (ESMALTE SINTÉTICO FOSCO) APLICADA A ROLO OU PINCEL SOBRE PERFIL METÁLICO EXECUTADO EM FÁBRICA (POR DEMÃO). AF_01/2020</v>
          </cell>
          <cell r="C5825" t="str">
            <v>M2</v>
          </cell>
          <cell r="D5825">
            <v>10.1</v>
          </cell>
        </row>
        <row r="5826">
          <cell r="A5826" t="str">
            <v>100749</v>
          </cell>
          <cell r="B5826" t="str">
            <v>PINTURA COM TINTA ALQUÍDICA DE ACABAMENTO (ESMALTE SINTÉTICO FOSCO) PULVERIZADA SOBRE SUPERFÍCIES METÁLICAS (EXCETO PERFIL) EXECUTADO EM OBRA (POR DEMÃO). AF_01/2020_P</v>
          </cell>
          <cell r="C5826" t="str">
            <v>M2</v>
          </cell>
          <cell r="D5826">
            <v>21.93</v>
          </cell>
        </row>
        <row r="5827">
          <cell r="A5827" t="str">
            <v>100750</v>
          </cell>
          <cell r="B5827" t="str">
            <v>PINTURA COM TINTA ALQUÍDICA DE ACABAMENTO (ESMALTE SINTÉTICO FOSCO) APLICADA A ROLO OU PINCEL SOBRE SUPERFÍCIES METÁLICAS (EXCETO PERFIL) EXECUTADO EM OBRA (POR DEMÃO). AF_01/2020</v>
          </cell>
          <cell r="C5827" t="str">
            <v>M2</v>
          </cell>
          <cell r="D5827">
            <v>22.45</v>
          </cell>
        </row>
        <row r="5828">
          <cell r="A5828" t="str">
            <v>100751</v>
          </cell>
          <cell r="B5828" t="str">
            <v>PINTURA COM TINTA EPOXÍDICA DE ACABAMENTO PULVERIZADA SOBRE PERFIL METÁLICO EXECUTADO EM FÁBRICA (02 DEMÃOS). AF_01/2020_P</v>
          </cell>
          <cell r="C5828" t="str">
            <v>M2</v>
          </cell>
          <cell r="D5828">
            <v>35.35</v>
          </cell>
        </row>
        <row r="5829">
          <cell r="A5829" t="str">
            <v>100752</v>
          </cell>
          <cell r="B5829" t="str">
            <v>PINTURA COM TINTA EPOXÍDICA DE ACABAMENTO APLICADA A ROLO OU PINCEL SOBRE PERFIL METÁLICO EXECUTADO EM FÁBRICA (02 DEMÃOS). AF_01/2020</v>
          </cell>
          <cell r="C5829" t="str">
            <v>M2</v>
          </cell>
          <cell r="D5829">
            <v>42.21</v>
          </cell>
        </row>
        <row r="5830">
          <cell r="A5830" t="str">
            <v>100753</v>
          </cell>
          <cell r="B5830" t="str">
            <v>PINTURA COM TINTA ACRÍLICA DE ACABAMENTO PULVERIZADA SOBRE SUPERFÍCIES METÁLICAS (EXCETO PERFIL) EXECUTADO EM OBRA (02 DEMÃOS). AF_01/2020_P</v>
          </cell>
          <cell r="C5830" t="str">
            <v>M2</v>
          </cell>
          <cell r="D5830">
            <v>20.149999999999999</v>
          </cell>
        </row>
        <row r="5831">
          <cell r="A5831" t="str">
            <v>100754</v>
          </cell>
          <cell r="B5831" t="str">
            <v>PINTURA COM TINTA ACRÍLICA DE ACABAMENTO APLICADA A ROLO OU PINCEL SOBRE SUPERFÍCIES METÁLICAS (EXCETO PERFIL) EXECUTADO EM OBRA (02 DEMÃOS). AF_01/2020</v>
          </cell>
          <cell r="C5831" t="str">
            <v>M2</v>
          </cell>
          <cell r="D5831">
            <v>26.86</v>
          </cell>
        </row>
        <row r="5832">
          <cell r="A5832" t="str">
            <v>100757</v>
          </cell>
          <cell r="B5832" t="str">
            <v>PINTURA COM TINTA ALQUÍDICA DE ACABAMENTO (ESMALTE SINTÉTICO ACETINADO) PULVERIZADA SOBRE SUPERFÍCIES METÁLICAS (EXCETO PERFIL) EXECUTADO EM OBRA (02 DEMÃOS). AF_01/2020_P</v>
          </cell>
          <cell r="C5832" t="str">
            <v>M2</v>
          </cell>
          <cell r="D5832">
            <v>44.15</v>
          </cell>
        </row>
        <row r="5833">
          <cell r="A5833" t="str">
            <v>100758</v>
          </cell>
          <cell r="B5833" t="str">
            <v>PINTURA COM TINTA ALQUÍDICA DE ACABAMENTO (ESMALTE SINTÉTICO ACETINADO) APLICADA A ROLO OU PINCEL SOBRE SUPERFÍCIES METÁLICAS (EXCETO PERFIL) EXECUTADO EM OBRA (02 DEMÃOS). AF_01/2020</v>
          </cell>
          <cell r="C5833" t="str">
            <v>M2</v>
          </cell>
          <cell r="D5833">
            <v>45.07</v>
          </cell>
        </row>
        <row r="5834">
          <cell r="A5834" t="str">
            <v>100759</v>
          </cell>
          <cell r="B5834" t="str">
            <v>PINTURA COM TINTA ALQUÍDICA DE ACABAMENTO (ESMALTE SINTÉTICO BRILHANTE) PULVERIZADA SOBRE SUPERFÍCIES METÁLICAS (EXCETO PERFIL) EXECUTADO EM OBRA (02 DEMÃOS). AF_01/2020_P</v>
          </cell>
          <cell r="C5834" t="str">
            <v>M2</v>
          </cell>
          <cell r="D5834">
            <v>43.69</v>
          </cell>
        </row>
        <row r="5835">
          <cell r="A5835" t="str">
            <v>100760</v>
          </cell>
          <cell r="B5835" t="str">
            <v>PINTURA COM TINTA ALQUÍDICA DE ACABAMENTO (ESMALTE SINTÉTICO BRILHANTE) APLICADA A ROLO OU PINCEL SOBRE SUPERFÍCIES METÁLICAS (EXCETO PERFIL) EXECUTADO EM OBRA (02 DEMÃOS). AF_01/2020</v>
          </cell>
          <cell r="C5835" t="str">
            <v>M2</v>
          </cell>
          <cell r="D5835">
            <v>44.78</v>
          </cell>
        </row>
        <row r="5836">
          <cell r="A5836" t="str">
            <v>100761</v>
          </cell>
          <cell r="B5836" t="str">
            <v>PINTURA COM TINTA ALQUÍDICA DE ACABAMENTO (ESMALTE SINTÉTICO FOSCO) PULVERIZADA SOBRE SUPERFÍCIES METÁLICAS (EXCETO PERFIL) EXECUTADO EM OBRA (02 DEMÃOS). AF_01/2020_P</v>
          </cell>
          <cell r="C5836" t="str">
            <v>M2</v>
          </cell>
          <cell r="D5836">
            <v>43.88</v>
          </cell>
        </row>
        <row r="5837">
          <cell r="A5837" t="str">
            <v>100762</v>
          </cell>
          <cell r="B5837" t="str">
            <v>PINTURA COM TINTA ALQUÍDICA DE ACABAMENTO (ESMALTE SINTÉTICO FOSCO) APLICADA A ROLO OU PINCEL SOBRE SUPERFÍCIES METÁLICAS (EXCETO PERFIL) EXECUTADO EM OBRA (02 DEMÃOS). AF_01/2020</v>
          </cell>
          <cell r="C5837" t="str">
            <v>M2</v>
          </cell>
          <cell r="D5837">
            <v>44.9</v>
          </cell>
        </row>
        <row r="5838">
          <cell r="A5838" t="str">
            <v>102488</v>
          </cell>
          <cell r="B5838" t="str">
            <v>PREPARO DO PISO CIMENTADO PARA PINTURA - LIXAMENTO E LIMPEZA. AF_05/2021</v>
          </cell>
          <cell r="C5838" t="str">
            <v>M2</v>
          </cell>
          <cell r="D5838">
            <v>3.2</v>
          </cell>
        </row>
        <row r="5839">
          <cell r="A5839" t="str">
            <v>102489</v>
          </cell>
          <cell r="B5839" t="str">
            <v>PINTURA HIDROFUGANTE COM SILICONE, APLICAÇÃO MANUAL, 2 DEMÃOS. AF_05/2021</v>
          </cell>
          <cell r="C5839" t="str">
            <v>M2</v>
          </cell>
          <cell r="D5839">
            <v>24.42</v>
          </cell>
        </row>
        <row r="5840">
          <cell r="A5840" t="str">
            <v>102491</v>
          </cell>
          <cell r="B5840" t="str">
            <v>PINTURA DE PISO COM TINTA ACRÍLICA, APLICAÇÃO MANUAL, 2 DEMÃOS, INCLUSO FUNDO PREPARADOR. AF_05/2021</v>
          </cell>
          <cell r="C5840" t="str">
            <v>M2</v>
          </cell>
          <cell r="D5840">
            <v>17.43</v>
          </cell>
        </row>
        <row r="5841">
          <cell r="A5841" t="str">
            <v>102492</v>
          </cell>
          <cell r="B5841" t="str">
            <v>PINTURA DE PISO COM TINTA ACRÍLICA, APLICAÇÃO MANUAL, 3 DEMÃOS, INCLUSO FUNDO PREPARADOR. AF_05/2021</v>
          </cell>
          <cell r="C5841" t="str">
            <v>M2</v>
          </cell>
          <cell r="D5841">
            <v>20.47</v>
          </cell>
        </row>
        <row r="5842">
          <cell r="A5842" t="str">
            <v>102494</v>
          </cell>
          <cell r="B5842" t="str">
            <v>PINTURA DE PISO COM TINTA EPÓXI, APLICAÇÃO MANUAL, 2 DEMÃOS, INCLUSO PRIMER EPÓXI. AF_05/2021</v>
          </cell>
          <cell r="C5842" t="str">
            <v>M</v>
          </cell>
          <cell r="D5842">
            <v>55.18</v>
          </cell>
        </row>
        <row r="5843">
          <cell r="A5843" t="str">
            <v>102496</v>
          </cell>
          <cell r="B5843" t="str">
            <v>PINTURA DE RODAPÉ COM TINTA EPÓXI, APLICAÇÃO MANUAL, 2 DEMÃOS, INCLUSÃO PRIMER EPÓXI. AF_05/2021</v>
          </cell>
          <cell r="C5843" t="str">
            <v>M</v>
          </cell>
          <cell r="D5843">
            <v>11.64</v>
          </cell>
        </row>
        <row r="5844">
          <cell r="A5844" t="str">
            <v>102497</v>
          </cell>
          <cell r="B5844" t="str">
            <v>PINTURA DE RODAPÉ EM PEDRA DECORATIVA COM VERNIZ DE POLIURETANO, APLICAÇÃO MANUAL, 3 DEMÃOS. AF_05/2021</v>
          </cell>
          <cell r="C5844" t="str">
            <v>M</v>
          </cell>
          <cell r="D5844">
            <v>4.28</v>
          </cell>
        </row>
        <row r="5845">
          <cell r="A5845" t="str">
            <v>102498</v>
          </cell>
          <cell r="B5845" t="str">
            <v>PINTURA DE MEIO-FIO COM TINTA BRANCA A BASE DE CAL (CAIAÇÃO). AF_05/2021</v>
          </cell>
          <cell r="C5845" t="str">
            <v>M2</v>
          </cell>
          <cell r="D5845">
            <v>1.41</v>
          </cell>
        </row>
        <row r="5846">
          <cell r="A5846" t="str">
            <v>102499</v>
          </cell>
          <cell r="B5846" t="str">
            <v>ENCERAMENTO DE PISO EM MADEIRA. AF_05/2021</v>
          </cell>
          <cell r="C5846" t="str">
            <v>M</v>
          </cell>
          <cell r="D5846">
            <v>2.58</v>
          </cell>
        </row>
        <row r="5847">
          <cell r="A5847" t="str">
            <v>102500</v>
          </cell>
          <cell r="B5847" t="str">
            <v>PINTURA DE DEMARCAÇÃO DE VAGA COM TINTA ACRÍLICA, E = 10 CM, APLICAÇÃO MANUAL. AF_05/2021</v>
          </cell>
          <cell r="C5847" t="str">
            <v>M2</v>
          </cell>
          <cell r="D5847">
            <v>3.78</v>
          </cell>
        </row>
        <row r="5848">
          <cell r="A5848" t="str">
            <v>102501</v>
          </cell>
          <cell r="B5848" t="str">
            <v>PINTURA DE FAIXA DE PEDESTRE OU ZEBRADA COM TINTA ACRÍLICA, E  = 30 CM, APLICAÇÃO MANUAL. AF_05/2021</v>
          </cell>
          <cell r="C5848" t="str">
            <v>M</v>
          </cell>
          <cell r="D5848">
            <v>21.15</v>
          </cell>
        </row>
        <row r="5849">
          <cell r="A5849" t="str">
            <v>102504</v>
          </cell>
          <cell r="B5849" t="str">
            <v>PINTURA DE DEMARCAÇÃO DE QUADRA POLIESPORTIVA COM TINTA ACRÍLICA, E = 5 CM, APLICAÇÃO MANUAL. AF_05/2021</v>
          </cell>
          <cell r="C5849" t="str">
            <v>M</v>
          </cell>
          <cell r="D5849">
            <v>8.75</v>
          </cell>
        </row>
        <row r="5850">
          <cell r="A5850" t="str">
            <v>102505</v>
          </cell>
          <cell r="B5850" t="str">
            <v>PINTURA DE DEMARCAÇÃO DE QUADRA POLIESPORTIVA COM BORRACHA CLORADA, E = 5 CM, APLICAÇÃO MANUAL. AF_05/2021</v>
          </cell>
          <cell r="C5850" t="str">
            <v>M</v>
          </cell>
          <cell r="D5850">
            <v>9.32</v>
          </cell>
        </row>
        <row r="5851">
          <cell r="A5851" t="str">
            <v>102506</v>
          </cell>
          <cell r="B5851" t="str">
            <v>PINTURA DE DEMARCAÇÃO DE QUADRA POLIESPORTIVA COM TINTA EPÓXI, E = 5 CM, APLICAÇÃO MANUAL. AF_05/2021</v>
          </cell>
          <cell r="C5851" t="str">
            <v>M</v>
          </cell>
          <cell r="D5851">
            <v>9.65</v>
          </cell>
        </row>
        <row r="5852">
          <cell r="A5852" t="str">
            <v>102507</v>
          </cell>
          <cell r="B5852" t="str">
            <v>PINTURA DE DEMARCAÇÃO DE VAGA COM TINTA EPÓXI, E = 10 CM, APLICAÇÃO MANUAL. AF_05/2021</v>
          </cell>
          <cell r="C5852" t="str">
            <v>M2</v>
          </cell>
          <cell r="D5852">
            <v>5.57</v>
          </cell>
        </row>
        <row r="5853">
          <cell r="A5853" t="str">
            <v>102508</v>
          </cell>
          <cell r="B5853" t="str">
            <v>PINTURA DE FAIXA DE PEDESTRE OU ZEBRADA COM TINTA EPÓXI, E  = 30 CM, APLICAÇÃO MANUAL. AF_05/2021</v>
          </cell>
          <cell r="C5853" t="str">
            <v>M2</v>
          </cell>
          <cell r="D5853">
            <v>39.409999999999997</v>
          </cell>
        </row>
        <row r="5854">
          <cell r="A5854" t="str">
            <v>102509</v>
          </cell>
          <cell r="B5854" t="str">
            <v>PINTURA DE FAIXA DE PEDESTRE OU ZEBRADA TINTA RETRORREFLETIVA A BASE DE RESINA ACRÍLICA COM MICROESFERAS DE VIDRO, E = 30 CM, APLICAÇÃO MANUAL. AF_05/2021</v>
          </cell>
          <cell r="C5854" t="str">
            <v>M</v>
          </cell>
          <cell r="D5854">
            <v>26.16</v>
          </cell>
        </row>
        <row r="5855">
          <cell r="A5855" t="str">
            <v>102512</v>
          </cell>
          <cell r="B5855" t="str">
            <v>PINTURA DE EIXO VIÁRIO SOBRE ASFALTO COM TINTA RETRORREFLETIVA A BASE DE RESINA ACRÍLICA COM MICROESFERAS DE VIDRO, APLICAÇÃO MECÂNICA COM DEMARCADORA AUTOPROPELIDA. AF_05/2021</v>
          </cell>
          <cell r="C5855" t="str">
            <v>M2</v>
          </cell>
          <cell r="D5855">
            <v>4.59</v>
          </cell>
        </row>
        <row r="5856">
          <cell r="A5856" t="str">
            <v>102513</v>
          </cell>
          <cell r="B5856" t="str">
            <v>PINTURA DE SÍMBOLOS E TEXTOS COM TINTA ACRÍLICA, DEMARCAÇÃO COM FITA ADESIVA E APLICAÇÃO COM ROLO. AF_05/2021</v>
          </cell>
          <cell r="C5856" t="str">
            <v>M2</v>
          </cell>
          <cell r="D5856">
            <v>40.880000000000003</v>
          </cell>
        </row>
        <row r="5857">
          <cell r="A5857" t="str">
            <v>102520</v>
          </cell>
          <cell r="B5857" t="str">
            <v>PINTURA DE SINALIZAÇÃO VERTICAL DE SEGURANÇA, FAIXAS AMARELA E PRETA, APLICAÇÃO MANUAL, 2 DEMÃOS. AF_05/2021</v>
          </cell>
          <cell r="C5857" t="str">
            <v>M2</v>
          </cell>
          <cell r="D5857">
            <v>71.319999999999993</v>
          </cell>
        </row>
        <row r="5858">
          <cell r="A5858" t="str">
            <v>101749</v>
          </cell>
          <cell r="B5858" t="str">
            <v>PISO CIMENTADO, TRAÇO 1:3 (CIMENTO E AREIA), ACABAMENTO LISO, ESPESSURA 4,0 CM, PREPARO MECÂNICO DA ARGAMASSA. AF_09/2020</v>
          </cell>
          <cell r="C5858" t="str">
            <v>M2</v>
          </cell>
          <cell r="D5858">
            <v>42.18</v>
          </cell>
        </row>
        <row r="5859">
          <cell r="A5859" t="str">
            <v>101750</v>
          </cell>
          <cell r="B5859" t="str">
            <v>PISO CIMENTADO, TRAÇO 1:3 (CIMENTO E AREIA), ACABAMENTO RÚSTICO, ESPESSURA 4,0 CM, PREPARO MECÂNICO DA ARGAMASSA. AF_09/2020</v>
          </cell>
          <cell r="C5859" t="str">
            <v>M2</v>
          </cell>
          <cell r="D5859">
            <v>39.979999999999997</v>
          </cell>
        </row>
        <row r="5860">
          <cell r="A5860" t="str">
            <v>101729</v>
          </cell>
          <cell r="B5860" t="str">
            <v>PISO EM TACO DE MADEIRA 7X42CM, FIXADO COM COLA BASE DE PVA. AF_09/2020</v>
          </cell>
          <cell r="C5860" t="str">
            <v>M2</v>
          </cell>
          <cell r="D5860">
            <v>162.13</v>
          </cell>
        </row>
        <row r="5861">
          <cell r="A5861" t="str">
            <v>101746</v>
          </cell>
          <cell r="B5861" t="str">
            <v>ASSOALHO DE MADEIRA. AF_09/2020</v>
          </cell>
          <cell r="C5861" t="str">
            <v>M2</v>
          </cell>
          <cell r="D5861">
            <v>244.24</v>
          </cell>
        </row>
        <row r="5862">
          <cell r="A5862" t="str">
            <v>101751</v>
          </cell>
          <cell r="B5862" t="str">
            <v>PISO EM TACO DE MADEIRA 7X21CM, FIXADO COM COLA BASE DE PVA. AF_09/2020</v>
          </cell>
          <cell r="C5862" t="str">
            <v>M2</v>
          </cell>
          <cell r="D5862">
            <v>168.76</v>
          </cell>
        </row>
        <row r="5863">
          <cell r="A5863" t="str">
            <v>87246</v>
          </cell>
          <cell r="B5863" t="str">
            <v>REVESTIMENTO CERÂMICO PARA PISO COM PLACAS TIPO ESMALTADA EXTRA DE DIMENSÕES 35X35 CM APLICADA EM AMBIENTES DE ÁREA MENOR QUE 5 M2. AF_06/2014</v>
          </cell>
          <cell r="C5863" t="str">
            <v>M2</v>
          </cell>
          <cell r="D5863">
            <v>58</v>
          </cell>
        </row>
        <row r="5864">
          <cell r="A5864" t="str">
            <v>87247</v>
          </cell>
          <cell r="B5864" t="str">
            <v>REVESTIMENTO CERÂMICO PARA PISO COM PLACAS TIPO ESMALTADA EXTRA DE DIMENSÕES 35X35 CM APLICADA EM AMBIENTES DE ÁREA ENTRE 5 M2 E 10 M2. AF_06/2014</v>
          </cell>
          <cell r="C5864" t="str">
            <v>M2</v>
          </cell>
          <cell r="D5864">
            <v>50.81</v>
          </cell>
        </row>
        <row r="5865">
          <cell r="A5865" t="str">
            <v>87248</v>
          </cell>
          <cell r="B5865" t="str">
            <v>REVESTIMENTO CERÂMICO PARA PISO COM PLACAS TIPO ESMALTADA EXTRA DE DIMENSÕES 35X35 CM APLICADA EM AMBIENTES DE ÁREA MAIOR QUE 10 M2. AF_06/2014</v>
          </cell>
          <cell r="C5865" t="str">
            <v>M2</v>
          </cell>
          <cell r="D5865">
            <v>44.94</v>
          </cell>
        </row>
        <row r="5866">
          <cell r="A5866" t="str">
            <v>87249</v>
          </cell>
          <cell r="B5866" t="str">
            <v>REVESTIMENTO CERÂMICO PARA PISO COM PLACAS TIPO ESMALTADA EXTRA DE DIMENSÕES 45X45 CM APLICADA EM AMBIENTES DE ÁREA MENOR QUE 5 M2. AF_06/2014</v>
          </cell>
          <cell r="C5866" t="str">
            <v>M2</v>
          </cell>
          <cell r="D5866">
            <v>64.75</v>
          </cell>
        </row>
        <row r="5867">
          <cell r="A5867" t="str">
            <v>87250</v>
          </cell>
          <cell r="B5867" t="str">
            <v>REVESTIMENTO CERÂMICO PARA PISO COM PLACAS TIPO ESMALTADA EXTRA DE DIMENSÕES 45X45 CM APLICADA EM AMBIENTES DE ÁREA ENTRE 5 M2 E 10 M2. AF_06/2014</v>
          </cell>
          <cell r="C5867" t="str">
            <v>M2</v>
          </cell>
          <cell r="D5867">
            <v>53.4</v>
          </cell>
        </row>
        <row r="5868">
          <cell r="A5868" t="str">
            <v>87251</v>
          </cell>
          <cell r="B5868" t="str">
            <v>REVESTIMENTO CERÂMICO PARA PISO COM PLACAS TIPO ESMALTADA EXTRA DE DIMENSÕES 45X45 CM APLICADA EM AMBIENTES DE ÁREA MAIOR QUE 10 M2. AF_06/2014</v>
          </cell>
          <cell r="C5868" t="str">
            <v>M2</v>
          </cell>
          <cell r="D5868">
            <v>45.99</v>
          </cell>
        </row>
        <row r="5869">
          <cell r="A5869" t="str">
            <v>87255</v>
          </cell>
          <cell r="B5869" t="str">
            <v>REVESTIMENTO CERÂMICO PARA PISO COM PLACAS TIPO ESMALTADA EXTRA DE DIMENSÕES 60X60 CM APLICADA EM AMBIENTES DE ÁREA MENOR QUE 5 M2. AF_06/2014</v>
          </cell>
          <cell r="C5869" t="str">
            <v>M2</v>
          </cell>
          <cell r="D5869">
            <v>105.72</v>
          </cell>
        </row>
        <row r="5870">
          <cell r="A5870" t="str">
            <v>87256</v>
          </cell>
          <cell r="B5870" t="str">
            <v>REVESTIMENTO CERÂMICO PARA PISO COM PLACAS TIPO ESMALTADA EXTRA DE DIMENSÕES 60X60 CM APLICADA EM AMBIENTES DE ÁREA ENTRE 5 M2 E 10 M2. AF_06/2014</v>
          </cell>
          <cell r="C5870" t="str">
            <v>M2</v>
          </cell>
          <cell r="D5870">
            <v>92</v>
          </cell>
        </row>
        <row r="5871">
          <cell r="A5871" t="str">
            <v>87257</v>
          </cell>
          <cell r="B5871" t="str">
            <v>REVESTIMENTO CERÂMICO PARA PISO COM PLACAS TIPO ESMALTADA EXTRA DE DIMENSÕES 60X60 CM APLICADA EM AMBIENTES DE ÁREA MAIOR QUE 10 M2. AF_06/2014</v>
          </cell>
          <cell r="C5871" t="str">
            <v>M2</v>
          </cell>
          <cell r="D5871">
            <v>83.31</v>
          </cell>
        </row>
        <row r="5872">
          <cell r="A5872" t="str">
            <v>87258</v>
          </cell>
          <cell r="B5872" t="str">
            <v>REVESTIMENTO CERÂMICO PARA PISO COM PLACAS TIPO PORCELANATO DE DIMENSÕES 45X45 CM APLICADA EM AMBIENTES DE ÁREA MENOR QUE 5 M². AF_06/2014</v>
          </cell>
          <cell r="C5872" t="str">
            <v>M2</v>
          </cell>
          <cell r="D5872">
            <v>137.9</v>
          </cell>
        </row>
        <row r="5873">
          <cell r="A5873" t="str">
            <v>87259</v>
          </cell>
          <cell r="B5873" t="str">
            <v>REVESTIMENTO CERÂMICO PARA PISO COM PLACAS TIPO PORCELANATO DE DIMENSÕES 45X45 CM APLICADA EM AMBIENTES DE ÁREA ENTRE 5 M² E 10 M². AF_06/2014</v>
          </cell>
          <cell r="C5873" t="str">
            <v>M2</v>
          </cell>
          <cell r="D5873">
            <v>124.88</v>
          </cell>
        </row>
        <row r="5874">
          <cell r="A5874" t="str">
            <v>87260</v>
          </cell>
          <cell r="B5874" t="str">
            <v>REVESTIMENTO CERÂMICO PARA PISO COM PLACAS TIPO PORCELANATO DE DIMENSÕES 45X45 CM APLICADA EM AMBIENTES DE ÁREA MAIOR QUE 10 M². AF_06/2014</v>
          </cell>
          <cell r="C5874" t="str">
            <v>M2</v>
          </cell>
          <cell r="D5874">
            <v>117.23</v>
          </cell>
        </row>
        <row r="5875">
          <cell r="A5875" t="str">
            <v>87261</v>
          </cell>
          <cell r="B5875" t="str">
            <v>REVESTIMENTO CERÂMICO PARA PISO COM PLACAS TIPO PORCELANATO DE DIMENSÕES 60X60 CM APLICADA EM AMBIENTES DE ÁREA MENOR QUE 5 M². AF_06/2014</v>
          </cell>
          <cell r="C5875" t="str">
            <v>M2</v>
          </cell>
          <cell r="D5875">
            <v>159.62</v>
          </cell>
        </row>
        <row r="5876">
          <cell r="A5876" t="str">
            <v>87262</v>
          </cell>
          <cell r="B5876" t="str">
            <v>REVESTIMENTO CERÂMICO PARA PISO COM PLACAS TIPO PORCELANATO DE DIMENSÕES 60X60 CM APLICADA EM AMBIENTES DE ÁREA ENTRE 5 M² E 10 M². AF_06/2014</v>
          </cell>
          <cell r="C5876" t="str">
            <v>M2</v>
          </cell>
          <cell r="D5876">
            <v>144.44999999999999</v>
          </cell>
        </row>
        <row r="5877">
          <cell r="A5877" t="str">
            <v>87263</v>
          </cell>
          <cell r="B5877" t="str">
            <v>REVESTIMENTO CERÂMICO PARA PISO COM PLACAS TIPO PORCELANATO DE DIMENSÕES 60X60 CM APLICADA EM AMBIENTES DE ÁREA MAIOR QUE 10 M². AF_06/2014</v>
          </cell>
          <cell r="C5877" t="str">
            <v>M2</v>
          </cell>
          <cell r="D5877">
            <v>135.41</v>
          </cell>
        </row>
        <row r="5878">
          <cell r="A5878" t="str">
            <v>89046</v>
          </cell>
          <cell r="B5878" t="str">
            <v>(COMPOSIÇÃO REPRESENTATIVA) DO SERVIÇO DE REVESTIMENTO CERÂMICO PARA PISO COM PLACAS TIPO ESMALTADA EXTRA DE DIMENSÕES 35X35 CM, PARA EDIFICAÇÃO HABITACIONAL MULTIFAMILIAR (PRÉDIO). AF_11/2014</v>
          </cell>
          <cell r="C5878" t="str">
            <v>M2</v>
          </cell>
          <cell r="D5878">
            <v>50.48</v>
          </cell>
        </row>
        <row r="5879">
          <cell r="A5879" t="str">
            <v>89171</v>
          </cell>
          <cell r="B5879" t="str">
            <v>(COMPOSIÇÃO REPRESENTATIVA) DO SERVIÇO DE REVESTIMENTO CERÂMICO PARA PISO COM PLACAS TIPO ESMALTADA EXTRA DE DIMENSÕES 35X35 CM, PARA EDIFICAÇÃO HABITACIONAL UNIFAMILIAR (CASA) E EDIFICAÇÃO PÚBLICA PADRÃO. AF_11/2014</v>
          </cell>
          <cell r="C5879" t="str">
            <v>M2</v>
          </cell>
          <cell r="D5879">
            <v>47.61</v>
          </cell>
        </row>
        <row r="5880">
          <cell r="A5880" t="str">
            <v>93389</v>
          </cell>
          <cell r="B5880" t="str">
            <v>REVESTIMENTO CERÂMICO PARA PISO COM PLACAS TIPO ESMALTADA PADRÃO POPULAR DE DIMENSÕES 35X35 CM APLICADA EM AMBIENTES DE ÁREA MENOR QUE 5 M2. AF_06/2014</v>
          </cell>
          <cell r="C5880" t="str">
            <v>M2</v>
          </cell>
          <cell r="D5880">
            <v>52.33</v>
          </cell>
        </row>
        <row r="5881">
          <cell r="A5881" t="str">
            <v>93390</v>
          </cell>
          <cell r="B5881" t="str">
            <v>REVESTIMENTO CERÂMICO PARA PISO COM PLACAS TIPO ESMALTADA PADRÃO POPULAR DE DIMENSÕES 35X35 CM APLICADA EM AMBIENTES DE ÁREA ENTRE 5 M2 E 10 M2. AF_06/2014</v>
          </cell>
          <cell r="C5881" t="str">
            <v>M2</v>
          </cell>
          <cell r="D5881">
            <v>45.25</v>
          </cell>
        </row>
        <row r="5882">
          <cell r="A5882" t="str">
            <v>93391</v>
          </cell>
          <cell r="B5882" t="str">
            <v>REVESTIMENTO CERÂMICO PARA PISO COM PLACAS TIPO ESMALTADA PADRÃO POPULAR DE DIMENSÕES 35X35 CM APLICADA EM AMBIENTES DE ÁREA MAIOR QUE 10 M2. AF_06/2014</v>
          </cell>
          <cell r="C5882" t="str">
            <v>M2</v>
          </cell>
          <cell r="D5882">
            <v>39.380000000000003</v>
          </cell>
        </row>
        <row r="5883">
          <cell r="A5883" t="str">
            <v>98671</v>
          </cell>
          <cell r="B5883" t="str">
            <v>PISO EM GRANITO APLICADO EM AMBIENTES INTERNOS. AF_09/2020</v>
          </cell>
          <cell r="C5883" t="str">
            <v>M2</v>
          </cell>
          <cell r="D5883">
            <v>209.68</v>
          </cell>
        </row>
        <row r="5884">
          <cell r="A5884" t="str">
            <v>98672</v>
          </cell>
          <cell r="B5884" t="str">
            <v>PISO EM MÁRMORE APLICADO EM AMBIENTES INTERNOS. AF_09/2020</v>
          </cell>
          <cell r="C5884" t="str">
            <v>M2</v>
          </cell>
          <cell r="D5884">
            <v>375.48</v>
          </cell>
        </row>
        <row r="5885">
          <cell r="A5885" t="str">
            <v>98678</v>
          </cell>
          <cell r="B5885" t="str">
            <v>PISO ELEVADO COM ESTRUTURA EM AÇO, COMPOSTO POR PEDESTAIS E LONGARINAS. AF_09/2020</v>
          </cell>
          <cell r="C5885" t="str">
            <v>M2</v>
          </cell>
          <cell r="D5885">
            <v>397.25</v>
          </cell>
        </row>
        <row r="5886">
          <cell r="A5886" t="str">
            <v>98679</v>
          </cell>
          <cell r="B5886" t="str">
            <v>PISO CIMENTADO, TRAÇO 1:3 (CIMENTO E AREIA), ACABAMENTO LISO, ESPESSURA 2,0 CM, PREPARO MECÂNICO DA ARGAMASSA. AF_09/2020</v>
          </cell>
          <cell r="C5886" t="str">
            <v>M2</v>
          </cell>
          <cell r="D5886">
            <v>29.27</v>
          </cell>
        </row>
        <row r="5887">
          <cell r="A5887" t="str">
            <v>98680</v>
          </cell>
          <cell r="B5887" t="str">
            <v>PISO CIMENTADO, TRAÇO 1:3 (CIMENTO E AREIA), ACABAMENTO LISO, ESPESSURA 3,0 CM, PREPARO MECÂNICO DA ARGAMASSA. AF_09/2020</v>
          </cell>
          <cell r="C5887" t="str">
            <v>M2</v>
          </cell>
          <cell r="D5887">
            <v>36.380000000000003</v>
          </cell>
        </row>
        <row r="5888">
          <cell r="A5888" t="str">
            <v>98681</v>
          </cell>
          <cell r="B5888" t="str">
            <v>PISO CIMENTADO, TRAÇO 1:3 (CIMENTO E AREIA), ACABAMENTO RÚSTICO, ESPESSURA 2,0 CM, PREPARO MECÂNICO DA ARGAMASSA. AF_09/2020</v>
          </cell>
          <cell r="C5888" t="str">
            <v>M2</v>
          </cell>
          <cell r="D5888">
            <v>27.07</v>
          </cell>
        </row>
        <row r="5889">
          <cell r="A5889" t="str">
            <v>98682</v>
          </cell>
          <cell r="B5889" t="str">
            <v>PISO CIMENTADO, TRAÇO 1:3 (CIMENTO E AREIA), ACABAMENTO RÚSTICO, ESPESSURA 3,0 CM, PREPARO MECÂNICO DA ARGAMASSA. AF_09/2020</v>
          </cell>
          <cell r="C5889" t="str">
            <v>M</v>
          </cell>
          <cell r="D5889">
            <v>34.17</v>
          </cell>
        </row>
        <row r="5890">
          <cell r="A5890" t="str">
            <v>98685</v>
          </cell>
          <cell r="B5890" t="str">
            <v>RODAPÉ EM GRANITO, ALTURA 10 CM. AF_09/2020</v>
          </cell>
          <cell r="C5890" t="str">
            <v>M</v>
          </cell>
          <cell r="D5890">
            <v>39.39</v>
          </cell>
        </row>
        <row r="5891">
          <cell r="A5891" t="str">
            <v>98686</v>
          </cell>
          <cell r="B5891" t="str">
            <v>RODAPÉ EM LADRILHO HIDRÁULICO, ALTURA 7 CM. AF_09/2020</v>
          </cell>
          <cell r="C5891" t="str">
            <v>M</v>
          </cell>
          <cell r="D5891">
            <v>37.78</v>
          </cell>
        </row>
        <row r="5892">
          <cell r="A5892" t="str">
            <v>98688</v>
          </cell>
          <cell r="B5892" t="str">
            <v>RODAPÉ EM POLIESTIRENO, ALTURA 5 CM. AF_09/2020</v>
          </cell>
          <cell r="C5892" t="str">
            <v>M</v>
          </cell>
          <cell r="D5892">
            <v>59.66</v>
          </cell>
        </row>
        <row r="5893">
          <cell r="A5893" t="str">
            <v>98689</v>
          </cell>
          <cell r="B5893" t="str">
            <v>SOLEIRA EM GRANITO, LARGURA 15 CM, ESPESSURA 2,0 CM. AF_09/2020</v>
          </cell>
          <cell r="C5893" t="str">
            <v>M2</v>
          </cell>
          <cell r="D5893">
            <v>58.22</v>
          </cell>
        </row>
        <row r="5894">
          <cell r="A5894" t="str">
            <v>101090</v>
          </cell>
          <cell r="B5894" t="str">
            <v>PISO EM PEDRA PORTUGUESA ASSENTADO SOBRE ARGAMASSA SECA DE CIMENTO E AREIA, TRAÇO 1:3, REJUNTADO COM CIMENTO COMUM. AF_05/2020</v>
          </cell>
          <cell r="C5894" t="str">
            <v>M2</v>
          </cell>
          <cell r="D5894">
            <v>181.52</v>
          </cell>
        </row>
        <row r="5895">
          <cell r="A5895" t="str">
            <v>101091</v>
          </cell>
          <cell r="B5895" t="str">
            <v>PISO EM LADRILHO HIDRÁULICO APLICADO EM AMBIENTES EXTERNOS. AF_05/2020</v>
          </cell>
          <cell r="C5895" t="str">
            <v>M2</v>
          </cell>
          <cell r="D5895">
            <v>120.52</v>
          </cell>
        </row>
        <row r="5896">
          <cell r="A5896" t="str">
            <v>101725</v>
          </cell>
          <cell r="B5896" t="str">
            <v>PISO EM LADRILHO HIDRÁULICO APLICADO EM AMBIENTES INTERNOS DE ÁREA MENOR QUE 5 M², INCLUSO APLICAÇÃO DE RESINA. AF_09/2020</v>
          </cell>
          <cell r="C5896" t="str">
            <v>M2</v>
          </cell>
          <cell r="D5896">
            <v>242.19</v>
          </cell>
        </row>
        <row r="5897">
          <cell r="A5897" t="str">
            <v>101726</v>
          </cell>
          <cell r="B5897" t="str">
            <v>PISO EM LADRILHO HIDRÁULICO APLICADO EM AMBIENTES INTERNOS DE ÁREA ENTRE 5 E 15 M², INCLUSO APLICAÇÃO DE RESINA. AF_09/2020</v>
          </cell>
          <cell r="C5897" t="str">
            <v>M2</v>
          </cell>
          <cell r="D5897">
            <v>157.99</v>
          </cell>
        </row>
        <row r="5898">
          <cell r="A5898" t="str">
            <v>101731</v>
          </cell>
          <cell r="B5898" t="str">
            <v>PISO EM PEDRA  ASSENTADO SOBRE ARGAMASSA 1:3 (CIMENTO E AREIA). AF_09/2020</v>
          </cell>
          <cell r="C5898" t="str">
            <v>M2</v>
          </cell>
          <cell r="D5898">
            <v>274.5</v>
          </cell>
        </row>
        <row r="5899">
          <cell r="A5899" t="str">
            <v>101732</v>
          </cell>
          <cell r="B5899" t="str">
            <v>PISO EM PEDRA ARDÓSIA ASSENTADO SOBRE ARGAMASSA 1:3 (CIMENTO E AREIA). AF_09/2020</v>
          </cell>
          <cell r="C5899" t="str">
            <v>M</v>
          </cell>
          <cell r="D5899">
            <v>82.1</v>
          </cell>
        </row>
        <row r="5900">
          <cell r="A5900" t="str">
            <v>101094</v>
          </cell>
          <cell r="B5900" t="str">
            <v>PISO PODOTÁTIL, DIRECIONAL OU ALERTA, ASSENTADO SOBRE ARGAMASSA. AF_05/2020</v>
          </cell>
          <cell r="C5900" t="str">
            <v>M2</v>
          </cell>
          <cell r="D5900">
            <v>154.31</v>
          </cell>
        </row>
        <row r="5901">
          <cell r="A5901" t="str">
            <v>101727</v>
          </cell>
          <cell r="B5901" t="str">
            <v>PISO VINÍLICO SEMI-FLEXÍVEL EM PLACAS, PADRÃO LISO, ESPESSURA 3,2 MM, FIXADO COM COLA. AF_09/2020</v>
          </cell>
          <cell r="C5901" t="str">
            <v>M2</v>
          </cell>
          <cell r="D5901">
            <v>182.95</v>
          </cell>
        </row>
        <row r="5902">
          <cell r="A5902" t="str">
            <v>101733</v>
          </cell>
          <cell r="B5902" t="str">
            <v>PISO DE BORRACHA PASTILHADO/FRISADO, ESPESSURA 7MM, ASSENTADO COM ARGAMASSA. AF_09/2020</v>
          </cell>
          <cell r="C5902" t="str">
            <v>M2</v>
          </cell>
          <cell r="D5902">
            <v>248.75</v>
          </cell>
        </row>
        <row r="5903">
          <cell r="A5903" t="str">
            <v>101734</v>
          </cell>
          <cell r="B5903" t="str">
            <v>PISO DE BORRACHA PASTILHADO, ESPESSURA 15MM, ASSENTADO COM ARGAMASSA. AF_09/2020</v>
          </cell>
          <cell r="C5903" t="str">
            <v>M2</v>
          </cell>
          <cell r="D5903">
            <v>377.59</v>
          </cell>
        </row>
        <row r="5904">
          <cell r="A5904" t="str">
            <v>101735</v>
          </cell>
          <cell r="B5904" t="str">
            <v>PISO DE BORRACHA ESPORTIVO, ESPESSURA 15MM, ASSENTADO COM ARGAMASSA. AF_09/2020</v>
          </cell>
          <cell r="C5904" t="str">
            <v>M2</v>
          </cell>
          <cell r="D5904">
            <v>386.94</v>
          </cell>
        </row>
        <row r="5905">
          <cell r="A5905" t="str">
            <v>101736</v>
          </cell>
          <cell r="B5905" t="str">
            <v>PISO DE BORRACHA PASTILHADO, ESPESSURA 3,5MM, FIXADO COM ADESIVO ACRÍLICO. AF_09/2020</v>
          </cell>
          <cell r="C5905" t="str">
            <v>M2</v>
          </cell>
          <cell r="D5905">
            <v>99.06</v>
          </cell>
        </row>
        <row r="5906">
          <cell r="A5906" t="str">
            <v>101737</v>
          </cell>
          <cell r="B5906" t="str">
            <v>PISO DE BORRACHA CANELADO, ESPESSURA 3,5MM, FIXADO COM ADESIVO ACRÍLICO. AF_09/2020</v>
          </cell>
          <cell r="C5906" t="str">
            <v>M2</v>
          </cell>
          <cell r="D5906">
            <v>117.55</v>
          </cell>
        </row>
        <row r="5907">
          <cell r="A5907" t="str">
            <v>101748</v>
          </cell>
          <cell r="B5907" t="str">
            <v>PREPARO DE CONTRAPISO COM POLITRIZ. AF_09/2020</v>
          </cell>
          <cell r="C5907" t="str">
            <v>M2</v>
          </cell>
          <cell r="D5907">
            <v>3.22</v>
          </cell>
        </row>
        <row r="5908">
          <cell r="A5908" t="str">
            <v>101092</v>
          </cell>
          <cell r="B5908" t="str">
            <v>PISO EM GRANITO APLICADO EM CALÇADAS OU PISOS EXTERNOS. AF_05/2020</v>
          </cell>
          <cell r="C5908" t="str">
            <v>M2</v>
          </cell>
          <cell r="D5908">
            <v>219.78</v>
          </cell>
        </row>
        <row r="5909">
          <cell r="A5909" t="str">
            <v>101093</v>
          </cell>
          <cell r="B5909" t="str">
            <v>PISO EM MÁRMORE APLICADO EM CALÇADAS OU PISOS EXTERNOS. AF_05/2020</v>
          </cell>
          <cell r="C5909" t="str">
            <v>M</v>
          </cell>
          <cell r="D5909">
            <v>385.58</v>
          </cell>
        </row>
        <row r="5910">
          <cell r="A5910" t="str">
            <v>98695</v>
          </cell>
          <cell r="B5910" t="str">
            <v>SOLEIRA EM MÁRMORE, LARGURA 15 CM, ESPESSURA 2,0 CM. AF_09/2020</v>
          </cell>
          <cell r="C5910" t="str">
            <v>M</v>
          </cell>
          <cell r="D5910">
            <v>70.209999999999994</v>
          </cell>
        </row>
        <row r="5911">
          <cell r="A5911" t="str">
            <v>98697</v>
          </cell>
          <cell r="B5911" t="str">
            <v>RODAPÉ EM MÁRMORE, ALTURA 7 CM. AF_09/2020</v>
          </cell>
          <cell r="C5911" t="str">
            <v>M</v>
          </cell>
          <cell r="D5911">
            <v>45.81</v>
          </cell>
        </row>
        <row r="5912">
          <cell r="A5912" t="str">
            <v>101738</v>
          </cell>
          <cell r="B5912" t="str">
            <v>RODAPÉ EM MADEIRA, ALTURA 7CM, FIXADO COM COLA. AF_09/2020</v>
          </cell>
          <cell r="C5912" t="str">
            <v>M</v>
          </cell>
          <cell r="D5912">
            <v>26.79</v>
          </cell>
        </row>
        <row r="5913">
          <cell r="A5913" t="str">
            <v>101739</v>
          </cell>
          <cell r="B5913" t="str">
            <v>RODAPÉ EM MADEIRA, ALTURA 7CM, FIXADO COM COLA E PARAFUSOS. AF_09/2020</v>
          </cell>
          <cell r="C5913" t="str">
            <v>M</v>
          </cell>
          <cell r="D5913">
            <v>29.71</v>
          </cell>
        </row>
        <row r="5914">
          <cell r="A5914" t="str">
            <v>88648</v>
          </cell>
          <cell r="B5914" t="str">
            <v>RODAPÉ CERÂMICO DE 7CM DE ALTURA COM PLACAS TIPO ESMALTADA EXTRA  DE DIMENSÕES 35X35CM. AF_06/2014</v>
          </cell>
          <cell r="C5914" t="str">
            <v>M</v>
          </cell>
          <cell r="D5914">
            <v>6.74</v>
          </cell>
        </row>
        <row r="5915">
          <cell r="A5915" t="str">
            <v>88649</v>
          </cell>
          <cell r="B5915" t="str">
            <v>RODAPÉ CERÂMICO DE 7CM DE ALTURA COM PLACAS TIPO ESMALTADA EXTRA DE DIMENSÕES 45X45CM. AF_06/2014</v>
          </cell>
          <cell r="C5915" t="str">
            <v>M</v>
          </cell>
          <cell r="D5915">
            <v>7.68</v>
          </cell>
        </row>
        <row r="5916">
          <cell r="A5916" t="str">
            <v>88650</v>
          </cell>
          <cell r="B5916" t="str">
            <v>RODAPÉ CERÂMICO DE 7CM DE ALTURA COM PLACAS TIPO ESMALTADA EXTRA DE DIMENSÕES 60X60CM. AF_06/2014</v>
          </cell>
          <cell r="C5916" t="str">
            <v>M</v>
          </cell>
          <cell r="D5916">
            <v>15.13</v>
          </cell>
        </row>
        <row r="5917">
          <cell r="A5917" t="str">
            <v>96467</v>
          </cell>
          <cell r="B5917" t="str">
            <v>RODAPÉ CERÂMICO DE 7CM DE ALTURA COM PLACAS TIPO ESMALTADA COMERCIAL DE DIMENSÕES 35X35CM (PADRAO POPULAR). AF_06/2017</v>
          </cell>
          <cell r="C5917" t="str">
            <v>M</v>
          </cell>
          <cell r="D5917">
            <v>6.09</v>
          </cell>
        </row>
        <row r="5918">
          <cell r="A5918" t="str">
            <v>101740</v>
          </cell>
          <cell r="B5918" t="str">
            <v>RODAPÉ EM ARDÓSIA ALTURA 10CM. AF_09/2020</v>
          </cell>
          <cell r="C5918" t="str">
            <v>M</v>
          </cell>
          <cell r="D5918">
            <v>43.3</v>
          </cell>
        </row>
        <row r="5919">
          <cell r="A5919" t="str">
            <v>101741</v>
          </cell>
          <cell r="B5919" t="str">
            <v>RODAPÉ EM MARMORITE, ALTURA 10CM. AF_09/2020</v>
          </cell>
          <cell r="C5919" t="str">
            <v>M3</v>
          </cell>
          <cell r="D5919">
            <v>20.84</v>
          </cell>
        </row>
        <row r="5920">
          <cell r="A5920" t="str">
            <v>94990</v>
          </cell>
          <cell r="B5920" t="str">
            <v>EXECUÇÃO DE PASSEIO (CALÇADA) OU PISO DE CONCRETO COM CONCRETO MOLDADO IN LOCO, FEITO EM OBRA, ACABAMENTO CONVENCIONAL, NÃO ARMADO. AF_07/2016</v>
          </cell>
          <cell r="C5920" t="str">
            <v>M3</v>
          </cell>
          <cell r="D5920">
            <v>636.80999999999995</v>
          </cell>
        </row>
        <row r="5921">
          <cell r="A5921" t="str">
            <v>94991</v>
          </cell>
          <cell r="B5921" t="str">
            <v>EXECUÇÃO DE PASSEIO (CALÇADA) OU PISO DE CONCRETO COM CONCRETO MOLDADO IN LOCO, USINADO, ACABAMENTO CONVENCIONAL, NÃO ARMADO. AF_07/2016</v>
          </cell>
          <cell r="C5921" t="str">
            <v>M2</v>
          </cell>
          <cell r="D5921">
            <v>503.37</v>
          </cell>
        </row>
        <row r="5922">
          <cell r="A5922" t="str">
            <v>94992</v>
          </cell>
          <cell r="B5922" t="str">
            <v>EXECUÇÃO DE PASSEIO (CALÇADA) OU PISO DE CONCRETO COM CONCRETO MOLDADO IN LOCO, FEITO EM OBRA, ACABAMENTO CONVENCIONAL, ESPESSURA 6 CM, ARMADO. AF_07/2016</v>
          </cell>
          <cell r="C5922" t="str">
            <v>M2</v>
          </cell>
          <cell r="D5922">
            <v>102.95</v>
          </cell>
        </row>
        <row r="5923">
          <cell r="A5923" t="str">
            <v>94993</v>
          </cell>
          <cell r="B5923" t="str">
            <v>EXECUÇÃO DE PASSEIO (CALÇADA) OU PISO DE CONCRETO COM CONCRETO MOLDADO IN LOCO, USINADO, ACABAMENTO CONVENCIONAL, ESPESSURA 6 CM, ARMADO. AF_07/2016</v>
          </cell>
          <cell r="C5923" t="str">
            <v>M2</v>
          </cell>
          <cell r="D5923">
            <v>94.95</v>
          </cell>
        </row>
        <row r="5924">
          <cell r="A5924" t="str">
            <v>94994</v>
          </cell>
          <cell r="B5924" t="str">
            <v>EXECUÇÃO DE PASSEIO (CALÇADA) OU PISO DE CONCRETO COM CONCRETO MOLDADO IN LOCO, FEITO EM OBRA, ACABAMENTO CONVENCIONAL, ESPESSURA 8 CM, ARMADO. AF_07/2016</v>
          </cell>
          <cell r="C5924" t="str">
            <v>M2</v>
          </cell>
          <cell r="D5924">
            <v>117.48</v>
          </cell>
        </row>
        <row r="5925">
          <cell r="A5925" t="str">
            <v>94995</v>
          </cell>
          <cell r="B5925" t="str">
            <v>EXECUÇÃO DE PASSEIO (CALÇADA) OU PISO DE CONCRETO COM CONCRETO MOLDADO IN LOCO, USINADO, ACABAMENTO CONVENCIONAL, ESPESSURA 8 CM, ARMADO. AF_07/2016</v>
          </cell>
          <cell r="C5925" t="str">
            <v>M2</v>
          </cell>
          <cell r="D5925">
            <v>106.81</v>
          </cell>
        </row>
        <row r="5926">
          <cell r="A5926" t="str">
            <v>94996</v>
          </cell>
          <cell r="B5926" t="str">
            <v>EXECUÇÃO DE PASSEIO (CALÇADA) OU PISO DE CONCRETO COM CONCRETO MOLDADO IN LOCO, FEITO EM OBRA, ACABAMENTO CONVENCIONAL, ESPESSURA 10 CM, ARMADO. AF_07/2016</v>
          </cell>
          <cell r="C5926" t="str">
            <v>M2</v>
          </cell>
          <cell r="D5926">
            <v>130.32</v>
          </cell>
        </row>
        <row r="5927">
          <cell r="A5927" t="str">
            <v>94997</v>
          </cell>
          <cell r="B5927" t="str">
            <v>EXECUÇÃO DE PASSEIO (CALÇADA) OU PISO DE CONCRETO COM CONCRETO MOLDADO IN LOCO, USINADO, ACABAMENTO CONVENCIONAL, ESPESSURA 10 CM, ARMADO. AF_07/2016</v>
          </cell>
          <cell r="C5927" t="str">
            <v>M2</v>
          </cell>
          <cell r="D5927">
            <v>116.98</v>
          </cell>
        </row>
        <row r="5928">
          <cell r="A5928" t="str">
            <v>94998</v>
          </cell>
          <cell r="B5928" t="str">
            <v>EXECUÇÃO DE PASSEIO (CALÇADA) OU PISO DE CONCRETO COM CONCRETO MOLDADO IN LOCO, FEITO EM OBRA, ACABAMENTO CONVENCIONAL, ESPESSURA 12 CM, ARMADO. AF_07/2016</v>
          </cell>
          <cell r="C5928" t="str">
            <v>M2</v>
          </cell>
          <cell r="D5928">
            <v>144.21</v>
          </cell>
        </row>
        <row r="5929">
          <cell r="A5929" t="str">
            <v>94999</v>
          </cell>
          <cell r="B5929" t="str">
            <v>EXECUÇÃO DE PASSEIO (CALÇADA) OU PISO DE CONCRETO COM CONCRETO MOLDADO IN LOCO, USINADO, ACABAMENTO CONVENCIONAL, ESPESSURA 12 CM, ARMADO. AF_07/2016</v>
          </cell>
          <cell r="C5929" t="str">
            <v>M2</v>
          </cell>
          <cell r="D5929">
            <v>128.19999999999999</v>
          </cell>
        </row>
        <row r="5930">
          <cell r="A5930" t="str">
            <v>101747</v>
          </cell>
          <cell r="B5930" t="str">
            <v>PISO EM CONCRETO 20 MPA PREPARO MECÂNICO, ESPESSURA 7CM. AF_09/2020</v>
          </cell>
          <cell r="C5930" t="str">
            <v>M2</v>
          </cell>
          <cell r="D5930">
            <v>58.95</v>
          </cell>
        </row>
        <row r="5931">
          <cell r="A5931" t="str">
            <v>101743</v>
          </cell>
          <cell r="B5931" t="str">
            <v>PISO TÊXTIL (CARPETE) EM PLACA. AF_09/2020</v>
          </cell>
          <cell r="C5931" t="str">
            <v>M2</v>
          </cell>
          <cell r="D5931">
            <v>156.81</v>
          </cell>
        </row>
        <row r="5932">
          <cell r="A5932" t="str">
            <v>101744</v>
          </cell>
          <cell r="B5932" t="str">
            <v>PISO TÊXTIL (CARPETE) EM MANTA (ROLO) E = 6 A 7 MM. AF_09/2020</v>
          </cell>
          <cell r="C5932" t="str">
            <v>M2</v>
          </cell>
          <cell r="D5932">
            <v>125</v>
          </cell>
        </row>
        <row r="5933">
          <cell r="A5933" t="str">
            <v>101745</v>
          </cell>
          <cell r="B5933" t="str">
            <v>PISO TÊXTIL (CARPETE) EM MANTA (ROLO) E = 9 A 10 MM. AF_09/2020</v>
          </cell>
          <cell r="C5933" t="str">
            <v>M2</v>
          </cell>
          <cell r="D5933">
            <v>153.57</v>
          </cell>
        </row>
        <row r="5934">
          <cell r="A5934" t="str">
            <v>87620</v>
          </cell>
          <cell r="B5934" t="str">
            <v>CONTRAPISO EM ARGAMASSA TRAÇO 1:4 (CIMENTO E AREIA), PREPARO MECÂNICO COM BETONEIRA 400 L, APLICADO EM ÁREAS SECAS SOBRE LAJE, ADERIDO, ACABAMENTO NÃO REFORÇADO, ESPESSURA 2CM. AF_07/2021</v>
          </cell>
          <cell r="C5934" t="str">
            <v>M2</v>
          </cell>
          <cell r="D5934">
            <v>23.7</v>
          </cell>
        </row>
        <row r="5935">
          <cell r="A5935" t="str">
            <v>87622</v>
          </cell>
          <cell r="B5935" t="str">
            <v>CONTRAPISO EM ARGAMASSA TRAÇO 1:4 (CIMENTO E AREIA), PREPARO MANUAL, APLICADO EM ÁREAS SECAS SOBRE LAJE, ADERIDO, ACABAMENTO NÃO REFORÇADO, ESPESSURA 2CM. AF_07/2021</v>
          </cell>
          <cell r="C5935" t="str">
            <v>M2</v>
          </cell>
          <cell r="D5935">
            <v>26.29</v>
          </cell>
        </row>
        <row r="5936">
          <cell r="A5936" t="str">
            <v>87623</v>
          </cell>
          <cell r="B5936" t="str">
            <v>CONTRAPISO EM ARGAMASSA PRONTA, PREPARO MECÂNICO COM MISTURADOR 300 KG, APLICADO EM ÁREAS SECAS SOBRE LAJE, ADERIDO, ACABAMENTO NÃO REFORÇADO, ESPESSURA 2CM. AF_07/2021</v>
          </cell>
          <cell r="C5936" t="str">
            <v>M2</v>
          </cell>
          <cell r="D5936">
            <v>52.73</v>
          </cell>
        </row>
        <row r="5937">
          <cell r="A5937" t="str">
            <v>87624</v>
          </cell>
          <cell r="B5937" t="str">
            <v>CONTRAPISO EM ARGAMASSA PRONTA, PREPARO MECÂNICO COM MISTURADOR 300 KG, APLICADO EM ÁREAS SECAS SOBRE LAJE, ADERIDO, ACABAMENTO NÃO REFORÇADO, ESPESSURA 2CM. AF_07/2021</v>
          </cell>
          <cell r="C5937" t="str">
            <v>M2</v>
          </cell>
          <cell r="D5937">
            <v>57.88</v>
          </cell>
        </row>
        <row r="5938">
          <cell r="A5938" t="str">
            <v>87630</v>
          </cell>
          <cell r="B5938" t="str">
            <v>CONTRAPISO EM ARGAMASSA TRAÇO 1:4 (CIMENTO E AREIA), PREPARO MECÂNICO COM BETONEIRA 400 L, APLICADO EM ÁREAS SECAS SOBRE LAJE, ADERIDO, ACABAMENTO NÃO REFORÇADO, ESPESSURA 3CM. AF_07/2021</v>
          </cell>
          <cell r="C5938" t="str">
            <v>M2</v>
          </cell>
          <cell r="D5938">
            <v>30.04</v>
          </cell>
        </row>
        <row r="5939">
          <cell r="A5939" t="str">
            <v>87632</v>
          </cell>
          <cell r="B5939" t="str">
            <v>CONTRAPISO EM ARGAMASSA TRAÇO 1:4 (CIMENTO E AREIA), PREPARO MANUAL, APLICADO EM ÁREAS SECAS SOBRE LAJE, ADERIDO, ACABAMENTO NÃO REFORÇADO, ESPESSURA 3CM. AF_07/2021</v>
          </cell>
          <cell r="C5939" t="str">
            <v>M2</v>
          </cell>
          <cell r="D5939">
            <v>33.64</v>
          </cell>
        </row>
        <row r="5940">
          <cell r="A5940" t="str">
            <v>87633</v>
          </cell>
          <cell r="B5940" t="str">
            <v>CONTRAPISO EM ARGAMASSA PRONTA, PREPARO MECÂNICO COM MISTURADOR 300 KG, APLICADO EM ÁREAS SECAS SOBRE LAJE, ADERIDO, ACABAMENTO NÃO REFORÇADO, ESPESSURA 3CM. AF_07/2021</v>
          </cell>
          <cell r="C5940" t="str">
            <v>M2</v>
          </cell>
          <cell r="D5940">
            <v>70.41</v>
          </cell>
        </row>
        <row r="5941">
          <cell r="A5941" t="str">
            <v>87634</v>
          </cell>
          <cell r="B5941" t="str">
            <v>CONTRAPISO EM ARGAMASSA PRONTA, PREPARO MANUAL, APLICADO EM ÁREAS SECAS SOBRE LAJE, ADERIDO, ACABAMENTO NÃO REFORÇADO, ESPESSURA 3CM. AF_07/2021</v>
          </cell>
          <cell r="C5941" t="str">
            <v>M2</v>
          </cell>
          <cell r="D5941">
            <v>77.569999999999993</v>
          </cell>
        </row>
        <row r="5942">
          <cell r="A5942" t="str">
            <v>87640</v>
          </cell>
          <cell r="B5942" t="str">
            <v>CONTRAPISO EM ARGAMASSA TRAÇO 1:4 (CIMENTO E AREIA), PREPARO MECÂNICO COM BETONEIRA 400 L, APLICADO EM ÁREAS SECAS SOBRE LAJE, ADERIDO, ACABAMENTO NÃO REFORÇADO, ESPESSURA 4CM. AF_07/2021</v>
          </cell>
          <cell r="C5942" t="str">
            <v>M2</v>
          </cell>
          <cell r="D5942">
            <v>35.25</v>
          </cell>
        </row>
        <row r="5943">
          <cell r="A5943" t="str">
            <v>87642</v>
          </cell>
          <cell r="B5943" t="str">
            <v>CONTRAPISO EM ARGAMASSA TRAÇO 1:4 (CIMENTO E AREIA), PREPARO MANUAL, APLICADO EM ÁREAS SECAS SOBRE LAJE, ADERIDO, ACABAMENTO NÃO REFORÇADO, ESPESSURA 4CM. AF_07/2021</v>
          </cell>
          <cell r="C5943" t="str">
            <v>M2</v>
          </cell>
          <cell r="D5943">
            <v>39.68</v>
          </cell>
        </row>
        <row r="5944">
          <cell r="A5944" t="str">
            <v>87643</v>
          </cell>
          <cell r="B5944" t="str">
            <v>CONTRAPISO EM ARGAMASSA PRONTA, PREPARO MECÂNICO COM MISTURADOR 300 KG, APLICADO EM ÁREAS SECAS SOBRE LAJE, ADERIDO, ACABAMENTO NÃO REFORÇADO, ESPESSURA 4CM. AF_07/2021</v>
          </cell>
          <cell r="C5944" t="str">
            <v>M2</v>
          </cell>
          <cell r="D5944">
            <v>84.9</v>
          </cell>
        </row>
        <row r="5945">
          <cell r="A5945" t="str">
            <v>87644</v>
          </cell>
          <cell r="B5945" t="str">
            <v>CONTRAPISO EM ARGAMASSA PRONTA, PREPARO MANUAL, APLICADO EM ÁREAS SECAS SOBRE LAJE, ADERIDO, ACABAMENTO NÃO REFORÇADO, ESPESSURA 4CM. AF_07/2021</v>
          </cell>
          <cell r="C5945" t="str">
            <v>M2</v>
          </cell>
          <cell r="D5945">
            <v>93.7</v>
          </cell>
        </row>
        <row r="5946">
          <cell r="A5946" t="str">
            <v>87680</v>
          </cell>
          <cell r="B5946" t="str">
            <v>CONTRAPISO EM ARGAMASSA TRAÇO 1:4 (CIMENTO E AREIA), PREPARO MECÂNICO COM BETONEIRA 400 L, APLICADO EM ÁREAS SECAS SOBRE LAJE, NÃO ADERIDO, ACABAMENTO NÃO REFORÇADO, ESPESSURA 4CM. AF_07/2021</v>
          </cell>
          <cell r="C5946" t="str">
            <v>M2</v>
          </cell>
          <cell r="D5946">
            <v>31.59</v>
          </cell>
        </row>
        <row r="5947">
          <cell r="A5947" t="str">
            <v>87682</v>
          </cell>
          <cell r="B5947" t="str">
            <v>CONTRAPISO EM ARGAMASSA TRAÇO 1:4 (CIMENTO E AREIA), PREPARO MANUAL, APLICADO EM ÁREAS SECAS SOBRE LAJE, NÃO ADERIDO, ACABAMENTO NÃO REFORÇADO, ESPESSURA 4CM. AF_07/2021</v>
          </cell>
          <cell r="C5947" t="str">
            <v>M2</v>
          </cell>
          <cell r="D5947">
            <v>36.020000000000003</v>
          </cell>
        </row>
        <row r="5948">
          <cell r="A5948" t="str">
            <v>87683</v>
          </cell>
          <cell r="B5948" t="str">
            <v>CONTRAPISO EM ARGAMASSA PRONTA, PREPARO MECÂNICO COM MISTURADOR 300 KG, APLICADO EM ÁREAS SECAS SOBRE LAJE, NÃO ADERIDO, ACABAMENTO NÃO REFORÇADO, ESPESSURA 4CM. AF_07/2021</v>
          </cell>
          <cell r="C5948" t="str">
            <v>M2</v>
          </cell>
          <cell r="D5948">
            <v>81.239999999999995</v>
          </cell>
        </row>
        <row r="5949">
          <cell r="A5949" t="str">
            <v>87684</v>
          </cell>
          <cell r="B5949" t="str">
            <v>CONTRAPISO EM ARGAMASSA PRONTA, PREPARO MANUAL, APLICADO EM ÁREAS SECAS SOBRE LAJE, NÃO ADERIDO, ACABAMENTO NÃO REFORÇADO, ESPESSURA 4CM. AF_07/2021</v>
          </cell>
          <cell r="C5949" t="str">
            <v>M2</v>
          </cell>
          <cell r="D5949">
            <v>90.04</v>
          </cell>
        </row>
        <row r="5950">
          <cell r="A5950" t="str">
            <v>87690</v>
          </cell>
          <cell r="B5950" t="str">
            <v>CONTRAPISO EM ARGAMASSA TRAÇO 1:4 (CIMENTO E AREIA), PREPARO MECÂNICO COM BETONEIRA 400 L, APLICADO EM ÁREAS SECAS SOBRE LAJE, NÃO ADERIDO, ACABAMENTO NÃO REFORÇADO, ESPESSURA 5CM. AF_07/2021</v>
          </cell>
          <cell r="C5950" t="str">
            <v>M2</v>
          </cell>
          <cell r="D5950">
            <v>36.21</v>
          </cell>
        </row>
        <row r="5951">
          <cell r="A5951" t="str">
            <v>87692</v>
          </cell>
          <cell r="B5951" t="str">
            <v>CONTRAPISO EM ARGAMASSA TRAÇO 1:4 (CIMENTO E AREIA), PREPARO MANUAL, APLICADO EM ÁREAS SECAS SOBRE LAJE, NÃO ADERIDO, ACABAMENTO NÃO REFORÇADO, ESPESSURA 5CM. AF_07/2021</v>
          </cell>
          <cell r="C5951" t="str">
            <v>M2</v>
          </cell>
          <cell r="D5951">
            <v>41.28</v>
          </cell>
        </row>
        <row r="5952">
          <cell r="A5952" t="str">
            <v>87693</v>
          </cell>
          <cell r="B5952" t="str">
            <v>CONTRAPISO EM ARGAMASSA PRONTA, PREPARO MECÂNICO COM MISTURADOR 300 KG, APLICADO EM ÁREAS SECAS SOBRE LAJE, NÃO ADERIDO, ESPESSURA 5CM. AF_07/2021</v>
          </cell>
          <cell r="C5952" t="str">
            <v>M2</v>
          </cell>
          <cell r="D5952">
            <v>93.07</v>
          </cell>
        </row>
        <row r="5953">
          <cell r="A5953" t="str">
            <v>87694</v>
          </cell>
          <cell r="B5953" t="str">
            <v>CONTRAPISO EM ARGAMASSA PRONTA, PREPARO MANUAL, APLICADO EM ÁREAS SECAS SOBRE LAJE, NÃO ADERIDO, ACABAMENTO NÃO REFORÇADO, ESPESSURA 5CM. AF_07/2021</v>
          </cell>
          <cell r="C5953" t="str">
            <v>M2</v>
          </cell>
          <cell r="D5953">
            <v>103.15</v>
          </cell>
        </row>
        <row r="5954">
          <cell r="A5954" t="str">
            <v>87700</v>
          </cell>
          <cell r="B5954" t="str">
            <v>CONTRAPISO EM ARGAMASSA TRAÇO 1:4 (CIMENTO E AREIA), PREPARO MECÂNICO COM BETONEIRA 400 L, APLICADO EM ÁREAS SECAS SOBRE LAJE, NÃO ADERIDO, ACABAMENTO NÃO REFORÇADO, ESPESSURA 6CM. AF_07/2021</v>
          </cell>
          <cell r="C5954" t="str">
            <v>M2</v>
          </cell>
          <cell r="D5954">
            <v>39.03</v>
          </cell>
        </row>
        <row r="5955">
          <cell r="A5955" t="str">
            <v>87702</v>
          </cell>
          <cell r="B5955" t="str">
            <v>CONTRAPISO EM ARGAMASSA TRAÇO 1:4 (CIMENTO E AREIA), PREPARO MANUAL, APLICADO EM ÁREAS SECAS SOBRE LAJE, NÃO ADERIDO, ACABAMENTO NÃO REFORÇADO, ESPESSURA 6CM. AF_07/2021</v>
          </cell>
          <cell r="C5955" t="str">
            <v>M2</v>
          </cell>
          <cell r="D5955">
            <v>44.56</v>
          </cell>
        </row>
        <row r="5956">
          <cell r="A5956" t="str">
            <v>87703</v>
          </cell>
          <cell r="B5956" t="str">
            <v>CONTRAPISO EM ARGAMASSA PRONTA, PREPARO MECÂNICO COM MISTURADOR 300 KG, APLICADO EM ÁREAS SECAS SOBRE LAJE, NÃO ADERIDO, ACABAMENTO NÃO REFORÇADO, ESPESSURA 6CM. AF_07/2021</v>
          </cell>
          <cell r="C5956" t="str">
            <v>M2</v>
          </cell>
          <cell r="D5956">
            <v>100.95</v>
          </cell>
        </row>
        <row r="5957">
          <cell r="A5957" t="str">
            <v>87704</v>
          </cell>
          <cell r="B5957" t="str">
            <v>CONTRAPISO EM ARGAMASSA PRONTA, PREPARO MANUAL, APLICADO EM ÁREAS SECAS SOBRE LAJE, NÃO ADERIDO, ACABAMENTO NÃO REFORÇADO, ESPESSURA 6CM. AF_07/2021</v>
          </cell>
          <cell r="C5957" t="str">
            <v>M2</v>
          </cell>
          <cell r="D5957">
            <v>111.93</v>
          </cell>
        </row>
        <row r="5958">
          <cell r="A5958" t="str">
            <v>87735</v>
          </cell>
          <cell r="B5958" t="str">
            <v>CONTRAPISO EM ARGAMASSA TRAÇO 1:4 (CIMENTO E AREIA), PREPARO MECÂNICO COM BETONEIRA 400 L, APLICADO EM ÁREAS MOLHADAS SOBRE LAJE, ADERIDO, ACABAMENTO NÃO REFORÇADO, ESPESSURA 2CM. AF_07/2021</v>
          </cell>
          <cell r="C5958" t="str">
            <v>M2</v>
          </cell>
          <cell r="D5958">
            <v>34.51</v>
          </cell>
        </row>
        <row r="5959">
          <cell r="A5959" t="str">
            <v>87737</v>
          </cell>
          <cell r="B5959" t="str">
            <v>CONTRAPISO EM ARGAMASSA TRAÇO 1:4 (CIMENTO E AREIA), PREPARO MANUAL, APLICADO EM ÁREAS MOLHADAS SOBRE LAJE, ADERIDO, ACABAMENTO NÃO REFORÇADO, ESPESSURA 2CM. AF_07/2021</v>
          </cell>
          <cell r="C5959" t="str">
            <v>M2</v>
          </cell>
          <cell r="D5959">
            <v>37.1</v>
          </cell>
        </row>
        <row r="5960">
          <cell r="A5960" t="str">
            <v>87738</v>
          </cell>
          <cell r="B5960" t="str">
            <v>CONTRAPISO EM ARGAMASSA PRONTA, PREPARO MECÂNICO COM MISTURADOR 300 KG, APLICADO EM ÁREAS MOLHADAS SOBRE LAJE, ADERIDO, ACABAMENTO NÃO REFORÇADO, ESPESSURA 2CM. AF_07/2021</v>
          </cell>
          <cell r="C5960" t="str">
            <v>M2</v>
          </cell>
          <cell r="D5960">
            <v>63.54</v>
          </cell>
        </row>
        <row r="5961">
          <cell r="A5961" t="str">
            <v>87739</v>
          </cell>
          <cell r="B5961" t="str">
            <v>CONTRAPISO EM ARGAMASSA PRONTA, PREPARO MANUAL, APLICADO EM ÁREAS MOLHADAS SOBRE LAJE, ADERIDO, ACABAMENTO NÃO REFORÇADO, ESPESSURA 2CM. AF_07/2021</v>
          </cell>
          <cell r="C5961" t="str">
            <v>M2</v>
          </cell>
          <cell r="D5961">
            <v>68.69</v>
          </cell>
        </row>
        <row r="5962">
          <cell r="A5962" t="str">
            <v>87745</v>
          </cell>
          <cell r="B5962" t="str">
            <v>CONTRAPISO EM ARGAMASSA TRAÇO 1:4 (CIMENTO E AREIA), PREPARO MECÂNICO COM BETONEIRA 400 L, APLICADO EM ÁREAS MOLHADAS SOBRE LAJE, ADERIDO, ACABAMENTO NÃO REFORÇADO, ESPESSURA 3CM. AF_07/2021</v>
          </cell>
          <cell r="C5962" t="str">
            <v>M2</v>
          </cell>
          <cell r="D5962">
            <v>40.869999999999997</v>
          </cell>
        </row>
        <row r="5963">
          <cell r="A5963" t="str">
            <v>87747</v>
          </cell>
          <cell r="B5963" t="str">
            <v>CONTRAPISO EM ARGAMASSA TRAÇO 1:4 (CIMENTO E AREIA), PREPARO MANUAL, APLICADO EM ÁREAS MOLHADAS SOBRE LAJE, ADERIDO, ACABAMENTO NÃO REFORÇADO, ESPESSURA 3CM. AF_07/2021</v>
          </cell>
          <cell r="C5963" t="str">
            <v>M2</v>
          </cell>
          <cell r="D5963">
            <v>44.47</v>
          </cell>
        </row>
        <row r="5964">
          <cell r="A5964" t="str">
            <v>87748</v>
          </cell>
          <cell r="B5964" t="str">
            <v>CONTRAPISO EM ARGAMASSA PRONTA, PREPARO MECÂNICO COM MISTURADOR 300 KG, APLICADO EM ÁREAS MOLHADAS SOBRE LAJE, ADERIDO, ACABAMENTO NÃO REFORÇADO, ESPESSURA 3CM. AF_07/2021</v>
          </cell>
          <cell r="C5964" t="str">
            <v>M2</v>
          </cell>
          <cell r="D5964">
            <v>81.239999999999995</v>
          </cell>
        </row>
        <row r="5965">
          <cell r="A5965" t="str">
            <v>87749</v>
          </cell>
          <cell r="B5965" t="str">
            <v>CONTRAPISO EM ARGAMASSA PRONTA, PREPARO MANUAL, APLICADO EM ÁREAS MOLHADAS SOBRE LAJE, ADERIDO, ACABAMENTO NÃO REFORÇADO, ESPESSURA 3CM. AF_07/2021</v>
          </cell>
          <cell r="C5965" t="str">
            <v>M2</v>
          </cell>
          <cell r="D5965">
            <v>88.4</v>
          </cell>
        </row>
        <row r="5966">
          <cell r="A5966" t="str">
            <v>87755</v>
          </cell>
          <cell r="B5966" t="str">
            <v>CONTRAPISO EM ARGAMASSA TRAÇO 1:4 (CIMENTO E AREIA), PREPARO MECÂNICO COM BETONEIRA 400 L, APLICADO EM ÁREAS MOLHADAS SOBRE IMPERMEABILIZAÇÃO, ACABAMENTO NÃO REFORÇADO, ESPESSURA 3CM. AF_07/2021</v>
          </cell>
          <cell r="C5966" t="str">
            <v>M2</v>
          </cell>
          <cell r="D5966">
            <v>39.25</v>
          </cell>
        </row>
        <row r="5967">
          <cell r="A5967" t="str">
            <v>87757</v>
          </cell>
          <cell r="B5967" t="str">
            <v>CONTRAPISO EM ARGAMASSA TRAÇO 1:4 (CIMENTO E AREIA), PREPARO MANUAL, APLICADO EM ÁREAS MOLHADAS SOBRE IMPERMEABILIZAÇÃO, ACABAMENTO NÃO REFORÇADO, ESPESSURA 3CM. AF_07/2021</v>
          </cell>
          <cell r="C5967" t="str">
            <v>M2</v>
          </cell>
          <cell r="D5967">
            <v>42.85</v>
          </cell>
        </row>
        <row r="5968">
          <cell r="A5968" t="str">
            <v>87758</v>
          </cell>
          <cell r="B5968" t="str">
            <v>CONTRAPISO EM ARGAMASSA PRONTA, PREPARO MECÂNICO COM MISTURADOR 300 KG, APLICADO EM ÁREAS MOLHADAS SOBRE IMPERMEABILIZAÇÃO, ACABAMENTO NÃO REFORÇADO, ESPESSURA 3CM. AF_07/2021</v>
          </cell>
          <cell r="C5968" t="str">
            <v>M2</v>
          </cell>
          <cell r="D5968">
            <v>79.62</v>
          </cell>
        </row>
        <row r="5969">
          <cell r="A5969" t="str">
            <v>87759</v>
          </cell>
          <cell r="B5969" t="str">
            <v>CONTRAPISO EM ARGAMASSA PRONTA, PREPARO MANUAL, APLICADO EM ÁREAS MOLHADAS SOBRE IMPERMEABILIZAÇÃO, ACABAMENTO NÃO REFORÇADO, ESPESSURA 3CM. AF_07/2021</v>
          </cell>
          <cell r="C5969" t="str">
            <v>M2</v>
          </cell>
          <cell r="D5969">
            <v>86.78</v>
          </cell>
        </row>
        <row r="5970">
          <cell r="A5970" t="str">
            <v>87765</v>
          </cell>
          <cell r="B5970" t="str">
            <v>CONTRAPISO EM ARGAMASSA TRAÇO 1:4 (CIMENTO E AREIA), PREPARO MECÂNICO COM BETONEIRA 400 L, APLICADO EM ÁREAS MOLHADAS SOBRE IMPERMEABILIZAÇÃO, ACABAMENTO NÃO REFORÇADO, ESPESSURA 4CM. AF_07/2021</v>
          </cell>
          <cell r="C5970" t="str">
            <v>M2</v>
          </cell>
          <cell r="D5970">
            <v>44.49</v>
          </cell>
        </row>
        <row r="5971">
          <cell r="A5971" t="str">
            <v>87767</v>
          </cell>
          <cell r="B5971" t="str">
            <v>CONTRAPISO EM ARGAMASSA TRAÇO 1:4 (CIMENTO E AREIA), PREPARO MANUAL, APLICADO EM ÁREAS MOLHADAS SOBRE IMPERMEABILIZAÇÃO, ACABAMENTO NÃO REFORÇADO, ESPESSURA 4CM. AF_07/2021</v>
          </cell>
          <cell r="C5971" t="str">
            <v>M2</v>
          </cell>
          <cell r="D5971">
            <v>48.92</v>
          </cell>
        </row>
        <row r="5972">
          <cell r="A5972" t="str">
            <v>87768</v>
          </cell>
          <cell r="B5972" t="str">
            <v>CONTRAPISO EM ARGAMASSA PRONTA, PREPARO MECÂNICO COM MISTURADOR 300 KG, APLICADO EM ÁREAS MOLHADAS SOBRE IMPERMEABILIZAÇÃO, ACABAMENTO NÃO REFORÇADO, ESPESSURA 4CM. AF_07/2021</v>
          </cell>
          <cell r="C5972" t="str">
            <v>M2</v>
          </cell>
          <cell r="D5972">
            <v>94.14</v>
          </cell>
        </row>
        <row r="5973">
          <cell r="A5973" t="str">
            <v>87769</v>
          </cell>
          <cell r="B5973" t="str">
            <v>CONTRAPISO EM ARGAMASSA PRONTA, PREPARO MANUAL, APLICADO EM ÁREAS MOLHADAS SOBRE IMPERMEABILIZAÇÃO, ACABAMENTO NÃO REFORÇADO, ESPESSURA 4CM. AF_07/2021</v>
          </cell>
          <cell r="C5973" t="str">
            <v>M2</v>
          </cell>
          <cell r="D5973">
            <v>102.94</v>
          </cell>
        </row>
        <row r="5974">
          <cell r="A5974" t="str">
            <v>88470</v>
          </cell>
          <cell r="B5974" t="str">
            <v>CONTRAPISO COM ARGAMASSA AUTONIVELANTE, APLICADO SOBRE LAJE, NÃO ADERIDO, ESPESSURA 3CM. AF_07/2021</v>
          </cell>
          <cell r="C5974" t="str">
            <v>M2</v>
          </cell>
          <cell r="D5974">
            <v>16.97</v>
          </cell>
        </row>
        <row r="5975">
          <cell r="A5975" t="str">
            <v>88471</v>
          </cell>
          <cell r="B5975" t="str">
            <v>CONTRAPISO COM ARGAMASSA AUTONIVELANTE, APLICADO SOBRE LAJE, NÃO ADERIDO, ESPESSURA 4CM. AF_07/2021</v>
          </cell>
          <cell r="C5975" t="str">
            <v>M2</v>
          </cell>
          <cell r="D5975">
            <v>21.35</v>
          </cell>
        </row>
        <row r="5976">
          <cell r="A5976" t="str">
            <v>88472</v>
          </cell>
          <cell r="B5976" t="str">
            <v>CONTRAPISO COM ARGAMASSA AUTONIVELANTE, APLICADO SOBRE LAJE, NÃO ADERIDO, ESPESSURA 5CM. AF_07/2021</v>
          </cell>
          <cell r="C5976" t="str">
            <v>M2</v>
          </cell>
          <cell r="D5976">
            <v>24.82</v>
          </cell>
        </row>
        <row r="5977">
          <cell r="A5977" t="str">
            <v>88476</v>
          </cell>
          <cell r="B5977" t="str">
            <v>CONTRAPISO COM ARGAMASSA AUTONIVELANTE, APLICADO SOBRE LAJE, ADERIDO, ESPESSURA 2CM. AF_07/2021</v>
          </cell>
          <cell r="C5977" t="str">
            <v>M2</v>
          </cell>
          <cell r="D5977">
            <v>14.56</v>
          </cell>
        </row>
        <row r="5978">
          <cell r="A5978" t="str">
            <v>88477</v>
          </cell>
          <cell r="B5978" t="str">
            <v>CONTRAPISO COM ARGAMASSA AUTONIVELANTE, APLICADO SOBRE LAJE, ADERIDO, ESPESSURA 3CM. AF_07/2021</v>
          </cell>
          <cell r="C5978" t="str">
            <v>M2</v>
          </cell>
          <cell r="D5978">
            <v>20.12</v>
          </cell>
        </row>
        <row r="5979">
          <cell r="A5979" t="str">
            <v>88478</v>
          </cell>
          <cell r="B5979" t="str">
            <v>CONTRAPISO COM ARGAMASSA AUTONIVELANTE, APLICADO SOBRE LAJE, ADERIDO, ESPESSURA 4CM. AF_07/2021</v>
          </cell>
          <cell r="C5979" t="str">
            <v>M2</v>
          </cell>
          <cell r="D5979">
            <v>24.7</v>
          </cell>
        </row>
        <row r="5980">
          <cell r="A5980" t="str">
            <v>90930</v>
          </cell>
          <cell r="B5980" t="str">
            <v>CONTRAPISO ACÚSTICO EM ARGAMASSA TRAÇO 1:4 (CIMENTO E AREIA), PREPARO MECÂNICO COM BETONEIRA 400L, APLICADO EM ÁREAS SECAS, ACABAMENTO NÃO REFORÇADO, ESPESSURA 5CM. AF_07/2021</v>
          </cell>
          <cell r="C5980" t="str">
            <v>M2</v>
          </cell>
          <cell r="D5980">
            <v>67.739999999999995</v>
          </cell>
        </row>
        <row r="5981">
          <cell r="A5981" t="str">
            <v>90932</v>
          </cell>
          <cell r="B5981" t="str">
            <v>CONTRAPISO ACÚSTICO EM ARGAMASSA TRAÇO 1:4 (CIMENTO E AREIA), PREPARO MANUAL, APLICADO EM ÁREAS SECAS, ACABAMENTO NÃO REFORÇADO, ESPESSURA 5CM. AF_07/2021</v>
          </cell>
          <cell r="C5981" t="str">
            <v>M2</v>
          </cell>
          <cell r="D5981">
            <v>72.81</v>
          </cell>
        </row>
        <row r="5982">
          <cell r="A5982" t="str">
            <v>90933</v>
          </cell>
          <cell r="B5982" t="str">
            <v>CONTRAPISO ACÚSTICO EM ARGAMASSA PRONTA, PREPARO MECÂNICO COM MISTURADOR 300 KG, APLICADO EM ÁREAS SECAS, ACABAMENTO NÃO REFORÇADO, ESPESSURA 5CM. AF_07/2021</v>
          </cell>
          <cell r="C5982" t="str">
            <v>M2</v>
          </cell>
          <cell r="D5982">
            <v>124.6</v>
          </cell>
        </row>
        <row r="5983">
          <cell r="A5983" t="str">
            <v>90934</v>
          </cell>
          <cell r="B5983" t="str">
            <v>CONTRAPISO ACÚSTICO EM ARGAMASSA PRONTA, PREPARO MANUAL, APLICADO EM ÁREAS SECAS, ACABAMENTO NÃO REFORÇADO, ESPESSURA 5CM. AF_07/2021</v>
          </cell>
          <cell r="C5983" t="str">
            <v>M2</v>
          </cell>
          <cell r="D5983">
            <v>134.68</v>
          </cell>
        </row>
        <row r="5984">
          <cell r="A5984" t="str">
            <v>90940</v>
          </cell>
          <cell r="B5984" t="str">
            <v>CONTRAPISO ACÚSTICO EM ARGAMASSA TRAÇO 1:4 (CIMENTO E AREIA), PREPARO MECÂNICO COM BETONEIRA 400L, APLICADO EM ÁREAS SECAS, ACABAMENTO NÃO REFORÇADO, ESPESSURA 6CM. AF_07/2021</v>
          </cell>
          <cell r="C5984" t="str">
            <v>M2</v>
          </cell>
          <cell r="D5984">
            <v>71.73</v>
          </cell>
        </row>
        <row r="5985">
          <cell r="A5985" t="str">
            <v>90942</v>
          </cell>
          <cell r="B5985" t="str">
            <v>CONTRAPISO ACÚSTICO EM ARGAMASSA TRAÇO 1:4 (CIMENTO E AREIA), PREPARO MANUAL, APLICADO EM ÁREAS SECAS, ACABAMENTO NÃO REFORÇADO, ESPESSURA 6CM. AF_07/2021</v>
          </cell>
          <cell r="C5985" t="str">
            <v>M2</v>
          </cell>
          <cell r="D5985">
            <v>77.260000000000005</v>
          </cell>
        </row>
        <row r="5986">
          <cell r="A5986" t="str">
            <v>90943</v>
          </cell>
          <cell r="B5986" t="str">
            <v>CONTRAPISO ACÚSTICO EM ARGAMASSA PRONTA, PREPARO MECÂNICO COM MISTURADOR 300 KG, APLICADO EM ÁREAS SECAS, ACABAMENTO NÃO REFORÇADO, ESPESSURA 6CM. AF_07/2021</v>
          </cell>
          <cell r="C5986" t="str">
            <v>M2</v>
          </cell>
          <cell r="D5986">
            <v>133.65</v>
          </cell>
        </row>
        <row r="5987">
          <cell r="A5987" t="str">
            <v>90944</v>
          </cell>
          <cell r="B5987" t="str">
            <v>CONTRAPISO ACÚSTICO EM ARGAMASSA PRONTA, PREPARO MANUAL, APLICADO EM ÁREAS SECA, ACABAMENTO NÃO REFORÇADO, ESPESSURA 6CM. AF_07/2021</v>
          </cell>
          <cell r="C5987" t="str">
            <v>M2</v>
          </cell>
          <cell r="D5987">
            <v>144.63</v>
          </cell>
        </row>
        <row r="5988">
          <cell r="A5988" t="str">
            <v>90950</v>
          </cell>
          <cell r="B5988" t="str">
            <v>CONTRAPISO ACÚSTICO EM ARGAMASSA TRAÇO 1:4 (CIMENTO E AREIA), PREPARO MECÂNICO COM BETONEIRA 400L, APLICADO EM ÁREAS SECAS, ACABAMENTO NÃO REFORÇADO, ESPESSURA 7CM. AF_07/2021</v>
          </cell>
          <cell r="C5988" t="str">
            <v>M2</v>
          </cell>
          <cell r="D5988">
            <v>79.05</v>
          </cell>
        </row>
        <row r="5989">
          <cell r="A5989" t="str">
            <v>90952</v>
          </cell>
          <cell r="B5989" t="str">
            <v>CONTRAPISO ACÚSTICO EM ARGAMASSA TRAÇO 1:4 (CIMENTO E AREIA), PREPARO MANUAL, APLICADO EM ÁREAS SECAS, ACABAMENTO NÃO REFORÇADO, ESPESSURA 7CM. AF_07/2021</v>
          </cell>
          <cell r="C5989" t="str">
            <v>M2</v>
          </cell>
          <cell r="D5989">
            <v>85.4</v>
          </cell>
        </row>
        <row r="5990">
          <cell r="A5990" t="str">
            <v>90953</v>
          </cell>
          <cell r="B5990" t="str">
            <v>CONTRAPISO ACÚSTICO EM ARGAMASSA PRONTA, PREPARO MECÂNICO COM MISTURADOR 300 KG, APLICADO EM ÁREAS SECAS, ACABAMENTO NÃO REFORÇADO, ESPESSURA 7CM. AF_07/2021</v>
          </cell>
          <cell r="C5990" t="str">
            <v>M2</v>
          </cell>
          <cell r="D5990">
            <v>150.24</v>
          </cell>
        </row>
        <row r="5991">
          <cell r="A5991" t="str">
            <v>90954</v>
          </cell>
          <cell r="B5991" t="str">
            <v>CONTRAPISO ACÚSTICO EM ARGAMASSA PRONTA, PREPARO MANUAL, APLICADO EM ÁREAS SECAS, ACABAMENTO NÃO REFORÇADO, ESPESSURA 7CM. AF_07/2021</v>
          </cell>
          <cell r="C5991" t="str">
            <v>M2</v>
          </cell>
          <cell r="D5991">
            <v>162.86000000000001</v>
          </cell>
        </row>
        <row r="5992">
          <cell r="A5992" t="str">
            <v>94438</v>
          </cell>
          <cell r="B5992" t="str">
            <v>(COMPOSIÇÃO REPRESENTATIVA) DO SERVIÇO DE CONTRAPISO EM ARGAMASSA TRAÇO 1:4 (CIM E AREIA), EM BETONEIRA 400 L, ESPESSURA 3 CM ÁREAS SECAS E 3 CM ÁREAS MOLHADAS, PARA EDIFICAÇÃO HABITACIONAL UNIFAMILIAR (CASA) E EDIFICAÇÃO PÚBLICA PADRÃO. AF_11/2014</v>
          </cell>
          <cell r="C5992" t="str">
            <v>M2</v>
          </cell>
          <cell r="D5992">
            <v>33.68</v>
          </cell>
        </row>
        <row r="5993">
          <cell r="A5993" t="str">
            <v>94439</v>
          </cell>
          <cell r="B5993" t="str">
            <v>(COMPOSIÇÃO REPRESENTATIVA) DO SERVIÇO DE CONTRAPISO EM ARGAMASSA TRAÇO 1:4 (CIM E AREIA), BETONEIRA 400 L, E = 4 CM ÁREAS SECAS E  MOLHADAS SOBRE LAJE , E = 3 CM ÁREAS MOLHADAS SOBRE IMPERMEABILIZAÇÃO, CASA E EDIFICAÇÃO PÚBLICA PADRÃO. AF_11/2014</v>
          </cell>
          <cell r="C5993" t="str">
            <v>M2</v>
          </cell>
          <cell r="D5993">
            <v>37.86</v>
          </cell>
        </row>
        <row r="5994">
          <cell r="A5994" t="str">
            <v>94779</v>
          </cell>
          <cell r="B5994" t="str">
            <v>(COMPOSIÇÃO REPRESENTATIVA) DO SERVIÇO DE CONTRAPISO EM ARGAMASSA TRAÇO 1:4 (CIM E AREIA), EM BETONEIRA 400 L, ESPESSURA 3 CM ÁREAS SECAS E 3 CM ÁREAS MOLHADAS, PARA EDIFICAÇÃO HABITACIONAL MULTIFAMILIAR (PRÉDIO). AF_11/2014</v>
          </cell>
          <cell r="C5994" t="str">
            <v>M2</v>
          </cell>
          <cell r="D5994">
            <v>32.29</v>
          </cell>
        </row>
        <row r="5995">
          <cell r="A5995" t="str">
            <v>94782</v>
          </cell>
          <cell r="B5995" t="str">
            <v>(COMPOSIÇÃO REPRESENTATIVA) DO SERVIÇO DE CONTRAPISO EM ARGAMASSA TRAÇO 1:4 (CIM E AREIA), BETONEIRA 400 L, E = 4 CM ÁREAS SECAS E  MOLHADAS SOBRE LAJE , E = 3 CM ÁREAS MOLHADAS SOBRE IMPERMEABILIZAÇÃO, PARA EDIFICAÇÃO MULTIFAMILIAR. AF_11/2014</v>
          </cell>
          <cell r="C5995" t="str">
            <v>M2</v>
          </cell>
          <cell r="D5995">
            <v>36.909999999999997</v>
          </cell>
        </row>
        <row r="5996">
          <cell r="A5996" t="str">
            <v>102803</v>
          </cell>
          <cell r="B5996" t="str">
            <v>REFORÇO SUPERFICIAL PARA CONTRAPISOS DE ARGAMASSA SEMI-SECA. AF_07/2021</v>
          </cell>
          <cell r="C5996" t="str">
            <v>M</v>
          </cell>
          <cell r="D5996">
            <v>2.06</v>
          </cell>
        </row>
        <row r="5997">
          <cell r="A5997" t="str">
            <v>101742</v>
          </cell>
          <cell r="B5997" t="str">
            <v>RODAPÉ BORRACHA LISO, ALTURA = 7CM, ESPESSURA = 2 MM, PARA ARGAMASSA. AF_09/2020</v>
          </cell>
          <cell r="C5997" t="str">
            <v>M2</v>
          </cell>
          <cell r="D5997">
            <v>54.28</v>
          </cell>
        </row>
        <row r="5998">
          <cell r="A5998" t="str">
            <v>87871</v>
          </cell>
          <cell r="B5998" t="str">
            <v>CHAPISCO APLICADO SOMENTE EM ESTRUTURAS DE CONCRETO EM ALVENARIAS INTERNAS, COM DESEMPENADEIRA DENTADA. ARGAMASSA INDUSTRIALIZADA COM PREPARO MANUAL. AF_06/2014</v>
          </cell>
          <cell r="C5998" t="str">
            <v>M2</v>
          </cell>
          <cell r="D5998">
            <v>11.74</v>
          </cell>
        </row>
        <row r="5999">
          <cell r="A5999" t="str">
            <v>87872</v>
          </cell>
          <cell r="B5999" t="str">
            <v>CHAPISCO APLICADO SOMENTE EM ESTRUTURAS DE CONCRETO EM ALVENARIAS INTERNAS, COM DESEMPENADEIRA DENTADA.  ARGAMASSA INDUSTRIALIZADA COM PREPARO EM MISTURADOR 300 KG. AF_06/2014</v>
          </cell>
          <cell r="C5999" t="str">
            <v>M2</v>
          </cell>
          <cell r="D5999">
            <v>11.15</v>
          </cell>
        </row>
        <row r="6000">
          <cell r="A6000" t="str">
            <v>87873</v>
          </cell>
          <cell r="B6000" t="str">
            <v>CHAPISCO APLICADO EM ALVENARIAS E ESTRUTURAS DE CONCRETO INTERNAS, COM ROLO PARA TEXTURA ACRÍLICA.  ARGAMASSA TRAÇO 1:4 E EMULSÃO POLIMÉRICA (ADESIVO) COM PREPARO MANUAL. AF_06/2014</v>
          </cell>
          <cell r="C6000" t="str">
            <v>M2</v>
          </cell>
          <cell r="D6000">
            <v>5.2</v>
          </cell>
        </row>
        <row r="6001">
          <cell r="A6001" t="str">
            <v>87874</v>
          </cell>
          <cell r="B6001" t="str">
            <v>CHAPISCO APLICADO EM ALVENARIAS E ESTRUTURAS DE CONCRETO INTERNAS, COM ROLO PARA TEXTURA ACRÍLICA.  ARGAMASSA TRAÇO 1:4 E EMULSÃO POLIMÉRICA (ADESIVO) COM PREPARO EM BETONEIRA 400L. AF_06/2014</v>
          </cell>
          <cell r="C6001" t="str">
            <v>M2</v>
          </cell>
          <cell r="D6001">
            <v>5.08</v>
          </cell>
        </row>
        <row r="6002">
          <cell r="A6002" t="str">
            <v>87876</v>
          </cell>
          <cell r="B6002" t="str">
            <v>CHAPISCO APLICADO EM ALVENARIAS E ESTRUTURAS DE CONCRETO INTERNAS, COM ROLO PARA TEXTURA ACRÍLICA.  ARGAMASSA INDUSTRIALIZADA COM PREPARO MANUAL. AF_06/2014</v>
          </cell>
          <cell r="C6002" t="str">
            <v>M2</v>
          </cell>
          <cell r="D6002">
            <v>6.85</v>
          </cell>
        </row>
        <row r="6003">
          <cell r="A6003" t="str">
            <v>87877</v>
          </cell>
          <cell r="B6003" t="str">
            <v>CHAPISCO APLICADO EM ALVENARIAS E ESTRUTURAS DE CONCRETO INTERNAS, COM ROLO PARA TEXTURA ACRÍLICA.  ARGAMASSA INDUSTRIALIZADA COM PREPARO EM MISTURADOR 300 KG. AF_06/2014</v>
          </cell>
          <cell r="C6003" t="str">
            <v>M2</v>
          </cell>
          <cell r="D6003">
            <v>6.56</v>
          </cell>
        </row>
        <row r="6004">
          <cell r="A6004" t="str">
            <v>87878</v>
          </cell>
          <cell r="B6004" t="str">
            <v>CHAPISCO APLICADO EM ALVENARIAS E ESTRUTURAS DE CONCRETO INTERNAS, COM COLHER DE PEDREIRO.  ARGAMASSA TRAÇO 1:3 COM PREPARO MANUAL. AF_06/2014</v>
          </cell>
          <cell r="C6004" t="str">
            <v>M2</v>
          </cell>
          <cell r="D6004">
            <v>3.96</v>
          </cell>
        </row>
        <row r="6005">
          <cell r="A6005" t="str">
            <v>87879</v>
          </cell>
          <cell r="B6005" t="str">
            <v>CHAPISCO APLICADO EM ALVENARIAS E ESTRUTURAS DE CONCRETO INTERNAS, COM COLHER DE PEDREIRO.  ARGAMASSA TRAÇO 1:3 COM PREPARO EM BETONEIRA 400L. AF_06/2014</v>
          </cell>
          <cell r="C6005" t="str">
            <v>M2</v>
          </cell>
          <cell r="D6005">
            <v>3.56</v>
          </cell>
        </row>
        <row r="6006">
          <cell r="A6006" t="str">
            <v>87881</v>
          </cell>
          <cell r="B6006" t="str">
            <v>CHAPISCO APLICADO NO TETO, COM ROLO PARA TEXTURA ACRÍLICA. ARGAMASSA TRAÇO 1:4 E EMULSÃO POLIMÉRICA (ADESIVO) COM PREPARO MANUAL. AF_06/2014</v>
          </cell>
          <cell r="C6006" t="str">
            <v>M2</v>
          </cell>
          <cell r="D6006">
            <v>5.08</v>
          </cell>
        </row>
        <row r="6007">
          <cell r="A6007" t="str">
            <v>87882</v>
          </cell>
          <cell r="B6007" t="str">
            <v>CHAPISCO APLICADO NO TETO, COM ROLO PARA TEXTURA ACRÍLICA. ARGAMASSA TRAÇO 1:4 E EMULSÃO POLIMÉRICA (ADESIVO) COM PREPARO EM BETONEIRA 400L. AF_06/2014</v>
          </cell>
          <cell r="C6007" t="str">
            <v>M2</v>
          </cell>
          <cell r="D6007">
            <v>4.96</v>
          </cell>
        </row>
        <row r="6008">
          <cell r="A6008" t="str">
            <v>87884</v>
          </cell>
          <cell r="B6008" t="str">
            <v>CHAPISCO APLICADO NO TETO, COM ROLO PARA TEXTURA ACRÍLICA. ARGAMASSA INDUSTRIALIZADA COM PREPARO MANUAL. AF_06/2014</v>
          </cell>
          <cell r="C6008" t="str">
            <v>M2</v>
          </cell>
          <cell r="D6008">
            <v>6.73</v>
          </cell>
        </row>
        <row r="6009">
          <cell r="A6009" t="str">
            <v>87885</v>
          </cell>
          <cell r="B6009" t="str">
            <v>CHAPISCO APLICADO NO TETO, COM ROLO PARA TEXTURA ACRÍLICA. ARGAMASSA INDUSTRIALIZADA COM PREPARO EM MISTURADOR 300 KG. AF_06/2014</v>
          </cell>
          <cell r="C6009" t="str">
            <v>M2</v>
          </cell>
          <cell r="D6009">
            <v>6.44</v>
          </cell>
        </row>
        <row r="6010">
          <cell r="A6010" t="str">
            <v>87886</v>
          </cell>
          <cell r="B6010" t="str">
            <v>CHAPISCO APLICADO NO TETO, COM DESEMPENADEIRA DENTADA. ARGAMASSA INDUSTRIALIZADA COM PREPARO MANUAL. AF_06/2014</v>
          </cell>
          <cell r="C6010" t="str">
            <v>M2</v>
          </cell>
          <cell r="D6010">
            <v>18.309999999999999</v>
          </cell>
        </row>
        <row r="6011">
          <cell r="A6011" t="str">
            <v>87887</v>
          </cell>
          <cell r="B6011" t="str">
            <v>CHAPISCO APLICADO NO TETO, COM DESEMPENADEIRA DENTADA. ARGAMASSA INDUSTRIALIZADA COM PREPARO EM MISTURADOR 300 KG. AF_06/2014</v>
          </cell>
          <cell r="C6011" t="str">
            <v>M2</v>
          </cell>
          <cell r="D6011">
            <v>17.72</v>
          </cell>
        </row>
        <row r="6012">
          <cell r="A6012" t="str">
            <v>87888</v>
          </cell>
          <cell r="B6012" t="str">
            <v>CHAPISCO APLICADO EM ALVENARIA (SEM PRESENÇA DE VÃOS) E ESTRUTURAS DE CONCRETO DE FACHADA, COM ROLO PARA TEXTURA ACRÍLICA.  ARGAMASSA TRAÇO 1:4 E EMULSÃO POLIMÉRICA (ADESIVO) COM PREPARO MANUAL. AF_06/2014</v>
          </cell>
          <cell r="C6012" t="str">
            <v>M2</v>
          </cell>
          <cell r="D6012">
            <v>6.56</v>
          </cell>
        </row>
        <row r="6013">
          <cell r="A6013" t="str">
            <v>87889</v>
          </cell>
          <cell r="B6013" t="str">
            <v>CHAPISCO APLICADO EM ALVENARIA (SEM PRESENÇA DE VÃOS) E ESTRUTURAS DE CONCRETO DE FACHADA, COM ROLO PARA TEXTURA ACRÍLICA.  ARGAMASSA TRAÇO 1:4 E EMULSÃO POLIMÉRICA (ADESIVO) COM PREPARO EM BETONEIRA 400L. AF_06/2014</v>
          </cell>
          <cell r="C6013" t="str">
            <v>M2</v>
          </cell>
          <cell r="D6013">
            <v>6.44</v>
          </cell>
        </row>
        <row r="6014">
          <cell r="A6014" t="str">
            <v>87891</v>
          </cell>
          <cell r="B6014" t="str">
            <v>CHAPISCO APLICADO EM ALVENARIA (SEM PRESENÇA DE VÃOS) E ESTRUTURAS DE CONCRETO DE FACHADA, COM ROLO PARA TEXTURA ACRÍLICA.  ARGAMASSA INDUSTRIALIZADA COM PREPARO MANUAL. AF_06/2014</v>
          </cell>
          <cell r="C6014" t="str">
            <v>M2</v>
          </cell>
          <cell r="D6014">
            <v>8.2100000000000009</v>
          </cell>
        </row>
        <row r="6015">
          <cell r="A6015" t="str">
            <v>87892</v>
          </cell>
          <cell r="B6015" t="str">
            <v>CHAPISCO APLICADO EM ALVENARIA (SEM PRESENÇA DE VÃOS) E ESTRUTURAS DE CONCRETO DE FACHADA, COM ROLO PARA TEXTURA ACRÍLICA.  ARGAMASSA INDUSTRIALIZADA COM PREPARO EM MISTURADOR 300 KG. AF_06/2014</v>
          </cell>
          <cell r="C6015" t="str">
            <v>M2</v>
          </cell>
          <cell r="D6015">
            <v>7.92</v>
          </cell>
        </row>
        <row r="6016">
          <cell r="A6016" t="str">
            <v>87893</v>
          </cell>
          <cell r="B6016" t="str">
            <v>CHAPISCO APLICADO EM ALVENARIA (SEM PRESENÇA DE VÃOS) E ESTRUTURAS DE CONCRETO DE FACHADA, COM COLHER DE PEDREIRO.  ARGAMASSA TRAÇO 1:3 COM PREPARO MANUAL. AF_06/2014</v>
          </cell>
          <cell r="C6016" t="str">
            <v>M2</v>
          </cell>
          <cell r="D6016">
            <v>6.33</v>
          </cell>
        </row>
        <row r="6017">
          <cell r="A6017" t="str">
            <v>87894</v>
          </cell>
          <cell r="B6017" t="str">
            <v>CHAPISCO APLICADO EM ALVENARIA (SEM PRESENÇA DE VÃOS) E ESTRUTURAS DE CONCRETO DE FACHADA, COM COLHER DE PEDREIRO.  ARGAMASSA TRAÇO 1:3 COM PREPARO EM BETONEIRA 400L. AF_06/2014</v>
          </cell>
          <cell r="C6017" t="str">
            <v>M2</v>
          </cell>
          <cell r="D6017">
            <v>5.93</v>
          </cell>
        </row>
        <row r="6018">
          <cell r="A6018" t="str">
            <v>87896</v>
          </cell>
          <cell r="B6018" t="str">
            <v>CHAPISCO APLICADO EM ALVENARIA (SEM PRESENÇA DE VÃOS) E ESTRUTURAS DE CONCRETO DE FACHADA, COM EQUIPAMENTO DE PROJEÇÃO.  ARGAMASSA TRAÇO 1:3 COM PREPARO MANUAL. AF_06/2014</v>
          </cell>
          <cell r="C6018" t="str">
            <v>M2</v>
          </cell>
          <cell r="D6018">
            <v>5.74</v>
          </cell>
        </row>
        <row r="6019">
          <cell r="A6019" t="str">
            <v>87897</v>
          </cell>
          <cell r="B6019" t="str">
            <v>CHAPISCO APLICADO EM ALVENARIA (SEM PRESENÇA DE VÃOS) E ESTRUTURAS DE CONCRETO DE FACHADA, COM EQUIPAMENTO DE PROJEÇÃO.  ARGAMASSA TRAÇO 1:3 COM PREPARO EM BETONEIRA 400 L. AF_06/2014</v>
          </cell>
          <cell r="C6019" t="str">
            <v>M2</v>
          </cell>
          <cell r="D6019">
            <v>5.34</v>
          </cell>
        </row>
        <row r="6020">
          <cell r="A6020" t="str">
            <v>87899</v>
          </cell>
          <cell r="B6020" t="str">
            <v>CHAPISCO APLICADO EM ALVENARIA (COM PRESENÇA DE VÃOS) E ESTRUTURAS DE CONCRETO DE FACHADA, COM ROLO PARA TEXTURA ACRÍLICA.  ARGAMASSA TRAÇO 1:4 E EMULSÃO POLIMÉRICA (ADESIVO) COM PREPARO MANUAL. AF_06/2014</v>
          </cell>
          <cell r="C6020" t="str">
            <v>M2</v>
          </cell>
          <cell r="D6020">
            <v>7.76</v>
          </cell>
        </row>
        <row r="6021">
          <cell r="A6021" t="str">
            <v>87900</v>
          </cell>
          <cell r="B6021" t="str">
            <v>CHAPISCO APLICADO EM ALVENARIA (COM PRESENÇA DE VÃOS) E ESTRUTURAS DE CONCRETO DE FACHADA, COM ROLO PARA TEXTURA ACRÍLICA.  ARGAMASSA TRAÇO 1:4 E EMULSÃO POLIMÉRICA (ADESIVO) COM PREPARO EM BETONEIRA 400L. AF_06/2014</v>
          </cell>
          <cell r="C6021" t="str">
            <v>M2</v>
          </cell>
          <cell r="D6021">
            <v>7.64</v>
          </cell>
        </row>
        <row r="6022">
          <cell r="A6022" t="str">
            <v>87902</v>
          </cell>
          <cell r="B6022" t="str">
            <v>CHAPISCO APLICADO EM ALVENARIA (COM PRESENÇA DE VÃOS) E ESTRUTURAS DE CONCRETO DE FACHADA, COM ROLO PARA TEXTURA ACRÍLICA.  ARGAMASSA INDUSTRIALIZADA COM PREPARO MANUAL. AF_06/2014</v>
          </cell>
          <cell r="C6022" t="str">
            <v>M2</v>
          </cell>
          <cell r="D6022">
            <v>9.41</v>
          </cell>
        </row>
        <row r="6023">
          <cell r="A6023" t="str">
            <v>87903</v>
          </cell>
          <cell r="B6023" t="str">
            <v>CHAPISCO APLICADO EM ALVENARIA (COM PRESENÇA DE VÃOS) E ESTRUTURAS DE CONCRETO DE FACHADA, COM ROLO PARA TEXTURA ACRÍLICA.  ARGAMASSA INDUSTRIALIZADA COM PREPARO EM MISTURADOR 300 KG. AF_06/2014</v>
          </cell>
          <cell r="C6023" t="str">
            <v>M2</v>
          </cell>
          <cell r="D6023">
            <v>9.1199999999999992</v>
          </cell>
        </row>
        <row r="6024">
          <cell r="A6024" t="str">
            <v>87904</v>
          </cell>
          <cell r="B6024" t="str">
            <v>CHAPISCO APLICADO EM ALVENARIA (COM PRESENÇA DE VÃOS) E ESTRUTURAS DE CONCRETO DE FACHADA, COM COLHER DE PEDREIRO.  ARGAMASSA TRAÇO 1:3 COM PREPARO MANUAL. AF_06/2014</v>
          </cell>
          <cell r="C6024" t="str">
            <v>M2</v>
          </cell>
          <cell r="D6024">
            <v>8.34</v>
          </cell>
        </row>
        <row r="6025">
          <cell r="A6025" t="str">
            <v>87905</v>
          </cell>
          <cell r="B6025" t="str">
            <v>CHAPISCO APLICADO EM ALVENARIA (COM PRESENÇA DE VÃOS) E ESTRUTURAS DE CONCRETO DE FACHADA, COM COLHER DE PEDREIRO.  ARGAMASSA TRAÇO 1:3 COM PREPARO EM BETONEIRA 400L. AF_06/2014</v>
          </cell>
          <cell r="C6025" t="str">
            <v>M2</v>
          </cell>
          <cell r="D6025">
            <v>7.94</v>
          </cell>
        </row>
        <row r="6026">
          <cell r="A6026" t="str">
            <v>87907</v>
          </cell>
          <cell r="B6026" t="str">
            <v>CHAPISCO APLICADO EM ALVENARIA (COM PRESENÇA DE VÃOS) E ESTRUTURAS DE CONCRETO DE FACHADA, COM EQUIPAMENTO DE PROJEÇÃO.  ARGAMASSA TRAÇO 1:3 COM PREPARO MANUAL. AF_06/2014</v>
          </cell>
          <cell r="C6026" t="str">
            <v>M2</v>
          </cell>
          <cell r="D6026">
            <v>7.51</v>
          </cell>
        </row>
        <row r="6027">
          <cell r="A6027" t="str">
            <v>87908</v>
          </cell>
          <cell r="B6027" t="str">
            <v>CHAPISCO APLICADO EM ALVENARIA (COM PRESENÇA DE VÃOS) E ESTRUTURAS DE CONCRETO DE FACHADA, COM EQUIPAMENTO DE PROJEÇÃO.  ARGAMASSA TRAÇO 1:3 COM PREPARO EM BETONEIRA 400 L. AF_06/2014</v>
          </cell>
          <cell r="C6027" t="str">
            <v>M2</v>
          </cell>
          <cell r="D6027">
            <v>7.11</v>
          </cell>
        </row>
        <row r="6028">
          <cell r="A6028" t="str">
            <v>87910</v>
          </cell>
          <cell r="B6028" t="str">
            <v>CHAPISCO APLICADO SOMENTE NA ESTRUTURA DE CONCRETO DA FACHADA, COM DESEMPENADEIRA DENTADA. ARGAMASSA INDUSTRIALIZADA COM PREPARO MANUAL. AF_06/2014</v>
          </cell>
          <cell r="C6028" t="str">
            <v>M2</v>
          </cell>
          <cell r="D6028">
            <v>17.940000000000001</v>
          </cell>
        </row>
        <row r="6029">
          <cell r="A6029" t="str">
            <v>87911</v>
          </cell>
          <cell r="B6029" t="str">
            <v>CHAPISCO APLICADO SOMENTE NA ESTRUTURA DE CONCRETO DA FACHADA, COM DESEMPENADEIRA DENTADA. ARGAMASSA INDUSTRIALIZADA COM PREPARO EM MISTURADOR 300 KG. AF_06/2014</v>
          </cell>
          <cell r="C6029" t="str">
            <v>M2</v>
          </cell>
          <cell r="D6029">
            <v>17.350000000000001</v>
          </cell>
        </row>
        <row r="6030">
          <cell r="A6030" t="str">
            <v>87411</v>
          </cell>
          <cell r="B6030" t="str">
            <v>APLICAÇÃO MANUAL DE GESSO DESEMPENADO (SEM TALISCAS) EM TETO DE AMBIENTES DE ÁREA MAIOR QUE 10M², ESPESSURA DE 0,5CM. AF_06/2014</v>
          </cell>
          <cell r="C6030" t="str">
            <v>M2</v>
          </cell>
          <cell r="D6030">
            <v>14.06</v>
          </cell>
        </row>
        <row r="6031">
          <cell r="A6031" t="str">
            <v>87412</v>
          </cell>
          <cell r="B6031" t="str">
            <v>APLICAÇÃO MANUAL DE GESSO DESEMPENADO (SEM TALISCAS) EM TETO DE AMBIENTES DE ÁREA ENTRE 5M² E 10M², ESPESSURA DE 0,5CM. AF_06/2014</v>
          </cell>
          <cell r="C6031" t="str">
            <v>M2</v>
          </cell>
          <cell r="D6031">
            <v>19.61</v>
          </cell>
        </row>
        <row r="6032">
          <cell r="A6032" t="str">
            <v>87413</v>
          </cell>
          <cell r="B6032" t="str">
            <v>APLICAÇÃO MANUAL DE GESSO DESEMPENADO (SEM TALISCAS) EM TETO DE AMBIENTES DE ÁREA MENOR QUE 5M², ESPESSURA DE 0,5CM. AF_06/2014</v>
          </cell>
          <cell r="C6032" t="str">
            <v>M2</v>
          </cell>
          <cell r="D6032">
            <v>22.77</v>
          </cell>
        </row>
        <row r="6033">
          <cell r="A6033" t="str">
            <v>87414</v>
          </cell>
          <cell r="B6033" t="str">
            <v>APLICAÇÃO MANUAL DE GESSO DESEMPENADO (SEM TALISCAS) EM TETO DE AMBIENTES DE ÁREA MAIOR QUE 10M², ESPESSURA DE 1,0CM. AF_06/2014</v>
          </cell>
          <cell r="C6033" t="str">
            <v>M2</v>
          </cell>
          <cell r="D6033">
            <v>21.22</v>
          </cell>
        </row>
        <row r="6034">
          <cell r="A6034" t="str">
            <v>87415</v>
          </cell>
          <cell r="B6034" t="str">
            <v>APLICAÇÃO MANUAL DE GESSO DESEMPENADO (SEM TALISCAS) EM TETO DE AMBIENTES DE ÁREA ENTRE 5M² E 10M², ESPESSURA DE 1,0CM. AF_06/2014</v>
          </cell>
          <cell r="C6034" t="str">
            <v>M2</v>
          </cell>
          <cell r="D6034">
            <v>26.59</v>
          </cell>
        </row>
        <row r="6035">
          <cell r="A6035" t="str">
            <v>87416</v>
          </cell>
          <cell r="B6035" t="str">
            <v>APLICAÇÃO MANUAL DE GESSO DESEMPENADO (SEM TALISCAS) EM TETO DE AMBIENTES DE ÁREA MENOR QUE 5M², ESPESSURA DE 1,0CM. AF_06/2014</v>
          </cell>
          <cell r="C6035" t="str">
            <v>M2</v>
          </cell>
          <cell r="D6035">
            <v>29.95</v>
          </cell>
        </row>
        <row r="6036">
          <cell r="A6036" t="str">
            <v>87417</v>
          </cell>
          <cell r="B6036" t="str">
            <v>APLICAÇÃO MANUAL DE GESSO DESEMPENADO (SEM TALISCAS) EM PAREDES DE AMBIENTES DE ÁREA MAIOR QUE 10M², ESPESSURA DE 0,5CM. AF_06/2014</v>
          </cell>
          <cell r="C6036" t="str">
            <v>M2</v>
          </cell>
          <cell r="D6036">
            <v>14.85</v>
          </cell>
        </row>
        <row r="6037">
          <cell r="A6037" t="str">
            <v>87418</v>
          </cell>
          <cell r="B6037" t="str">
            <v>APLICAÇÃO MANUAL DE GESSO DESEMPENADO (SEM TALISCAS) EM PAREDES DE AMBIENTES DE ÁREA ENTRE 5M² E 10M², ESPESSURA DE 0,5CM. AF_06/2014</v>
          </cell>
          <cell r="C6037" t="str">
            <v>M2</v>
          </cell>
          <cell r="D6037">
            <v>15.25</v>
          </cell>
        </row>
        <row r="6038">
          <cell r="A6038" t="str">
            <v>87419</v>
          </cell>
          <cell r="B6038" t="str">
            <v>APLICAÇÃO MANUAL DE GESSO DESEMPENADO (SEM TALISCAS) EM PAREDES DE AMBIENTES DE ÁREA MENOR QUE 5M², ESPESSURA DE 0,5CM. AF_06/2014</v>
          </cell>
          <cell r="C6038" t="str">
            <v>M2</v>
          </cell>
          <cell r="D6038">
            <v>16.440000000000001</v>
          </cell>
        </row>
        <row r="6039">
          <cell r="A6039" t="str">
            <v>87420</v>
          </cell>
          <cell r="B6039" t="str">
            <v>APLICAÇÃO MANUAL DE GESSO DESEMPENADO (SEM TALISCAS) EM PAREDES DE AMBIENTES DE ÁREA MAIOR QUE 10M², ESPESSURA DE 1,0CM. AF_06/2014</v>
          </cell>
          <cell r="C6039" t="str">
            <v>M2</v>
          </cell>
          <cell r="D6039">
            <v>22.61</v>
          </cell>
        </row>
        <row r="6040">
          <cell r="A6040" t="str">
            <v>87421</v>
          </cell>
          <cell r="B6040" t="str">
            <v>APLICAÇÃO MANUAL DE GESSO DESEMPENADO (SEM TALISCAS) EM PAREDES DE AMBIENTES DE ÁREA ENTRE 5M² E 10M², ESPESSURA DE 1,0CM. AF_06/2014</v>
          </cell>
          <cell r="C6040" t="str">
            <v>M2</v>
          </cell>
          <cell r="D6040">
            <v>23.02</v>
          </cell>
        </row>
        <row r="6041">
          <cell r="A6041" t="str">
            <v>87422</v>
          </cell>
          <cell r="B6041" t="str">
            <v>APLICAÇÃO MANUAL DE GESSO DESEMPENADO (SEM TALISCAS) EM PAREDES DE AMBIENTES DE ÁREA MENOR QUE 5M², ESPESSURA DE 1,0CM. AF_06/2014</v>
          </cell>
          <cell r="C6041" t="str">
            <v>M2</v>
          </cell>
          <cell r="D6041">
            <v>24.22</v>
          </cell>
        </row>
        <row r="6042">
          <cell r="A6042" t="str">
            <v>87423</v>
          </cell>
          <cell r="B6042" t="str">
            <v>APLICAÇÃO MANUAL DE GESSO SARRAFEADO (COM TALISCAS) EM PAREDES DE AMBIENTES DE ÁREA MAIOR QUE 10M², ESPESSURA DE 1,0CM. AF_06/2014</v>
          </cell>
          <cell r="C6042" t="str">
            <v>M2</v>
          </cell>
          <cell r="D6042">
            <v>29.35</v>
          </cell>
        </row>
        <row r="6043">
          <cell r="A6043" t="str">
            <v>87424</v>
          </cell>
          <cell r="B6043" t="str">
            <v>APLICAÇÃO MANUAL DE GESSO SARRAFEADO (COM TALISCAS) EM PAREDES DE AMBIENTES DE ÁREA ENTRE 5M² E 10M², ESPESSURA DE 1,0CM. AF_06/2014</v>
          </cell>
          <cell r="C6043" t="str">
            <v>M2</v>
          </cell>
          <cell r="D6043">
            <v>29.95</v>
          </cell>
        </row>
        <row r="6044">
          <cell r="A6044" t="str">
            <v>87425</v>
          </cell>
          <cell r="B6044" t="str">
            <v>APLICAÇÃO MANUAL DE GESSO SARRAFEADO (COM TALISCAS) EM PAREDES DE AMBIENTES DE ÁREA MENOR QUE 5M², ESPESSURA DE 1,0CM. AF_06/2014</v>
          </cell>
          <cell r="C6044" t="str">
            <v>M2</v>
          </cell>
          <cell r="D6044">
            <v>30.94</v>
          </cell>
        </row>
        <row r="6045">
          <cell r="A6045" t="str">
            <v>87426</v>
          </cell>
          <cell r="B6045" t="str">
            <v>APLICAÇÃO MANUAL DE GESSO SARRAFEADO (COM TALISCAS) EM PAREDES DE AMBIENTES DE ÁREA MAIOR QUE 10M², ESPESSURA DE 1,5CM. AF_06/2014</v>
          </cell>
          <cell r="C6045" t="str">
            <v>M2</v>
          </cell>
          <cell r="D6045">
            <v>34.75</v>
          </cell>
        </row>
        <row r="6046">
          <cell r="A6046" t="str">
            <v>87427</v>
          </cell>
          <cell r="B6046" t="str">
            <v>APLICAÇÃO MANUAL DE GESSO SARRAFEADO (COM TALISCAS) EM PAREDES DE AMBIENTES DE ÁREA ENTRE 5M² E 10M², ESPESSURA DE 1,5CM. AF_06/2014</v>
          </cell>
          <cell r="C6046" t="str">
            <v>M2</v>
          </cell>
          <cell r="D6046">
            <v>35.35</v>
          </cell>
        </row>
        <row r="6047">
          <cell r="A6047" t="str">
            <v>87428</v>
          </cell>
          <cell r="B6047" t="str">
            <v>APLICAÇÃO MANUAL DE GESSO SARRAFEADO (COM TALISCAS) EM PAREDES DE AMBIENTES DE ÁREA MENOR QUE 5M², ESPESSURA DE 1,5CM. AF_06/2014</v>
          </cell>
          <cell r="C6047" t="str">
            <v>M2</v>
          </cell>
          <cell r="D6047">
            <v>36.340000000000003</v>
          </cell>
        </row>
        <row r="6048">
          <cell r="A6048" t="str">
            <v>87429</v>
          </cell>
          <cell r="B6048" t="str">
            <v>APLICAÇÃO DE GESSO PROJETADO COM EQUIPAMENTO DE PROJEÇÃO EM PAREDES DE AMBIENTES DE ÁREA MAIOR QUE 10M², DESEMPENADO (SEM TALISCAS), ESPESSURA DE 0,5CM. AF_06/2014</v>
          </cell>
          <cell r="C6048" t="str">
            <v>M2</v>
          </cell>
          <cell r="D6048">
            <v>15.54</v>
          </cell>
        </row>
        <row r="6049">
          <cell r="A6049" t="str">
            <v>87430</v>
          </cell>
          <cell r="B6049" t="str">
            <v>APLICAÇÃO DE GESSO PROJETADO COM EQUIPAMENTO DE PROJEÇÃO EM PAREDES DE AMBIENTES DE ÁREA ENTRE 5M² E 10M², DESEMPENADO (SEM TALISCAS), ESPESSURA DE 0,5CM. AF_06/2014</v>
          </cell>
          <cell r="C6049" t="str">
            <v>M2</v>
          </cell>
          <cell r="D6049">
            <v>15.94</v>
          </cell>
        </row>
        <row r="6050">
          <cell r="A6050" t="str">
            <v>87431</v>
          </cell>
          <cell r="B6050" t="str">
            <v>APLICAÇÃO DE GESSO PROJETADO COM EQUIPAMENTO DE PROJEÇÃO EM PAREDES DE AMBIENTES DE ÁREA MENOR QUE 5M², DESEMPENADO (SEM TALISCAS), ESPESSURA DE 0,5CM. AF_06/2014</v>
          </cell>
          <cell r="C6050" t="str">
            <v>M2</v>
          </cell>
          <cell r="D6050">
            <v>16.14</v>
          </cell>
        </row>
        <row r="6051">
          <cell r="A6051" t="str">
            <v>87432</v>
          </cell>
          <cell r="B6051" t="str">
            <v>APLICAÇÃO DE GESSO PROJETADO COM EQUIPAMENTO DE PROJEÇÃO EM PAREDES DE AMBIENTES DE ÁREA MAIOR QUE 10M², DESEMPENADO (SEM TALISCAS), ESPESSURA DE 1,0CM. AF_06/2014</v>
          </cell>
          <cell r="C6051" t="str">
            <v>M2</v>
          </cell>
          <cell r="D6051">
            <v>22.42</v>
          </cell>
        </row>
        <row r="6052">
          <cell r="A6052" t="str">
            <v>87433</v>
          </cell>
          <cell r="B6052" t="str">
            <v>APLICAÇÃO DE GESSO PROJETADO COM EQUIPAMENTO DE PROJEÇÃO EM PAREDES DE AMBIENTES DE ÁREA ENTRE 5M² E 10M², DESEMPENADO (SEM TALISCAS), ESPESSURA DE 1,0CM. AF_06/2014</v>
          </cell>
          <cell r="C6052" t="str">
            <v>M2</v>
          </cell>
          <cell r="D6052">
            <v>23.23</v>
          </cell>
        </row>
        <row r="6053">
          <cell r="A6053" t="str">
            <v>87434</v>
          </cell>
          <cell r="B6053" t="str">
            <v>APLICAÇÃO DE GESSO PROJETADO COM EQUIPAMENTO DE PROJEÇÃO EM PAREDES DE AMBIENTES DE ÁREA MENOR QUE 5M², DESEMPENADO (SEM TALISCAS), ESPESSURA DE 1,0CM. AF_06/2014</v>
          </cell>
          <cell r="C6053" t="str">
            <v>M2</v>
          </cell>
          <cell r="D6053">
            <v>23.81</v>
          </cell>
        </row>
        <row r="6054">
          <cell r="A6054" t="str">
            <v>87435</v>
          </cell>
          <cell r="B6054" t="str">
            <v>APLICAÇÃO DE GESSO PROJETADO COM EQUIPAMENTO DE PROJEÇÃO EM PAREDES DE AMBIENTES DE ÁREA MAIOR QUE 10M², SARRAFEADO (COM TALISCAS), ESPESSURA DE 1,0CM. AF_06/2014</v>
          </cell>
          <cell r="C6054" t="str">
            <v>M2</v>
          </cell>
          <cell r="D6054">
            <v>25.01</v>
          </cell>
        </row>
        <row r="6055">
          <cell r="A6055" t="str">
            <v>87436</v>
          </cell>
          <cell r="B6055" t="str">
            <v>APLICAÇÃO DE GESSO PROJETADO COM EQUIPAMENTO DE PROJEÇÃO EM PAREDES DE AMBIENTES DE ÁREA ENTRE 5M² E 10M², SARRAFEADO (COM TALISCAS), ESPESSURA DE 1,0CM. AF_06/2014</v>
          </cell>
          <cell r="C6055" t="str">
            <v>M2</v>
          </cell>
          <cell r="D6055">
            <v>26.4</v>
          </cell>
        </row>
        <row r="6056">
          <cell r="A6056" t="str">
            <v>87437</v>
          </cell>
          <cell r="B6056" t="str">
            <v>APLICAÇÃO DE GESSO PROJETADO COM EQUIPAMENTO DE PROJEÇÃO EM PAREDES DE AMBIENTES DE ÁREA MENOR QUE 5M², SARRAFEADO (COM TALISCAS), ESPESSURA DE 1,0CM. AF_06/2014</v>
          </cell>
          <cell r="C6056" t="str">
            <v>M2</v>
          </cell>
          <cell r="D6056">
            <v>27.39</v>
          </cell>
        </row>
        <row r="6057">
          <cell r="A6057" t="str">
            <v>87438</v>
          </cell>
          <cell r="B6057" t="str">
            <v>APLICAÇÃO DE GESSO PROJETADO COM EQUIPAMENTO DE PROJEÇÃO EM PAREDES DE AMBIENTES DE ÁREA MAIOR QUE 10M², SARRAFEADO (COM TALISCAS), ESPESSURA DE 1,5CM. AF_06/2014</v>
          </cell>
          <cell r="C6057" t="str">
            <v>M2</v>
          </cell>
          <cell r="D6057">
            <v>30.86</v>
          </cell>
        </row>
        <row r="6058">
          <cell r="A6058" t="str">
            <v>87439</v>
          </cell>
          <cell r="B6058" t="str">
            <v>APLICAÇÃO DE GESSO PROJETADO COM EQUIPAMENTO DE PROJEÇÃO EM PAREDES DE AMBIENTES DE ÁREA ENTRE 5M² E 10M², SARRAFEADO (COM TALISCAS), ESPESSURA DE 1,5CM. AF_06/2014</v>
          </cell>
          <cell r="C6058" t="str">
            <v>M2</v>
          </cell>
          <cell r="D6058">
            <v>32.630000000000003</v>
          </cell>
        </row>
        <row r="6059">
          <cell r="A6059" t="str">
            <v>87440</v>
          </cell>
          <cell r="B6059" t="str">
            <v>APLICAÇÃO DE GESSO PROJETADO COM EQUIPAMENTO DE PROJEÇÃO EM PAREDES DE AMBIENTES DE ÁREA MENOR QUE 5M², SARRAFEADO (COM TALISCAS), ESPESSURA DE 1,5CM. AF_06/2014</v>
          </cell>
          <cell r="C6059" t="str">
            <v>M2</v>
          </cell>
          <cell r="D6059">
            <v>33.44</v>
          </cell>
        </row>
        <row r="6060">
          <cell r="A6060" t="str">
            <v>87527</v>
          </cell>
          <cell r="B6060" t="str">
            <v>EMBOÇO, PARA RECEBIMENTO DE CERÂMICA, EM ARGAMASSA TRAÇO 1:2:8, PREPARO MECÂNICO COM BETONEIRA 400L, APLICADO MANUALMENTE EM FACES INTERNAS DE PAREDES, PARA AMBIENTE COM ÁREA MENOR QUE 5M2, ESPESSURA DE 20MM, COM EXECUÇÃO DE TALISCAS. AF_06/2014</v>
          </cell>
          <cell r="C6060" t="str">
            <v>M2</v>
          </cell>
          <cell r="D6060">
            <v>34.76</v>
          </cell>
        </row>
        <row r="6061">
          <cell r="A6061" t="str">
            <v>87528</v>
          </cell>
          <cell r="B6061" t="str">
            <v>EMBOÇO, PARA RECEBIMENTO DE CERÂMICA, EM ARGAMASSA TRAÇO 1:2:8, PREPARO MANUAL, APLICADO MANUALMENTE EM FACES INTERNAS DE PAREDES, PARA AMBIENTE COM ÁREA MENOR QUE 5M2, ESPESSURA DE 20MM, COM EXECUÇÃO DE TALISCAS. AF_06/2014</v>
          </cell>
          <cell r="C6061" t="str">
            <v>M2</v>
          </cell>
          <cell r="D6061">
            <v>38.18</v>
          </cell>
        </row>
        <row r="6062">
          <cell r="A6062" t="str">
            <v>87529</v>
          </cell>
          <cell r="B6062" t="str">
            <v>MASSA ÚNICA, PARA RECEBIMENTO DE PINTURA, EM ARGAMASSA TRAÇO 1:2:8, PREPARO MECÂNICO COM BETONEIRA 400L, APLICADA MANUALMENTE EM FACES INTERNAS DE PAREDES, ESPESSURA DE 20MM, COM EXECUÇÃO DE TALISCAS. AF_06/2014</v>
          </cell>
          <cell r="C6062" t="str">
            <v>M2</v>
          </cell>
          <cell r="D6062">
            <v>31.25</v>
          </cell>
        </row>
        <row r="6063">
          <cell r="A6063" t="str">
            <v>87530</v>
          </cell>
          <cell r="B6063" t="str">
            <v>MASSA ÚNICA, PARA RECEBIMENTO DE PINTURA, EM ARGAMASSA TRAÇO 1:2:8, PREPARO MANUAL, APLICADA MANUALMENTE EM FACES INTERNAS DE PAREDES, ESPESSURA DE 20MM, COM EXECUÇÃO DE TALISCAS. AF_06/2014</v>
          </cell>
          <cell r="C6063" t="str">
            <v>M2</v>
          </cell>
          <cell r="D6063">
            <v>34.67</v>
          </cell>
        </row>
        <row r="6064">
          <cell r="A6064" t="str">
            <v>87531</v>
          </cell>
          <cell r="B6064" t="str">
            <v>EMBOÇO, PARA RECEBIMENTO DE CERÂMICA, EM ARGAMASSA TRAÇO 1:2:8, PREPARO MECÂNICO COM BETONEIRA 400L, APLICADO MANUALMENTE EM FACES INTERNAS DE PAREDES, PARA AMBIENTE COM ÁREA ENTRE 5M2 E 10M2, ESPESSURA DE 20MM, COM EXECUÇÃO DE TALISCAS. AF_06/2014</v>
          </cell>
          <cell r="C6064" t="str">
            <v>M2</v>
          </cell>
          <cell r="D6064">
            <v>30.01</v>
          </cell>
        </row>
        <row r="6065">
          <cell r="A6065" t="str">
            <v>87532</v>
          </cell>
          <cell r="B6065" t="str">
            <v>EMBOÇO, PARA RECEBIMENTO DE CERÂMICA, EM ARGAMASSA TRAÇO 1:2:8, PREPARO MANUAL, APLICADO MANUALMENTE EM FACES INTERNAS DE PAREDES, PARA AMBIENTE COM ÁREA  ENTRE 5M2 E 10M2, ESPESSURA DE 20MM, COM EXECUÇÃO DE TALISCAS. AF_06/2014</v>
          </cell>
          <cell r="C6065" t="str">
            <v>M2</v>
          </cell>
          <cell r="D6065">
            <v>33.43</v>
          </cell>
        </row>
        <row r="6066">
          <cell r="A6066" t="str">
            <v>87535</v>
          </cell>
          <cell r="B6066" t="str">
            <v>EMBOÇO, PARA RECEBIMENTO DE CERÂMICA, EM ARGAMASSA TRAÇO 1:2:8, PREPARO MECÂNICO COM BETONEIRA 400L, APLICADO MANUALMENTE EM FACES INTERNAS DE PAREDES, PARA AMBIENTE COM ÁREA  MAIOR QUE 10M2, ESPESSURA DE 20MM, COM EXECUÇÃO DE TALISCAS. AF_06/2014</v>
          </cell>
          <cell r="C6066" t="str">
            <v>M2</v>
          </cell>
          <cell r="D6066">
            <v>26.51</v>
          </cell>
        </row>
        <row r="6067">
          <cell r="A6067" t="str">
            <v>87536</v>
          </cell>
          <cell r="B6067" t="str">
            <v>EMBOÇO, PARA RECEBIMENTO DE CERÂMICA, EM ARGAMASSA TRAÇO 1:2:8, PREPARO MANUAL, APLICADO MANUALMENTE EM FACES INTERNAS DE PAREDES, PARA AMBIENTE COM ÁREA  MAIOR QUE 10M2, ESPESSURA DE 20MM, COM EXECUÇÃO DE TALISCAS. AF_06/2014</v>
          </cell>
          <cell r="C6067" t="str">
            <v>M2</v>
          </cell>
          <cell r="D6067">
            <v>29.93</v>
          </cell>
        </row>
        <row r="6068">
          <cell r="A6068" t="str">
            <v>87537</v>
          </cell>
          <cell r="B6068"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6068" t="str">
            <v>M2</v>
          </cell>
          <cell r="D6068">
            <v>60.8</v>
          </cell>
        </row>
        <row r="6069">
          <cell r="A6069" t="str">
            <v>87538</v>
          </cell>
          <cell r="B6069" t="str">
            <v>MASSA ÚNICA, PARA RECEBIMENTO DE PINTURA, EM ARGAMASSA INDUSTRIALIZADA, PREPARO MECÂNICO, APLICADO COM EQUIPAMENTO DE MISTURA E PROJEÇÃO DE 1,5 M3/H DE ARGAMASSA EM FACES INTERNAS DE PAREDES, ESPESSURA DE 20MM, COM EXECUÇÃO DE TALISCAS. AF_06/2014</v>
          </cell>
          <cell r="C6069" t="str">
            <v>M2</v>
          </cell>
          <cell r="D6069">
            <v>57.76</v>
          </cell>
        </row>
        <row r="6070">
          <cell r="A6070" t="str">
            <v>87539</v>
          </cell>
          <cell r="B6070"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6070" t="str">
            <v>M2</v>
          </cell>
          <cell r="D6070">
            <v>56.68</v>
          </cell>
        </row>
        <row r="6071">
          <cell r="A6071" t="str">
            <v>87541</v>
          </cell>
          <cell r="B6071"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6071" t="str">
            <v>M2</v>
          </cell>
          <cell r="D6071">
            <v>53.66</v>
          </cell>
        </row>
        <row r="6072">
          <cell r="A6072" t="str">
            <v>87543</v>
          </cell>
          <cell r="B6072" t="str">
            <v>MASSA ÚNICA, PARA RECEBIMENTO DE PINTURA OU CERÂMICA, ARGAMASSA INDUSTRIALIZADA, PREPARO MECÂNICO, APLICADO COM EQUIPAMENTO DE MISTURA E PROJEÇÃO DE 1,5 M3/H EM FACES INTERNAS DE PAREDES, ESPESSURA DE 5MM, SEM EXECUÇÃO DE TALISCAS. AF_06/2014</v>
          </cell>
          <cell r="C6072" t="str">
            <v>M2</v>
          </cell>
          <cell r="D6072">
            <v>19.309999999999999</v>
          </cell>
        </row>
        <row r="6073">
          <cell r="A6073" t="str">
            <v>87545</v>
          </cell>
          <cell r="B6073" t="str">
            <v>EMBOÇO, PARA RECEBIMENTO DE CERÂMICA, EM ARGAMASSA TRAÇO 1:2:8, PREPARO MECÂNICO COM BETONEIRA 400L, APLICADO MANUALMENTE EM FACES INTERNAS DE PAREDES, PARA AMBIENTE COM ÁREA MENOR QUE 5M2, ESPESSURA DE 10MM, COM EXECUÇÃO DE TALISCAS. AF_06/2014</v>
          </cell>
          <cell r="C6073" t="str">
            <v>M2</v>
          </cell>
          <cell r="D6073">
            <v>23.86</v>
          </cell>
        </row>
        <row r="6074">
          <cell r="A6074" t="str">
            <v>87546</v>
          </cell>
          <cell r="B6074" t="str">
            <v>EMBOÇO, PARA RECEBIMENTO DE CERÂMICA, EM ARGAMASSA TRAÇO 1:2:8, PREPARO MANUAL, APLICADO MANUALMENTE EM FACES INTERNAS DE PAREDES, PARA AMBIENTE COM ÁREA MENOR QUE 5M2, ESPESSURA DE 10MM, COM EXECUÇÃO DE TALISCAS. AF_06/2014</v>
          </cell>
          <cell r="C6074" t="str">
            <v>M2</v>
          </cell>
          <cell r="D6074">
            <v>25.8</v>
          </cell>
        </row>
        <row r="6075">
          <cell r="A6075" t="str">
            <v>87547</v>
          </cell>
          <cell r="B6075" t="str">
            <v>MASSA ÚNICA, PARA RECEBIMENTO DE PINTURA, EM ARGAMASSA TRAÇO 1:2:8, PREPARO MECÂNICO COM BETONEIRA 400L, APLICADA MANUALMENTE EM FACES INTERNAS DE PAREDES, ESPESSURA DE 10MM, COM EXECUÇÃO DE TALISCAS. AF_06/2014</v>
          </cell>
          <cell r="C6075" t="str">
            <v>M2</v>
          </cell>
          <cell r="D6075">
            <v>20.37</v>
          </cell>
        </row>
        <row r="6076">
          <cell r="A6076" t="str">
            <v>87548</v>
          </cell>
          <cell r="B6076" t="str">
            <v>MASSA ÚNICA, PARA RECEBIMENTO DE PINTURA, EM ARGAMASSA TRAÇO 1:2:8, PREPARO MANUAL, APLICADA MANUALMENTE EM FACES INTERNAS DE PAREDES, ESPESSURA DE 10MM, COM EXECUÇÃO DE TALISCAS. AF_06/2014</v>
          </cell>
          <cell r="C6076" t="str">
            <v>M2</v>
          </cell>
          <cell r="D6076">
            <v>22.31</v>
          </cell>
        </row>
        <row r="6077">
          <cell r="A6077" t="str">
            <v>87549</v>
          </cell>
          <cell r="B6077" t="str">
            <v>EMBOÇO, PARA RECEBIMENTO DE CERÂMICA, EM ARGAMASSA TRAÇO 1:2:8, PREPARO MECÂNICO COM BETONEIRA 400L, APLICADO MANUALMENTE EM FACES INTERNAS DE PAREDES, PARA AMBIENTE COM ÁREA ENTRE 5M2 E 10M2, ESPESSURA DE 10MM, COM EXECUÇÃO DE TALISCAS. AF_06/2014</v>
          </cell>
          <cell r="C6077" t="str">
            <v>M2</v>
          </cell>
          <cell r="D6077">
            <v>19.11</v>
          </cell>
        </row>
        <row r="6078">
          <cell r="A6078" t="str">
            <v>87550</v>
          </cell>
          <cell r="B6078" t="str">
            <v>EMBOÇO, PARA RECEBIMENTO DE CERÂMICA, EM ARGAMASSA TRAÇO 1:2:8, PREPARO MANUAL, APLICADO MANUALMENTE EM FACES INTERNAS DE PAREDES, PARA AMBIENTE COM ÁREA ENTRE 5M2 E 10M2, ESPESSURA DE 10MM, COM EXECUÇÃO DE TALISCAS. AF_06/2014</v>
          </cell>
          <cell r="C6078" t="str">
            <v>M2</v>
          </cell>
          <cell r="D6078">
            <v>21.05</v>
          </cell>
        </row>
        <row r="6079">
          <cell r="A6079" t="str">
            <v>87553</v>
          </cell>
          <cell r="B6079" t="str">
            <v>EMBOÇO, PARA RECEBIMENTO DE CERÂMICA, EM ARGAMASSA TRAÇO 1:2:8, PREPARO MECÂNICO COM BETONEIRA 400L, APLICADO MANUALMENTE EM FACES INTERNAS DE PAREDES, PARA AMBIENTE COM ÁREA MAIOR QUE 10M2, ESPESSURA DE 10MM, COM EXECUÇÃO DE TALISCAS. AF_06/2014</v>
          </cell>
          <cell r="C6079" t="str">
            <v>M2</v>
          </cell>
          <cell r="D6079">
            <v>15.62</v>
          </cell>
        </row>
        <row r="6080">
          <cell r="A6080" t="str">
            <v>87554</v>
          </cell>
          <cell r="B6080" t="str">
            <v>EMBOÇO, PARA RECEBIMENTO DE CERÂMICA, EM ARGAMASSA TRAÇO 1:2:8, PREPARO MANUAL, APLICADO MANUALMENTE EM FACES INTERNAS DE PAREDES, PARA AMBIENTE COM ÁREA MAIOR QUE 10M2, ESPESSURA DE 10MM, COM EXECUÇÃO DE TALISCAS. AF_06/2014</v>
          </cell>
          <cell r="C6080" t="str">
            <v>M2</v>
          </cell>
          <cell r="D6080">
            <v>17.559999999999999</v>
          </cell>
        </row>
        <row r="6081">
          <cell r="A6081" t="str">
            <v>87555</v>
          </cell>
          <cell r="B6081"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6081" t="str">
            <v>M2</v>
          </cell>
          <cell r="D6081">
            <v>37.58</v>
          </cell>
        </row>
        <row r="6082">
          <cell r="A6082" t="str">
            <v>87556</v>
          </cell>
          <cell r="B6082" t="str">
            <v>MASSA ÚNICA, PARA RECEBIMENTO DE PINTURA, EM ARGAMASSA INDUSTRIALIZADA, PREPARO MECÂNICO, APLICADO COM EQUIPAMENTO DE MISTURA E PROJEÇÃO DE 1,5 M3/H DE ARGAMASSA EM FACES INTERNAS DE PAREDES, ESPESSURA DE 10MM, COM EXECUÇÃO DE TALISCAS. AF_06/2014</v>
          </cell>
          <cell r="C6082" t="str">
            <v>M2</v>
          </cell>
          <cell r="D6082">
            <v>34.56</v>
          </cell>
        </row>
        <row r="6083">
          <cell r="A6083" t="str">
            <v>87557</v>
          </cell>
          <cell r="B6083"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6083" t="str">
            <v>M2</v>
          </cell>
          <cell r="D6083">
            <v>33.46</v>
          </cell>
        </row>
        <row r="6084">
          <cell r="A6084" t="str">
            <v>87559</v>
          </cell>
          <cell r="B6084"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6084" t="str">
            <v>M2</v>
          </cell>
          <cell r="D6084">
            <v>30.44</v>
          </cell>
        </row>
        <row r="6085">
          <cell r="A6085" t="str">
            <v>87561</v>
          </cell>
          <cell r="B6085" t="str">
            <v>MASSA ÚNICA, PARA RECEBIMENTO DE PINTURA OU CERÂMICA, EM ARGAMASSA INDUSTRIALIZADA, PREPARO MECÂNICO, APLICADO COM EQUIPAMENTO DE MISTURA E PROJEÇÃO DE 1,5 M3/H DE ARGAMASSA EM FACES INTERNAS DE PAREDES, ESPESSURA DE 10MM, SEM EXECUÇÃO DE TALISCAS. AF_06/2014</v>
          </cell>
          <cell r="C6085" t="str">
            <v>M2</v>
          </cell>
          <cell r="D6085">
            <v>33.74</v>
          </cell>
        </row>
        <row r="6086">
          <cell r="A6086" t="str">
            <v>87775</v>
          </cell>
          <cell r="B6086" t="str">
            <v>EMBOÇO OU MASSA ÚNICA EM ARGAMASSA TRAÇO 1:2:8, PREPARO MECÂNICO COM BETONEIRA 400 L, APLICADA MANUALMENTE EM PANOS DE FACHADA COM PRESENÇA DE VÃOS, ESPESSURA DE 25 MM. AF_06/2014</v>
          </cell>
          <cell r="C6086" t="str">
            <v>M2</v>
          </cell>
          <cell r="D6086">
            <v>52.19</v>
          </cell>
        </row>
        <row r="6087">
          <cell r="A6087" t="str">
            <v>87777</v>
          </cell>
          <cell r="B6087" t="str">
            <v>EMBOÇO OU MASSA ÚNICA EM ARGAMASSA TRAÇO 1:2:8, PREPARO MANUAL, APLICADA MANUALMENTE EM PANOS DE FACHADA COM PRESENÇA DE VÃOS, ESPESSURA DE 25 MM. AF_06/2014</v>
          </cell>
          <cell r="C6087" t="str">
            <v>M2</v>
          </cell>
          <cell r="D6087">
            <v>55.05</v>
          </cell>
        </row>
        <row r="6088">
          <cell r="A6088" t="str">
            <v>87778</v>
          </cell>
          <cell r="B6088" t="str">
            <v>EMBOÇO OU MASSA ÚNICA EM ARGAMASSA INDUSTRIALIZADA, PREPARO MECÂNICO E APLICAÇÃO COM EQUIPAMENTO DE MISTURA E PROJEÇÃO DE 1,5 M3/H DE ARGAMASSA EM PANOS DE FACHADA COM PRESENÇA DE VÃOS, ESPESSURA DE 25 MM. AF_06/2014</v>
          </cell>
          <cell r="C6088" t="str">
            <v>M2</v>
          </cell>
          <cell r="D6088">
            <v>71.33</v>
          </cell>
        </row>
        <row r="6089">
          <cell r="A6089" t="str">
            <v>87779</v>
          </cell>
          <cell r="B6089" t="str">
            <v>EMBOÇO OU MASSA ÚNICA EM ARGAMASSA TRAÇO 1:2:8, PREPARO MECÂNICO COM BETONEIRA 400 L, APLICADA MANUALMENTE EM PANOS DE FACHADA COM PRESENÇA DE VÃOS, ESPESSURA DE 35 MM. AF_06/2014</v>
          </cell>
          <cell r="C6089" t="str">
            <v>M2</v>
          </cell>
          <cell r="D6089">
            <v>60.3</v>
          </cell>
        </row>
        <row r="6090">
          <cell r="A6090" t="str">
            <v>87781</v>
          </cell>
          <cell r="B6090" t="str">
            <v>EMBOÇO OU MASSA ÚNICA EM ARGAMASSA TRAÇO 1:2:8, PREPARO MANUAL, APLICADA MANUALMENTE EM PANOS DE FACHADA COM PRESENÇA DE VÃOS, ESPESSURA DE 35 MM. AF_06/2014</v>
          </cell>
          <cell r="C6090" t="str">
            <v>M2</v>
          </cell>
          <cell r="D6090">
            <v>64.13</v>
          </cell>
        </row>
        <row r="6091">
          <cell r="A6091" t="str">
            <v>87783</v>
          </cell>
          <cell r="B6091" t="str">
            <v>EMBOÇO OU MASSA ÚNICA EM ARGAMASSA INDUSTRIALIZADA, PREPARO MECÂNICO E APLICAÇÃO COM EQUIPAMENTO DE MISTURA E PROJEÇÃO DE 1,5 M3/H DE ARGAMASSA EM PANOS DE FACHADA COM PRESENÇA DE VÃOS, ESPESSURA DE 35 MM. AF_06/2014</v>
          </cell>
          <cell r="C6091" t="str">
            <v>M2</v>
          </cell>
          <cell r="D6091">
            <v>87.89</v>
          </cell>
        </row>
        <row r="6092">
          <cell r="A6092" t="str">
            <v>87784</v>
          </cell>
          <cell r="B6092" t="str">
            <v>EMBOÇO OU MASSA ÚNICA EM ARGAMASSA TRAÇO 1:2:8, PREPARO MECÂNICO COM BETONEIRA 400 L, APLICADA MANUALMENTE EM PANOS DE FACHADA COM PRESENÇA DE VÃOS, ESPESSURA DE 45 MM. AF_06/2014</v>
          </cell>
          <cell r="C6092" t="str">
            <v>M2</v>
          </cell>
          <cell r="D6092">
            <v>68.41</v>
          </cell>
        </row>
        <row r="6093">
          <cell r="A6093" t="str">
            <v>87786</v>
          </cell>
          <cell r="B6093" t="str">
            <v>EMBOÇO OU MASSA ÚNICA EM ARGAMASSA TRAÇO 1:2:8, PREPARO MANUAL, APLICADA MANUALMENTE EM PANOS DE FACHADA COM PRESENÇA DE VÃOS, ESPESSURA DE 45 MM. AF_06/2014</v>
          </cell>
          <cell r="C6093" t="str">
            <v>M2</v>
          </cell>
          <cell r="D6093">
            <v>73.209999999999994</v>
          </cell>
        </row>
        <row r="6094">
          <cell r="A6094" t="str">
            <v>87787</v>
          </cell>
          <cell r="B6094" t="str">
            <v>EMBOÇO OU MASSA ÚNICA EM ARGAMASSA INDUSTRIALIZADA, PREPARO MECÂNICO E APLICAÇÃO COM EQUIPAMENTO DE MISTURA E PROJEÇÃO DE 1,5 M3/H DE ARGAMASSA EM PANOS DE FACHADA COM PRESENÇA DE VÃOS, ESPESSURA DE 45 MM. AF_06/2014</v>
          </cell>
          <cell r="C6094" t="str">
            <v>M2</v>
          </cell>
          <cell r="D6094">
            <v>104.43</v>
          </cell>
        </row>
        <row r="6095">
          <cell r="A6095" t="str">
            <v>87788</v>
          </cell>
          <cell r="B6095" t="str">
            <v>EMBOÇO OU MASSA ÚNICA EM ARGAMASSA TRAÇO 1:2:8, PREPARO MECÂNICO COM BETONEIRA 400 L, APLICADA MANUALMENTE EM PANOS DE FACHADA COM PRESENÇA DE VÃOS, ESPESSURA MAIOR OU IGUAL A 50 MM. AF_06/2014</v>
          </cell>
          <cell r="C6095" t="str">
            <v>M2</v>
          </cell>
          <cell r="D6095">
            <v>87.62</v>
          </cell>
        </row>
        <row r="6096">
          <cell r="A6096" t="str">
            <v>87790</v>
          </cell>
          <cell r="B6096" t="str">
            <v>EMBOÇO OU MASSA ÚNICA EM ARGAMASSA TRAÇO 1:2:8, PREPARO MANUAL, APLICADA MANUALMENTE EM PANOS DE FACHADA COM PRESENÇA DE VÃOS, ESPESSURA MAIOR OU IGUAL A 50 MM. AF_06/2014</v>
          </cell>
          <cell r="C6096" t="str">
            <v>M2</v>
          </cell>
          <cell r="D6096">
            <v>92.91</v>
          </cell>
        </row>
        <row r="6097">
          <cell r="A6097" t="str">
            <v>87791</v>
          </cell>
          <cell r="B6097" t="str">
            <v>EMBOÇO OU MASSA ÚNICA EM ARGAMASSA INDUSTRIALIZADA, PREPARO MECÂNICO E APLICAÇÃO COM EQUIPAMENTO DE MISTURA E PROJEÇÃO DE 1,5 M3/H DE ARGAMASSA EM PANOS DE FACHADA COM PRESENÇA DE VÃOS, ESPESSURA MAIOR OU IGUAL A 50 MM. AF_06/2014</v>
          </cell>
          <cell r="C6097" t="str">
            <v>M2</v>
          </cell>
          <cell r="D6097">
            <v>123.92</v>
          </cell>
        </row>
        <row r="6098">
          <cell r="A6098" t="str">
            <v>87792</v>
          </cell>
          <cell r="B6098" t="str">
            <v>EMBOÇO OU MASSA ÚNICA EM ARGAMASSA TRAÇO 1:2:8, PREPARO MECÂNICO COM BETONEIRA 400 L, APLICADA MANUALMENTE EM PANOS CEGOS DE FACHADA (SEM PRESENÇA DE VÃOS), ESPESSURA DE 25 MM. AF_06/2014</v>
          </cell>
          <cell r="C6098" t="str">
            <v>M2</v>
          </cell>
          <cell r="D6098">
            <v>35.479999999999997</v>
          </cell>
        </row>
        <row r="6099">
          <cell r="A6099" t="str">
            <v>87794</v>
          </cell>
          <cell r="B6099" t="str">
            <v>EMBOÇO OU MASSA ÚNICA EM ARGAMASSA TRAÇO 1:2:8, PREPARO MANUAL, APLICADA MANUALMENTE EM PANOS CEGOS DE FACHADA (SEM PRESENÇA DE VÃOS), ESPESSURA DE 25 MM. AF_06/2014</v>
          </cell>
          <cell r="C6099" t="str">
            <v>M2</v>
          </cell>
          <cell r="D6099">
            <v>38.15</v>
          </cell>
        </row>
        <row r="6100">
          <cell r="A6100" t="str">
            <v>87795</v>
          </cell>
          <cell r="B6100" t="str">
            <v>EMBOÇO OU MASSA ÚNICA EM ARGAMASSA INDUSTRIALIZADA, PREPARO MECÂNICO E APLICAÇÃO COM EQUIPAMENTO DE MISTURA E PROJEÇÃO DE 1,5 M3/H DE ARGAMASSA EM PANOS CEGOS DE FACHADA (SEM PRESENÇA DE VÃOS), ESPESSURA DE 25 MM. AF_06/2014</v>
          </cell>
          <cell r="C6100" t="str">
            <v>M2</v>
          </cell>
          <cell r="D6100">
            <v>52.95</v>
          </cell>
        </row>
        <row r="6101">
          <cell r="A6101" t="str">
            <v>87797</v>
          </cell>
          <cell r="B6101" t="str">
            <v>EMBOÇO OU MASSA ÚNICA EM ARGAMASSA TRAÇO 1:2:8, PREPARO MECÂNICO COM BETONEIRA 400 L, APLICADA MANUALMENTE EM PANOS CEGOS DE FACHADA (SEM PRESENÇA DE VÃOS), ESPESSURA DE 35 MM. AF_06/2014</v>
          </cell>
          <cell r="C6101" t="str">
            <v>M2</v>
          </cell>
          <cell r="D6101">
            <v>43.29</v>
          </cell>
        </row>
        <row r="6102">
          <cell r="A6102" t="str">
            <v>87799</v>
          </cell>
          <cell r="B6102" t="str">
            <v>EMBOÇO OU MASSA ÚNICA EM ARGAMASSA TRAÇO 1:2:8, PREPARO MANUAL, APLICADA MANUALMENTE EM PANOS CEGOS DE FACHADA (SEM PRESENÇA DE VÃOS), ESPESSURA DE 35 MM. AF_06/2014</v>
          </cell>
          <cell r="C6102" t="str">
            <v>M2</v>
          </cell>
          <cell r="D6102">
            <v>46.86</v>
          </cell>
        </row>
        <row r="6103">
          <cell r="A6103" t="str">
            <v>87800</v>
          </cell>
          <cell r="B6103" t="str">
            <v>EMBOÇO OU MASSA ÚNICA EM ARGAMASSA INDUSTRIALIZADA, PREPARO MECÂNICO E APLICAÇÃO COM EQUIPAMENTO DE MISTURA E PROJEÇÃO DE 1,5 M3/H DE ARGAMASSA EM PANOS CEGOS DE FACHADA (SEM PRESENÇA DE VÃOS), ESPESSURA DE 35 MM. AF_06/2014</v>
          </cell>
          <cell r="C6103" t="str">
            <v>M2</v>
          </cell>
          <cell r="D6103">
            <v>68.64</v>
          </cell>
        </row>
        <row r="6104">
          <cell r="A6104" t="str">
            <v>87801</v>
          </cell>
          <cell r="B6104" t="str">
            <v>EMBOÇO OU MASSA ÚNICA EM ARGAMASSA TRAÇO 1:2:8, PREPARO MECÂNICO COM BETONEIRA 400 L, APLICADA MANUALMENTE EM PANOS CEGOS DE FACHADA (SEM PRESENÇA DE VÃOS), ESPESSURA DE 45 MM. AF_06/2014</v>
          </cell>
          <cell r="C6104" t="str">
            <v>M2</v>
          </cell>
          <cell r="D6104">
            <v>51.09</v>
          </cell>
        </row>
        <row r="6105">
          <cell r="A6105" t="str">
            <v>87803</v>
          </cell>
          <cell r="B6105" t="str">
            <v>EMBOÇO OU MASSA ÚNICA EM ARGAMASSA TRAÇO 1:2:8, PREPARO MANUAL, APLICADA MANUALMENTE EM PANOS CEGOS DE FACHADA (SEM PRESENÇA DE VÃOS), ESPESSURA DE 45 MM. AF_06/2014</v>
          </cell>
          <cell r="C6105" t="str">
            <v>M2</v>
          </cell>
          <cell r="D6105">
            <v>55.58</v>
          </cell>
        </row>
        <row r="6106">
          <cell r="A6106" t="str">
            <v>87804</v>
          </cell>
          <cell r="B6106" t="str">
            <v>EMBOÇO OU MASSA ÚNICA EM ARGAMASSA INDUSTRIALIZADA, PREPARO MECÂNICO E APLICAÇÃO COM EQUIPAMENTO DE MISTURA E PROJEÇÃO DE 1,5 M3/H DE ARGAMASSA EM PANOS CEGOS DE FACHADA (SEM PRESENÇA DE VÃOS), ESPESSURA DE 45 MM. AF_06/2014</v>
          </cell>
          <cell r="C6106" t="str">
            <v>M2</v>
          </cell>
          <cell r="D6106">
            <v>84.34</v>
          </cell>
        </row>
        <row r="6107">
          <cell r="A6107" t="str">
            <v>87805</v>
          </cell>
          <cell r="B6107" t="str">
            <v>EMBOÇO OU MASSA ÚNICA EM ARGAMASSA TRAÇO 1:2:8, PREPARO MECÂNICO COM BETONEIRA 400 L, APLICADA MANUALMENTE EM PANOS CEGOS DE FACHADA (SEM PRESENÇA DE VÃOS), ESPESSURA MAIOR OU IGUAL A 50 MM. AF_06/2014</v>
          </cell>
          <cell r="C6107" t="str">
            <v>M2</v>
          </cell>
          <cell r="D6107">
            <v>58.46</v>
          </cell>
        </row>
        <row r="6108">
          <cell r="A6108" t="str">
            <v>87807</v>
          </cell>
          <cell r="B6108" t="str">
            <v>EMBOÇO OU MASSA ÚNICA EM ARGAMASSA TRAÇO 1:2:8, PREPARO MANUAL, APLICADA MANUALMENTE EM PANOS CEGOS DE FACHADA (SEM PRESENÇA DE VÃOS), ESPESSURA MAIOR OU IGUAL A 50 MM. AF_06/2014</v>
          </cell>
          <cell r="C6108" t="str">
            <v>M2</v>
          </cell>
          <cell r="D6108">
            <v>63.4</v>
          </cell>
        </row>
        <row r="6109">
          <cell r="A6109" t="str">
            <v>87808</v>
          </cell>
          <cell r="B6109" t="str">
            <v>EMBOÇO OU MASSA ÚNICA EM ARGAMASSA INDUSTRIALIZADA, PREPARO MECÂNICO E APLICAÇÃO COM EQUIPAMENTO DE MISTURA E PROJEÇÃO DE 1,5 M3/H DE ARGAMASSA EM PANOS CEGOS DE FACHADA (SEM PRESENÇA DE VÃOS), ESPESSURA MAIOR OU IGUAL A 50 MM. AF_06/2014</v>
          </cell>
          <cell r="C6109" t="str">
            <v>M2</v>
          </cell>
          <cell r="D6109">
            <v>91.76</v>
          </cell>
        </row>
        <row r="6110">
          <cell r="A6110" t="str">
            <v>87809</v>
          </cell>
          <cell r="B6110" t="str">
            <v>EMBOÇO OU MASSA ÚNICA EM ARGAMASSA TRAÇO 1:2:8, PREPARO MECÂNICO COM BETONEIRA 400 L, APLICADA MANUALMENTE EM SUPERFÍCIES EXTERNAS DA SACADA, ESPESSURA DE 25 MM, SEM USO DE TELA METÁLICA DE REFORÇO CONTRA FISSURAÇÃO. AF_06/2014</v>
          </cell>
          <cell r="C6110" t="str">
            <v>M2</v>
          </cell>
          <cell r="D6110">
            <v>79.900000000000006</v>
          </cell>
        </row>
        <row r="6111">
          <cell r="A6111" t="str">
            <v>87811</v>
          </cell>
          <cell r="B6111" t="str">
            <v>EMBOÇO OU MASSA ÚNICA EM ARGAMASSA TRAÇO 1:2:8, PREPARO MANUAL, APLICADA MANUALMENTE EM SUPERFÍCIES EXTERNAS DA SACADA, ESPESSURA DE 25 MM, SEM USO DE TELA METÁLICA DE REFORÇO CONTRA FISSURAÇÃO. AF_06/2014</v>
          </cell>
          <cell r="C6111" t="str">
            <v>M2</v>
          </cell>
          <cell r="D6111">
            <v>82.57</v>
          </cell>
        </row>
        <row r="6112">
          <cell r="A6112" t="str">
            <v>87812</v>
          </cell>
          <cell r="B6112" t="str">
            <v>EMBOÇO OU MASSA ÚNICA EM ARGAMASSA INDUSTRIALIZADA, PREPARO MECÂNICO E APLICAÇÃO COM EQUIPAMENTO DE MISTURA E PROJEÇÃO DE 1,5 M3/H EM SUPERFÍCIES EXTERNAS DA SACADA, ESPESSURA 25 MM, SEM USO DE TELA METÁLICA. AF_06/2014</v>
          </cell>
          <cell r="C6112" t="str">
            <v>M2</v>
          </cell>
          <cell r="D6112">
            <v>96.95</v>
          </cell>
        </row>
        <row r="6113">
          <cell r="A6113" t="str">
            <v>87813</v>
          </cell>
          <cell r="B6113" t="str">
            <v>EMBOÇO OU MASSA ÚNICA EM ARGAMASSA TRAÇO 1:2:8, PREPARO MECÂNICO COM BETONEIRA 400 L, APLICADA MANUALMENTE EM SUPERFÍCIES EXTERNAS DA SACADA, ESPESSURA DE 35 MM, SEM USO DE TELA METÁLICA DE REFORÇO CONTRA FISSURAÇÃO. AF_06/2014</v>
          </cell>
          <cell r="C6113" t="str">
            <v>M2</v>
          </cell>
          <cell r="D6113">
            <v>87.7</v>
          </cell>
        </row>
        <row r="6114">
          <cell r="A6114" t="str">
            <v>87815</v>
          </cell>
          <cell r="B6114" t="str">
            <v>EMBOÇO OU MASSA ÚNICA EM ARGAMASSA TRAÇO 1:2:8, PREPARO MANUAL, APLICADA MANUALMENTE EM SUPERFÍCIES EXTERNAS DA SACADA, ESPESSURA DE 35 MM, SEM USO DE TELA METÁLICA DE REFORÇO CONTRA FISSURAÇÃO. AF_06/2014</v>
          </cell>
          <cell r="C6114" t="str">
            <v>M2</v>
          </cell>
          <cell r="D6114">
            <v>91.27</v>
          </cell>
        </row>
        <row r="6115">
          <cell r="A6115" t="str">
            <v>87816</v>
          </cell>
          <cell r="B6115" t="str">
            <v>EMBOÇO OU MASSA ÚNICA EM ARGAMASSA INDUSTRIALIZADA, PREPARO MECÂNICO E APLICAÇÃO COM EQUIPAMENTO DE MISTURA E PROJEÇÃO DE 1,5 M3/H EM SUPERFÍCIES EXTERNAS DA SACADA, ESPESSURA 35 MM, SEM USO DE TELA METÁLICA. AF_06/2014</v>
          </cell>
          <cell r="C6115" t="str">
            <v>M2</v>
          </cell>
          <cell r="D6115">
            <v>112.64</v>
          </cell>
        </row>
        <row r="6116">
          <cell r="A6116" t="str">
            <v>87817</v>
          </cell>
          <cell r="B6116" t="str">
            <v>EMBOÇO OU MASSA ÚNICA EM ARGAMASSA TRAÇO 1:2:8, PREPARO MECÂNICO COM BETONEIRA 400 L, APLICADA MANUALMENTE EM SUPERFÍCIES EXTERNAS DA SACADA, ESPESSURA DE 45 MM, SEM USO DE TELA METÁLICA DE REFORÇO CONTRA FISSURAÇÃO. AF_06/2014</v>
          </cell>
          <cell r="C6116" t="str">
            <v>M2</v>
          </cell>
          <cell r="D6116">
            <v>95.07</v>
          </cell>
        </row>
        <row r="6117">
          <cell r="A6117" t="str">
            <v>87819</v>
          </cell>
          <cell r="B6117" t="str">
            <v>EMBOÇO OU MASSA ÚNICA EM ARGAMASSA TRAÇO 1:2:8, PREPARO MANUAL, APLICADA MANUALMENTE EM SUPERFÍCIES EXTERNAS DA SACADA, ESPESSURA DE 45 MM, SEM USO DE TELA METÁLICA DE REFORÇO CONTRA FISSURAÇÃO. AF_06/2014</v>
          </cell>
          <cell r="C6117" t="str">
            <v>M2</v>
          </cell>
          <cell r="D6117">
            <v>99.56</v>
          </cell>
        </row>
        <row r="6118">
          <cell r="A6118" t="str">
            <v>87820</v>
          </cell>
          <cell r="B6118" t="str">
            <v>EMBOÇO OU MASSA ÚNICA EM ARGAMASSA INDUSTRIALIZADA, PREPARO MECÂNICO E APLICAÇÃO COM EQUIPAMENTO DE MISTURA E PROJEÇÃO DE 1,5 M3/H EM SUPERFÍCIES EXTERNAS DA SACADA, ESPESSURA 45 MM, SEM USO DE TELA METÁLICA. AF_06/2014</v>
          </cell>
          <cell r="C6118" t="str">
            <v>M2</v>
          </cell>
          <cell r="D6118">
            <v>128.34</v>
          </cell>
        </row>
        <row r="6119">
          <cell r="A6119" t="str">
            <v>87821</v>
          </cell>
          <cell r="B6119" t="str">
            <v>EMBOÇO OU MASSA ÚNICA EM ARGAMASSA TRAÇO 1:2:8, PREPARO MECÂNICO COM BETONEIRA 400 L, APLICADA MANUALMENTE EM SUPERFÍCIES EXTERNAS DA SACADA, ESPESSURA MAIOR OU IGUAL A 50 MM, SEM USO DE TELA METÁLICA DE REFORÇO CONTRA FISSURAÇÃO. AF_06/2014</v>
          </cell>
          <cell r="C6119" t="str">
            <v>M2</v>
          </cell>
          <cell r="D6119">
            <v>137.56</v>
          </cell>
        </row>
        <row r="6120">
          <cell r="A6120" t="str">
            <v>87823</v>
          </cell>
          <cell r="B6120" t="str">
            <v>EMBOÇO OU MASSA ÚNICA EM ARGAMASSA TRAÇO 1:2:8, PREPARO MANUAL, APLICADA MANUALMENTE EM SUPERFÍCIES EXTERNAS DA SACADA, ESPESSURA MAIOR OU IGUAL A 50 MM, SEM USO DE TELA METÁLICA DE REFORÇO CONTRA FISSURAÇÃO. AF_06/2014</v>
          </cell>
          <cell r="C6120" t="str">
            <v>M2</v>
          </cell>
          <cell r="D6120">
            <v>142.5</v>
          </cell>
        </row>
        <row r="6121">
          <cell r="A6121" t="str">
            <v>87824</v>
          </cell>
          <cell r="B6121" t="str">
            <v>EMBOÇO OU MASSA ÚNICA EM ARGAMASSA INDUSTRIALIZADA, PREPARO MECÂNICO E APLICAÇÃO COM EQUIPAMENTO DE MISTURA E PROJEÇÃO DE 1,5 M3/H EM SUPERFÍCIES EXTERNAS DA SACADA, ESPESSURA MAIOR OU IGUAL A 50 MM, SEM USO DE TELA METÁLICA. AF_06/2014</v>
          </cell>
          <cell r="C6121" t="str">
            <v>M2</v>
          </cell>
          <cell r="D6121">
            <v>170.44</v>
          </cell>
        </row>
        <row r="6122">
          <cell r="A6122" t="str">
            <v>87825</v>
          </cell>
          <cell r="B6122" t="str">
            <v>EMBOÇO OU MASSA ÚNICA EM ARGAMASSA TRAÇO 1:2:8, PREPARO MECÂNICO COM BETONEIRA 400 L, APLICADA MANUALMENTE NAS PAREDES INTERNAS DA SACADA, ESPESSURA DE 25 MM, SEM USO DE TELA METÁLICA DE REFORÇO CONTRA FISSURAÇÃO. AF_06/2014</v>
          </cell>
          <cell r="C6122" t="str">
            <v>M2</v>
          </cell>
          <cell r="D6122">
            <v>62.81</v>
          </cell>
        </row>
        <row r="6123">
          <cell r="A6123" t="str">
            <v>87827</v>
          </cell>
          <cell r="B6123" t="str">
            <v>EMBOÇO OU MASSA ÚNICA EM ARGAMASSA TRAÇO 1:2:8, PREPARO MANUAL, APLICADA MANUALMENTE NAS PAREDES INTERNAS DA SACADA, ESPESSURA DE 25 MM, SEM USO DE TELA METÁLICA DE REFORÇO CONTRA FISSURAÇÃO. AF_06/2014</v>
          </cell>
          <cell r="C6123" t="str">
            <v>M2</v>
          </cell>
          <cell r="D6123">
            <v>66.08</v>
          </cell>
        </row>
        <row r="6124">
          <cell r="A6124" t="str">
            <v>87828</v>
          </cell>
          <cell r="B6124" t="str">
            <v>EMBOÇO OU MASSA ÚNICA EM ARGAMASSA INDUSTRIALIZADA, PREPARO MECÂNICO E APLICAÇÃO COM EQUIPAMENTO DE MISTURA E PROJEÇÃO DE 1,5 M3/H NAS PAREDES INTERNAS DA SACADA, ESPESSURA 25 MM, SEM USO DE TELA METÁLICA. AF_06/2014</v>
          </cell>
          <cell r="C6124" t="str">
            <v>M2</v>
          </cell>
          <cell r="D6124">
            <v>85.51</v>
          </cell>
        </row>
        <row r="6125">
          <cell r="A6125" t="str">
            <v>87829</v>
          </cell>
          <cell r="B6125" t="str">
            <v>EMBOÇO OU MASSA ÚNICA EM ARGAMASSA TRAÇO 1:2:8, PREPARO MECÂNICO COM BETONEIRA 400 L, APLICADA MANUALMENTE NAS PAREDES INTERNAS DA SACADA, ESPESSURA DE 35 MM, SEM USO DE TELA METÁLICA DE REFORÇO CONTRA FISSURAÇÃO. AF_06/2014</v>
          </cell>
          <cell r="C6125" t="str">
            <v>M2</v>
          </cell>
          <cell r="D6125">
            <v>71.569999999999993</v>
          </cell>
        </row>
        <row r="6126">
          <cell r="A6126" t="str">
            <v>87831</v>
          </cell>
          <cell r="B6126" t="str">
            <v>EMBOÇO OU MASSA ÚNICA EM ARGAMASSA TRAÇO 1:2:8, PREPARO MANUAL, APLICADA MANUALMENTE NAS PAREDES INTERNAS DA SACADA, ESPESSURA DE 35 MM, SEM USO DE TELA METÁLICA DE REFORÇO CONTRA FISSURAÇÃO. AF_06/2014</v>
          </cell>
          <cell r="C6126" t="str">
            <v>M2</v>
          </cell>
          <cell r="D6126">
            <v>75.95</v>
          </cell>
        </row>
        <row r="6127">
          <cell r="A6127" t="str">
            <v>87832</v>
          </cell>
          <cell r="B6127" t="str">
            <v>EMBOÇO OU MASSA ÚNICA EM ARGAMASSA INDUSTRIALIZADA, PREPARO MECÂNICO E APLICAÇÃO COM EQUIPAMENTO DE MISTURA E PROJEÇÃO DE 1,5 M3/H DE ARGAMASSA NAS PAREDES INTERNAS DA SACADA, ESPESSURA 35 MM, SEM USO DE TELA METÁLICA. AF_06/2014</v>
          </cell>
          <cell r="C6127" t="str">
            <v>M2</v>
          </cell>
          <cell r="D6127">
            <v>103.89</v>
          </cell>
        </row>
        <row r="6128">
          <cell r="A6128" t="str">
            <v>87834</v>
          </cell>
          <cell r="B6128" t="str">
            <v>REVESTIMENTO DECORATIVO MONOCAMADA APLICADO MANUALMENTE EM PANOS CEGOS DA FACHADA DE UM EDIFÍCIO DE ESTRUTURA CONVENCIONAL, COM ACABAMENTO RASPADO. AF_06/2014</v>
          </cell>
          <cell r="C6128" t="str">
            <v>M2</v>
          </cell>
          <cell r="D6128">
            <v>137.47</v>
          </cell>
        </row>
        <row r="6129">
          <cell r="A6129" t="str">
            <v>87835</v>
          </cell>
          <cell r="B6129" t="str">
            <v>REVESTIMENTO DECORATIVO MONOCAMADA APLICADO MANUALMENTE EM PANOS CEGOS DA FACHADA DE UM EDIFÍCIO DE ALVENARIA ESTRUTURAL, COM ACABAMENTO RASPADO. AF_06/2014</v>
          </cell>
          <cell r="C6129" t="str">
            <v>M2</v>
          </cell>
          <cell r="D6129">
            <v>95.58</v>
          </cell>
        </row>
        <row r="6130">
          <cell r="A6130" t="str">
            <v>87836</v>
          </cell>
          <cell r="B6130" t="str">
            <v>REVESTIMENTO DECORATIVO MONOCAMADA APLICADO COM EQUIPAMENTO DE PROJEÇÃO EM PANOS CEGOS DA FACHADA DE UM EDIFÍCIO DE ESTRUTURA CONVENCIONAL, COM ACABAMENTO RASPADO. AF_06/2014</v>
          </cell>
          <cell r="C6130" t="str">
            <v>M2</v>
          </cell>
          <cell r="D6130">
            <v>131.09</v>
          </cell>
        </row>
        <row r="6131">
          <cell r="A6131" t="str">
            <v>87837</v>
          </cell>
          <cell r="B6131" t="str">
            <v>REVESTIMENTO DECORATIVO MONOCAMADA APLICADO COM EQUIPAMENTO DE PROJEÇÃO EM PANOS CEGOS DA FACHADA DE UM EDIFÍCIO DE ALVENARIA ESTRUTURAL, COM ACABAMENTO RASPADO. AF_06/2014</v>
          </cell>
          <cell r="C6131" t="str">
            <v>M2</v>
          </cell>
          <cell r="D6131">
            <v>89.73</v>
          </cell>
        </row>
        <row r="6132">
          <cell r="A6132" t="str">
            <v>87838</v>
          </cell>
          <cell r="B6132" t="str">
            <v>REVESTIMENTO DECORATIVO MONOCAMADA APLICADO MANUALMENTE EM PANOS DA FACHADA COM PRESENÇA DE VÃOS, DE UM EDIFÍCIO DE ESTRUTURA CONVENCIONAL E ACABAMENTO RASPADO. AF_06/2014</v>
          </cell>
          <cell r="C6132" t="str">
            <v>M2</v>
          </cell>
          <cell r="D6132">
            <v>144.18</v>
          </cell>
        </row>
        <row r="6133">
          <cell r="A6133" t="str">
            <v>87839</v>
          </cell>
          <cell r="B6133" t="str">
            <v>REVESTIMENTO DECORATIVO MONOCAMADA APLICADO MANUALMENTE EM PANOS DA FACHADA COM PRESENÇA DE VÃOS, DE UM EDIFÍCIO DE ALVENARIA ESTRUTURAL E ACABAMENTO RASPADO. AF_06/2014</v>
          </cell>
          <cell r="C6133" t="str">
            <v>M2</v>
          </cell>
          <cell r="D6133">
            <v>100.81</v>
          </cell>
        </row>
        <row r="6134">
          <cell r="A6134" t="str">
            <v>87840</v>
          </cell>
          <cell r="B6134" t="str">
            <v>REVESTIMENTO DECORATIVO MONOCAMADA APLICADO COM EQUIPAMENTO DE PROJEÇÃO EM PANOS DA FACHADA COM PRESENÇA DE VÃOS, DE UM EDIFÍCIO DE ESTRUTURA CONVENCIONAL E ACABAMENTO RASPADO. AF_06/2014</v>
          </cell>
          <cell r="C6134" t="str">
            <v>M2</v>
          </cell>
          <cell r="D6134">
            <v>136.13999999999999</v>
          </cell>
        </row>
        <row r="6135">
          <cell r="A6135" t="str">
            <v>87841</v>
          </cell>
          <cell r="B6135" t="str">
            <v>REVESTIMENTO DECORATIVO MONOCAMADA APLICADO COM EQUIPAMENTO DE PROJEÇÃO EM PANOS DA FACHADA COM PRESENÇA DE VÃOS, DE UM EDIFÍCIO DE ALVENARIA ESTRUTURAL E ACABAMENTO RASPADO. AF_06/2014</v>
          </cell>
          <cell r="C6135" t="str">
            <v>M2</v>
          </cell>
          <cell r="D6135">
            <v>93.29</v>
          </cell>
        </row>
        <row r="6136">
          <cell r="A6136" t="str">
            <v>87842</v>
          </cell>
          <cell r="B6136" t="str">
            <v>REVESTIMENTO DECORATIVO MONOCAMADA APLICADO MANUALMENTE EM SUPERFÍCIES EXTERNAS DA SACADA DE UM EDIFÍCIO DE ESTRUTURA CONVENCIONAL E ACABAMENTO RASPADO. AF_06/2014</v>
          </cell>
          <cell r="C6136" t="str">
            <v>M2</v>
          </cell>
          <cell r="D6136">
            <v>148.13</v>
          </cell>
        </row>
        <row r="6137">
          <cell r="A6137" t="str">
            <v>87843</v>
          </cell>
          <cell r="B6137" t="str">
            <v>REVESTIMENTO DECORATIVO MONOCAMADA APLICADO MANUALMENTE EM SUPERFÍCIES EXTERNAS DA SACADA DE UM EDIFÍCIO DE ALVENARIA ESTRUTURAL E ACABAMENTO RASPADO. AF_06/2014</v>
          </cell>
          <cell r="C6137" t="str">
            <v>M2</v>
          </cell>
          <cell r="D6137">
            <v>111.01</v>
          </cell>
        </row>
        <row r="6138">
          <cell r="A6138" t="str">
            <v>87844</v>
          </cell>
          <cell r="B6138" t="str">
            <v>REVESTIMENTO DECORATIVO MONOCAMADA APLICADO COM EQUIPAMENTO DE PROJEÇÃO EM SUPERFÍCIES EXTERNAS DA SACADA DE UM EDIFÍCIO DE ESTRUTURA CONVENCIONAL E ACABAMENTO RASPADO. AF_06/2014</v>
          </cell>
          <cell r="C6138" t="str">
            <v>M2</v>
          </cell>
          <cell r="D6138">
            <v>135.68</v>
          </cell>
        </row>
        <row r="6139">
          <cell r="A6139" t="str">
            <v>87845</v>
          </cell>
          <cell r="B6139" t="str">
            <v>REVESTIMENTO DECORATIVO MONOCAMADA APLICADO COM EQUIPAMENTO DE PROJEÇÃO EM SUPERFÍCIES EXTERNAS DA SACADA DE UM EDIFÍCIO DE ALVENARIA ESTRUTURAL E ACABAMENTO RASPADO. AF_06/2014</v>
          </cell>
          <cell r="C6139" t="str">
            <v>M2</v>
          </cell>
          <cell r="D6139">
            <v>99.13</v>
          </cell>
        </row>
        <row r="6140">
          <cell r="A6140" t="str">
            <v>87846</v>
          </cell>
          <cell r="B6140" t="str">
            <v>REVESTIMENTO DECORATIVO MONOCAMADA APLICADO MANUALMENTE EM PANOS CEGOS DA FACHADA DE UM EDIFÍCIO DE ESTRUTURA CONVENCIONAL, COM ACABAMENTO TRAVERTINO. AF_06/2014</v>
          </cell>
          <cell r="C6140" t="str">
            <v>M2</v>
          </cell>
          <cell r="D6140">
            <v>149.79</v>
          </cell>
        </row>
        <row r="6141">
          <cell r="A6141" t="str">
            <v>87847</v>
          </cell>
          <cell r="B6141" t="str">
            <v>REVESTIMENTO DECORATIVO MONOCAMADA APLICADO MANUALMENTE EM PANOS CEGOS DA FACHADA DE UM EDIFÍCIO DE ALVENARIA ESTRUTURAL, COM ACABAMENTO TRAVERTINO. AF_06/2014</v>
          </cell>
          <cell r="C6141" t="str">
            <v>M2</v>
          </cell>
          <cell r="D6141">
            <v>107.9</v>
          </cell>
        </row>
        <row r="6142">
          <cell r="A6142" t="str">
            <v>87848</v>
          </cell>
          <cell r="B6142" t="str">
            <v>REVESTIMENTO DECORATIVO MONOCAMADA APLICADO COM EQUIPAMENTO DE PROJEÇÃO EM PANOS CEGOS DA FACHADA DE UM EDIFÍCIO DE ESTRUTURA CONVENCIONAL, COM ACABAMENTO TRAVERTINO. AF_06/2014</v>
          </cell>
          <cell r="C6142" t="str">
            <v>M2</v>
          </cell>
          <cell r="D6142">
            <v>142.19999999999999</v>
          </cell>
        </row>
        <row r="6143">
          <cell r="A6143" t="str">
            <v>87849</v>
          </cell>
          <cell r="B6143" t="str">
            <v>REVESTIMENTO DECORATIVO MONOCAMADA APLICADO COM EQUIPAMENTO DE PROJEÇÃO EM PANOS CEGOS DA FACHADA DE UM EDIFÍCIO DE ALVENARIA ESTRUTURAL, COM ACABAMENTO TRAVERTINO. AF_06/2014</v>
          </cell>
          <cell r="C6143" t="str">
            <v>M2</v>
          </cell>
          <cell r="D6143">
            <v>100.84</v>
          </cell>
        </row>
        <row r="6144">
          <cell r="A6144" t="str">
            <v>87850</v>
          </cell>
          <cell r="B6144" t="str">
            <v>REVESTIMENTO DECORATIVO MONOCAMADA APLICADO MANUALMENTE EM PANOS DA FACHADA COM PRESENÇA DE VÃOS, DE UM EDIFÍCIO DE ESTRUTURA CONVENCIONAL E ACABAMENTO TRAVERTINO. AF_06/2014</v>
          </cell>
          <cell r="C6144" t="str">
            <v>M2</v>
          </cell>
          <cell r="D6144">
            <v>156.52000000000001</v>
          </cell>
        </row>
        <row r="6145">
          <cell r="A6145" t="str">
            <v>87851</v>
          </cell>
          <cell r="B6145" t="str">
            <v>REVESTIMENTO DECORATIVO MONOCAMADA APLICADO MANUALMENTE EM PANOS DA FACHADA COM PRESENÇA DE VÃOS, DE UM EDIFÍCIO DE ALVENARIA ESTRUTURAL E ACABAMENTO TRAVERTINO. AF_06/2014</v>
          </cell>
          <cell r="C6145" t="str">
            <v>M2</v>
          </cell>
          <cell r="D6145">
            <v>113.16</v>
          </cell>
        </row>
        <row r="6146">
          <cell r="A6146" t="str">
            <v>87852</v>
          </cell>
          <cell r="B6146" t="str">
            <v>REVESTIMENTO DECORATIVO MONOCAMADA APLICADO COM EQUIPAMENTO DE PROJEÇÃO EM PANOS DA FACHADA COM PRESENÇA DE VÃOS, DE UM EDIFÍCIO DE ESTRUTURA CONVENCIONAL E ACABAMENTO TRAVERTINO. AF_06/2014</v>
          </cell>
          <cell r="C6146" t="str">
            <v>M2</v>
          </cell>
          <cell r="D6146">
            <v>147.22</v>
          </cell>
        </row>
        <row r="6147">
          <cell r="A6147" t="str">
            <v>87853</v>
          </cell>
          <cell r="B6147" t="str">
            <v>REVESTIMENTO DECORATIVO MONOCAMADA APLICADO COM EQUIPAMENTO DE PROJEÇÃO EM PANOS DA FACHADA COM PRESENÇA DE VÃOS, DE UM EDIFÍCIO DE ALVENARIA ESTRUTURAL E ACABAMENTO TRAVERTINO. AF_06/2014</v>
          </cell>
          <cell r="C6147" t="str">
            <v>M2</v>
          </cell>
          <cell r="D6147">
            <v>104.37</v>
          </cell>
        </row>
        <row r="6148">
          <cell r="A6148" t="str">
            <v>87854</v>
          </cell>
          <cell r="B6148" t="str">
            <v>REVESTIMENTO DECORATIVO MONOCAMADA APLICADO MANUALMENTE EM SUPERFÍCIES EXTERNAS DA SACADA DE UM EDIFÍCIO DE ESTRUTURA CONVENCIONAL E ACABAMENTO TRAVERTINO. AF_06/2014</v>
          </cell>
          <cell r="C6148" t="str">
            <v>M2</v>
          </cell>
          <cell r="D6148">
            <v>160.44</v>
          </cell>
        </row>
        <row r="6149">
          <cell r="A6149" t="str">
            <v>87855</v>
          </cell>
          <cell r="B6149" t="str">
            <v>REVESTIMENTO DECORATIVO MONOCAMADA APLICADO MANUALMENTE EM SUPERFÍCIES EXTERNAS DA SACADA DE UM EDIFÍCIO DE ALVENARIA ESTRUTURAL E ACABAMENTO TRAVERTINO. AF_06/2014</v>
          </cell>
          <cell r="C6149" t="str">
            <v>M2</v>
          </cell>
          <cell r="D6149">
            <v>123.37</v>
          </cell>
        </row>
        <row r="6150">
          <cell r="A6150" t="str">
            <v>87856</v>
          </cell>
          <cell r="B6150" t="str">
            <v>REVESTIMENTO DECORATIVO MONOCAMADA APLICADO COM EQUIPAMENTO DE PROJEÇÃO EM SUPERFÍCIES EXTERNAS DA SACADA DE UM EDIFÍCIO DE ESTRUTURA CONVENCIONAL E ACABAMENTO TRAVERTINO. AF_06/2014</v>
          </cell>
          <cell r="C6150" t="str">
            <v>M2</v>
          </cell>
          <cell r="D6150">
            <v>146.79</v>
          </cell>
        </row>
        <row r="6151">
          <cell r="A6151" t="str">
            <v>87857</v>
          </cell>
          <cell r="B6151" t="str">
            <v>REVESTIMENTO DECORATIVO MONOCAMADA APLICADO COM EQUIPAMENTO DE PROJEÇÃO EM SUPERFÍCIES EXTERNAS DA SACADA DE UM EDIFÍCIO DE ALVENARIA ESTRUTURAL E ACABAMENTO TRAVERTINO. AF_06/2014</v>
          </cell>
          <cell r="C6151" t="str">
            <v>M2</v>
          </cell>
          <cell r="D6151">
            <v>110.21</v>
          </cell>
        </row>
        <row r="6152">
          <cell r="A6152" t="str">
            <v>87858</v>
          </cell>
          <cell r="B6152" t="str">
            <v>REVESTIMENTO DECORATIVO MONOCAMADA APLICADO MANUALMENTE NAS PAREDES INTERNAS DA SACADA COM ACABAMENTO RASPADO. AF_06/2014</v>
          </cell>
          <cell r="C6152" t="str">
            <v>M2</v>
          </cell>
          <cell r="D6152">
            <v>105.57</v>
          </cell>
        </row>
        <row r="6153">
          <cell r="A6153" t="str">
            <v>87859</v>
          </cell>
          <cell r="B6153" t="str">
            <v>REVESTIMENTO DECORATIVO MONOCAMADA APLICADO MANUALMENTE NAS PAREDES INTERNAS DA SACADA COM ACABAMENTO TRAVERTINO. AF_06/2014</v>
          </cell>
          <cell r="C6153" t="str">
            <v>M2</v>
          </cell>
          <cell r="D6153">
            <v>123.61</v>
          </cell>
        </row>
        <row r="6154">
          <cell r="A6154" t="str">
            <v>89048</v>
          </cell>
          <cell r="B6154" t="str">
            <v>(COMPOSIÇÃO REPRESENTATIVA) DO SERVIÇO DE EMBOÇO/MASSA ÚNICA, TRAÇO 1:2:8, PREPARO MECÂNICO, COM BETONEIRA DE 400L, EM PAREDES DE AMBIENTES INTERNOS, COM EXECUÇÃO DE TALISCAS, PARA EDIFICAÇÃO HABITACIONAL MULTIFAMILIAR (PRÉDIO). AF_11/2014</v>
          </cell>
          <cell r="C6154" t="str">
            <v>M2</v>
          </cell>
          <cell r="D6154">
            <v>31.99</v>
          </cell>
        </row>
        <row r="6155">
          <cell r="A6155" t="str">
            <v>89049</v>
          </cell>
          <cell r="B6155" t="str">
            <v>(COMPOSIÇÃO REPRESENTATIVA) DO SERVIÇO DE APLICAÇÃO MANUAL DE GESSO DESEMPENADO (SEM TALISCAS) EM TETO, ESPESSURA 0,5 CM, PARA EDIFICAÇÃO HABITACIONAL MULTIFAMILIAR (PRÉDIO). AF_11/2014</v>
          </cell>
          <cell r="C6155" t="str">
            <v>M2</v>
          </cell>
          <cell r="D6155">
            <v>19.13</v>
          </cell>
        </row>
        <row r="6156">
          <cell r="A6156" t="str">
            <v>89173</v>
          </cell>
          <cell r="B6156" t="str">
            <v>(COMPOSIÇÃO REPRESENTATIVA) DO SERVIÇO DE EMBOÇO/MASSA ÚNICA, APLICADO MANUALMENTE, TRAÇO 1:2:8, EM BETONEIRA DE 400L, PAREDES INTERNAS, COM EXECUÇÃO DE TALISCAS, EDIFICAÇÃO HABITACIONAL UNIFAMILIAR (CASAS) E EDIFICAÇÃO PÚBLICA PADRÃO. AF_12/2014</v>
          </cell>
          <cell r="C6156" t="str">
            <v>M2</v>
          </cell>
          <cell r="D6156">
            <v>31.44</v>
          </cell>
        </row>
        <row r="6157">
          <cell r="A6157" t="str">
            <v>90406</v>
          </cell>
          <cell r="B6157" t="str">
            <v>MASSA ÚNICA, PARA RECEBIMENTO DE PINTURA, EM ARGAMASSA TRAÇO 1:2:8, PREPARO MECÂNICO COM BETONEIRA 400L, APLICADA MANUALMENTE EM TETO, ESPESSURA DE 20MM, COM EXECUÇÃO DE TALISCAS. AF_03/2015</v>
          </cell>
          <cell r="C6157" t="str">
            <v>M2</v>
          </cell>
          <cell r="D6157">
            <v>41.47</v>
          </cell>
        </row>
        <row r="6158">
          <cell r="A6158" t="str">
            <v>90407</v>
          </cell>
          <cell r="B6158" t="str">
            <v>MASSA ÚNICA, PARA RECEBIMENTO DE PINTURA, EM ARGAMASSA TRAÇO 1:2:8, PREPARO MANUAL, APLICADA MANUALMENTE EM TETO, ESPESSURA DE 20MM, COM EXECUÇÃO DE TALISCAS. AF_03/2015</v>
          </cell>
          <cell r="C6158" t="str">
            <v>M2</v>
          </cell>
          <cell r="D6158">
            <v>44.89</v>
          </cell>
        </row>
        <row r="6159">
          <cell r="A6159" t="str">
            <v>90408</v>
          </cell>
          <cell r="B6159" t="str">
            <v>MASSA ÚNICA, PARA RECEBIMENTO DE PINTURA, EM ARGAMASSA TRAÇO 1:2:8, PREPARO MECÂNICO COM BETONEIRA 400L, APLICADA MANUALMENTE EM TETO, ESPESSURA DE 10MM, COM EXECUÇÃO DE TALISCAS. AF_03/2015</v>
          </cell>
          <cell r="C6159" t="str">
            <v>M2</v>
          </cell>
          <cell r="D6159">
            <v>30.29</v>
          </cell>
        </row>
        <row r="6160">
          <cell r="A6160" t="str">
            <v>90409</v>
          </cell>
          <cell r="B6160" t="str">
            <v>MASSA ÚNICA, PARA RECEBIMENTO DE PINTURA, EM ARGAMASSA TRAÇO 1:2:8, PREPARO MANUAL, APLICADA MANUALMENTE EM TETO, ESPESSURA DE 10MM, COM EXECUÇÃO DE TALISCAS. AF_03/2015</v>
          </cell>
          <cell r="C6160" t="str">
            <v>M2</v>
          </cell>
          <cell r="D6160">
            <v>32.229999999999997</v>
          </cell>
        </row>
        <row r="6161">
          <cell r="A6161" t="str">
            <v>87242</v>
          </cell>
          <cell r="B6161" t="str">
            <v>REVESTIMENTO CERÂMICO PARA PAREDES EXTERNAS EM PASTILHAS DE PORCELANA 5 X 5 CM (PLACAS DE 30 X 30 CM), ALINHADAS A PRUMO, APLICADO EM PANOS COM VÃOS. AF_06/2014</v>
          </cell>
          <cell r="C6161" t="str">
            <v>M2</v>
          </cell>
          <cell r="D6161">
            <v>228.6</v>
          </cell>
        </row>
        <row r="6162">
          <cell r="A6162" t="str">
            <v>87243</v>
          </cell>
          <cell r="B6162" t="str">
            <v>REVESTIMENTO CERÂMICO PARA PAREDES EXTERNAS EM PASTILHAS DE PORCELANA 5 X 5 CM (PLACAS DE 30 X 30 CM), ALINHADAS A PRUMO, APLICADO EM PANOS SEM VÃOS. AF_06/2014</v>
          </cell>
          <cell r="C6162" t="str">
            <v>M2</v>
          </cell>
          <cell r="D6162">
            <v>209.1</v>
          </cell>
        </row>
        <row r="6163">
          <cell r="A6163" t="str">
            <v>87244</v>
          </cell>
          <cell r="B6163" t="str">
            <v>REVESTIMENTO CERÂMICO PARA PAREDES EXTERNAS EM PASTILHAS DE PORCELANA 5 X 5 CM (PLACAS DE 30 X 30 CM), ALINHADAS A PRUMO, APLICADO EM SUPERFÍCIES EXTERNAS DA SACADA. AF_06/2014</v>
          </cell>
          <cell r="C6163" t="str">
            <v>M2</v>
          </cell>
          <cell r="D6163">
            <v>221.5</v>
          </cell>
        </row>
        <row r="6164">
          <cell r="A6164" t="str">
            <v>87245</v>
          </cell>
          <cell r="B6164" t="str">
            <v>REVESTIMENTO CERÂMICO PARA PAREDES EXTERNAS EM PASTILHAS DE PORCELANA 5 X 5 CM (PLACAS DE 30 X 30 CM), ALINHADAS A PRUMO, APLICADO EM SUPERFÍCIES INTERNAS DA SACADA. AF_06/2014</v>
          </cell>
          <cell r="C6164" t="str">
            <v>M2</v>
          </cell>
          <cell r="D6164">
            <v>267.62</v>
          </cell>
        </row>
        <row r="6165">
          <cell r="A6165" t="str">
            <v>87264</v>
          </cell>
          <cell r="B6165" t="str">
            <v>REVESTIMENTO CERÂMICO PARA PAREDES INTERNAS COM PLACAS TIPO ESMALTADA EXTRA DE DIMENSÕES 20X20 CM APLICADAS EM AMBIENTES DE ÁREA MENOR QUE 5 M² NA ALTURA INTEIRA DAS PAREDES. AF_06/2014</v>
          </cell>
          <cell r="C6165" t="str">
            <v>M2</v>
          </cell>
          <cell r="D6165">
            <v>68.540000000000006</v>
          </cell>
        </row>
        <row r="6166">
          <cell r="A6166" t="str">
            <v>87265</v>
          </cell>
          <cell r="B6166" t="str">
            <v>REVESTIMENTO CERÂMICO PARA PAREDES INTERNAS COM PLACAS TIPO ESMALTADA EXTRA DE DIMENSÕES 20X20 CM APLICADAS EM AMBIENTES DE ÁREA MAIOR QUE 5 M² NA ALTURA INTEIRA DAS PAREDES. AF_06/2014</v>
          </cell>
          <cell r="C6166" t="str">
            <v>M2</v>
          </cell>
          <cell r="D6166">
            <v>60.54</v>
          </cell>
        </row>
        <row r="6167">
          <cell r="A6167" t="str">
            <v>87266</v>
          </cell>
          <cell r="B6167" t="str">
            <v>REVESTIMENTO CERÂMICO PARA PAREDES INTERNAS COM PLACAS TIPO ESMALTADA EXTRA DE DIMENSÕES 20X20 CM APLICADAS EM AMBIENTES DE ÁREA MENOR QUE 5 M² A MEIA ALTURA DAS PAREDES. AF_06/2014</v>
          </cell>
          <cell r="C6167" t="str">
            <v>M2</v>
          </cell>
          <cell r="D6167">
            <v>71.349999999999994</v>
          </cell>
        </row>
        <row r="6168">
          <cell r="A6168" t="str">
            <v>87267</v>
          </cell>
          <cell r="B6168" t="str">
            <v>REVESTIMENTO CERÂMICO PARA PAREDES INTERNAS COM PLACAS TIPO ESMALTADA EXTRA DE DIMENSÕES 20X20 CM APLICADAS EM AMBIENTES DE ÁREA MAIOR QUE 5 M² A MEIA ALTURA DAS PAREDES. AF_06/2014</v>
          </cell>
          <cell r="C6168" t="str">
            <v>M2</v>
          </cell>
          <cell r="D6168">
            <v>67.84</v>
          </cell>
        </row>
        <row r="6169">
          <cell r="A6169" t="str">
            <v>87268</v>
          </cell>
          <cell r="B6169" t="str">
            <v>REVESTIMENTO CERÂMICO PARA PAREDES INTERNAS COM PLACAS TIPO ESMALTADA EXTRA DE DIMENSÕES 25X35 CM APLICADAS EM AMBIENTES DE ÁREA MENOR QUE 5 M² NA ALTURA INTEIRA DAS PAREDES. AF_06/2014</v>
          </cell>
          <cell r="C6169" t="str">
            <v>M2</v>
          </cell>
          <cell r="D6169">
            <v>73.59</v>
          </cell>
        </row>
        <row r="6170">
          <cell r="A6170" t="str">
            <v>87269</v>
          </cell>
          <cell r="B6170" t="str">
            <v>REVESTIMENTO CERÂMICO PARA PAREDES INTERNAS COM PLACAS TIPO ESMALTADA EXTRA DE DIMENSÕES 25X35 CM APLICADAS EM AMBIENTES DE ÁREA MAIOR QUE 5 M² NA ALTURA INTEIRA DAS PAREDES. AF_06/2014</v>
          </cell>
          <cell r="C6170" t="str">
            <v>M2</v>
          </cell>
          <cell r="D6170">
            <v>64.89</v>
          </cell>
        </row>
        <row r="6171">
          <cell r="A6171" t="str">
            <v>87270</v>
          </cell>
          <cell r="B6171" t="str">
            <v>REVESTIMENTO CERÂMICO PARA PAREDES INTERNAS COM PLACAS TIPO ESMALTADA EXTRA DE DIMENSÕES 25X35 CM APLICADAS EM AMBIENTES DE ÁREA MENOR QUE 5 M² A MEIA ALTURA DAS PAREDES. AF_06/2014</v>
          </cell>
          <cell r="C6171" t="str">
            <v>M2</v>
          </cell>
          <cell r="D6171">
            <v>75.97</v>
          </cell>
        </row>
        <row r="6172">
          <cell r="A6172" t="str">
            <v>87271</v>
          </cell>
          <cell r="B6172" t="str">
            <v>REVESTIMENTO CERÂMICO PARA PAREDES INTERNAS COM PLACAS TIPO ESMALTADA EXTRA DE DIMENSÕES 25X35 CM APLICADAS EM AMBIENTES DE ÁREA MAIOR QUE 5 M² A MEIA ALTURA DAS PAREDES. AF_06/2014</v>
          </cell>
          <cell r="C6172" t="str">
            <v>M2</v>
          </cell>
          <cell r="D6172">
            <v>71.83</v>
          </cell>
        </row>
        <row r="6173">
          <cell r="A6173" t="str">
            <v>87272</v>
          </cell>
          <cell r="B6173" t="str">
            <v>REVESTIMENTO CERÂMICO PARA PAREDES INTERNAS COM PLACAS TIPO ESMALTADA EXTRA  DE DIMENSÕES 33X45 CM APLICADAS EM AMBIENTES DE ÁREA MENOR QUE 5 M² NA ALTURA INTEIRA DAS PAREDES. AF_06/2014</v>
          </cell>
          <cell r="C6173" t="str">
            <v>M2</v>
          </cell>
          <cell r="D6173">
            <v>78.03</v>
          </cell>
        </row>
        <row r="6174">
          <cell r="A6174" t="str">
            <v>87273</v>
          </cell>
          <cell r="B6174" t="str">
            <v>REVESTIMENTO CERÂMICO PARA PAREDES INTERNAS COM PLACAS TIPO ESMALTADA EXTRA DE DIMENSÕES 33X45 CM APLICADAS EM AMBIENTES DE ÁREA MAIOR QUE 5 M² NA ALTURA INTEIRA DAS PAREDES. AF_06/2014</v>
          </cell>
          <cell r="C6174" t="str">
            <v>M2</v>
          </cell>
          <cell r="D6174">
            <v>67.39</v>
          </cell>
        </row>
        <row r="6175">
          <cell r="A6175" t="str">
            <v>87274</v>
          </cell>
          <cell r="B6175" t="str">
            <v>REVESTIMENTO CERÂMICO PARA PAREDES INTERNAS COM PLACAS TIPO ESMALTADA EXTRA DE DIMENSÕES 33X45 CM APLICADAS EM AMBIENTES DE ÁREA MENOR QUE 5 M² A MEIA ALTURA DAS PAREDES. AF_06/2014</v>
          </cell>
          <cell r="C6175" t="str">
            <v>M2</v>
          </cell>
          <cell r="D6175">
            <v>79.7</v>
          </cell>
        </row>
        <row r="6176">
          <cell r="A6176" t="str">
            <v>87275</v>
          </cell>
          <cell r="B6176" t="str">
            <v>REVESTIMENTO CERÂMICO PARA PAREDES INTERNAS COM PLACAS TIPO ESMALTADA EXTRA  DE DIMENSÕES 33X45 CM APLICADAS EM AMBIENTES DE ÁREA MAIOR QUE 5 M² A MEIA ALTURA DAS PAREDES. AF_06/2014</v>
          </cell>
          <cell r="C6176" t="str">
            <v>M2</v>
          </cell>
          <cell r="D6176">
            <v>76.11</v>
          </cell>
        </row>
        <row r="6177">
          <cell r="A6177" t="str">
            <v>88786</v>
          </cell>
          <cell r="B6177" t="str">
            <v>REVESTIMENTO CERÂMICO PARA PAREDES EXTERNAS EM PASTILHAS DE PORCELANA 2,5 X 2,5 CM (PLACAS DE 30 X 30 CM), ALINHADAS A PRUMO, APLICADO EM PANOS COM VÃOS. AF_10/2014</v>
          </cell>
          <cell r="C6177" t="str">
            <v>M2</v>
          </cell>
          <cell r="D6177">
            <v>325.85000000000002</v>
          </cell>
        </row>
        <row r="6178">
          <cell r="A6178" t="str">
            <v>88787</v>
          </cell>
          <cell r="B6178" t="str">
            <v>REVESTIMENTO CERÂMICO PARA PAREDES EXTERNAS EM PASTILHAS DE PORCELANA 2,5 X 2,5 CM (PLACAS DE 30 X 30 CM), ALINHADAS A PRUMO, APLICADO EM PANOS SEM VÃOS. AF_10/2014</v>
          </cell>
          <cell r="C6178" t="str">
            <v>M2</v>
          </cell>
          <cell r="D6178">
            <v>300.73</v>
          </cell>
        </row>
        <row r="6179">
          <cell r="A6179" t="str">
            <v>88788</v>
          </cell>
          <cell r="B6179" t="str">
            <v>REVESTIMENTO CERÂMICO PARA PAREDES EXTERNAS EM PASTILHAS DE PORCELANA 2,5 X 2,5 CM (PLACAS DE 30 X 30 CM), ALINHADAS A PRUMO, APLICADO EM SUPERFÍCIES EXTERNAS DA SACADA. AF_10/2014</v>
          </cell>
          <cell r="C6179" t="str">
            <v>M2</v>
          </cell>
          <cell r="D6179">
            <v>313.13</v>
          </cell>
        </row>
        <row r="6180">
          <cell r="A6180" t="str">
            <v>88789</v>
          </cell>
          <cell r="B6180" t="str">
            <v>REVESTIMENTO CERÂMICO PARA PAREDES EXTERNAS EM PASTILHAS DE PORCELANA 2,5 X 2,5 CM (PLACAS DE 30 X 30 CM), ALINHADAS A PRUMO, APLICADO EM SUPERFÍCIES INTERNAS DA SACADA. AF_10/2014</v>
          </cell>
          <cell r="C6180" t="str">
            <v>M2</v>
          </cell>
          <cell r="D6180">
            <v>378.53</v>
          </cell>
        </row>
        <row r="6181">
          <cell r="A6181" t="str">
            <v>89045</v>
          </cell>
          <cell r="B6181" t="str">
            <v>(COMPOSIÇÃO REPRESENTATIVA) DO SERVIÇO DE REVESTIMENTO CERÂMICO PARA AMBIENTES DE ÁREAS MOLHADAS, MEIA PAREDE OU PAREDE INTEIRA, COM PLACAS TIPO ESMALTADA EXTRA, DIMENSÕES 20X20 CM, PARA EDIFICAÇÃO HABITACIONAL MULTIFAMILIAR (PRÉDIO). AF_11/2014</v>
          </cell>
          <cell r="C6181" t="str">
            <v>M2</v>
          </cell>
          <cell r="D6181">
            <v>68.34</v>
          </cell>
        </row>
        <row r="6182">
          <cell r="A6182" t="str">
            <v>89170</v>
          </cell>
          <cell r="B6182" t="str">
            <v>(COMPOSIÇÃO REPRESENTATIVA) DO SERVIÇO DE REVESTIMENTO CERÂMICO PARA PAREDES INTERNAS, MEIA OU PAREDE INTEIRA, PLACAS TIPO ESMALTADA EXTRA DE 20X20 CM, PARA EDIFICAÇÕES HABITACIONAIS UNIFAMILIAR (CASAS) E EDIFICAÇÕES PÚBLICAS PADRÃO. AF_11/2014</v>
          </cell>
          <cell r="C6182" t="str">
            <v>M2</v>
          </cell>
          <cell r="D6182">
            <v>66.319999999999993</v>
          </cell>
        </row>
        <row r="6183">
          <cell r="A6183" t="str">
            <v>93392</v>
          </cell>
          <cell r="B6183" t="str">
            <v>REVESTIMENTO CERÂMICO PARA PAREDES INTERNAS COM PLACAS TIPO ESMALTADA PADRÃO POPULAR DE DIMENSÕES 20X20 CM, ARGAMASSA TIPO AC I, APLICADAS EM AMBIENTES DE ÁREA MENOR QUE 5 M2 NA ALTURA INTEIRA DAS PAREDES. AF_06/2014</v>
          </cell>
          <cell r="C6183" t="str">
            <v>M2</v>
          </cell>
          <cell r="D6183">
            <v>58.13</v>
          </cell>
        </row>
        <row r="6184">
          <cell r="A6184" t="str">
            <v>93393</v>
          </cell>
          <cell r="B6184" t="str">
            <v>REVESTIMENTO CERÂMICO PARA PAREDES INTERNAS COM PLACAS TIPO ESMALTADA PADRÃO POPULAR DE DIMENSÕES 20X20 CM, ARGAMASSA TIPO AC I, APLICADAS EM AMBIENTES DE ÁREA MAIOR QUE 5 M2 NA ALTURA INTEIRA DAS PAREDES. AF_06/2014</v>
          </cell>
          <cell r="C6184" t="str">
            <v>M2</v>
          </cell>
          <cell r="D6184">
            <v>50.23</v>
          </cell>
        </row>
        <row r="6185">
          <cell r="A6185" t="str">
            <v>93394</v>
          </cell>
          <cell r="B6185" t="str">
            <v>REVESTIMENTO CERÂMICO PARA PAREDES INTERNAS COM PLACAS TIPO ESMALTADA PADRÃO POPULAR DE DIMENSÕES 20X20 CM, ARGAMASSA TIPO AC I, APLICADAS EM AMBIENTES DE ÁREA MENOR QUE 5 M2 A MEIA ALTURA DAS PAREDES. AF_06/2014</v>
          </cell>
          <cell r="C6185" t="str">
            <v>M2</v>
          </cell>
          <cell r="D6185">
            <v>60.94</v>
          </cell>
        </row>
        <row r="6186">
          <cell r="A6186" t="str">
            <v>93395</v>
          </cell>
          <cell r="B6186" t="str">
            <v>REVESTIMENTO CERÂMICO PARA PAREDES INTERNAS COM PLACAS TIPO ESMALTADA PADRÃO POPULAR DE DIMENSÕES 20X20 CM, ARGAMASSA TIPO AC I, APLICADAS EM AMBIENTES DE ÁREA MAIOR QUE 5 M2 A MEIA ALTURA DAS PAREDES. AF_06/2014</v>
          </cell>
          <cell r="C6186" t="str">
            <v>M2</v>
          </cell>
          <cell r="D6186">
            <v>57.43</v>
          </cell>
        </row>
        <row r="6187">
          <cell r="A6187" t="str">
            <v>99194</v>
          </cell>
          <cell r="B6187" t="str">
            <v>REVESTIMENTO CERÂMICO PARA PAREDES INTERNAS COM PLACAS TIPO ESMALTADA PADRÃO POPULAR DE DIMENSÕES 20X20 CM, ARGAMASSA TIPO AC III, APLICADAS EM AMBIENTES DE ÁREA MENOR QUE 5 M2 NA ALTURA INTEIRA DAS PAREDES. AF_06/2014</v>
          </cell>
          <cell r="C6187" t="str">
            <v>M2</v>
          </cell>
          <cell r="D6187">
            <v>63.57</v>
          </cell>
        </row>
        <row r="6188">
          <cell r="A6188" t="str">
            <v>99195</v>
          </cell>
          <cell r="B6188" t="str">
            <v>REVESTIMENTO CERÂMICO PARA PAREDES INTERNAS COM PLACAS TIPO ESMALTADA PADRÃO POPULAR DE DIMENSÕES 20X20 CM, ARGAMASSA TIPO AC III, APLICADAS EM AMBIENTES DE ÁREA MAIOR QUE 5 M2 NA ALTURA INTEIRA DAS PAREDES. AF_06/2014</v>
          </cell>
          <cell r="C6188" t="str">
            <v>M2</v>
          </cell>
          <cell r="D6188">
            <v>55.67</v>
          </cell>
        </row>
        <row r="6189">
          <cell r="A6189" t="str">
            <v>99196</v>
          </cell>
          <cell r="B6189" t="str">
            <v>REVESTIMENTO CERÂMICO PARA PAREDES INTERNAS COM PLACAS TIPO ESMALTADA PADRÃO POPULAR DE DIMENSÕES 20X20 CM, ARGAMASSA TIPO AC III, APLICADAS EM AMBIENTES DE ÁREA MENOR QUE 5 M2 A MEIA ALTURA DAS PAREDES. AF_06/2014</v>
          </cell>
          <cell r="C6189" t="str">
            <v>M2</v>
          </cell>
          <cell r="D6189">
            <v>66.38</v>
          </cell>
        </row>
        <row r="6190">
          <cell r="A6190" t="str">
            <v>99198</v>
          </cell>
          <cell r="B6190" t="str">
            <v>REVESTIMENTO CERÂMICO PARA PAREDES INTERNAS COM PLACAS TIPO ESMALTADA PADRÃO POPULAR DE DIMENSÕES 20X20 CM, ARGAMASSA TIPO AC III, APLICADAS EM AMBIENTES DE ÁREA MAIOR QUE 5 M2 A MEIA ALTURA DAS PAREDES. AF_06/2014</v>
          </cell>
          <cell r="C6190" t="str">
            <v>M</v>
          </cell>
          <cell r="D6190">
            <v>62.87</v>
          </cell>
        </row>
        <row r="6191">
          <cell r="A6191" t="str">
            <v>101965</v>
          </cell>
          <cell r="B6191" t="str">
            <v>PEITORIL LINEAR EM GRANITO OU MÁRMORE, L = 15CM, COMPRIMENTO DE ATÉ 2M, ASSENTADO COM ARGAMASSA 1:6 COM ADITIVO. AF_11/2020</v>
          </cell>
          <cell r="C6191" t="str">
            <v>M</v>
          </cell>
          <cell r="D6191">
            <v>96.07</v>
          </cell>
        </row>
        <row r="6192">
          <cell r="A6192" t="str">
            <v>101966</v>
          </cell>
          <cell r="B6192" t="str">
            <v>CHAPIM SOBRE MUROS LINEARES, EM GRANITO OU MÁRMORE, L = 25 CM, ASSENTADO COM ARGAMASSA 1:6 COM ADITIVO. AF_11/2020</v>
          </cell>
          <cell r="C6192" t="str">
            <v>M</v>
          </cell>
          <cell r="D6192">
            <v>114.41</v>
          </cell>
        </row>
        <row r="6193">
          <cell r="A6193" t="str">
            <v>101979</v>
          </cell>
          <cell r="B6193" t="str">
            <v>CHAPIM (RUFO CAPA) EM AÇO GALVANIZADO, CORTE 33. AF_11/2020</v>
          </cell>
          <cell r="C6193" t="str">
            <v>M2</v>
          </cell>
          <cell r="D6193">
            <v>59.21</v>
          </cell>
        </row>
        <row r="6194">
          <cell r="A6194" t="str">
            <v>96112</v>
          </cell>
          <cell r="B6194" t="str">
            <v>FORRO EM MADEIRA PINUS, PARA AMBIENTES RESIDENCIAIS, INCLUSIVE ESTRUTURA DE FIXAÇÃO. AF_05/2017</v>
          </cell>
          <cell r="C6194" t="str">
            <v>M2</v>
          </cell>
          <cell r="D6194">
            <v>138.44</v>
          </cell>
        </row>
        <row r="6195">
          <cell r="A6195" t="str">
            <v>96117</v>
          </cell>
          <cell r="B6195" t="str">
            <v>FORRO EM MADEIRA PINUS, PARA AMBIENTES COMERCIAIS, INCLUSIVE ESTRUTURA DE FIXAÇÃO. AF_05/2017</v>
          </cell>
          <cell r="C6195" t="str">
            <v>M</v>
          </cell>
          <cell r="D6195">
            <v>177.01</v>
          </cell>
        </row>
        <row r="6196">
          <cell r="A6196" t="str">
            <v>96122</v>
          </cell>
          <cell r="B6196" t="str">
            <v>ACABAMENTOS PARA FORRO (RODA-FORRO EM MADEIRA PINUS). AF_05/2017</v>
          </cell>
          <cell r="C6196" t="str">
            <v>M2</v>
          </cell>
          <cell r="D6196">
            <v>42.78</v>
          </cell>
        </row>
        <row r="6197">
          <cell r="A6197" t="str">
            <v>96109</v>
          </cell>
          <cell r="B6197" t="str">
            <v>FORRO EM PLACAS DE GESSO, PARA AMBIENTES RESIDENCIAIS. AF_05/2017_P</v>
          </cell>
          <cell r="C6197" t="str">
            <v>M2</v>
          </cell>
          <cell r="D6197">
            <v>36.340000000000003</v>
          </cell>
        </row>
        <row r="6198">
          <cell r="A6198" t="str">
            <v>96110</v>
          </cell>
          <cell r="B6198" t="str">
            <v>FORRO EM DRYWALL, PARA AMBIENTES RESIDENCIAIS, INCLUSIVE ESTRUTURA DE FIXAÇÃO. AF_05/2017_P</v>
          </cell>
          <cell r="C6198" t="str">
            <v>M2</v>
          </cell>
          <cell r="D6198">
            <v>73.03</v>
          </cell>
        </row>
        <row r="6199">
          <cell r="A6199" t="str">
            <v>96113</v>
          </cell>
          <cell r="B6199" t="str">
            <v>FORRO EM PLACAS DE GESSO, PARA AMBIENTES COMERCIAIS. AF_05/2017_P</v>
          </cell>
          <cell r="C6199" t="str">
            <v>M2</v>
          </cell>
          <cell r="D6199">
            <v>31.93</v>
          </cell>
        </row>
        <row r="6200">
          <cell r="A6200" t="str">
            <v>96114</v>
          </cell>
          <cell r="B6200" t="str">
            <v>FORRO EM DRYWALL, PARA AMBIENTES COMERCIAIS, INCLUSIVE ESTRUTURA DE FIXAÇÃO. AF_05/2017_P</v>
          </cell>
          <cell r="C6200" t="str">
            <v>M</v>
          </cell>
          <cell r="D6200">
            <v>77.13</v>
          </cell>
        </row>
        <row r="6201">
          <cell r="A6201" t="str">
            <v>96120</v>
          </cell>
          <cell r="B6201" t="str">
            <v>ACABAMENTOS PARA FORRO (MOLDURA DE GESSO). AF_05/2017</v>
          </cell>
          <cell r="C6201" t="str">
            <v>M</v>
          </cell>
          <cell r="D6201">
            <v>2.54</v>
          </cell>
        </row>
        <row r="6202">
          <cell r="A6202" t="str">
            <v>96123</v>
          </cell>
          <cell r="B6202" t="str">
            <v>ACABAMENTOS PARA FORRO (MOLDURA EM DRYWALL, COM LARGURA DE 15 CM). AF_05/2017_P</v>
          </cell>
          <cell r="C6202" t="str">
            <v>M2</v>
          </cell>
          <cell r="D6202">
            <v>36.46</v>
          </cell>
        </row>
        <row r="6203">
          <cell r="A6203" t="str">
            <v>99054</v>
          </cell>
          <cell r="B6203" t="str">
            <v>ACABAMENTOS PARA FORRO (SANCA DE GESSO MONTADA NA OBRA). AF_05/2017_P</v>
          </cell>
          <cell r="C6203" t="str">
            <v>M2</v>
          </cell>
          <cell r="D6203">
            <v>45</v>
          </cell>
        </row>
        <row r="6204">
          <cell r="A6204" t="str">
            <v>96111</v>
          </cell>
          <cell r="B6204" t="str">
            <v>FORRO EM RÉGUAS DE PVC, FRISADO, PARA AMBIENTES RESIDENCIAIS, INCLUSIVE ESTRUTURA DE FIXAÇÃO. AF_05/2017_P</v>
          </cell>
          <cell r="C6204" t="str">
            <v>M2</v>
          </cell>
          <cell r="D6204">
            <v>68.22</v>
          </cell>
        </row>
        <row r="6205">
          <cell r="A6205" t="str">
            <v>96116</v>
          </cell>
          <cell r="B6205" t="str">
            <v>FORRO EM RÉGUAS DE PVC, FRISADO, PARA AMBIENTES COMERCIAIS, INCLUSIVE ESTRUTURA DE FIXAÇÃO. AF_05/2017_P</v>
          </cell>
          <cell r="C6205" t="str">
            <v>M</v>
          </cell>
          <cell r="D6205">
            <v>75.62</v>
          </cell>
        </row>
        <row r="6206">
          <cell r="A6206" t="str">
            <v>96121</v>
          </cell>
          <cell r="B6206" t="str">
            <v>ACABAMENTOS PARA FORRO (RODA-FORRO EM PERFIL METÁLICO E PLÁSTICO). AF_05/2017</v>
          </cell>
          <cell r="C6206" t="str">
            <v>M2</v>
          </cell>
          <cell r="D6206">
            <v>11.58</v>
          </cell>
        </row>
        <row r="6207">
          <cell r="A6207" t="str">
            <v>96485</v>
          </cell>
          <cell r="B6207" t="str">
            <v>FORRO EM RÉGUAS DE PVC, LISO, PARA AMBIENTES RESIDENCIAIS, INCLUSIVE ESTRUTURA DE FIXAÇÃO. AF_05/2017_P</v>
          </cell>
          <cell r="C6207" t="str">
            <v>M2</v>
          </cell>
          <cell r="D6207">
            <v>77.900000000000006</v>
          </cell>
        </row>
        <row r="6208">
          <cell r="A6208" t="str">
            <v>96486</v>
          </cell>
          <cell r="B6208" t="str">
            <v>FORRO DE PVC, LISO, PARA AMBIENTES COMERCIAIS, INCLUSIVE ESTRUTURA DE FIXAÇÃO. AF_05/2017_P</v>
          </cell>
          <cell r="C6208" t="str">
            <v>M2</v>
          </cell>
          <cell r="D6208">
            <v>85.89</v>
          </cell>
        </row>
        <row r="6209">
          <cell r="A6209" t="str">
            <v>91514</v>
          </cell>
          <cell r="B6209" t="str">
            <v>ESTUCAMENTO DE PANOS DE FACHADA SEM VÃOS DO SISTEMA DE PAREDES DE CONCRETO EM EDIFICAÇÕES DE MÚLTIPLOS PAVIMENTOS. AF_06/2015</v>
          </cell>
          <cell r="C6209" t="str">
            <v>M2</v>
          </cell>
          <cell r="D6209">
            <v>6.49</v>
          </cell>
        </row>
        <row r="6210">
          <cell r="A6210" t="str">
            <v>91515</v>
          </cell>
          <cell r="B6210" t="str">
            <v>ESTUCAMENTO DE PANOS DE FACHADA COM VÃOS DO SISTEMA DE PAREDES DE CONCRETO EM EDIFICAÇÕES DE MÚLTIPLOS PAVIMENTOS. AF_06/2015</v>
          </cell>
          <cell r="C6210" t="str">
            <v>M2</v>
          </cell>
          <cell r="D6210">
            <v>8.6</v>
          </cell>
        </row>
        <row r="6211">
          <cell r="A6211" t="str">
            <v>91516</v>
          </cell>
          <cell r="B6211" t="str">
            <v>ESTUCAMENTO DE SUPERFÍCIE EXTERNA DA SACADA DO SISTEMA DE PAREDES DE CONCRETO EM EDIFICAÇÕES DE MÚLTIPLOS PAVIMENTOS. AF_06/2015</v>
          </cell>
          <cell r="C6211" t="str">
            <v>M2</v>
          </cell>
          <cell r="D6211">
            <v>12.59</v>
          </cell>
        </row>
        <row r="6212">
          <cell r="A6212" t="str">
            <v>91517</v>
          </cell>
          <cell r="B6212" t="str">
            <v>ESTUCAMENTO DE PANOS DE FACHADA SEM VÃOS DO SISTEMA DE PAREDES DE CONCRETO EM EDIFICAÇÕES DE PAVIMENTO ÚNICO. AF_06/2015</v>
          </cell>
          <cell r="C6212" t="str">
            <v>M2</v>
          </cell>
          <cell r="D6212">
            <v>14.01</v>
          </cell>
        </row>
        <row r="6213">
          <cell r="A6213" t="str">
            <v>91519</v>
          </cell>
          <cell r="B6213" t="str">
            <v>ESTUCAMENTO DE PANOS DE FACHADA COM VÃOS DO SISTEMA DE PAREDES DE CONCRETO EM EDIFICAÇÕES DE PAVIMENTO ÚNICO. AF_06/2015</v>
          </cell>
          <cell r="C6213" t="str">
            <v>M2</v>
          </cell>
          <cell r="D6213">
            <v>16.100000000000001</v>
          </cell>
        </row>
        <row r="6214">
          <cell r="A6214" t="str">
            <v>91520</v>
          </cell>
          <cell r="B6214" t="str">
            <v>ESTUCAMENTO DE DENSIDADE BAIXA NAS FACES INTERNAS DE PAREDES DO SISTEMA DE PAREDES DE CONCRETO. AF_06/2015</v>
          </cell>
          <cell r="C6214" t="str">
            <v>M2</v>
          </cell>
          <cell r="D6214">
            <v>2.33</v>
          </cell>
        </row>
        <row r="6215">
          <cell r="A6215" t="str">
            <v>91522</v>
          </cell>
          <cell r="B6215" t="str">
            <v>ESTUCAMENTO, PARA QUALQUER REVESTIMENTO, EM TETO DO SISTEMA DE PAREDES DE CONCRETO. AF_06/2015</v>
          </cell>
          <cell r="C6215" t="str">
            <v>M2</v>
          </cell>
          <cell r="D6215">
            <v>2.81</v>
          </cell>
        </row>
        <row r="6216">
          <cell r="A6216" t="str">
            <v>91525</v>
          </cell>
          <cell r="B6216" t="str">
            <v>ESTUCAMENTO DE DENSIDADE ALTA, NAS FACES INTERNAS DE PAREDES DO SISTEMA DE PAREDES DE CONCRETO. AF_06/2015</v>
          </cell>
          <cell r="C6216" t="str">
            <v>M3</v>
          </cell>
          <cell r="D6216">
            <v>5.03</v>
          </cell>
        </row>
        <row r="6217">
          <cell r="A6217" t="str">
            <v>87280</v>
          </cell>
          <cell r="B6217" t="str">
            <v>ARGAMASSA TRAÇO 1:7 (EM VOLUME DE CIMENTO E AREIA MÉDIA ÚMIDA) COM ADIÇÃO DE PLASTIFICANTE PARA EMBOÇO/MASSA ÚNICA/ASSENTAMENTO DE ALVENARIA DE VEDAÇÃO, PREPARO MECÂNICO COM BETONEIRA 400 L. AF_08/2019</v>
          </cell>
          <cell r="C6217" t="str">
            <v>M3</v>
          </cell>
          <cell r="D6217">
            <v>311.68</v>
          </cell>
        </row>
        <row r="6218">
          <cell r="A6218" t="str">
            <v>87281</v>
          </cell>
          <cell r="B6218" t="str">
            <v>ARGAMASSA TRAÇO 1:7 (EM VOLUME DE CIMENTO E AREIA MÉDIA ÚMIDA) COM ADIÇÃO DE PLASTIFICANTE PARA EMBOÇO/MASSA ÚNICA/ASSENTAMENTO DE ALVENARIA DE VEDAÇÃO, PREPARO MECÂNICO COM BETONEIRA 600 L. AF_08/2019</v>
          </cell>
          <cell r="C6218" t="str">
            <v>M3</v>
          </cell>
          <cell r="D6218">
            <v>300.95</v>
          </cell>
        </row>
        <row r="6219">
          <cell r="A6219" t="str">
            <v>87283</v>
          </cell>
          <cell r="B6219" t="str">
            <v>ARGAMASSA TRAÇO 1:6 (EM VOLUME DE CIMENTO E AREIA MÉDIA ÚMIDA) COM ADIÇÃO DE PLASTIFICANTE PARA EMBOÇO/MASSA ÚNICA/ASSENTAMENTO DE ALVENARIA DE VEDAÇÃO, PREPARO MECÂNICO COM BETONEIRA 400 L. AF_08/2019</v>
          </cell>
          <cell r="C6219" t="str">
            <v>M3</v>
          </cell>
          <cell r="D6219">
            <v>321.92</v>
          </cell>
        </row>
        <row r="6220">
          <cell r="A6220" t="str">
            <v>87284</v>
          </cell>
          <cell r="B6220" t="str">
            <v>ARGAMASSA TRAÇO 1:6 (EM VOLUME DE CIMENTO E AREIA MÉDIA ÚMIDA) COM ADIÇÃO DE PLASTIFICANTE PARA EMBOÇO/MASSA ÚNICA/ASSENTAMENTO DE ALVENARIA DE VEDAÇÃO, PREPARO MECÂNICO COM BETONEIRA 600 L. AF_08/2019</v>
          </cell>
          <cell r="C6220" t="str">
            <v>M3</v>
          </cell>
          <cell r="D6220">
            <v>309.87</v>
          </cell>
        </row>
        <row r="6221">
          <cell r="A6221" t="str">
            <v>87286</v>
          </cell>
          <cell r="B6221" t="str">
            <v>ARGAMASSA TRAÇO 1:1:6 (EM VOLUME DE CIMENTO, CAL E AREIA MÉDIA ÚMIDA) PARA EMBOÇO/MASSA ÚNICA/ASSENTAMENTO DE ALVENARIA DE VEDAÇÃO, PREPARO MECÂNICO COM BETONEIRA 400 L. AF_08/2019</v>
          </cell>
          <cell r="C6221" t="str">
            <v>M3</v>
          </cell>
          <cell r="D6221">
            <v>434.04</v>
          </cell>
        </row>
        <row r="6222">
          <cell r="A6222" t="str">
            <v>87287</v>
          </cell>
          <cell r="B6222" t="str">
            <v>ARGAMASSA TRAÇO 1:1:6 (EM VOLUME DE CIMENTO, CAL E AREIA MÉDIA ÚMIDA) PARA EMBOÇO/MASSA ÚNICA/ASSENTAMENTO DE ALVENARIA DE VEDAÇÃO, PREPARO MECÂNICO COM BETONEIRA 600 L. AF_08/2019</v>
          </cell>
          <cell r="C6222" t="str">
            <v>M3</v>
          </cell>
          <cell r="D6222">
            <v>409.91</v>
          </cell>
        </row>
        <row r="6223">
          <cell r="A6223" t="str">
            <v>87289</v>
          </cell>
          <cell r="B6223" t="str">
            <v>ARGAMASSA TRAÇO 1:1,5:7,5 (EM VOLUME DE CIMENTO, CAL E AREIA MÉDIA ÚMIDA) PARA EMBOÇO/MASSA ÚNICA/ASSENTAMENTO DE ALVENARIA DE VEDAÇÃO, PREPARO MECÂNICO COM BETONEIRA 400 L. AF_08/2019</v>
          </cell>
          <cell r="C6223" t="str">
            <v>M3</v>
          </cell>
          <cell r="D6223">
            <v>420.69</v>
          </cell>
        </row>
        <row r="6224">
          <cell r="A6224" t="str">
            <v>87290</v>
          </cell>
          <cell r="B6224" t="str">
            <v>ARGAMASSA TRAÇO 1:1,5:7,5 (EM VOLUME DE CIMENTO, CAL E AREIA MÉDIA ÚMIDA) PARA EMBOÇO/MASSA ÚNICA/ASSENTAMENTO DE ALVENARIA DE VEDAÇÃO, PREPARO MECÂNICO COM BETONEIRA 600 L. AF_08/2019</v>
          </cell>
          <cell r="C6224" t="str">
            <v>M3</v>
          </cell>
          <cell r="D6224">
            <v>407.07</v>
          </cell>
        </row>
        <row r="6225">
          <cell r="A6225" t="str">
            <v>87292</v>
          </cell>
          <cell r="B6225" t="str">
            <v>ARGAMASSA TRAÇO 1:2:8 (EM VOLUME DE CIMENTO, CAL E AREIA MÉDIA ÚMIDA) PARA EMBOÇO/MASSA ÚNICA/ASSENTAMENTO DE ALVENARIA DE VEDAÇÃO, PREPARO MECÂNICO COM BETONEIRA 400 L. AF_08/2019</v>
          </cell>
          <cell r="C6225" t="str">
            <v>M3</v>
          </cell>
          <cell r="D6225">
            <v>433.63</v>
          </cell>
        </row>
        <row r="6226">
          <cell r="A6226" t="str">
            <v>87294</v>
          </cell>
          <cell r="B6226" t="str">
            <v>ARGAMASSA TRAÇO 1:2:9 (EM VOLUME DE CIMENTO, CAL E AREIA MÉDIA ÚMIDA) PARA EMBOÇO/MASSA ÚNICA/ASSENTAMENTO DE ALVENARIA DE VEDAÇÃO, PREPARO MECÂNICO COM BETONEIRA 600 L. AF_08/2019</v>
          </cell>
          <cell r="C6226" t="str">
            <v>M3</v>
          </cell>
          <cell r="D6226">
            <v>408.39</v>
          </cell>
        </row>
        <row r="6227">
          <cell r="A6227" t="str">
            <v>87295</v>
          </cell>
          <cell r="B6227" t="str">
            <v>ARGAMASSA TRAÇO 1:3:12 (EM VOLUME DE CIMENTO, CAL E AREIA MÉDIA ÚMIDA) PARA EMBOÇO/MASSA ÚNICA/ASSENTAMENTO DE ALVENARIA DE VEDAÇÃO, PREPARO MECÂNICO COM BETONEIRA 400 L. AF_08/2019</v>
          </cell>
          <cell r="C6227" t="str">
            <v>M3</v>
          </cell>
          <cell r="D6227">
            <v>429.81</v>
          </cell>
        </row>
        <row r="6228">
          <cell r="A6228" t="str">
            <v>87296</v>
          </cell>
          <cell r="B6228" t="str">
            <v>ARGAMASSA TRAÇO 1:3:12 (EM VOLUME DE CIMENTO, CAL E AREIA MÉDIA ÚMIDA) PARA EMBOÇO/MASSA ÚNICA/ASSENTAMENTO DE ALVENARIA DE VEDAÇÃO, PREPARO MECÂNICO COM BETONEIRA 600 L. AF_08/2019</v>
          </cell>
          <cell r="C6228" t="str">
            <v>M3</v>
          </cell>
          <cell r="D6228">
            <v>396.37</v>
          </cell>
        </row>
        <row r="6229">
          <cell r="A6229" t="str">
            <v>87298</v>
          </cell>
          <cell r="B6229" t="str">
            <v>ARGAMASSA TRAÇO 1:3 (EM VOLUME DE CIMENTO E AREIA MÉDIA ÚMIDA) PARA CONTRAPISO, PREPARO MECÂNICO COM BETONEIRA 400 L. AF_08/2019</v>
          </cell>
          <cell r="C6229" t="str">
            <v>M3</v>
          </cell>
          <cell r="D6229">
            <v>486.64</v>
          </cell>
        </row>
        <row r="6230">
          <cell r="A6230" t="str">
            <v>87299</v>
          </cell>
          <cell r="B6230" t="str">
            <v>ARGAMASSA TRAÇO 1:3 (EM VOLUME DE CIMENTO E AREIA MÉDIA ÚMIDA) PARA CONTRAPISO, PREPARO MECÂNICO COM BETONEIRA 600 L. AF_08/2019</v>
          </cell>
          <cell r="C6230" t="str">
            <v>M3</v>
          </cell>
          <cell r="D6230">
            <v>309.11</v>
          </cell>
        </row>
        <row r="6231">
          <cell r="A6231" t="str">
            <v>87301</v>
          </cell>
          <cell r="B6231" t="str">
            <v>ARGAMASSA TRAÇO 1:4 (EM VOLUME DE CIMENTO E AREIA MÉDIA ÚMIDA) PARA CONTRAPISO, PREPARO MECÂNICO COM BETONEIRA 400 L. AF_08/2019</v>
          </cell>
          <cell r="C6231" t="str">
            <v>M3</v>
          </cell>
          <cell r="D6231">
            <v>435.83</v>
          </cell>
        </row>
        <row r="6232">
          <cell r="A6232" t="str">
            <v>87302</v>
          </cell>
          <cell r="B6232" t="str">
            <v>ARGAMASSA TRAÇO 1:4 (EM VOLUME DE CIMENTO E AREIA MÉDIA ÚMIDA) PARA CONTRAPISO, PREPARO MECÂNICO COM BETONEIRA 600 L. AF_08/2019</v>
          </cell>
          <cell r="C6232" t="str">
            <v>M3</v>
          </cell>
          <cell r="D6232">
            <v>421.59</v>
          </cell>
        </row>
        <row r="6233">
          <cell r="A6233" t="str">
            <v>87304</v>
          </cell>
          <cell r="B6233" t="str">
            <v>ARGAMASSA TRAÇO 1:5 (EM VOLUME DE CIMENTO E AREIA MÉDIA ÚMIDA) PARA CONTRAPISO, PREPARO MECÂNICO COM BETONEIRA 400 L. AF_08/2019</v>
          </cell>
          <cell r="C6233" t="str">
            <v>M3</v>
          </cell>
          <cell r="D6233">
            <v>387.13</v>
          </cell>
        </row>
        <row r="6234">
          <cell r="A6234" t="str">
            <v>87305</v>
          </cell>
          <cell r="B6234" t="str">
            <v>ARGAMASSA TRAÇO 1:5 (EM VOLUME DE CIMENTO E AREIA MÉDIA ÚMIDA) PARA CONTRAPISO, PREPARO MECÂNICO COM BETONEIRA 600 L. AF_08/2019</v>
          </cell>
          <cell r="C6234" t="str">
            <v>M3</v>
          </cell>
          <cell r="D6234">
            <v>385.54</v>
          </cell>
        </row>
        <row r="6235">
          <cell r="A6235" t="str">
            <v>87307</v>
          </cell>
          <cell r="B6235" t="str">
            <v>ARGAMASSA TRAÇO 1:6 (EM VOLUME DE CIMENTO E AREIA MÉDIA ÚMIDA) PARA CONTRAPISO, PREPARO MECÂNICO COM BETONEIRA 400 L. AF_08/2019</v>
          </cell>
          <cell r="C6235" t="str">
            <v>M3</v>
          </cell>
          <cell r="D6235">
            <v>368.58</v>
          </cell>
        </row>
        <row r="6236">
          <cell r="A6236" t="str">
            <v>87308</v>
          </cell>
          <cell r="B6236" t="str">
            <v>ARGAMASSA TRAÇO 1:6 (EM VOLUME DE CIMENTO E AREIA MÉDIA ÚMIDA) PARA CONTRAPISO, PREPARO MECÂNICO COM BETONEIRA 600 L. AF_08/2019</v>
          </cell>
          <cell r="C6236" t="str">
            <v>M3</v>
          </cell>
          <cell r="D6236">
            <v>355.29</v>
          </cell>
        </row>
        <row r="6237">
          <cell r="A6237" t="str">
            <v>87310</v>
          </cell>
          <cell r="B6237" t="str">
            <v>ARGAMASSA TRAÇO 1:5 (EM VOLUME DE CIMENTO E AREIA GROSSA ÚMIDA) PARA CHAPISCO CONVENCIONAL, PREPARO MECÂNICO COM BETONEIRA 400 L. AF_08/2019</v>
          </cell>
          <cell r="C6237" t="str">
            <v>M3</v>
          </cell>
          <cell r="D6237">
            <v>328.87</v>
          </cell>
        </row>
        <row r="6238">
          <cell r="A6238" t="str">
            <v>87311</v>
          </cell>
          <cell r="B6238" t="str">
            <v>ARGAMASSA TRAÇO 1:5 (EM VOLUME DE CIMENTO E AREIA GROSSA ÚMIDA) PARA CHAPISCO CONVENCIONAL, PREPARO MECÂNICO COM BETONEIRA 600 L. AF_08/2019</v>
          </cell>
          <cell r="C6238" t="str">
            <v>M3</v>
          </cell>
          <cell r="D6238">
            <v>315.47000000000003</v>
          </cell>
        </row>
        <row r="6239">
          <cell r="A6239" t="str">
            <v>87313</v>
          </cell>
          <cell r="B6239" t="str">
            <v>ARGAMASSA TRAÇO 1:3 (EM VOLUME DE CIMENTO E AREIA GROSSA ÚMIDA) PARA CHAPISCO CONVENCIONAL, PREPARO MECÂNICO COM BETONEIRA 400 L. AF_08/2019</v>
          </cell>
          <cell r="C6239" t="str">
            <v>M3</v>
          </cell>
          <cell r="D6239">
            <v>400.31</v>
          </cell>
        </row>
        <row r="6240">
          <cell r="A6240" t="str">
            <v>87314</v>
          </cell>
          <cell r="B6240" t="str">
            <v>ARGAMASSA TRAÇO 1:3 (EM VOLUME DE CIMENTO E AREIA GROSSA ÚMIDA) PARA CHAPISCO CONVENCIONAL, PREPARO MECÂNICO COM BETONEIRA 600 L. AF_08/2019</v>
          </cell>
          <cell r="C6240" t="str">
            <v>M3</v>
          </cell>
          <cell r="D6240">
            <v>388.26</v>
          </cell>
        </row>
        <row r="6241">
          <cell r="A6241" t="str">
            <v>87316</v>
          </cell>
          <cell r="B6241" t="str">
            <v>ARGAMASSA TRAÇO 1:4 (EM VOLUME DE CIMENTO E AREIA GROSSA ÚMIDA) PARA CHAPISCO CONVENCIONAL, PREPARO MECÂNICO COM BETONEIRA 400 L. AF_08/2019</v>
          </cell>
          <cell r="C6241" t="str">
            <v>M3</v>
          </cell>
          <cell r="D6241">
            <v>364.64</v>
          </cell>
        </row>
        <row r="6242">
          <cell r="A6242" t="str">
            <v>87317</v>
          </cell>
          <cell r="B6242" t="str">
            <v>ARGAMASSA TRAÇO 1:4 (EM VOLUME DE CIMENTO E AREIA GROSSA ÚMIDA) PARA CHAPISCO CONVENCIONAL, PREPARO MECÂNICO COM BETONEIRA 600 L. AF_08/2019</v>
          </cell>
          <cell r="C6242" t="str">
            <v>M3</v>
          </cell>
          <cell r="D6242">
            <v>345.28</v>
          </cell>
        </row>
        <row r="6243">
          <cell r="A6243" t="str">
            <v>87319</v>
          </cell>
          <cell r="B6243" t="str">
            <v>ARGAMASSA TRAÇO 1:5 (EM VOLUME DE CIMENTO E AREIA GROSSA ÚMIDA) COM ADIÇÃO DE EMULSÃO POLIMÉRICA PARA CHAPISCO ROLADO, PREPARO MECÂNICO COM BETONEIRA 400 L. AF_08/2019</v>
          </cell>
          <cell r="C6243" t="str">
            <v>M3</v>
          </cell>
          <cell r="D6243">
            <v>2615.77</v>
          </cell>
        </row>
        <row r="6244">
          <cell r="A6244" t="str">
            <v>87320</v>
          </cell>
          <cell r="B6244" t="str">
            <v>ARGAMASSA TRAÇO 1:5 (EM VOLUME DE CIMENTO E AREIA GROSSA ÚMIDA) COM ADIÇÃO DE EMULSÃO POLIMÉRICA PARA CHAPISCO ROLADO, PREPARO MECÂNICO COM BETONEIRA 600 L. AF_08/2019</v>
          </cell>
          <cell r="C6244" t="str">
            <v>M3</v>
          </cell>
          <cell r="D6244">
            <v>2613.89</v>
          </cell>
        </row>
        <row r="6245">
          <cell r="A6245" t="str">
            <v>87322</v>
          </cell>
          <cell r="B6245" t="str">
            <v>ARGAMASSA TRAÇO 1:3 (EM VOLUME DE CIMENTO E AREIA GROSSA ÚMIDA) COM ADIÇÃO DE EMULSÃO POLIMÉRICA PARA CHAPISCO ROLADO, PREPARO MECÂNICO COM BETONEIRA 400 L. AF_08/2019</v>
          </cell>
          <cell r="C6245" t="str">
            <v>M3</v>
          </cell>
          <cell r="D6245">
            <v>2700.4</v>
          </cell>
        </row>
        <row r="6246">
          <cell r="A6246" t="str">
            <v>87323</v>
          </cell>
          <cell r="B6246" t="str">
            <v>ARGAMASSA TRAÇO 1:3 (EM VOLUME DE CIMENTO E AREIA GROSSA ÚMIDA) COM ADIÇÃO DE EMULSÃO POLIMÉRICA PARA CHAPISCO ROLADO, PREPARO MECÂNICO COM BETONEIRA 600 L. AF_08/2019</v>
          </cell>
          <cell r="C6246" t="str">
            <v>M3</v>
          </cell>
          <cell r="D6246">
            <v>2691.37</v>
          </cell>
        </row>
        <row r="6247">
          <cell r="A6247" t="str">
            <v>87325</v>
          </cell>
          <cell r="B6247" t="str">
            <v>ARGAMASSA TRAÇO 1:4 (EM VOLUME DE CIMENTO E AREIA GROSSA ÚMIDA) COM ADIÇÃO DE EMULSÃO POLIMÉRICA PARA CHAPISCO ROLADO, PREPARO MECÂNICO COM BETONEIRA 400 L. AF_08/2019</v>
          </cell>
          <cell r="C6247" t="str">
            <v>M3</v>
          </cell>
          <cell r="D6247">
            <v>2639.72</v>
          </cell>
        </row>
        <row r="6248">
          <cell r="A6248" t="str">
            <v>87326</v>
          </cell>
          <cell r="B6248" t="str">
            <v>ARGAMASSA TRAÇO 1:4 (EM VOLUME DE CIMENTO E AREIA GROSSA ÚMIDA) COM ADIÇÃO DE EMULSÃO POLIMÉRICA PARA CHAPISCO ROLADO, PREPARO MECÂNICO COM BETONEIRA 600 L. AF_08/2019</v>
          </cell>
          <cell r="C6248" t="str">
            <v>M3</v>
          </cell>
          <cell r="D6248">
            <v>2635.87</v>
          </cell>
        </row>
        <row r="6249">
          <cell r="A6249" t="str">
            <v>87327</v>
          </cell>
          <cell r="B6249" t="str">
            <v>ARGAMASSA TRAÇO 1:7 (EM VOLUME DE CIMENTO E AREIA MÉDIA ÚMIDA) COM ADIÇÃO DE PLASTIFICANTE PARA EMBOÇO/MASSA ÚNICA/ASSENTAMENTO DE ALVENARIA DE VEDAÇÃO, PREPARO MECÂNICO COM MISTURADOR DE EIXO HORIZONTAL DE 300 KG. AF_08/2019</v>
          </cell>
          <cell r="C6249" t="str">
            <v>M3</v>
          </cell>
          <cell r="D6249">
            <v>337.88</v>
          </cell>
        </row>
        <row r="6250">
          <cell r="A6250" t="str">
            <v>87328</v>
          </cell>
          <cell r="B6250" t="str">
            <v>ARGAMASSA TRAÇO 1:7 (EM VOLUME DE CIMENTO E AREIA MÉDIA ÚMIDA) COM ADIÇÃO DE PLASTIFICANTE PARA EMBOÇO/MASSA ÚNICA/ASSENTAMENTO DE ALVENARIA DE VEDAÇÃO, PREPARO MECÂNICO COM MISTURADOR DE EIXO HORIZONTAL DE 600 KG. AF_08/2019</v>
          </cell>
          <cell r="C6250" t="str">
            <v>M3</v>
          </cell>
          <cell r="D6250">
            <v>274.39999999999998</v>
          </cell>
        </row>
        <row r="6251">
          <cell r="A6251" t="str">
            <v>87329</v>
          </cell>
          <cell r="B6251" t="str">
            <v>ARGAMASSA TRAÇO 1:6 (EM VOLUME DE CIMENTO E AREIA MÉDIA ÚMIDA) COM ADIÇÃO DE PLASTIFICANTE PARA EMBOÇO/MASSA ÚNICA/ASSENTAMENTO DE ALVENARIA DE VEDAÇÃO, PREPARO MECÂNICO COM MISTURADOR DE EIXO HORIZONTAL DE 300 KG. AF_08/2019</v>
          </cell>
          <cell r="C6251" t="str">
            <v>M3</v>
          </cell>
          <cell r="D6251">
            <v>367.32</v>
          </cell>
        </row>
        <row r="6252">
          <cell r="A6252" t="str">
            <v>87330</v>
          </cell>
          <cell r="B6252" t="str">
            <v>ARGAMASSA TRAÇO 1:6 (EM VOLUME DE CIMENTO E AREIA MÉDIA ÚMIDA) COM ADIÇÃO DE PLASTIFICANTE PARA EMBOÇO/MASSA ÚNICA/ASSENTAMENTO DE ALVENARIA DE VEDAÇÃO, PREPARO MECÂNICO COM MISTURADOR DE EIXO HORIZONTAL DE 600 KG. AF_08/2019</v>
          </cell>
          <cell r="C6252" t="str">
            <v>M3</v>
          </cell>
          <cell r="D6252">
            <v>295.82</v>
          </cell>
        </row>
        <row r="6253">
          <cell r="A6253" t="str">
            <v>87331</v>
          </cell>
          <cell r="B6253" t="str">
            <v>ARGAMASSA TRAÇO 1:1:6 (EM VOLUME DE CIMENTO, CAL E AREIA MÉDIA ÚMIDA) PARA EMBOÇO/MASSA ÚNICA/ASSENTAMENTO DE ALVENARIA DE VEDAÇÃO, PREPARO MECÂNICO COM MISTURADOR DE EIXO HORIZONTAL DE 300 KG. AF_08/2019</v>
          </cell>
          <cell r="C6253" t="str">
            <v>M3</v>
          </cell>
          <cell r="D6253">
            <v>458.95</v>
          </cell>
        </row>
        <row r="6254">
          <cell r="A6254" t="str">
            <v>87332</v>
          </cell>
          <cell r="B6254" t="str">
            <v>ARGAMASSA TRAÇO 1:1:6 (EM VOLUME DE CIMENTO, CAL E AREIA MÉDIA ÚMIDA) PARA EMBOÇO/MASSA ÚNICA/ASSENTAMENTO DE ALVENARIA DE VEDAÇÃO, PREPARO MECÂNICO COM MISTURADOR DE EIXO HORIZONTAL DE 600 KG. AF_08/2019</v>
          </cell>
          <cell r="C6254" t="str">
            <v>M3</v>
          </cell>
          <cell r="D6254">
            <v>392.78</v>
          </cell>
        </row>
        <row r="6255">
          <cell r="A6255" t="str">
            <v>87333</v>
          </cell>
          <cell r="B6255" t="str">
            <v>ARGAMASSA TRAÇO 1:1,5:7,5 (EM VOLUME DE CIMENTO, CAL E AREIA MÉDIA ÚMIDA) PARA EMBOÇO/MASSA ÚNICA/ASSENTAMENTO DE ALVENARIA DE VEDAÇÃO, PREPARO MECÂNICO COM MISTURADOR DE EIXO HORIZONTAL DE 300 KG. AF_08/2019</v>
          </cell>
          <cell r="C6255" t="str">
            <v>M3</v>
          </cell>
          <cell r="D6255">
            <v>429.3</v>
          </cell>
        </row>
        <row r="6256">
          <cell r="A6256" t="str">
            <v>87334</v>
          </cell>
          <cell r="B6256" t="str">
            <v>ARGAMASSA TRAÇO 1:1,5:7,5 (EM VOLUME DE CIMENTO, CAL E AREIA MÉDIA ÚMIDA) PARA EMBOÇO/MASSA ÚNICA/ASSENTAMENTO DE ALVENARIA DE VEDAÇÃO, PREPARO MECÂNICO COM MISTURADOR DE EIXO HORIZONTAL DE 600 KG. AF_08/2019</v>
          </cell>
          <cell r="C6256" t="str">
            <v>M3</v>
          </cell>
          <cell r="D6256">
            <v>388.03</v>
          </cell>
        </row>
        <row r="6257">
          <cell r="A6257" t="str">
            <v>87335</v>
          </cell>
          <cell r="B6257" t="str">
            <v>ARGAMASSA TRAÇO 1:2:8 (EM VOLUME DE CIMENTO, CAL E AREIA MÉDIA ÚMIDA) PARA EMBOÇO/MASSA ÚNICA/ASSENTAMENTO DE ALVENARIA DE VEDAÇÃO, PREPARO MECÂNICO COM MISTURADOR DE EIXO HORIZONTAL DE 300 KG. AF_08/2019</v>
          </cell>
          <cell r="C6257" t="str">
            <v>M3</v>
          </cell>
          <cell r="D6257">
            <v>421.06</v>
          </cell>
        </row>
        <row r="6258">
          <cell r="A6258" t="str">
            <v>87336</v>
          </cell>
          <cell r="B6258" t="str">
            <v>ARGAMASSA TRAÇO 1:2:8 (EM VOLUME DE CIMENTO, CAL E AREIA MÉDIA ÚMIDA) PARA EMBOÇO/MASSA ÚNICA/ASSENTAMENTO DE ALVENARIA DE VEDAÇÃO, PREPARO MECÂNICO COM MISTURADOR DE EIXO HORIZONTAL DE 600 KG. AF_08/2019</v>
          </cell>
          <cell r="C6258" t="str">
            <v>M3</v>
          </cell>
          <cell r="D6258">
            <v>405.66</v>
          </cell>
        </row>
        <row r="6259">
          <cell r="A6259" t="str">
            <v>87337</v>
          </cell>
          <cell r="B6259" t="str">
            <v>ARGAMASSA TRAÇO 1:2:9 (EM VOLUME DE CIMENTO, CAL E AREIA MÉDIA ÚMIDA) PARA EMBOÇO/MASSA ÚNICA/ASSENTAMENTO DE ALVENARIA DE VEDAÇÃO, PREPARO MECÂNICO COM MISTURADOR DE EIXO HORIZONTAL DE 300 KG. AF_08/2019</v>
          </cell>
          <cell r="C6259" t="str">
            <v>M3</v>
          </cell>
          <cell r="D6259">
            <v>416.95</v>
          </cell>
        </row>
        <row r="6260">
          <cell r="A6260" t="str">
            <v>87338</v>
          </cell>
          <cell r="B6260" t="str">
            <v>ARGAMASSA TRAÇO 1:3:12 (EM VOLUME DE CIMENTO, CAL E AREIA MÉDIA ÚMIDA) PARA EMBOÇO/MASSA ÚNICA/ASSENTAMENTO DE ALVENARIA DE VEDAÇÃO, PREPARO MECÂNICO COM MISTURADOR DE EIXO HORIZONTAL DE 600 KG. AF_08/2019</v>
          </cell>
          <cell r="C6260" t="str">
            <v>M3</v>
          </cell>
          <cell r="D6260">
            <v>399.04</v>
          </cell>
        </row>
        <row r="6261">
          <cell r="A6261" t="str">
            <v>87339</v>
          </cell>
          <cell r="B6261" t="str">
            <v>ARGAMASSA TRAÇO 1:3 (EM VOLUME DE CIMENTO E AREIA MÉDIA ÚMIDA) PARA CONTRAPISO, PREPARO MECÂNICO COM MISTURADOR DE EIXO HORIZONTAL DE 160 KG. AF_08/2019</v>
          </cell>
          <cell r="C6261" t="str">
            <v>M3</v>
          </cell>
          <cell r="D6261">
            <v>617.85</v>
          </cell>
        </row>
        <row r="6262">
          <cell r="A6262" t="str">
            <v>87340</v>
          </cell>
          <cell r="B6262" t="str">
            <v>ARGAMASSA TRAÇO 1:3 (EM VOLUME DE CIMENTO E AREIA MÉDIA ÚMIDA) PARA CONTRAPISO, PREPARO MECÂNICO COM MISTURADOR DE EIXO HORIZONTAL DE 300 KG. AF_08/2019</v>
          </cell>
          <cell r="C6262" t="str">
            <v>M3</v>
          </cell>
          <cell r="D6262">
            <v>489.67</v>
          </cell>
        </row>
        <row r="6263">
          <cell r="A6263" t="str">
            <v>87341</v>
          </cell>
          <cell r="B6263" t="str">
            <v>ARGAMASSA TRAÇO 1:3 (EM VOLUME DE CIMENTO E AREIA MÉDIA ÚMIDA) PARA CONTRAPISO, PREPARO MECÂNICO COM MISTURADOR DE EIXO HORIZONTAL DE 600 KG. AF_08/2019</v>
          </cell>
          <cell r="C6263" t="str">
            <v>M3</v>
          </cell>
          <cell r="D6263">
            <v>455.05</v>
          </cell>
        </row>
        <row r="6264">
          <cell r="A6264" t="str">
            <v>87342</v>
          </cell>
          <cell r="B6264" t="str">
            <v>ARGAMASSA TRAÇO 1:4 (EM VOLUME DE CIMENTO E AREIA MÉDIA ÚMIDA) PARA CONTRAPISO, PREPARO MECÂNICO COM MISTURADOR DE EIXO HORIZONTAL DE 160 KG. AF_08/2019</v>
          </cell>
          <cell r="C6264" t="str">
            <v>M3</v>
          </cell>
          <cell r="D6264">
            <v>513.52</v>
          </cell>
        </row>
        <row r="6265">
          <cell r="A6265" t="str">
            <v>87343</v>
          </cell>
          <cell r="B6265" t="str">
            <v>ARGAMASSA TRAÇO 1:4 (EM VOLUME DE CIMENTO E AREIA MÉDIA ÚMIDA) PARA CONTRAPISO, PREPARO MECÂNICO COM MISTURADOR DE EIXO HORIZONTAL DE 300 KG. AF_08/2019</v>
          </cell>
          <cell r="C6265" t="str">
            <v>M3</v>
          </cell>
          <cell r="D6265">
            <v>441.12</v>
          </cell>
        </row>
        <row r="6266">
          <cell r="A6266" t="str">
            <v>87344</v>
          </cell>
          <cell r="B6266" t="str">
            <v>ARGAMASSA TRAÇO 1:4 (EM VOLUME DE CIMENTO E AREIA MÉDIA ÚMIDA) PARA CONTRAPISO, PREPARO MECÂNICO COM MISTURADOR DE EIXO HORIZONTAL DE 600 KG. AF_08/2019</v>
          </cell>
          <cell r="C6266" t="str">
            <v>M3</v>
          </cell>
          <cell r="D6266">
            <v>397.82</v>
          </cell>
        </row>
        <row r="6267">
          <cell r="A6267" t="str">
            <v>87345</v>
          </cell>
          <cell r="B6267" t="str">
            <v>ARGAMASSA TRAÇO 1:5 (EM VOLUME DE CIMENTO E AREIA MÉDIA ÚMIDA) PARA CONTRAPISO, PREPARO MECÂNICO COM MISTURADOR DE EIXO HORIZONTAL DE 160 KG. AF_08/2019</v>
          </cell>
          <cell r="C6267" t="str">
            <v>M3</v>
          </cell>
          <cell r="D6267">
            <v>453.65</v>
          </cell>
        </row>
        <row r="6268">
          <cell r="A6268" t="str">
            <v>87346</v>
          </cell>
          <cell r="B6268" t="str">
            <v>ARGAMASSA TRAÇO 1:5 (EM VOLUME DE CIMENTO E AREIA MÉDIA ÚMIDA) PARA CONTRAPISO, PREPARO MECÂNICO COM MISTURADOR DE EIXO HORIZONTAL DE 300 KG. AF_08/2019</v>
          </cell>
          <cell r="C6268" t="str">
            <v>M3</v>
          </cell>
          <cell r="D6268">
            <v>393.7</v>
          </cell>
        </row>
        <row r="6269">
          <cell r="A6269" t="str">
            <v>87347</v>
          </cell>
          <cell r="B6269" t="str">
            <v>ARGAMASSA TRAÇO 1:5 (EM VOLUME DE CIMENTO E AREIA MÉDIA ÚMIDA) PARA CONTRAPISO, PREPARO MECÂNICO COM MISTURADOR DE EIXO HORIZONTAL DE 600 KG. AF_08/2019</v>
          </cell>
          <cell r="C6269" t="str">
            <v>M3</v>
          </cell>
          <cell r="D6269">
            <v>358.95</v>
          </cell>
        </row>
        <row r="6270">
          <cell r="A6270" t="str">
            <v>87348</v>
          </cell>
          <cell r="B6270" t="str">
            <v>ARGAMASSA TRAÇO 1:6 (EM VOLUME DE CIMENTO E AREIA MÉDIA ÚMIDA) PARA CONTRAPISO, PREPARO MECÂNICO COM MISTURADOR DE EIXO HORIZONTAL DE 160 KG. AF_08/2019</v>
          </cell>
          <cell r="C6270" t="str">
            <v>M3</v>
          </cell>
          <cell r="D6270">
            <v>408.42</v>
          </cell>
        </row>
        <row r="6271">
          <cell r="A6271" t="str">
            <v>87349</v>
          </cell>
          <cell r="B6271" t="str">
            <v>ARGAMASSA TRAÇO 1:6 (EM VOLUME DE CIMENTO E AREIA MÉDIA ÚMIDA) PARA CONTRAPISO, PREPARO MECÂNICO COM MISTURADOR DE EIXO HORIZONTAL DE 600 KG. AF_08/2019</v>
          </cell>
          <cell r="C6271" t="str">
            <v>M3</v>
          </cell>
          <cell r="D6271">
            <v>326.76</v>
          </cell>
        </row>
        <row r="6272">
          <cell r="A6272" t="str">
            <v>87350</v>
          </cell>
          <cell r="B6272" t="str">
            <v>ARGAMASSA TRAÇO 1:5 (EM VOLUME DE CIMENTO E AREIA GROSSA ÚMIDA) PARA CHAPISCO CONVENCIONAL, PREPARO MECÂNICO COM MISTURADOR DE EIXO HORIZONTAL DE 300 KG. AF_08/2019</v>
          </cell>
          <cell r="C6272" t="str">
            <v>M3</v>
          </cell>
          <cell r="D6272">
            <v>378.47</v>
          </cell>
        </row>
        <row r="6273">
          <cell r="A6273" t="str">
            <v>87351</v>
          </cell>
          <cell r="B6273" t="str">
            <v>ARGAMASSA TRAÇO 1:5 (EM VOLUME DE CIMENTO E AREIA GROSSA ÚMIDA) PARA CHAPISCO CONVENCIONAL, PREPARO MECÂNICO COM MISTURADOR DE EIXO HORIZONTAL DE 600 KG. AF_08/2019</v>
          </cell>
          <cell r="C6273" t="str">
            <v>M3</v>
          </cell>
          <cell r="D6273">
            <v>302.27</v>
          </cell>
        </row>
        <row r="6274">
          <cell r="A6274" t="str">
            <v>87352</v>
          </cell>
          <cell r="B6274" t="str">
            <v>ARGAMASSA TRAÇO 1:3 (EM VOLUME DE CIMENTO E AREIA GROSSA ÚMIDA) PARA CHAPISCO CONVENCIONAL, PREPARO MECÂNICO COM MISTURADOR DE EIXO HORIZONTAL DE 160 KG. AF_08/2019</v>
          </cell>
          <cell r="C6274" t="str">
            <v>M3</v>
          </cell>
          <cell r="D6274">
            <v>486.53</v>
          </cell>
        </row>
        <row r="6275">
          <cell r="A6275" t="str">
            <v>87353</v>
          </cell>
          <cell r="B6275" t="str">
            <v>ARGAMASSA TRAÇO 1:3 (EM VOLUME DE CIMENTO E AREIA GROSSA ÚMIDA) PARA CHAPISCO CONVENCIONAL, PREPARO MECÂNICO COM MISTURADOR DE EIXO HORIZONTAL DE 300 KG. AF_08/2019</v>
          </cell>
          <cell r="C6275" t="str">
            <v>M3</v>
          </cell>
          <cell r="D6275">
            <v>408.2</v>
          </cell>
        </row>
        <row r="6276">
          <cell r="A6276" t="str">
            <v>87354</v>
          </cell>
          <cell r="B6276" t="str">
            <v>ARGAMASSA TRAÇO 1:3 (EM VOLUME DE CIMENTO E AREIA GROSSA ÚMIDA) PARA CHAPISCO CONVENCIONAL, PREPARO MECÂNICO COM MISTURADOR DE EIXO HORIZONTAL DE 600 KG. AF_08/2019</v>
          </cell>
          <cell r="C6276" t="str">
            <v>M3</v>
          </cell>
          <cell r="D6276">
            <v>369.71</v>
          </cell>
        </row>
        <row r="6277">
          <cell r="A6277" t="str">
            <v>87355</v>
          </cell>
          <cell r="B6277" t="str">
            <v>ARGAMASSA TRAÇO 1:4 (EM VOLUME DE CIMENTO E AREIA GROSSA ÚMIDA) PARA CHAPISCO CONVENCIONAL, PREPARO MECÂNICO COM MISTURADOR DE EIXO HORIZONTAL DE 160 KG. AF_08/2019</v>
          </cell>
          <cell r="C6277" t="str">
            <v>M3</v>
          </cell>
          <cell r="D6277">
            <v>406.86</v>
          </cell>
        </row>
        <row r="6278">
          <cell r="A6278" t="str">
            <v>87356</v>
          </cell>
          <cell r="B6278" t="str">
            <v>ARGAMASSA TRAÇO 1:4 (EM VOLUME DE CIMENTO E AREIA GROSSA ÚMIDA) PARA CHAPISCO CONVENCIONAL, PREPARO MECÂNICO COM MISTURADOR DE EIXO HORIZONTAL DE 300 KG. AF_08/2019</v>
          </cell>
          <cell r="C6278" t="str">
            <v>M3</v>
          </cell>
          <cell r="D6278">
            <v>353.34</v>
          </cell>
        </row>
        <row r="6279">
          <cell r="A6279" t="str">
            <v>87357</v>
          </cell>
          <cell r="B6279" t="str">
            <v>ARGAMASSA TRAÇO 1:4 (EM VOLUME DE CIMENTO E AREIA GROSSA ÚMIDA) PARA CHAPISCO CONVENCIONAL, PREPARO MECÂNICO COM MISTURADOR DE EIXO HORIZONTAL DE 600 KG. AF_08/2019</v>
          </cell>
          <cell r="C6279" t="str">
            <v>M3</v>
          </cell>
          <cell r="D6279">
            <v>325.22000000000003</v>
          </cell>
        </row>
        <row r="6280">
          <cell r="A6280" t="str">
            <v>87358</v>
          </cell>
          <cell r="B6280" t="str">
            <v>ARGAMASSA TRAÇO 1:5 (EM VOLUME DE CIMENTO E AREIA GROSSA ÚMIDA) COM ADIÇÃO DE EMULSÃO POLIMÉRICA PARA CHAPISCO ROLADO, PREPARO MECÂNICO COM MISTURADOR DE EIXO HORIZONTAL DE 300 KG. AF_08/2019</v>
          </cell>
          <cell r="C6280" t="str">
            <v>M3</v>
          </cell>
          <cell r="D6280">
            <v>2595.4699999999998</v>
          </cell>
        </row>
        <row r="6281">
          <cell r="A6281" t="str">
            <v>87359</v>
          </cell>
          <cell r="B6281" t="str">
            <v>ARGAMASSA TRAÇO 1:5 (EM VOLUME DE CIMENTO E AREIA GROSSA ÚMIDA) COM ADIÇÃO DE EMULSÃO POLIMÉRICA PARA CHAPISCO ROLADO, PREPARO MECÂNICO COM MISTURADOR DE EIXO HORIZONTAL DE 600 KG. AF_08/2019</v>
          </cell>
          <cell r="C6281" t="str">
            <v>M3</v>
          </cell>
          <cell r="D6281">
            <v>2560.73</v>
          </cell>
        </row>
        <row r="6282">
          <cell r="A6282" t="str">
            <v>87360</v>
          </cell>
          <cell r="B6282" t="str">
            <v>ARGAMASSA TRAÇO 1:3 (EM VOLUME DE CIMENTO E AREIA GROSSA ÚMIDA) COM ADIÇÃO DE EMULSÃO POLIMÉRICA PARA CHAPISCO ROLADO, PREPARO MECÂNICO COM MISTURADOR DE EIXO HORIZONTAL DE 160 KG. AF_08/2019</v>
          </cell>
          <cell r="C6282" t="str">
            <v>M3</v>
          </cell>
          <cell r="D6282">
            <v>2685.84</v>
          </cell>
        </row>
        <row r="6283">
          <cell r="A6283" t="str">
            <v>87361</v>
          </cell>
          <cell r="B6283" t="str">
            <v>ARGAMASSA TRAÇO 1:3 (EM VOLUME DE CIMENTO E AREIA GROSSA ÚMIDA) COM ADIÇÃO DE EMULSÃO POLIMÉRICA PARA CHAPISCO ROLADO, PREPARO MECÂNICO COM MISTURADOR DE EIXO HORIZONTAL DE 300 KG. AF_08/2019</v>
          </cell>
          <cell r="C6283" t="str">
            <v>M3</v>
          </cell>
          <cell r="D6283">
            <v>2635.73</v>
          </cell>
        </row>
        <row r="6284">
          <cell r="A6284" t="str">
            <v>87362</v>
          </cell>
          <cell r="B6284" t="str">
            <v>ARGAMASSA TRAÇO 1:3 (EM VOLUME DE CIMENTO E AREIA GROSSA ÚMIDA) COM ADIÇÃO DE EMULSÃO POLIMÉRICA PARA CHAPISCO ROLADO, PREPARO MECÂNICO COM MISTURADOR DE EIXO HORIZONTAL DE 600 KG. AF_08/2019</v>
          </cell>
          <cell r="C6284" t="str">
            <v>M3</v>
          </cell>
          <cell r="D6284">
            <v>2625.83</v>
          </cell>
        </row>
        <row r="6285">
          <cell r="A6285" t="str">
            <v>87363</v>
          </cell>
          <cell r="B6285" t="str">
            <v>ARGAMASSA TRAÇO 1:4 (EM VOLUME DE CIMENTO E AREIA GROSSA ÚMIDA) COM ADIÇÃO DE EMULSÃO POLIMÉRICA PARA CHAPISCO ROLADO, PREPARO MECÂNICO COM MISTURADOR DE EIXO HORIZONTAL DE 300 KG. AF_08/2019</v>
          </cell>
          <cell r="C6285" t="str">
            <v>M3</v>
          </cell>
          <cell r="D6285">
            <v>2627.29</v>
          </cell>
        </row>
        <row r="6286">
          <cell r="A6286" t="str">
            <v>87364</v>
          </cell>
          <cell r="B6286" t="str">
            <v>ARGAMASSA TRAÇO 1:4 (EM VOLUME DE CIMENTO E AREIA GROSSA ÚMIDA) COM ADIÇÃO DE EMULSÃO POLIMÉRICA PARA CHAPISCO ROLADO, PREPARO MECÂNICO COM MISTURADOR DE EIXO HORIZONTAL DE 600 KG. AF_08/2019</v>
          </cell>
          <cell r="C6286" t="str">
            <v>M3</v>
          </cell>
          <cell r="D6286">
            <v>2586.9</v>
          </cell>
        </row>
        <row r="6287">
          <cell r="A6287" t="str">
            <v>87365</v>
          </cell>
          <cell r="B6287" t="str">
            <v>ARGAMASSA TRAÇO 1:7 (EM VOLUME DE CIMENTO E AREIA MÉDIA ÚMIDA) COM ADIÇÃO DE PLASTIFICANTE PARA EMBOÇO/MASSA ÚNICA/ASSENTAMENTO DE ALVENARIA DE VEDAÇÃO, PREPARO MANUAL. AF_08/2019</v>
          </cell>
          <cell r="C6287" t="str">
            <v>M3</v>
          </cell>
          <cell r="D6287">
            <v>394.06</v>
          </cell>
        </row>
        <row r="6288">
          <cell r="A6288" t="str">
            <v>87366</v>
          </cell>
          <cell r="B6288" t="str">
            <v>ARGAMASSA TRAÇO 1:6 (EM VOLUME DE CIMENTO E AREIA MÉDIA ÚMIDA) COM ADIÇÃO DE PLASTIFICANTE PARA EMBOÇO/MASSA ÚNICA/ASSENTAMENTO DE ALVENARIA DE VEDAÇÃO, PREPARO MANUAL. AF_08/2019</v>
          </cell>
          <cell r="C6288" t="str">
            <v>M3</v>
          </cell>
          <cell r="D6288">
            <v>418.51</v>
          </cell>
        </row>
        <row r="6289">
          <cell r="A6289" t="str">
            <v>87367</v>
          </cell>
          <cell r="B6289" t="str">
            <v>ARGAMASSA TRAÇO 1:1:6 (EM VOLUME DE CIMENTO, CAL E AREIA MÉDIA ÚMIDA) PARA EMBOÇO/MASSA ÚNICA/ASSENTAMENTO DE ALVENARIA DE VEDAÇÃO, PREPARO MANUAL. AF_08/2019</v>
          </cell>
          <cell r="C6289" t="str">
            <v>M3</v>
          </cell>
          <cell r="D6289">
            <v>515.41999999999996</v>
          </cell>
        </row>
        <row r="6290">
          <cell r="A6290" t="str">
            <v>87368</v>
          </cell>
          <cell r="B6290" t="str">
            <v>ARGAMASSA TRAÇO 1:1,5:7,5 (EM VOLUME DE CIMENTO, CAL E AREIA MÉDIA ÚMIDA) PARA EMBOÇO/MASSA ÚNICA/ASSENTAMENTO DE ALVENARIA DE VEDAÇÃO, PREPARO MANUAL. AF_08/2019</v>
          </cell>
          <cell r="C6290" t="str">
            <v>M3</v>
          </cell>
          <cell r="D6290">
            <v>507.49</v>
          </cell>
        </row>
        <row r="6291">
          <cell r="A6291" t="str">
            <v>87369</v>
          </cell>
          <cell r="B6291" t="str">
            <v>ARGAMASSA TRAÇO 1:2:8 (EM VOLUME DE CIMENTO, CAL E AREIA MÉDIA ÚMIDA) PARA EMBOÇO/MASSA ÚNICA/ASSENTAMENTO DE ALVENARIA DE VEDAÇÃO, PREPARO MANUAL. AF_08/2019</v>
          </cell>
          <cell r="C6291" t="str">
            <v>M3</v>
          </cell>
          <cell r="D6291">
            <v>524.62</v>
          </cell>
        </row>
        <row r="6292">
          <cell r="A6292" t="str">
            <v>87370</v>
          </cell>
          <cell r="B6292" t="str">
            <v>ARGAMASSA TRAÇO 1:2:9 (EM VOLUME DE CIMENTO, CAL E AREIA MÉDIA ÚMIDA) PARA EMBOÇO/MASSA ÚNICA/ASSENTAMENTO DE ALVENARIA DE VEDAÇÃO, PREPARO MANUAL. AF_08/2019</v>
          </cell>
          <cell r="C6292" t="str">
            <v>M3</v>
          </cell>
          <cell r="D6292">
            <v>502.93</v>
          </cell>
        </row>
        <row r="6293">
          <cell r="A6293" t="str">
            <v>87371</v>
          </cell>
          <cell r="B6293" t="str">
            <v>ARGAMASSA TRAÇO 1:3:12 (EM VOLUME DE CIMENTO, CAL E AREIA MÉDIA ÚMIDA) PARA EMBOÇO/MASSA ÚNICA/ASSENTAMENTO DE ALVENARIA DE VEDAÇÃO, PREPARO MANUAL. AF_08/2019</v>
          </cell>
          <cell r="C6293" t="str">
            <v>M3</v>
          </cell>
          <cell r="D6293">
            <v>495.66</v>
          </cell>
        </row>
        <row r="6294">
          <cell r="A6294" t="str">
            <v>87372</v>
          </cell>
          <cell r="B6294" t="str">
            <v>ARGAMASSA TRAÇO 1:3 (EM VOLUME DE CIMENTO E AREIA MÉDIA ÚMIDA) PARA CONTRAPISO, PREPARO MANUAL. AF_08/2019</v>
          </cell>
          <cell r="C6294" t="str">
            <v>M3</v>
          </cell>
          <cell r="D6294">
            <v>588.47</v>
          </cell>
        </row>
        <row r="6295">
          <cell r="A6295" t="str">
            <v>87373</v>
          </cell>
          <cell r="B6295" t="str">
            <v>ARGAMASSA TRAÇO 1:4 (EM VOLUME DE CIMENTO E AREIA MÉDIA ÚMIDA) PARA CONTRAPISO, PREPARO MANUAL. AF_08/2019</v>
          </cell>
          <cell r="C6295" t="str">
            <v>M3</v>
          </cell>
          <cell r="D6295">
            <v>519.42999999999995</v>
          </cell>
        </row>
        <row r="6296">
          <cell r="A6296" t="str">
            <v>87374</v>
          </cell>
          <cell r="B6296" t="str">
            <v>ARGAMASSA TRAÇO 1:5 (EM VOLUME DE CIMENTO E AREIA MÉDIA ÚMIDA) PARA CONTRAPISO, PREPARO MANUAL. AF_08/2019</v>
          </cell>
          <cell r="C6296" t="str">
            <v>M3</v>
          </cell>
          <cell r="D6296">
            <v>481.58</v>
          </cell>
        </row>
        <row r="6297">
          <cell r="A6297" t="str">
            <v>87375</v>
          </cell>
          <cell r="B6297" t="str">
            <v>ARGAMASSA TRAÇO 1:6 (EM VOLUME DE CIMENTO E AREIA MÉDIA ÚMIDA) PARA CONTRAPISO, PREPARO MANUAL. AF_08/2019</v>
          </cell>
          <cell r="C6297" t="str">
            <v>M3</v>
          </cell>
          <cell r="D6297">
            <v>457.35</v>
          </cell>
        </row>
        <row r="6298">
          <cell r="A6298" t="str">
            <v>87376</v>
          </cell>
          <cell r="B6298" t="str">
            <v>ARGAMASSA TRAÇO 1:5 (EM VOLUME DE CIMENTO E AREIA GROSSA ÚMIDA) PARA CHAPISCO CONVENCIONAL, PREPARO MANUAL. AF_08/2019</v>
          </cell>
          <cell r="C6298" t="str">
            <v>M3</v>
          </cell>
          <cell r="D6298">
            <v>421.61</v>
          </cell>
        </row>
        <row r="6299">
          <cell r="A6299" t="str">
            <v>87377</v>
          </cell>
          <cell r="B6299" t="str">
            <v>ARGAMASSA TRAÇO 1:3 (EM VOLUME DE CIMENTO E AREIA GROSSA ÚMIDA) PARA CHAPISCO CONVENCIONAL, PREPARO MANUAL. AF_08/2019</v>
          </cell>
          <cell r="C6299" t="str">
            <v>M3</v>
          </cell>
          <cell r="D6299">
            <v>496.86</v>
          </cell>
        </row>
        <row r="6300">
          <cell r="A6300" t="str">
            <v>87378</v>
          </cell>
          <cell r="B6300" t="str">
            <v>ARGAMASSA TRAÇO 1:4 (EM VOLUME DE CIMENTO E AREIA GROSSA ÚMIDA) PARA CHAPISCO CONVENCIONAL, PREPARO MANUAL. AF_08/2019</v>
          </cell>
          <cell r="C6300" t="str">
            <v>M3</v>
          </cell>
          <cell r="D6300">
            <v>447.68</v>
          </cell>
        </row>
        <row r="6301">
          <cell r="A6301" t="str">
            <v>87379</v>
          </cell>
          <cell r="B6301" t="str">
            <v>ARGAMASSA TRAÇO 1:5 (EM VOLUME DE CIMENTO E AREIA GROSSA ÚMIDA) COM ADIÇÃO DE EMULSÃO POLIMÉRICA PARA CHAPISCO ROLADO, PREPARO MANUAL. AF_08/2019</v>
          </cell>
          <cell r="C6301" t="str">
            <v>M3</v>
          </cell>
          <cell r="D6301">
            <v>2692.06</v>
          </cell>
        </row>
        <row r="6302">
          <cell r="A6302" t="str">
            <v>87380</v>
          </cell>
          <cell r="B6302" t="str">
            <v>ARGAMASSA TRAÇO 1:3 (EM VOLUME DE CIMENTO E AREIA GROSSA ÚMIDA) COM ADIÇÃO DE EMULSÃO POLIMÉRICA PARA CHAPISCO ROLADO, PREPARO MANUAL. AF_08/2019</v>
          </cell>
          <cell r="C6302" t="str">
            <v>M3</v>
          </cell>
          <cell r="D6302">
            <v>2764.67</v>
          </cell>
        </row>
        <row r="6303">
          <cell r="A6303" t="str">
            <v>87381</v>
          </cell>
          <cell r="B6303" t="str">
            <v>ARGAMASSA TRAÇO 1:4 (EM VOLUME DE CIMENTO E AREIA GROSSA ÚMIDA) COM ADIÇÃO DE EMULSÃO POLIMÉRICA PARA CHAPISCO ROLADO, PREPARO MANUAL. AF_08/2019</v>
          </cell>
          <cell r="C6303" t="str">
            <v>M3</v>
          </cell>
          <cell r="D6303">
            <v>2716.93</v>
          </cell>
        </row>
        <row r="6304">
          <cell r="A6304" t="str">
            <v>87382</v>
          </cell>
          <cell r="B6304" t="str">
            <v>ARGAMASSA INDUSTRIALIZADA MULTIUSO PARA REVESTIMENTOS E ASSENTAMENTO DA ALVENARIA, PREPARO COM MISTURADOR DE EIXO HORIZONTAL DE 160 KG. AF_08/2019</v>
          </cell>
          <cell r="C6304" t="str">
            <v>M3</v>
          </cell>
          <cell r="D6304">
            <v>1192.5999999999999</v>
          </cell>
        </row>
        <row r="6305">
          <cell r="A6305" t="str">
            <v>87383</v>
          </cell>
          <cell r="B6305" t="str">
            <v>ARGAMASSA INDUSTRIALIZADA MULTIUSO PARA REVESTIMENTOS E ASSENTAMENTO DA ALVENARIA, PREPARO COM MISTURADOR DE EIXO HORIZONTAL DE 300 KG. AF_08/2019</v>
          </cell>
          <cell r="C6305" t="str">
            <v>M3</v>
          </cell>
          <cell r="D6305">
            <v>1181.73</v>
          </cell>
        </row>
        <row r="6306">
          <cell r="A6306" t="str">
            <v>87384</v>
          </cell>
          <cell r="B6306" t="str">
            <v>ARGAMASSA INDUSTRIALIZADA MULTIUSO PARA REVESTIMENTOS E ASSENTAMENTO DA ALVENARIA, PREPARO COM MISTURADOR DE EIXO HORIZONTAL DE 600 KG. AF_08/2019</v>
          </cell>
          <cell r="C6306" t="str">
            <v>M3</v>
          </cell>
          <cell r="D6306">
            <v>1166.8399999999999</v>
          </cell>
        </row>
        <row r="6307">
          <cell r="A6307" t="str">
            <v>87385</v>
          </cell>
          <cell r="B6307" t="str">
            <v>ARGAMASSA PRONTA PARA CONTRAPISO, PREPARO COM MISTURADOR DE EIXO HORIZONTAL DE 160 KG. AF_08/2019</v>
          </cell>
          <cell r="C6307" t="str">
            <v>M3</v>
          </cell>
          <cell r="D6307">
            <v>1389.69</v>
          </cell>
        </row>
        <row r="6308">
          <cell r="A6308" t="str">
            <v>87386</v>
          </cell>
          <cell r="B6308" t="str">
            <v>ARGAMASSA PRONTA PARA CONTRAPISO, PREPARO COM MISTURADOR DE EIXO HORIZONTAL DE 300 KG. AF_08/2019</v>
          </cell>
          <cell r="C6308" t="str">
            <v>M3</v>
          </cell>
          <cell r="D6308">
            <v>1372.58</v>
          </cell>
        </row>
        <row r="6309">
          <cell r="A6309" t="str">
            <v>87387</v>
          </cell>
          <cell r="B6309" t="str">
            <v>ARGAMASSA PRONTA PARA CONTRAPISO, PREPARO COM MISTURADOR DE EIXO HORIZONTAL DE 600 KG. AF_08/2019</v>
          </cell>
          <cell r="C6309" t="str">
            <v>M3</v>
          </cell>
          <cell r="D6309">
            <v>1358.07</v>
          </cell>
        </row>
        <row r="6310">
          <cell r="A6310" t="str">
            <v>87388</v>
          </cell>
          <cell r="B6310" t="str">
            <v>ARGAMASSA PARA REVESTIMENTO DECORATIVO MONOCAMADA (MONOCAPA), PREPARO COM MISTURADOR DE EIXO HORIZONTAL DE 160 KG. AF_08/2019</v>
          </cell>
          <cell r="C6310" t="str">
            <v>M3</v>
          </cell>
          <cell r="D6310">
            <v>3235.34</v>
          </cell>
        </row>
        <row r="6311">
          <cell r="A6311" t="str">
            <v>87389</v>
          </cell>
          <cell r="B6311" t="str">
            <v>ARGAMASSA PARA REVESTIMENTO DECORATIVO MONOCAMADA (MONOCAPA), PREPARO COM MISTURADOR DE EIXO HORIZONTAL DE 300 KG. AF_08/2019</v>
          </cell>
          <cell r="C6311" t="str">
            <v>M3</v>
          </cell>
          <cell r="D6311">
            <v>3238.41</v>
          </cell>
        </row>
        <row r="6312">
          <cell r="A6312" t="str">
            <v>87390</v>
          </cell>
          <cell r="B6312" t="str">
            <v>ARGAMASSA PARA REVESTIMENTO DECORATIVO MONOCAMADA (MONOCAPA), PREPARO COM MISTURADOR DE EIXO HORIZONTAL DE 600 KG. AF_08/2019</v>
          </cell>
          <cell r="C6312" t="str">
            <v>M3</v>
          </cell>
          <cell r="D6312">
            <v>3244.91</v>
          </cell>
        </row>
        <row r="6313">
          <cell r="A6313" t="str">
            <v>87391</v>
          </cell>
          <cell r="B6313" t="str">
            <v>ARGAMASSA INDUSTRIALIZADA PARA CHAPISCO ROLADO, PREPARO COM MISTURADOR DE EIXO HORIZONTAL DE 160 KG. AF_08/2019</v>
          </cell>
          <cell r="C6313" t="str">
            <v>M3</v>
          </cell>
          <cell r="D6313">
            <v>3600.21</v>
          </cell>
        </row>
        <row r="6314">
          <cell r="A6314" t="str">
            <v>87393</v>
          </cell>
          <cell r="B6314" t="str">
            <v>ARGAMASSA INDUSTRIALIZADA PARA CHAPISCO ROLADO, PREPARO COM MISTURADOR DE EIXO HORIZONTAL DE 300 KG. AF_08/2019</v>
          </cell>
          <cell r="C6314" t="str">
            <v>M3</v>
          </cell>
          <cell r="D6314">
            <v>3621.84</v>
          </cell>
        </row>
        <row r="6315">
          <cell r="A6315" t="str">
            <v>87394</v>
          </cell>
          <cell r="B6315" t="str">
            <v>ARGAMASSA INDUSTRIALIZADA PARA CHAPISCO ROLADO, PREPARO COM MISTURADOR DE EIXO HORIZONTAL DE 600 KG. AF_08/2019</v>
          </cell>
          <cell r="C6315" t="str">
            <v>M3</v>
          </cell>
          <cell r="D6315">
            <v>3641.3</v>
          </cell>
        </row>
        <row r="6316">
          <cell r="A6316" t="str">
            <v>87395</v>
          </cell>
          <cell r="B6316" t="str">
            <v>ARGAMASSA INDUSTRIALIZADA PARA CHAPISCO COLANTE, PREPARO COM MISTURADOR DE EIXO HORIZONTAL DE 160 KG. AF_08/2019</v>
          </cell>
          <cell r="C6316" t="str">
            <v>M3</v>
          </cell>
          <cell r="D6316">
            <v>2290.38</v>
          </cell>
        </row>
        <row r="6317">
          <cell r="A6317" t="str">
            <v>87396</v>
          </cell>
          <cell r="B6317" t="str">
            <v>ARGAMASSA INDUSTRIALIZADA PARA CHAPISCO COLANTE, PREPARO COM MISTURADOR DE EIXO HORIZONTAL DE 300 KG. AF_08/2019</v>
          </cell>
          <cell r="C6317" t="str">
            <v>M3</v>
          </cell>
          <cell r="D6317">
            <v>2294.42</v>
          </cell>
        </row>
        <row r="6318">
          <cell r="A6318" t="str">
            <v>87397</v>
          </cell>
          <cell r="B6318" t="str">
            <v>ARGAMASSA INDUSTRIALIZADA PARA CHAPISCO COLANTE, PREPARO COM MISTURADOR DE EIXO HORIZONTAL DE 600 KG. AF_08/2019</v>
          </cell>
          <cell r="C6318" t="str">
            <v>M3</v>
          </cell>
          <cell r="D6318">
            <v>2297.08</v>
          </cell>
        </row>
        <row r="6319">
          <cell r="A6319" t="str">
            <v>87398</v>
          </cell>
          <cell r="B6319" t="str">
            <v>ARGAMASSA INDUSTRIALIZADA MULTIUSO PARA REVESTIMENTOS E ASSENTAMENTO DA ALVENARIA, PREPARO MANUAL. AF_08/2019</v>
          </cell>
          <cell r="C6319" t="str">
            <v>M3</v>
          </cell>
          <cell r="D6319">
            <v>1343.1</v>
          </cell>
        </row>
        <row r="6320">
          <cell r="A6320" t="str">
            <v>87399</v>
          </cell>
          <cell r="B6320" t="str">
            <v>ARGAMASSA PRONTA PARA CONTRAPISO, PREPARO MANUAL. AF_08/2019</v>
          </cell>
          <cell r="C6320" t="str">
            <v>M3</v>
          </cell>
          <cell r="D6320">
            <v>1538.62</v>
          </cell>
        </row>
        <row r="6321">
          <cell r="A6321" t="str">
            <v>87401</v>
          </cell>
          <cell r="B6321" t="str">
            <v>ARGAMASSA INDUSTRIALIZADA PARA CHAPISCO ROLADO, PREPARO MANUAL. AF_08/2019</v>
          </cell>
          <cell r="C6321" t="str">
            <v>M3</v>
          </cell>
          <cell r="D6321">
            <v>3816.92</v>
          </cell>
        </row>
        <row r="6322">
          <cell r="A6322" t="str">
            <v>87402</v>
          </cell>
          <cell r="B6322" t="str">
            <v>ARGAMASSA INDUSTRIALIZADA PARA CHAPISCO COLANTE, PREPARO MANUAL. AF_08/2019</v>
          </cell>
          <cell r="C6322" t="str">
            <v>M3</v>
          </cell>
          <cell r="D6322">
            <v>2480.27</v>
          </cell>
        </row>
        <row r="6323">
          <cell r="A6323" t="str">
            <v>87404</v>
          </cell>
          <cell r="B6323" t="str">
            <v>ARGAMASSA PARA REVESTIMENTO DECORATIVO MONOCAMADA (MONOCAPA), MISTURA E PROJEÇÃO DE 1,5 M3/H DE ARGAMASSA. AF_08/2019</v>
          </cell>
          <cell r="C6323" t="str">
            <v>M3</v>
          </cell>
          <cell r="D6323">
            <v>3388.64</v>
          </cell>
        </row>
        <row r="6324">
          <cell r="A6324" t="str">
            <v>87405</v>
          </cell>
          <cell r="B6324" t="str">
            <v>ARGAMASSA PARA REVESTIMENTO DECORATIVO MONOCAMADA (MONOCAPA), MISTURA E PROJEÇÃO DE 2 M3/H DE ARGAMASSA. AF_06/2014</v>
          </cell>
          <cell r="C6324" t="str">
            <v>M3</v>
          </cell>
          <cell r="D6324">
            <v>3381.74</v>
          </cell>
        </row>
        <row r="6325">
          <cell r="A6325" t="str">
            <v>87407</v>
          </cell>
          <cell r="B6325" t="str">
            <v>ARGAMASSA INDUSTRIALIZADA PARA REVESTIMENTOS, MISTURA E PROJEÇÃO DE 1,5 M³/H DE ARGAMASSA. AF_08/2019</v>
          </cell>
          <cell r="C6325" t="str">
            <v>M3</v>
          </cell>
          <cell r="D6325">
            <v>1222.58</v>
          </cell>
        </row>
        <row r="6326">
          <cell r="A6326" t="str">
            <v>87408</v>
          </cell>
          <cell r="B6326" t="str">
            <v>ARGAMASSA INDUSTRIALIZADA PARA REVESTIMENTOS, MISTURA E PROJEÇÃO DE 2 M³/H DE ARGAMASSA. AF_06/2014</v>
          </cell>
          <cell r="C6326" t="str">
            <v>M3</v>
          </cell>
          <cell r="D6326">
            <v>1204.71</v>
          </cell>
        </row>
        <row r="6327">
          <cell r="A6327" t="str">
            <v>87410</v>
          </cell>
          <cell r="B6327" t="str">
            <v>ARGAMASSA À BASE DE GESSO, MISTURA E PROJEÇÃO DE 1,5 M³/H DE ARGAMASSA. AF_08/2019</v>
          </cell>
          <cell r="C6327" t="str">
            <v>M3</v>
          </cell>
          <cell r="D6327">
            <v>787.17</v>
          </cell>
        </row>
        <row r="6328">
          <cell r="A6328" t="str">
            <v>88626</v>
          </cell>
          <cell r="B6328" t="str">
            <v>ARGAMASSA TRAÇO 1:0,5:4,5 (EM VOLUME DE CIMENTO, CAL E AREIA MÉDIA ÚMIDA), PREPARO MECÂNICO COM BETONEIRA 400 L. AF_08/2019</v>
          </cell>
          <cell r="C6328" t="str">
            <v>M3</v>
          </cell>
          <cell r="D6328">
            <v>406.11</v>
          </cell>
        </row>
        <row r="6329">
          <cell r="A6329" t="str">
            <v>88627</v>
          </cell>
          <cell r="B6329" t="str">
            <v>ARGAMASSA TRAÇO 1:0,5:4,5 (EM VOLUME DE CIMENTO, CAL E AREIA MÉDIA ÚMIDA) PARA ASSENTAMENTO DE ALVENARIA, PREPARO MANUAL. AF_08/2019</v>
          </cell>
          <cell r="C6329" t="str">
            <v>M3</v>
          </cell>
          <cell r="D6329">
            <v>475.12</v>
          </cell>
        </row>
        <row r="6330">
          <cell r="A6330" t="str">
            <v>88628</v>
          </cell>
          <cell r="B6330" t="str">
            <v>ARGAMASSA TRAÇO 1:3 (EM VOLUME DE CIMENTO E AREIA MÉDIA ÚMIDA), PREPARO MECÂNICO COM BETONEIRA 400 L. AF_08/2019</v>
          </cell>
          <cell r="C6330" t="str">
            <v>M3</v>
          </cell>
          <cell r="D6330">
            <v>403.19</v>
          </cell>
        </row>
        <row r="6331">
          <cell r="A6331" t="str">
            <v>88629</v>
          </cell>
          <cell r="B6331" t="str">
            <v>ARGAMASSA TRAÇO 1:3 (EM VOLUME DE CIMENTO E AREIA MÉDIA ÚMIDA), PREPARO MANUAL. AF_08/2019</v>
          </cell>
          <cell r="C6331" t="str">
            <v>M3</v>
          </cell>
          <cell r="D6331">
            <v>478.63</v>
          </cell>
        </row>
        <row r="6332">
          <cell r="A6332" t="str">
            <v>88630</v>
          </cell>
          <cell r="B6332" t="str">
            <v>ARGAMASSA TRAÇO 1:4 (CIMENTO E AREIA MÉDIA), PREPARO MECÂNICO COM BETONEIRA 400 L. AF_08/2014</v>
          </cell>
          <cell r="C6332" t="str">
            <v>M3</v>
          </cell>
          <cell r="D6332">
            <v>335.66</v>
          </cell>
        </row>
        <row r="6333">
          <cell r="A6333" t="str">
            <v>88631</v>
          </cell>
          <cell r="B6333" t="str">
            <v>ARGAMASSA TRAÇO 1:4 (EM VOLUME DE CIMENTO E AREIA MÉDIA ÚMIDA), PREPARO MANUAL. AF_08/2019</v>
          </cell>
          <cell r="C6333" t="str">
            <v>M3</v>
          </cell>
          <cell r="D6333">
            <v>423.91</v>
          </cell>
        </row>
        <row r="6334">
          <cell r="A6334" t="str">
            <v>88715</v>
          </cell>
          <cell r="B6334" t="str">
            <v>ARGAMASSA TRAÇO 1:2:9 (EM VOLUME DE CIMENTO, CAL E AREIA MÉDIA ÚMIDA) PARA EMBOÇO/MASSA ÚNICA/ASSENTAMENTO DE ALVENARIA DE VEDAÇÃO, PREPARO MECÂNICO COM BETONEIRA 400 L. AF_08/2019</v>
          </cell>
          <cell r="C6334" t="str">
            <v>M3</v>
          </cell>
          <cell r="D6334">
            <v>405.3</v>
          </cell>
        </row>
        <row r="6335">
          <cell r="A6335" t="str">
            <v>95563</v>
          </cell>
          <cell r="B6335" t="str">
            <v>ARGAMASSA TRAÇO 1:1,93 (EM VOLUME DE CIMENTO E AREIA MÉDIA ÚMIDA), FCK 20 MPA, PREPARO MECÂNICO COM MISTURADOR DUPLO HORIZONTAL DE ALTA TURBULÊNCIA. AF_03/2020</v>
          </cell>
          <cell r="C6335" t="str">
            <v>M3</v>
          </cell>
          <cell r="D6335">
            <v>614.67999999999995</v>
          </cell>
        </row>
        <row r="6336">
          <cell r="A6336" t="str">
            <v>100464</v>
          </cell>
          <cell r="B6336" t="str">
            <v>ARGAMASSA TRAÇO 1:0,5:4,5  (EM VOLUME DE CIMENTO, CAL E AREIA MÉDIA ÚMIDA), PREPARO MECÂNICO COM MISTURADOR DE EIXO HORIZONTAL DE 160 KG. AF_08/2019</v>
          </cell>
          <cell r="C6336" t="str">
            <v>M3</v>
          </cell>
          <cell r="D6336">
            <v>435.81</v>
          </cell>
        </row>
        <row r="6337">
          <cell r="A6337" t="str">
            <v>100465</v>
          </cell>
          <cell r="B6337" t="str">
            <v>ARGAMASSA TRAÇO 1:0,5:4,5  (EM VOLUME DE CIMENTO, CAL E AREIA MÉDIA ÚMIDA), PREPARO MECÂNICO COM MISTURADOR DE EIXO HORIZONTAL DE 300 KG. AF_08/2019</v>
          </cell>
          <cell r="C6337" t="str">
            <v>M3</v>
          </cell>
          <cell r="D6337">
            <v>395.77</v>
          </cell>
        </row>
        <row r="6338">
          <cell r="A6338" t="str">
            <v>100466</v>
          </cell>
          <cell r="B6338" t="str">
            <v>ARGAMASSA TRAÇO 1:0,5:4,5  (EM VOLUME DE CIMENTO, CAL E AREIA MÉDIA ÚMIDA), PREPARO MECÂNICO COM MISTURADOR DE EIXO HORIZONTAL DE 600 KG. AF_08/2019</v>
          </cell>
          <cell r="C6338" t="str">
            <v>M3</v>
          </cell>
          <cell r="D6338">
            <v>373.27</v>
          </cell>
        </row>
        <row r="6339">
          <cell r="A6339" t="str">
            <v>100468</v>
          </cell>
          <cell r="B6339" t="str">
            <v>ARGAMASSA TRAÇO 1:3 (EM VOLUME DE CIMENTO E AREIA MÉDIA ÚMIDA), PREPARO MECÂNICO COM MISTURADOR DE EIXO HORIZONTAL DE 160 KG. AF_08/2019</v>
          </cell>
          <cell r="C6339" t="str">
            <v>M3</v>
          </cell>
          <cell r="D6339">
            <v>519.30999999999995</v>
          </cell>
        </row>
        <row r="6340">
          <cell r="A6340" t="str">
            <v>100469</v>
          </cell>
          <cell r="B6340" t="str">
            <v>ARGAMASSA TRAÇO 1:3 (EM VOLUME DE CIMENTO E AREIA MÉDIA ÚMIDA), PREPARO MECÂNICO COM MISTURADOR DE EIXO HORIZONTAL DE 300 KG. AF_08/2019</v>
          </cell>
          <cell r="C6340" t="str">
            <v>M3</v>
          </cell>
          <cell r="D6340">
            <v>396.38</v>
          </cell>
        </row>
        <row r="6341">
          <cell r="A6341" t="str">
            <v>100470</v>
          </cell>
          <cell r="B6341" t="str">
            <v>ARGAMASSA TRAÇO 1:3 (EM VOLUME DE CIMENTO E AREIA MÉDIA ÚMIDA), PREPARO MECÂNICO COM MISTURADOR DE EIXO HORIZONTAL DE 600 KG. AF_08/2019</v>
          </cell>
          <cell r="C6341" t="str">
            <v>M3</v>
          </cell>
          <cell r="D6341">
            <v>348.89</v>
          </cell>
        </row>
        <row r="6342">
          <cell r="A6342" t="str">
            <v>100472</v>
          </cell>
          <cell r="B6342" t="str">
            <v>ARGAMASSA TRAÇO 1:4 (EM VOLUME DE CIMENTO E AREIA MÉDIA ÚMIDA), PREPARO MECÂNICO COM MISTURADOR DE EIXO HORIZONTAL DE 160 KG. AF_08/2019</v>
          </cell>
          <cell r="C6342" t="str">
            <v>M3</v>
          </cell>
          <cell r="D6342">
            <v>404.41</v>
          </cell>
        </row>
        <row r="6343">
          <cell r="A6343" t="str">
            <v>100473</v>
          </cell>
          <cell r="B6343" t="str">
            <v>ARGAMASSA TRAÇO 1:4 (EM VOLUME DE CIMENTO E AREIA MÉDIA ÚMIDA), PREPARO MECÂNICO COM MISTURADOR DE EIXO HORIZONTAL DE 300 KG. AF_08/2019</v>
          </cell>
          <cell r="C6343" t="str">
            <v>M3</v>
          </cell>
          <cell r="D6343">
            <v>353.96</v>
          </cell>
        </row>
        <row r="6344">
          <cell r="A6344" t="str">
            <v>100474</v>
          </cell>
          <cell r="B6344" t="str">
            <v>ARGAMASSA TRAÇO 1:4 (EM VOLUME DE CIMENTO E AREIA MÉDIA ÚMIDA), PREPARO MECÂNICO COM MISTURADOR DE EIXO HORIZONTAL DE 600 KG. AF_08/2019</v>
          </cell>
          <cell r="C6344" t="str">
            <v>M3</v>
          </cell>
          <cell r="D6344">
            <v>328.85</v>
          </cell>
        </row>
        <row r="6345">
          <cell r="A6345" t="str">
            <v>100475</v>
          </cell>
          <cell r="B6345" t="str">
            <v>ARGAMASSA TRAÇO 1:3 (EM VOLUME DE CIMENTO E AREIA MÉDIA ÚMIDA) COM ADIÇÃO DE IMPERMEABILIZANTE, PREPARO MECÂNICO COM BETONEIRA 400 L. AF_08/2019</v>
          </cell>
          <cell r="C6345" t="str">
            <v>M3</v>
          </cell>
          <cell r="D6345">
            <v>533.91</v>
          </cell>
        </row>
        <row r="6346">
          <cell r="A6346" t="str">
            <v>100477</v>
          </cell>
          <cell r="B6346" t="str">
            <v>ARGAMASSA TRAÇO 1:3 (EM VOLUME DE CIMENTO E AREIA MÉDIA ÚMIDA) COM ADIÇÃO DE IMPERMEABILIZANTE, PREPARO MECÂNICO COM MISTURADOR DE EIXO HORIZONTAL DE 160 KG. AF_08/2019</v>
          </cell>
          <cell r="C6346" t="str">
            <v>M3</v>
          </cell>
          <cell r="D6346">
            <v>603.02</v>
          </cell>
        </row>
        <row r="6347">
          <cell r="A6347" t="str">
            <v>100478</v>
          </cell>
          <cell r="B6347" t="str">
            <v>ARGAMASSA TRAÇO 1:3 (EM VOLUME DE CIMENTO E AREIA MÉDIA ÚMIDA) COM ADIÇÃO DE IMPERMEABILIZANTE, PREPARO MECÂNICO COM MISTURADOR DE EIXO HORIZONTAL DE 300 KG. AF_08/2019</v>
          </cell>
          <cell r="C6347" t="str">
            <v>M3</v>
          </cell>
          <cell r="D6347">
            <v>524.12</v>
          </cell>
        </row>
        <row r="6348">
          <cell r="A6348" t="str">
            <v>100479</v>
          </cell>
          <cell r="B6348" t="str">
            <v>ARGAMASSA TRAÇO 1:3 (EM VOLUME DE CIMENTO E AREIA MÉDIA ÚMIDA) COM ADIÇÃO DE IMPERMEABILIZANTE, PREPARO MECÂNICO COM MISTURADOR DE EIXO HORIZONTAL DE 600 KG. AF_08/2019</v>
          </cell>
          <cell r="C6348" t="str">
            <v>M3</v>
          </cell>
          <cell r="D6348">
            <v>504.61</v>
          </cell>
        </row>
        <row r="6349">
          <cell r="A6349" t="str">
            <v>100480</v>
          </cell>
          <cell r="B6349" t="str">
            <v>ARGAMASSA TRAÇO 1:3 (EM VOLUME DE CIMENTO E AREIA MÉDIA ÚMIDA) COM ADIÇÃO DE IMPERMEABILIZANTE, PREPARO MANUAL. AF_08/2019</v>
          </cell>
          <cell r="C6349" t="str">
            <v>M3</v>
          </cell>
          <cell r="D6349">
            <v>607.02</v>
          </cell>
        </row>
        <row r="6350">
          <cell r="A6350" t="str">
            <v>100481</v>
          </cell>
          <cell r="B6350" t="str">
            <v>ARGAMASSA TRAÇO 1:4 (EM VOLUME DE CIMENTO E AREIA MÉDIA ÚMIDA) COM ADIÇÃO DE IMPERMEABILIZANTE, PREPARO MECÂNICO COM BETONEIRA 400 L. AF_08/2019</v>
          </cell>
          <cell r="C6350" t="str">
            <v>M3</v>
          </cell>
          <cell r="D6350">
            <v>453.69</v>
          </cell>
        </row>
        <row r="6351">
          <cell r="A6351" t="str">
            <v>100483</v>
          </cell>
          <cell r="B6351" t="str">
            <v>ARGAMASSA TRAÇO 1:4 (EM VOLUME DE CIMENTO E AREIA MÉDIA ÚMIDA) COM ADIÇÃO DE IMPERMEABILIZANTE, PREPARO MECÂNICO COM MISTURADOR DE EIXO HORIZONTAL DE 160 KG. AF_08/2019</v>
          </cell>
          <cell r="C6351" t="str">
            <v>M3</v>
          </cell>
          <cell r="D6351">
            <v>505.77</v>
          </cell>
        </row>
        <row r="6352">
          <cell r="A6352" t="str">
            <v>100484</v>
          </cell>
          <cell r="B6352" t="str">
            <v>ARGAMASSA TRAÇO 1:4 (EM VOLUME DE CIMENTO E AREIA MÉDIA ÚMIDA) COM ADIÇÃO DE IMPERMEABILIZANTE, PREPARO MECÂNICO COM MISTURADOR DE EIXO HORIZONTAL DE 300 KG. AF_08/2019</v>
          </cell>
          <cell r="C6352" t="str">
            <v>M3</v>
          </cell>
          <cell r="D6352">
            <v>456.2</v>
          </cell>
        </row>
        <row r="6353">
          <cell r="A6353" t="str">
            <v>100485</v>
          </cell>
          <cell r="B6353" t="str">
            <v>ARGAMASSA TRAÇO 1:4 (EM VOLUME DE CIMENTO E AREIA MÉDIA ÚMIDA) COM ADIÇÃO DE IMPERMEABILIZANTE, PREPARO MECÂNICO COM MISTURADOR DE EIXO HORIZONTAL DE 600 KG. AF_08/2019</v>
          </cell>
          <cell r="C6353" t="str">
            <v>M3</v>
          </cell>
          <cell r="D6353">
            <v>432.47</v>
          </cell>
        </row>
        <row r="6354">
          <cell r="A6354" t="str">
            <v>100486</v>
          </cell>
          <cell r="B6354" t="str">
            <v>ARGAMASSA TRAÇO 1:4 (EM VOLUME DE CIMENTO E AREIA MÉDIA ÚMIDA) COM ADIÇÃO DE IMPERMEABILIZANTE, PREPARO MANUAL. AF_08/2019</v>
          </cell>
          <cell r="C6354" t="str">
            <v>M3</v>
          </cell>
          <cell r="D6354">
            <v>531.01</v>
          </cell>
        </row>
        <row r="6355">
          <cell r="A6355" t="str">
            <v>100487</v>
          </cell>
          <cell r="B6355" t="str">
            <v>ARGAMASSA TRAÇO 1:2:9 (EM VOLUME DE CIMENTO, CAL E AREIA MÉDIA ÚMIDA) PARA EMBOÇO/MASSA ÚNICA/ASSENTAMENTO DE ALVENARIA DE VEDAÇÃO, PREPARO MECÂNICO COM MISTURADOR DE EIXO HORIZONTAL DE 600 KG. AF_08/2019</v>
          </cell>
          <cell r="C6355" t="str">
            <v>M3</v>
          </cell>
          <cell r="D6355">
            <v>380.13</v>
          </cell>
        </row>
        <row r="6356">
          <cell r="A6356" t="str">
            <v>100488</v>
          </cell>
          <cell r="B6356" t="str">
            <v>ARGAMASSA TRAÇO 1:0,5:4,5 (EM VOLUME DE CIMENTO, CAL E AREIA MÉDIA ÚMIDA), PREPARO MECÂNICO COM BETONEIRA 600 L. AF_08/2019</v>
          </cell>
          <cell r="C6356" t="str">
            <v>M3</v>
          </cell>
          <cell r="D6356">
            <v>393.01</v>
          </cell>
        </row>
        <row r="6357">
          <cell r="A6357" t="str">
            <v>100489</v>
          </cell>
          <cell r="B6357" t="str">
            <v>ARGAMASSA TRAÇO 1:3 (EM VOLUME DE CIMENTO E AREIA MÉDIA ÚMIDA), PREPARO MECÂNICO COM BETONEIRA 600 L. AF_08/2019</v>
          </cell>
          <cell r="C6357" t="str">
            <v>M3</v>
          </cell>
          <cell r="D6357">
            <v>397.94</v>
          </cell>
        </row>
        <row r="6358">
          <cell r="A6358" t="str">
            <v>100490</v>
          </cell>
          <cell r="B6358" t="str">
            <v>ARGAMASSA TRAÇO 1:4 (EM VOLUME DE CIMENTO E AREIA MÉDIA ÚMIDA), PREPARO MECÂNICO COM BETONEIRA 600 L. AF_08/2019</v>
          </cell>
          <cell r="C6358" t="str">
            <v>M3</v>
          </cell>
          <cell r="D6358">
            <v>344.47</v>
          </cell>
        </row>
        <row r="6359">
          <cell r="A6359" t="str">
            <v>100491</v>
          </cell>
          <cell r="B6359" t="str">
            <v>ARGAMASSA TRAÇO 1:3 (EM VOLUME DE CIMENTO E AREIA MÉDIA ÚMIDA) COM ADIÇÃO DE IMPERMEABILIZANTE, PREPARO MECÂNICO COM BETONEIRA 600 L. AF_08/2019</v>
          </cell>
          <cell r="C6359" t="str">
            <v>M3</v>
          </cell>
          <cell r="D6359">
            <v>529.26</v>
          </cell>
        </row>
        <row r="6360">
          <cell r="A6360" t="str">
            <v>100492</v>
          </cell>
          <cell r="B6360" t="str">
            <v>ARGAMASSA TRAÇO 1:4 (EM VOLUME DE CIMENTO E AREIA MÉDIA ÚMIDA) COM ADIÇÃO DE IMPERMEABILIZANTE, PREPARO MECÂNICO COM BETONEIRA 600 L. AF_08/2019</v>
          </cell>
          <cell r="C6360" t="str">
            <v>M3</v>
          </cell>
          <cell r="D6360">
            <v>449.56</v>
          </cell>
        </row>
        <row r="6361">
          <cell r="A6361" t="str">
            <v>92121</v>
          </cell>
          <cell r="B6361" t="str">
            <v>PENEIRAMENTO DE AREIA COM PENEIRA ELÉTRICA. AF_11/2015</v>
          </cell>
          <cell r="C6361" t="str">
            <v>M3</v>
          </cell>
          <cell r="D6361">
            <v>26.07</v>
          </cell>
        </row>
        <row r="6362">
          <cell r="A6362" t="str">
            <v>92122</v>
          </cell>
          <cell r="B6362" t="str">
            <v>PENEIRAMENTO DE AREIA COM PENEIRA MANUAL. AF_11/2015</v>
          </cell>
          <cell r="C6362" t="str">
            <v>M3</v>
          </cell>
          <cell r="D6362">
            <v>43.42</v>
          </cell>
        </row>
        <row r="6363">
          <cell r="A6363" t="str">
            <v>92123</v>
          </cell>
          <cell r="B6363" t="str">
            <v>ENSACAMENTO DE AREIA. AF_11/2015</v>
          </cell>
          <cell r="C6363" t="str">
            <v>KGXKM</v>
          </cell>
          <cell r="D6363">
            <v>48.33</v>
          </cell>
        </row>
        <row r="6364">
          <cell r="A6364" t="str">
            <v>100195</v>
          </cell>
          <cell r="B6364" t="str">
            <v>TRANSPORTE HORIZONTAL MANUAL, DE SACOS DE 50 KG (UNIDADE: KGXKM). AF_07/2019</v>
          </cell>
          <cell r="C6364" t="str">
            <v>KGXKM</v>
          </cell>
          <cell r="D6364">
            <v>0.66</v>
          </cell>
        </row>
        <row r="6365">
          <cell r="A6365" t="str">
            <v>100196</v>
          </cell>
          <cell r="B6365" t="str">
            <v>TRANSPORTE HORIZONTAL MANUAL, DE SACOS DE 30 KG (UNIDADE: KGXKM). AF_07/2019</v>
          </cell>
          <cell r="C6365" t="str">
            <v>KGXKM</v>
          </cell>
          <cell r="D6365">
            <v>1.1000000000000001</v>
          </cell>
        </row>
        <row r="6366">
          <cell r="A6366" t="str">
            <v>100197</v>
          </cell>
          <cell r="B6366" t="str">
            <v>TRANSPORTE HORIZONTAL MANUAL, DE SACOS DE 20 KG (UNIDADE: KGXKM). AF_07/2019</v>
          </cell>
          <cell r="C6366" t="str">
            <v>KGXKM</v>
          </cell>
          <cell r="D6366">
            <v>1.66</v>
          </cell>
        </row>
        <row r="6367">
          <cell r="A6367" t="str">
            <v>100198</v>
          </cell>
          <cell r="B6367" t="str">
            <v>TRANSPORTE HORIZONTAL COM CARRINHO PLATAFORMA, DE SACOS DE 50 KG (UNIDADE: KGXKM). AF_07/2019</v>
          </cell>
          <cell r="C6367" t="str">
            <v>KGXKM</v>
          </cell>
          <cell r="D6367">
            <v>0.23</v>
          </cell>
        </row>
        <row r="6368">
          <cell r="A6368" t="str">
            <v>100199</v>
          </cell>
          <cell r="B6368" t="str">
            <v>TRANSPORTE HORIZONTAL COM CARRINHO PLATAFORMA, DE SACOS DE 30 KG (UNIDADE: KGXKM). AF_07/2019</v>
          </cell>
          <cell r="C6368" t="str">
            <v>KGXKM</v>
          </cell>
          <cell r="D6368">
            <v>0.27</v>
          </cell>
        </row>
        <row r="6369">
          <cell r="A6369" t="str">
            <v>100200</v>
          </cell>
          <cell r="B6369" t="str">
            <v>TRANSPORTE HORIZONTAL COM CARRINHO PLATAFORMA, DE SACOS DE 20 KG (UNIDADE: KGXKM). AF_07/2019</v>
          </cell>
          <cell r="C6369" t="str">
            <v>KGXKM</v>
          </cell>
          <cell r="D6369">
            <v>0.34</v>
          </cell>
        </row>
        <row r="6370">
          <cell r="A6370" t="str">
            <v>100201</v>
          </cell>
          <cell r="B6370" t="str">
            <v>TRANSPORTE HORIZONTAL COM CARRINHO DE MÃO, DE SACOS DE 50 KG (UNIDADE: KGXKM). AF_07/2019</v>
          </cell>
          <cell r="C6370" t="str">
            <v>KGXKM</v>
          </cell>
          <cell r="D6370">
            <v>0.67</v>
          </cell>
        </row>
        <row r="6371">
          <cell r="A6371" t="str">
            <v>100202</v>
          </cell>
          <cell r="B6371" t="str">
            <v>TRANSPORTE HORIZONTAL COM CARRINHO DE MÃO, DE SACOS DE 30 KG (UNIDADE: KGXKM). AF_07/2019</v>
          </cell>
          <cell r="C6371" t="str">
            <v>KGXKM</v>
          </cell>
          <cell r="D6371">
            <v>0.78</v>
          </cell>
        </row>
        <row r="6372">
          <cell r="A6372" t="str">
            <v>100203</v>
          </cell>
          <cell r="B6372" t="str">
            <v>TRANSPORTE HORIZONTAL COM CARRINHO DE MÃO, DE SACOS DE 20 KG (UNIDADE: KGXKM). AF_07/2019</v>
          </cell>
          <cell r="C6372" t="str">
            <v>KGXKM</v>
          </cell>
          <cell r="D6372">
            <v>0.93</v>
          </cell>
        </row>
        <row r="6373">
          <cell r="A6373" t="str">
            <v>100204</v>
          </cell>
          <cell r="B6373" t="str">
            <v>TRANSPORTE HORIZONTAL COM MANIPULADOR TELESCÓPICO, DE PÁLETE DE SACOS (UNIDADE: KGXKM). AF_07/2019</v>
          </cell>
          <cell r="C6373" t="str">
            <v>M3XKM</v>
          </cell>
          <cell r="D6373">
            <v>0.1</v>
          </cell>
        </row>
        <row r="6374">
          <cell r="A6374" t="str">
            <v>100205</v>
          </cell>
          <cell r="B6374" t="str">
            <v>TRANSPORTE HORIZONTAL COM JERICA DE 60 L, DE MASSA/ GRANEL (UNIDADE: M3XKM). AF_07/2019</v>
          </cell>
          <cell r="C6374" t="str">
            <v>M3XKM</v>
          </cell>
          <cell r="D6374">
            <v>1237.03</v>
          </cell>
        </row>
        <row r="6375">
          <cell r="A6375" t="str">
            <v>100206</v>
          </cell>
          <cell r="B6375" t="str">
            <v>TRANSPORTE HORIZONTAL COM JERICA DE 90 L, DE MASSA/ GRANEL (UNIDADE: M3XKM). AF_07/2019</v>
          </cell>
          <cell r="C6375" t="str">
            <v>M3XKM</v>
          </cell>
          <cell r="D6375">
            <v>894.16</v>
          </cell>
        </row>
        <row r="6376">
          <cell r="A6376" t="str">
            <v>100207</v>
          </cell>
          <cell r="B6376" t="str">
            <v>TRANSPORTE HORIZONTAL COM CARREGADEIRA, DE MASSA/ GRANEL (UNIDADE: M3XKM). AF_07/2019</v>
          </cell>
          <cell r="C6376" t="str">
            <v>UNXKM</v>
          </cell>
          <cell r="D6376">
            <v>388.17</v>
          </cell>
        </row>
        <row r="6377">
          <cell r="A6377" t="str">
            <v>100208</v>
          </cell>
          <cell r="B6377" t="str">
            <v>TRANSPORTE HORIZONTAL MANUAL, DE BLOCOS VAZADOS DE CONCRETO OU CERÂMICO DE 19X19X39CM (UNIDADE: BLOCOXKM). AF_07/2019</v>
          </cell>
          <cell r="C6377" t="str">
            <v>UNXKM</v>
          </cell>
          <cell r="D6377">
            <v>16.36</v>
          </cell>
        </row>
        <row r="6378">
          <cell r="A6378" t="str">
            <v>100209</v>
          </cell>
          <cell r="B6378" t="str">
            <v>TRANSPORTE HORIZONTAL MANUAL, DE BLOCOS CERÂMICOS FURADOS NA HORIZONTAL DE 9X19X19CM (UNIDADE: BLOCOXKM). AF_07/2019</v>
          </cell>
          <cell r="C6378" t="str">
            <v>UNXKM</v>
          </cell>
          <cell r="D6378">
            <v>8.18</v>
          </cell>
        </row>
        <row r="6379">
          <cell r="A6379" t="str">
            <v>100210</v>
          </cell>
          <cell r="B6379" t="str">
            <v>TRANSPORTE HORIZONTAL COM CARRINHO DE MÃO, DE BLOCOS VAZADOS DE CONCRETO OU CERÂMICO DE 19X19X39CM (UNIDADE: BLOCOXKM). AF_07/2019</v>
          </cell>
          <cell r="C6379" t="str">
            <v>UNXKM</v>
          </cell>
          <cell r="D6379">
            <v>15.07</v>
          </cell>
        </row>
        <row r="6380">
          <cell r="A6380" t="str">
            <v>100211</v>
          </cell>
          <cell r="B6380" t="str">
            <v>TRANSPORTE HORIZONTAL COM CARRINHO DE MÃO, DE BLOCOS CERÂMICOS FURADOS NA HORIZONTAL DE 9X19X19CM (UNIDADE: BLOCOXKM). AF_07/2019</v>
          </cell>
          <cell r="C6380" t="str">
            <v>UNXKM</v>
          </cell>
          <cell r="D6380">
            <v>5.81</v>
          </cell>
        </row>
        <row r="6381">
          <cell r="A6381" t="str">
            <v>100212</v>
          </cell>
          <cell r="B6381" t="str">
            <v>TRANSPORTE HORIZONTAL COM CARRINHO PLATAFORMA, DE BLOCOS VAZADOS DE CONCRETO OU CERÂMICO DE 19X19X39CM (UNIDADE: BLOCOXKM). AF_07/2019</v>
          </cell>
          <cell r="C6381" t="str">
            <v>UNXKM</v>
          </cell>
          <cell r="D6381">
            <v>6.42</v>
          </cell>
        </row>
        <row r="6382">
          <cell r="A6382" t="str">
            <v>100213</v>
          </cell>
          <cell r="B6382" t="str">
            <v>TRANSPORTE HORIZONTAL COM CARRINHO PLATAFORMA, DE BLOCOS CERÂMICOS FURADOS NA HORIZONTAL DE 9X19X19CM (UNIDADE: BLOCOXKM). AF_07/2019</v>
          </cell>
          <cell r="C6382" t="str">
            <v>UNXKM</v>
          </cell>
          <cell r="D6382">
            <v>2.2999999999999998</v>
          </cell>
        </row>
        <row r="6383">
          <cell r="A6383" t="str">
            <v>100214</v>
          </cell>
          <cell r="B6383" t="str">
            <v>TRANSPORTE HORIZONTAL COM CARRINHO MINI PÁLETES, DE BLOCOS VAZADOS DE CONCRETO DE 19X19X39CM (UNIDADE: BLOCOXKM). AF_07/2019</v>
          </cell>
          <cell r="C6383" t="str">
            <v>UNXKM</v>
          </cell>
          <cell r="D6383">
            <v>3.54</v>
          </cell>
        </row>
        <row r="6384">
          <cell r="A6384" t="str">
            <v>100215</v>
          </cell>
          <cell r="B6384" t="str">
            <v>TRANSPORTE HORIZONTAL COM CARRINHO MINI PÁLETES, DE BLOCOS CERÂMICOS FURADOS NA VERTICAL DE 19X19X39CM (UNIDADE: BLOCOXKM). AF_07/2019</v>
          </cell>
          <cell r="C6384" t="str">
            <v>UNXKM</v>
          </cell>
          <cell r="D6384">
            <v>3.03</v>
          </cell>
        </row>
        <row r="6385">
          <cell r="A6385" t="str">
            <v>100216</v>
          </cell>
          <cell r="B6385" t="str">
            <v>TRANSPORTE HORIZONTAL COM CARRINHO MINI PÁLETES, DE BLOCOS CERÂMICOS FURADOS NA HORIZONTAL DE 9X19X19CM (UNIDADE: BLOCOXKM). AF_07/2019</v>
          </cell>
          <cell r="C6385" t="str">
            <v>UNXKM</v>
          </cell>
          <cell r="D6385">
            <v>0.81</v>
          </cell>
        </row>
        <row r="6386">
          <cell r="A6386" t="str">
            <v>100217</v>
          </cell>
          <cell r="B6386" t="str">
            <v>TRANSPORTE HORIZONTAL COM MANIPULADOR TELESCÓPICO, DE BLOCOS VAZADOS DE CONCRETO DE 19X19X39CM (UNIDADE: BLOCOXKM). AF_07/2019</v>
          </cell>
          <cell r="C6386" t="str">
            <v>UNXKM</v>
          </cell>
          <cell r="D6386">
            <v>2.72</v>
          </cell>
        </row>
        <row r="6387">
          <cell r="A6387" t="str">
            <v>100218</v>
          </cell>
          <cell r="B6387" t="str">
            <v>TRANSPORTE HORIZONTAL COM MANIPULADOR TELESCÓPICO, DE BLOCOS CERÂMICOS FURADOS NA VERTICAL DE 19X19X39CM (UNIDADE: BLOCOXKM). AF_07/2019</v>
          </cell>
          <cell r="C6387" t="str">
            <v>UNXKM</v>
          </cell>
          <cell r="D6387">
            <v>1.87</v>
          </cell>
        </row>
        <row r="6388">
          <cell r="A6388" t="str">
            <v>100219</v>
          </cell>
          <cell r="B6388" t="str">
            <v>TRANSPORTE HORIZONTAL COM MANIPULADOR TELESCÓPICO, DE BLOCOS CERÂMICOS FURADOS NA HORIZONTAL DE 9X19X19CM (UNIDADE: BLOCOXKM). AF_07/2019</v>
          </cell>
          <cell r="C6388" t="str">
            <v>M2XKM</v>
          </cell>
          <cell r="D6388">
            <v>0.41</v>
          </cell>
        </row>
        <row r="6389">
          <cell r="A6389" t="str">
            <v>100220</v>
          </cell>
          <cell r="B6389" t="str">
            <v>TRANSPORTE HORIZONTAL MANUAL, DE CAIXA COM REVESTIMENTO CERÂMICO (UNIDADE: M2XKM). AF_07/2019</v>
          </cell>
          <cell r="C6389" t="str">
            <v>M2XKM</v>
          </cell>
          <cell r="D6389">
            <v>23.51</v>
          </cell>
        </row>
        <row r="6390">
          <cell r="A6390" t="str">
            <v>100221</v>
          </cell>
          <cell r="B6390" t="str">
            <v>TRANSPORTE HORIZONTAL COM CARRINHO DE MÃO, DE CAIXA COM REVESTIMENTO CERÂMICO (UNIDADE: M2XKM). AF_07/2019</v>
          </cell>
          <cell r="C6390" t="str">
            <v>M2XKM</v>
          </cell>
          <cell r="D6390">
            <v>26.65</v>
          </cell>
        </row>
        <row r="6391">
          <cell r="A6391" t="str">
            <v>100222</v>
          </cell>
          <cell r="B6391" t="str">
            <v>TRANSPORTE HORIZONTAL COM CARRINHO PLATAFORMA, DE CAIXA COM REVESTIMENTO CERÂMICO (UNIDADE: M2XKM). AF_07/2019</v>
          </cell>
          <cell r="C6391" t="str">
            <v>M2XKM</v>
          </cell>
          <cell r="D6391">
            <v>10.09</v>
          </cell>
        </row>
        <row r="6392">
          <cell r="A6392" t="str">
            <v>100223</v>
          </cell>
          <cell r="B6392" t="str">
            <v>TRANSPORTE HORIZONTAL COM CARRINHO MINI PÁLETES, DE CAIXA COM REVESTIMENTO CERÂMICO (UNIDADE: M2XKM). AF_07/2019</v>
          </cell>
          <cell r="C6392" t="str">
            <v>M2XKM</v>
          </cell>
          <cell r="D6392">
            <v>4.72</v>
          </cell>
        </row>
        <row r="6393">
          <cell r="A6393" t="str">
            <v>100224</v>
          </cell>
          <cell r="B6393" t="str">
            <v>TRANSPORTE HORIZONTAL COM MANIPULADOR TELESCÓPICO, DE CAIXA COM REVESTIMENTO CERÂMICO (UNIDADE: M2XKM). AF_07/2019</v>
          </cell>
          <cell r="C6393" t="str">
            <v>LXKM</v>
          </cell>
          <cell r="D6393">
            <v>2.72</v>
          </cell>
        </row>
        <row r="6394">
          <cell r="A6394" t="str">
            <v>100225</v>
          </cell>
          <cell r="B6394" t="str">
            <v>TRANSPORTE HORIZONTAL MANUAL, DE LATA DE 18 LITROS (UNIDADE: LXKM). AF_07/2019</v>
          </cell>
          <cell r="C6394" t="str">
            <v>LXKM</v>
          </cell>
          <cell r="D6394">
            <v>1.84</v>
          </cell>
        </row>
        <row r="6395">
          <cell r="A6395" t="str">
            <v>100226</v>
          </cell>
          <cell r="B6395" t="str">
            <v>TRANSPORTE HORIZONTAL COM CARRINHO PLATAFORMA, DE LATA DE 18 LITROS (UNIDADE: LXKM). AF_07/2019</v>
          </cell>
          <cell r="C6395" t="str">
            <v>LXKM</v>
          </cell>
          <cell r="D6395">
            <v>0.57999999999999996</v>
          </cell>
        </row>
        <row r="6396">
          <cell r="A6396" t="str">
            <v>100227</v>
          </cell>
          <cell r="B6396" t="str">
            <v>TRANSPORTE HORIZONTAL COM CARRINHO RACIONAL, DE LATA DE 18 LITROS (UNIDADE: LXKM). AF_07/2019</v>
          </cell>
          <cell r="C6396" t="str">
            <v>LXKM</v>
          </cell>
          <cell r="D6396">
            <v>0.85</v>
          </cell>
        </row>
        <row r="6397">
          <cell r="A6397" t="str">
            <v>100228</v>
          </cell>
          <cell r="B6397" t="str">
            <v>TRANSPORTE HORIZONTAL COM MANIPULADOR TELESCÓPICO, DE LATA DE 18 LITROS (UNIDADE: LXKM). AF_07/2019</v>
          </cell>
          <cell r="C6397" t="str">
            <v>KG</v>
          </cell>
          <cell r="D6397">
            <v>0.26</v>
          </cell>
        </row>
        <row r="6398">
          <cell r="A6398" t="str">
            <v>100229</v>
          </cell>
          <cell r="B6398" t="str">
            <v>TRANSPORTE VERTICAL MANUAL, 1 PAVIMENTO, DE SACOS DE 50 KG (UNIDADE: KG). AF_07/2019</v>
          </cell>
          <cell r="C6398" t="str">
            <v>KG</v>
          </cell>
          <cell r="D6398">
            <v>0.01</v>
          </cell>
        </row>
        <row r="6399">
          <cell r="A6399" t="str">
            <v>100230</v>
          </cell>
          <cell r="B6399" t="str">
            <v>TRANSPORTE VERTICAL MANUAL, 1 PAVIMENTO, DE SACOS DE 30 KG (UNIDADE: KG). AF_07/2019</v>
          </cell>
          <cell r="C6399" t="str">
            <v>KG</v>
          </cell>
          <cell r="D6399">
            <v>0.02</v>
          </cell>
        </row>
        <row r="6400">
          <cell r="A6400" t="str">
            <v>100231</v>
          </cell>
          <cell r="B6400" t="str">
            <v>TRANSPORTE VERTICAL MANUAL, 1 PAVIMENTO, DE SACOS DE 20 KG (UNIDADE: KG). AF_07/2019</v>
          </cell>
          <cell r="C6400" t="str">
            <v>UN</v>
          </cell>
          <cell r="D6400">
            <v>0.03</v>
          </cell>
        </row>
        <row r="6401">
          <cell r="A6401" t="str">
            <v>100232</v>
          </cell>
          <cell r="B6401" t="str">
            <v>TRANSPORTE VERTICAL MANUAL, 1 PAVIMENTO, DE BLOCOS VAZADOS DE CONCRETO OU CERÂMICO DE 19X19X39CM (UNIDADE: BLOCO). AF_07/2019</v>
          </cell>
          <cell r="C6401" t="str">
            <v>UN</v>
          </cell>
          <cell r="D6401">
            <v>0.31</v>
          </cell>
        </row>
        <row r="6402">
          <cell r="A6402" t="str">
            <v>100233</v>
          </cell>
          <cell r="B6402" t="str">
            <v>TRANSPORTE VERTICAL MANUAL, 1 PAVIMENTO, DE BLOCOS CERÂMICOS FURADOS NA HORIZONTAL DE 9X19X19CM (UNIDADE: BLOCO). AF_07/2019</v>
          </cell>
          <cell r="C6402" t="str">
            <v>M2</v>
          </cell>
          <cell r="D6402">
            <v>0.15</v>
          </cell>
        </row>
        <row r="6403">
          <cell r="A6403" t="str">
            <v>100234</v>
          </cell>
          <cell r="B6403" t="str">
            <v>TRANSPORTE VERTICAL MANUAL, 1 PAVIMENTO, DE CAIXA COM REVESTIMENTO CERÂMICO (UNIDADE: M2). AF_07/2019</v>
          </cell>
          <cell r="C6403" t="str">
            <v>L</v>
          </cell>
          <cell r="D6403">
            <v>0.46</v>
          </cell>
        </row>
        <row r="6404">
          <cell r="A6404" t="str">
            <v>100235</v>
          </cell>
          <cell r="B6404" t="str">
            <v>TRANSPORTE VERTICAL MANUAL, 1 PAVIMENTO, DE LATA DE 18 LITROS (UNIDADE: L). AF_07/2019</v>
          </cell>
          <cell r="C6404" t="str">
            <v>MXKM</v>
          </cell>
          <cell r="D6404">
            <v>0.03</v>
          </cell>
        </row>
        <row r="6405">
          <cell r="A6405" t="str">
            <v>100236</v>
          </cell>
          <cell r="B6405" t="str">
            <v>TRANSPORTE HORIZONTAL MANUAL, DE TUBO DE PVC SOLDÁVEL COM DIÂMETRO MENOR OU IGUAL A 60 MM (UNIDADE: MXKM). AF_07/2019</v>
          </cell>
          <cell r="C6405" t="str">
            <v>MXKM</v>
          </cell>
          <cell r="D6405">
            <v>2.34</v>
          </cell>
        </row>
        <row r="6406">
          <cell r="A6406" t="str">
            <v>100237</v>
          </cell>
          <cell r="B6406" t="str">
            <v>TRANSPORTE HORIZONTAL MANUAL, DE TUBO DE PVC SOLDÁVEL COM DIÂMETRO MAIOR QUE 60 MM E MENOR OU IGUAL A 85 MM (UNIDADE: MXKM). AF_07/2019</v>
          </cell>
          <cell r="C6406" t="str">
            <v>MXKM</v>
          </cell>
          <cell r="D6406">
            <v>2.81</v>
          </cell>
        </row>
        <row r="6407">
          <cell r="A6407" t="str">
            <v>100238</v>
          </cell>
          <cell r="B6407" t="str">
            <v>TRANSPORTE HORIZONTAL MANUAL, DE TUBO DE CPVC COM DIÂMETRO MENOR OU IGUAL A 73 MM (UNIDADE: MXKM). AF_07/2019</v>
          </cell>
          <cell r="C6407" t="str">
            <v>MXKM</v>
          </cell>
          <cell r="D6407">
            <v>4.5</v>
          </cell>
        </row>
        <row r="6408">
          <cell r="A6408" t="str">
            <v>100239</v>
          </cell>
          <cell r="B6408" t="str">
            <v>TRANSPORTE HORIZONTAL MANUAL, DE TUBO DE CPVC COM DIÂMETRO MAIOR QUE 73 MM E MENOR OU IGUAL A 89 MM (UNIDADE: MXKM). AF_07/2019</v>
          </cell>
          <cell r="C6408" t="str">
            <v>MXKM</v>
          </cell>
          <cell r="D6408">
            <v>5.62</v>
          </cell>
        </row>
        <row r="6409">
          <cell r="A6409" t="str">
            <v>100240</v>
          </cell>
          <cell r="B6409" t="str">
            <v>TRANSPORTE HORIZONTAL MANUAL, DE TUBO DE PPR - PN12 OU PN25 - COM DIÂMETRO MENOR OU IGUAL A 50 MM (UNIDADE: MXKM). AF_07/2019</v>
          </cell>
          <cell r="C6409" t="str">
            <v>MXKM</v>
          </cell>
          <cell r="D6409">
            <v>3.37</v>
          </cell>
        </row>
        <row r="6410">
          <cell r="A6410" t="str">
            <v>100241</v>
          </cell>
          <cell r="B6410" t="str">
            <v>TRANSPORTE HORIZONTAL MANUAL, DE TUBO DE PPR - PN12 OU PN25 - COM DIÂMETRO MAIOR QUE 50 MM E MENOR OU IGUAL A 75 MM (UNIDADE: MXKM). AF_07/2019</v>
          </cell>
          <cell r="C6410" t="str">
            <v>MXKM</v>
          </cell>
          <cell r="D6410">
            <v>5.62</v>
          </cell>
        </row>
        <row r="6411">
          <cell r="A6411" t="str">
            <v>100242</v>
          </cell>
          <cell r="B6411" t="str">
            <v>TRANSPORTE HORIZONTAL MANUAL, DE TUBO DE PPR - PN12 OU PN25 - COM DIÂMETRO MAIOR QUE 75 MM E MENOR OU IGUAL A 110 MM (UNIDADE: MXKM). AF_07/2019</v>
          </cell>
          <cell r="C6411" t="str">
            <v>MXKM</v>
          </cell>
          <cell r="D6411">
            <v>16.61</v>
          </cell>
        </row>
        <row r="6412">
          <cell r="A6412" t="str">
            <v>100243</v>
          </cell>
          <cell r="B6412" t="str">
            <v>TRANSPORTE HORIZONTAL MANUAL, DE TUBO DE COBRE - CLASSE E - COM DIÂMETRO MENOR OU IGUAL A 54 MM (UNIDADE: MXKM). AF_07/2019</v>
          </cell>
          <cell r="C6412" t="str">
            <v>MXKM</v>
          </cell>
          <cell r="D6412">
            <v>2.7</v>
          </cell>
        </row>
        <row r="6413">
          <cell r="A6413" t="str">
            <v>100244</v>
          </cell>
          <cell r="B6413" t="str">
            <v>TRANSPORTE HORIZONTAL MANUAL, DE TUBO DE COBRE - CLASSE E - COM DIÂMETRO MAIOR QUE 54 MM E MENOR OU IGUAL A 79 MM (UNIDADE: MXKM). AF_07/2019</v>
          </cell>
          <cell r="C6413" t="str">
            <v>MXKM</v>
          </cell>
          <cell r="D6413">
            <v>3.37</v>
          </cell>
        </row>
        <row r="6414">
          <cell r="A6414" t="str">
            <v>100245</v>
          </cell>
          <cell r="B6414" t="str">
            <v>TRANSPORTE HORIZONTAL MANUAL, DE TUBO DE COBRE - CLASSE E - COM DIÂMETRO MAIOR QUE 79 MM E MENOR OU IGUAL A 104 MM (UNIDADE: MXKM). AF_07/2019</v>
          </cell>
          <cell r="C6414" t="str">
            <v>MXKM</v>
          </cell>
          <cell r="D6414">
            <v>6.74</v>
          </cell>
        </row>
        <row r="6415">
          <cell r="A6415" t="str">
            <v>100246</v>
          </cell>
          <cell r="B6415" t="str">
            <v>TRANSPORTE HORIZONTAL MANUAL, DE TUBO DE PVC SÉRIE NORMAL - ESGOTO PREDIAL, OU REFORÇADO PARA ESGOTO OU ÁGUAS PLUVIAIS PREDIAL, COM DIÂMETRO MENOR OU IGUAL A 75 MM (UNIDADE: MXKM). AF_07/2019</v>
          </cell>
          <cell r="C6415" t="str">
            <v>MXKM</v>
          </cell>
          <cell r="D6415">
            <v>2.2400000000000002</v>
          </cell>
        </row>
        <row r="6416">
          <cell r="A6416" t="str">
            <v>100247</v>
          </cell>
          <cell r="B6416" t="str">
            <v>TRANSPORTE HORIZONTAL MANUAL, DE TUBO DE PVC SÉRIE NORMAL - ESGOTO PREDIAL, OU REFORÇADO PARA ESGOTO OU ÁGUAS PLUVIAIS PREDIAL, COM DIÂMETRO MAIOR QUE 75 MM E MENOR OU IGUAL A 100 MM (UNIDADE: MXKM). AF_07/2019</v>
          </cell>
          <cell r="C6416" t="str">
            <v>MXKM</v>
          </cell>
          <cell r="D6416">
            <v>2.81</v>
          </cell>
        </row>
        <row r="6417">
          <cell r="A6417" t="str">
            <v>100248</v>
          </cell>
          <cell r="B6417" t="str">
            <v>TRANSPORTE HORIZONTAL MANUAL, DE TUBO DE PVC SÉRIE NORMAL - ESGOTO PREDIAL, OU REFORÇADO PARA ESGOTO OU ÁGUAS PLUVIAIS PREDIAL, COM DIÂMETRO MAIOR QUE 100 MM E MENOR OU IGUAL A 150 MM (UNIDADE: MXKM). AF_07/2019</v>
          </cell>
          <cell r="C6417" t="str">
            <v>MXKM</v>
          </cell>
          <cell r="D6417">
            <v>11.07</v>
          </cell>
        </row>
        <row r="6418">
          <cell r="A6418" t="str">
            <v>100249</v>
          </cell>
          <cell r="B6418" t="str">
            <v>TRANSPORTE HORIZONTAL MANUAL, DE TUBO DE AÇO CARBONO LEVE OU MÉDIO, PRETO OU GALVANIZADO, COM DIÂMETRO MENOR OU IGUAL A 20 MM (UNIDADE: MXKM). AF_07/2019</v>
          </cell>
          <cell r="C6418" t="str">
            <v>MXKM</v>
          </cell>
          <cell r="D6418">
            <v>2.2400000000000002</v>
          </cell>
        </row>
        <row r="6419">
          <cell r="A6419" t="str">
            <v>100250</v>
          </cell>
          <cell r="B6419" t="str">
            <v>TRANSPORTE HORIZONTAL MANUAL, DE TUBO DE AÇO CARBONO LEVE OU MÉDIO, PRETO OU GALVANIZADO, COM DIÂMETRO MAIOR QUE 20 MM E MENOR OU IGUAL A 32 MM (UNIDADE: MXKM). AF_07/2019</v>
          </cell>
          <cell r="C6419" t="str">
            <v>MXKM</v>
          </cell>
          <cell r="D6419">
            <v>3.74</v>
          </cell>
        </row>
        <row r="6420">
          <cell r="A6420" t="str">
            <v>100251</v>
          </cell>
          <cell r="B6420" t="str">
            <v>TRANSPORTE HORIZONTAL MANUAL, DE TUBO DE AÇO CARBONO LEVE OU MÉDIO, PRETO OU GALVANIZADO, COM DIÂMETRO MAIOR QUE 32 MM E MENOR OU IGUAL A 65 MM (UNIDADE: MXKM). AF_07/2019</v>
          </cell>
          <cell r="C6420" t="str">
            <v>MXKM</v>
          </cell>
          <cell r="D6420">
            <v>11.07</v>
          </cell>
        </row>
        <row r="6421">
          <cell r="A6421" t="str">
            <v>100252</v>
          </cell>
          <cell r="B6421" t="str">
            <v>TRANSPORTE HORIZONTAL MANUAL, DE TUBO DE AÇO CARBONO LEVE OU MÉDIO, PRETO OU GALVANIZADO, COM DIÂMETRO MAIOR QUE 65 MM E MENOR OU IGUAL A 90 MM (UNIDADE: MXKM). AF_07/2019</v>
          </cell>
          <cell r="C6421" t="str">
            <v>MXKM</v>
          </cell>
          <cell r="D6421">
            <v>16.61</v>
          </cell>
        </row>
        <row r="6422">
          <cell r="A6422" t="str">
            <v>100253</v>
          </cell>
          <cell r="B6422" t="str">
            <v>TRANSPORTE HORIZONTAL MANUAL, DE TUBO DE AÇO CARBONO LEVE OU MÉDIO, PRETO OU GALVANIZADO, COM DIÂMETRO MAIOR QUE 90 MM E MENOR OU IGUAL A 125 MM (UNIDADE: MXKM). AF_07/2019</v>
          </cell>
          <cell r="C6422" t="str">
            <v>MXKM</v>
          </cell>
          <cell r="D6422">
            <v>22.15</v>
          </cell>
        </row>
        <row r="6423">
          <cell r="A6423" t="str">
            <v>100254</v>
          </cell>
          <cell r="B6423" t="str">
            <v>TRANSPORTE HORIZONTAL MANUAL, DE TUBO DE AÇO CARBONO LEVE OU MÉDIO, PRETO OU GALVANIZADO, COM DIÂMETRO MAIOR QUE 125 MM E MENOR OU IGUAL A 150 MM (UNIDADE: MXKM). AF_07/2019</v>
          </cell>
          <cell r="C6423" t="str">
            <v>MXKM</v>
          </cell>
          <cell r="D6423">
            <v>33.229999999999997</v>
          </cell>
        </row>
        <row r="6424">
          <cell r="A6424" t="str">
            <v>100255</v>
          </cell>
          <cell r="B6424" t="str">
            <v>TRANSPORTE HORIZONTAL MANUAL, DE TÁBUAS DE MADEIRA COM SEÇÃO TRANSVERSAL DE 2,5 X 25 CM E 2,5 X 30 CM (UNIDADE: MXKM). AF_07/2019</v>
          </cell>
          <cell r="C6424" t="str">
            <v>MXKM</v>
          </cell>
          <cell r="D6424">
            <v>11.24</v>
          </cell>
        </row>
        <row r="6425">
          <cell r="A6425" t="str">
            <v>100256</v>
          </cell>
          <cell r="B6425" t="str">
            <v>TRANSPORTE HORIZONTAL MANUAL, DE CAIBROS DE MADEIRA COM SEÇÃO TRANSVERSAL DE 7,5 X 6 CM E 6 X 8 CM (UNIDADE: MXKM). AF_07/2019</v>
          </cell>
          <cell r="C6425" t="str">
            <v>MXKM</v>
          </cell>
          <cell r="D6425">
            <v>7.49</v>
          </cell>
        </row>
        <row r="6426">
          <cell r="A6426" t="str">
            <v>100257</v>
          </cell>
          <cell r="B6426" t="str">
            <v>TRANSPORTE HORIZONTAL MANUAL, DE RIPAS DE MADEIRA COM SEÇÃO TRANSVERSAL DE 1 X 5 CM E 2 X 5 CM (UNIDADE: MXKM). AF_07/2019</v>
          </cell>
          <cell r="C6426" t="str">
            <v>MXKM</v>
          </cell>
          <cell r="D6426">
            <v>4.5</v>
          </cell>
        </row>
        <row r="6427">
          <cell r="A6427" t="str">
            <v>100258</v>
          </cell>
          <cell r="B6427" t="str">
            <v>TRANSPORTE HORIZONTAL MANUAL, DE VIGAS DE MADEIRA COM SEÇÃO TRANSVERSAL DE 5 X 12 CM (UNIDADE: MXKM). AF_07/2019</v>
          </cell>
          <cell r="C6427" t="str">
            <v>MXKM</v>
          </cell>
          <cell r="D6427">
            <v>11.24</v>
          </cell>
        </row>
        <row r="6428">
          <cell r="A6428" t="str">
            <v>100259</v>
          </cell>
          <cell r="B6428" t="str">
            <v>TRANSPORTE HORIZONTAL MANUAL, DE VIGAS DE MADEIRA COM SEÇÃO TRANSVERSAL DE 6 X 16 CM (UNIDADE: MXKM). AF_07/2019</v>
          </cell>
          <cell r="C6428" t="str">
            <v>KGXKM</v>
          </cell>
          <cell r="D6428">
            <v>22.15</v>
          </cell>
        </row>
        <row r="6429">
          <cell r="A6429" t="str">
            <v>100260</v>
          </cell>
          <cell r="B6429" t="str">
            <v>TRANSPORTE HORIZONTAL MANUAL, DE VERGALHÕES DE AÇO COM DIÂMETRO DE 5 MM (UNIDADE: KGXKM). AF_07/2019</v>
          </cell>
          <cell r="C6429" t="str">
            <v>KGXKM</v>
          </cell>
          <cell r="D6429">
            <v>7.3</v>
          </cell>
        </row>
        <row r="6430">
          <cell r="A6430" t="str">
            <v>100261</v>
          </cell>
          <cell r="B6430" t="str">
            <v>TRANSPORTE HORIZONTAL MANUAL, DE VERGALHÕES DE AÇO COM DIÂMETRO DE 6,3 MM (UNIDADE: KGXKM). AF_07/2019</v>
          </cell>
          <cell r="C6430" t="str">
            <v>KGXKM</v>
          </cell>
          <cell r="D6430">
            <v>4.59</v>
          </cell>
        </row>
        <row r="6431">
          <cell r="A6431" t="str">
            <v>100262</v>
          </cell>
          <cell r="B6431" t="str">
            <v>TRANSPORTE HORIZONTAL MANUAL, DE VERGALHÕES DE AÇO COM DIÂMETRO DE 8 MM (UNIDADE: KGXKM). AF_07/2019</v>
          </cell>
          <cell r="C6431" t="str">
            <v>KGXKM</v>
          </cell>
          <cell r="D6431">
            <v>2.84</v>
          </cell>
        </row>
        <row r="6432">
          <cell r="A6432" t="str">
            <v>100263</v>
          </cell>
          <cell r="B6432" t="str">
            <v>TRANSPORTE HORIZONTAL MANUAL, DE VERGALHÕES DE AÇO COM DIÂMETRO DE 10 MM; 12,5 MM; 16 MM; 20 MM; 25 MM OU 32 MM (UNIDADE: KGXKM). AF_07/2019</v>
          </cell>
          <cell r="C6432" t="str">
            <v>M2XKM</v>
          </cell>
          <cell r="D6432">
            <v>1.82</v>
          </cell>
        </row>
        <row r="6433">
          <cell r="A6433" t="str">
            <v>100264</v>
          </cell>
          <cell r="B6433" t="str">
            <v>TRANSPORTE HORIZONTAL MANUAL, DE JANELA (UNIDADE: M2XKM). AF_07/2019</v>
          </cell>
          <cell r="C6433" t="str">
            <v>M2</v>
          </cell>
          <cell r="D6433">
            <v>33.18</v>
          </cell>
        </row>
        <row r="6434">
          <cell r="A6434" t="str">
            <v>100265</v>
          </cell>
          <cell r="B6434" t="str">
            <v>TRANSPORTE VERTICAL MANUAL, 1 PAVIMENTO, DE JANELA (UNIDADE: M2). AF_07/2019</v>
          </cell>
          <cell r="C6434" t="str">
            <v>UNXKM</v>
          </cell>
          <cell r="D6434">
            <v>0.69</v>
          </cell>
        </row>
        <row r="6435">
          <cell r="A6435" t="str">
            <v>100266</v>
          </cell>
          <cell r="B6435" t="str">
            <v>TRANSPORTE HORIZONTAL MANUAL, DE PORTA (UNIDADE: UNIDXKM). AF_07/2019</v>
          </cell>
          <cell r="C6435" t="str">
            <v>UN</v>
          </cell>
          <cell r="D6435">
            <v>70.53</v>
          </cell>
        </row>
        <row r="6436">
          <cell r="A6436" t="str">
            <v>100267</v>
          </cell>
          <cell r="B6436" t="str">
            <v>TRANSPORTE VERTICAL MANUAL, 1 PAVIMENTO, DE PORTA (UNIDADE: UNID). AF_07/2019</v>
          </cell>
          <cell r="C6436" t="str">
            <v>UNXKM</v>
          </cell>
          <cell r="D6436">
            <v>1.39</v>
          </cell>
        </row>
        <row r="6437">
          <cell r="A6437" t="str">
            <v>100268</v>
          </cell>
          <cell r="B6437" t="str">
            <v>TRANSPORTE HORIZONTAL MANUAL, DE BANCADA DE MÁRMORE OU GRANITO PARA COZINHA/LAVATÓRIO OU MÁRMORE SINTÉTICO COM CUBA INTEGRADA (UNIDADE: UNIDXKM). AF_07/2019</v>
          </cell>
          <cell r="C6437" t="str">
            <v>UN</v>
          </cell>
          <cell r="D6437">
            <v>70.53</v>
          </cell>
        </row>
        <row r="6438">
          <cell r="A6438" t="str">
            <v>100269</v>
          </cell>
          <cell r="B6438" t="str">
            <v>TRANSPORTE VERTICAL, BANCADA DE MÁRMORE OU GRANITO PARA COZINHA/LAVATÓRIO OU MÁRMORE SINTÉTICO COM CUBA INTEGRADA, MANUAL, 1 PAVIMENTO, (UNIDADE: UNID). AF_07/2019</v>
          </cell>
          <cell r="C6438" t="str">
            <v>UNXKM</v>
          </cell>
          <cell r="D6438">
            <v>1.39</v>
          </cell>
        </row>
        <row r="6439">
          <cell r="A6439" t="str">
            <v>100270</v>
          </cell>
          <cell r="B6439" t="str">
            <v>TRANSPORTE HORIZONTAL COM CARRINHO PLATAFORMA, DE BANCADA DE MÁRMORE OU GRANITO PARA COZINHA/LAVATÓRIO OU MÁRMORE SINTÉTICO COM CUBA INTEGRADA (UNIDADE: UNIDXKM). AF_07/2019</v>
          </cell>
          <cell r="C6439" t="str">
            <v>M2XKM</v>
          </cell>
          <cell r="D6439">
            <v>52.87</v>
          </cell>
        </row>
        <row r="6440">
          <cell r="A6440" t="str">
            <v>100271</v>
          </cell>
          <cell r="B6440" t="str">
            <v>TRANSPORTE HORIZONTAL MANUAL, DE VIDRO (UNIDADE: M2XKM). AF_07/2019</v>
          </cell>
          <cell r="C6440" t="str">
            <v>M2</v>
          </cell>
          <cell r="D6440">
            <v>52.89</v>
          </cell>
        </row>
        <row r="6441">
          <cell r="A6441" t="str">
            <v>100272</v>
          </cell>
          <cell r="B6441" t="str">
            <v>TRANSPORTE VERTICAL MANUAL, 1 PAVIMENTO, DE VIDRO (UNIDADE: M2). AF_07/2019</v>
          </cell>
          <cell r="C6441" t="str">
            <v>KGXKM</v>
          </cell>
          <cell r="D6441">
            <v>1.04</v>
          </cell>
        </row>
        <row r="6442">
          <cell r="A6442" t="str">
            <v>100273</v>
          </cell>
          <cell r="B6442" t="str">
            <v>TRANSPORTE HORIZONTAL MANUAL, DE TELA DE AÇO (UNIDADE: KGXKM). AF_07/2019</v>
          </cell>
          <cell r="C6442" t="str">
            <v>M2XKM</v>
          </cell>
          <cell r="D6442">
            <v>2.75</v>
          </cell>
        </row>
        <row r="6443">
          <cell r="A6443" t="str">
            <v>100274</v>
          </cell>
          <cell r="B6443" t="str">
            <v>TRANSPORTE HORIZONTAL MANUAL, DE COMPENSADO DE MADEIRA (UNIDADE: M2XKM). AF_07/2019</v>
          </cell>
          <cell r="C6443" t="str">
            <v>M2XKM</v>
          </cell>
          <cell r="D6443">
            <v>23.52</v>
          </cell>
        </row>
        <row r="6444">
          <cell r="A6444" t="str">
            <v>100275</v>
          </cell>
          <cell r="B6444" t="str">
            <v>TRANSPORTE HORIZONTAL MANUAL, DE TELHA TERMOACÚSTICA OU TELHA DE AÇO ZINCADO (UNIDADE: M2XKM). AF_07/2019</v>
          </cell>
          <cell r="C6444" t="str">
            <v>M2XKM</v>
          </cell>
          <cell r="D6444">
            <v>15.2</v>
          </cell>
        </row>
        <row r="6445">
          <cell r="A6445" t="str">
            <v>100276</v>
          </cell>
          <cell r="B6445" t="str">
            <v>TRANSPORTE HORIZONTAL MANUAL, DE TELHA DE FIBROCIMENTO OU TELHA ESTRUTURAL DE FIBROCIMENTO, CANALETE 90 OU KALHETÃO (UNIDADE: M2XKM). AF_07/2019</v>
          </cell>
          <cell r="C6445" t="str">
            <v>M2XKM</v>
          </cell>
          <cell r="D6445">
            <v>27.75</v>
          </cell>
        </row>
        <row r="6446">
          <cell r="A6446" t="str">
            <v>100277</v>
          </cell>
          <cell r="B6446" t="str">
            <v>TRANSPORTE HORIZONTAL COM MANIPULADOR TELESCÓPICO, DE TELHAS TERMOACÚSTICAS, FIBROCIMENTO, AÇO ZINCADO, FIBROCIMENTO ESTRUTURAL, CANALETE 90 OU KALHETÃO (UNIDADE: M2XKM). AF_07/2019</v>
          </cell>
          <cell r="C6446" t="str">
            <v>UNXKM</v>
          </cell>
          <cell r="D6446">
            <v>1.74</v>
          </cell>
        </row>
        <row r="6447">
          <cell r="A6447" t="str">
            <v>100278</v>
          </cell>
          <cell r="B6447" t="str">
            <v>TRANSPORTE HORIZONTAL MANUAL, DE BACIA SANITÁRIA, CAIXA ACOPLADA, TANQUE OU PIA (UNIDADE: UNIDXKM). AF_07/2019</v>
          </cell>
          <cell r="C6447" t="str">
            <v>UN</v>
          </cell>
          <cell r="D6447">
            <v>33.74</v>
          </cell>
        </row>
        <row r="6448">
          <cell r="A6448" t="str">
            <v>100279</v>
          </cell>
          <cell r="B6448" t="str">
            <v>TRANSPORTE VERTICAL MANUAL, 1 PAVIMENTO, DE BACIA SANITÁRIA, CAIXA ACOPLADA, TANQUE OU PIA (UNIDADE: UNID). AF_07/2019</v>
          </cell>
          <cell r="C6448" t="str">
            <v>UNXKM</v>
          </cell>
          <cell r="D6448">
            <v>0.65</v>
          </cell>
        </row>
        <row r="6449">
          <cell r="A6449" t="str">
            <v>100280</v>
          </cell>
          <cell r="B6449" t="str">
            <v>TRANSPORTE HORIZONTAL COM CARRINHO PLATAFORMA, DE BACIA SANITÁRIA, CAIXA ACOPLADA, TANQUE OU PIA (UNIDADE: UNIDXKM). AF_07/2019</v>
          </cell>
          <cell r="C6449" t="str">
            <v>UNXKM</v>
          </cell>
          <cell r="D6449">
            <v>15.49</v>
          </cell>
        </row>
        <row r="6450">
          <cell r="A6450" t="str">
            <v>100281</v>
          </cell>
          <cell r="B6450" t="str">
            <v>TRANSPORTE HORIZONTAL COM MANIPULADOR TELESCÓPICO, DE BACIA SANITÁRIA, CAIXA ACOPLADA, TANQUE OU PIA (UNIDADE: UNIDXKM). AF_07/2019</v>
          </cell>
          <cell r="C6450" t="str">
            <v>M2XKM</v>
          </cell>
          <cell r="D6450">
            <v>3.33</v>
          </cell>
        </row>
        <row r="6451">
          <cell r="A6451" t="str">
            <v>100282</v>
          </cell>
          <cell r="B6451" t="str">
            <v>TRANSPORTE HORIZONTAL MANUAL, DE TELHA DE CONCRETO OU CERÂMICA (UNIDADE: M2XKM). AF_07/2019</v>
          </cell>
          <cell r="C6451" t="str">
            <v>M2XKM</v>
          </cell>
          <cell r="D6451">
            <v>132.13999999999999</v>
          </cell>
        </row>
        <row r="6452">
          <cell r="A6452" t="str">
            <v>100283</v>
          </cell>
          <cell r="B6452" t="str">
            <v>TRANSPORTE HORIZONTAL COM CARRINHO PLATAFORMA, DE TELHA DE CONCRETO OU CERÂMICA (UNIDADE: M2XKM). AF_07/2019</v>
          </cell>
          <cell r="C6452" t="str">
            <v>M2XKM</v>
          </cell>
          <cell r="D6452">
            <v>21.34</v>
          </cell>
        </row>
        <row r="6453">
          <cell r="A6453" t="str">
            <v>100284</v>
          </cell>
          <cell r="B6453" t="str">
            <v>TRANSPORTE HORIZONTAL COM MANIPULADOR TELESCÓPICO, DE TELHA DE CONCRETO OU CERÂMICA (UNIDADE: M2XKM). AF_07/2019</v>
          </cell>
          <cell r="C6453" t="str">
            <v>MXKM</v>
          </cell>
          <cell r="D6453">
            <v>9.7799999999999994</v>
          </cell>
        </row>
        <row r="6454">
          <cell r="A6454" t="str">
            <v>100285</v>
          </cell>
          <cell r="B6454" t="str">
            <v>TRANSPORTE HORIZONTAL MANUAL, DE BARRAMENTO BLINDADO (UNIDADE: MXKM). AF_07/2019</v>
          </cell>
          <cell r="C6454" t="str">
            <v>MXKM</v>
          </cell>
          <cell r="D6454">
            <v>35.5</v>
          </cell>
        </row>
        <row r="6455">
          <cell r="A6455" t="str">
            <v>100286</v>
          </cell>
          <cell r="B6455" t="str">
            <v>TRANSPORTE HORIZONTAL COM CARRINHO PLATAFORMA, DE BARRAMENTO BLINDADO (UNIDADE: MXKM). AF_07/2019</v>
          </cell>
          <cell r="C6455" t="str">
            <v>MXKM</v>
          </cell>
          <cell r="D6455">
            <v>11.57</v>
          </cell>
        </row>
        <row r="6456">
          <cell r="A6456" t="str">
            <v>100287</v>
          </cell>
          <cell r="B6456" t="str">
            <v>TRANSPORTE HORIZONTAL MANUAL, DE CALHA QUADRADA NÚMERO 24  CORTE 33 (UNIDADE: MXKM). AF_07/2019</v>
          </cell>
          <cell r="C6456" t="str">
            <v>M2</v>
          </cell>
          <cell r="D6456">
            <v>11.07</v>
          </cell>
        </row>
        <row r="6457">
          <cell r="A6457" t="str">
            <v>99802</v>
          </cell>
          <cell r="B6457" t="str">
            <v>LIMPEZA DE PISO CERÂMICO OU PORCELANATO COM VASSOURA A SECO. AF_04/2019</v>
          </cell>
          <cell r="C6457" t="str">
            <v>M2</v>
          </cell>
          <cell r="D6457">
            <v>0.45</v>
          </cell>
        </row>
        <row r="6458">
          <cell r="A6458" t="str">
            <v>99803</v>
          </cell>
          <cell r="B6458" t="str">
            <v>LIMPEZA DE PISO CERÂMICO OU PORCELANATO COM PANO ÚMIDO. AF_04/2019</v>
          </cell>
          <cell r="C6458" t="str">
            <v>M2</v>
          </cell>
          <cell r="D6458">
            <v>1.75</v>
          </cell>
        </row>
        <row r="6459">
          <cell r="A6459" t="str">
            <v>99804</v>
          </cell>
          <cell r="B6459" t="str">
            <v>LIMPEZA DE PISO CERÂMICO OU PORCELANATO UTILIZANDO DETERGENTE NEUTRO E ESCOVAÇÃO MANUAL. AF_04/2019</v>
          </cell>
          <cell r="C6459" t="str">
            <v>M2</v>
          </cell>
          <cell r="D6459">
            <v>4.54</v>
          </cell>
        </row>
        <row r="6460">
          <cell r="A6460" t="str">
            <v>99805</v>
          </cell>
          <cell r="B6460" t="str">
            <v>LIMPEZA DE PISO CERÂMICO OU COM PEDRAS RÚSTICAS UTILIZANDO ÁCIDO MURIÁTICO. AF_04/2019</v>
          </cell>
          <cell r="C6460" t="str">
            <v>M2</v>
          </cell>
          <cell r="D6460">
            <v>9.44</v>
          </cell>
        </row>
        <row r="6461">
          <cell r="A6461" t="str">
            <v>99806</v>
          </cell>
          <cell r="B6461" t="str">
            <v>LIMPEZA DE REVESTIMENTO CERÂMICO EM PAREDE COM PANO ÚMIDO AF_04/2019</v>
          </cell>
          <cell r="C6461" t="str">
            <v>M2</v>
          </cell>
          <cell r="D6461">
            <v>0.72</v>
          </cell>
        </row>
        <row r="6462">
          <cell r="A6462" t="str">
            <v>99807</v>
          </cell>
          <cell r="B6462" t="str">
            <v>LIMPEZA DE REVESTIMENTO CERÂMICO EM PAREDE UTILIZANDO DETERGENTE NEUTRO E ESCOVAÇÃO MANUAL. AF_04/2019</v>
          </cell>
          <cell r="C6462" t="str">
            <v>M2</v>
          </cell>
          <cell r="D6462">
            <v>1.37</v>
          </cell>
        </row>
        <row r="6463">
          <cell r="A6463" t="str">
            <v>99808</v>
          </cell>
          <cell r="B6463" t="str">
            <v>LIMPEZA DE REVESTIMENTO CERÂMICO EM PAREDE UTILIZANDO ÁCIDO MURIÁTICO. AF_04/2019</v>
          </cell>
          <cell r="C6463" t="str">
            <v>M2</v>
          </cell>
          <cell r="D6463">
            <v>3.29</v>
          </cell>
        </row>
        <row r="6464">
          <cell r="A6464" t="str">
            <v>99809</v>
          </cell>
          <cell r="B6464" t="str">
            <v>LIMPEZA DE PISO DE LADRILHO HIDRÁULICO COM PANO ÚMIDO. AF_04/2019</v>
          </cell>
          <cell r="C6464" t="str">
            <v>M2</v>
          </cell>
          <cell r="D6464">
            <v>4.99</v>
          </cell>
        </row>
        <row r="6465">
          <cell r="A6465" t="str">
            <v>99810</v>
          </cell>
          <cell r="B6465" t="str">
            <v>LIMPEZA DE PISO DE MÁRMORE/GRANITO UTILIZANDO DETERGENTE NEUTRO E ESCOVAÇÃO MANUAL. AF_04/2019</v>
          </cell>
          <cell r="C6465" t="str">
            <v>M2</v>
          </cell>
          <cell r="D6465">
            <v>6.2</v>
          </cell>
        </row>
        <row r="6466">
          <cell r="A6466" t="str">
            <v>99811</v>
          </cell>
          <cell r="B6466" t="str">
            <v>LIMPEZA DE CONTRAPISO COM VASSOURA A SECO. AF_04/2019</v>
          </cell>
          <cell r="C6466" t="str">
            <v>M2</v>
          </cell>
          <cell r="D6466">
            <v>2.98</v>
          </cell>
        </row>
        <row r="6467">
          <cell r="A6467" t="str">
            <v>99812</v>
          </cell>
          <cell r="B6467" t="str">
            <v>LIMPEZA DE LADRILHO HIDRÁULICO EM PAREDE COM PANO ÚMIDO. AF_04/2019</v>
          </cell>
          <cell r="C6467" t="str">
            <v>M2</v>
          </cell>
          <cell r="D6467">
            <v>0.95</v>
          </cell>
        </row>
        <row r="6468">
          <cell r="A6468" t="str">
            <v>99813</v>
          </cell>
          <cell r="B6468" t="str">
            <v>LIMPEZA DE MÁRMORE/GRANITO EM PAREDE UTILIZANDO DETERGENTE NEUTRO E ESCOVAÇÃO MANUAL. AF_04/2019</v>
          </cell>
          <cell r="C6468" t="str">
            <v>M2</v>
          </cell>
          <cell r="D6468">
            <v>0.81</v>
          </cell>
        </row>
        <row r="6469">
          <cell r="A6469" t="str">
            <v>99814</v>
          </cell>
          <cell r="B6469" t="str">
            <v>LIMPEZA DE SUPERFÍCIE COM JATO DE ALTA PRESSÃO. AF_04/2019</v>
          </cell>
          <cell r="C6469" t="str">
            <v>UN</v>
          </cell>
          <cell r="D6469">
            <v>1.63</v>
          </cell>
        </row>
        <row r="6470">
          <cell r="A6470" t="str">
            <v>99815</v>
          </cell>
          <cell r="B6470" t="str">
            <v>LIMPEZA DE PIA INOX COM BANCADA DE PEDRA, INCLUSIVE METAIS CORRESPONDENTES. AF_04/2019</v>
          </cell>
          <cell r="C6470" t="str">
            <v>UN</v>
          </cell>
          <cell r="D6470">
            <v>7.15</v>
          </cell>
        </row>
        <row r="6471">
          <cell r="A6471" t="str">
            <v>99816</v>
          </cell>
          <cell r="B6471" t="str">
            <v>LIMPEZA DE TANQUE OU LAVATÓRIO DE LOUÇA ISOLADO, INCLUSIVE METAIS CORRESPONDENTES. AF_04/2019</v>
          </cell>
          <cell r="C6471" t="str">
            <v>UN</v>
          </cell>
          <cell r="D6471">
            <v>7.6</v>
          </cell>
        </row>
        <row r="6472">
          <cell r="A6472" t="str">
            <v>99817</v>
          </cell>
          <cell r="B6472" t="str">
            <v>LIMPEZA DE LAVATÓRIO DE LOUÇA COM BANCADA DE PEDRA, INCLUSIVE METAIS CORRESPONDENTES. AF_04/2019</v>
          </cell>
          <cell r="C6472" t="str">
            <v>UN</v>
          </cell>
          <cell r="D6472">
            <v>4.45</v>
          </cell>
        </row>
        <row r="6473">
          <cell r="A6473" t="str">
            <v>99818</v>
          </cell>
          <cell r="B6473" t="str">
            <v>LIMPEZA DE BACIA SANITÁRIA, BIDÊ OU MICTÓRIO EM LOUÇA, INCLUSIVE METAIS CORRESPONDENTES. AF_04/2019</v>
          </cell>
          <cell r="C6473" t="str">
            <v>M2</v>
          </cell>
          <cell r="D6473">
            <v>4.45</v>
          </cell>
        </row>
        <row r="6474">
          <cell r="A6474" t="str">
            <v>99819</v>
          </cell>
          <cell r="B6474" t="str">
            <v>LIMPEZA DE BANCADA DE PEDRA (MÁRMORE OU GRANITO). AF_04/2019</v>
          </cell>
          <cell r="C6474" t="str">
            <v>M2</v>
          </cell>
          <cell r="D6474">
            <v>14.21</v>
          </cell>
        </row>
        <row r="6475">
          <cell r="A6475" t="str">
            <v>99820</v>
          </cell>
          <cell r="B6475" t="str">
            <v>LIMPEZA DE JANELA INTEIRAMENTE DE VIDRO. AF_04/2019</v>
          </cell>
          <cell r="C6475" t="str">
            <v>M2</v>
          </cell>
          <cell r="D6475">
            <v>1.61</v>
          </cell>
        </row>
        <row r="6476">
          <cell r="A6476" t="str">
            <v>99821</v>
          </cell>
          <cell r="B6476" t="str">
            <v>LIMPEZA DE JANELA DE VIDRO COM CAIXILHO EM AÇO/ALUMÍNIO/PVC. AF_04/2019</v>
          </cell>
          <cell r="C6476" t="str">
            <v>M2</v>
          </cell>
          <cell r="D6476">
            <v>2.4900000000000002</v>
          </cell>
        </row>
        <row r="6477">
          <cell r="A6477" t="str">
            <v>99822</v>
          </cell>
          <cell r="B6477" t="str">
            <v>LIMPEZA DE PORTA DE MADEIRA. AF_04/2019</v>
          </cell>
          <cell r="C6477" t="str">
            <v>M2</v>
          </cell>
          <cell r="D6477">
            <v>0.85</v>
          </cell>
        </row>
        <row r="6478">
          <cell r="A6478" t="str">
            <v>99823</v>
          </cell>
          <cell r="B6478" t="str">
            <v>LIMPEZA DE PORTA INTEIRAMENTE DE VIDRO. AF_04/2019</v>
          </cell>
          <cell r="C6478" t="str">
            <v>M2</v>
          </cell>
          <cell r="D6478">
            <v>1.9</v>
          </cell>
        </row>
        <row r="6479">
          <cell r="A6479" t="str">
            <v>99824</v>
          </cell>
          <cell r="B6479" t="str">
            <v>LIMPEZA DE PORTA EM AÇO/ALUMÍNIO. AF_04/2019</v>
          </cell>
          <cell r="C6479" t="str">
            <v>M2</v>
          </cell>
          <cell r="D6479">
            <v>2.09</v>
          </cell>
        </row>
        <row r="6480">
          <cell r="A6480" t="str">
            <v>99825</v>
          </cell>
          <cell r="B6480" t="str">
            <v>LIMPEZA DE PORTA DE VIDRO COM CAIXILHO EM AÇO/ ALUMÍNIO/ PVC. AF_04/2019</v>
          </cell>
          <cell r="C6480" t="str">
            <v>M2</v>
          </cell>
          <cell r="D6480">
            <v>2.93</v>
          </cell>
        </row>
        <row r="6481">
          <cell r="A6481" t="str">
            <v>99826</v>
          </cell>
          <cell r="B6481" t="str">
            <v>LIMPEZA DE FORRO REMOVÍVEL COM PANO ÚMIDO. AF_04/2019</v>
          </cell>
          <cell r="C6481" t="str">
            <v>M</v>
          </cell>
          <cell r="D6481">
            <v>1.3</v>
          </cell>
        </row>
        <row r="6482">
          <cell r="A6482" t="str">
            <v>97010</v>
          </cell>
          <cell r="B6482" t="str">
            <v>GUARDA-CORPO FIXADO EM FÔRMA DE MADEIRA COM TRAVESSÕES EM MADEIRA PREGADA E FECHAMENTO EM TELA DE POLIPROPILENO PARA EDIFICAÇÕES COM ATÉ 2 PAVIMENTOS. AF_11/2017</v>
          </cell>
          <cell r="C6482" t="str">
            <v>M</v>
          </cell>
          <cell r="D6482">
            <v>66.540000000000006</v>
          </cell>
        </row>
        <row r="6483">
          <cell r="A6483" t="str">
            <v>97011</v>
          </cell>
          <cell r="B6483" t="str">
            <v>GUARDA-CORPO FIXADO EM FÔRMA DE MADEIRA COM TRAVESSÕES EM MADEIRA PREGADA E FECHAMENTO EM TELA DE POLIPROPILENO PARA EDIFICAÇÕES COM  3 PAVIMENTOS. AF_11/2017</v>
          </cell>
          <cell r="C6483" t="str">
            <v>M</v>
          </cell>
          <cell r="D6483">
            <v>50.86</v>
          </cell>
        </row>
        <row r="6484">
          <cell r="A6484" t="str">
            <v>97012</v>
          </cell>
          <cell r="B6484" t="str">
            <v>GUARDA-CORPO FIXADO EM FÔRMA DE MADEIRA COM TRAVESSÕES EM MADEIRA PREGADA E FECHAMENTO EM TELA DE POLIPROPILENO PARA EDIFICAÇÕES COM ALTURA IGUAL OU SUPERIOR A 4 PAVIMENTOS. AF_11/2017</v>
          </cell>
          <cell r="C6484" t="str">
            <v>M</v>
          </cell>
          <cell r="D6484">
            <v>43.03</v>
          </cell>
        </row>
        <row r="6485">
          <cell r="A6485" t="str">
            <v>97013</v>
          </cell>
          <cell r="B6485" t="str">
            <v>GUARDA-CORPO FIXADO EM FÔRMA DE MADEIRA COM TRAVESSÕES EM MADEIRA PREGADA E FECHAMENTO EM PAINEL COMPENSADO PARA EDIFICAÇÕES COM ATÉ 2 PAVIMENTOS. AF_11/2017</v>
          </cell>
          <cell r="C6485" t="str">
            <v>M</v>
          </cell>
          <cell r="D6485">
            <v>104.07</v>
          </cell>
        </row>
        <row r="6486">
          <cell r="A6486" t="str">
            <v>97014</v>
          </cell>
          <cell r="B6486" t="str">
            <v>GUARDA-CORPO FIXADO EM FÔRMA DE MADEIRA COM TRAVESSÕES EM MADEIRA PREGADA E FECHAMENTO EM PAINEL COMPENSADO PARA EDIFICAÇÕES COM 3 PAVIMENTOS. AF_11/2017</v>
          </cell>
          <cell r="C6486" t="str">
            <v>M</v>
          </cell>
          <cell r="D6486">
            <v>76.13</v>
          </cell>
        </row>
        <row r="6487">
          <cell r="A6487" t="str">
            <v>97015</v>
          </cell>
          <cell r="B6487" t="str">
            <v>GUARDA-CORPO FIXADO EM FÔRMA DE MADEIRA COM TRAVESSÕES EM MADEIRA PREGADA E FECHAMENTO EM PAINEL COMPENSADO PARA EDIFICAÇÕES COM ALTURA IGUAL OU SUPERIOR A 4 PAVIMENTOS. AF_11/2017</v>
          </cell>
          <cell r="C6487" t="str">
            <v>M</v>
          </cell>
          <cell r="D6487">
            <v>62.03</v>
          </cell>
        </row>
        <row r="6488">
          <cell r="A6488" t="str">
            <v>97016</v>
          </cell>
          <cell r="B6488" t="str">
            <v>GUARDA-CORPO FIXADO EM FÔRMA DE MADEIRA COM TRAVESSÕES EM MADEIRA PREGADA PRÉ-MONTADA E ENCAIXE NA FÔRMA. PARA EDIFICAÇÕES COM ATÉ 2 PAVIMENTOS. AF_11/2017</v>
          </cell>
          <cell r="C6488" t="str">
            <v>M</v>
          </cell>
          <cell r="D6488">
            <v>59.33</v>
          </cell>
        </row>
        <row r="6489">
          <cell r="A6489" t="str">
            <v>97017</v>
          </cell>
          <cell r="B6489" t="str">
            <v>GUARDA-CORPO FIXADO EM FÔRMA DE MADEIRA COM TRAVESSÕES EM MADEIRA PREGADA PRÉ-MONTADA E ENCAIXE NA FÔRMA PARA EDIFICAÇÕES COM 3 PAVIMENTOS. AF_11/2017</v>
          </cell>
          <cell r="C6489" t="str">
            <v>M</v>
          </cell>
          <cell r="D6489">
            <v>44.38</v>
          </cell>
        </row>
        <row r="6490">
          <cell r="A6490" t="str">
            <v>97018</v>
          </cell>
          <cell r="B6490" t="str">
            <v>GUARDA-CORPO FIXADO EM FÔRMA DE MADEIRA COM TRAVESSÕES EM MADEIRA PREGADA PRÉ-MONTADA E ENCAIXE NA FÔRMA. PARA EDIFICAÇÕES COM ALTURA IGUAL OU SUPERIOR A 4 PAVIMENTOS. AF_11/2017</v>
          </cell>
          <cell r="C6490" t="str">
            <v>M</v>
          </cell>
          <cell r="D6490">
            <v>36.630000000000003</v>
          </cell>
        </row>
        <row r="6491">
          <cell r="A6491" t="str">
            <v>97031</v>
          </cell>
          <cell r="B6491" t="str">
            <v>GUARDA-CORPO EM LAJE PÓS-DESFÔRMA, PARA ESTRUTURAS EM CONCRETO, COM ESCORAS DE MADEIRA ESTRONCADAS NA ESTRUTURA, TRAVESSÕES DE MADEIRA PREGADOS E FECHAMENTO EM TELA DE POLIPROPILENO PARA EDIFICAÇÕES COM ALTURA ATÉ 4 PAVIMENTOS (1 MONTAGEM POR OBRA). AF_11/2017</v>
          </cell>
          <cell r="C6491" t="str">
            <v>M</v>
          </cell>
          <cell r="D6491">
            <v>92.81</v>
          </cell>
        </row>
        <row r="6492">
          <cell r="A6492" t="str">
            <v>97032</v>
          </cell>
          <cell r="B6492" t="str">
            <v>GUARDA-CORPO EM LAJE PÓS-DESFÔRMA, PARA ESTRUTURAS EM CONCRETO, COM ESCORAS DE MADEIRA ESTRONCADAS NA ESTRUTURA, TRAVESSÕES DE MADEIRA PREGADOS E FECHAMENTO EM TELA DE POLIPROPILENO PARA EDIFICAÇÕES ACIMA DE 4 PAV. (2 MONTAGENS POR OBRA). AF_11/2017</v>
          </cell>
          <cell r="C6492" t="str">
            <v>M</v>
          </cell>
          <cell r="D6492">
            <v>56.83</v>
          </cell>
        </row>
        <row r="6493">
          <cell r="A6493" t="str">
            <v>97033</v>
          </cell>
          <cell r="B6493" t="str">
            <v>GUARDA-CORPO EM LAJE PÓS-DESFORMA, PARA ESTRUTURAS EM CONCRETO, COM ESCORAS METÁLICAS ESTRONCADAS NA ESTRUTURA, TRAVESSÕES DE MADEIRA E FECHAMENTO EM TELA DE POLIPROPILENO PARA EDIFICAÇÕES COM ALTURA ATÉ 4 PAVIMENTOS (1 MONTAGEM POR OBRA). AF_11/2017</v>
          </cell>
          <cell r="C6493" t="str">
            <v>M</v>
          </cell>
          <cell r="D6493">
            <v>89.59</v>
          </cell>
        </row>
        <row r="6494">
          <cell r="A6494" t="str">
            <v>97034</v>
          </cell>
          <cell r="B6494" t="str">
            <v>GUARDA-CORPO EM LAJE PÓS-DESFORMA, PARA ESTRUTURAS EM CONCRETO, COM ESCORAS METÁLICAS ESTRONCADAS NA ESTRUTURA, TRAVESSÕES DE MADEIRA E FECHAMENTO EM TELA DE POLIPROPILENO PARA EDIFICAÇÕES ACIMA DE 4 PAVIMENTOS (2 MONTAGENS POR OBRA). AF_11/2017</v>
          </cell>
          <cell r="C6494" t="str">
            <v>M2</v>
          </cell>
          <cell r="D6494">
            <v>53.97</v>
          </cell>
        </row>
        <row r="6495">
          <cell r="A6495" t="str">
            <v>97039</v>
          </cell>
          <cell r="B6495" t="str">
            <v>FECHAMENTO REMOVÍVEL DE VÃO DE PORTAS, EM MADEIRA (VÃO DO ELEVADOR)  1 MONTAGEM EM OBRA. AF_11/2017</v>
          </cell>
          <cell r="C6495" t="str">
            <v>M2</v>
          </cell>
          <cell r="D6495">
            <v>49.67</v>
          </cell>
        </row>
        <row r="6496">
          <cell r="A6496" t="str">
            <v>97040</v>
          </cell>
          <cell r="B6496" t="str">
            <v>FECHAMENTO REMOVÍVEL DE ABERTURA DE CAIXILHO, EM MADEIRA  4 MONTAGENS EM OBRA. AF_11/2017</v>
          </cell>
          <cell r="C6496" t="str">
            <v>M2</v>
          </cell>
          <cell r="D6496">
            <v>16.52</v>
          </cell>
        </row>
        <row r="6497">
          <cell r="A6497" t="str">
            <v>97041</v>
          </cell>
          <cell r="B6497" t="str">
            <v>FECHAMENTO REMOVÍVEL DE ABERTURA NO PISO, EM MADEIRA  1 MONTAGEM EM OBRA. AF_11/2017</v>
          </cell>
          <cell r="C6497" t="str">
            <v>M2</v>
          </cell>
          <cell r="D6497">
            <v>266.25</v>
          </cell>
        </row>
        <row r="6498">
          <cell r="A6498" t="str">
            <v>97046</v>
          </cell>
          <cell r="B6498" t="str">
            <v>PONTEIRAS DE PROTEÇÃO DE VERGALHÕES EXPOSTOS EM FUNDAÇÕES. AF_11/2017</v>
          </cell>
          <cell r="C6498" t="str">
            <v>M2</v>
          </cell>
          <cell r="D6498">
            <v>0.34</v>
          </cell>
        </row>
        <row r="6499">
          <cell r="A6499" t="str">
            <v>97047</v>
          </cell>
          <cell r="B6499" t="str">
            <v>PONTEIRAS DE PROTEÇÃO DE VERGALHÕES EXPOSTOS EM ESTRUTURAS DE CONCRETO ARMADO CONVENCIONAL. AF_11/2017</v>
          </cell>
          <cell r="C6499" t="str">
            <v>M2</v>
          </cell>
          <cell r="D6499">
            <v>0.13</v>
          </cell>
        </row>
        <row r="6500">
          <cell r="A6500" t="str">
            <v>97048</v>
          </cell>
          <cell r="B6500" t="str">
            <v>PONTEIRAS DE PROTEÇÃO DE VERGALHÕES EXPOSTOS EM ALVENARIA ESTRUTURAL. AF_11/2017</v>
          </cell>
          <cell r="C6500" t="str">
            <v>UN</v>
          </cell>
          <cell r="D6500">
            <v>0.09</v>
          </cell>
        </row>
        <row r="6501">
          <cell r="A6501" t="str">
            <v>97054</v>
          </cell>
          <cell r="B6501" t="str">
            <v>INSTALAÇÃO DE SINALIZADOR NOTURNO LED. AF_11/2017</v>
          </cell>
          <cell r="C6501" t="str">
            <v>M2</v>
          </cell>
          <cell r="D6501">
            <v>23.1</v>
          </cell>
        </row>
        <row r="6502">
          <cell r="A6502" t="str">
            <v>97062</v>
          </cell>
          <cell r="B6502" t="str">
            <v>COLOCAÇÃO DE TELA EM ANDAIME FACHADEIRO. AF_11/2017</v>
          </cell>
          <cell r="C6502" t="str">
            <v>M2</v>
          </cell>
          <cell r="D6502">
            <v>6.31</v>
          </cell>
        </row>
        <row r="6503">
          <cell r="A6503" t="str">
            <v>97063</v>
          </cell>
          <cell r="B6503" t="str">
            <v>MONTAGEM E DESMONTAGEM DE ANDAIME MODULAR FACHADEIRO, COM PISO METÁLICO, PARA EDIFICAÇÕES COM MÚLTIPLOS PAVIMENTOS (EXCLUSIVE ANDAIME E LIMPEZA). AF_11/2017</v>
          </cell>
          <cell r="C6503" t="str">
            <v>M</v>
          </cell>
          <cell r="D6503">
            <v>10.6</v>
          </cell>
        </row>
        <row r="6504">
          <cell r="A6504" t="str">
            <v>97064</v>
          </cell>
          <cell r="B6504" t="str">
            <v>MONTAGEM E DESMONTAGEM DE ANDAIME TUBULAR TIPO TORRE (EXCLUSIVE ANDAIME E LIMPEZA). AF_11/2017</v>
          </cell>
          <cell r="C6504" t="str">
            <v>M3</v>
          </cell>
          <cell r="D6504">
            <v>19.3</v>
          </cell>
        </row>
        <row r="6505">
          <cell r="A6505" t="str">
            <v>97065</v>
          </cell>
          <cell r="B6505" t="str">
            <v>MONTAGEM E DESMONTAGEM DE ANDAIME MULTIDIRECIONAL (EXCLUSIVE ANDAIME E LIMPEZA). AF_11/2017</v>
          </cell>
          <cell r="C6505" t="str">
            <v>M2</v>
          </cell>
          <cell r="D6505">
            <v>6.46</v>
          </cell>
        </row>
        <row r="6506">
          <cell r="A6506" t="str">
            <v>97066</v>
          </cell>
          <cell r="B6506" t="str">
            <v>COBERTURA PARA PROTEÇÃO DE PEDESTRES SOBRE ESTRUTURA DE ANDAIME, INCLUSIVE MONTAGEM E DESMONTAGEM. AF_11/2017</v>
          </cell>
          <cell r="C6506" t="str">
            <v>M</v>
          </cell>
          <cell r="D6506">
            <v>113.62</v>
          </cell>
        </row>
        <row r="6507">
          <cell r="A6507" t="str">
            <v>97067</v>
          </cell>
          <cell r="B6507" t="str">
            <v>PLATAFORMA DE PROTEÇÃO PRINCIPAL PARA ALVENARIA ESTRUTURAL PARA SER APOIADA EM ANDAIME, INCLUSIVE MONTAGEM E DESMONTAGEM. AF_11/2017</v>
          </cell>
          <cell r="C6507" t="str">
            <v>M3</v>
          </cell>
          <cell r="D6507">
            <v>707.46</v>
          </cell>
        </row>
        <row r="6508">
          <cell r="A6508" t="str">
            <v>97621</v>
          </cell>
          <cell r="B6508" t="str">
            <v>DEMOLIÇÃO DE ALVENARIA DE BLOCO FURADO, DE FORMA MANUAL, COM REAPROVEITAMENTO. AF_12/2017</v>
          </cell>
          <cell r="C6508" t="str">
            <v>M3</v>
          </cell>
          <cell r="D6508">
            <v>98.02</v>
          </cell>
        </row>
        <row r="6509">
          <cell r="A6509" t="str">
            <v>97622</v>
          </cell>
          <cell r="B6509" t="str">
            <v>DEMOLIÇÃO DE ALVENARIA DE BLOCO FURADO, DE FORMA MANUAL, SEM REAPROVEITAMENTO. AF_12/2017</v>
          </cell>
          <cell r="C6509" t="str">
            <v>M3</v>
          </cell>
          <cell r="D6509">
            <v>47.78</v>
          </cell>
        </row>
        <row r="6510">
          <cell r="A6510" t="str">
            <v>97623</v>
          </cell>
          <cell r="B6510" t="str">
            <v>DEMOLIÇÃO DE ALVENARIA DE TIJOLO MACIÇO, DE FORMA MANUAL, COM REAPROVEITAMENTO. AF_12/2017</v>
          </cell>
          <cell r="C6510" t="str">
            <v>M3</v>
          </cell>
          <cell r="D6510">
            <v>146.35</v>
          </cell>
        </row>
        <row r="6511">
          <cell r="A6511" t="str">
            <v>97624</v>
          </cell>
          <cell r="B6511" t="str">
            <v>DEMOLIÇÃO DE ALVENARIA DE TIJOLO MACIÇO, DE FORMA MANUAL, SEM REAPROVEITAMENTO. AF_12/2017</v>
          </cell>
          <cell r="C6511" t="str">
            <v>M3</v>
          </cell>
          <cell r="D6511">
            <v>89.83</v>
          </cell>
        </row>
        <row r="6512">
          <cell r="A6512" t="str">
            <v>97625</v>
          </cell>
          <cell r="B6512" t="str">
            <v>DEMOLIÇÃO DE ALVENARIA PARA QUALQUER TIPO DE BLOCO, DE FORMA MECANIZADA, SEM REAPROVEITAMENTO. AF_12/2017</v>
          </cell>
          <cell r="C6512" t="str">
            <v>M3</v>
          </cell>
          <cell r="D6512">
            <v>52.36</v>
          </cell>
        </row>
        <row r="6513">
          <cell r="A6513" t="str">
            <v>97626</v>
          </cell>
          <cell r="B6513" t="str">
            <v>DEMOLIÇÃO DE PILARES E VIGAS EM CONCRETO ARMADO, DE FORMA MANUAL, SEM REAPROVEITAMENTO. AF_12/2017</v>
          </cell>
          <cell r="C6513" t="str">
            <v>M3</v>
          </cell>
          <cell r="D6513">
            <v>519.94000000000005</v>
          </cell>
        </row>
        <row r="6514">
          <cell r="A6514" t="str">
            <v>97627</v>
          </cell>
          <cell r="B6514" t="str">
            <v>DEMOLIÇÃO DE PILARES E VIGAS EM CONCRETO ARMADO, DE FORMA MECANIZADA COM MARTELETE, SEM REAPROVEITAMENTO. AF_12/2017</v>
          </cell>
          <cell r="C6514" t="str">
            <v>M3</v>
          </cell>
          <cell r="D6514">
            <v>241.02</v>
          </cell>
        </row>
        <row r="6515">
          <cell r="A6515" t="str">
            <v>97628</v>
          </cell>
          <cell r="B6515" t="str">
            <v>DEMOLIÇÃO DE LAJES, DE FORMA MANUAL, SEM REAPROVEITAMENTO. AF_12/2017</v>
          </cell>
          <cell r="C6515" t="str">
            <v>M3</v>
          </cell>
          <cell r="D6515">
            <v>236.12</v>
          </cell>
        </row>
        <row r="6516">
          <cell r="A6516" t="str">
            <v>97629</v>
          </cell>
          <cell r="B6516" t="str">
            <v>DEMOLIÇÃO DE LAJES, DE FORMA MECANIZADA COM MARTELETE, SEM REAPROVEITAMENTO. AF_12/2017</v>
          </cell>
          <cell r="C6516" t="str">
            <v>M2</v>
          </cell>
          <cell r="D6516">
            <v>102.43</v>
          </cell>
        </row>
        <row r="6517">
          <cell r="A6517" t="str">
            <v>97631</v>
          </cell>
          <cell r="B6517" t="str">
            <v>DEMOLIÇÃO DE ARGAMASSAS, DE FORMA MANUAL, SEM REAPROVEITAMENTO. AF_12/2017</v>
          </cell>
          <cell r="C6517" t="str">
            <v>M</v>
          </cell>
          <cell r="D6517">
            <v>2.84</v>
          </cell>
        </row>
        <row r="6518">
          <cell r="A6518" t="str">
            <v>97632</v>
          </cell>
          <cell r="B6518" t="str">
            <v>DEMOLIÇÃO DE RODAPÉ CERÂMICO, DE FORMA MANUAL, SEM REAPROVEITAMENTO. AF_12/2017</v>
          </cell>
          <cell r="C6518" t="str">
            <v>M2</v>
          </cell>
          <cell r="D6518">
            <v>2.25</v>
          </cell>
        </row>
        <row r="6519">
          <cell r="A6519" t="str">
            <v>97633</v>
          </cell>
          <cell r="B6519" t="str">
            <v>DEMOLIÇÃO DE REVESTIMENTO CERÂMICO, DE FORMA MANUAL, SEM REAPROVEITAMENTO. AF_12/2017</v>
          </cell>
          <cell r="C6519" t="str">
            <v>M2</v>
          </cell>
          <cell r="D6519">
            <v>19.690000000000001</v>
          </cell>
        </row>
        <row r="6520">
          <cell r="A6520" t="str">
            <v>97634</v>
          </cell>
          <cell r="B6520" t="str">
            <v>DEMOLIÇÃO DE REVESTIMENTO CERÂMICO, DE FORMA MECANIZADA COM MARTELETE, SEM REAPROVEITAMENTO. AF_12/2017</v>
          </cell>
          <cell r="C6520" t="str">
            <v>M2</v>
          </cell>
          <cell r="D6520">
            <v>10.31</v>
          </cell>
        </row>
        <row r="6521">
          <cell r="A6521" t="str">
            <v>97635</v>
          </cell>
          <cell r="B6521" t="str">
            <v>DEMOLIÇÃO DE PAVIMENTO INTERTRAVADO, DE FORMA MANUAL, COM REAPROVEITAMENTO. AF_12/2017</v>
          </cell>
          <cell r="C6521" t="str">
            <v>M2</v>
          </cell>
          <cell r="D6521">
            <v>13.27</v>
          </cell>
        </row>
        <row r="6522">
          <cell r="A6522" t="str">
            <v>97636</v>
          </cell>
          <cell r="B6522" t="str">
            <v>DEMOLIÇÃO PARCIAL DE PAVIMENTO ASFÁLTICO, DE FORMA MECANIZADA, SEM REAPROVEITAMENTO. AF_12/2017</v>
          </cell>
          <cell r="C6522" t="str">
            <v>M2</v>
          </cell>
          <cell r="D6522">
            <v>19.18</v>
          </cell>
        </row>
        <row r="6523">
          <cell r="A6523" t="str">
            <v>97637</v>
          </cell>
          <cell r="B6523" t="str">
            <v>REMOÇÃO DE TAPUME/ CHAPAS METÁLICAS E DE MADEIRA, DE FORMA MANUAL, SEM REAPROVEITAMENTO. AF_12/2017</v>
          </cell>
          <cell r="C6523" t="str">
            <v>M2</v>
          </cell>
          <cell r="D6523">
            <v>2.5099999999999998</v>
          </cell>
        </row>
        <row r="6524">
          <cell r="A6524" t="str">
            <v>97638</v>
          </cell>
          <cell r="B6524" t="str">
            <v>REMOÇÃO DE CHAPAS E PERFIS DE DRYWALL, DE FORMA MANUAL, SEM REAPROVEITAMENTO. AF_12/2017</v>
          </cell>
          <cell r="C6524" t="str">
            <v>M2</v>
          </cell>
          <cell r="D6524">
            <v>7.3</v>
          </cell>
        </row>
        <row r="6525">
          <cell r="A6525" t="str">
            <v>97639</v>
          </cell>
          <cell r="B6525" t="str">
            <v>REMOÇÃO DE PLACAS E PILARETES DE CONCRETO, DE FORMA MANUAL, SEM REAPROVEITAMENTO. AF_12/2017</v>
          </cell>
          <cell r="C6525" t="str">
            <v>M2</v>
          </cell>
          <cell r="D6525">
            <v>17.29</v>
          </cell>
        </row>
        <row r="6526">
          <cell r="A6526" t="str">
            <v>97640</v>
          </cell>
          <cell r="B6526" t="str">
            <v>REMOÇÃO DE FORROS DE DRYWALL, PVC E FIBROMINERAL, DE FORMA MANUAL, SEM REAPROVEITAMENTO. AF_12/2017</v>
          </cell>
          <cell r="C6526" t="str">
            <v>M2</v>
          </cell>
          <cell r="D6526">
            <v>1.58</v>
          </cell>
        </row>
        <row r="6527">
          <cell r="A6527" t="str">
            <v>97641</v>
          </cell>
          <cell r="B6527" t="str">
            <v>REMOÇÃO DE FORRO DE GESSO, DE FORMA MANUAL, SEM REAPROVEITAMENTO. AF_12/2017</v>
          </cell>
          <cell r="C6527" t="str">
            <v>M2</v>
          </cell>
          <cell r="D6527">
            <v>3.96</v>
          </cell>
        </row>
        <row r="6528">
          <cell r="A6528" t="str">
            <v>97642</v>
          </cell>
          <cell r="B6528" t="str">
            <v>REMOÇÃO DE TRAMA METÁLICA OU DE MADEIRA PARA FORRO, DE FORMA MANUAL, SEM REAPROVEITAMENTO. AF_12/2017</v>
          </cell>
          <cell r="C6528" t="str">
            <v>M2</v>
          </cell>
          <cell r="D6528">
            <v>2.83</v>
          </cell>
        </row>
        <row r="6529">
          <cell r="A6529" t="str">
            <v>97643</v>
          </cell>
          <cell r="B6529" t="str">
            <v>REMOÇÃO DE PISO DE MADEIRA (ASSOALHO E BARROTE), DE FORMA MANUAL, SEM REAPROVEITAMENTO. AF_12/2017</v>
          </cell>
          <cell r="C6529" t="str">
            <v>M2</v>
          </cell>
          <cell r="D6529">
            <v>21.27</v>
          </cell>
        </row>
        <row r="6530">
          <cell r="A6530" t="str">
            <v>97644</v>
          </cell>
          <cell r="B6530" t="str">
            <v>REMOÇÃO DE PORTAS, DE FORMA MANUAL, SEM REAPROVEITAMENTO. AF_12/2017</v>
          </cell>
          <cell r="C6530" t="str">
            <v>M2</v>
          </cell>
          <cell r="D6530">
            <v>7.99</v>
          </cell>
        </row>
        <row r="6531">
          <cell r="A6531" t="str">
            <v>97645</v>
          </cell>
          <cell r="B6531" t="str">
            <v>REMOÇÃO DE JANELAS, DE FORMA MANUAL, SEM REAPROVEITAMENTO. AF_12/2017</v>
          </cell>
          <cell r="C6531" t="str">
            <v>M2</v>
          </cell>
          <cell r="D6531">
            <v>31.61</v>
          </cell>
        </row>
        <row r="6532">
          <cell r="A6532" t="str">
            <v>97647</v>
          </cell>
          <cell r="B6532" t="str">
            <v>REMOÇÃO DE TELHAS, DE FIBROCIMENTO, METÁLICA E CERÂMICA, DE FORMA MANUAL, SEM REAPROVEITAMENTO. AF_12/2017</v>
          </cell>
          <cell r="C6532" t="str">
            <v>M2</v>
          </cell>
          <cell r="D6532">
            <v>2.88</v>
          </cell>
        </row>
        <row r="6533">
          <cell r="A6533" t="str">
            <v>97648</v>
          </cell>
          <cell r="B6533" t="str">
            <v>REMOÇÃO DE PROTEÇÃO TÉRMICA PARA COBERTURA EM EPS, DE FORMA MANUAL, SEM REAPROVEITAMENTO. AF_12/2017</v>
          </cell>
          <cell r="C6533" t="str">
            <v>M2</v>
          </cell>
          <cell r="D6533">
            <v>1.66</v>
          </cell>
        </row>
        <row r="6534">
          <cell r="A6534" t="str">
            <v>97649</v>
          </cell>
          <cell r="B6534" t="str">
            <v>REMOÇÃO DE TELHAS DE FIBROCIMENTO, METÁLICA E CERÂMICA, DE FORMA MECANIZADA, COM USO DE GUINDASTE, SEM REAPROVEITAMENTO. AF_12/2017</v>
          </cell>
          <cell r="C6534" t="str">
            <v>M2</v>
          </cell>
          <cell r="D6534">
            <v>3.78</v>
          </cell>
        </row>
        <row r="6535">
          <cell r="A6535" t="str">
            <v>97650</v>
          </cell>
          <cell r="B6535" t="str">
            <v>REMOÇÃO DE TRAMA DE MADEIRA PARA COBERTURA, DE FORMA MANUAL, SEM REAPROVEITAMENTO. AF_12/2017</v>
          </cell>
          <cell r="C6535" t="str">
            <v>UN</v>
          </cell>
          <cell r="D6535">
            <v>6.2</v>
          </cell>
        </row>
        <row r="6536">
          <cell r="A6536" t="str">
            <v>97651</v>
          </cell>
          <cell r="B6536" t="str">
            <v>REMOÇÃO DE TESOURAS DE MADEIRA, COM VÃO MENOR QUE 8M, DE FORMA MANUAL, SEM REAPROVEITAMENTO. AF_12/2017</v>
          </cell>
          <cell r="C6536" t="str">
            <v>UN</v>
          </cell>
          <cell r="D6536">
            <v>68.7</v>
          </cell>
        </row>
        <row r="6537">
          <cell r="A6537" t="str">
            <v>97652</v>
          </cell>
          <cell r="B6537" t="str">
            <v>REMOÇÃO DE TESOURAS DE MADEIRA, COM VÃO MAIOR OU IGUAL A 8M, DE FORMA MANUAL, SEM REAPROVEITAMENTO. AF_12/2017</v>
          </cell>
          <cell r="C6537" t="str">
            <v>UN</v>
          </cell>
          <cell r="D6537">
            <v>155.75</v>
          </cell>
        </row>
        <row r="6538">
          <cell r="A6538" t="str">
            <v>97653</v>
          </cell>
          <cell r="B6538" t="str">
            <v>REMOÇÃO DE TESOURAS DE MADEIRA, COM VÃO MENOR QUE 8M, DE FORMA MECANIZADA, COM REAPROVEITAMENTO. AF_12/2017</v>
          </cell>
          <cell r="C6538" t="str">
            <v>UN</v>
          </cell>
          <cell r="D6538">
            <v>129.53</v>
          </cell>
        </row>
        <row r="6539">
          <cell r="A6539" t="str">
            <v>97654</v>
          </cell>
          <cell r="B6539" t="str">
            <v>REMOÇÃO DE TESOURAS DE MADEIRA, COM VÃO MAIOR OU IGUAL A 8M, DE FORMA MECANIZADA, COM REAPROVEITAMENTO. AF_12/2017</v>
          </cell>
          <cell r="C6539" t="str">
            <v>M2</v>
          </cell>
          <cell r="D6539">
            <v>153.36000000000001</v>
          </cell>
        </row>
        <row r="6540">
          <cell r="A6540" t="str">
            <v>97655</v>
          </cell>
          <cell r="B6540" t="str">
            <v>REMOÇÃO DE TRAMA METÁLICA PARA COBERTURA, DE FORMA MANUAL, SEM REAPROVEITAMENTO. AF_12/2017</v>
          </cell>
          <cell r="C6540" t="str">
            <v>UN</v>
          </cell>
          <cell r="D6540">
            <v>18.45</v>
          </cell>
        </row>
        <row r="6541">
          <cell r="A6541" t="str">
            <v>97656</v>
          </cell>
          <cell r="B6541" t="str">
            <v>REMOÇÃO DE TESOURAS METÁLICAS, COM VÃO MENOR QUE 8M, DE FORMA MANUAL, SEM REAPROVEITAMENTO. AF_12/2017</v>
          </cell>
          <cell r="C6541" t="str">
            <v>UN</v>
          </cell>
          <cell r="D6541">
            <v>183.73</v>
          </cell>
        </row>
        <row r="6542">
          <cell r="A6542" t="str">
            <v>97657</v>
          </cell>
          <cell r="B6542" t="str">
            <v>REMOÇÃO DE TESOURAS METÁLICAS, COM VÃO MAIOR OU IGUAL A 8M, DE FORMA MANUAL, SEM REAPROVEITAMENTO. AF_12/2017</v>
          </cell>
          <cell r="C6542" t="str">
            <v>UN</v>
          </cell>
          <cell r="D6542">
            <v>364.18</v>
          </cell>
        </row>
        <row r="6543">
          <cell r="A6543" t="str">
            <v>97658</v>
          </cell>
          <cell r="B6543" t="str">
            <v>REMOÇÃO DE TESOURAS METÁLICAS, COM VÃO MENOR QUE 8M, DE FORMA MECANIZADA, COM REAPROVEITAMENTO. AF_12/2017</v>
          </cell>
          <cell r="C6543" t="str">
            <v>UN</v>
          </cell>
          <cell r="D6543">
            <v>174.15</v>
          </cell>
        </row>
        <row r="6544">
          <cell r="A6544" t="str">
            <v>97659</v>
          </cell>
          <cell r="B6544" t="str">
            <v>REMOÇÃO DE TESOURAS METÁLICAS, COM VÃO MAIOR OU IGUAL A 8M, DE FORMA MECANIZADA, COM REAPROVEITAMENTO. AF_12/2017</v>
          </cell>
          <cell r="C6544" t="str">
            <v>UN</v>
          </cell>
          <cell r="D6544">
            <v>225.62</v>
          </cell>
        </row>
        <row r="6545">
          <cell r="A6545" t="str">
            <v>97660</v>
          </cell>
          <cell r="B6545" t="str">
            <v>REMOÇÃO DE INTERRUPTORES/TOMADAS ELÉTRICAS, DE FORMA MANUAL, SEM REAPROVEITAMENTO. AF_12/2017</v>
          </cell>
          <cell r="C6545" t="str">
            <v>M</v>
          </cell>
          <cell r="D6545">
            <v>0.57999999999999996</v>
          </cell>
        </row>
        <row r="6546">
          <cell r="A6546" t="str">
            <v>97661</v>
          </cell>
          <cell r="B6546" t="str">
            <v>REMOÇÃO DE CABOS ELÉTRICOS, DE FORMA MANUAL, SEM REAPROVEITAMENTO. AF_12/2017</v>
          </cell>
          <cell r="C6546" t="str">
            <v>M</v>
          </cell>
          <cell r="D6546">
            <v>0.59</v>
          </cell>
        </row>
        <row r="6547">
          <cell r="A6547" t="str">
            <v>97662</v>
          </cell>
          <cell r="B6547" t="str">
            <v>REMOÇÃO DE TUBULAÇÕES (TUBOS E CONEXÕES) DE ÁGUA FRIA, DE FORMA MANUAL, SEM REAPROVEITAMENTO. AF_12/2017</v>
          </cell>
          <cell r="C6547" t="str">
            <v>UN</v>
          </cell>
          <cell r="D6547">
            <v>0.4</v>
          </cell>
        </row>
        <row r="6548">
          <cell r="A6548" t="str">
            <v>97663</v>
          </cell>
          <cell r="B6548" t="str">
            <v>REMOÇÃO DE LOUÇAS, DE FORMA MANUAL, SEM REAPROVEITAMENTO. AF_12/2017</v>
          </cell>
          <cell r="C6548" t="str">
            <v>UN</v>
          </cell>
          <cell r="D6548">
            <v>10.09</v>
          </cell>
        </row>
        <row r="6549">
          <cell r="A6549" t="str">
            <v>97664</v>
          </cell>
          <cell r="B6549" t="str">
            <v>REMOÇÃO DE ACESSÓRIOS, DE FORMA MANUAL, SEM REAPROVEITAMENTO. AF_12/2017</v>
          </cell>
          <cell r="C6549" t="str">
            <v>UN</v>
          </cell>
          <cell r="D6549">
            <v>1.26</v>
          </cell>
        </row>
        <row r="6550">
          <cell r="A6550" t="str">
            <v>97665</v>
          </cell>
          <cell r="B6550" t="str">
            <v>REMOÇÃO DE LUMINÁRIAS, DE FORMA MANUAL, SEM REAPROVEITAMENTO. AF_12/2017</v>
          </cell>
          <cell r="C6550" t="str">
            <v>UN</v>
          </cell>
          <cell r="D6550">
            <v>1.1299999999999999</v>
          </cell>
        </row>
        <row r="6551">
          <cell r="A6551" t="str">
            <v>97666</v>
          </cell>
          <cell r="B6551" t="str">
            <v>REMOÇÃO DE METAIS SANITÁRIOS, DE FORMA MANUAL, SEM REAPROVEITAMENTO. AF_12/2017</v>
          </cell>
          <cell r="C6551" t="str">
            <v>H</v>
          </cell>
          <cell r="D6551">
            <v>7.35</v>
          </cell>
        </row>
        <row r="6552">
          <cell r="A6552" t="str">
            <v>95967</v>
          </cell>
          <cell r="B6552" t="str">
            <v>SERVIÇOS TÉCNICOS ESPECIALIZADOS PARA ACOMPANHAMENTO DE EXECUÇÃO DE FUNDAÇÕES PROFUNDAS E ESTRUTURAS DE CONTENÇÃO</v>
          </cell>
          <cell r="C6552" t="str">
            <v>UN</v>
          </cell>
          <cell r="D6552">
            <v>143.72999999999999</v>
          </cell>
        </row>
        <row r="6553">
          <cell r="A6553" t="str">
            <v>99058</v>
          </cell>
          <cell r="B6553" t="str">
            <v>LOCAÇÃO DE PONTO PARA REFERÊNCIA TOPOGRÁFICA. AF_10/2018</v>
          </cell>
          <cell r="C6553" t="str">
            <v>M</v>
          </cell>
          <cell r="D6553">
            <v>10.09</v>
          </cell>
        </row>
        <row r="6554">
          <cell r="A6554" t="str">
            <v>99059</v>
          </cell>
          <cell r="B6554" t="str">
            <v>LOCACAO CONVENCIONAL DE OBRA, UTILIZANDO GABARITO DE TÁBUAS CORRIDAS PONTALETADAS A CADA 2,00M -  2 UTILIZAÇÕES. AF_10/2018</v>
          </cell>
          <cell r="C6554" t="str">
            <v>UN</v>
          </cell>
          <cell r="D6554">
            <v>55.96</v>
          </cell>
        </row>
        <row r="6555">
          <cell r="A6555" t="str">
            <v>99060</v>
          </cell>
          <cell r="B6555" t="str">
            <v>LOCAÇÃO COM CAVALETE COM ALTURA DE 1,00 M - 2 UTILIZAÇÕES. AF_10/2018</v>
          </cell>
          <cell r="C6555" t="str">
            <v>UN</v>
          </cell>
          <cell r="D6555">
            <v>149.11000000000001</v>
          </cell>
        </row>
        <row r="6556">
          <cell r="A6556" t="str">
            <v>99061</v>
          </cell>
          <cell r="B6556" t="str">
            <v>LOCAÇÃO COM CAVALETE COM ALTURA DE 0,50 M - 2 UTILIZAÇÕES. AF_10/2018</v>
          </cell>
          <cell r="C6556" t="str">
            <v>UN</v>
          </cell>
          <cell r="D6556">
            <v>99.51</v>
          </cell>
        </row>
        <row r="6557">
          <cell r="A6557" t="str">
            <v>99062</v>
          </cell>
          <cell r="B6557" t="str">
            <v>MARCAÇÃO DE PONTOS EM GABARITO OU CAVALETE. AF_10/2018</v>
          </cell>
          <cell r="C6557" t="str">
            <v>M</v>
          </cell>
          <cell r="D6557">
            <v>2.39</v>
          </cell>
        </row>
        <row r="6558">
          <cell r="A6558" t="str">
            <v>99063</v>
          </cell>
          <cell r="B6558" t="str">
            <v>LOCAÇÃO DE REDE DE ÁGUA OU ESGOTO. AF_10/2018</v>
          </cell>
          <cell r="C6558" t="str">
            <v>M</v>
          </cell>
          <cell r="D6558">
            <v>4.97</v>
          </cell>
        </row>
        <row r="6559">
          <cell r="A6559" t="str">
            <v>99064</v>
          </cell>
          <cell r="B6559" t="str">
            <v>LOCAÇÃO DE PAVIMENTAÇÃO. AF_10/2018</v>
          </cell>
          <cell r="C6559" t="str">
            <v>M3XKM</v>
          </cell>
          <cell r="D6559">
            <v>0.5</v>
          </cell>
        </row>
        <row r="6560">
          <cell r="A6560" t="str">
            <v>93588</v>
          </cell>
          <cell r="B6560" t="str">
            <v>TRANSPORTE COM CAMINHÃO BASCULANTE DE 10 M³, EM VIA URBANA EM LEITO NATURAL (UNIDADE: M3XKM). AF_07/2020</v>
          </cell>
          <cell r="C6560" t="str">
            <v>M3XKM</v>
          </cell>
          <cell r="D6560">
            <v>2.4700000000000002</v>
          </cell>
        </row>
        <row r="6561">
          <cell r="A6561" t="str">
            <v>93589</v>
          </cell>
          <cell r="B6561" t="str">
            <v>TRANSPORTE COM CAMINHÃO BASCULANTE DE 10 M³, EM VIA URBANA EM REVESTIMENTO PRIMÁRIO (UNIDADE: M3XKM). AF_07/2020</v>
          </cell>
          <cell r="C6561" t="str">
            <v>M3XKM</v>
          </cell>
          <cell r="D6561">
            <v>2.12</v>
          </cell>
        </row>
        <row r="6562">
          <cell r="A6562" t="str">
            <v>93590</v>
          </cell>
          <cell r="B6562" t="str">
            <v>TRANSPORTE COM CAMINHÃO BASCULANTE DE 10 M³, EM VIA URBANA PAVIMENTADA, ADICIONAL PARA DMT EXCEDENTE A 30 KM (UNIDADE: M3XKM). AF_07/2020</v>
          </cell>
          <cell r="C6562" t="str">
            <v>M3XKM</v>
          </cell>
          <cell r="D6562">
            <v>0.77</v>
          </cell>
        </row>
        <row r="6563">
          <cell r="A6563" t="str">
            <v>93591</v>
          </cell>
          <cell r="B6563" t="str">
            <v>TRANSPORTE COM CAMINHÃO BASCULANTE DE 14 M³, EM VIA URBANA EM LEITO NATURAL (UNIDADE: M3XKM). AF_07/2020</v>
          </cell>
          <cell r="C6563" t="str">
            <v>M3XKM</v>
          </cell>
          <cell r="D6563">
            <v>2.19</v>
          </cell>
        </row>
        <row r="6564">
          <cell r="A6564" t="str">
            <v>93592</v>
          </cell>
          <cell r="B6564" t="str">
            <v>TRANSPORTE COM CAMINHÃO BASCULANTE DE 14 M³, EM VIA URBANA EM REVESTIMENTO PRIMÁRIO (UNIDADE: M3XKM). AF_07/2020</v>
          </cell>
          <cell r="C6564" t="str">
            <v>M3XKM</v>
          </cell>
          <cell r="D6564">
            <v>1.91</v>
          </cell>
        </row>
        <row r="6565">
          <cell r="A6565" t="str">
            <v>93593</v>
          </cell>
          <cell r="B6565" t="str">
            <v>TRANSPORTE COM CAMINHÃO BASCULANTE DE 14 M³, EM VIA URBANA PAVIMENTADA, ADICIONAL PARA DMT EXCEDENTE A 30 KM (UNIDADE: M3XKM). AF_07/2020</v>
          </cell>
          <cell r="C6565" t="str">
            <v>TXKM</v>
          </cell>
          <cell r="D6565">
            <v>0.7</v>
          </cell>
        </row>
        <row r="6566">
          <cell r="A6566" t="str">
            <v>93594</v>
          </cell>
          <cell r="B6566" t="str">
            <v>TRANSPORTE COM CAMINHÃO BASCULANTE DE 10 M³, EM VIA URBANA EM LEITO NATURAL (UNIDADE: TXKM). AF_07/2020</v>
          </cell>
          <cell r="C6566" t="str">
            <v>TXKM</v>
          </cell>
          <cell r="D6566">
            <v>1.64</v>
          </cell>
        </row>
        <row r="6567">
          <cell r="A6567" t="str">
            <v>93595</v>
          </cell>
          <cell r="B6567" t="str">
            <v>TRANSPORTE COM CAMINHÃO BASCULANTE DE 10 M³, EM VIA URBANA EM REVESTIMENTO PRIMÁRIO (UNIDADE: TXKM). AF_07/2020</v>
          </cell>
          <cell r="C6567" t="str">
            <v>TXKM</v>
          </cell>
          <cell r="D6567">
            <v>1.43</v>
          </cell>
        </row>
        <row r="6568">
          <cell r="A6568" t="str">
            <v>93596</v>
          </cell>
          <cell r="B6568" t="str">
            <v>TRANSPORTE COM CAMINHÃO BASCULANTE DE 10 M³, EM VIA URBANA PAVIMENTADA, ADICIONAL PARA DMT EXCEDENTE A 30 KM (UNIDADE: TXKM). AF_07/2020</v>
          </cell>
          <cell r="C6568" t="str">
            <v>TXKM</v>
          </cell>
          <cell r="D6568">
            <v>0.51</v>
          </cell>
        </row>
        <row r="6569">
          <cell r="A6569" t="str">
            <v>93597</v>
          </cell>
          <cell r="B6569" t="str">
            <v>TRANSPORTE COM CAMINHÃO BASCULANTE DE 14 M³, EM VIA URBANA EM LEITO NATURAL (UNIDADE: TXKM). AF_07/2020</v>
          </cell>
          <cell r="C6569" t="str">
            <v>TXKM</v>
          </cell>
          <cell r="D6569">
            <v>1.45</v>
          </cell>
        </row>
        <row r="6570">
          <cell r="A6570" t="str">
            <v>93598</v>
          </cell>
          <cell r="B6570" t="str">
            <v>TRANSPORTE COM CAMINHÃO BASCULANTE DE 14 M³, EM VIA URBANA EM REVESTIMENTO PRIMÁRIO (UNIDADE: TXKM). AF_07/2020</v>
          </cell>
          <cell r="C6570" t="str">
            <v>TXKM</v>
          </cell>
          <cell r="D6570">
            <v>1.26</v>
          </cell>
        </row>
        <row r="6571">
          <cell r="A6571" t="str">
            <v>93599</v>
          </cell>
          <cell r="B6571" t="str">
            <v>TRANSPORTE COM CAMINHÃO BASCULANTE DE 14 M³, EM VIA URBANA PAVIMENTADA, ADICIONAL PARA DMT EXCEDENTE A 30 KM (UNIDADE: TXKM). AF_07/2020</v>
          </cell>
          <cell r="C6571" t="str">
            <v>M3XKM</v>
          </cell>
          <cell r="D6571">
            <v>0.46</v>
          </cell>
        </row>
        <row r="6572">
          <cell r="A6572" t="str">
            <v>95425</v>
          </cell>
          <cell r="B6572" t="str">
            <v>TRANSPORTE COM CAMINHÃO BASCULANTE DE 18 M³, EM VIA URBANA EM LEITO NATURAL (UNIDADE: M3XKM). AF_07/2020</v>
          </cell>
          <cell r="C6572" t="str">
            <v>M3XKM</v>
          </cell>
          <cell r="D6572">
            <v>1.86</v>
          </cell>
        </row>
        <row r="6573">
          <cell r="A6573" t="str">
            <v>95426</v>
          </cell>
          <cell r="B6573" t="str">
            <v>TRANSPORTE COM CAMINHÃO BASCULANTE DE 18 M³, EM VIA URBANA EM REVESTIMENTO PRIMÁRIO (UNIDADE: M3XKM). AF_07/2020</v>
          </cell>
          <cell r="C6573" t="str">
            <v>M3XKM</v>
          </cell>
          <cell r="D6573">
            <v>1.61</v>
          </cell>
        </row>
        <row r="6574">
          <cell r="A6574" t="str">
            <v>95427</v>
          </cell>
          <cell r="B6574" t="str">
            <v>TRANSPORTE COM CAMINHÃO BASCULANTE DE 18 M³, EM VIA URBANA PAVIMENTADA, ADICIONAL PARA DMT EXCEDENTE A 30 KM (UNIDADE: M3XKM). AF_07/2020</v>
          </cell>
          <cell r="C6574" t="str">
            <v>TXKM</v>
          </cell>
          <cell r="D6574">
            <v>0.61</v>
          </cell>
        </row>
        <row r="6575">
          <cell r="A6575" t="str">
            <v>95428</v>
          </cell>
          <cell r="B6575" t="str">
            <v>TRANSPORTE COM CAMINHÃO BASCULANTE DE 18 M³, EM VIA URBANA EM LEITO NATURAL (UNIDADE: TXKM). AF_07/2020</v>
          </cell>
          <cell r="C6575" t="str">
            <v>TXKM</v>
          </cell>
          <cell r="D6575">
            <v>1.25</v>
          </cell>
        </row>
        <row r="6576">
          <cell r="A6576" t="str">
            <v>95429</v>
          </cell>
          <cell r="B6576" t="str">
            <v>TRANSPORTE COM CAMINHÃO BASCULANTE DE 18 M³, EM VIA URBANA EM REVESTIMENTO PRIMÁRIO (UNIDADE: TXKM). AF_07/2020</v>
          </cell>
          <cell r="C6576" t="str">
            <v>TXKM</v>
          </cell>
          <cell r="D6576">
            <v>1.08</v>
          </cell>
        </row>
        <row r="6577">
          <cell r="A6577" t="str">
            <v>95430</v>
          </cell>
          <cell r="B6577" t="str">
            <v>TRANSPORTE COM CAMINHÃO BASCULANTE DE 18 M³, EM VIA URBANA PAVIMENTADA, ADICIONAL PARA DMT EXCEDENTE A 30 KM (UNIDADE: TXKM). AF_07/2020</v>
          </cell>
          <cell r="C6577" t="str">
            <v>M3XKM</v>
          </cell>
          <cell r="D6577">
            <v>0.38</v>
          </cell>
        </row>
        <row r="6578">
          <cell r="A6578" t="str">
            <v>95875</v>
          </cell>
          <cell r="B6578" t="str">
            <v>TRANSPORTE COM CAMINHÃO BASCULANTE DE 10 M³, EM VIA URBANA PAVIMENTADA, DMT ATÉ 30 KM (UNIDADE: M3XKM). AF_07/2020</v>
          </cell>
          <cell r="C6578" t="str">
            <v>M3XKM</v>
          </cell>
          <cell r="D6578">
            <v>1.95</v>
          </cell>
        </row>
        <row r="6579">
          <cell r="A6579" t="str">
            <v>95876</v>
          </cell>
          <cell r="B6579" t="str">
            <v>TRANSPORTE COM CAMINHÃO BASCULANTE DE 14 M³, EM VIA URBANA PAVIMENTADA, DMT ATÉ 30 KM (UNIDADE: M3XKM). AF_07/2020</v>
          </cell>
          <cell r="C6579" t="str">
            <v>M3XKM</v>
          </cell>
          <cell r="D6579">
            <v>1.73</v>
          </cell>
        </row>
        <row r="6580">
          <cell r="A6580" t="str">
            <v>95877</v>
          </cell>
          <cell r="B6580" t="str">
            <v>TRANSPORTE COM CAMINHÃO BASCULANTE DE 18 M³, EM VIA URBANA PAVIMENTADA, DMT ATÉ 30 KM (UNIDADE: M3XKM). AF_07/2020</v>
          </cell>
          <cell r="C6580" t="str">
            <v>TXKM</v>
          </cell>
          <cell r="D6580">
            <v>1.48</v>
          </cell>
        </row>
        <row r="6581">
          <cell r="A6581" t="str">
            <v>95878</v>
          </cell>
          <cell r="B6581" t="str">
            <v>TRANSPORTE COM CAMINHÃO BASCULANTE DE 10 M³, EM VIA URBANA PAVIMENTADA, DMT ATÉ 30 KM (UNIDADE: TXKM). AF_07/2020</v>
          </cell>
          <cell r="C6581" t="str">
            <v>TXKM</v>
          </cell>
          <cell r="D6581">
            <v>1.31</v>
          </cell>
        </row>
        <row r="6582">
          <cell r="A6582" t="str">
            <v>95879</v>
          </cell>
          <cell r="B6582" t="str">
            <v>TRANSPORTE COM CAMINHÃO BASCULANTE DE 14 M³, EM VIA URBANA PAVIMENTADA, DMT ATÉ 30 KM (UNIDADE: TXKM). AF_07/2020</v>
          </cell>
          <cell r="C6582" t="str">
            <v>TXKM</v>
          </cell>
          <cell r="D6582">
            <v>1.17</v>
          </cell>
        </row>
        <row r="6583">
          <cell r="A6583" t="str">
            <v>95880</v>
          </cell>
          <cell r="B6583" t="str">
            <v>TRANSPORTE COM CAMINHÃO BASCULANTE DE 18 M³, EM VIA URBANA PAVIMENTADA, DMT ATÉ 30 KM (UNIDADE: TXKM). AF_07/2020</v>
          </cell>
          <cell r="C6583" t="str">
            <v>M3XKM</v>
          </cell>
          <cell r="D6583">
            <v>0.99</v>
          </cell>
        </row>
        <row r="6584">
          <cell r="A6584" t="str">
            <v>97912</v>
          </cell>
          <cell r="B6584" t="str">
            <v>TRANSPORTE COM CAMINHÃO BASCULANTE DE 6 M³, EM VIA URBANA EM LEITO NATURAL (UNIDADE: M3XKM). AF_07/2020</v>
          </cell>
          <cell r="C6584" t="str">
            <v>M3XKM</v>
          </cell>
          <cell r="D6584">
            <v>2.99</v>
          </cell>
        </row>
        <row r="6585">
          <cell r="A6585" t="str">
            <v>97913</v>
          </cell>
          <cell r="B6585" t="str">
            <v>TRANSPORTE COM CAMINHÃO BASCULANTE DE 6 M³, EM VIA URBANA EM REVESTIMENTO PRIMÁRIO (UNIDADE: M3XKM). AF_07/2020</v>
          </cell>
          <cell r="C6585" t="str">
            <v>M3XKM</v>
          </cell>
          <cell r="D6585">
            <v>2.59</v>
          </cell>
        </row>
        <row r="6586">
          <cell r="A6586" t="str">
            <v>97914</v>
          </cell>
          <cell r="B6586" t="str">
            <v>TRANSPORTE COM CAMINHÃO BASCULANTE DE 6 M³, EM VIA URBANA PAVIMENTADA, DMT ATÉ 30 KM (UNIDADE: M3XKM). AF_07/2020</v>
          </cell>
          <cell r="C6586" t="str">
            <v>M3XKM</v>
          </cell>
          <cell r="D6586">
            <v>2.38</v>
          </cell>
        </row>
        <row r="6587">
          <cell r="A6587" t="str">
            <v>97915</v>
          </cell>
          <cell r="B6587" t="str">
            <v>TRANSPORTE COM CAMINHÃO BASCULANTE DE 6 M³, EM VIA URBANA PAVIMENTADA, ADICIONAL PARA DMT EXCEDENTE A 30 KM (UNIDADE: M3XKM). AF_07/2020</v>
          </cell>
          <cell r="C6587" t="str">
            <v>M3XKM</v>
          </cell>
          <cell r="D6587">
            <v>0.95</v>
          </cell>
        </row>
        <row r="6588">
          <cell r="A6588" t="str">
            <v>100937</v>
          </cell>
          <cell r="B6588" t="str">
            <v>TRANSPORTE COM CAMINHÃO BASCULANTE DE 6 M³, EM VIA INTERNA (DENTRO DO CANTEIRO - UNIDADE: M3XKM). AF_07/2020</v>
          </cell>
          <cell r="C6588" t="str">
            <v>M3XKM</v>
          </cell>
          <cell r="D6588">
            <v>7.14</v>
          </cell>
        </row>
        <row r="6589">
          <cell r="A6589" t="str">
            <v>100938</v>
          </cell>
          <cell r="B6589" t="str">
            <v>TRANSPORTE COM CAMINHÃO BASCULANTE DE 10 M³, EM VIA INTERNA (DENTRO DO CANTEIRO - UNIDADE: M3XKM). AF_07/2020</v>
          </cell>
          <cell r="C6589" t="str">
            <v>M3XKM</v>
          </cell>
          <cell r="D6589">
            <v>5.87</v>
          </cell>
        </row>
        <row r="6590">
          <cell r="A6590" t="str">
            <v>100939</v>
          </cell>
          <cell r="B6590" t="str">
            <v>TRANSPORTE COM CAMINHÃO BASCULANTE DE 14 M³, EM VIA INTERNA (DENTRO DO CANTEIRO - UNIDADE:M3XKM). AF_07/2020</v>
          </cell>
          <cell r="C6590" t="str">
            <v>M3XKM</v>
          </cell>
          <cell r="D6590">
            <v>5.26</v>
          </cell>
        </row>
        <row r="6591">
          <cell r="A6591" t="str">
            <v>100940</v>
          </cell>
          <cell r="B6591" t="str">
            <v>TRANSPORTE COM CAMINHÃO BASCULANTE DE 18 M³, EM VIA INTERNA (DENTRO DO CANTEIRO - UNIDADE: M3XKM). AF_07/2020</v>
          </cell>
          <cell r="C6591" t="str">
            <v>TXKM</v>
          </cell>
          <cell r="D6591">
            <v>4.49</v>
          </cell>
        </row>
        <row r="6592">
          <cell r="A6592" t="str">
            <v>100941</v>
          </cell>
          <cell r="B6592" t="str">
            <v>TRANSPORTE COM CAMINHÃO BASCULANTE DE 6 M³, EM VIA INTERNA (DENTRO DO CANTEIRO - UNIDADE: TXKM). AF_07/2020</v>
          </cell>
          <cell r="C6592" t="str">
            <v>TXKM</v>
          </cell>
          <cell r="D6592">
            <v>4.76</v>
          </cell>
        </row>
        <row r="6593">
          <cell r="A6593" t="str">
            <v>100942</v>
          </cell>
          <cell r="B6593" t="str">
            <v>TRANSPORTE COM CAMINHÃO BASCULANTE DE 10 M³, EM VIA INTERNA A OBRA (UNIDADE: TXKM). AF_07/2020</v>
          </cell>
          <cell r="C6593" t="str">
            <v>TXKM</v>
          </cell>
          <cell r="D6593">
            <v>3.92</v>
          </cell>
        </row>
        <row r="6594">
          <cell r="A6594" t="str">
            <v>100943</v>
          </cell>
          <cell r="B6594" t="str">
            <v>TRANSPORTE COM CAMINHÃO BASCULANTE DE 14 M³, EM VIA INTERNA (DENTRO DO CANTEIRO - UNIDADE: TXKM). AF_07/2020</v>
          </cell>
          <cell r="C6594" t="str">
            <v>TXKM</v>
          </cell>
          <cell r="D6594">
            <v>3.49</v>
          </cell>
        </row>
        <row r="6595">
          <cell r="A6595" t="str">
            <v>100944</v>
          </cell>
          <cell r="B6595" t="str">
            <v>TRANSPORTE COM CAMINHÃO BASCULANTE DE 18 M³, EM VIA INTERNA (DENTRO DO CANTEIRO - UNIDADE: TXKM). AF_07/2020</v>
          </cell>
          <cell r="C6595" t="str">
            <v>TXKM</v>
          </cell>
          <cell r="D6595">
            <v>3</v>
          </cell>
        </row>
        <row r="6596">
          <cell r="A6596" t="str">
            <v>100945</v>
          </cell>
          <cell r="B6596" t="str">
            <v>TRANSPORTE COM CAMINHÃO CARROCERIA 9T, EM VIA URBANA EM LEITO NATURAL (UNIDADE: TXKM). AF_07/2020</v>
          </cell>
          <cell r="C6596" t="str">
            <v>TXKM</v>
          </cell>
          <cell r="D6596">
            <v>2.1</v>
          </cell>
        </row>
        <row r="6597">
          <cell r="A6597" t="str">
            <v>100946</v>
          </cell>
          <cell r="B6597" t="str">
            <v>TRANSPORTE COM CAMINHÃO CARROCERIA 9T, EM VIA URBANA EM REVESTIMENTO PRIMÁRIO (UNIDADE: TXKM). AF_07/2020</v>
          </cell>
          <cell r="C6597" t="str">
            <v>TXKM</v>
          </cell>
          <cell r="D6597">
            <v>1.81</v>
          </cell>
        </row>
        <row r="6598">
          <cell r="A6598" t="str">
            <v>100947</v>
          </cell>
          <cell r="B6598" t="str">
            <v>TRANSPORTE COM CAMINHÃO CARROCERIA 9T, EM VIA URBANA PAVIMENTADA, DMT ATÉ 30KM (UNIDADE: TXKM). AF_07/2020</v>
          </cell>
          <cell r="C6598" t="str">
            <v>TXKM</v>
          </cell>
          <cell r="D6598">
            <v>1.67</v>
          </cell>
        </row>
        <row r="6599">
          <cell r="A6599" t="str">
            <v>100948</v>
          </cell>
          <cell r="B6599" t="str">
            <v>TRANSPORTE COM CAMINHÃO CARROCERIA 9T, EM VIA URBANA PAVIMENTADA, ADICIONAL PARA DMT EXCEDENTE A 30 KM (UNIDADE: TXKM). AF_07/2020</v>
          </cell>
          <cell r="C6599" t="str">
            <v>TXKM</v>
          </cell>
          <cell r="D6599">
            <v>0.66</v>
          </cell>
        </row>
        <row r="6600">
          <cell r="A6600" t="str">
            <v>100949</v>
          </cell>
          <cell r="B6600" t="str">
            <v>TRANSPORTE COM CAMINHÃO CARROCERIA 9T, EM VIA INTERNA (DENTRO DO CANTEIRO - UNIDADE: TXKM). AF_07/2020</v>
          </cell>
          <cell r="C6600" t="str">
            <v>TXKM</v>
          </cell>
          <cell r="D6600">
            <v>4.99</v>
          </cell>
        </row>
        <row r="6601">
          <cell r="A6601" t="str">
            <v>100950</v>
          </cell>
          <cell r="B6601" t="str">
            <v>TRANSPORTE COM CAMINHÃO CARROCERIA COM GUINDAUTO (MUNCK),  MOMENTO MÁXIMO DE CARGA 11,7 TM, EM VIA URBANA EM LEITO NATURAL (UNIDADE: TXKM). AF_07/2020</v>
          </cell>
          <cell r="C6601" t="str">
            <v>TXKM</v>
          </cell>
          <cell r="D6601">
            <v>2.7</v>
          </cell>
        </row>
        <row r="6602">
          <cell r="A6602" t="str">
            <v>100951</v>
          </cell>
          <cell r="B6602" t="str">
            <v>TRANSPORTE COM CAMINHÃO CARROCERIA COM GUINDAUTO (MUNCK),  MOMENTO MÁXIMO DE CARGA 11,7 TM, EM VIA URBANA EM REVESTIMENTO PRIMÁRIO (UNIDADE: TXKM). AF_07/2020</v>
          </cell>
          <cell r="C6602" t="str">
            <v>TXKM</v>
          </cell>
          <cell r="D6602">
            <v>2.33</v>
          </cell>
        </row>
        <row r="6603">
          <cell r="A6603" t="str">
            <v>100952</v>
          </cell>
          <cell r="B6603" t="str">
            <v>TRANSPORTE COM CAMINHÃO CARROCERIA COM GUINDAUTO (MUNCK),  MOMENTO MÁXIMO DE CARGA 11,7 TM, EM VIA URBANA PAVIMENTADA, DMT ATÉ 30KM (UNIDADE: TXKM). AF_07/2020</v>
          </cell>
          <cell r="C6603" t="str">
            <v>TXKM</v>
          </cell>
          <cell r="D6603">
            <v>2.15</v>
          </cell>
        </row>
        <row r="6604">
          <cell r="A6604" t="str">
            <v>100953</v>
          </cell>
          <cell r="B6604" t="str">
            <v>TRANSPORTE COM CAMINHÃO CARROCERIA COM GUINDAUTO (MUNCK),  MOMENTO MÁXIMO DE CARGA 11,7 TM, EM VIA URBANA PAVIMENTADA, ADICIONAL PARA DMT EXCEDENTE A 30 KM (UNIDADE: TXKM). AF_07/2020</v>
          </cell>
          <cell r="C6604" t="str">
            <v>TXKM</v>
          </cell>
          <cell r="D6604">
            <v>0.85</v>
          </cell>
        </row>
        <row r="6605">
          <cell r="A6605" t="str">
            <v>100954</v>
          </cell>
          <cell r="B6605" t="str">
            <v>TRANSPORTE COM CAMINHÃO CARROCERIA COM GUINDAUTO (MUNCK),  MOMENTO MÁXIMO DE CARGA 11,7 TM, EM VIA INTERNA (DENTRO DO CANTEIRO - UNIDADE: TXKM). AF_07/2020</v>
          </cell>
          <cell r="C6605" t="str">
            <v>M3XKM</v>
          </cell>
          <cell r="D6605">
            <v>6.44</v>
          </cell>
        </row>
        <row r="6606">
          <cell r="A6606" t="str">
            <v>100955</v>
          </cell>
          <cell r="B6606" t="str">
            <v>TRANSPORTE COM CAMINHÃO PIPA DE 6 M³, EM VIA URBANA EM LEITO NATURAL (UNIDADE: M3XKM). AF_07/2020</v>
          </cell>
          <cell r="C6606" t="str">
            <v>M3XKM</v>
          </cell>
          <cell r="D6606">
            <v>3.96</v>
          </cell>
        </row>
        <row r="6607">
          <cell r="A6607" t="str">
            <v>100956</v>
          </cell>
          <cell r="B6607" t="str">
            <v>TRANSPORTE COM CAMINHÃO PIPA DE 6 M³, EM VIA URBANA EM REVESTIMENTO PRIMÁRIO (UNIDADE: M3XKM). AF_07/2020</v>
          </cell>
          <cell r="C6607" t="str">
            <v>M3XKM</v>
          </cell>
          <cell r="D6607">
            <v>3.43</v>
          </cell>
        </row>
        <row r="6608">
          <cell r="A6608" t="str">
            <v>100957</v>
          </cell>
          <cell r="B6608" t="str">
            <v>TRANSPORTE COM CAMINHÃO PIPA DE 6 M³, EM VIA URBANA PAVIMENTADA, DMT ATÉ 30KM (UNIDADE: M3XKM). AF_07/2020</v>
          </cell>
          <cell r="C6608" t="str">
            <v>M3XKM</v>
          </cell>
          <cell r="D6608">
            <v>3.14</v>
          </cell>
        </row>
        <row r="6609">
          <cell r="A6609" t="str">
            <v>100958</v>
          </cell>
          <cell r="B6609" t="str">
            <v>TRANSPORTE COM CAMINHÃO PIPA DE 6 M³, EM VIA URBANA PAVIMENTADA, ADICIONAL PARA DMT EXCEDENTE A 30 KM (UNIDADE: M3XKM). AF_07/2020</v>
          </cell>
          <cell r="C6609" t="str">
            <v>M3XKM</v>
          </cell>
          <cell r="D6609">
            <v>1.26</v>
          </cell>
        </row>
        <row r="6610">
          <cell r="A6610" t="str">
            <v>100959</v>
          </cell>
          <cell r="B6610" t="str">
            <v>TRANSPORTE COM CAMINHÃO PIPA DE 6 M³, EM VIA INTERNA (DENTRO DO CANTEIRO - UNIDADE: M3XKM). AF_07/2020</v>
          </cell>
          <cell r="C6610" t="str">
            <v>M3XKM</v>
          </cell>
          <cell r="D6610">
            <v>9.44</v>
          </cell>
        </row>
        <row r="6611">
          <cell r="A6611" t="str">
            <v>100960</v>
          </cell>
          <cell r="B6611" t="str">
            <v>TRANSPORTE COM CAMINHÃO PIPA DE 10 M³, EM VIA URBANA EM LEITO NATURAL (UNIDADE: M3XKM). AF_07/2020</v>
          </cell>
          <cell r="C6611" t="str">
            <v>M3XKM</v>
          </cell>
          <cell r="D6611">
            <v>2.84</v>
          </cell>
        </row>
        <row r="6612">
          <cell r="A6612" t="str">
            <v>100961</v>
          </cell>
          <cell r="B6612" t="str">
            <v>TRANSPORTE COM CAMINHÃO PIPA DE 10 M³, EM VIA URBANA EM REVESTIMENTO PRIMÁRIO (UNIDADE: M3XKM). AF_07/2020</v>
          </cell>
          <cell r="C6612" t="str">
            <v>M3XKM</v>
          </cell>
          <cell r="D6612">
            <v>2.46</v>
          </cell>
        </row>
        <row r="6613">
          <cell r="A6613" t="str">
            <v>100962</v>
          </cell>
          <cell r="B6613" t="str">
            <v>TRANSPORTE COM CAMINHÃO PIPA DE 10 M³, EM VIA URBANA PAVIMENTADA, DMT ATÉ 30KM (UNIDADE: M3XKM). AF_07/2020</v>
          </cell>
          <cell r="C6613" t="str">
            <v>M3XKM</v>
          </cell>
          <cell r="D6613">
            <v>2.2400000000000002</v>
          </cell>
        </row>
        <row r="6614">
          <cell r="A6614" t="str">
            <v>100963</v>
          </cell>
          <cell r="B6614" t="str">
            <v>TRANSPORTE COM CAMINHÃO PIPA DE 10 M³, EM VIA URBANA PAVIMENTADA, ADICIONAL PARA DMT EXCEDENTE A 30 KM (UNIDADE: M3XKM). AF_07/2020</v>
          </cell>
          <cell r="C6614" t="str">
            <v>M3XKM</v>
          </cell>
          <cell r="D6614">
            <v>0.88</v>
          </cell>
        </row>
        <row r="6615">
          <cell r="A6615" t="str">
            <v>100964</v>
          </cell>
          <cell r="B6615" t="str">
            <v>TRANSPORTE COM CAMINHÃO PIPA DE 10 M³, EM VIA INTERNA (DENTRO DO CANTEIRO - UNIDADE: M3XKM). AF_07/2020</v>
          </cell>
          <cell r="C6615" t="str">
            <v>M3</v>
          </cell>
          <cell r="D6615">
            <v>6.83</v>
          </cell>
        </row>
        <row r="6616">
          <cell r="A6616" t="str">
            <v>100973</v>
          </cell>
          <cell r="B6616" t="str">
            <v>CARGA, MANOBRA E DESCARGA DE SOLOS E MATERIAIS GRANULARES EM CAMINHÃO BASCULANTE 6 M³ - CARGA COM PÁ CARREGADEIRA (CAÇAMBA DE 1,7 A 2,8 M³ / 128 HP) E DESCARGA LIVRE (UNIDADE: M3). AF_07/2020</v>
          </cell>
          <cell r="C6616" t="str">
            <v>M3</v>
          </cell>
          <cell r="D6616">
            <v>7.47</v>
          </cell>
        </row>
        <row r="6617">
          <cell r="A6617" t="str">
            <v>100974</v>
          </cell>
          <cell r="B6617" t="str">
            <v>CARGA, MANOBRA E DESCARGA DE SOLOS E MATERIAIS GRANULARES EM CAMINHÃO BASCULANTE 10 M³ - CARGA COM PÁ CARREGADEIRA (CAÇAMBA DE 1,7 A 2,8 M³ / 128 HP) E DESCARGA LIVRE (UNIDADE: M3). AF_07/2020</v>
          </cell>
          <cell r="C6617" t="str">
            <v>M3</v>
          </cell>
          <cell r="D6617">
            <v>7.1</v>
          </cell>
        </row>
        <row r="6618">
          <cell r="A6618" t="str">
            <v>100975</v>
          </cell>
          <cell r="B6618" t="str">
            <v>CARGA, MANOBRA E DESCARGA DE SOLOS E MATERIAIS GRANULARES EM CAMINHÃO BASCULANTE 14 M³ - CARGA COM PÁ CARREGADEIRA (CAÇAMBA DE 1,7 A 2,8 M³ / 128 HP) E DESCARGA LIVRE (UNIDADE: M3). AF_07/2020</v>
          </cell>
          <cell r="C6618" t="str">
            <v>TXKM</v>
          </cell>
          <cell r="D6618">
            <v>7.23</v>
          </cell>
        </row>
        <row r="6619">
          <cell r="A6619" t="str">
            <v>100965</v>
          </cell>
          <cell r="B6619" t="str">
            <v>TRANSPORTE COM CAMINHÃO TANQUE DE TRANSPORTE DE MATERIAL ASFÁLTICO DE 30000 L, EM VIA URBANA EM  LEITO NATURAL (UNIDADE: TXKM). AF_07/2020</v>
          </cell>
          <cell r="C6619" t="str">
            <v>TXKM</v>
          </cell>
          <cell r="D6619">
            <v>1.45</v>
          </cell>
        </row>
        <row r="6620">
          <cell r="A6620" t="str">
            <v>100966</v>
          </cell>
          <cell r="B6620" t="str">
            <v>TRANSPORTE COM CAMINHÃO TANQUE DE TRANSPORTE DE MATERIAL ASFÁLTICO DE 30000 L, EM VIA URBANA EM  REVESTIMENTO PRIMÁRIO (UNIDADE: TXKM). AF_07/2020</v>
          </cell>
          <cell r="C6620" t="str">
            <v>TXKM</v>
          </cell>
          <cell r="D6620">
            <v>1.25</v>
          </cell>
        </row>
        <row r="6621">
          <cell r="A6621" t="str">
            <v>100969</v>
          </cell>
          <cell r="B6621" t="str">
            <v>TRANSPORTE COM CAMINHÃO TANQUE DE TRANSPORTE DE MATERIAL ASFÁLTICO DE 20000 L, EM VIA URBANA EM LEITO NATURAL (UNIDADE: TXKM). AF_07/2020</v>
          </cell>
          <cell r="C6621" t="str">
            <v>TXKM</v>
          </cell>
          <cell r="D6621">
            <v>1.94</v>
          </cell>
        </row>
        <row r="6622">
          <cell r="A6622" t="str">
            <v>100970</v>
          </cell>
          <cell r="B6622" t="str">
            <v>TRANSPORTE COM CAMINHÃO TANQUE DE TRANSPORTE DE MATERIAL ASFÁLTICO DE 20000 L, EM VIA URBANA EM  REVESTIMENTO PRIMÁRIO (UNIDADE: TXKM). AF_07/2020</v>
          </cell>
          <cell r="C6622" t="str">
            <v>TXKM</v>
          </cell>
          <cell r="D6622">
            <v>1.64</v>
          </cell>
        </row>
        <row r="6623">
          <cell r="A6623" t="str">
            <v>102330</v>
          </cell>
          <cell r="B6623" t="str">
            <v>TRANSPORTE COM CAMINHÃO TANQUE DE TRANSPORTE DE MATERIAL ASFÁLTICO DE 30000 L, EM VIA URBANA PAVIMENTADA, DMT ATÉ 30KM (UNIDADE: TXKM). AF_07/2020</v>
          </cell>
          <cell r="C6623" t="str">
            <v>TXKM</v>
          </cell>
          <cell r="D6623">
            <v>1.1599999999999999</v>
          </cell>
        </row>
        <row r="6624">
          <cell r="A6624" t="str">
            <v>102331</v>
          </cell>
          <cell r="B6624" t="str">
            <v>TRANSPORTE COM CAMINHÃO TANQUE DE TRANSPORTE DE MATERIAL ASFÁLTICO DE 30000 L, EM VIA URBANA PAVIMENTADA, ADICIONAL PARA DMT EXCEDENTE A 30 KM (UNIDADE: TXKM). AF_07/2020</v>
          </cell>
          <cell r="C6624" t="str">
            <v>TXKM</v>
          </cell>
          <cell r="D6624">
            <v>0.45</v>
          </cell>
        </row>
        <row r="6625">
          <cell r="A6625" t="str">
            <v>102332</v>
          </cell>
          <cell r="B6625" t="str">
            <v>TRANSPORTE COM CAMINHÃO TANQUE DE TRANSPORTE DE MATERIAL ASFÁLTICO DE 20000 L, EM VIA URBANA PAVIMENTADA, DMT ATÉ 30KM (UNIDADE: TXKM). AF_07/2020</v>
          </cell>
          <cell r="C6625" t="str">
            <v>TXKM</v>
          </cell>
          <cell r="D6625">
            <v>1.53</v>
          </cell>
        </row>
        <row r="6626">
          <cell r="A6626" t="str">
            <v>102333</v>
          </cell>
          <cell r="B6626" t="str">
            <v>TRANSPORTE COM CAMINHÃO TANQUE DE TRANSPORTE DE MATERIAL ASFÁLTICO DE 20000 L, EM VIA URBANA PAVIMENTADA, ADICIONAL PARA DMT EXCEDENTE A 30 KM (UNIDADE: TXKM). AF_07/2020</v>
          </cell>
          <cell r="C6626" t="str">
            <v>T</v>
          </cell>
          <cell r="D6626">
            <v>0.61</v>
          </cell>
        </row>
        <row r="6627">
          <cell r="A6627" t="str">
            <v>101019</v>
          </cell>
          <cell r="B6627" t="str">
            <v>CARGA, MANOBRA E DESCARGA MANUAL DE TUBOS PLÁSTICOS, DN MENOR OU IGUAL A 100 MM, EM CAMINHÃO CARROCERIA 9T. AF_07/2020</v>
          </cell>
          <cell r="C6627" t="str">
            <v>T</v>
          </cell>
          <cell r="D6627">
            <v>441.96</v>
          </cell>
        </row>
        <row r="6628">
          <cell r="A6628" t="str">
            <v>101479</v>
          </cell>
          <cell r="B6628" t="str">
            <v>CARGA, MANOBRA E DESCARGA MANUAL DE TUBOS PLÁSTICOS, DN 200 MM, EM CAMINHÃO CARROCERIA 9T. AF_07/2020</v>
          </cell>
          <cell r="C6628" t="str">
            <v>T</v>
          </cell>
          <cell r="D6628">
            <v>128.76</v>
          </cell>
        </row>
        <row r="6629">
          <cell r="A6629" t="str">
            <v>102568</v>
          </cell>
          <cell r="B6629" t="str">
            <v>CARGA, MANOBRA E DESCARGA MANUAL DE TUBOS PLÁSTICOS, DN 150 MM, EM CAMINHÃO CARROCERIA 9T. AF_06/2021</v>
          </cell>
          <cell r="C6629" t="str">
            <v>M3</v>
          </cell>
          <cell r="D6629">
            <v>219.35</v>
          </cell>
        </row>
        <row r="6630">
          <cell r="A6630" t="str">
            <v>100976</v>
          </cell>
          <cell r="B6630" t="str">
            <v>CARGA, MANOBRA E DESCARGA DE SOLOS E MATERIAIS GRANULARES EM CAMINHÃO BASCULANTE 18 M³ - CARGA COM PÁ CARREGADEIRA (CAÇAMBA DE 1,7 A 2,8 M³ / 128 HP) E DESCARGA LIVRE (UNIDADE: M3). AF_07/2020</v>
          </cell>
          <cell r="C6630" t="str">
            <v>M3</v>
          </cell>
          <cell r="D6630">
            <v>7.1</v>
          </cell>
        </row>
        <row r="6631">
          <cell r="A6631" t="str">
            <v>100977</v>
          </cell>
          <cell r="B6631" t="str">
            <v>CARGA, MANOBRA E DESCARGA DE SOLOS E MATERIAIS GRANULARES EM CAMINHÃO BASCULANTE 6 M³ - CARGA COM ESCAVADEIRA HIDRÁULICA (CAÇAMBA DE 1,20 M³ / 155 HP) E DESCARGA LIVRE (UNIDADE: M3). AF_07/2020</v>
          </cell>
          <cell r="C6631" t="str">
            <v>M3</v>
          </cell>
          <cell r="D6631">
            <v>6.43</v>
          </cell>
        </row>
        <row r="6632">
          <cell r="A6632" t="str">
            <v>100978</v>
          </cell>
          <cell r="B6632" t="str">
            <v>CARGA, MANOBRA E DESCARGA DE SOLOS E MATERIAIS GRANULARES EM CAMINHÃO BASCULANTE 10 M³ - CARGA COM ESCAVADEIRA HIDRÁULICA (CAÇAMBA DE 1,20 M³ / 155 HP) E DESCARGA LIVRE (UNIDADE: M3). AF_07/2020</v>
          </cell>
          <cell r="C6632" t="str">
            <v>M3</v>
          </cell>
          <cell r="D6632">
            <v>5.7</v>
          </cell>
        </row>
        <row r="6633">
          <cell r="A6633" t="str">
            <v>100979</v>
          </cell>
          <cell r="B6633" t="str">
            <v>CARGA, MANOBRA E DESCARGA DE SOLOS E MATERIAIS GRANULARES EM CAMINHÃO BASCULANTE 14 M³ - CARGA COM ESCAVADEIRA HIDRÁULICA (CAÇAMBA DE 1,20 M³ / 155 HP) E DESCARGA LIVRE (UNIDADE: M3). AF_07/2020</v>
          </cell>
          <cell r="C6633" t="str">
            <v>M3</v>
          </cell>
          <cell r="D6633">
            <v>5.54</v>
          </cell>
        </row>
        <row r="6634">
          <cell r="A6634" t="str">
            <v>100980</v>
          </cell>
          <cell r="B6634" t="str">
            <v>CARGA, MANOBRA E DESCARGA DE SOLOS E MATERIAIS GRANULARES EM CAMINHÃO BASCULANTE 18 M³ - CARGA COM ESCAVADEIRA HIDRÁULICA (CAÇAMBA DE 1,20 M³ / 155 HP) E DESCARGA LIVRE (UNIDADE: M3). AF_07/2020</v>
          </cell>
          <cell r="C6634" t="str">
            <v>M3</v>
          </cell>
          <cell r="D6634">
            <v>5.23</v>
          </cell>
        </row>
        <row r="6635">
          <cell r="A6635" t="str">
            <v>100981</v>
          </cell>
          <cell r="B6635" t="str">
            <v>CARGA, MANOBRA E DESCARGA DE ENTULHO EM CAMINHÃO BASCULANTE 6 M³ - CARGA COM ESCAVADEIRA HIDRÁULICA  (CAÇAMBA DE 0,80 M³ / 111 HP) E DESCARGA LIVRE (UNIDADE: M3). AF_07/2020</v>
          </cell>
          <cell r="C6635" t="str">
            <v>M3</v>
          </cell>
          <cell r="D6635">
            <v>7.88</v>
          </cell>
        </row>
        <row r="6636">
          <cell r="A6636" t="str">
            <v>100982</v>
          </cell>
          <cell r="B6636" t="str">
            <v>CARGA, MANOBRA E DESCARGA DE ENTULHO EM CAMINHÃO BASCULANTE 10 M³ - CARGA COM ESCAVADEIRA HIDRÁULICA  (CAÇAMBA DE 0,80 M³ / 111 HP) E DESCARGA LIVRE (UNIDADE: M3). AF_07/2020</v>
          </cell>
          <cell r="C6636" t="str">
            <v>M3</v>
          </cell>
          <cell r="D6636">
            <v>7.43</v>
          </cell>
        </row>
        <row r="6637">
          <cell r="A6637" t="str">
            <v>100983</v>
          </cell>
          <cell r="B6637" t="str">
            <v>CARGA, MANOBRA E DESCARGA DE ENTULHO EM CAMINHÃO BASCULANTE 14 M³ - CARGA COM ESCAVADEIRA HIDRÁULICA  (CAÇAMBA DE 0,80 M³ / 111 HP) E DESCARGA LIVRE (UNIDADE: M3). AF_07/2020</v>
          </cell>
          <cell r="C6637" t="str">
            <v>M3</v>
          </cell>
          <cell r="D6637">
            <v>7.53</v>
          </cell>
        </row>
        <row r="6638">
          <cell r="A6638" t="str">
            <v>100984</v>
          </cell>
          <cell r="B6638" t="str">
            <v>CARGA, MANOBRA E DESCARGA DE ENTULHO EM CAMINHÃO BASCULANTE 18 M³ - CARGA COM ESCAVADEIRA HIDRÁULICA  (CAÇAMBA DE 0,80 M³ / 111 HP) E DESCARGA LIVRE (UNIDADE: M3). AF_07/2020</v>
          </cell>
          <cell r="C6638" t="str">
            <v>M3</v>
          </cell>
          <cell r="D6638">
            <v>7.38</v>
          </cell>
        </row>
        <row r="6639">
          <cell r="A6639" t="str">
            <v>100985</v>
          </cell>
          <cell r="B6639" t="str">
            <v>CARGA DE MISTURA ASFÁLTICA EM CAMINHÃO BASCULANTE 6 M³ (UNIDADE: M3). AF_07/2020</v>
          </cell>
          <cell r="C6639" t="str">
            <v>M3</v>
          </cell>
          <cell r="D6639">
            <v>5.98</v>
          </cell>
        </row>
        <row r="6640">
          <cell r="A6640" t="str">
            <v>100986</v>
          </cell>
          <cell r="B6640" t="str">
            <v>CARGA DE MISTURA ASFÁLTICA EM CAMINHÃO BASCULANTE 10 M³ (UNIDADE: M3). AF_07/2020</v>
          </cell>
          <cell r="C6640" t="str">
            <v>M3</v>
          </cell>
          <cell r="D6640">
            <v>7.08</v>
          </cell>
        </row>
        <row r="6641">
          <cell r="A6641" t="str">
            <v>100987</v>
          </cell>
          <cell r="B6641" t="str">
            <v>CARGA DE MISTURA ASFÁLTICA EM CAMINHÃO BASCULANTE 14 M³ (UNIDADE: M3). AF_07/2020</v>
          </cell>
          <cell r="C6641" t="str">
            <v>M3</v>
          </cell>
          <cell r="D6641">
            <v>8.31</v>
          </cell>
        </row>
        <row r="6642">
          <cell r="A6642" t="str">
            <v>100988</v>
          </cell>
          <cell r="B6642" t="str">
            <v>CARGA DE MISTURA ASFÁLTICA EM CAMINHÃO BASCULANTE 18 M³ (UNIDADE: M3). AF_07/2020</v>
          </cell>
          <cell r="C6642" t="str">
            <v>T</v>
          </cell>
          <cell r="D6642">
            <v>8.82</v>
          </cell>
        </row>
        <row r="6643">
          <cell r="A6643" t="str">
            <v>100989</v>
          </cell>
          <cell r="B6643" t="str">
            <v>CARGA, MANOBRA E DESCARGA DE SOLOS E MATERIAIS GRANULARES EM CAMINHÃO BASCULANTE 6 M³ - CARGA COM PÁ CARREGADEIRA (CAÇAMBA DE 1,7 A 2,8 M³ / 128 HP) E DESCARGA LIVRE (UNIDADE: T). AF_07/2020</v>
          </cell>
          <cell r="C6643" t="str">
            <v>T</v>
          </cell>
          <cell r="D6643">
            <v>4.9800000000000004</v>
          </cell>
        </row>
        <row r="6644">
          <cell r="A6644" t="str">
            <v>100990</v>
          </cell>
          <cell r="B6644" t="str">
            <v>CARGA, MANOBRA E DESCARGA DE SOLOS E MATERIAIS GRANULARES EM CAMINHÃO BASCULANTE 10 M³ - CARGA COM PÁ CARREGADEIRA (CAÇAMBA DE 1,7 A 2,8 M³ / 128 HP) E DESCARGA LIVRE (UNIDADE: T). AF_07/2020</v>
          </cell>
          <cell r="C6644" t="str">
            <v>T</v>
          </cell>
          <cell r="D6644">
            <v>4.74</v>
          </cell>
        </row>
        <row r="6645">
          <cell r="A6645" t="str">
            <v>100991</v>
          </cell>
          <cell r="B6645" t="str">
            <v>CARGA, MANOBRA E DESCARGA DE SOLOS E MATERIAIS GRANULARES EM CAMINHÃO BASCULANTE 14 M³ - CARGA COM PÁ CARREGADEIRA (CAÇAMBA DE 1,7 A 2,8 M³ / 128 HP) E DESCARGA LIVRE (UNIDADE: T). AF_07/2020</v>
          </cell>
          <cell r="C6645" t="str">
            <v>T</v>
          </cell>
          <cell r="D6645">
            <v>4.8499999999999996</v>
          </cell>
        </row>
        <row r="6646">
          <cell r="A6646" t="str">
            <v>100992</v>
          </cell>
          <cell r="B6646" t="str">
            <v>CARGA, MANOBRA E DESCARGA DE SOLOS E MATERIAIS GRANULARES EM CAMINHÃO BASCULANTE 18 M³ - CARGA COM PÁ CARREGADEIRA (CAÇAMBA DE 1,7 A 2,8 M³ / 128 HP) E DESCARGA LIVRE (UNIDADE: T). AF_07/2020</v>
          </cell>
          <cell r="C6646" t="str">
            <v>T</v>
          </cell>
          <cell r="D6646">
            <v>4.7300000000000004</v>
          </cell>
        </row>
        <row r="6647">
          <cell r="A6647" t="str">
            <v>100993</v>
          </cell>
          <cell r="B6647" t="str">
            <v>CARGA, MANOBRA E DESCARGA DE SOLOS E MATERIAIS GRANULARES EM CAMINHÃO BASCULANTE 6 M³ - CARGA COM ESCAVADEIRA HIDRÁULICA (CAÇAMBA DE 1,20 M³ / 155 HP) E DESCARGA LIVRE (UNIDADE: T). AF_07/2020</v>
          </cell>
          <cell r="C6647" t="str">
            <v>T</v>
          </cell>
          <cell r="D6647">
            <v>4.2699999999999996</v>
          </cell>
        </row>
        <row r="6648">
          <cell r="A6648" t="str">
            <v>100994</v>
          </cell>
          <cell r="B6648" t="str">
            <v>CARGA, MANOBRA E DESCARGA DE SOLOS E MATERIAIS GRANULARES EM CAMINHÃO BASCULANTE 10 M³ - CARGA COM ESCAVADEIRA HIDRÁULICA (CAÇAMBA DE 1,20 M³ / 155 HP) E DESCARGA LIVRE (UNIDADE: T). AF_07/2020</v>
          </cell>
          <cell r="C6648" t="str">
            <v>T</v>
          </cell>
          <cell r="D6648">
            <v>3.78</v>
          </cell>
        </row>
        <row r="6649">
          <cell r="A6649" t="str">
            <v>100995</v>
          </cell>
          <cell r="B6649" t="str">
            <v>CARGA, MANOBRA E DESCARGA DE SOLOS E MATERIAIS GRANULARES EM CAMINHÃO BASCULANTE 14 M³ - CARGA COM ESCAVADEIRA HIDRÁULICA (CAÇAMBA DE 1,20 M³ / 155 HP) E DESCARGA LIVRE (UNIDADE: T). AF_07/2020</v>
          </cell>
          <cell r="C6649" t="str">
            <v>T</v>
          </cell>
          <cell r="D6649">
            <v>3.7</v>
          </cell>
        </row>
        <row r="6650">
          <cell r="A6650" t="str">
            <v>100996</v>
          </cell>
          <cell r="B6650" t="str">
            <v>CARGA, MANOBRA E DESCARGA DE SOLOS E MATERIAIS GRANULARES EM CAMINHÃO BASCULANTE 18 M³ - CARGA COM ESCAVADEIRA HIDRÁULICA (CAÇAMBA DE 1,20 M³ / 155 HP) E DESCARGA LIVRE (UNIDADE: T). AF_07/2020</v>
          </cell>
          <cell r="C6650" t="str">
            <v>T</v>
          </cell>
          <cell r="D6650">
            <v>3.49</v>
          </cell>
        </row>
        <row r="6651">
          <cell r="A6651" t="str">
            <v>100997</v>
          </cell>
          <cell r="B6651" t="str">
            <v>CARGA, MANOBRA E DESCARGA DE ENTULHO EM CAMINHÃO BASCULANTE 6 M³ - CARGA COM ESCAVADEIRA HIDRÁULICA  (CAÇAMBA DE 0,80 M³ / 111 HP) E DESCARGA LIVRE (UNIDADE: T). AF_07/2020</v>
          </cell>
          <cell r="C6651" t="str">
            <v>T</v>
          </cell>
          <cell r="D6651">
            <v>5.26</v>
          </cell>
        </row>
        <row r="6652">
          <cell r="A6652" t="str">
            <v>100998</v>
          </cell>
          <cell r="B6652" t="str">
            <v>CARGA, MANOBRA E DESCARGA DE ENTULHO EM CAMINHÃO BASCULANTE 10 M³ - CARGA COM ESCAVADEIRA HIDRÁULICA  (CAÇAMBA DE 0,80 M³ / 111 HP) E DESCARGA LIVRE (UNIDADE: T). AF_07/2020</v>
          </cell>
          <cell r="C6652" t="str">
            <v>T</v>
          </cell>
          <cell r="D6652">
            <v>4.96</v>
          </cell>
        </row>
        <row r="6653">
          <cell r="A6653" t="str">
            <v>100999</v>
          </cell>
          <cell r="B6653" t="str">
            <v>CARGA, MANOBRA E DESCARGA DE ENTULHO EM CAMINHÃO BASCULANTE 14 M³ - CARGA COM ESCAVADEIRA HIDRÁULICA  (CAÇAMBA DE 0,80 M³ / 111 HP) E DESCARGA LIVRE (UNIDADE: T). AF_07/2020</v>
          </cell>
          <cell r="C6653" t="str">
            <v>T</v>
          </cell>
          <cell r="D6653">
            <v>5.04</v>
          </cell>
        </row>
        <row r="6654">
          <cell r="A6654" t="str">
            <v>101000</v>
          </cell>
          <cell r="B6654" t="str">
            <v>CARGA, MANOBRA E DESCARGA DE ENTULHO EM CAMINHÃO BASCULANTE 18 M³ - CARGA COM ESCAVADEIRA HIDRÁULICA  (CAÇAMBA DE 0,80 M³ / 111 HP) E DESCARGA LIVRE (UNIDADE: T). AF_07/2020</v>
          </cell>
          <cell r="C6654" t="str">
            <v>T</v>
          </cell>
          <cell r="D6654">
            <v>4.91</v>
          </cell>
        </row>
        <row r="6655">
          <cell r="A6655" t="str">
            <v>101001</v>
          </cell>
          <cell r="B6655" t="str">
            <v>CARGA DE MISTURA ASFÁLTICA EM CAMINHÃO BASCULANTE 6 M³ (UNIDADE: T). AF_07/2020</v>
          </cell>
          <cell r="C6655" t="str">
            <v>T</v>
          </cell>
          <cell r="D6655">
            <v>3.99</v>
          </cell>
        </row>
        <row r="6656">
          <cell r="A6656" t="str">
            <v>101002</v>
          </cell>
          <cell r="B6656" t="str">
            <v>CARGA DE MISTURA ASFÁLTICA EM CAMINHÃO BASCULANTE 10 M³ (UNIDADE: T). AF_07/2020</v>
          </cell>
          <cell r="C6656" t="str">
            <v>T</v>
          </cell>
          <cell r="D6656">
            <v>4.71</v>
          </cell>
        </row>
        <row r="6657">
          <cell r="A6657" t="str">
            <v>101003</v>
          </cell>
          <cell r="B6657" t="str">
            <v>CARGA DE MISTURA ASFÁLTICA EM CAMINHÃO BASCULANTE 14 M³ (UNIDADE: T). AF_07/2020</v>
          </cell>
          <cell r="C6657" t="str">
            <v>T</v>
          </cell>
          <cell r="D6657">
            <v>5.53</v>
          </cell>
        </row>
        <row r="6658">
          <cell r="A6658" t="str">
            <v>101004</v>
          </cell>
          <cell r="B6658" t="str">
            <v>CARGA DE MISTURA ASFÁLTICA EM CAMINHÃO BASCULANTE 18 M³ (UNIDADE: T). AF_07/2020</v>
          </cell>
          <cell r="C6658" t="str">
            <v>M3</v>
          </cell>
          <cell r="D6658">
            <v>5.87</v>
          </cell>
        </row>
        <row r="6659">
          <cell r="A6659" t="str">
            <v>101005</v>
          </cell>
          <cell r="B6659" t="str">
            <v>CARGA, MANOBRA E DESCARGA DE ÁGUA EM CAMINHÃO PIPA 6 M³. AF_07/2020</v>
          </cell>
          <cell r="C6659" t="str">
            <v>M3</v>
          </cell>
          <cell r="D6659">
            <v>15.06</v>
          </cell>
        </row>
        <row r="6660">
          <cell r="A6660" t="str">
            <v>101006</v>
          </cell>
          <cell r="B6660" t="str">
            <v>CARGA, MANOBRA E DESCARGA DE ÁGUA EM CAMINHÃO PIPA 10 M³. AF_07/2020</v>
          </cell>
          <cell r="C6660" t="str">
            <v>M3</v>
          </cell>
          <cell r="D6660">
            <v>16.2</v>
          </cell>
        </row>
        <row r="6661">
          <cell r="A6661" t="str">
            <v>101007</v>
          </cell>
          <cell r="B6661" t="str">
            <v>CARGA DE ÁGUA EM CAMINHÃO PIPA 6 M³. AF_07/2020</v>
          </cell>
          <cell r="C6661" t="str">
            <v>M3</v>
          </cell>
          <cell r="D6661">
            <v>4.3600000000000003</v>
          </cell>
        </row>
        <row r="6662">
          <cell r="A6662" t="str">
            <v>101008</v>
          </cell>
          <cell r="B6662" t="str">
            <v>CARGA DE ÁGUA EM CAMINHÃO PIPA 10 M³. AF_07/2020</v>
          </cell>
          <cell r="C6662" t="str">
            <v>T</v>
          </cell>
          <cell r="D6662">
            <v>4.28</v>
          </cell>
        </row>
        <row r="6663">
          <cell r="A6663" t="str">
            <v>101009</v>
          </cell>
          <cell r="B6663" t="str">
            <v>CARGA, MANOBRA E DESCARGA DE POSTE DE CONCRETO EM CAMINHÃO CARROCERIA COM GUINDAUTO (MUNCK) 11,7 TM. AF_07/2020</v>
          </cell>
          <cell r="C6663" t="str">
            <v>T</v>
          </cell>
          <cell r="D6663">
            <v>32.619999999999997</v>
          </cell>
        </row>
        <row r="6664">
          <cell r="A6664" t="str">
            <v>101010</v>
          </cell>
          <cell r="B6664" t="str">
            <v>CARGA, MANOBRA E DESCARGA DE PERFIL METÁLICO EM CAMINHÃO CARROCERIA COM GUINDAUTO (MUNCK) 11,7 TM. AF_07/2020</v>
          </cell>
          <cell r="C6664" t="str">
            <v>T</v>
          </cell>
          <cell r="D6664">
            <v>20.54</v>
          </cell>
        </row>
        <row r="6665">
          <cell r="A6665" t="str">
            <v>101013</v>
          </cell>
          <cell r="B6665" t="str">
            <v>CARGA, MANOBRA E DESCARGA DE TUBOS DE CONCRETO, DN MENOR OU IGUAL A 300 MM, EM CAMINHÃO CARROCERIA COM GUINDAUTO (MUNCK) 11,7 TM. AF_07/2020</v>
          </cell>
          <cell r="C6665" t="str">
            <v>T</v>
          </cell>
          <cell r="D6665">
            <v>34.85</v>
          </cell>
        </row>
        <row r="6666">
          <cell r="A6666" t="str">
            <v>101014</v>
          </cell>
          <cell r="B6666" t="str">
            <v>CARGA, MANOBRA E DESCARGA DE TUBOS DE CONCRETO, DN 400 MM, EM CAMINHÃO CARROCERIA COM GUINDAUTO (MUNCK) 11,7 TM. AF_07/2020</v>
          </cell>
          <cell r="C6666" t="str">
            <v>T</v>
          </cell>
          <cell r="D6666">
            <v>31.92</v>
          </cell>
        </row>
        <row r="6667">
          <cell r="A6667" t="str">
            <v>101015</v>
          </cell>
          <cell r="B6667" t="str">
            <v>CARGA, MANOBRA E DESCARGA DE TUBOS DE CONCRETO, DN 500 MM, EM CAMINHÃO CARROCERIA COM GUINDAUTO (MUNCK) 11,7 TM. AF_07/2020</v>
          </cell>
          <cell r="C6667" t="str">
            <v>T</v>
          </cell>
          <cell r="D6667">
            <v>26.23</v>
          </cell>
        </row>
        <row r="6668">
          <cell r="A6668" t="str">
            <v>101016</v>
          </cell>
          <cell r="B6668" t="str">
            <v>CARGA, MANOBRA E DESCARGA DE TUBOS METÁLICOS, DN MENOR OU IGUAL A 150 MM, EM CAMINHÃO CARROCERIA COM GUINDAUTO (MUNCK) 11,7 TM. AF_07/2020</v>
          </cell>
          <cell r="C6668" t="str">
            <v>T</v>
          </cell>
          <cell r="D6668">
            <v>30.36</v>
          </cell>
        </row>
        <row r="6669">
          <cell r="A6669" t="str">
            <v>101017</v>
          </cell>
          <cell r="B6669" t="str">
            <v>CARGA, MANOBRA E DESCARGA DE TUBOS METÁLICOS, DN 200 MM, EM CAMINHÃO CARROCERIA COM GUINDAUTO (MUNCK) 11,7 TM. AF_07/2020</v>
          </cell>
          <cell r="C6669" t="str">
            <v>T</v>
          </cell>
          <cell r="D6669">
            <v>23.02</v>
          </cell>
        </row>
        <row r="6670">
          <cell r="A6670" t="str">
            <v>101018</v>
          </cell>
          <cell r="B6670" t="str">
            <v>CARGA, MANOBRA E DESCARGA DE TUBOS METÁLICOS, DN 250 MM, EM CAMINHÃO CARROCERIA COM GUINDAUTO (MUNCK) 11,7 TM. AF_07/2020</v>
          </cell>
          <cell r="C6670" t="str">
            <v>T</v>
          </cell>
          <cell r="D6670">
            <v>18.91</v>
          </cell>
        </row>
        <row r="6671">
          <cell r="A6671" t="str">
            <v>101463</v>
          </cell>
          <cell r="B6671" t="str">
            <v>CARGA, MANOBRA E DESCARGA DE TUBOS DE CONCRETO, DN 600 MM, EM CAMINHÃO CARROCERIA COM GUINDAUTO (MUNCK) 11,7 TM. AF_07/2020</v>
          </cell>
          <cell r="C6671" t="str">
            <v>T</v>
          </cell>
          <cell r="D6671">
            <v>34.96</v>
          </cell>
        </row>
        <row r="6672">
          <cell r="A6672" t="str">
            <v>101464</v>
          </cell>
          <cell r="B6672" t="str">
            <v>CARGA, MANOBRA E DESCARGA DE TUBOS DE CONCRETO, DN 700 MM, EM CAMINHÃO CARROCERIA COM GUINDAUTO (MUNCK) 11,7 TM. AF_07/2020</v>
          </cell>
          <cell r="C6672" t="str">
            <v>T</v>
          </cell>
          <cell r="D6672">
            <v>26.85</v>
          </cell>
        </row>
        <row r="6673">
          <cell r="A6673" t="str">
            <v>101465</v>
          </cell>
          <cell r="B6673" t="str">
            <v>CARGA, MANOBRA E DESCARGA DE TUBOS DE CONCRETO, DN 800 MM, EM CAMINHÃO CARROCERIA COM GUINDAUTO (MUNCK) 11,7 TM. AF_07/2020</v>
          </cell>
          <cell r="C6673" t="str">
            <v>T</v>
          </cell>
          <cell r="D6673">
            <v>20.52</v>
          </cell>
        </row>
        <row r="6674">
          <cell r="A6674" t="str">
            <v>101466</v>
          </cell>
          <cell r="B6674" t="str">
            <v>CARGA, MANOBRA E DESCARGA DE TUBOS DE CONCRETO, DN 900 MM, EM CAMINHÃO CARROCERIA COM GUINDAUTO (MUNCK) 11,7 TM. AF_07/2020</v>
          </cell>
          <cell r="C6674" t="str">
            <v>T</v>
          </cell>
          <cell r="D6674">
            <v>16.690000000000001</v>
          </cell>
        </row>
        <row r="6675">
          <cell r="A6675" t="str">
            <v>101467</v>
          </cell>
          <cell r="B6675" t="str">
            <v>CARGA, MANOBRA E DESCARGA DE TUBOS DE CONCRETO, DN 1000 MM, EM CAMINHÃO CARROCERIA COM GUINDAUTO (MUNCK) 11,7 TM. AF_07/2020</v>
          </cell>
          <cell r="C6675" t="str">
            <v>T</v>
          </cell>
          <cell r="D6675">
            <v>13.98</v>
          </cell>
        </row>
        <row r="6676">
          <cell r="A6676" t="str">
            <v>101468</v>
          </cell>
          <cell r="B6676" t="str">
            <v>CARGA, MANOBRA E DESCARGA DE TUBOS DE CONCRETO, DN 1200 MM, EM CAMINHÃO CARROCERIA COM GUINDAUTO (MUNCK) 11,7 TM. AF_07/2020</v>
          </cell>
          <cell r="C6676" t="str">
            <v>T</v>
          </cell>
          <cell r="D6676">
            <v>12.78</v>
          </cell>
        </row>
        <row r="6677">
          <cell r="A6677" t="str">
            <v>101469</v>
          </cell>
          <cell r="B6677" t="str">
            <v>CARGA, MANOBRA E DESCARGA DE TUBOS METÁLICOS, DN 300 MM, EM CAMINHÃO CARROCERIA COM GUINDAUTO (MUNCK) 11,7 TM. AF_07/2020</v>
          </cell>
          <cell r="C6677" t="str">
            <v>T</v>
          </cell>
          <cell r="D6677">
            <v>28.61</v>
          </cell>
        </row>
        <row r="6678">
          <cell r="A6678" t="str">
            <v>101470</v>
          </cell>
          <cell r="B6678" t="str">
            <v>CARGA, MANOBRA E DESCARGA DE TUBOS METÁLICOS, DN 350 MM, EM CAMINHÃO CARROCERIA COM GUINDAUTO (MUNCK) 11,7 TM. AF_07/2020</v>
          </cell>
          <cell r="C6678" t="str">
            <v>T</v>
          </cell>
          <cell r="D6678">
            <v>22.7</v>
          </cell>
        </row>
        <row r="6679">
          <cell r="A6679" t="str">
            <v>101471</v>
          </cell>
          <cell r="B6679" t="str">
            <v>CARGA, MANOBRA E DESCARGA DE TUBOS METÁLICOS, DN 400 MM, EM CAMINHÃO CARROCERIA COM GUINDAUTO (MUNCK) 11,7 TM. AF_07/2020</v>
          </cell>
          <cell r="C6679" t="str">
            <v>T</v>
          </cell>
          <cell r="D6679">
            <v>19.48</v>
          </cell>
        </row>
        <row r="6680">
          <cell r="A6680" t="str">
            <v>101472</v>
          </cell>
          <cell r="B6680" t="str">
            <v>CARGA, MANOBRA E DESCARGA DE TUBOS METÁLICOS, DN 500 MM, EM CAMINHÃO CARROCERIA COM GUINDAUTO (MUNCK) 11,7 TM. AF_07/2020</v>
          </cell>
          <cell r="C6680" t="str">
            <v>T</v>
          </cell>
          <cell r="D6680">
            <v>15.15</v>
          </cell>
        </row>
        <row r="6681">
          <cell r="A6681" t="str">
            <v>101473</v>
          </cell>
          <cell r="B6681" t="str">
            <v>CARGA, MANOBRA E DESCARGA DE TUBOS METÁLICOS, DN 600 MM, EM CAMINHÃO CARROCERIA COM GUINDAUTO (MUNCK) 11,7 TM. AF_07/2020</v>
          </cell>
          <cell r="C6681" t="str">
            <v>T</v>
          </cell>
          <cell r="D6681">
            <v>21.83</v>
          </cell>
        </row>
        <row r="6682">
          <cell r="A6682" t="str">
            <v>101474</v>
          </cell>
          <cell r="B6682" t="str">
            <v>CARGA, MANOBRA E DESCARGA DE TUBOS METÁLICOS, DN 700 MM, EM CAMINHÃO CARROCERIA COM GUINDAUTO (MUNCK) 11,7 TM. AF_07/2020</v>
          </cell>
          <cell r="C6682" t="str">
            <v>T</v>
          </cell>
          <cell r="D6682">
            <v>15.62</v>
          </cell>
        </row>
        <row r="6683">
          <cell r="A6683" t="str">
            <v>101475</v>
          </cell>
          <cell r="B6683" t="str">
            <v>CARGA, MANOBRA E DESCARGA DE TUBOS METÁLICOS, DN 800 MM, EM CAMINHÃO CARROCERIA COM GUINDAUTO (MUNCK) 11,7 TM. AF_07/2020</v>
          </cell>
          <cell r="C6683" t="str">
            <v>T</v>
          </cell>
          <cell r="D6683">
            <v>13.85</v>
          </cell>
        </row>
        <row r="6684">
          <cell r="A6684" t="str">
            <v>101476</v>
          </cell>
          <cell r="B6684" t="str">
            <v>CARGA, MANOBRA E DESCARGA DE TUBOS METÁLICOS, DN 900 MM, EM CAMINHÃO CARROCERIA COM GUINDAUTO (MUNCK) 11,7 TM. AF_07/2020</v>
          </cell>
          <cell r="C6684" t="str">
            <v>T</v>
          </cell>
          <cell r="D6684">
            <v>12.35</v>
          </cell>
        </row>
        <row r="6685">
          <cell r="A6685" t="str">
            <v>101477</v>
          </cell>
          <cell r="B6685" t="str">
            <v>CARGA, MANOBRA E DESCARGA DE TUBOS METÁLICOS, DN 1000 MM, EM CAMINHÃO CARROCERIA COM GUINDAUTO (MUNCK) 11,7 TM. AF_07/2020</v>
          </cell>
          <cell r="C6685" t="str">
            <v>T</v>
          </cell>
          <cell r="D6685">
            <v>10.11</v>
          </cell>
        </row>
        <row r="6686">
          <cell r="A6686" t="str">
            <v>101478</v>
          </cell>
          <cell r="B6686" t="str">
            <v>CARGA, MANOBRA E DESCARGA DE TUBOS METÁLICOS, DN 1200 MM, EM CAMINHÃO CARROCERIA COM GUINDAUTO (MUNCK) 11,7 TM. AF_07/2020</v>
          </cell>
          <cell r="C6686" t="str">
            <v>T</v>
          </cell>
          <cell r="D6686">
            <v>8.61</v>
          </cell>
        </row>
        <row r="6687">
          <cell r="A6687" t="str">
            <v>101480</v>
          </cell>
          <cell r="B6687" t="str">
            <v>CARGA, MANOBRA E DESCARGA DE TUBOS PLÁSTICOS, DN 250 MM, EM CAMINHÃO CARROCERIA COM GUINDAUTO (MUNCK) 11,7 TM. AF_07/2020</v>
          </cell>
          <cell r="C6687" t="str">
            <v>T</v>
          </cell>
          <cell r="D6687">
            <v>51.15</v>
          </cell>
        </row>
        <row r="6688">
          <cell r="A6688" t="str">
            <v>101481</v>
          </cell>
          <cell r="B6688" t="str">
            <v>CARGA, MANOBRA E DESCARGA DE TUBOS PLÁSTICOS, DN 300 MM, EM CAMINHÃO CARROCERIA COM GUINDAUTO (MUNCK) 11,7 TM. AF_07/2020</v>
          </cell>
          <cell r="C6688" t="str">
            <v>T</v>
          </cell>
          <cell r="D6688">
            <v>36.96</v>
          </cell>
        </row>
        <row r="6689">
          <cell r="A6689" t="str">
            <v>101482</v>
          </cell>
          <cell r="B6689" t="str">
            <v>CARGA, MANOBRA E DESCARGA DE TUBOS PLÁSTICOS, DN 400 MM, EM CAMINHÃO CARROCERIA COM GUINDAUTO (MUNCK) 11,7 TM. AF_07/2020</v>
          </cell>
          <cell r="C6689" t="str">
            <v>T</v>
          </cell>
          <cell r="D6689">
            <v>27.62</v>
          </cell>
        </row>
        <row r="6690">
          <cell r="A6690" t="str">
            <v>101483</v>
          </cell>
          <cell r="B6690" t="str">
            <v>CARGA, MANOBRA E DESCARGA DE TUBOS PLÁSTICOS, DN 500 MM, EM CAMINHÃO CARROCERIA COM GUINDAUTO (MUNCK) 11,7 TM. AF_07/2020</v>
          </cell>
          <cell r="C6690" t="str">
            <v>T</v>
          </cell>
          <cell r="D6690">
            <v>28.66</v>
          </cell>
        </row>
        <row r="6691">
          <cell r="A6691" t="str">
            <v>101484</v>
          </cell>
          <cell r="B6691" t="str">
            <v>CARGA, MANOBRA E DESCARGA DE TUBOS PLÁSTICOS, DN 600 MM, EM CAMINHÃO CARROCERIA COM GUINDAUTO (MUNCK) 11,7 TM. AF_07/2020</v>
          </cell>
          <cell r="C6691" t="str">
            <v>T</v>
          </cell>
          <cell r="D6691">
            <v>148.57</v>
          </cell>
        </row>
        <row r="6692">
          <cell r="A6692" t="str">
            <v>101485</v>
          </cell>
          <cell r="B6692" t="str">
            <v>CARGA, MANOBRA E DESCARGA DE TUBOS PLÁSTICOS, DN 750 MM, EM CAMINHÃO CARROCERIA COM GUINDAUTO (MUNCK) 11,7 TM. AF_07/2020</v>
          </cell>
          <cell r="C6692" t="str">
            <v>T</v>
          </cell>
          <cell r="D6692">
            <v>114.04</v>
          </cell>
        </row>
        <row r="6693">
          <cell r="A6693" t="str">
            <v>101486</v>
          </cell>
          <cell r="B6693" t="str">
            <v>CARGA, MANOBRA E DESCARGA DE TUBOS PLÁSTICOS, DN 900 MM, EM CAMINHÃO CARROCERIA COM GUINDAUTO (MUNCK) 11,7 TM. AF_07/2020</v>
          </cell>
          <cell r="C6693" t="str">
            <v>T</v>
          </cell>
          <cell r="D6693">
            <v>102.73</v>
          </cell>
        </row>
        <row r="6694">
          <cell r="A6694" t="str">
            <v>101487</v>
          </cell>
          <cell r="B6694" t="str">
            <v>CARGA, MANOBRA E DESCARGA DE TUBOS PLÁSTICOS, DN 1000 MM, EM CAMINHÃO CARROCERIA COM GUINDAUTO (MUNCK) 11,7 TM. AF_07/2020</v>
          </cell>
          <cell r="C6694" t="str">
            <v>T</v>
          </cell>
          <cell r="D6694">
            <v>75.22</v>
          </cell>
        </row>
        <row r="6695">
          <cell r="A6695" t="str">
            <v>101488</v>
          </cell>
          <cell r="B6695" t="str">
            <v>CARGA, MANOBRA E DESCARGA DE TUBOS PLÁSTICOS, DN 1200 MM, EM CAMINHÃO CARROCERIA COM GUINDAUTO (MUNCK) 11,7 TM. AF_07/2020</v>
          </cell>
          <cell r="C6695" t="str">
            <v>M</v>
          </cell>
          <cell r="D6695">
            <v>65.08</v>
          </cell>
        </row>
        <row r="6696">
          <cell r="A6696" t="str">
            <v>101188</v>
          </cell>
          <cell r="B6696" t="str">
            <v>RECOMPOSIÇÃO PARCIAL DE ARAME FARPADO Nº 14 CLASSE 250, FIXADO EM CERCA COM MOURÕES DE CONCRETO - FORNECIMENTO E INSTALAÇÃO. AF_05/2020</v>
          </cell>
          <cell r="C6696" t="str">
            <v>M</v>
          </cell>
          <cell r="D6696">
            <v>6.07</v>
          </cell>
        </row>
        <row r="6697">
          <cell r="A6697" t="str">
            <v>101189</v>
          </cell>
          <cell r="B6697" t="str">
            <v>CERCA COM MOURÕES DE CONCRETO, RETO, H=3,00 M, ESPAÇAMENTO DE 2,5 M, CRAVADOS 0,5 M, COM 4 FIOS DE ARAME FARPADO Nº 14 CLASSE 250 - FORNECIMENTO E INSTALAÇÃO. AF_05/2020</v>
          </cell>
          <cell r="C6697" t="str">
            <v>M</v>
          </cell>
          <cell r="D6697">
            <v>62.54</v>
          </cell>
        </row>
        <row r="6698">
          <cell r="A6698" t="str">
            <v>101190</v>
          </cell>
          <cell r="B6698" t="str">
            <v>CERCA COM MOURÕES DE CONCRETO, RETO, H=3,00 M, ESPAÇAMENTO DE 2,5 M, CRAVADOS 0,5 M, COM 4 FIOS DE ARAME DE AÇO OVALADO 15X17 - FORNECIMENTO E INSTALAÇÃO. AF_05/2020</v>
          </cell>
          <cell r="C6698" t="str">
            <v>M</v>
          </cell>
          <cell r="D6698">
            <v>61.59</v>
          </cell>
        </row>
        <row r="6699">
          <cell r="A6699" t="str">
            <v>101191</v>
          </cell>
          <cell r="B6699" t="str">
            <v>CERCA COM MOURÕES DE CONCRETO, RETO, H=3,00 M, ESPAÇAMENTO DE 2,5 M, CRAVADOS 0,5 M, COM 4 FIOS DE ARAME MISTO - FORNECIMENTO E INSTALAÇÃO. AF_05/2020</v>
          </cell>
          <cell r="C6699" t="str">
            <v>M</v>
          </cell>
          <cell r="D6699">
            <v>62.06</v>
          </cell>
        </row>
        <row r="6700">
          <cell r="A6700" t="str">
            <v>101192</v>
          </cell>
          <cell r="B6700" t="str">
            <v>CERCA COM MOURÕES DE CONCRETO, RETO, H=2,30 M, ESPAÇAMENTO DE 2,5 M, CRAVADOS 0,5 M, COM 4 FIOS DE ARAME FARPADO Nº 14 CLASSE 250 - FORNECIMENTO E INSTALAÇÃO. AF_05/2020</v>
          </cell>
          <cell r="C6700" t="str">
            <v>M</v>
          </cell>
          <cell r="D6700">
            <v>65.19</v>
          </cell>
        </row>
        <row r="6701">
          <cell r="A6701" t="str">
            <v>101193</v>
          </cell>
          <cell r="B6701" t="str">
            <v>CERCA COM MOURÕES DE CONCRETO, RETO, H=2,30 M, ESPAÇAMENTO DE 2,5 M, CRAVADOS 0,5 M, COM 4 FIOS DE ARAME DE AÇO OVALADO 15X17 - FORNECIMENTO E INSTALAÇÃO. AF_05/2020</v>
          </cell>
          <cell r="C6701" t="str">
            <v>M</v>
          </cell>
          <cell r="D6701">
            <v>56.38</v>
          </cell>
        </row>
        <row r="6702">
          <cell r="A6702" t="str">
            <v>101194</v>
          </cell>
          <cell r="B6702" t="str">
            <v>CERCA COM MOURÕES DE CONCRETO, RETO, H=2,30 M, ESPAÇAMENTO DE 2,5 M, CRAVADOS 0,5 M, COM 4 FIOS DE ARAME MISTO - FORNECIMENTO E INSTALAÇÃO. AF_05/2020</v>
          </cell>
          <cell r="C6702" t="str">
            <v>M</v>
          </cell>
          <cell r="D6702">
            <v>56.85</v>
          </cell>
        </row>
        <row r="6703">
          <cell r="A6703" t="str">
            <v>101197</v>
          </cell>
          <cell r="B6703" t="str">
            <v>CERCA COM MOURÕES DE CONCRETO, SEÇÃO "T" PONTA INCLINADA, 10X10 CM, ESPAÇAMENTO DE 2,5 M, CRAVADOS 0,5 M, COM 11 FIOS DE ARAME FARPADO Nº 14 - FORNECIMENTO E INSTALAÇÃO. AF_05/2020</v>
          </cell>
          <cell r="C6703" t="str">
            <v>M</v>
          </cell>
          <cell r="D6703">
            <v>113.29</v>
          </cell>
        </row>
        <row r="6704">
          <cell r="A6704" t="str">
            <v>101198</v>
          </cell>
          <cell r="B6704" t="str">
            <v>CERCA COM MOURÕES DE CONCRETO, SEÇÃO "T" PONTA INCLINADA, 10X10 CM, ESPAÇAMENTO DE 2,5 M, CRAVADOS 0,5 M, COM 11 FIOS DE ARAME DE AÇO OVALADO 15X17 - FORNECIMENTO E INSTALAÇÃO. AF_05/2020</v>
          </cell>
          <cell r="C6704" t="str">
            <v>M</v>
          </cell>
          <cell r="D6704">
            <v>87.82</v>
          </cell>
        </row>
        <row r="6705">
          <cell r="A6705" t="str">
            <v>101199</v>
          </cell>
          <cell r="B6705" t="str">
            <v>CERCA COM MOURÕES DE CONCRETO, SEÇÃO "T" PONTA INCLINADA, 10X10CM, ESPAÇAMENTO DE 2,5M, CRAVADOS 0,5M, COM 11 FIOS DE ARAME MISTO - FORNECIMENTO E INSTALAÇÃO. AF_05/2020</v>
          </cell>
          <cell r="C6705" t="str">
            <v>M</v>
          </cell>
          <cell r="D6705">
            <v>89</v>
          </cell>
        </row>
        <row r="6706">
          <cell r="A6706" t="str">
            <v>101200</v>
          </cell>
          <cell r="B6706" t="str">
            <v>CERCA COM MOURÕES DE MADEIRA, 7,5X7,5 CM, ESPAÇAMENTO DE 2,5 M, ALTURA LIVRE DE 2 M, CRAVADOS 0,5 M, COM 4 FIOS DE ARAME FARPADO Nº 14 CLASSE 250 - FORNECIMENTO E INSTALAÇÃO. AF_05/2020</v>
          </cell>
          <cell r="C6706" t="str">
            <v>M</v>
          </cell>
          <cell r="D6706">
            <v>57.17</v>
          </cell>
        </row>
        <row r="6707">
          <cell r="A6707" t="str">
            <v>101201</v>
          </cell>
          <cell r="B6707" t="str">
            <v>CERCA COM MOURÕES DE MADEIRA, 7,5X7,5 CM, ESPAÇAMENTO DE 2,5 M, ALTURA LIVRE DE 2 M, CRAVADOS 0,5 M, COM 8 FIOS DE ARAME FARPADO Nº 14 CLASSE 250 - FORNECIMENTO E INSTALAÇÃO. AF_05/2020</v>
          </cell>
          <cell r="C6707" t="str">
            <v>M</v>
          </cell>
          <cell r="D6707">
            <v>71.7</v>
          </cell>
        </row>
        <row r="6708">
          <cell r="A6708" t="str">
            <v>101202</v>
          </cell>
          <cell r="B6708" t="str">
            <v>CERCA COM MOURÕES DE MADEIRA ROLIÇA, DIÂMETRO 11 CM, ESPAÇAMENTO DE 2,5 M, ALTURA LIVRE DE 1,7 M, CRAVADOS 0,5 M, COM 5 FIOS DE ARAME FARPADO Nº 14 CLASSE 250 - FORNECIMENTO E INSTALAÇÃO. AF_05/2020</v>
          </cell>
          <cell r="C6708" t="str">
            <v>M</v>
          </cell>
          <cell r="D6708">
            <v>40.98</v>
          </cell>
        </row>
        <row r="6709">
          <cell r="A6709" t="str">
            <v>101203</v>
          </cell>
          <cell r="B6709" t="str">
            <v>CERCA COM MOURÕES DE MADEIRA ROLIÇA, DIÂMETRO 11 CM, ESPAÇAMENTO DE 2,5 M, ALTURA LIVRE DE 1,7 M, CRAVADOS 0,5 M, COM 5 FIOS DE ARAME DE AÇO OVALADO 15X17 - FORNECIMENTO E INSTALAÇÃO. AF_05/2020</v>
          </cell>
          <cell r="C6709" t="str">
            <v>M</v>
          </cell>
          <cell r="D6709">
            <v>39.79</v>
          </cell>
        </row>
        <row r="6710">
          <cell r="A6710" t="str">
            <v>101204</v>
          </cell>
          <cell r="B6710" t="str">
            <v>CERCA COM MOURÕES DE MADEIRA ROLIÇA, DIÂMETRO 11 CM, ESPAÇAMENTO DE 2,5 M, ALTURA LIVRE DE 1,7 M, CRAVADOS 0,5 M, COM 5 FIOS DE ARAME MISTO - FORNECIMENTO E INSTALAÇÃO. AF_05/2020</v>
          </cell>
          <cell r="C6710" t="str">
            <v>M</v>
          </cell>
          <cell r="D6710">
            <v>40.26</v>
          </cell>
        </row>
        <row r="6711">
          <cell r="A6711" t="str">
            <v>101205</v>
          </cell>
          <cell r="B6711" t="str">
            <v>PORTÃO COM MOURÕES DE MADEIRA ROLIÇA, DIÂMETRO 11 CM, COM 5 FIOS DE ARAME FARPADO Nº 14 CLASSE 250, SEM DOBRADIÇAS - FORNECIMENTO E INSTALAÇÃO. AF_05/2020</v>
          </cell>
          <cell r="C6711" t="str">
            <v>M2</v>
          </cell>
          <cell r="D6711">
            <v>40.98</v>
          </cell>
        </row>
        <row r="6712">
          <cell r="A6712" t="str">
            <v>102362</v>
          </cell>
          <cell r="B6712" t="str">
            <v>ALAMBRADO PARA QUADRA POLIESPORTIVA, ESTRUTURADO POR TUBOS DE ACO GALVANIZADO, (MONTANTES COM DIAMETRO 2", TRAVESSAS E ESCORAS COM DIÂMETRO 1 ¼), COM TELA DE ARAME GALVANIZADO, FIO 14 BWG E MALHA QUADRADA 5X5CM (EXCETO MURETA). AF_03/2021</v>
          </cell>
          <cell r="C6712" t="str">
            <v>M2</v>
          </cell>
          <cell r="D6712">
            <v>198.46</v>
          </cell>
        </row>
        <row r="6713">
          <cell r="A6713" t="str">
            <v>102363</v>
          </cell>
          <cell r="B6713" t="str">
            <v>ALAMBRADO PARA QUADRA POLIESPORTIVA, ESTRUTURADO POR TUBOS DE ACO GALVANIZADO, (MONTANTES COM DIAMETRO 2", TRAVESSAS E ESCORAS COM DIÂMETRO 1 ¼), COM TELA DE ARAME GALVANIZADO, FIO 12 BWG E MALHA QUADRADA 5X5CM (EXCETO MURETA). AF_03/2021</v>
          </cell>
          <cell r="C6713" t="str">
            <v>M2</v>
          </cell>
          <cell r="D6713">
            <v>210.94</v>
          </cell>
        </row>
        <row r="6714">
          <cell r="A6714" t="str">
            <v>102364</v>
          </cell>
          <cell r="B6714" t="str">
            <v>ALAMBRADO PARA QUADRA POLIESPORTIVA, ESTRUTURADO POR TUBOS DE ACO GALVANIZADO, (MONTANTES COM DIAMETRO 2", TRAVESSAS E ESCORAS COM DIÂMETRO 1 ¼), COM TELA DE ARAME GALVANIZADO, FIO 10 BWG E MALHA QUADRADA 5X5CM (EXCETO MURETA). AF_03/2021</v>
          </cell>
          <cell r="C6714" t="str">
            <v>UN</v>
          </cell>
          <cell r="D6714">
            <v>233.64</v>
          </cell>
        </row>
        <row r="6715">
          <cell r="A6715" t="str">
            <v>98509</v>
          </cell>
          <cell r="B6715" t="str">
            <v>PLANTIO DE ARBUSTO OU  CERCA VIVA. AF_05/2018</v>
          </cell>
          <cell r="C6715" t="str">
            <v>UN</v>
          </cell>
          <cell r="D6715">
            <v>40.76</v>
          </cell>
        </row>
        <row r="6716">
          <cell r="A6716" t="str">
            <v>98510</v>
          </cell>
          <cell r="B6716" t="str">
            <v>PLANTIO DE ÁRVORE ORNAMENTAL COM ALTURA DE MUDA MENOR OU IGUAL A 2,00 M. AF_05/2018</v>
          </cell>
          <cell r="C6716" t="str">
            <v>UN</v>
          </cell>
          <cell r="D6716">
            <v>63.3</v>
          </cell>
        </row>
        <row r="6717">
          <cell r="A6717" t="str">
            <v>98511</v>
          </cell>
          <cell r="B6717" t="str">
            <v>PLANTIO DE ÁRVORE ORNAMENTAL COM ALTURA DE MUDA MAIOR QUE 2,00 M E MENOR OU IGUAL A 4,00 M. AF_05/2018</v>
          </cell>
          <cell r="C6717" t="str">
            <v>UN</v>
          </cell>
          <cell r="D6717">
            <v>119.07</v>
          </cell>
        </row>
        <row r="6718">
          <cell r="A6718" t="str">
            <v>98516</v>
          </cell>
          <cell r="B6718" t="str">
            <v>PLANTIO DE PALMEIRA COM ALTURA DE MUDA MENOR OU IGUAL A 2,00 M. AF_05/2018</v>
          </cell>
          <cell r="C6718" t="str">
            <v>M2</v>
          </cell>
          <cell r="D6718">
            <v>311.23</v>
          </cell>
        </row>
        <row r="6719">
          <cell r="A6719" t="str">
            <v>98519</v>
          </cell>
          <cell r="B6719" t="str">
            <v>REVOLVIMENTO E LIMPEZA MANUAL DE SOLO. AF_05/2018</v>
          </cell>
          <cell r="C6719" t="str">
            <v>M2</v>
          </cell>
          <cell r="D6719">
            <v>1.83</v>
          </cell>
        </row>
        <row r="6720">
          <cell r="A6720" t="str">
            <v>98520</v>
          </cell>
          <cell r="B6720" t="str">
            <v>APLICAÇÃO DE ADUBO EM SOLO. AF_05/2018</v>
          </cell>
          <cell r="C6720" t="str">
            <v>M2</v>
          </cell>
          <cell r="D6720">
            <v>5.05</v>
          </cell>
        </row>
        <row r="6721">
          <cell r="A6721" t="str">
            <v>98521</v>
          </cell>
          <cell r="B6721" t="str">
            <v>APLICAÇÃO DE CALCÁRIO PARA CORREÇÃO DO PH DO SOLO. AF_05/2018</v>
          </cell>
          <cell r="C6721" t="str">
            <v>M</v>
          </cell>
          <cell r="D6721">
            <v>0.33</v>
          </cell>
        </row>
        <row r="6722">
          <cell r="A6722" t="str">
            <v>98522</v>
          </cell>
          <cell r="B6722" t="str">
            <v>ALAMBRADO EM MOURÕES DE CONCRETO, COM TELA DE ARAME GALVANIZADO (INCLUSIVE MURETA EM CONCRETO). AF_05/2018</v>
          </cell>
          <cell r="C6722" t="str">
            <v>M2</v>
          </cell>
          <cell r="D6722">
            <v>152.58000000000001</v>
          </cell>
        </row>
        <row r="6723">
          <cell r="A6723" t="str">
            <v>98524</v>
          </cell>
          <cell r="B6723" t="str">
            <v>LIMPEZA MANUAL DE VEGETAÇÃO EM TERRENO COM ENXADA.AF_05/2018</v>
          </cell>
          <cell r="C6723" t="str">
            <v>M2</v>
          </cell>
          <cell r="D6723">
            <v>3.05</v>
          </cell>
        </row>
        <row r="6724">
          <cell r="A6724" t="str">
            <v>98503</v>
          </cell>
          <cell r="B6724" t="str">
            <v>PLANTIO DE GRAMA EM PAVIMENTO CONCREGRAMA. AF_05/2018</v>
          </cell>
          <cell r="C6724" t="str">
            <v>M2</v>
          </cell>
          <cell r="D6724">
            <v>19.87</v>
          </cell>
        </row>
        <row r="6725">
          <cell r="A6725" t="str">
            <v>98504</v>
          </cell>
          <cell r="B6725" t="str">
            <v>PLANTIO DE GRAMA EM PLACAS. AF_05/2018</v>
          </cell>
          <cell r="C6725" t="str">
            <v>M2</v>
          </cell>
          <cell r="D6725">
            <v>12.7</v>
          </cell>
        </row>
        <row r="6726">
          <cell r="A6726" t="str">
            <v>98505</v>
          </cell>
          <cell r="B6726" t="str">
            <v>PLANTIO DE FORRAÇÃO. AF_05/2018</v>
          </cell>
          <cell r="C6726" t="str">
            <v>UN</v>
          </cell>
          <cell r="D6726">
            <v>58.85</v>
          </cell>
        </row>
        <row r="6727">
          <cell r="A6727" t="str">
            <v>103185</v>
          </cell>
          <cell r="B6727" t="str">
            <v>INSTALAÇÃO DE ESQUI TRIPLO, EM TUBO DE AÇO CARBONO - EQUIPAMENTO DE GINÁSTICA PARA ACADEMIA AO AR LIVRE / ACADEMIA DA TERCEIRA IDADE - ATI, INSTALADO SOBRE PISO DE CONCRETO EXISTENTE. AF_10/2021</v>
          </cell>
          <cell r="C6727" t="str">
            <v>UN</v>
          </cell>
          <cell r="D6727">
            <v>5405.2</v>
          </cell>
        </row>
        <row r="6728">
          <cell r="A6728" t="str">
            <v>103186</v>
          </cell>
          <cell r="B6728" t="str">
            <v>INSTALAÇÃO DE MULTIEXERCITADOR COM SEIS FUNÇÕES, EM TUBO DE AÇO CARBONO - EQUIPAMENTO DE GINÁSTICA PARA ACADEMIA AO AR LIVRE / ACADEMIA DA TERCEIRA IDADE - ATI, INSTALADO SOBRE PISO DE CONCRETO EXISTENTE. AF_10/2021</v>
          </cell>
          <cell r="C6728" t="str">
            <v>UN</v>
          </cell>
          <cell r="D6728">
            <v>5696.53</v>
          </cell>
        </row>
        <row r="6729">
          <cell r="A6729" t="str">
            <v>103187</v>
          </cell>
          <cell r="B6729" t="str">
            <v>INSTALAÇÃO DE SIMULADOR DE CAMINHADA TRIPLO, EM TUBO DE AÇO CARBONO - EQUIPAMENTO DE GINÁSTICA PARA ACADEMIA AO AR LIVRE / ACADEMIA DA TERCEIRA IDADE - ATI, INSTALADO SOBRE PISO DE CONCRETO EXISTENTE. AF_10/2021</v>
          </cell>
          <cell r="C6729" t="str">
            <v>UN</v>
          </cell>
          <cell r="D6729">
            <v>4283.7</v>
          </cell>
        </row>
        <row r="6730">
          <cell r="A6730" t="str">
            <v>103188</v>
          </cell>
          <cell r="B6730" t="str">
            <v>INSTALAÇÃO DE SIMULADOR DE CAVALGADA TRIPLO, EM TUBO DE AÇO CARBONO - EQUIPAMENTO DE GINÁSTICA PARA ACADEMIA AO AR LIVRE / ACADEMIA DA TERCEIRA IDADE - ATI, INSTALADO SOBRE PISO DE CONCRETO EXISTENTE. AF_10/2021</v>
          </cell>
          <cell r="C6730" t="str">
            <v>UN</v>
          </cell>
          <cell r="D6730">
            <v>4604.6400000000003</v>
          </cell>
        </row>
        <row r="6731">
          <cell r="A6731" t="str">
            <v>103189</v>
          </cell>
          <cell r="B6731" t="str">
            <v>INSTALAÇÃO DE SIMULADOR DE REMO INDIVIDUAL, EM TUBO DE AÇO CARBONO - EQUIPAMENTO DE GINÁSTICA PARA ACADEMIA AO AR LIVRE / ACADEMIA DA TERCEIRA IDADE - ATI, INSTALADO SOBRE PISO DE CONCRETO EXISTENTE. AF_10/2021</v>
          </cell>
          <cell r="C6731" t="str">
            <v>UN</v>
          </cell>
          <cell r="D6731">
            <v>2308.3200000000002</v>
          </cell>
        </row>
        <row r="6732">
          <cell r="A6732" t="str">
            <v>103190</v>
          </cell>
          <cell r="B6732" t="str">
            <v>INSTALAÇÃO DE PRESSÃO DE PERNAS TRIPLO, EM TUBO DE AÇO CARBONO - EQUIPAMENTO DE GINÁSTICA PARA ACADEMIA AO AR LIVRE / ACADEMIA DA TERCEIRA IDADE - ATI, INSTALADO SOBRE SOLO. AF_10/2021</v>
          </cell>
          <cell r="C6732" t="str">
            <v>UN</v>
          </cell>
          <cell r="D6732">
            <v>3575.44</v>
          </cell>
        </row>
        <row r="6733">
          <cell r="A6733" t="str">
            <v>103191</v>
          </cell>
          <cell r="B6733" t="str">
            <v>INSTALAÇÃO DE ALONGADOR COM TRÊS ALTURAS, EM TUBO DE AÇO CARBONO - EQUIPAMENTO DE GINASTICA PARA ACADEMIA AO AR LIVRE / ACADEMIA DA TERCEIRA IDADE - ATI, INSTALADO SOBRE SOLO. AF_10/2021</v>
          </cell>
          <cell r="C6733" t="str">
            <v>UN</v>
          </cell>
          <cell r="D6733">
            <v>2079.98</v>
          </cell>
        </row>
        <row r="6734">
          <cell r="A6734" t="str">
            <v>103192</v>
          </cell>
          <cell r="B6734" t="str">
            <v>INSTALAÇÃO DE ROTAÇÃO DIAGONAL DUPLA, APARELHO TRIPLO, EM TUBO DE AÇO CARBONO - EQUIPAMENTO DE GINÁSTICA PARA ACADEMIA AO AR LIVRE / ACADEMIA DA TERCEIRA IDADE - ATI, INSTALADO SOBRE SOLO. AF_10/2021</v>
          </cell>
          <cell r="C6734" t="str">
            <v>UN</v>
          </cell>
          <cell r="D6734">
            <v>2214.88</v>
          </cell>
        </row>
        <row r="6735">
          <cell r="A6735" t="str">
            <v>103193</v>
          </cell>
          <cell r="B6735" t="str">
            <v>INSTALAÇÃO DE ROTAÇÃO VERTICAL DUPLO, EM TUBO DE AÇO CARBONO - EQUIPAMENTO DE GINÁSTICA PARA ACADEMIA AO AR LIVRE / ACADEMIA DA TERCEIRA IDADE - ATI, INSTALADO SOBRE SOLO. AF_10/2021</v>
          </cell>
          <cell r="C6735" t="str">
            <v>UN</v>
          </cell>
          <cell r="D6735">
            <v>1704.51</v>
          </cell>
        </row>
        <row r="6736">
          <cell r="A6736" t="str">
            <v>103194</v>
          </cell>
          <cell r="B6736" t="str">
            <v>INSTALAÇÃO DE SURF DUPLO, EM TUBO DE AÇO CARBONO - EQUIPAMENTO DE GINÁSTICA PARA ACADEMIA AO AR LIVRE / ACADEMIA DA TERCEIRA IDADE - ATI, INSTALADO SOBRE SOLO. AF_10/2021</v>
          </cell>
          <cell r="C6736" t="str">
            <v>UN</v>
          </cell>
          <cell r="D6736">
            <v>2457.83</v>
          </cell>
        </row>
        <row r="6737">
          <cell r="A6737" t="str">
            <v>103195</v>
          </cell>
          <cell r="B6737" t="str">
            <v>INSTALAÇÃO DE PLACA ORIENTATIVA SOBRE EXERCÍCIOS, 2,00M X 1,00M, EM TUBO DE AÇO CARBONO - PARA ACADEMIA AO AR LIVRE / ACADEMIA DA TERCEIRA IDADE - ATI, INSTALADO SOBRE SOLO. AF_10/2021</v>
          </cell>
          <cell r="C6737" t="str">
            <v>UN</v>
          </cell>
          <cell r="D6737">
            <v>1917.99</v>
          </cell>
        </row>
        <row r="6738">
          <cell r="A6738" t="str">
            <v>103205</v>
          </cell>
          <cell r="B6738" t="str">
            <v>INSTALAÇÃO DE PRESSÃO DE PERNAS TRIPLO, EM TUBO DE AÇO CARBONO - EQUIPAMENTO DE GINÁSTICA PARA ACADEMIA AO AR LIVRE / ACADEMIA DA TERCEIRA IDADE - ATI, INSTALADO SOBRE PISO DE CONCRETO EXISTENTE. AF_10/2021</v>
          </cell>
          <cell r="C6738" t="str">
            <v>UN</v>
          </cell>
          <cell r="D6738">
            <v>3586.85</v>
          </cell>
        </row>
        <row r="6739">
          <cell r="A6739" t="str">
            <v>103206</v>
          </cell>
          <cell r="B6739" t="str">
            <v>INSTALAÇÃO DE ALONGADOR COM TRÊS ALTURAS, EM TUBO DE AÇO CARBONO - EQUIPAMENTO DE GINÁSTICA PARA ACADEMIA AO AR LIVRE / ACADEMIA DA TERCEIRA IDADE - ATI, INSTALADO SOBRE PISO DE CONCRETO EXISTENTE. AF_10/2021</v>
          </cell>
          <cell r="C6739" t="str">
            <v>UN</v>
          </cell>
          <cell r="D6739">
            <v>2091.4</v>
          </cell>
        </row>
        <row r="6740">
          <cell r="A6740" t="str">
            <v>103207</v>
          </cell>
          <cell r="B6740" t="str">
            <v>INSTALAÇÃO DE ROTAÇÃO DIAGONAL DUPLA, APARELHO TRIPLO, EM TUBO DE AÇO CARBONO - EQUIPAMENTO DE GINÁSTICA PARA ACADEMIA AO AR LIVRE / ACADEMIA DA TERCEIRA IDADE - ATI, INSTALADO SOBRE PISO DE CONCRETO EXISTENTE. AF_10/2021</v>
          </cell>
          <cell r="C6740" t="str">
            <v>UN</v>
          </cell>
          <cell r="D6740">
            <v>2226.3000000000002</v>
          </cell>
        </row>
        <row r="6741">
          <cell r="A6741" t="str">
            <v>103208</v>
          </cell>
          <cell r="B6741" t="str">
            <v>INSTALAÇÃO DE ROTAÇÃO VERTICAL DUPLO, EM TUBO DE ACO CARBONO - EQUIPAMENTO DE GINASTICA PARA ACADEMIA AO AR LIVRE / ACADEMIA DA TERCEIRA IDADE - ATI, INSTALADO SOBRE PISO DE CONCRETO EXISTENTE. AF_10/2021</v>
          </cell>
          <cell r="C6741" t="str">
            <v>UN</v>
          </cell>
          <cell r="D6741">
            <v>1715.93</v>
          </cell>
        </row>
        <row r="6742">
          <cell r="A6742" t="str">
            <v>103209</v>
          </cell>
          <cell r="B6742" t="str">
            <v>INSTALAÇÃO DE SURF DUPLO, EM TUBO DE AÇO CARBONO - EQUIPAMENTO DE GINÁSTICA PARA ACADEMIA AO AR LIVRE / ACADEMIA DA TERCEIRA IDADE - ATI, INSTALADO SOBRE PISO DE CONCRETO EXISTENTE. AF_10/2021</v>
          </cell>
          <cell r="C6742" t="str">
            <v>UN</v>
          </cell>
          <cell r="D6742">
            <v>2469.25</v>
          </cell>
        </row>
        <row r="6743">
          <cell r="A6743" t="str">
            <v>103210</v>
          </cell>
          <cell r="B6743" t="str">
            <v>INSTALAÇÃO DE PLACA ORIENTATIVA SOBRE EXERCÍCIOS, 2,00M X 1,00M, EM TUBO DE AÇO CARBONO - PARA ACADEMIA AO AR LIVRE / ACADEMIA DA TERCEIRA IDADE - ATI, INSTALADO SOBRE PISO DE CONCRETO EXISTENTE. AF_10/2021</v>
          </cell>
          <cell r="C6743" t="str">
            <v>UN</v>
          </cell>
          <cell r="D6743">
            <v>2003.53</v>
          </cell>
        </row>
        <row r="6744">
          <cell r="A6744" t="str">
            <v>103304</v>
          </cell>
          <cell r="B6744" t="str">
            <v>INSTALAÇÃO DE BANCO METÁLICO COM ENCOSTO, 1,60 M DE COMPRIMENTO, EM TUBO DE AÇO CARBONO COM PINTURA ELETROSTÁTICA, SOBRE PISO DE CONCRETO EXISTENTE. AF_11/2021</v>
          </cell>
          <cell r="C6744" t="str">
            <v>UN</v>
          </cell>
          <cell r="D6744">
            <v>1096.7</v>
          </cell>
        </row>
        <row r="6745">
          <cell r="A6745" t="str">
            <v>103307</v>
          </cell>
          <cell r="B6745" t="str">
            <v>INSTALAÇÃO DE LIXEIRA METÁLICA DUPLA, CAPACIDADE DE 60 L, EM TUBO DE AÇO CARBONO E CESTOS EM CHAPA DE AÇO COM PINTURA ELETROSTÁTICA, SOBRE PISO DE CONCRETO EXISTENTE. AF_11/2021</v>
          </cell>
          <cell r="C6745" t="str">
            <v>UN</v>
          </cell>
          <cell r="D6745">
            <v>1169.27</v>
          </cell>
        </row>
        <row r="6746">
          <cell r="A6746" t="str">
            <v>103310</v>
          </cell>
          <cell r="B6746" t="str">
            <v>INSTALAÇÃO DE LIXEIRA METÁLICA DUPLA, CAPACIDADE DE 60 L, EM TUBO DE AÇO CARBONO E CESTOS EM CHAPA DE AÇO COM PINTURA ELETROSTÁTICA, SOBRE SOLO. AF_11/2021</v>
          </cell>
          <cell r="C6746" t="str">
            <v>M2</v>
          </cell>
          <cell r="D6746">
            <v>1125.95</v>
          </cell>
        </row>
        <row r="6747">
          <cell r="A6747" t="str">
            <v>103314</v>
          </cell>
          <cell r="B6747" t="str">
            <v>INSTALAÇÃO DE PERGOLADO DE MADEIRA, EM MAÇARANDUBA, ANGELIM OU EQUIVALENTE DA REGIÃO, FIXADO COM CONCRETO SOBRE PISO DE CONCRETO EXISTENTE. AF_11/2021</v>
          </cell>
          <cell r="C6747" t="str">
            <v>M2</v>
          </cell>
          <cell r="D6747">
            <v>260.25</v>
          </cell>
        </row>
        <row r="6748">
          <cell r="A6748" t="str">
            <v>103315</v>
          </cell>
          <cell r="B6748" t="str">
            <v>INSTALAÇÃO DE PERGOLADO DE MADEIRA, EM MAÇARANDUBA, ANGELIM OU EQUIVALENTE DA REGIÃO, FIXADO COM CONCRETO SOBRE SOLO. AF_11/2021</v>
          </cell>
          <cell r="C6748" t="str">
            <v>M2</v>
          </cell>
          <cell r="D6748">
            <v>253.04</v>
          </cell>
        </row>
        <row r="6749">
          <cell r="A6749" t="str">
            <v>98525</v>
          </cell>
          <cell r="B6749" t="str">
            <v>LIMPEZA MECANIZADA DE CAMADA VEGETAL, VEGETAÇÃO E PEQUENAS ÁRVORES (DIÂMETRO DE TRONCO MENOR QUE 0,20 M), COM TRATOR DE ESTEIRAS.AF_05/2018</v>
          </cell>
          <cell r="C6749" t="str">
            <v>UN</v>
          </cell>
          <cell r="D6749">
            <v>0.36</v>
          </cell>
        </row>
        <row r="6750">
          <cell r="A6750" t="str">
            <v>98526</v>
          </cell>
          <cell r="B6750" t="str">
            <v>REMOÇÃO DE RAÍZES REMANESCENTES DE TRONCO DE ÁRVORE COM DIÂMETRO MAIOR OU IGUAL A 0,20 M E MENOR QUE 0,40 M.AF_05/2018</v>
          </cell>
          <cell r="C6750" t="str">
            <v>UN</v>
          </cell>
          <cell r="D6750">
            <v>78.209999999999994</v>
          </cell>
        </row>
        <row r="6751">
          <cell r="A6751" t="str">
            <v>98527</v>
          </cell>
          <cell r="B6751" t="str">
            <v>REMOÇÃO DE RAÍZES REMANESCENTES DE TRONCO DE ÁRVORE COM DIÂMETRO MAIOR OU IGUAL A 0,40 M E MENOR QUE 0,60 M.AF_05/2018</v>
          </cell>
          <cell r="C6751" t="str">
            <v>UN</v>
          </cell>
          <cell r="D6751">
            <v>168.39</v>
          </cell>
        </row>
        <row r="6752">
          <cell r="A6752" t="str">
            <v>98528</v>
          </cell>
          <cell r="B6752" t="str">
            <v>REMOÇÃO DE RAÍZES REMANESCENTES DE TRONCO DE ÁRVORE COM DIÂMETRO MAIOR OU IGUAL A 0,60 M.AF_05/2018</v>
          </cell>
          <cell r="C6752" t="str">
            <v>UN</v>
          </cell>
          <cell r="D6752">
            <v>246.26</v>
          </cell>
        </row>
        <row r="6753">
          <cell r="A6753" t="str">
            <v>98529</v>
          </cell>
          <cell r="B6753" t="str">
            <v>CORTE RASO E RECORTE DE ÁRVORE COM DIÂMETRO DE TRONCO MAIOR OU IGUAL A 0,20 M E MENOR QUE 0,40 M.AF_05/2018</v>
          </cell>
          <cell r="C6753" t="str">
            <v>UN</v>
          </cell>
          <cell r="D6753">
            <v>65.64</v>
          </cell>
        </row>
        <row r="6754">
          <cell r="A6754" t="str">
            <v>98530</v>
          </cell>
          <cell r="B6754" t="str">
            <v>CORTE RASO E RECORTE DE ÁRVORE COM DIÂMETRO DE TRONCO MAIOR OU IGUAL A 0,40 M E MENOR QUE 0,60 M.AF_05/2018</v>
          </cell>
          <cell r="C6754" t="str">
            <v>UN</v>
          </cell>
          <cell r="D6754">
            <v>116.94</v>
          </cell>
        </row>
        <row r="6755">
          <cell r="A6755" t="str">
            <v>98531</v>
          </cell>
          <cell r="B6755" t="str">
            <v>CORTE RASO E RECORTE DE ÁRVORE COM DIÂMETRO DE TRONCO MAIOR OU IGUAL A 0,60 M.AF_05/2018</v>
          </cell>
          <cell r="C6755" t="str">
            <v>UN</v>
          </cell>
          <cell r="D6755">
            <v>266.75</v>
          </cell>
        </row>
        <row r="6756">
          <cell r="A6756" t="str">
            <v>98532</v>
          </cell>
          <cell r="B6756" t="str">
            <v>PODA EM ALTURA DE ÁRVORE COM DIÂMETRO DE TRONCO MENOR QUE 0,20 M.AF_05/2018</v>
          </cell>
          <cell r="C6756" t="str">
            <v>UN</v>
          </cell>
          <cell r="D6756">
            <v>96.05</v>
          </cell>
        </row>
        <row r="6757">
          <cell r="A6757" t="str">
            <v>98533</v>
          </cell>
          <cell r="B6757" t="str">
            <v>PODA EM ALTURA DE ÁRVORE COM DIÂMETRO DE TRONCO MAIOR OU IGUAL A 0,20 M E MENOR QUE 0,40 M.AF_05/2018</v>
          </cell>
          <cell r="C6757" t="str">
            <v>UN</v>
          </cell>
          <cell r="D6757">
            <v>262.29000000000002</v>
          </cell>
        </row>
        <row r="6758">
          <cell r="A6758" t="str">
            <v>98534</v>
          </cell>
          <cell r="B6758" t="str">
            <v>PODA EM ALTURA DE ÁRVORE COM DIÂMETRO DE TRONCO MAIOR OU IGUAL A 0,40 M E MENOR QUE 0,60 M.AF_05/2018</v>
          </cell>
          <cell r="C6758" t="str">
            <v>UN</v>
          </cell>
          <cell r="D6758">
            <v>672.89</v>
          </cell>
        </row>
        <row r="6759">
          <cell r="A6759" t="str">
            <v>98535</v>
          </cell>
          <cell r="B6759" t="str">
            <v>PODA EM ALTURA DE ÁRVORE COM DIÂMETRO DE TRONCO MAIOR OU IGUAL A 0,60 M.AF_05/2018</v>
          </cell>
          <cell r="C6759" t="str">
            <v>H</v>
          </cell>
          <cell r="D6759">
            <v>1063.45</v>
          </cell>
        </row>
        <row r="6760">
          <cell r="A6760" t="str">
            <v>88238</v>
          </cell>
          <cell r="B6760" t="str">
            <v>AJUDANTE DE ARMADOR COM ENCARGOS COMPLEMENTARES</v>
          </cell>
          <cell r="C6760" t="str">
            <v>H</v>
          </cell>
          <cell r="D6760">
            <v>19.399999999999999</v>
          </cell>
        </row>
        <row r="6761">
          <cell r="A6761" t="str">
            <v>88239</v>
          </cell>
          <cell r="B6761" t="str">
            <v>AJUDANTE DE CARPINTEIRO COM ENCARGOS COMPLEMENTARES</v>
          </cell>
          <cell r="C6761" t="str">
            <v>H</v>
          </cell>
          <cell r="D6761">
            <v>21.16</v>
          </cell>
        </row>
        <row r="6762">
          <cell r="A6762" t="str">
            <v>88240</v>
          </cell>
          <cell r="B6762" t="str">
            <v>AJUDANTE DE ESTRUTURA METÁLICA COM ENCARGOS COMPLEMENTARES</v>
          </cell>
          <cell r="C6762" t="str">
            <v>H</v>
          </cell>
          <cell r="D6762">
            <v>20.52</v>
          </cell>
        </row>
        <row r="6763">
          <cell r="A6763" t="str">
            <v>88241</v>
          </cell>
          <cell r="B6763" t="str">
            <v>AJUDANTE DE OPERAÇÃO EM GERAL COM ENCARGOS COMPLEMENTARES</v>
          </cell>
          <cell r="C6763" t="str">
            <v>H</v>
          </cell>
          <cell r="D6763">
            <v>19.850000000000001</v>
          </cell>
        </row>
        <row r="6764">
          <cell r="A6764" t="str">
            <v>88242</v>
          </cell>
          <cell r="B6764" t="str">
            <v>AJUDANTE DE PEDREIRO COM ENCARGOS COMPLEMENTARES</v>
          </cell>
          <cell r="C6764" t="str">
            <v>H</v>
          </cell>
          <cell r="D6764">
            <v>18.010000000000002</v>
          </cell>
        </row>
        <row r="6765">
          <cell r="A6765" t="str">
            <v>88243</v>
          </cell>
          <cell r="B6765" t="str">
            <v>AJUDANTE ESPECIALIZADO COM ENCARGOS COMPLEMENTARES</v>
          </cell>
          <cell r="C6765" t="str">
            <v>H</v>
          </cell>
          <cell r="D6765">
            <v>21.54</v>
          </cell>
        </row>
        <row r="6766">
          <cell r="A6766" t="str">
            <v>88245</v>
          </cell>
          <cell r="B6766" t="str">
            <v>ARMADOR COM ENCARGOS COMPLEMENTARES</v>
          </cell>
          <cell r="C6766" t="str">
            <v>H</v>
          </cell>
          <cell r="D6766">
            <v>25.1</v>
          </cell>
        </row>
        <row r="6767">
          <cell r="A6767" t="str">
            <v>88246</v>
          </cell>
          <cell r="B6767" t="str">
            <v>ASSENTADOR DE TUBOS COM ENCARGOS COMPLEMENTARES</v>
          </cell>
          <cell r="C6767" t="str">
            <v>H</v>
          </cell>
          <cell r="D6767">
            <v>28.17</v>
          </cell>
        </row>
        <row r="6768">
          <cell r="A6768" t="str">
            <v>88247</v>
          </cell>
          <cell r="B6768" t="str">
            <v>AUXILIAR DE ELETRICISTA COM ENCARGOS COMPLEMENTARES</v>
          </cell>
          <cell r="C6768" t="str">
            <v>H</v>
          </cell>
          <cell r="D6768">
            <v>20.65</v>
          </cell>
        </row>
        <row r="6769">
          <cell r="A6769" t="str">
            <v>88248</v>
          </cell>
          <cell r="B6769" t="str">
            <v>AUXILIAR DE ENCANADOR OU BOMBEIRO HIDRÁULICO COM ENCARGOS COMPLEMENTARES</v>
          </cell>
          <cell r="C6769" t="str">
            <v>H</v>
          </cell>
          <cell r="D6769">
            <v>17.190000000000001</v>
          </cell>
        </row>
        <row r="6770">
          <cell r="A6770" t="str">
            <v>88249</v>
          </cell>
          <cell r="B6770" t="str">
            <v>AUXILIAR DE LABORATÓRIO COM ENCARGOS COMPLEMENTARES</v>
          </cell>
          <cell r="C6770" t="str">
            <v>H</v>
          </cell>
          <cell r="D6770">
            <v>23.96</v>
          </cell>
        </row>
        <row r="6771">
          <cell r="A6771" t="str">
            <v>88250</v>
          </cell>
          <cell r="B6771" t="str">
            <v>AUXILIAR DE MECÂNICO COM ENCARGOS COMPLEMENTARES</v>
          </cell>
          <cell r="C6771" t="str">
            <v>H</v>
          </cell>
          <cell r="D6771">
            <v>20.91</v>
          </cell>
        </row>
        <row r="6772">
          <cell r="A6772" t="str">
            <v>88251</v>
          </cell>
          <cell r="B6772" t="str">
            <v>AUXILIAR DE SERRALHEIRO COM ENCARGOS COMPLEMENTARES</v>
          </cell>
          <cell r="C6772" t="str">
            <v>H</v>
          </cell>
          <cell r="D6772">
            <v>20.34</v>
          </cell>
        </row>
        <row r="6773">
          <cell r="A6773" t="str">
            <v>88252</v>
          </cell>
          <cell r="B6773" t="str">
            <v>AUXILIAR DE SERVIÇOS GERAIS COM ENCARGOS COMPLEMENTARES</v>
          </cell>
          <cell r="C6773" t="str">
            <v>H</v>
          </cell>
          <cell r="D6773">
            <v>18.899999999999999</v>
          </cell>
        </row>
        <row r="6774">
          <cell r="A6774" t="str">
            <v>88253</v>
          </cell>
          <cell r="B6774" t="str">
            <v>AUXILIAR DE TOPÓGRAFO COM ENCARGOS COMPLEMENTARES</v>
          </cell>
          <cell r="C6774" t="str">
            <v>H</v>
          </cell>
          <cell r="D6774">
            <v>13.49</v>
          </cell>
        </row>
        <row r="6775">
          <cell r="A6775" t="str">
            <v>88255</v>
          </cell>
          <cell r="B6775" t="str">
            <v>AUXILIAR TÉCNICO DE ENGENHARIA COM ENCARGOS COMPLEMENTARES</v>
          </cell>
          <cell r="C6775" t="str">
            <v>H</v>
          </cell>
          <cell r="D6775">
            <v>36.57</v>
          </cell>
        </row>
        <row r="6776">
          <cell r="A6776" t="str">
            <v>88256</v>
          </cell>
          <cell r="B6776" t="str">
            <v>AZULEJISTA OU LADRILHISTA COM ENCARGOS COMPLEMENTARES</v>
          </cell>
          <cell r="C6776" t="str">
            <v>H</v>
          </cell>
          <cell r="D6776">
            <v>26.11</v>
          </cell>
        </row>
        <row r="6777">
          <cell r="A6777" t="str">
            <v>88257</v>
          </cell>
          <cell r="B6777" t="str">
            <v>BLASTER, DINAMITADOR OU CABO DE FOGO COM ENCARGOS COMPLEMENTARES</v>
          </cell>
          <cell r="C6777" t="str">
            <v>H</v>
          </cell>
          <cell r="D6777">
            <v>26.16</v>
          </cell>
        </row>
        <row r="6778">
          <cell r="A6778" t="str">
            <v>88258</v>
          </cell>
          <cell r="B6778" t="str">
            <v>CADASTRISTA DE REDES DE AGUA E ESGOTO COM ENCARGOS COMPLEMENTARES</v>
          </cell>
          <cell r="C6778" t="str">
            <v>H</v>
          </cell>
          <cell r="D6778">
            <v>16.760000000000002</v>
          </cell>
        </row>
        <row r="6779">
          <cell r="A6779" t="str">
            <v>88260</v>
          </cell>
          <cell r="B6779" t="str">
            <v>CALCETEIRO COM ENCARGOS COMPLEMENTARES</v>
          </cell>
          <cell r="C6779" t="str">
            <v>H</v>
          </cell>
          <cell r="D6779">
            <v>22.69</v>
          </cell>
        </row>
        <row r="6780">
          <cell r="A6780" t="str">
            <v>88261</v>
          </cell>
          <cell r="B6780" t="str">
            <v>CARPINTEIRO DE ESQUADRIA COM ENCARGOS COMPLEMENTARES</v>
          </cell>
          <cell r="C6780" t="str">
            <v>H</v>
          </cell>
          <cell r="D6780">
            <v>22.14</v>
          </cell>
        </row>
        <row r="6781">
          <cell r="A6781" t="str">
            <v>88262</v>
          </cell>
          <cell r="B6781" t="str">
            <v>CARPINTEIRO DE FORMAS COM ENCARGOS COMPLEMENTARES</v>
          </cell>
          <cell r="C6781" t="str">
            <v>H</v>
          </cell>
          <cell r="D6781">
            <v>25.18</v>
          </cell>
        </row>
        <row r="6782">
          <cell r="A6782" t="str">
            <v>88263</v>
          </cell>
          <cell r="B6782" t="str">
            <v>CAVOUQUEIRO OU OPERADOR PERFURATRIZ/ROMPEDOR COM ENCARGOS COMPLEMENTARES</v>
          </cell>
          <cell r="C6782" t="str">
            <v>H</v>
          </cell>
          <cell r="D6782">
            <v>19.97</v>
          </cell>
        </row>
        <row r="6783">
          <cell r="A6783" t="str">
            <v>88264</v>
          </cell>
          <cell r="B6783" t="str">
            <v>ELETRICISTA COM ENCARGOS COMPLEMENTARES</v>
          </cell>
          <cell r="C6783" t="str">
            <v>H</v>
          </cell>
          <cell r="D6783">
            <v>26.73</v>
          </cell>
        </row>
        <row r="6784">
          <cell r="A6784" t="str">
            <v>88265</v>
          </cell>
          <cell r="B6784" t="str">
            <v>ELETRICISTA INDUSTRIAL COM ENCARGOS COMPLEMENTARES</v>
          </cell>
          <cell r="C6784" t="str">
            <v>H</v>
          </cell>
          <cell r="D6784">
            <v>28.8</v>
          </cell>
        </row>
        <row r="6785">
          <cell r="A6785" t="str">
            <v>88266</v>
          </cell>
          <cell r="B6785" t="str">
            <v>ELETROTÉCNICO COM ENCARGOS COMPLEMENTARES</v>
          </cell>
          <cell r="C6785" t="str">
            <v>H</v>
          </cell>
          <cell r="D6785">
            <v>30.7</v>
          </cell>
        </row>
        <row r="6786">
          <cell r="A6786" t="str">
            <v>88267</v>
          </cell>
          <cell r="B6786" t="str">
            <v>ENCANADOR OU BOMBEIRO HIDRÁULICO COM ENCARGOS COMPLEMENTARES</v>
          </cell>
          <cell r="C6786" t="str">
            <v>H</v>
          </cell>
          <cell r="D6786">
            <v>21.94</v>
          </cell>
        </row>
        <row r="6787">
          <cell r="A6787" t="str">
            <v>88269</v>
          </cell>
          <cell r="B6787" t="str">
            <v>GESSEIRO COM ENCARGOS COMPLEMENTARES</v>
          </cell>
          <cell r="C6787" t="str">
            <v>H</v>
          </cell>
          <cell r="D6787">
            <v>20.16</v>
          </cell>
        </row>
        <row r="6788">
          <cell r="A6788" t="str">
            <v>88270</v>
          </cell>
          <cell r="B6788" t="str">
            <v>IMPERMEABILIZADOR COM ENCARGOS COMPLEMENTARES</v>
          </cell>
          <cell r="C6788" t="str">
            <v>H</v>
          </cell>
          <cell r="D6788">
            <v>23.86</v>
          </cell>
        </row>
        <row r="6789">
          <cell r="A6789" t="str">
            <v>88272</v>
          </cell>
          <cell r="B6789" t="str">
            <v>MACARIQUEIRO COM ENCARGOS COMPLEMENTARES</v>
          </cell>
          <cell r="C6789" t="str">
            <v>H</v>
          </cell>
          <cell r="D6789">
            <v>27.44</v>
          </cell>
        </row>
        <row r="6790">
          <cell r="A6790" t="str">
            <v>88273</v>
          </cell>
          <cell r="B6790" t="str">
            <v>MARCENEIRO COM ENCARGOS COMPLEMENTARES</v>
          </cell>
          <cell r="C6790" t="str">
            <v>H</v>
          </cell>
          <cell r="D6790">
            <v>25.65</v>
          </cell>
        </row>
        <row r="6791">
          <cell r="A6791" t="str">
            <v>88274</v>
          </cell>
          <cell r="B6791" t="str">
            <v>MARMORISTA/GRANITEIRO COM ENCARGOS COMPLEMENTARES</v>
          </cell>
          <cell r="C6791" t="str">
            <v>H</v>
          </cell>
          <cell r="D6791">
            <v>26.09</v>
          </cell>
        </row>
        <row r="6792">
          <cell r="A6792" t="str">
            <v>88275</v>
          </cell>
          <cell r="B6792" t="str">
            <v>MECÃNICO DE EQUIPAMENTOS PESADOS COM ENCARGOS COMPLEMENTARES</v>
          </cell>
          <cell r="C6792" t="str">
            <v>H</v>
          </cell>
          <cell r="D6792">
            <v>32.590000000000003</v>
          </cell>
        </row>
        <row r="6793">
          <cell r="A6793" t="str">
            <v>88277</v>
          </cell>
          <cell r="B6793" t="str">
            <v>MONTADOR (TUBO AÇO/EQUIPAMENTOS) COM ENCARGOS COMPLEMENTARES</v>
          </cell>
          <cell r="C6793" t="str">
            <v>H</v>
          </cell>
          <cell r="D6793">
            <v>25.47</v>
          </cell>
        </row>
        <row r="6794">
          <cell r="A6794" t="str">
            <v>88278</v>
          </cell>
          <cell r="B6794" t="str">
            <v>MONTADOR DE ESTRUTURA METÁLICA COM ENCARGOS COMPLEMENTARES</v>
          </cell>
          <cell r="C6794" t="str">
            <v>H</v>
          </cell>
          <cell r="D6794">
            <v>26.09</v>
          </cell>
        </row>
        <row r="6795">
          <cell r="A6795" t="str">
            <v>88279</v>
          </cell>
          <cell r="B6795" t="str">
            <v>MONTADOR ELETROMECÃNICO COM ENCARGOS COMPLEMENTARES</v>
          </cell>
          <cell r="C6795" t="str">
            <v>H</v>
          </cell>
          <cell r="D6795">
            <v>35.979999999999997</v>
          </cell>
        </row>
        <row r="6796">
          <cell r="A6796" t="str">
            <v>88281</v>
          </cell>
          <cell r="B6796" t="str">
            <v>MOTORISTA DE BASCULANTE COM ENCARGOS COMPLEMENTARES</v>
          </cell>
          <cell r="C6796" t="str">
            <v>H</v>
          </cell>
          <cell r="D6796">
            <v>23.92</v>
          </cell>
        </row>
        <row r="6797">
          <cell r="A6797" t="str">
            <v>88282</v>
          </cell>
          <cell r="B6797" t="str">
            <v>MOTORISTA DE CAMINHÃO COM ENCARGOS COMPLEMENTARES</v>
          </cell>
          <cell r="C6797" t="str">
            <v>H</v>
          </cell>
          <cell r="D6797">
            <v>25.05</v>
          </cell>
        </row>
        <row r="6798">
          <cell r="A6798" t="str">
            <v>88283</v>
          </cell>
          <cell r="B6798" t="str">
            <v>MOTORISTA DE CAMINHÃO E CARRETA COM ENCARGOS COMPLEMENTARES</v>
          </cell>
          <cell r="C6798" t="str">
            <v>H</v>
          </cell>
          <cell r="D6798">
            <v>31.69</v>
          </cell>
        </row>
        <row r="6799">
          <cell r="A6799" t="str">
            <v>88284</v>
          </cell>
          <cell r="B6799" t="str">
            <v>MOTORISTA DE VEIÍCULO LEVE COM ENCARGOS COMPLEMENTARES</v>
          </cell>
          <cell r="C6799" t="str">
            <v>H</v>
          </cell>
          <cell r="D6799">
            <v>24.33</v>
          </cell>
        </row>
        <row r="6800">
          <cell r="A6800" t="str">
            <v>88285</v>
          </cell>
          <cell r="B6800" t="str">
            <v>MOTORISTA DE VEÍCULO PESADO COM ENCARGOS COMPLEMENTARES</v>
          </cell>
          <cell r="C6800" t="str">
            <v>H</v>
          </cell>
          <cell r="D6800">
            <v>27.99</v>
          </cell>
        </row>
        <row r="6801">
          <cell r="A6801" t="str">
            <v>88286</v>
          </cell>
          <cell r="B6801" t="str">
            <v>MOTORISTA OPERADOR DE MUNCK COM ENCARGOS COMPLEMENTARES</v>
          </cell>
          <cell r="C6801" t="str">
            <v>H</v>
          </cell>
          <cell r="D6801">
            <v>28.44</v>
          </cell>
        </row>
        <row r="6802">
          <cell r="A6802" t="str">
            <v>88288</v>
          </cell>
          <cell r="B6802" t="str">
            <v>NIVELADOR COM ENCARGOS COMPLEMENTARES</v>
          </cell>
          <cell r="C6802" t="str">
            <v>H</v>
          </cell>
          <cell r="D6802">
            <v>16.600000000000001</v>
          </cell>
        </row>
        <row r="6803">
          <cell r="A6803" t="str">
            <v>88291</v>
          </cell>
          <cell r="B6803" t="str">
            <v>OPERADOR DE BETONEIRA (CAMINHÃO) COM ENCARGOS COMPLEMENTARES</v>
          </cell>
          <cell r="C6803" t="str">
            <v>H</v>
          </cell>
          <cell r="D6803">
            <v>23.12</v>
          </cell>
        </row>
        <row r="6804">
          <cell r="A6804" t="str">
            <v>88292</v>
          </cell>
          <cell r="B6804" t="str">
            <v>OPERADOR DE COMPRESSOR OU COMPRESSORISTA COM ENCARGOS COMPLEMENTARES</v>
          </cell>
          <cell r="C6804" t="str">
            <v>H</v>
          </cell>
          <cell r="D6804">
            <v>26.14</v>
          </cell>
        </row>
        <row r="6805">
          <cell r="A6805" t="str">
            <v>88293</v>
          </cell>
          <cell r="B6805" t="str">
            <v>OPERADOR DE DEMARCADORA DE FAIXAS COM ENCARGOS COMPLEMENTARES</v>
          </cell>
          <cell r="C6805" t="str">
            <v>H</v>
          </cell>
          <cell r="D6805">
            <v>27.27</v>
          </cell>
        </row>
        <row r="6806">
          <cell r="A6806" t="str">
            <v>88294</v>
          </cell>
          <cell r="B6806" t="str">
            <v>OPERADOR DE ESCAVADEIRA COM ENCARGOS COMPLEMENTARES</v>
          </cell>
          <cell r="C6806" t="str">
            <v>H</v>
          </cell>
          <cell r="D6806">
            <v>29.46</v>
          </cell>
        </row>
        <row r="6807">
          <cell r="A6807" t="str">
            <v>88295</v>
          </cell>
          <cell r="B6807" t="str">
            <v>OPERADOR DE GUINCHO COM ENCARGOS COMPLEMENTARES</v>
          </cell>
          <cell r="C6807" t="str">
            <v>H</v>
          </cell>
          <cell r="D6807">
            <v>24.51</v>
          </cell>
        </row>
        <row r="6808">
          <cell r="A6808" t="str">
            <v>88296</v>
          </cell>
          <cell r="B6808" t="str">
            <v>OPERADOR DE GUINDASTE COM ENCARGOS COMPLEMENTARES</v>
          </cell>
          <cell r="C6808" t="str">
            <v>H</v>
          </cell>
          <cell r="D6808">
            <v>41.23</v>
          </cell>
        </row>
        <row r="6809">
          <cell r="A6809" t="str">
            <v>88297</v>
          </cell>
          <cell r="B6809" t="str">
            <v>OPERADOR DE MÁQUINAS E EQUIPAMENTOS COM ENCARGOS COMPLEMENTARES</v>
          </cell>
          <cell r="C6809" t="str">
            <v>H</v>
          </cell>
          <cell r="D6809">
            <v>28.14</v>
          </cell>
        </row>
        <row r="6810">
          <cell r="A6810" t="str">
            <v>88298</v>
          </cell>
          <cell r="B6810" t="str">
            <v>OPERADOR DE MARTELETE OU MARTELETEIRO COM ENCARGOS COMPLEMENTARES</v>
          </cell>
          <cell r="C6810" t="str">
            <v>H</v>
          </cell>
          <cell r="D6810">
            <v>16.48</v>
          </cell>
        </row>
        <row r="6811">
          <cell r="A6811" t="str">
            <v>88299</v>
          </cell>
          <cell r="B6811" t="str">
            <v>OPERADOR DE MOTO-ESCREIPER COM ENCARGOS COMPLEMENTARES</v>
          </cell>
          <cell r="C6811" t="str">
            <v>H</v>
          </cell>
          <cell r="D6811">
            <v>27.66</v>
          </cell>
        </row>
        <row r="6812">
          <cell r="A6812" t="str">
            <v>88300</v>
          </cell>
          <cell r="B6812" t="str">
            <v>OPERADOR DE MOTONIVELADORA COM ENCARGOS COMPLEMENTARES</v>
          </cell>
          <cell r="C6812" t="str">
            <v>H</v>
          </cell>
          <cell r="D6812">
            <v>32.74</v>
          </cell>
        </row>
        <row r="6813">
          <cell r="A6813" t="str">
            <v>88301</v>
          </cell>
          <cell r="B6813" t="str">
            <v>OPERADOR DE PÁ CARREGADEIRA COM ENCARGOS COMPLEMENTARES</v>
          </cell>
          <cell r="C6813" t="str">
            <v>H</v>
          </cell>
          <cell r="D6813">
            <v>26.86</v>
          </cell>
        </row>
        <row r="6814">
          <cell r="A6814" t="str">
            <v>88302</v>
          </cell>
          <cell r="B6814" t="str">
            <v>OPERADOR DE PAVIMENTADORA COM ENCARGOS COMPLEMENTARES</v>
          </cell>
          <cell r="C6814" t="str">
            <v>H</v>
          </cell>
          <cell r="D6814">
            <v>28.38</v>
          </cell>
        </row>
        <row r="6815">
          <cell r="A6815" t="str">
            <v>88303</v>
          </cell>
          <cell r="B6815" t="str">
            <v>OPERADOR DE ROLO COMPACTADOR COM ENCARGOS COMPLEMENTARES</v>
          </cell>
          <cell r="C6815" t="str">
            <v>H</v>
          </cell>
          <cell r="D6815">
            <v>22.64</v>
          </cell>
        </row>
        <row r="6816">
          <cell r="A6816" t="str">
            <v>88304</v>
          </cell>
          <cell r="B6816" t="str">
            <v>OPERADOR DE USINA DE ASFALTO, DE SOLOS OU DE CONCRETO COM ENCARGOS COMPLEMENTARES</v>
          </cell>
          <cell r="C6816" t="str">
            <v>H</v>
          </cell>
          <cell r="D6816">
            <v>25.1</v>
          </cell>
        </row>
        <row r="6817">
          <cell r="A6817" t="str">
            <v>88306</v>
          </cell>
          <cell r="B6817" t="str">
            <v>OPERADOR JATO DE AREIA OU JATISTA COM ENCARGOS COMPLEMENTARES</v>
          </cell>
          <cell r="C6817" t="str">
            <v>H</v>
          </cell>
          <cell r="D6817">
            <v>26.92</v>
          </cell>
        </row>
        <row r="6818">
          <cell r="A6818" t="str">
            <v>88307</v>
          </cell>
          <cell r="B6818" t="str">
            <v>OPERADOR PARA BATE ESTACAS COM ENCARGOS COMPLEMENTARES</v>
          </cell>
          <cell r="C6818" t="str">
            <v>H</v>
          </cell>
          <cell r="D6818">
            <v>29.55</v>
          </cell>
        </row>
        <row r="6819">
          <cell r="A6819" t="str">
            <v>88308</v>
          </cell>
          <cell r="B6819" t="str">
            <v>PASTILHEIRO COM ENCARGOS COMPLEMENTARES</v>
          </cell>
          <cell r="C6819" t="str">
            <v>H</v>
          </cell>
          <cell r="D6819">
            <v>26.09</v>
          </cell>
        </row>
        <row r="6820">
          <cell r="A6820" t="str">
            <v>88309</v>
          </cell>
          <cell r="B6820" t="str">
            <v>PEDREIRO COM ENCARGOS COMPLEMENTARES</v>
          </cell>
          <cell r="C6820" t="str">
            <v>H</v>
          </cell>
          <cell r="D6820">
            <v>25.25</v>
          </cell>
        </row>
        <row r="6821">
          <cell r="A6821" t="str">
            <v>88310</v>
          </cell>
          <cell r="B6821" t="str">
            <v>PINTOR COM ENCARGOS COMPLEMENTARES</v>
          </cell>
          <cell r="C6821" t="str">
            <v>H</v>
          </cell>
          <cell r="D6821">
            <v>26.41</v>
          </cell>
        </row>
        <row r="6822">
          <cell r="A6822" t="str">
            <v>88311</v>
          </cell>
          <cell r="B6822" t="str">
            <v>PINTOR DE LETREIROS COM ENCARGOS COMPLEMENTARES</v>
          </cell>
          <cell r="C6822" t="str">
            <v>H</v>
          </cell>
          <cell r="D6822">
            <v>32.43</v>
          </cell>
        </row>
        <row r="6823">
          <cell r="A6823" t="str">
            <v>88312</v>
          </cell>
          <cell r="B6823" t="str">
            <v>PINTOR PARA TINTA EPÓXI COM ENCARGOS COMPLEMENTARES</v>
          </cell>
          <cell r="C6823" t="str">
            <v>H</v>
          </cell>
          <cell r="D6823">
            <v>27.83</v>
          </cell>
        </row>
        <row r="6824">
          <cell r="A6824" t="str">
            <v>88313</v>
          </cell>
          <cell r="B6824" t="str">
            <v>POCEIRO COM ENCARGOS COMPLEMENTARES</v>
          </cell>
          <cell r="C6824" t="str">
            <v>H</v>
          </cell>
          <cell r="D6824">
            <v>23.35</v>
          </cell>
        </row>
        <row r="6825">
          <cell r="A6825" t="str">
            <v>88314</v>
          </cell>
          <cell r="B6825" t="str">
            <v>RASTELEIRO COM ENCARGOS COMPLEMENTARES</v>
          </cell>
          <cell r="C6825" t="str">
            <v>H</v>
          </cell>
          <cell r="D6825">
            <v>20.83</v>
          </cell>
        </row>
        <row r="6826">
          <cell r="A6826" t="str">
            <v>88315</v>
          </cell>
          <cell r="B6826" t="str">
            <v>SERRALHEIRO COM ENCARGOS COMPLEMENTARES</v>
          </cell>
          <cell r="C6826" t="str">
            <v>H</v>
          </cell>
          <cell r="D6826">
            <v>25.1</v>
          </cell>
        </row>
        <row r="6827">
          <cell r="A6827" t="str">
            <v>88316</v>
          </cell>
          <cell r="B6827" t="str">
            <v>SERVENTE COM ENCARGOS COMPLEMENTARES</v>
          </cell>
          <cell r="C6827" t="str">
            <v>H</v>
          </cell>
          <cell r="D6827">
            <v>18.11</v>
          </cell>
        </row>
        <row r="6828">
          <cell r="A6828" t="str">
            <v>88317</v>
          </cell>
          <cell r="B6828" t="str">
            <v>SOLDADOR COM ENCARGOS COMPLEMENTARES</v>
          </cell>
          <cell r="C6828" t="str">
            <v>H</v>
          </cell>
          <cell r="D6828">
            <v>28.6</v>
          </cell>
        </row>
        <row r="6829">
          <cell r="A6829" t="str">
            <v>88318</v>
          </cell>
          <cell r="B6829" t="str">
            <v>SOLDADOR A (PARA SOLDA A SER TESTADA COM RAIOS "X") COM ENCARGOS COMPLEMENTARES</v>
          </cell>
          <cell r="C6829" t="str">
            <v>H</v>
          </cell>
          <cell r="D6829">
            <v>30.51</v>
          </cell>
        </row>
        <row r="6830">
          <cell r="A6830" t="str">
            <v>88320</v>
          </cell>
          <cell r="B6830" t="str">
            <v>TAQUEADOR OU TAQUEIRO COM ENCARGOS COMPLEMENTARES</v>
          </cell>
          <cell r="C6830" t="str">
            <v>H</v>
          </cell>
          <cell r="D6830">
            <v>29.49</v>
          </cell>
        </row>
        <row r="6831">
          <cell r="A6831" t="str">
            <v>88321</v>
          </cell>
          <cell r="B6831" t="str">
            <v>TÉCNICO DE LABORATÓRIO COM ENCARGOS COMPLEMENTARES</v>
          </cell>
          <cell r="C6831" t="str">
            <v>H</v>
          </cell>
          <cell r="D6831">
            <v>40.770000000000003</v>
          </cell>
        </row>
        <row r="6832">
          <cell r="A6832" t="str">
            <v>88322</v>
          </cell>
          <cell r="B6832" t="str">
            <v>TÉCNICO DE SONDAGEM COM ENCARGOS COMPLEMENTARES</v>
          </cell>
          <cell r="C6832" t="str">
            <v>H</v>
          </cell>
          <cell r="D6832">
            <v>28.03</v>
          </cell>
        </row>
        <row r="6833">
          <cell r="A6833" t="str">
            <v>88323</v>
          </cell>
          <cell r="B6833" t="str">
            <v>TELHADISTA COM ENCARGOS COMPLEMENTARES</v>
          </cell>
          <cell r="C6833" t="str">
            <v>H</v>
          </cell>
          <cell r="D6833">
            <v>22.93</v>
          </cell>
        </row>
        <row r="6834">
          <cell r="A6834" t="str">
            <v>88324</v>
          </cell>
          <cell r="B6834" t="str">
            <v>TRATORISTA COM ENCARGOS COMPLEMENTARES</v>
          </cell>
          <cell r="C6834" t="str">
            <v>H</v>
          </cell>
          <cell r="D6834">
            <v>30.53</v>
          </cell>
        </row>
        <row r="6835">
          <cell r="A6835" t="str">
            <v>88325</v>
          </cell>
          <cell r="B6835" t="str">
            <v>VIDRACEIRO COM ENCARGOS COMPLEMENTARES</v>
          </cell>
          <cell r="C6835" t="str">
            <v>H</v>
          </cell>
          <cell r="D6835">
            <v>24.28</v>
          </cell>
        </row>
        <row r="6836">
          <cell r="A6836" t="str">
            <v>88326</v>
          </cell>
          <cell r="B6836" t="str">
            <v>VIGIA NOTURNO COM ENCARGOS COMPLEMENTARES</v>
          </cell>
          <cell r="C6836" t="str">
            <v>H</v>
          </cell>
          <cell r="D6836">
            <v>22.99</v>
          </cell>
        </row>
        <row r="6837">
          <cell r="A6837" t="str">
            <v>88377</v>
          </cell>
          <cell r="B6837" t="str">
            <v>OPERADOR DE BETONEIRA ESTACIONÁRIA/MISTURADOR COM ENCARGOS COMPLEMENTARES</v>
          </cell>
          <cell r="C6837" t="str">
            <v>H</v>
          </cell>
          <cell r="D6837">
            <v>22.51</v>
          </cell>
        </row>
        <row r="6838">
          <cell r="A6838" t="str">
            <v>88441</v>
          </cell>
          <cell r="B6838" t="str">
            <v>JARDINEIRO COM ENCARGOS COMPLEMENTARES</v>
          </cell>
          <cell r="C6838" t="str">
            <v>H</v>
          </cell>
          <cell r="D6838">
            <v>24.4</v>
          </cell>
        </row>
        <row r="6839">
          <cell r="A6839" t="str">
            <v>88597</v>
          </cell>
          <cell r="B6839" t="str">
            <v>DESENHISTA DETALHISTA COM ENCARGOS COMPLEMENTARES</v>
          </cell>
          <cell r="C6839" t="str">
            <v>H</v>
          </cell>
          <cell r="D6839">
            <v>50.8</v>
          </cell>
        </row>
        <row r="6840">
          <cell r="A6840" t="str">
            <v>90766</v>
          </cell>
          <cell r="B6840" t="str">
            <v>ALMOXARIFE COM ENCARGOS COMPLEMENTARES</v>
          </cell>
          <cell r="C6840" t="str">
            <v>H</v>
          </cell>
          <cell r="D6840">
            <v>23.38</v>
          </cell>
        </row>
        <row r="6841">
          <cell r="A6841" t="str">
            <v>90767</v>
          </cell>
          <cell r="B6841" t="str">
            <v>APONTADOR OU APROPRIADOR COM ENCARGOS COMPLEMENTARES</v>
          </cell>
          <cell r="C6841" t="str">
            <v>H</v>
          </cell>
          <cell r="D6841">
            <v>24.61</v>
          </cell>
        </row>
        <row r="6842">
          <cell r="A6842" t="str">
            <v>90768</v>
          </cell>
          <cell r="B6842" t="str">
            <v>ARQUITETO DE OBRA JUNIOR COM ENCARGOS COMPLEMENTARES</v>
          </cell>
          <cell r="C6842" t="str">
            <v>H</v>
          </cell>
          <cell r="D6842">
            <v>69.53</v>
          </cell>
        </row>
        <row r="6843">
          <cell r="A6843" t="str">
            <v>90769</v>
          </cell>
          <cell r="B6843" t="str">
            <v>ARQUITETO DE OBRA PLENO COM ENCARGOS COMPLEMENTARES</v>
          </cell>
          <cell r="C6843" t="str">
            <v>H</v>
          </cell>
          <cell r="D6843">
            <v>98.12</v>
          </cell>
        </row>
        <row r="6844">
          <cell r="A6844" t="str">
            <v>90770</v>
          </cell>
          <cell r="B6844" t="str">
            <v>ARQUITETO DE OBRA SENIOR COM ENCARGOS COMPLEMENTARES</v>
          </cell>
          <cell r="C6844" t="str">
            <v>H</v>
          </cell>
          <cell r="D6844">
            <v>129.22999999999999</v>
          </cell>
        </row>
        <row r="6845">
          <cell r="A6845" t="str">
            <v>90771</v>
          </cell>
          <cell r="B6845" t="str">
            <v>AUXILIAR DE DESENHISTA COM ENCARGOS COMPLEMENTARES</v>
          </cell>
          <cell r="C6845" t="str">
            <v>H</v>
          </cell>
          <cell r="D6845">
            <v>35.39</v>
          </cell>
        </row>
        <row r="6846">
          <cell r="A6846" t="str">
            <v>90772</v>
          </cell>
          <cell r="B6846" t="str">
            <v>AUXILIAR DE ESCRITORIO COM ENCARGOS COMPLEMENTARES</v>
          </cell>
          <cell r="C6846" t="str">
            <v>H</v>
          </cell>
          <cell r="D6846">
            <v>17.600000000000001</v>
          </cell>
        </row>
        <row r="6847">
          <cell r="A6847" t="str">
            <v>90773</v>
          </cell>
          <cell r="B6847" t="str">
            <v>DESENHISTA COPISTA COM ENCARGOS COMPLEMENTARES</v>
          </cell>
          <cell r="C6847" t="str">
            <v>H</v>
          </cell>
          <cell r="D6847">
            <v>29.77</v>
          </cell>
        </row>
        <row r="6848">
          <cell r="A6848" t="str">
            <v>90775</v>
          </cell>
          <cell r="B6848" t="str">
            <v>DESENHISTA PROJETISTA COM ENCARGOS COMPLEMENTARES</v>
          </cell>
          <cell r="C6848" t="str">
            <v>H</v>
          </cell>
          <cell r="D6848">
            <v>39.17</v>
          </cell>
        </row>
        <row r="6849">
          <cell r="A6849" t="str">
            <v>90776</v>
          </cell>
          <cell r="B6849" t="str">
            <v>ENCARREGADO GERAL COM ENCARGOS COMPLEMENTARES</v>
          </cell>
          <cell r="C6849" t="str">
            <v>H</v>
          </cell>
          <cell r="D6849">
            <v>36.630000000000003</v>
          </cell>
        </row>
        <row r="6850">
          <cell r="A6850" t="str">
            <v>90777</v>
          </cell>
          <cell r="B6850" t="str">
            <v>ENGENHEIRO CIVIL DE OBRA JUNIOR COM ENCARGOS COMPLEMENTARES</v>
          </cell>
          <cell r="C6850" t="str">
            <v>H</v>
          </cell>
          <cell r="D6850">
            <v>94.28</v>
          </cell>
        </row>
        <row r="6851">
          <cell r="A6851" t="str">
            <v>90778</v>
          </cell>
          <cell r="B6851" t="str">
            <v>ENGENHEIRO CIVIL DE OBRA PLENO COM ENCARGOS COMPLEMENTARES</v>
          </cell>
          <cell r="C6851" t="str">
            <v>H</v>
          </cell>
          <cell r="D6851">
            <v>107.1</v>
          </cell>
        </row>
        <row r="6852">
          <cell r="A6852" t="str">
            <v>90779</v>
          </cell>
          <cell r="B6852" t="str">
            <v>ENGENHEIRO CIVIL DE OBRA SENIOR COM ENCARGOS COMPLEMENTARES</v>
          </cell>
          <cell r="C6852" t="str">
            <v>H</v>
          </cell>
          <cell r="D6852">
            <v>145.84</v>
          </cell>
        </row>
        <row r="6853">
          <cell r="A6853" t="str">
            <v>90780</v>
          </cell>
          <cell r="B6853" t="str">
            <v>MESTRE DE OBRAS COM ENCARGOS COMPLEMENTARES</v>
          </cell>
          <cell r="C6853" t="str">
            <v>H</v>
          </cell>
          <cell r="D6853">
            <v>54.53</v>
          </cell>
        </row>
        <row r="6854">
          <cell r="A6854" t="str">
            <v>90781</v>
          </cell>
          <cell r="B6854" t="str">
            <v>TOPOGRAFO COM ENCARGOS COMPLEMENTARES</v>
          </cell>
          <cell r="C6854" t="str">
            <v>H</v>
          </cell>
          <cell r="D6854">
            <v>30.79</v>
          </cell>
        </row>
        <row r="6855">
          <cell r="A6855" t="str">
            <v>91677</v>
          </cell>
          <cell r="B6855" t="str">
            <v>ENGENHEIRO ELETRICISTA COM ENCARGOS COMPLEMENTARES</v>
          </cell>
          <cell r="C6855" t="str">
            <v>H</v>
          </cell>
          <cell r="D6855">
            <v>101.61</v>
          </cell>
        </row>
        <row r="6856">
          <cell r="A6856" t="str">
            <v>91678</v>
          </cell>
          <cell r="B6856" t="str">
            <v>ENGENHEIRO SANITARISTA COM ENCARGOS COMPLEMENTARES</v>
          </cell>
          <cell r="C6856" t="str">
            <v>MES</v>
          </cell>
          <cell r="D6856">
            <v>96.14</v>
          </cell>
        </row>
        <row r="6857">
          <cell r="A6857" t="str">
            <v>93558</v>
          </cell>
          <cell r="B6857" t="str">
            <v>MOTORISTA DE CAMINHAO COM ENCARGOS COMPLEMENTARES</v>
          </cell>
          <cell r="C6857" t="str">
            <v>MES</v>
          </cell>
          <cell r="D6857">
            <v>4468.51</v>
          </cell>
        </row>
        <row r="6858">
          <cell r="A6858" t="str">
            <v>93559</v>
          </cell>
          <cell r="B6858" t="str">
            <v>DESENHISTA DETALHISTA COM ENCARGOS COMPLEMENTARES</v>
          </cell>
          <cell r="C6858" t="str">
            <v>MES</v>
          </cell>
          <cell r="D6858">
            <v>8946.31</v>
          </cell>
        </row>
        <row r="6859">
          <cell r="A6859" t="str">
            <v>93560</v>
          </cell>
          <cell r="B6859" t="str">
            <v>DESENHISTA COPISTA COM ENCARGOS COMPLEMENTARES</v>
          </cell>
          <cell r="C6859" t="str">
            <v>MES</v>
          </cell>
          <cell r="D6859">
            <v>5251.84</v>
          </cell>
        </row>
        <row r="6860">
          <cell r="A6860" t="str">
            <v>93561</v>
          </cell>
          <cell r="B6860" t="str">
            <v>DESENHISTA PROJETISTA COM ENCARGOS COMPLEMENTARES</v>
          </cell>
          <cell r="C6860" t="str">
            <v>MES</v>
          </cell>
          <cell r="D6860">
            <v>6902.08</v>
          </cell>
        </row>
        <row r="6861">
          <cell r="A6861" t="str">
            <v>93562</v>
          </cell>
          <cell r="B6861" t="str">
            <v>AUXILIAR DE DESENHISTA COM ENCARGOS COMPLEMENTARES</v>
          </cell>
          <cell r="C6861" t="str">
            <v>MES</v>
          </cell>
          <cell r="D6861">
            <v>6241.32</v>
          </cell>
        </row>
        <row r="6862">
          <cell r="A6862" t="str">
            <v>93563</v>
          </cell>
          <cell r="B6862" t="str">
            <v>ALMOXARIFE COM ENCARGOS COMPLEMENTARES</v>
          </cell>
          <cell r="C6862" t="str">
            <v>MES</v>
          </cell>
          <cell r="D6862">
            <v>4130.28</v>
          </cell>
        </row>
        <row r="6863">
          <cell r="A6863" t="str">
            <v>93564</v>
          </cell>
          <cell r="B6863" t="str">
            <v>APONTADOR OU APROPRIADOR COM ENCARGOS COMPLEMENTARES</v>
          </cell>
          <cell r="C6863" t="str">
            <v>MES</v>
          </cell>
          <cell r="D6863">
            <v>4335.5</v>
          </cell>
        </row>
        <row r="6864">
          <cell r="A6864" t="str">
            <v>93565</v>
          </cell>
          <cell r="B6864" t="str">
            <v>ENGENHEIRO CIVIL DE OBRA JUNIOR COM ENCARGOS COMPLEMENTARES</v>
          </cell>
          <cell r="C6864" t="str">
            <v>MES</v>
          </cell>
          <cell r="D6864">
            <v>16551.900000000001</v>
          </cell>
        </row>
        <row r="6865">
          <cell r="A6865" t="str">
            <v>93566</v>
          </cell>
          <cell r="B6865" t="str">
            <v>AUXILIAR DE ESCRITORIO COM ENCARGOS COMPLEMENTARES</v>
          </cell>
          <cell r="C6865" t="str">
            <v>MES</v>
          </cell>
          <cell r="D6865">
            <v>3115.62</v>
          </cell>
        </row>
        <row r="6866">
          <cell r="A6866" t="str">
            <v>93567</v>
          </cell>
          <cell r="B6866" t="str">
            <v>ENGENHEIRO CIVIL DE OBRA PLENO COM ENCARGOS COMPLEMENTARES</v>
          </cell>
          <cell r="C6866" t="str">
            <v>MES</v>
          </cell>
          <cell r="D6866">
            <v>18799.439999999999</v>
          </cell>
        </row>
        <row r="6867">
          <cell r="A6867" t="str">
            <v>93568</v>
          </cell>
          <cell r="B6867" t="str">
            <v>ENGENHEIRO CIVIL DE OBRA SENIOR COM ENCARGOS COMPLEMENTARES</v>
          </cell>
          <cell r="C6867" t="str">
            <v>MES</v>
          </cell>
          <cell r="D6867">
            <v>25592.05</v>
          </cell>
        </row>
        <row r="6868">
          <cell r="A6868" t="str">
            <v>93569</v>
          </cell>
          <cell r="B6868" t="str">
            <v>ARQUITETO JUNIOR COM ENCARGOS COMPLEMENTARES</v>
          </cell>
          <cell r="C6868" t="str">
            <v>MES</v>
          </cell>
          <cell r="D6868">
            <v>12229.03</v>
          </cell>
        </row>
        <row r="6869">
          <cell r="A6869" t="str">
            <v>93570</v>
          </cell>
          <cell r="B6869" t="str">
            <v>ARQUITETO PLENO COM ENCARGOS COMPLEMENTARES</v>
          </cell>
          <cell r="C6869" t="str">
            <v>MES</v>
          </cell>
          <cell r="D6869">
            <v>17248.560000000001</v>
          </cell>
        </row>
        <row r="6870">
          <cell r="A6870" t="str">
            <v>93571</v>
          </cell>
          <cell r="B6870" t="str">
            <v>ARQUITETO SENIOR COM ENCARGOS COMPLEMENTARES</v>
          </cell>
          <cell r="C6870" t="str">
            <v>MES</v>
          </cell>
          <cell r="D6870">
            <v>22710.85</v>
          </cell>
        </row>
        <row r="6871">
          <cell r="A6871" t="str">
            <v>93572</v>
          </cell>
          <cell r="B6871" t="str">
            <v>ENCARREGADO GERAL DE OBRAS COM ENCARGOS COMPLEMENTARES</v>
          </cell>
          <cell r="C6871" t="str">
            <v>MES</v>
          </cell>
          <cell r="D6871">
            <v>6443.85</v>
          </cell>
        </row>
        <row r="6872">
          <cell r="A6872" t="str">
            <v>94295</v>
          </cell>
          <cell r="B6872" t="str">
            <v>MESTRE DE OBRAS COM ENCARGOS COMPLEMENTARES</v>
          </cell>
          <cell r="C6872" t="str">
            <v>MES</v>
          </cell>
          <cell r="D6872">
            <v>9580.4599999999991</v>
          </cell>
        </row>
        <row r="6873">
          <cell r="A6873" t="str">
            <v>94296</v>
          </cell>
          <cell r="B6873" t="str">
            <v>TOPOGRAFO COM ENCARGOS COMPLEMENTARES</v>
          </cell>
          <cell r="C6873" t="str">
            <v>H</v>
          </cell>
          <cell r="D6873">
            <v>5428.23</v>
          </cell>
        </row>
        <row r="6874">
          <cell r="A6874" t="str">
            <v>95308</v>
          </cell>
          <cell r="B6874" t="str">
            <v>CURSO DE CAPACITAÇÃO PARA AJUDANTE DE ARMADOR (ENCARGOS COMPLEMENTARES) - HORISTA</v>
          </cell>
          <cell r="C6874" t="str">
            <v>H</v>
          </cell>
          <cell r="D6874">
            <v>0.12</v>
          </cell>
        </row>
        <row r="6875">
          <cell r="A6875" t="str">
            <v>95309</v>
          </cell>
          <cell r="B6875" t="str">
            <v>CURSO DE CAPACITAÇÃO PARA AJUDANTE DE CARPINTEIRO (ENCARGOS COMPLEMENTARES) - HORISTA</v>
          </cell>
          <cell r="C6875" t="str">
            <v>H</v>
          </cell>
          <cell r="D6875">
            <v>0.17</v>
          </cell>
        </row>
        <row r="6876">
          <cell r="A6876" t="str">
            <v>95310</v>
          </cell>
          <cell r="B6876" t="str">
            <v>CURSO DE CAPACITAÇÃO PARA AJUDANTE DE ESTRUTURA METÁLICA (ENCARGOS COMPLEMENTARES) - HORISTA</v>
          </cell>
          <cell r="C6876" t="str">
            <v>H</v>
          </cell>
          <cell r="D6876">
            <v>0.14000000000000001</v>
          </cell>
        </row>
        <row r="6877">
          <cell r="A6877" t="str">
            <v>95311</v>
          </cell>
          <cell r="B6877" t="str">
            <v>CURSO DE CAPACITAÇÃO PARA AJUDANTE DE OPERAÇÃO EM GERAL (ENCARGOS COMPLEMENTARES) - HORISTA</v>
          </cell>
          <cell r="C6877" t="str">
            <v>H</v>
          </cell>
          <cell r="D6877">
            <v>0.12</v>
          </cell>
        </row>
        <row r="6878">
          <cell r="A6878" t="str">
            <v>95312</v>
          </cell>
          <cell r="B6878" t="str">
            <v>CURSO DE CAPACITAÇÃO PARA AJUDANTE DE PEDREIRO (ENCARGOS COMPLEMENTARES) - HORISTA</v>
          </cell>
          <cell r="C6878" t="str">
            <v>H</v>
          </cell>
          <cell r="D6878">
            <v>0.13</v>
          </cell>
        </row>
        <row r="6879">
          <cell r="A6879" t="str">
            <v>95313</v>
          </cell>
          <cell r="B6879" t="str">
            <v>CURSO DE CAPACITAÇÃO PARA AJUDANTE ESPECIALIZADO (ENCARGOS COMPLEMENTARES) - HORISTA</v>
          </cell>
          <cell r="C6879" t="str">
            <v>H</v>
          </cell>
          <cell r="D6879">
            <v>0.14000000000000001</v>
          </cell>
        </row>
        <row r="6880">
          <cell r="A6880" t="str">
            <v>95314</v>
          </cell>
          <cell r="B6880" t="str">
            <v>CURSO DE CAPACITAÇÃO PARA ARMADOR (ENCARGOS COMPLEMENTARES) - HORISTA</v>
          </cell>
          <cell r="C6880" t="str">
            <v>H</v>
          </cell>
          <cell r="D6880">
            <v>0.17</v>
          </cell>
        </row>
        <row r="6881">
          <cell r="A6881" t="str">
            <v>95315</v>
          </cell>
          <cell r="B6881" t="str">
            <v>CURSO DE CAPACITAÇÃO PARA ASSENTADOR DE TUBOS (ENCARGOS COMPLEMENTARES) - HORISTA</v>
          </cell>
          <cell r="C6881" t="str">
            <v>H</v>
          </cell>
          <cell r="D6881">
            <v>0.27</v>
          </cell>
        </row>
        <row r="6882">
          <cell r="A6882" t="str">
            <v>95316</v>
          </cell>
          <cell r="B6882" t="str">
            <v>CURSO DE CAPACITAÇÃO PARA AUXILIAR DE ELETRICISTA (ENCARGOS COMPLEMENTARES) - HORISTA</v>
          </cell>
          <cell r="C6882" t="str">
            <v>H</v>
          </cell>
          <cell r="D6882">
            <v>0.42</v>
          </cell>
        </row>
        <row r="6883">
          <cell r="A6883" t="str">
            <v>95317</v>
          </cell>
          <cell r="B6883" t="str">
            <v>CURSO DE CAPACITAÇÃO PARA AUXILIAR DE ENCANADOR OU BOMBEIRO HIDRÁULICO (ENCARGOS COMPLEMENTARES) - HORISTA</v>
          </cell>
          <cell r="C6883" t="str">
            <v>H</v>
          </cell>
          <cell r="D6883">
            <v>0.16</v>
          </cell>
        </row>
        <row r="6884">
          <cell r="A6884" t="str">
            <v>95318</v>
          </cell>
          <cell r="B6884" t="str">
            <v>CURSO DE CAPACITAÇÃO PARA AUXILIAR DE LABORATÓRIO (ENCARGOS COMPLEMENTARES) - HORISTA</v>
          </cell>
          <cell r="C6884" t="str">
            <v>H</v>
          </cell>
          <cell r="D6884">
            <v>0.14000000000000001</v>
          </cell>
        </row>
        <row r="6885">
          <cell r="A6885" t="str">
            <v>95319</v>
          </cell>
          <cell r="B6885" t="str">
            <v>CURSO DE CAPACITAÇÃO PARA AUXILIAR DE MECÂNICO (ENCARGOS COMPLEMENTARES) - HORISTA</v>
          </cell>
          <cell r="C6885" t="str">
            <v>H</v>
          </cell>
          <cell r="D6885">
            <v>0.14000000000000001</v>
          </cell>
        </row>
        <row r="6886">
          <cell r="A6886" t="str">
            <v>95320</v>
          </cell>
          <cell r="B6886" t="str">
            <v>CURSO DE CAPACITAÇÃO PARA AUXILIAR DE SERRALHEIRO (ENCARGOS COMPLEMENTARES) - HORISTA</v>
          </cell>
          <cell r="C6886" t="str">
            <v>H</v>
          </cell>
          <cell r="D6886">
            <v>0.13</v>
          </cell>
        </row>
        <row r="6887">
          <cell r="A6887" t="str">
            <v>95321</v>
          </cell>
          <cell r="B6887" t="str">
            <v>CURSO DE CAPACITAÇÃO PARA AUXILIAR DE SERVIÇOS GERAIS (ENCARGOS COMPLEMENTARES) - HORISTA</v>
          </cell>
          <cell r="C6887" t="str">
            <v>H</v>
          </cell>
          <cell r="D6887">
            <v>0.11</v>
          </cell>
        </row>
        <row r="6888">
          <cell r="A6888" t="str">
            <v>95322</v>
          </cell>
          <cell r="B6888" t="str">
            <v>CURSO DE CAPACITAÇÃO PARA AUXILIAR DE TOPÓGRAFO (ENCARGOS COMPLEMENTARES) - HORISTA</v>
          </cell>
          <cell r="C6888" t="str">
            <v>H</v>
          </cell>
          <cell r="D6888">
            <v>7.0000000000000007E-2</v>
          </cell>
        </row>
        <row r="6889">
          <cell r="A6889" t="str">
            <v>95323</v>
          </cell>
          <cell r="B6889" t="str">
            <v>CURSO DE CAPACITAÇÃO PARA AUXILIAR TÉCNICO DE ENGENHARIA (ENCARGOS COMPLEMENTARES) - HORISTA</v>
          </cell>
          <cell r="C6889" t="str">
            <v>H</v>
          </cell>
          <cell r="D6889">
            <v>0.23</v>
          </cell>
        </row>
        <row r="6890">
          <cell r="A6890" t="str">
            <v>95324</v>
          </cell>
          <cell r="B6890" t="str">
            <v>CURSO DE CAPACITAÇÃO PARA AZULEJISTA OU LADRILHISTA (ENCARGOS COMPLEMENTARES) - HORISTA</v>
          </cell>
          <cell r="C6890" t="str">
            <v>H</v>
          </cell>
          <cell r="D6890">
            <v>0.23</v>
          </cell>
        </row>
        <row r="6891">
          <cell r="A6891" t="str">
            <v>95325</v>
          </cell>
          <cell r="B6891" t="str">
            <v>CURSO DE CAPACITAÇÃO PARA BLASTER, DINAMITADOR OU CABO DE FOGO (ENCARGOS COMPLEMENTARES) - HORISTA</v>
          </cell>
          <cell r="C6891" t="str">
            <v>H</v>
          </cell>
          <cell r="D6891">
            <v>0.3</v>
          </cell>
        </row>
        <row r="6892">
          <cell r="A6892" t="str">
            <v>95326</v>
          </cell>
          <cell r="B6892" t="str">
            <v>CURSO DE CAPACITAÇÃO PARA CADASTRISTA DE REDES DE AGUA E ESGOTO (ENCARGOS COMPLEMENTARES) - HORISTA</v>
          </cell>
          <cell r="C6892" t="str">
            <v>H</v>
          </cell>
          <cell r="D6892">
            <v>0.06</v>
          </cell>
        </row>
        <row r="6893">
          <cell r="A6893" t="str">
            <v>95328</v>
          </cell>
          <cell r="B6893" t="str">
            <v>CURSO DE CAPACITAÇÃO PARA CALCETEIRO (ENCARGOS COMPLEMENTARES) - HORISTA</v>
          </cell>
          <cell r="C6893" t="str">
            <v>H</v>
          </cell>
          <cell r="D6893">
            <v>0.15</v>
          </cell>
        </row>
        <row r="6894">
          <cell r="A6894" t="str">
            <v>95329</v>
          </cell>
          <cell r="B6894" t="str">
            <v>CURSO DE CAPACITAÇÃO PARA CARPINTEIRO DE ESQUADRIA (ENCARGOS COMPLEMENTARES) - HORISTA</v>
          </cell>
          <cell r="C6894" t="str">
            <v>H</v>
          </cell>
          <cell r="D6894">
            <v>0.18</v>
          </cell>
        </row>
        <row r="6895">
          <cell r="A6895" t="str">
            <v>95330</v>
          </cell>
          <cell r="B6895" t="str">
            <v>CURSO DE CAPACITAÇÃO PARA CARPINTEIRO DE FÔRMAS (ENCARGOS COMPLEMENTARES) - HORISTA</v>
          </cell>
          <cell r="C6895" t="str">
            <v>H</v>
          </cell>
          <cell r="D6895">
            <v>0.17</v>
          </cell>
        </row>
        <row r="6896">
          <cell r="A6896" t="str">
            <v>95331</v>
          </cell>
          <cell r="B6896" t="str">
            <v>CURSO DE CAPACITAÇÃO PARA CAVOUQUEIRO OU OPERADOR PERFURATRIZ/ROMPEDOR (ENCARGOS COMPLEMENTARES) - HORISTA</v>
          </cell>
          <cell r="C6896" t="str">
            <v>H</v>
          </cell>
          <cell r="D6896">
            <v>0.13</v>
          </cell>
        </row>
        <row r="6897">
          <cell r="A6897" t="str">
            <v>95332</v>
          </cell>
          <cell r="B6897" t="str">
            <v>CURSO DE CAPACITAÇÃO PARA ELETRICISTA (ENCARGOS COMPLEMENTARES) - HORISTA</v>
          </cell>
          <cell r="C6897" t="str">
            <v>H</v>
          </cell>
          <cell r="D6897">
            <v>0.59</v>
          </cell>
        </row>
        <row r="6898">
          <cell r="A6898" t="str">
            <v>95333</v>
          </cell>
          <cell r="B6898" t="str">
            <v>CURSO DE CAPACITAÇÃO PARA ELETRICISTA INDUSTRIAL (ENCARGOS COMPLEMENTARES) - HORISTA</v>
          </cell>
          <cell r="C6898" t="str">
            <v>H</v>
          </cell>
          <cell r="D6898">
            <v>0.66</v>
          </cell>
        </row>
        <row r="6899">
          <cell r="A6899" t="str">
            <v>95334</v>
          </cell>
          <cell r="B6899" t="str">
            <v>CURSO DE CAPACITAÇÃO PARA ELETROTÉCNICO (ENCARGOS COMPLEMENTARES) - HORISTA</v>
          </cell>
          <cell r="C6899" t="str">
            <v>H</v>
          </cell>
          <cell r="D6899">
            <v>0.59</v>
          </cell>
        </row>
        <row r="6900">
          <cell r="A6900" t="str">
            <v>95335</v>
          </cell>
          <cell r="B6900" t="str">
            <v>CURSO DE CAPACITAÇÃO PARA ENCANADOR OU BOMBEIRO HIDRÁULICO (ENCARGOS COMPLEMENTARES) - HORISTA</v>
          </cell>
          <cell r="C6900" t="str">
            <v>H</v>
          </cell>
          <cell r="D6900">
            <v>0.23</v>
          </cell>
        </row>
        <row r="6901">
          <cell r="A6901" t="str">
            <v>95337</v>
          </cell>
          <cell r="B6901" t="str">
            <v>CURSO DE CAPACITAÇÃO PARA GESSEIRO (ENCARGOS COMPLEMENTARES) - HORISTA</v>
          </cell>
          <cell r="C6901" t="str">
            <v>H</v>
          </cell>
          <cell r="D6901">
            <v>0.12</v>
          </cell>
        </row>
        <row r="6902">
          <cell r="A6902" t="str">
            <v>95338</v>
          </cell>
          <cell r="B6902" t="str">
            <v>CURSO DE CAPACITAÇÃO PARA IMPERMEABILIZADOR (ENCARGOS COMPLEMENTARES) - HORISTA</v>
          </cell>
          <cell r="C6902" t="str">
            <v>H</v>
          </cell>
          <cell r="D6902">
            <v>0.28999999999999998</v>
          </cell>
        </row>
        <row r="6903">
          <cell r="A6903" t="str">
            <v>95339</v>
          </cell>
          <cell r="B6903" t="str">
            <v>CURSO DE CAPACITAÇÃO PARA MAÇARIQUEIRO (ENCARGOS COMPLEMENTARES) - HORISTA</v>
          </cell>
          <cell r="C6903" t="str">
            <v>H</v>
          </cell>
          <cell r="D6903">
            <v>0.28999999999999998</v>
          </cell>
        </row>
        <row r="6904">
          <cell r="A6904" t="str">
            <v>95340</v>
          </cell>
          <cell r="B6904" t="str">
            <v>CURSO DE CAPACITAÇÃO PARA MARCENEIRO (ENCARGOS COMPLEMENTARES) - HORISTA</v>
          </cell>
          <cell r="C6904" t="str">
            <v>H</v>
          </cell>
          <cell r="D6904">
            <v>0.23</v>
          </cell>
        </row>
        <row r="6905">
          <cell r="A6905" t="str">
            <v>95341</v>
          </cell>
          <cell r="B6905" t="str">
            <v>CURSO DE CAPACITAÇÃO PARA MARMORISTA/GRANITEIRO (ENCARGOS COMPLEMENTARES) - HORISTA</v>
          </cell>
          <cell r="C6905" t="str">
            <v>H</v>
          </cell>
          <cell r="D6905">
            <v>0.23</v>
          </cell>
        </row>
        <row r="6906">
          <cell r="A6906" t="str">
            <v>95342</v>
          </cell>
          <cell r="B6906" t="str">
            <v>CURSO DE CAPACITAÇÃO PARA MECÂNICO DE EQUIPAMENTOS PESADOS (ENCARGOS COMPLEMENTARES) - HORISTA</v>
          </cell>
          <cell r="C6906" t="str">
            <v>H</v>
          </cell>
          <cell r="D6906">
            <v>0.16</v>
          </cell>
        </row>
        <row r="6907">
          <cell r="A6907" t="str">
            <v>95343</v>
          </cell>
          <cell r="B6907" t="str">
            <v>CURSO DE CAPACITAÇÃO PARA MONTADOR  DE TUBO AÇO/EQUIPAMENTOS (ENCARGOS COMPLEMENTARES) - HORISTA</v>
          </cell>
          <cell r="C6907" t="str">
            <v>H</v>
          </cell>
          <cell r="D6907">
            <v>0.24</v>
          </cell>
        </row>
        <row r="6908">
          <cell r="A6908" t="str">
            <v>95344</v>
          </cell>
          <cell r="B6908" t="str">
            <v>CURSO DE CAPACITAÇÃO PARA MONTADOR DE ESTRUTURA METÁLICA (ENCARGOS COMPLEMENTARES) - HORISTA</v>
          </cell>
          <cell r="C6908" t="str">
            <v>H</v>
          </cell>
          <cell r="D6908">
            <v>0.19</v>
          </cell>
        </row>
        <row r="6909">
          <cell r="A6909" t="str">
            <v>95345</v>
          </cell>
          <cell r="B6909" t="str">
            <v>CURSO DE CAPACITAÇÃO PARA MONTADOR ELETROMECÂNICO (ENCARGOS COMPLEMENTARES) - HORISTA</v>
          </cell>
          <cell r="C6909" t="str">
            <v>H</v>
          </cell>
          <cell r="D6909">
            <v>0.72</v>
          </cell>
        </row>
        <row r="6910">
          <cell r="A6910" t="str">
            <v>95346</v>
          </cell>
          <cell r="B6910" t="str">
            <v>CURSO DE CAPACITAÇÃO PARA MOTORISTA DE BASCULANTE (ENCARGOS COMPLEMENTARES) - HORISTA</v>
          </cell>
          <cell r="C6910" t="str">
            <v>H</v>
          </cell>
          <cell r="D6910">
            <v>7.0000000000000007E-2</v>
          </cell>
        </row>
        <row r="6911">
          <cell r="A6911" t="str">
            <v>95347</v>
          </cell>
          <cell r="B6911" t="str">
            <v>CURSO DE CAPACITAÇÃO PARA MOTORISTA DE CAMINHÃO (ENCARGOS COMPLEMENTARES) - HORISTA</v>
          </cell>
          <cell r="C6911" t="str">
            <v>H</v>
          </cell>
          <cell r="D6911">
            <v>0.08</v>
          </cell>
        </row>
        <row r="6912">
          <cell r="A6912" t="str">
            <v>95348</v>
          </cell>
          <cell r="B6912" t="str">
            <v>CURSO DE CAPACITAÇÃO PARA MOTORISTA DE CAMINHÃO E CARRETA (ENCARGOS COMPLEMENTARES) - HORISTA</v>
          </cell>
          <cell r="C6912" t="str">
            <v>H</v>
          </cell>
          <cell r="D6912">
            <v>0.1</v>
          </cell>
        </row>
        <row r="6913">
          <cell r="A6913" t="str">
            <v>95349</v>
          </cell>
          <cell r="B6913" t="str">
            <v>CURSO DE CAPACITAÇÃO PARA MOTORISTA DE VEÍCULO LEVE (ENCARGOS COMPLEMENTARES) - HORISTA</v>
          </cell>
          <cell r="C6913" t="str">
            <v>H</v>
          </cell>
          <cell r="D6913">
            <v>7.0000000000000007E-2</v>
          </cell>
        </row>
        <row r="6914">
          <cell r="A6914" t="str">
            <v>95350</v>
          </cell>
          <cell r="B6914" t="str">
            <v>CURSO DE CAPACITAÇÃO PARA MOTORISTA DE VEÍCULO PESADO (ENCARGOS COMPLEMENTARES) - HORISTA</v>
          </cell>
          <cell r="C6914" t="str">
            <v>H</v>
          </cell>
          <cell r="D6914">
            <v>0.09</v>
          </cell>
        </row>
        <row r="6915">
          <cell r="A6915" t="str">
            <v>95351</v>
          </cell>
          <cell r="B6915" t="str">
            <v>CURSO DE CAPACITAÇÃO PARA MOTORISTA OPERADOR DE MUNCK (ENCARGOS COMPLEMENTARES) - HORISTA</v>
          </cell>
          <cell r="C6915" t="str">
            <v>H</v>
          </cell>
          <cell r="D6915">
            <v>0.3</v>
          </cell>
        </row>
        <row r="6916">
          <cell r="A6916" t="str">
            <v>95352</v>
          </cell>
          <cell r="B6916" t="str">
            <v>CURSO DE CAPACITAÇÃO PARA NIVELADOR (ENCARGOS COMPLEMENTARES) - HORISTA</v>
          </cell>
          <cell r="C6916" t="str">
            <v>H</v>
          </cell>
          <cell r="D6916">
            <v>0.1</v>
          </cell>
        </row>
        <row r="6917">
          <cell r="A6917" t="str">
            <v>95354</v>
          </cell>
          <cell r="B6917" t="str">
            <v>CURSO DE CAPACITAÇÃO PARA OPERADOR DE BETONEIRA (CAMINHÃO) (ENCARGOS COMPLEMENTARES) - HORISTA</v>
          </cell>
          <cell r="C6917" t="str">
            <v>H</v>
          </cell>
          <cell r="D6917">
            <v>0.11</v>
          </cell>
        </row>
        <row r="6918">
          <cell r="A6918" t="str">
            <v>95355</v>
          </cell>
          <cell r="B6918" t="str">
            <v>CURSO DE CAPACITAÇÃO PARA OPERADOR DE COMPRESSOR OU COMPRESSORISTA (ENCARGOS COMPLEMENTARES) - HORISTA</v>
          </cell>
          <cell r="C6918" t="str">
            <v>H</v>
          </cell>
          <cell r="D6918">
            <v>0.13</v>
          </cell>
        </row>
        <row r="6919">
          <cell r="A6919" t="str">
            <v>95356</v>
          </cell>
          <cell r="B6919" t="str">
            <v>CURSO DE CAPACITAÇÃO PARA OPERADOR DE DEMARCADORA DE FAIXAS (ENCARGOS COMPLEMENTARES) - HORISTA</v>
          </cell>
          <cell r="C6919" t="str">
            <v>H</v>
          </cell>
          <cell r="D6919">
            <v>0.14000000000000001</v>
          </cell>
        </row>
        <row r="6920">
          <cell r="A6920" t="str">
            <v>95357</v>
          </cell>
          <cell r="B6920" t="str">
            <v>CURSO DE CAPACITAÇÃO PARA OPERADOR DE ESCAVADEIRA (ENCARGOS COMPLEMENTARES) - HORISTA</v>
          </cell>
          <cell r="C6920" t="str">
            <v>H</v>
          </cell>
          <cell r="D6920">
            <v>0.22</v>
          </cell>
        </row>
        <row r="6921">
          <cell r="A6921" t="str">
            <v>95358</v>
          </cell>
          <cell r="B6921" t="str">
            <v>CURSO DE CAPACITAÇÃO PARA OPERADOR DE GUINCHO (ENCARGOS COMPLEMENTARES) - HORISTA</v>
          </cell>
          <cell r="C6921" t="str">
            <v>H</v>
          </cell>
          <cell r="D6921">
            <v>0.25</v>
          </cell>
        </row>
        <row r="6922">
          <cell r="A6922" t="str">
            <v>95359</v>
          </cell>
          <cell r="B6922" t="str">
            <v>CURSO DE CAPACITAÇÃO PARA OPERADOR DE GUINDASTE (ENCARGOS COMPLEMENTARES) - HORISTA</v>
          </cell>
          <cell r="C6922" t="str">
            <v>H</v>
          </cell>
          <cell r="D6922">
            <v>0.47</v>
          </cell>
        </row>
        <row r="6923">
          <cell r="A6923" t="str">
            <v>95360</v>
          </cell>
          <cell r="B6923" t="str">
            <v>CURSO DE CAPACITAÇÃO PARA OPERADOR DE MÁQUINAS E EQUIPAMENTOS (ENCARGOS COMPLEMENTARES) - HORISTA</v>
          </cell>
          <cell r="C6923" t="str">
            <v>H</v>
          </cell>
          <cell r="D6923">
            <v>0.21</v>
          </cell>
        </row>
        <row r="6924">
          <cell r="A6924" t="str">
            <v>95361</v>
          </cell>
          <cell r="B6924" t="str">
            <v>CURSO DE CAPACITAÇÃO PARA OPERADOR DE MARTELETE OU MARTELETEIRO (ENCARGOS COMPLEMENTARES) - HORISTA</v>
          </cell>
          <cell r="C6924" t="str">
            <v>H</v>
          </cell>
          <cell r="D6924">
            <v>7.0000000000000007E-2</v>
          </cell>
        </row>
        <row r="6925">
          <cell r="A6925" t="str">
            <v>95362</v>
          </cell>
          <cell r="B6925" t="str">
            <v>CURSO DE CAPACITAÇÃO PARA OPERADOR DE MOTO-ESCREIPER (ENCARGOS COMPLEMENTARES) - HORISTA</v>
          </cell>
          <cell r="C6925" t="str">
            <v>H</v>
          </cell>
          <cell r="D6925">
            <v>0.14000000000000001</v>
          </cell>
        </row>
        <row r="6926">
          <cell r="A6926" t="str">
            <v>95363</v>
          </cell>
          <cell r="B6926" t="str">
            <v>CURSO DE CAPACITAÇÃO PARA OPERADOR DE MOTONIVELADORA (ENCARGOS COMPLEMENTARES) - HORISTA</v>
          </cell>
          <cell r="C6926" t="str">
            <v>H</v>
          </cell>
          <cell r="D6926">
            <v>0.18</v>
          </cell>
        </row>
        <row r="6927">
          <cell r="A6927" t="str">
            <v>95364</v>
          </cell>
          <cell r="B6927" t="str">
            <v>CURSO DE CAPACITAÇÃO PARA OPERADOR DE PÁ CARREGADEIRA (ENCARGOS COMPLEMENTARES) - HORISTA</v>
          </cell>
          <cell r="C6927" t="str">
            <v>H</v>
          </cell>
          <cell r="D6927">
            <v>0.14000000000000001</v>
          </cell>
        </row>
        <row r="6928">
          <cell r="A6928" t="str">
            <v>95365</v>
          </cell>
          <cell r="B6928" t="str">
            <v>CURSO DE CAPACITAÇÃO PARA OPERADOR DE PAVIMENTADORA (ENCARGOS COMPLEMENTARES) - HORISTA</v>
          </cell>
          <cell r="C6928" t="str">
            <v>H</v>
          </cell>
          <cell r="D6928">
            <v>0.15</v>
          </cell>
        </row>
        <row r="6929">
          <cell r="A6929" t="str">
            <v>95366</v>
          </cell>
          <cell r="B6929" t="str">
            <v>CURSO DE CAPACITAÇÃO PARA OPERADOR DE ROLO COMPACTADOR (ENCARGOS COMPLEMENTARES) - HORISTA</v>
          </cell>
          <cell r="C6929" t="str">
            <v>H</v>
          </cell>
          <cell r="D6929">
            <v>0.11</v>
          </cell>
        </row>
        <row r="6930">
          <cell r="A6930" t="str">
            <v>95367</v>
          </cell>
          <cell r="B6930" t="str">
            <v>CURSO DE CAPACITAÇÃO PARA OPERADOR DE USINA DE ASFALTO, DE SOLOS OU DE CONCRETO (ENCARGOS COMPLEMENTARES) - HORISTA</v>
          </cell>
          <cell r="C6930" t="str">
            <v>H</v>
          </cell>
          <cell r="D6930">
            <v>0.13</v>
          </cell>
        </row>
        <row r="6931">
          <cell r="A6931" t="str">
            <v>95368</v>
          </cell>
          <cell r="B6931" t="str">
            <v>CURSO DE CAPACITAÇÃO PARA OPERADOR JATO DE AREIA OU JATISTA (ENCARGOS COMPLEMENTARES) - HORISTA</v>
          </cell>
          <cell r="C6931" t="str">
            <v>H</v>
          </cell>
          <cell r="D6931">
            <v>0.2</v>
          </cell>
        </row>
        <row r="6932">
          <cell r="A6932" t="str">
            <v>95369</v>
          </cell>
          <cell r="B6932" t="str">
            <v>CURSO DE CAPACITAÇÃO PARA OPERADOR PARA BATE ESTACAS (ENCARGOS COMPLEMENTARES) - HORISTA</v>
          </cell>
          <cell r="C6932" t="str">
            <v>H</v>
          </cell>
          <cell r="D6932">
            <v>0.16</v>
          </cell>
        </row>
        <row r="6933">
          <cell r="A6933" t="str">
            <v>95370</v>
          </cell>
          <cell r="B6933" t="str">
            <v>CURSO DE CAPACITAÇÃO PARA PASTILHEIRO (ENCARGOS COMPLEMENTARES) - HORISTA</v>
          </cell>
          <cell r="C6933" t="str">
            <v>H</v>
          </cell>
          <cell r="D6933">
            <v>0.23</v>
          </cell>
        </row>
        <row r="6934">
          <cell r="A6934" t="str">
            <v>95371</v>
          </cell>
          <cell r="B6934" t="str">
            <v>CURSO DE CAPACITAÇÃO PARA PEDREIRO (ENCARGOS COMPLEMENTARES) - HORISTA</v>
          </cell>
          <cell r="C6934" t="str">
            <v>H</v>
          </cell>
          <cell r="D6934">
            <v>0.32</v>
          </cell>
        </row>
        <row r="6935">
          <cell r="A6935" t="str">
            <v>95372</v>
          </cell>
          <cell r="B6935" t="str">
            <v>CURSO DE CAPACITAÇÃO PARA PINTOR (ENCARGOS COMPLEMENTARES) - HORISTA</v>
          </cell>
          <cell r="C6935" t="str">
            <v>H</v>
          </cell>
          <cell r="D6935">
            <v>0.22</v>
          </cell>
        </row>
        <row r="6936">
          <cell r="A6936" t="str">
            <v>95373</v>
          </cell>
          <cell r="B6936" t="str">
            <v>CURSO DE CAPACITAÇÃO PARA PINTOR DE LETREIROS (ENCARGOS COMPLEMENTARES) - HORISTA</v>
          </cell>
          <cell r="C6936" t="str">
            <v>H</v>
          </cell>
          <cell r="D6936">
            <v>0.28999999999999998</v>
          </cell>
        </row>
        <row r="6937">
          <cell r="A6937" t="str">
            <v>95374</v>
          </cell>
          <cell r="B6937" t="str">
            <v>CURSO DE CAPACITAÇÃO PARA PINTOR PARA TINTA EPÓXI (ENCARGOS COMPLEMENTARES) - HORISTA</v>
          </cell>
          <cell r="C6937" t="str">
            <v>H</v>
          </cell>
          <cell r="D6937">
            <v>0.24</v>
          </cell>
        </row>
        <row r="6938">
          <cell r="A6938" t="str">
            <v>95375</v>
          </cell>
          <cell r="B6938" t="str">
            <v>CURSO DE CAPACITAÇÃO PARA POCEIRO (ENCARGOS COMPLEMENTARES) - HORISTA</v>
          </cell>
          <cell r="C6938" t="str">
            <v>H</v>
          </cell>
          <cell r="D6938">
            <v>0.3</v>
          </cell>
        </row>
        <row r="6939">
          <cell r="A6939" t="str">
            <v>95376</v>
          </cell>
          <cell r="B6939" t="str">
            <v>CURSO DE CAPACITAÇÃO PARA RASTELEIRO (ENCARGOS COMPLEMENTARES) - HORISTA</v>
          </cell>
          <cell r="C6939" t="str">
            <v>H</v>
          </cell>
          <cell r="D6939">
            <v>0.06</v>
          </cell>
        </row>
        <row r="6940">
          <cell r="A6940" t="str">
            <v>95377</v>
          </cell>
          <cell r="B6940" t="str">
            <v>CURSO DE CAPACITAÇÃO PARA SERRALHEIRO (ENCARGOS COMPLEMENTARES) - HORISTA</v>
          </cell>
          <cell r="C6940" t="str">
            <v>H</v>
          </cell>
          <cell r="D6940">
            <v>0.17</v>
          </cell>
        </row>
        <row r="6941">
          <cell r="A6941" t="str">
            <v>95378</v>
          </cell>
          <cell r="B6941" t="str">
            <v>CURSO DE CAPACITAÇÃO PARA SERVENTE (ENCARGOS COMPLEMENTARES) - HORISTA</v>
          </cell>
          <cell r="C6941" t="str">
            <v>H</v>
          </cell>
          <cell r="D6941">
            <v>0.2</v>
          </cell>
        </row>
        <row r="6942">
          <cell r="A6942" t="str">
            <v>95379</v>
          </cell>
          <cell r="B6942" t="str">
            <v>CURSO DE CAPACITAÇÃO PARA SOLDADOR (ENCARGOS COMPLEMENTARES) - HORISTA</v>
          </cell>
          <cell r="C6942" t="str">
            <v>H</v>
          </cell>
          <cell r="D6942">
            <v>0.2</v>
          </cell>
        </row>
        <row r="6943">
          <cell r="A6943" t="str">
            <v>95380</v>
          </cell>
          <cell r="B6943" t="str">
            <v>CURSO DE CAPACITAÇÃO PARA SOLDADOR A (PARA SOLDA A SER TESTADA COM RAIOS  X ) (ENCARGOS COMPLEMENTARES) - HORISTA</v>
          </cell>
          <cell r="C6943" t="str">
            <v>H</v>
          </cell>
          <cell r="D6943">
            <v>0.21</v>
          </cell>
        </row>
        <row r="6944">
          <cell r="A6944" t="str">
            <v>95382</v>
          </cell>
          <cell r="B6944" t="str">
            <v>CURSO DE CAPACITAÇÃO PARA TAQUEADOR OU TAQUEIRO (ENCARGOS COMPLEMENTARES) - HORISTA</v>
          </cell>
          <cell r="C6944" t="str">
            <v>H</v>
          </cell>
          <cell r="D6944">
            <v>0.21</v>
          </cell>
        </row>
        <row r="6945">
          <cell r="A6945" t="str">
            <v>95383</v>
          </cell>
          <cell r="B6945" t="str">
            <v>CURSO DE CAPACITAÇÃO PARA TÉCNICO DE LABORATÓRIO (ENCARGOS COMPLEMENTARES) - HORISTA</v>
          </cell>
          <cell r="C6945" t="str">
            <v>H</v>
          </cell>
          <cell r="D6945">
            <v>0.26</v>
          </cell>
        </row>
        <row r="6946">
          <cell r="A6946" t="str">
            <v>95384</v>
          </cell>
          <cell r="B6946" t="str">
            <v>CURSO DE CAPACITAÇÃO PARA TÉCNICO DE SONDAGEM (ENCARGOS COMPLEMENTARES) - HORISTA</v>
          </cell>
          <cell r="C6946" t="str">
            <v>H</v>
          </cell>
          <cell r="D6946">
            <v>0.24</v>
          </cell>
        </row>
        <row r="6947">
          <cell r="A6947" t="str">
            <v>95385</v>
          </cell>
          <cell r="B6947" t="str">
            <v>CURSO DE CAPACITAÇÃO PARA TELHADISTA (ENCARGOS COMPLEMENTARES) - HORISTA</v>
          </cell>
          <cell r="C6947" t="str">
            <v>H</v>
          </cell>
          <cell r="D6947">
            <v>0.15</v>
          </cell>
        </row>
        <row r="6948">
          <cell r="A6948" t="str">
            <v>95386</v>
          </cell>
          <cell r="B6948" t="str">
            <v>CURSO DE CAPACITAÇÃO PARA TRATORISTA (ENCARGOS COMPLEMENTARES) - HORISTA</v>
          </cell>
          <cell r="C6948" t="str">
            <v>H</v>
          </cell>
          <cell r="D6948">
            <v>0.23</v>
          </cell>
        </row>
        <row r="6949">
          <cell r="A6949" t="str">
            <v>95387</v>
          </cell>
          <cell r="B6949" t="str">
            <v>CURSO DE CAPACITAÇÃO PARA VIDRACEIRO (ENCARGOS COMPLEMENTARES) - HORISTA</v>
          </cell>
          <cell r="C6949" t="str">
            <v>H</v>
          </cell>
          <cell r="D6949">
            <v>0.21</v>
          </cell>
        </row>
        <row r="6950">
          <cell r="A6950" t="str">
            <v>95388</v>
          </cell>
          <cell r="B6950" t="str">
            <v>CURSO DE CAPACITAÇÃO PARA VIGIA NOTURNO (ENCARGOS COMPLEMENTARES) - HORISTA</v>
          </cell>
          <cell r="C6950" t="str">
            <v>H</v>
          </cell>
          <cell r="D6950">
            <v>0.06</v>
          </cell>
        </row>
        <row r="6951">
          <cell r="A6951" t="str">
            <v>95389</v>
          </cell>
          <cell r="B6951" t="str">
            <v>CURSO DE CAPACITAÇÃO PARA OPERADOR DE BETONEIRA ESTACIONÁRIA/MISTURADOR (ENCARGOS COMPLEMENTARES) - HORISTA</v>
          </cell>
          <cell r="C6951" t="str">
            <v>H</v>
          </cell>
          <cell r="D6951">
            <v>0.11</v>
          </cell>
        </row>
        <row r="6952">
          <cell r="A6952" t="str">
            <v>95390</v>
          </cell>
          <cell r="B6952" t="str">
            <v>CURSO DE CAPACITAÇÃO PARA JARDINEIRO (ENCARGOS COMPLEMENTARES) - HORISTA</v>
          </cell>
          <cell r="C6952" t="str">
            <v>H</v>
          </cell>
          <cell r="D6952">
            <v>7.0000000000000007E-2</v>
          </cell>
        </row>
        <row r="6953">
          <cell r="A6953" t="str">
            <v>95391</v>
          </cell>
          <cell r="B6953" t="str">
            <v>CURSO DE CAPACITAÇÃO PARA DESENHISTA DETALHISTA (ENCARGOS COMPLEMENTARES) - HORISTA</v>
          </cell>
          <cell r="C6953" t="str">
            <v>H</v>
          </cell>
          <cell r="D6953">
            <v>0.2</v>
          </cell>
        </row>
        <row r="6954">
          <cell r="A6954" t="str">
            <v>95392</v>
          </cell>
          <cell r="B6954" t="str">
            <v>CURSO DE CAPACITAÇÃO PARA ALMOXARIFE (ENCARGOS COMPLEMENTARES) - HORISTA</v>
          </cell>
          <cell r="C6954" t="str">
            <v>H</v>
          </cell>
          <cell r="D6954">
            <v>0.08</v>
          </cell>
        </row>
        <row r="6955">
          <cell r="A6955" t="str">
            <v>95393</v>
          </cell>
          <cell r="B6955" t="str">
            <v>CURSO DE CAPACITAÇÃO PARA APONTADOR OU APROPRIADOR (ENCARGOS COMPLEMENTARES) - HORISTA</v>
          </cell>
          <cell r="C6955" t="str">
            <v>H</v>
          </cell>
          <cell r="D6955">
            <v>0.38</v>
          </cell>
        </row>
        <row r="6956">
          <cell r="A6956" t="str">
            <v>95394</v>
          </cell>
          <cell r="B6956" t="str">
            <v>CURSO DE CAPACITAÇÃO PARA ARQUITETO DE OBRA JÚNIOR (ENCARGOS COMPLEMENTARES) - HORISTA</v>
          </cell>
          <cell r="C6956" t="str">
            <v>H</v>
          </cell>
          <cell r="D6956">
            <v>0.45</v>
          </cell>
        </row>
        <row r="6957">
          <cell r="A6957" t="str">
            <v>95395</v>
          </cell>
          <cell r="B6957" t="str">
            <v>CURSO DE CAPACITAÇÃO PARA ARQUITETO DE OBRA PLENO (ENCARGOS COMPLEMENTARES) - HORISTA</v>
          </cell>
          <cell r="C6957" t="str">
            <v>H</v>
          </cell>
          <cell r="D6957">
            <v>0.64</v>
          </cell>
        </row>
        <row r="6958">
          <cell r="A6958" t="str">
            <v>95396</v>
          </cell>
          <cell r="B6958" t="str">
            <v>CURSO DE CAPACITAÇÃO PARA ARQUITETO DE OBRA SÊNIOR (ENCARGOS COMPLEMENTARES) - HORISTA</v>
          </cell>
          <cell r="C6958" t="str">
            <v>H</v>
          </cell>
          <cell r="D6958">
            <v>0.84</v>
          </cell>
        </row>
        <row r="6959">
          <cell r="A6959" t="str">
            <v>95397</v>
          </cell>
          <cell r="B6959" t="str">
            <v>CURSO DE CAPACITAÇÃO PARA AUXILIAR DE DESENHISTA (ENCARGOS COMPLEMENTARES) - HORISTA</v>
          </cell>
          <cell r="C6959" t="str">
            <v>H</v>
          </cell>
          <cell r="D6959">
            <v>0.13</v>
          </cell>
        </row>
        <row r="6960">
          <cell r="A6960" t="str">
            <v>95398</v>
          </cell>
          <cell r="B6960" t="str">
            <v>CURSO DE CAPACITAÇÃO PARA AUXILIAR DE ESCRITÓRIO (ENCARGOS COMPLEMENTARES) - HORISTA</v>
          </cell>
          <cell r="C6960" t="str">
            <v>H</v>
          </cell>
          <cell r="D6960">
            <v>0.06</v>
          </cell>
        </row>
        <row r="6961">
          <cell r="A6961" t="str">
            <v>95399</v>
          </cell>
          <cell r="B6961" t="str">
            <v>CURSO DE CAPACITAÇÃO PARA DESENHISTA COPISTA (ENCARGOS COMPLEMENTARES) - HORISTA</v>
          </cell>
          <cell r="C6961" t="str">
            <v>H</v>
          </cell>
          <cell r="D6961">
            <v>0.11</v>
          </cell>
        </row>
        <row r="6962">
          <cell r="A6962" t="str">
            <v>95400</v>
          </cell>
          <cell r="B6962" t="str">
            <v>CURSO DE CAPACITAÇÃO PARA DESENHISTA PROJETISTA (ENCARGOS COMPLEMENTARES) - HORISTA</v>
          </cell>
          <cell r="C6962" t="str">
            <v>H</v>
          </cell>
          <cell r="D6962">
            <v>0.15</v>
          </cell>
        </row>
        <row r="6963">
          <cell r="A6963" t="str">
            <v>95401</v>
          </cell>
          <cell r="B6963" t="str">
            <v>CURSO DE CAPACITAÇÃO PARA ENCARREGADO GERAL (ENCARGOS COMPLEMENTARES) - HORISTA</v>
          </cell>
          <cell r="C6963" t="str">
            <v>H</v>
          </cell>
          <cell r="D6963">
            <v>0.57999999999999996</v>
          </cell>
        </row>
        <row r="6964">
          <cell r="A6964" t="str">
            <v>95402</v>
          </cell>
          <cell r="B6964" t="str">
            <v>CURSO DE CAPACITAÇÃO PARA ENGENHEIRO CIVIL DE OBRA JÚNIOR (ENCARGOS COMPLEMENTARES) - HORISTA</v>
          </cell>
          <cell r="C6964" t="str">
            <v>H</v>
          </cell>
          <cell r="D6964">
            <v>1.0900000000000001</v>
          </cell>
        </row>
        <row r="6965">
          <cell r="A6965" t="str">
            <v>95403</v>
          </cell>
          <cell r="B6965" t="str">
            <v>CURSO DE CAPACITAÇÃO PARA ENGENHEIRO CIVIL DE OBRA PLENO (ENCARGOS COMPLEMENTARES) - HORISTA</v>
          </cell>
          <cell r="C6965" t="str">
            <v>H</v>
          </cell>
          <cell r="D6965">
            <v>1.25</v>
          </cell>
        </row>
        <row r="6966">
          <cell r="A6966" t="str">
            <v>95404</v>
          </cell>
          <cell r="B6966" t="str">
            <v>CURSO DE CAPACITAÇÃO PARA ENGENHEIRO CIVIL DE OBRA SÊNIOR (ENCARGOS COMPLEMENTARES) - HORISTA</v>
          </cell>
          <cell r="C6966" t="str">
            <v>H</v>
          </cell>
          <cell r="D6966">
            <v>1.71</v>
          </cell>
        </row>
        <row r="6967">
          <cell r="A6967" t="str">
            <v>95405</v>
          </cell>
          <cell r="B6967" t="str">
            <v>CURSO DE CAPACITAÇÃO PARA MESTRE DE OBRAS (ENCARGOS COMPLEMENTARES) - HORISTA</v>
          </cell>
          <cell r="C6967" t="str">
            <v>H</v>
          </cell>
          <cell r="D6967">
            <v>0.88</v>
          </cell>
        </row>
        <row r="6968">
          <cell r="A6968" t="str">
            <v>95406</v>
          </cell>
          <cell r="B6968" t="str">
            <v>CURSO DE CAPACITAÇÃO PARA TOPÓGRAFO (ENCARGOS COMPLEMENTARES) - HORISTA</v>
          </cell>
          <cell r="C6968" t="str">
            <v>H</v>
          </cell>
          <cell r="D6968">
            <v>0.19</v>
          </cell>
        </row>
        <row r="6969">
          <cell r="A6969" t="str">
            <v>95407</v>
          </cell>
          <cell r="B6969" t="str">
            <v>CURSO DE CAPACITAÇÃO PARA ENGENHEIRO ELETRICISTA (ENCARGOS COMPLEMENTARES) - HORISTA</v>
          </cell>
          <cell r="C6969" t="str">
            <v>MES</v>
          </cell>
          <cell r="D6969">
            <v>2.68</v>
          </cell>
        </row>
        <row r="6970">
          <cell r="A6970" t="str">
            <v>95408</v>
          </cell>
          <cell r="B6970" t="str">
            <v>CURSO DE CAPACITAÇÃO  PARA MOTORISTA DE CAMINHÃO (ENCARGOS COMPLEMENTARES) - MENSALISTA</v>
          </cell>
          <cell r="C6970" t="str">
            <v>MES</v>
          </cell>
          <cell r="D6970">
            <v>10.78</v>
          </cell>
        </row>
        <row r="6971">
          <cell r="A6971" t="str">
            <v>95409</v>
          </cell>
          <cell r="B6971" t="str">
            <v>CURSO DE CAPACITAÇÃO PARA DESENHISTA DETALHISTA (ENCARGOS COMPLEMENTARES) - MENSALISTA</v>
          </cell>
          <cell r="C6971" t="str">
            <v>MES</v>
          </cell>
          <cell r="D6971">
            <v>26.73</v>
          </cell>
        </row>
        <row r="6972">
          <cell r="A6972" t="str">
            <v>95410</v>
          </cell>
          <cell r="B6972" t="str">
            <v>CURSO DE CAPACITAÇÃO PARA DESENHISTA COPISTA (ENCARGOS COMPLEMENTARES) - MENSALISTA</v>
          </cell>
          <cell r="C6972" t="str">
            <v>MES</v>
          </cell>
          <cell r="D6972">
            <v>15.32</v>
          </cell>
        </row>
        <row r="6973">
          <cell r="A6973" t="str">
            <v>95411</v>
          </cell>
          <cell r="B6973" t="str">
            <v>CURSO DE CAPACITAÇÃO PARA DESENHISTA PROJETISTA (ENCARGOS COMPLEMENTARES) - MENSALISTA</v>
          </cell>
          <cell r="C6973" t="str">
            <v>MES</v>
          </cell>
          <cell r="D6973">
            <v>20.420000000000002</v>
          </cell>
        </row>
        <row r="6974">
          <cell r="A6974" t="str">
            <v>95412</v>
          </cell>
          <cell r="B6974" t="str">
            <v>CURSO DE CAPACITAÇÃO PARA AUXILIAR DE DESENHISTA (ENCARGOS COMPLEMENTARES) - MENSALISTA</v>
          </cell>
          <cell r="C6974" t="str">
            <v>MES</v>
          </cell>
          <cell r="D6974">
            <v>18.37</v>
          </cell>
        </row>
        <row r="6975">
          <cell r="A6975" t="str">
            <v>95413</v>
          </cell>
          <cell r="B6975" t="str">
            <v>CURSO DE CAPACITAÇÃO PARA ALMOXARIFE (ENCARGOS COMPLEMENTARES) - MENSALISTA</v>
          </cell>
          <cell r="C6975" t="str">
            <v>MES</v>
          </cell>
          <cell r="D6975">
            <v>11.82</v>
          </cell>
        </row>
        <row r="6976">
          <cell r="A6976" t="str">
            <v>95414</v>
          </cell>
          <cell r="B6976" t="str">
            <v>CURSO DE CAPACITAÇÃO PARA APONTADOR OU APROPRIADOR (ENCARGOS COMPLEMENTARES) - MENSALISTA</v>
          </cell>
          <cell r="C6976" t="str">
            <v>MES</v>
          </cell>
          <cell r="D6976">
            <v>52.13</v>
          </cell>
        </row>
        <row r="6977">
          <cell r="A6977" t="str">
            <v>95415</v>
          </cell>
          <cell r="B6977" t="str">
            <v>CURSO DE CAPACITAÇÃO PARA ENGENHEIRO CIVIL DE OBRA JÚNIOR (ENCARGOS COMPLEMENTARES) - MENSALISTA</v>
          </cell>
          <cell r="C6977" t="str">
            <v>MES</v>
          </cell>
          <cell r="D6977">
            <v>146.65</v>
          </cell>
        </row>
        <row r="6978">
          <cell r="A6978" t="str">
            <v>95416</v>
          </cell>
          <cell r="B6978" t="str">
            <v>CURSO DE CAPACITAÇÃO PARA AUXILIAR DE ESCRITÓRIO (ENCARGOS COMPLEMENTARES) - MENSALISTA</v>
          </cell>
          <cell r="C6978" t="str">
            <v>MES</v>
          </cell>
          <cell r="D6978">
            <v>8.68</v>
          </cell>
        </row>
        <row r="6979">
          <cell r="A6979" t="str">
            <v>95417</v>
          </cell>
          <cell r="B6979" t="str">
            <v>CURSO DE CAPACITAÇÃO PARA ENGENHEIRO CIVIL DE OBRA PLENO (ENCARGOS COMPLEMENTARES) - MENSALISTA</v>
          </cell>
          <cell r="C6979" t="str">
            <v>MES</v>
          </cell>
          <cell r="D6979">
            <v>166.92</v>
          </cell>
        </row>
        <row r="6980">
          <cell r="A6980" t="str">
            <v>95418</v>
          </cell>
          <cell r="B6980" t="str">
            <v>CURSO DE CAPACITAÇÃO PARA ENGENHEIRO CIVIL DE OBRA SÊNIOR (ENCARGOS COMPLEMENTARES) - MENSALISTA</v>
          </cell>
          <cell r="C6980" t="str">
            <v>MES</v>
          </cell>
          <cell r="D6980">
            <v>228.17</v>
          </cell>
        </row>
        <row r="6981">
          <cell r="A6981" t="str">
            <v>95419</v>
          </cell>
          <cell r="B6981" t="str">
            <v>CURSO DE CAPACITAÇÃO PARA ARQUITETO JÚNIOR (ENCARGOS COMPLEMENTARES) - MENSALISTA</v>
          </cell>
          <cell r="C6981" t="str">
            <v>MES</v>
          </cell>
          <cell r="D6981">
            <v>60.58</v>
          </cell>
        </row>
        <row r="6982">
          <cell r="A6982" t="str">
            <v>95420</v>
          </cell>
          <cell r="B6982" t="str">
            <v>CURSO DE CAPACITAÇÃO PARA ARQUITETO PLENO (ENCARGOS COMPLEMENTARES) - MENSALISTA</v>
          </cell>
          <cell r="C6982" t="str">
            <v>MES</v>
          </cell>
          <cell r="D6982">
            <v>86.05</v>
          </cell>
        </row>
        <row r="6983">
          <cell r="A6983" t="str">
            <v>95421</v>
          </cell>
          <cell r="B6983" t="str">
            <v>CURSO DE CAPACITAÇÃO PARA ARQUITETO SÊNIOR (ENCARGOS COMPLEMENTARES) - MENSALISTA</v>
          </cell>
          <cell r="C6983" t="str">
            <v>MES</v>
          </cell>
          <cell r="D6983">
            <v>113.76</v>
          </cell>
        </row>
        <row r="6984">
          <cell r="A6984" t="str">
            <v>95422</v>
          </cell>
          <cell r="B6984" t="str">
            <v>CURSO DE CAPACITAÇÃO PARA ENCARREGADO GERAL DE OBRAS (ENCARGOS COMPLEMENTARES) - MENSALISTA</v>
          </cell>
          <cell r="C6984" t="str">
            <v>MES</v>
          </cell>
          <cell r="D6984">
            <v>78.33</v>
          </cell>
        </row>
        <row r="6985">
          <cell r="A6985" t="str">
            <v>95423</v>
          </cell>
          <cell r="B6985" t="str">
            <v>CURSO DE CAPACITAÇÃO PARA MESTRE DE OBRAS (ENCARGOS COMPLEMENTARES) - MENSALISTA</v>
          </cell>
          <cell r="C6985" t="str">
            <v>MES</v>
          </cell>
          <cell r="D6985">
            <v>118.89</v>
          </cell>
        </row>
        <row r="6986">
          <cell r="A6986" t="str">
            <v>95424</v>
          </cell>
          <cell r="B6986" t="str">
            <v>CURSO DE CAPACITAÇÃO PARA TOPÓGRAFO (ENCARGOS COMPLEMENTARES) - MENSALISTA</v>
          </cell>
          <cell r="C6986" t="str">
            <v>H</v>
          </cell>
          <cell r="D6986">
            <v>26.04</v>
          </cell>
        </row>
        <row r="6987">
          <cell r="A6987" t="str">
            <v>100288</v>
          </cell>
          <cell r="B6987" t="str">
            <v>CURSO DE CAPACITAÇÃO PARA VIGIA DIURNO (ENCARGOS COMPLEMENTARES) - HORISTA</v>
          </cell>
          <cell r="C6987" t="str">
            <v>H</v>
          </cell>
          <cell r="D6987">
            <v>0.05</v>
          </cell>
        </row>
        <row r="6988">
          <cell r="A6988" t="str">
            <v>100289</v>
          </cell>
          <cell r="B6988" t="str">
            <v>VIGIA DIURNO COM ENCARGOS COMPLEMENTARES</v>
          </cell>
          <cell r="C6988" t="str">
            <v>H</v>
          </cell>
          <cell r="D6988">
            <v>18.46</v>
          </cell>
        </row>
        <row r="6989">
          <cell r="A6989" t="str">
            <v>100290</v>
          </cell>
          <cell r="B6989" t="str">
            <v>CURSO DE CAPACITAÇÃO PARA AUXILIAR DE ALMOXARIFE (ENCARGOS COMPLEMENTARES) - HORISTA</v>
          </cell>
          <cell r="C6989" t="str">
            <v>H</v>
          </cell>
          <cell r="D6989">
            <v>0.06</v>
          </cell>
        </row>
        <row r="6990">
          <cell r="A6990" t="str">
            <v>100291</v>
          </cell>
          <cell r="B6990" t="str">
            <v>CURSO DE CAPACITAÇÃO PARA AJUDANTE DE PINTOR (ENCARGOS COMPLEMENTARES) - HORISTA</v>
          </cell>
          <cell r="C6990" t="str">
            <v>H</v>
          </cell>
          <cell r="D6990">
            <v>0.16</v>
          </cell>
        </row>
        <row r="6991">
          <cell r="A6991" t="str">
            <v>100292</v>
          </cell>
          <cell r="B6991" t="str">
            <v>CURSO DE CAPACITAÇÃO PARA COORDENADOR/GERENTE DE OBRA (ENCARGOS COMPLEMENTARES) - HORISTA</v>
          </cell>
          <cell r="C6991" t="str">
            <v>H</v>
          </cell>
          <cell r="D6991">
            <v>0.55000000000000004</v>
          </cell>
        </row>
        <row r="6992">
          <cell r="A6992" t="str">
            <v>100293</v>
          </cell>
          <cell r="B6992" t="str">
            <v>CURSO DE CAPACITAÇÃO PARA AUXILIAR DE AZULEJISTA (ENCARGOS COMPLEMENTARES) - HORISTA</v>
          </cell>
          <cell r="C6992" t="str">
            <v>H</v>
          </cell>
          <cell r="D6992">
            <v>0.16</v>
          </cell>
        </row>
        <row r="6993">
          <cell r="A6993" t="str">
            <v>100294</v>
          </cell>
          <cell r="B6993" t="str">
            <v>CURSO DE CAPACITAÇÃO PARA ARQUITETO PAISAGISTA (ENCARGOS COMPLEMENTARES) - HORISTA</v>
          </cell>
          <cell r="C6993" t="str">
            <v>H</v>
          </cell>
          <cell r="D6993">
            <v>0.28000000000000003</v>
          </cell>
        </row>
        <row r="6994">
          <cell r="A6994" t="str">
            <v>100295</v>
          </cell>
          <cell r="B6994" t="str">
            <v>CURSO DE CAPACITAÇÃO PARA MONTADOR DE ELETROELETRONICOS (ENCARGOS COMPLEMENTARES) - HORISTA</v>
          </cell>
          <cell r="C6994" t="str">
            <v>H</v>
          </cell>
          <cell r="D6994">
            <v>0.45</v>
          </cell>
        </row>
        <row r="6995">
          <cell r="A6995" t="str">
            <v>100296</v>
          </cell>
          <cell r="B6995" t="str">
            <v>CURSO DE CAPACITAÇÃO PARA ENGENHEIRO CIVIL JUNIOR (ENCARGOS COMPLEMENTARES) - HORISTA</v>
          </cell>
          <cell r="C6995" t="str">
            <v>H</v>
          </cell>
          <cell r="D6995">
            <v>0.87</v>
          </cell>
        </row>
        <row r="6996">
          <cell r="A6996" t="str">
            <v>100297</v>
          </cell>
          <cell r="B6996" t="str">
            <v>CURSO DE CAPACITAÇÃO PARA ENGENHEIRO CIVIL PLENO (ENCARGOS COMPLEMENTARES) - HORISTA</v>
          </cell>
          <cell r="C6996" t="str">
            <v>H</v>
          </cell>
          <cell r="D6996">
            <v>0.98</v>
          </cell>
        </row>
        <row r="6997">
          <cell r="A6997" t="str">
            <v>100298</v>
          </cell>
          <cell r="B6997" t="str">
            <v>CURSO DE CAPACITAÇÃO PARA MECÂNICO DE REFRIGERAÇÃO (ENCARGOS COMPLEMENTARES) - HORISTA</v>
          </cell>
          <cell r="C6997" t="str">
            <v>H</v>
          </cell>
          <cell r="D6997">
            <v>0.39</v>
          </cell>
        </row>
        <row r="6998">
          <cell r="A6998" t="str">
            <v>100299</v>
          </cell>
          <cell r="B6998" t="str">
            <v>CURSO DE CAPACITAÇÃO PARA TÉCNICO EM SEGURANÇA DO TRABALHO (ENCARGOS COMPLEMENTARES) - HORISTA</v>
          </cell>
          <cell r="C6998" t="str">
            <v>H</v>
          </cell>
          <cell r="D6998">
            <v>0.5</v>
          </cell>
        </row>
        <row r="6999">
          <cell r="A6999" t="str">
            <v>100300</v>
          </cell>
          <cell r="B6999" t="str">
            <v>AUXILIAR DE ALMOXARIFE COM ENCARGOS COMPLEMENTARES</v>
          </cell>
          <cell r="C6999" t="str">
            <v>H</v>
          </cell>
          <cell r="D6999">
            <v>18.27</v>
          </cell>
        </row>
        <row r="7000">
          <cell r="A7000" t="str">
            <v>100301</v>
          </cell>
          <cell r="B7000" t="str">
            <v>AJUDANTE DE PINTOR COM ENCARGOS COMPLEMENTARES</v>
          </cell>
          <cell r="C7000" t="str">
            <v>H</v>
          </cell>
          <cell r="D7000">
            <v>21.11</v>
          </cell>
        </row>
        <row r="7001">
          <cell r="A7001" t="str">
            <v>100302</v>
          </cell>
          <cell r="B7001" t="str">
            <v>COORDENADOR/GERENTE DE OBRA COM ENCARGOS COMPLEMENTARES</v>
          </cell>
          <cell r="C7001" t="str">
            <v>H</v>
          </cell>
          <cell r="D7001">
            <v>136.44</v>
          </cell>
        </row>
        <row r="7002">
          <cell r="A7002" t="str">
            <v>100303</v>
          </cell>
          <cell r="B7002" t="str">
            <v>AUXILIAR DE AZULEJISTA COM ENCARGOS COMPLEMENTARES</v>
          </cell>
          <cell r="C7002" t="str">
            <v>H</v>
          </cell>
          <cell r="D7002">
            <v>20.02</v>
          </cell>
        </row>
        <row r="7003">
          <cell r="A7003" t="str">
            <v>100304</v>
          </cell>
          <cell r="B7003" t="str">
            <v>ARQUITETO PAISAGISTA COM ENCARGOS COMPLEMENTARES</v>
          </cell>
          <cell r="C7003" t="str">
            <v>H</v>
          </cell>
          <cell r="D7003">
            <v>72.31</v>
          </cell>
        </row>
        <row r="7004">
          <cell r="A7004" t="str">
            <v>100305</v>
          </cell>
          <cell r="B7004" t="str">
            <v>ENGENHEIRO CIVIL JUNIOR COM ENCARGOS COMPLEMENTARES</v>
          </cell>
          <cell r="C7004" t="str">
            <v>H</v>
          </cell>
          <cell r="D7004">
            <v>95.4</v>
          </cell>
        </row>
        <row r="7005">
          <cell r="A7005" t="str">
            <v>100306</v>
          </cell>
          <cell r="B7005" t="str">
            <v>ENGENHEIRO CIVIL PLENO COM ENCARGOS COMPLEMENTARES</v>
          </cell>
          <cell r="C7005" t="str">
            <v>H</v>
          </cell>
          <cell r="D7005">
            <v>107.41</v>
          </cell>
        </row>
        <row r="7006">
          <cell r="A7006" t="str">
            <v>100307</v>
          </cell>
          <cell r="B7006" t="str">
            <v>MONTADOR DE ELETROELETRÔNICOS COM ENCARGOS COMPLEMENTARES</v>
          </cell>
          <cell r="C7006" t="str">
            <v>H</v>
          </cell>
          <cell r="D7006">
            <v>24.8</v>
          </cell>
        </row>
        <row r="7007">
          <cell r="A7007" t="str">
            <v>100308</v>
          </cell>
          <cell r="B7007" t="str">
            <v>MECÂNICO DE REFRIGERAÇÃO COM ENCARGOS COMPLEMENTARES</v>
          </cell>
          <cell r="C7007" t="str">
            <v>H</v>
          </cell>
          <cell r="D7007">
            <v>24.33</v>
          </cell>
        </row>
        <row r="7008">
          <cell r="A7008" t="str">
            <v>100309</v>
          </cell>
          <cell r="B7008" t="str">
            <v>TÉCNICO EM SEGURANÇA DO TRABALHO COM ENCARGOS COMPLEMENTARES</v>
          </cell>
          <cell r="C7008" t="str">
            <v>MES</v>
          </cell>
          <cell r="D7008">
            <v>36.5</v>
          </cell>
        </row>
        <row r="7009">
          <cell r="A7009" t="str">
            <v>100310</v>
          </cell>
          <cell r="B7009" t="str">
            <v>CURSO DE CAPACITAÇÃO PARA AUXILIAR DE ALMOXARIFE (ENCARGOS COMPLEMENTARES) - MENSALISTA</v>
          </cell>
          <cell r="C7009" t="str">
            <v>MES</v>
          </cell>
          <cell r="D7009">
            <v>9.06</v>
          </cell>
        </row>
        <row r="7010">
          <cell r="A7010" t="str">
            <v>100311</v>
          </cell>
          <cell r="B7010" t="str">
            <v>CURSO DE CAPACITAÇÃO PARA COORDENADOR/GERENTE DE OBRA (ENCARGOS COMPLEMENTARES) - MENSALISTA</v>
          </cell>
          <cell r="C7010" t="str">
            <v>MES</v>
          </cell>
          <cell r="D7010">
            <v>73.23</v>
          </cell>
        </row>
        <row r="7011">
          <cell r="A7011" t="str">
            <v>100312</v>
          </cell>
          <cell r="B7011" t="str">
            <v>CURSO DE CAPACITAÇÃO PARA ARQUITETO PAISAGISTA (ENCARGOS COMPLEMENTARES) - MENSALISTA</v>
          </cell>
          <cell r="C7011" t="str">
            <v>MES</v>
          </cell>
          <cell r="D7011">
            <v>100.4</v>
          </cell>
        </row>
        <row r="7012">
          <cell r="A7012" t="str">
            <v>100313</v>
          </cell>
          <cell r="B7012" t="str">
            <v>CURSO DE CAPACITAÇÃO PARA ENGENHEIRO CIVIL JUNIOR (ENCARGOS COMPLEMENTARES) - MENSALISTA</v>
          </cell>
          <cell r="C7012" t="str">
            <v>MES</v>
          </cell>
          <cell r="D7012">
            <v>116.09</v>
          </cell>
        </row>
        <row r="7013">
          <cell r="A7013" t="str">
            <v>100314</v>
          </cell>
          <cell r="B7013" t="str">
            <v>CURSO DE CAPACITAÇÃO PARA ENGENHEIRO CIVIL PLENO (ENCARGOS COMPLEMENTARES) - MENSALISTA</v>
          </cell>
          <cell r="C7013" t="str">
            <v>MES</v>
          </cell>
          <cell r="D7013">
            <v>130.97</v>
          </cell>
        </row>
        <row r="7014">
          <cell r="A7014" t="str">
            <v>100315</v>
          </cell>
          <cell r="B7014" t="str">
            <v>CURSO DE CAPACITAÇÃO PARA TÉCNICO EM SEGURANÇA DO TRABALHO (ENCARGOS COMPLEMENTARES) - MENSALISTA</v>
          </cell>
          <cell r="C7014" t="str">
            <v>MES</v>
          </cell>
          <cell r="D7014">
            <v>67.16</v>
          </cell>
        </row>
        <row r="7015">
          <cell r="A7015" t="str">
            <v>100316</v>
          </cell>
          <cell r="B7015" t="str">
            <v>AUXILIAR DE ALMOXARIFE COM ENCARGOS COMPLEMENTARES</v>
          </cell>
          <cell r="C7015" t="str">
            <v>MES</v>
          </cell>
          <cell r="D7015">
            <v>3235.83</v>
          </cell>
        </row>
        <row r="7016">
          <cell r="A7016" t="str">
            <v>100317</v>
          </cell>
          <cell r="B7016" t="str">
            <v>COORDENADOR / GERENTE DE OBRA COM ENCARGOS COMPLEMENTARES</v>
          </cell>
          <cell r="C7016" t="str">
            <v>MES</v>
          </cell>
          <cell r="D7016">
            <v>23986.91</v>
          </cell>
        </row>
        <row r="7017">
          <cell r="A7017" t="str">
            <v>100318</v>
          </cell>
          <cell r="B7017" t="str">
            <v>ARQUITETO PAISAGISTA COM ENCARGOS COMPLEMENTARES</v>
          </cell>
          <cell r="C7017" t="str">
            <v>MES</v>
          </cell>
          <cell r="D7017">
            <v>12786.08</v>
          </cell>
        </row>
        <row r="7018">
          <cell r="A7018" t="str">
            <v>100319</v>
          </cell>
          <cell r="B7018" t="str">
            <v>ENGENHEIRO CIVIL JUNIOR COM ENCARGOS COMPLEMENTARES</v>
          </cell>
          <cell r="C7018" t="str">
            <v>MES</v>
          </cell>
          <cell r="D7018">
            <v>16756.43</v>
          </cell>
        </row>
        <row r="7019">
          <cell r="A7019" t="str">
            <v>100320</v>
          </cell>
          <cell r="B7019" t="str">
            <v>ENGENHEIRO CIVIL PLENO COM ENCARGOS COMPLEMENTARES</v>
          </cell>
          <cell r="C7019" t="str">
            <v>MES</v>
          </cell>
          <cell r="D7019">
            <v>18867.439999999999</v>
          </cell>
        </row>
        <row r="7020">
          <cell r="A7020" t="str">
            <v>100321</v>
          </cell>
          <cell r="B7020" t="str">
            <v>TÉCNICO EM SEGURANÇA DO TRABALHO COM ENCARGOS COMPLEMENTARES</v>
          </cell>
          <cell r="C7020" t="str">
            <v>H</v>
          </cell>
          <cell r="D7020">
            <v>6421.95</v>
          </cell>
        </row>
        <row r="7021">
          <cell r="A7021" t="str">
            <v>100533</v>
          </cell>
          <cell r="B7021" t="str">
            <v>TECNICO DE EDIFICACOES COM ENCARGOS COMPLEMENTARES</v>
          </cell>
          <cell r="C7021" t="str">
            <v>MES</v>
          </cell>
          <cell r="D7021">
            <v>29.65</v>
          </cell>
        </row>
        <row r="7022">
          <cell r="A7022" t="str">
            <v>100534</v>
          </cell>
          <cell r="B7022" t="str">
            <v>TECNICO DE EDIFICACOES COM ENCARGOS COMPLEMENTARES</v>
          </cell>
          <cell r="C7022" t="str">
            <v>H</v>
          </cell>
          <cell r="D7022">
            <v>5230.17</v>
          </cell>
        </row>
        <row r="7023">
          <cell r="A7023" t="str">
            <v>100535</v>
          </cell>
          <cell r="B7023" t="str">
            <v>CURSO DE CAPACITAÇÃO PARA TECNICO DE EDIFICACOES (ENCARGOS COMPLEMENTARES) - HORISTA</v>
          </cell>
          <cell r="C7023" t="str">
            <v>MES</v>
          </cell>
          <cell r="D7023">
            <v>0.4</v>
          </cell>
        </row>
        <row r="7024">
          <cell r="A7024" t="str">
            <v>100536</v>
          </cell>
          <cell r="B7024" t="str">
            <v>CURSO DE CAPACITAÇÃO PARA TECNICO DE EDIFICACOES (ENCARGOS COMPLEMENTARES) - MENSALISTA</v>
          </cell>
          <cell r="C7024" t="str">
            <v>H</v>
          </cell>
          <cell r="D7024">
            <v>54.08</v>
          </cell>
        </row>
        <row r="7025">
          <cell r="A7025" t="str">
            <v>101284</v>
          </cell>
          <cell r="B7025" t="str">
            <v>CURSO DE CAPACITAÇÃO PARA ENGENHEIRO CIVIL SENIOR (ENCARGOS COMPLEMENTARES) - HORISTA</v>
          </cell>
          <cell r="C7025" t="str">
            <v>H</v>
          </cell>
          <cell r="D7025">
            <v>1.35</v>
          </cell>
        </row>
        <row r="7026">
          <cell r="A7026" t="str">
            <v>101285</v>
          </cell>
          <cell r="B7026" t="str">
            <v>CURSO DE CAPACITAÇÃO PARA ENGENHEIRO SANITARISTA (ENCARGOS COMPLEMENTARES) - HORISTA</v>
          </cell>
          <cell r="C7026" t="str">
            <v>MES</v>
          </cell>
          <cell r="D7026">
            <v>0.38</v>
          </cell>
        </row>
        <row r="7027">
          <cell r="A7027" t="str">
            <v>101286</v>
          </cell>
          <cell r="B7027" t="str">
            <v>CURSO DE CAPACITAÇÃO PARA AJUDANTE DE ARMADOR (ENCARGOS COMPLEMENTARES) - MENSALISTA</v>
          </cell>
          <cell r="C7027" t="str">
            <v>MES</v>
          </cell>
          <cell r="D7027">
            <v>16.260000000000002</v>
          </cell>
        </row>
        <row r="7028">
          <cell r="A7028" t="str">
            <v>101287</v>
          </cell>
          <cell r="B7028" t="str">
            <v>CURSO DE CAPACITAÇÃO PARA AJUDANTE DE ELETRICISTA (ENCARGOS COMPLEMENTARES) - MENSALISTA</v>
          </cell>
          <cell r="C7028" t="str">
            <v>MES</v>
          </cell>
          <cell r="D7028">
            <v>56.74</v>
          </cell>
        </row>
        <row r="7029">
          <cell r="A7029" t="str">
            <v>101288</v>
          </cell>
          <cell r="B7029" t="str">
            <v>CURSO DE CAPACITAÇÃO PARA AJUDANTE DE ESTRUTURAS METÁLICAS(ENCARGOS COMPLEMENTARES) - MENSALISTA</v>
          </cell>
          <cell r="C7029" t="str">
            <v>MES</v>
          </cell>
          <cell r="D7029">
            <v>18.96</v>
          </cell>
        </row>
        <row r="7030">
          <cell r="A7030" t="str">
            <v>101289</v>
          </cell>
          <cell r="B7030" t="str">
            <v>CURSO DE CAPACITAÇÃO PARA AJUDANTE DE OPERAÇÃO EM GERAL (ENCARGOS COMPLEMENTARES) - MENSALISTA</v>
          </cell>
          <cell r="C7030" t="str">
            <v>MES</v>
          </cell>
          <cell r="D7030">
            <v>16.82</v>
          </cell>
        </row>
        <row r="7031">
          <cell r="A7031" t="str">
            <v>101290</v>
          </cell>
          <cell r="B7031" t="str">
            <v>CURSO DE CAPACITAÇÃO PARA AJUDANTE DE PINTOR (ENCARGOS COMPLEMENTARES) - MENSALISTA</v>
          </cell>
          <cell r="C7031" t="str">
            <v>MES</v>
          </cell>
          <cell r="D7031">
            <v>21.69</v>
          </cell>
        </row>
        <row r="7032">
          <cell r="A7032" t="str">
            <v>101291</v>
          </cell>
          <cell r="B7032" t="str">
            <v>CURSO DE CAPACITAÇÃO PARA AJUDANTE DE SERRALHEIRO (ENCARGOS COMPLEMENTARES) - MENSALISTA</v>
          </cell>
          <cell r="C7032" t="str">
            <v>MES</v>
          </cell>
          <cell r="D7032">
            <v>17.440000000000001</v>
          </cell>
        </row>
        <row r="7033">
          <cell r="A7033" t="str">
            <v>101292</v>
          </cell>
          <cell r="B7033" t="str">
            <v>CURSO DE CAPACITAÇÃO PARA AJUDANTE ESPECIALIZADO (ENCARGOS COMPLEMENTARES) - MENSALISTA</v>
          </cell>
          <cell r="C7033" t="str">
            <v>MES</v>
          </cell>
          <cell r="D7033">
            <v>19.07</v>
          </cell>
        </row>
        <row r="7034">
          <cell r="A7034" t="str">
            <v>101293</v>
          </cell>
          <cell r="B7034" t="str">
            <v>CURSO DE CAPACITAÇÃO PARA ARMADOR (ENCARGOS COMPLEMENTARES) - MENSALISTA</v>
          </cell>
          <cell r="C7034" t="str">
            <v>MES</v>
          </cell>
          <cell r="D7034">
            <v>23.31</v>
          </cell>
        </row>
        <row r="7035">
          <cell r="A7035" t="str">
            <v>101294</v>
          </cell>
          <cell r="B7035" t="str">
            <v>CURSO DE CAPACITAÇÃO PARA ASSENTADOR DE MANILHA (ENCARGOS COMPLEMENTARES) - MENSALISTA</v>
          </cell>
          <cell r="C7035" t="str">
            <v>MES</v>
          </cell>
          <cell r="D7035">
            <v>36.33</v>
          </cell>
        </row>
        <row r="7036">
          <cell r="A7036" t="str">
            <v>101295</v>
          </cell>
          <cell r="B7036" t="str">
            <v>CURSO DE CAPACITAÇÃO PARA AUXILIAR DE AZULEJISTA (ENCARGOS COMPLEMENTARES) - MENSALISTA</v>
          </cell>
          <cell r="C7036" t="str">
            <v>MES</v>
          </cell>
          <cell r="D7036">
            <v>21.78</v>
          </cell>
        </row>
        <row r="7037">
          <cell r="A7037" t="str">
            <v>101296</v>
          </cell>
          <cell r="B7037" t="str">
            <v>CURSO DE CAPACITAÇÃO PARA AUXILIAR DE ENCANADOR OU BOMBEIRO HIDRÁULICO (ENCARGOS COMPLEMENTARES) - MENSALISTA</v>
          </cell>
          <cell r="C7037" t="str">
            <v>MES</v>
          </cell>
          <cell r="D7037">
            <v>22.17</v>
          </cell>
        </row>
        <row r="7038">
          <cell r="A7038" t="str">
            <v>101297</v>
          </cell>
          <cell r="B7038" t="str">
            <v>CURSO DE CAPACITAÇÃO PARA AUXILIAR DE LABORATORISTA (ENCARGOS COMPLEMENTARES) - MENSALISTA</v>
          </cell>
          <cell r="C7038" t="str">
            <v>MES</v>
          </cell>
          <cell r="D7038">
            <v>19.920000000000002</v>
          </cell>
        </row>
        <row r="7039">
          <cell r="A7039" t="str">
            <v>101298</v>
          </cell>
          <cell r="B7039" t="str">
            <v>CURSO DE CAPACITAÇÃO PARA AUXILIAR DE MECANICO (ENCARGOS COMPLEMENTARES) - MENSALISTA</v>
          </cell>
          <cell r="C7039" t="str">
            <v>MES</v>
          </cell>
          <cell r="D7039">
            <v>19.46</v>
          </cell>
        </row>
        <row r="7040">
          <cell r="A7040" t="str">
            <v>101299</v>
          </cell>
          <cell r="B7040" t="str">
            <v>CURSO DE CAPACITAÇÃO PARA AUXILIAR DE PEDREIRO (ENCARGOS COMPLEMENTARES) - MENSALISTA</v>
          </cell>
          <cell r="C7040" t="str">
            <v>MES</v>
          </cell>
          <cell r="D7040">
            <v>18.62</v>
          </cell>
        </row>
        <row r="7041">
          <cell r="A7041" t="str">
            <v>101300</v>
          </cell>
          <cell r="B7041" t="str">
            <v>CURSO DE CAPACITAÇÃO PARA AUXILIAR DE SERVIÇOS GERAIS (ENCARGOS COMPLEMENTARES) - MENSALISTA</v>
          </cell>
          <cell r="C7041" t="str">
            <v>MES</v>
          </cell>
          <cell r="D7041">
            <v>15.82</v>
          </cell>
        </row>
        <row r="7042">
          <cell r="A7042" t="str">
            <v>101301</v>
          </cell>
          <cell r="B7042" t="str">
            <v>CURSO DE CAPACITAÇÃO PARA AUXILIAR DE TOPÓGRAFO (ENCARGOS COMPLEMENTARES) - MENSALISTA</v>
          </cell>
          <cell r="C7042" t="str">
            <v>MES</v>
          </cell>
          <cell r="D7042">
            <v>10.64</v>
          </cell>
        </row>
        <row r="7043">
          <cell r="A7043" t="str">
            <v>101302</v>
          </cell>
          <cell r="B7043" t="str">
            <v>CURSO DE CAPACITAÇÃO PARA AUXILIAR TÉCNICO DE ENGENHARIA (ENCARGOS COMPLEMENTARES) - MENSALISTA</v>
          </cell>
          <cell r="C7043" t="str">
            <v>MES</v>
          </cell>
          <cell r="D7043">
            <v>31.23</v>
          </cell>
        </row>
        <row r="7044">
          <cell r="A7044" t="str">
            <v>101303</v>
          </cell>
          <cell r="B7044" t="str">
            <v>CURSO DE CAPACITAÇÃO PARA MONTADOR DE ELETROELETRONICOS(ENCARGOS COMPLEMENTARES) - MENSALISTA</v>
          </cell>
          <cell r="C7044" t="str">
            <v>MES</v>
          </cell>
          <cell r="D7044">
            <v>60.72</v>
          </cell>
        </row>
        <row r="7045">
          <cell r="A7045" t="str">
            <v>101304</v>
          </cell>
          <cell r="B7045" t="str">
            <v>CURSO DE CAPACITAÇÃO PARA AZULEJISTA OU LADRILHISTA (ENCARGOS COMPLEMENTARES) - MENSALISTA</v>
          </cell>
          <cell r="C7045" t="str">
            <v>MES</v>
          </cell>
          <cell r="D7045">
            <v>31.4</v>
          </cell>
        </row>
        <row r="7046">
          <cell r="A7046" t="str">
            <v>101305</v>
          </cell>
          <cell r="B7046" t="str">
            <v>CURSO DE CAPACITAÇÃO PARA BLASTER, DINAMITADOR OU CABO DE FORÇA (ENCARGOS COMPLEMENTARES) - MENSALISTA</v>
          </cell>
          <cell r="C7046" t="str">
            <v>MES</v>
          </cell>
          <cell r="D7046">
            <v>40.340000000000003</v>
          </cell>
        </row>
        <row r="7047">
          <cell r="A7047" t="str">
            <v>101307</v>
          </cell>
          <cell r="B7047" t="str">
            <v>CURSO DE CAPACITAÇÃO PARA CALCETEIRO (ENCARGOS COMPLEMENTARES) - MENSALISTA</v>
          </cell>
          <cell r="C7047" t="str">
            <v>MES</v>
          </cell>
          <cell r="D7047">
            <v>20.329999999999998</v>
          </cell>
        </row>
        <row r="7048">
          <cell r="A7048" t="str">
            <v>101308</v>
          </cell>
          <cell r="B7048" t="str">
            <v>CURSO DE CAPACITAÇÃO PARA MONTADOR DE ESTRUTURAS METALICAS (ENCARGOS COMPLEMENTARES) - MENSALISTA</v>
          </cell>
          <cell r="C7048" t="str">
            <v>MES</v>
          </cell>
          <cell r="D7048">
            <v>25.84</v>
          </cell>
        </row>
        <row r="7049">
          <cell r="A7049" t="str">
            <v>101309</v>
          </cell>
          <cell r="B7049" t="str">
            <v>CURSO DE CAPACITAÇÃO PARA CARPINTEIRO AUXILIAR (ENCARGOS COMPLEMENTARES) - MENSALISTA</v>
          </cell>
          <cell r="C7049" t="str">
            <v>MES</v>
          </cell>
          <cell r="D7049">
            <v>23.78</v>
          </cell>
        </row>
        <row r="7050">
          <cell r="A7050" t="str">
            <v>101310</v>
          </cell>
          <cell r="B7050" t="str">
            <v>CURSO DE CAPACITAÇÃO PARA CARPINTEIRO DE ESQUADRIAS (ENCARGOS COMPLEMENTARES) - MENSALISTA</v>
          </cell>
          <cell r="C7050" t="str">
            <v>MES</v>
          </cell>
          <cell r="D7050">
            <v>25.34</v>
          </cell>
        </row>
        <row r="7051">
          <cell r="A7051" t="str">
            <v>101311</v>
          </cell>
          <cell r="B7051" t="str">
            <v>CURSO DE CAPACITAÇÃO PARA CARPINTEIRO DE FORMAS (ENCARGOS COMPLEMENTARES) - MENSALISTA</v>
          </cell>
          <cell r="C7051" t="str">
            <v>MES</v>
          </cell>
          <cell r="D7051">
            <v>23.55</v>
          </cell>
        </row>
        <row r="7052">
          <cell r="A7052" t="str">
            <v>101312</v>
          </cell>
          <cell r="B7052" t="str">
            <v>CURSO DE CAPACITAÇÃO PARA CAVOUQUEIRO OU OPERADOR DE PERFURATRIZ (ENCARGOS COMPLEMENTARES) - MENSALISTA</v>
          </cell>
          <cell r="C7052" t="str">
            <v>MES</v>
          </cell>
          <cell r="D7052">
            <v>18.29</v>
          </cell>
        </row>
        <row r="7053">
          <cell r="A7053" t="str">
            <v>101313</v>
          </cell>
          <cell r="B7053" t="str">
            <v>CURSO DE CAPACITAÇÃO PARA ELETRICISTA (ENCARGOS COMPLEMENTARES) - MENSALISTA</v>
          </cell>
          <cell r="C7053" t="str">
            <v>MES</v>
          </cell>
          <cell r="D7053">
            <v>80.67</v>
          </cell>
        </row>
        <row r="7054">
          <cell r="A7054" t="str">
            <v>101314</v>
          </cell>
          <cell r="B7054" t="str">
            <v>CURSO DE CAPACITAÇÃO PARA ELETRICISTA DE MANUTENÇÃO INDUSTRIAL (ENCARGOS COMPLEMENTARES) - MENSALISTA</v>
          </cell>
          <cell r="C7054" t="str">
            <v>MES</v>
          </cell>
          <cell r="D7054">
            <v>88.88</v>
          </cell>
        </row>
        <row r="7055">
          <cell r="A7055" t="str">
            <v>101315</v>
          </cell>
          <cell r="B7055" t="str">
            <v>CURSO DE CAPACITAÇÃO PARA ELETROTÉCNICO (ENCARGOS COMPLEMENTARES) - MENSALISTA</v>
          </cell>
          <cell r="C7055" t="str">
            <v>MES</v>
          </cell>
          <cell r="D7055">
            <v>80.03</v>
          </cell>
        </row>
        <row r="7056">
          <cell r="A7056" t="str">
            <v>101316</v>
          </cell>
          <cell r="B7056" t="str">
            <v>CURSO DE CAPACITAÇÃO PARA ENCANADOR OU BOMBEIRO HIDRÁULICO (ENCARGOS COMPLEMENTARES) - MENSALISTA</v>
          </cell>
          <cell r="C7056" t="str">
            <v>MES</v>
          </cell>
          <cell r="D7056">
            <v>31.27</v>
          </cell>
        </row>
        <row r="7057">
          <cell r="A7057" t="str">
            <v>101317</v>
          </cell>
          <cell r="B7057" t="str">
            <v>CURSO DE CAPACITAÇÃO PARA ENGENHEIRO CIVIL SENIOR (ENCARGOS COMPLEMENTARES) - MENSALISTA</v>
          </cell>
          <cell r="C7057" t="str">
            <v>MES</v>
          </cell>
          <cell r="D7057">
            <v>179.48</v>
          </cell>
        </row>
        <row r="7058">
          <cell r="A7058" t="str">
            <v>101318</v>
          </cell>
          <cell r="B7058" t="str">
            <v>CURSO DE CAPACITAÇÃO PARA ENGENHEIRO ELETRICISTA (ENCARGOS COMPLEMENTARES) - MENSALISTA</v>
          </cell>
          <cell r="C7058" t="str">
            <v>MES</v>
          </cell>
          <cell r="D7058">
            <v>359.66</v>
          </cell>
        </row>
        <row r="7059">
          <cell r="A7059" t="str">
            <v>101319</v>
          </cell>
          <cell r="B7059" t="str">
            <v>CURSO DE CAPACITAÇÃO PARA ENGENHEIRO SANITARISTA (ENCARGOS COMPLEMENTARES) - MENSALISTA</v>
          </cell>
          <cell r="C7059" t="str">
            <v>MES</v>
          </cell>
          <cell r="D7059">
            <v>51.36</v>
          </cell>
        </row>
        <row r="7060">
          <cell r="A7060" t="str">
            <v>101320</v>
          </cell>
          <cell r="B7060" t="str">
            <v>CURSO DE CAPACITAÇÃO PARA MONTADOR DE MAQUINAS (ENCARGOS COMPLEMENTARES) - MENSALISTA</v>
          </cell>
          <cell r="C7060" t="str">
            <v>MES</v>
          </cell>
          <cell r="D7060">
            <v>26</v>
          </cell>
        </row>
        <row r="7061">
          <cell r="A7061" t="str">
            <v>101322</v>
          </cell>
          <cell r="B7061" t="str">
            <v>CURSO DE CAPACITAÇÃO PARA GESSEIRO (ENCARGOS COMPLEMENTARES) - MENSALISTA</v>
          </cell>
          <cell r="C7061" t="str">
            <v>MES</v>
          </cell>
          <cell r="D7061">
            <v>17.22</v>
          </cell>
        </row>
        <row r="7062">
          <cell r="A7062" t="str">
            <v>101323</v>
          </cell>
          <cell r="B7062" t="str">
            <v>CURSO DE CAPACITAÇÃO PARA IMPERMEABILIZADOR (ENCARGOS COMPLEMENTARES) - MENSALISTA</v>
          </cell>
          <cell r="C7062" t="str">
            <v>MES</v>
          </cell>
          <cell r="D7062">
            <v>39.909999999999997</v>
          </cell>
        </row>
        <row r="7063">
          <cell r="A7063" t="str">
            <v>101324</v>
          </cell>
          <cell r="B7063" t="str">
            <v>CURSO DE CAPACITAÇÃO PARA MOTORISTA DE CAMINHAO-BASCULANTE (ENCARGOS COMPLEMENTARES) - MENSALISTA</v>
          </cell>
          <cell r="C7063" t="str">
            <v>MES</v>
          </cell>
          <cell r="D7063">
            <v>10.16</v>
          </cell>
        </row>
        <row r="7064">
          <cell r="A7064" t="str">
            <v>101325</v>
          </cell>
          <cell r="B7064" t="str">
            <v>CURSO DE CAPACITAÇÃO PARA INSTALADOR DE TUBULAÇÕES (ENCARGOS COMPLEMENTARES) - MENSALISTA</v>
          </cell>
          <cell r="C7064" t="str">
            <v>MES</v>
          </cell>
          <cell r="D7064">
            <v>32.06</v>
          </cell>
        </row>
        <row r="7065">
          <cell r="A7065" t="str">
            <v>101326</v>
          </cell>
          <cell r="B7065" t="str">
            <v>CURSO DE CAPACITAÇÃO PARA JARDINEIRO (ENCARGOS COMPLEMENTARES) - MENSALISTA</v>
          </cell>
          <cell r="C7065" t="str">
            <v>MES</v>
          </cell>
          <cell r="D7065">
            <v>9.85</v>
          </cell>
        </row>
        <row r="7066">
          <cell r="A7066" t="str">
            <v>101327</v>
          </cell>
          <cell r="B7066" t="str">
            <v>CURSO DE CAPACITAÇÃO PARA LEITURISTA OU CADASTRISTA DE REDES DE ÁGUA (ENCARGOS COMPLEMENTARES) - MENSALISTA</v>
          </cell>
          <cell r="C7066" t="str">
            <v>MES</v>
          </cell>
          <cell r="D7066">
            <v>8.23</v>
          </cell>
        </row>
        <row r="7067">
          <cell r="A7067" t="str">
            <v>101328</v>
          </cell>
          <cell r="B7067" t="str">
            <v>CURSO DE CAPACITAÇÃO PARA MOTORISTA DE CAMINHAO-CARRETA (ENCARGOS COMPLEMENTARES) - MENSALISTA</v>
          </cell>
          <cell r="C7067" t="str">
            <v>MES</v>
          </cell>
          <cell r="D7067">
            <v>14.39</v>
          </cell>
        </row>
        <row r="7068">
          <cell r="A7068" t="str">
            <v>101329</v>
          </cell>
          <cell r="B7068" t="str">
            <v>CURSO DE CAPACITAÇÃO PARA MAÇARIQUEIRO (ENCARGOS COMPLEMENTARES) - MENSALISTA</v>
          </cell>
          <cell r="C7068" t="str">
            <v>MES</v>
          </cell>
          <cell r="D7068">
            <v>39.18</v>
          </cell>
        </row>
        <row r="7069">
          <cell r="A7069" t="str">
            <v>101330</v>
          </cell>
          <cell r="B7069" t="str">
            <v>CURSO DE CAPACITAÇÃO PARA MARCENEIRO (ENCARGOS COMPLEMENTARES) - MENSALISTA</v>
          </cell>
          <cell r="C7069" t="str">
            <v>MES</v>
          </cell>
          <cell r="D7069">
            <v>30.86</v>
          </cell>
        </row>
        <row r="7070">
          <cell r="A7070" t="str">
            <v>101331</v>
          </cell>
          <cell r="B7070" t="str">
            <v>CURSO DE CAPACITAÇÃO PARA MARMORISTA / GRANITEIRO (ENCARGOS COMPLEMENTARES) - MENSALISTA</v>
          </cell>
          <cell r="C7070" t="str">
            <v>MES</v>
          </cell>
          <cell r="D7070">
            <v>31.4</v>
          </cell>
        </row>
        <row r="7071">
          <cell r="A7071" t="str">
            <v>101332</v>
          </cell>
          <cell r="B7071" t="str">
            <v>CURSO DE CAPACITAÇÃO PARA MOTORISTA DE CARRO DE PASSEIO (ENCARGOS COMPLEMENTARES) - MENSALISTA</v>
          </cell>
          <cell r="C7071" t="str">
            <v>MES</v>
          </cell>
          <cell r="D7071">
            <v>10.39</v>
          </cell>
        </row>
        <row r="7072">
          <cell r="A7072" t="str">
            <v>101333</v>
          </cell>
          <cell r="B7072" t="str">
            <v>CURSO DE CAPACITAÇÃO PARA MECÂNICO DE EQUIPAMENTOS PESADOS (ENCARGOS COMPLEMENTARES) - MENSALISTA</v>
          </cell>
          <cell r="C7072" t="str">
            <v>MES</v>
          </cell>
          <cell r="D7072">
            <v>24.43</v>
          </cell>
        </row>
        <row r="7073">
          <cell r="A7073" t="str">
            <v>101334</v>
          </cell>
          <cell r="B7073" t="str">
            <v>CURSO DE CAPACITAÇÃO PARA MECÂNICO DE REFRIGERAÇÃO (ENCARGOS COMPLEMENTARES) - MENSALISTA</v>
          </cell>
          <cell r="C7073" t="str">
            <v>MES</v>
          </cell>
          <cell r="D7073">
            <v>53.15</v>
          </cell>
        </row>
        <row r="7074">
          <cell r="A7074" t="str">
            <v>101335</v>
          </cell>
          <cell r="B7074" t="str">
            <v>CURSO DE CAPACITAÇÃO PARA MOTORISTA DE ONIBUS / MICRO-ONIBUS (ENCARGOS COMPLEMENTARES) - MENSALISTA</v>
          </cell>
          <cell r="C7074" t="str">
            <v>MES</v>
          </cell>
          <cell r="D7074">
            <v>12.38</v>
          </cell>
        </row>
        <row r="7075">
          <cell r="A7075" t="str">
            <v>101336</v>
          </cell>
          <cell r="B7075" t="str">
            <v>CURSO DE CAPACITAÇÃO PARA MOTORISTA OPERADOR DE CAMINHAO COM MUNCK (ENCARGOS COMPLEMENTARES) - MENSALISTA</v>
          </cell>
          <cell r="C7075" t="str">
            <v>MES</v>
          </cell>
          <cell r="D7075">
            <v>40.75</v>
          </cell>
        </row>
        <row r="7076">
          <cell r="A7076" t="str">
            <v>101337</v>
          </cell>
          <cell r="B7076" t="str">
            <v>CURSO DE CAPACITAÇÃO PARA NIVELADOR (ENCARGOS COMPLEMENTARES) - MENSALISTA</v>
          </cell>
          <cell r="C7076" t="str">
            <v>MES</v>
          </cell>
          <cell r="D7076">
            <v>13.4</v>
          </cell>
        </row>
        <row r="7077">
          <cell r="A7077" t="str">
            <v>101338</v>
          </cell>
          <cell r="B7077" t="str">
            <v>CURSO DE CAPACITAÇÃO PARA OPERADOR DE BATE-ESTACAS (ENCARGOS COMPLEMENTARES) - MENSALISTA</v>
          </cell>
          <cell r="C7077" t="str">
            <v>MES</v>
          </cell>
          <cell r="D7077">
            <v>21.7</v>
          </cell>
        </row>
        <row r="7078">
          <cell r="A7078" t="str">
            <v>101339</v>
          </cell>
          <cell r="B7078" t="str">
            <v>CURSO DE CAPACITAÇÃO PARA OPERADOR DE BETONEIRA (ENCARGOS COMPLEMENTARES) - MENSALISTA</v>
          </cell>
          <cell r="C7078" t="str">
            <v>MES</v>
          </cell>
          <cell r="D7078">
            <v>15.99</v>
          </cell>
        </row>
        <row r="7079">
          <cell r="A7079" t="str">
            <v>101340</v>
          </cell>
          <cell r="B7079" t="str">
            <v>CURSO DE CAPACITAÇÃO PARA OPERADOR DE BETONEIRA ESTACIONARIA / MISTURADOR (ENCARGOS COMPLEMENTARES) - MENSALISTA</v>
          </cell>
          <cell r="C7079" t="str">
            <v>MES</v>
          </cell>
          <cell r="D7079">
            <v>15.43</v>
          </cell>
        </row>
        <row r="7080">
          <cell r="A7080" t="str">
            <v>101341</v>
          </cell>
          <cell r="B7080" t="str">
            <v>CURSO DE CAPACITAÇÃO PARA OPERADOR DE COMPRESSOR DE AR OU COMPRESSORISTA (ENCARGOS COMPLEMENTARES) - MENSALISTA</v>
          </cell>
          <cell r="C7080" t="str">
            <v>MES</v>
          </cell>
          <cell r="D7080">
            <v>18.670000000000002</v>
          </cell>
        </row>
        <row r="7081">
          <cell r="A7081" t="str">
            <v>101342</v>
          </cell>
          <cell r="B7081" t="str">
            <v>CURSO DE CAPACITAÇÃO PARA OPERADOR DE DEMARCADORA DE FAIXAS DE TRAFEGO (ENCARGOS COMPLEMENTARES) - MENSALISTA</v>
          </cell>
          <cell r="C7081" t="str">
            <v>MES</v>
          </cell>
          <cell r="D7081">
            <v>19.68</v>
          </cell>
        </row>
        <row r="7082">
          <cell r="A7082" t="str">
            <v>101343</v>
          </cell>
          <cell r="B7082" t="str">
            <v>CURSO DE CAPACITAÇÃO PARA OPERADOR DE ESCAVADEIRA (ENCARGOS COMPLEMENTARES) - MENSALISTA</v>
          </cell>
          <cell r="C7082" t="str">
            <v>MES</v>
          </cell>
          <cell r="D7082">
            <v>30.01</v>
          </cell>
        </row>
        <row r="7083">
          <cell r="A7083" t="str">
            <v>101344</v>
          </cell>
          <cell r="B7083" t="str">
            <v>CURSO DE CAPACITAÇÃO PARA OPERADOR DE GUINCHO OU GUINCHEIRO (ENCARGOS COMPLEMENTARES) - MENSALISTA</v>
          </cell>
          <cell r="C7083" t="str">
            <v>MES</v>
          </cell>
          <cell r="D7083">
            <v>33.86</v>
          </cell>
        </row>
        <row r="7084">
          <cell r="A7084" t="str">
            <v>101345</v>
          </cell>
          <cell r="B7084" t="str">
            <v>CURSO DE CAPACITAÇÃO PARA OPERADOR DE GUINDASTE (ENCARGOS COMPLEMENTARES) - MENSALISTA</v>
          </cell>
          <cell r="C7084" t="str">
            <v>MES</v>
          </cell>
          <cell r="D7084">
            <v>63.18</v>
          </cell>
        </row>
        <row r="7085">
          <cell r="A7085" t="str">
            <v>101346</v>
          </cell>
          <cell r="B7085" t="str">
            <v>CURSO DE CAPACITAÇÃO PARA OPERADOR DE JATO ABRASIVO OU JATISTA (ENCARGOS COMPLEMENTARES) - MENSALISTA</v>
          </cell>
          <cell r="C7085" t="str">
            <v>MES</v>
          </cell>
          <cell r="D7085">
            <v>26.87</v>
          </cell>
        </row>
        <row r="7086">
          <cell r="A7086" t="str">
            <v>101347</v>
          </cell>
          <cell r="B7086" t="str">
            <v>CURSO DE CAPACITAÇÃO PARA OPERADOR DE MAQUINAS E TRATORES DIVERSOS (ENCARGOS COMPLEMENTARES) - MENSALISTA</v>
          </cell>
          <cell r="C7086" t="str">
            <v>MES</v>
          </cell>
          <cell r="D7086">
            <v>28.4</v>
          </cell>
        </row>
        <row r="7087">
          <cell r="A7087" t="str">
            <v>101348</v>
          </cell>
          <cell r="B7087" t="str">
            <v>CURSO DE CAPACITAÇÃO PARA OPERADOR DE MARTELETE OU MARTELETEIRO (ENCARGOS COMPLEMENTARES) - MENSALISTA</v>
          </cell>
          <cell r="C7087" t="str">
            <v>MES</v>
          </cell>
          <cell r="D7087">
            <v>10.06</v>
          </cell>
        </row>
        <row r="7088">
          <cell r="A7088" t="str">
            <v>101349</v>
          </cell>
          <cell r="B7088" t="str">
            <v>CURSO DE CAPACITAÇÃO PARA OPERADOR DE MOTO SCRAPER (ENCARGOS COMPLEMENTARES) - MENSALISTA</v>
          </cell>
          <cell r="C7088" t="str">
            <v>MES</v>
          </cell>
          <cell r="D7088">
            <v>20.010000000000002</v>
          </cell>
        </row>
        <row r="7089">
          <cell r="A7089" t="str">
            <v>101350</v>
          </cell>
          <cell r="B7089" t="str">
            <v>CURSO DE CAPACITAÇÃO PARA OPERADOR DE MOTONIVELADORA (ENCARGOS COMPLEMENTARES) - MENSALISTA</v>
          </cell>
          <cell r="C7089" t="str">
            <v>MES</v>
          </cell>
          <cell r="D7089">
            <v>24.55</v>
          </cell>
        </row>
        <row r="7090">
          <cell r="A7090" t="str">
            <v>101351</v>
          </cell>
          <cell r="B7090" t="str">
            <v>CURSO DE CAPACITAÇÃO PARA OPERADOR DE PA CARREGADEIRA (ENCARGOS COMPLEMENTARES) - MENSALISTA</v>
          </cell>
          <cell r="C7090" t="str">
            <v>MES</v>
          </cell>
          <cell r="D7090">
            <v>19.3</v>
          </cell>
        </row>
        <row r="7091">
          <cell r="A7091" t="str">
            <v>101352</v>
          </cell>
          <cell r="B7091" t="str">
            <v>CURSO DE CAPACITAÇÃO PARA OPERADOR DE PAVIMENTADORA / MESA VIBROACABADORA (ENCARGOS COMPLEMENTARES) - MENSALISTA</v>
          </cell>
          <cell r="C7091" t="str">
            <v>MES</v>
          </cell>
          <cell r="D7091">
            <v>20.66</v>
          </cell>
        </row>
        <row r="7092">
          <cell r="A7092" t="str">
            <v>101353</v>
          </cell>
          <cell r="B7092" t="str">
            <v>CURSO DE CAPACITAÇÃO PARA OPERADOR DE ROLO COMPACTADOR (ENCARGOS COMPLEMENTARES) - MENSALISTA</v>
          </cell>
          <cell r="C7092" t="str">
            <v>MES</v>
          </cell>
          <cell r="D7092">
            <v>15.56</v>
          </cell>
        </row>
        <row r="7093">
          <cell r="A7093" t="str">
            <v>101354</v>
          </cell>
          <cell r="B7093" t="str">
            <v>CURSO DE CAPACITAÇÃO PARA OPERADOR DE TRATOR - EXCLUSIVE AGROPECUARIA (ENCARGOS COMPLEMENTARES) - MENSALISTA</v>
          </cell>
          <cell r="C7093" t="str">
            <v>MES</v>
          </cell>
          <cell r="D7093">
            <v>31.35</v>
          </cell>
        </row>
        <row r="7094">
          <cell r="A7094" t="str">
            <v>101355</v>
          </cell>
          <cell r="B7094" t="str">
            <v>CURSO DE CAPACITAÇÃO PARA OPERADOR DE USINA DE ASFALTO, DE SOLOS OU DE CONCRETO (ENCARGOS COMPLEMENTARES) - MENSALISTA</v>
          </cell>
          <cell r="C7094" t="str">
            <v>MES</v>
          </cell>
          <cell r="D7094">
            <v>17.739999999999998</v>
          </cell>
        </row>
        <row r="7095">
          <cell r="A7095" t="str">
            <v>101356</v>
          </cell>
          <cell r="B7095" t="str">
            <v>CURSO DE CAPACITAÇÃO PARA PASTILHEIRO (ENCARGOS COMPLEMENTARES) - MENSALISTA</v>
          </cell>
          <cell r="C7095" t="str">
            <v>MES</v>
          </cell>
          <cell r="D7095">
            <v>31.4</v>
          </cell>
        </row>
        <row r="7096">
          <cell r="A7096" t="str">
            <v>101357</v>
          </cell>
          <cell r="B7096" t="str">
            <v>CURSO DE CAPACITAÇÃO PARA PEDREIRO (ENCARGOS COMPLEMENTARES) - MENSALISTA</v>
          </cell>
          <cell r="C7096" t="str">
            <v>MES</v>
          </cell>
          <cell r="D7096">
            <v>43.01</v>
          </cell>
        </row>
        <row r="7097">
          <cell r="A7097" t="str">
            <v>101358</v>
          </cell>
          <cell r="B7097" t="str">
            <v>CURSO DE CAPACITAÇÃO PARA PINTOR (ENCARGOS COMPLEMENTARES) - MENSALISTA</v>
          </cell>
          <cell r="C7097" t="str">
            <v>MES</v>
          </cell>
          <cell r="D7097">
            <v>30.05</v>
          </cell>
        </row>
        <row r="7098">
          <cell r="A7098" t="str">
            <v>101359</v>
          </cell>
          <cell r="B7098" t="str">
            <v>CURSO DE CAPACITAÇÃO PARA PINTOR DE LETREIROS (ENCARGOS COMPLEMENTARES) - MENSALISTA</v>
          </cell>
          <cell r="C7098" t="str">
            <v>MES</v>
          </cell>
          <cell r="D7098">
            <v>39.6</v>
          </cell>
        </row>
        <row r="7099">
          <cell r="A7099" t="str">
            <v>101360</v>
          </cell>
          <cell r="B7099" t="str">
            <v>CURSO DE CAPACITAÇÃO PARA PINTOR PARA TINTA EPOXI (ENCARGOS COMPLEMENTARES) - MENSALISTA</v>
          </cell>
          <cell r="C7099" t="str">
            <v>MES</v>
          </cell>
          <cell r="D7099">
            <v>32.32</v>
          </cell>
        </row>
        <row r="7100">
          <cell r="A7100" t="str">
            <v>101361</v>
          </cell>
          <cell r="B7100" t="str">
            <v>CURSO DE CAPACITAÇÃO PARA POCEIRO / ESCAVADOR DE VALAS E TUBULOES (ENCARGOS COMPLEMENTARES) - MENSALISTA</v>
          </cell>
          <cell r="C7100" t="str">
            <v>MES</v>
          </cell>
          <cell r="D7100">
            <v>41.16</v>
          </cell>
        </row>
        <row r="7101">
          <cell r="A7101" t="str">
            <v>101362</v>
          </cell>
          <cell r="B7101" t="str">
            <v>CURSO DE CAPACITAÇÃO PARA RASTELEIRO (ENCARGOS COMPLEMENTARES) - MENSALISTA</v>
          </cell>
          <cell r="C7101" t="str">
            <v>MES</v>
          </cell>
          <cell r="D7101">
            <v>8.49</v>
          </cell>
        </row>
        <row r="7102">
          <cell r="A7102" t="str">
            <v>101363</v>
          </cell>
          <cell r="B7102" t="str">
            <v>CURSO DE CAPACITAÇÃO PARA SERRALHEIRO (ENCARGOS COMPLEMENTARES) - MENSALISTA</v>
          </cell>
          <cell r="C7102" t="str">
            <v>MES</v>
          </cell>
          <cell r="D7102">
            <v>23.31</v>
          </cell>
        </row>
        <row r="7103">
          <cell r="A7103" t="str">
            <v>101364</v>
          </cell>
          <cell r="B7103" t="str">
            <v>CURSO DE CAPACITAÇÃO PARA SERVENTE DE OBRAS (ENCARGOS COMPLEMENTARES) - MENSALISTA</v>
          </cell>
          <cell r="C7103" t="str">
            <v>MES</v>
          </cell>
          <cell r="D7103">
            <v>27.12</v>
          </cell>
        </row>
        <row r="7104">
          <cell r="A7104" t="str">
            <v>101365</v>
          </cell>
          <cell r="B7104" t="str">
            <v>CURSO DE CAPACITAÇÃO PARA SOLDADOR (ENCARGOS COMPLEMENTARES) - MENSALISTA</v>
          </cell>
          <cell r="C7104" t="str">
            <v>MES</v>
          </cell>
          <cell r="D7104">
            <v>26.62</v>
          </cell>
        </row>
        <row r="7105">
          <cell r="A7105" t="str">
            <v>101366</v>
          </cell>
          <cell r="B7105" t="str">
            <v>CURSO DE CAPACITAÇÃO PARA SOLDADOR ELETRICO (ENCARGOS COMPLEMENTARES) - MENSALISTA</v>
          </cell>
          <cell r="C7105" t="str">
            <v>MES</v>
          </cell>
          <cell r="D7105">
            <v>29</v>
          </cell>
        </row>
        <row r="7106">
          <cell r="A7106" t="str">
            <v>101367</v>
          </cell>
          <cell r="B7106" t="str">
            <v>CURSO DE CAPACITAÇÃO PARA TAQUEADOR OU TAQUEIRO (ENCARGOS COMPLEMENTARES) - MENSALISTA</v>
          </cell>
          <cell r="C7106" t="str">
            <v>MES</v>
          </cell>
          <cell r="D7106">
            <v>28.9</v>
          </cell>
        </row>
        <row r="7107">
          <cell r="A7107" t="str">
            <v>101368</v>
          </cell>
          <cell r="B7107" t="str">
            <v>CURSO DE CAPACITAÇÃO PARA TECNICO EM LABORATORIO E CAMPO DE CONSTRUCAO CIVIL (ENCARGOS COMPLEMENTARES) - MENSALISTA</v>
          </cell>
          <cell r="C7107" t="str">
            <v>MES</v>
          </cell>
          <cell r="D7107">
            <v>34.9</v>
          </cell>
        </row>
        <row r="7108">
          <cell r="A7108" t="str">
            <v>101369</v>
          </cell>
          <cell r="B7108" t="str">
            <v>CURSO DE CAPACITAÇÃO PARA TECNICO EM SONDAGEM (ENCARGOS COMPLEMENTARES) - MENSALISTA</v>
          </cell>
          <cell r="C7108" t="str">
            <v>MES</v>
          </cell>
          <cell r="D7108">
            <v>32.659999999999997</v>
          </cell>
        </row>
        <row r="7109">
          <cell r="A7109" t="str">
            <v>101370</v>
          </cell>
          <cell r="B7109" t="str">
            <v>CURSO DE CAPACITAÇÃO PARA TELHADOR (ENCARGOS COMPLEMENTARES) - MENSALISTA</v>
          </cell>
          <cell r="C7109" t="str">
            <v>MES</v>
          </cell>
          <cell r="D7109">
            <v>20.78</v>
          </cell>
        </row>
        <row r="7110">
          <cell r="A7110" t="str">
            <v>101371</v>
          </cell>
          <cell r="B7110" t="str">
            <v>CURSO DE CAPACITAÇÃO PARA VIDRACEIRO (ENCARGOS COMPLEMENTARES) - MENSALISTA</v>
          </cell>
          <cell r="C7110" t="str">
            <v>MES</v>
          </cell>
          <cell r="D7110">
            <v>28.51</v>
          </cell>
        </row>
        <row r="7111">
          <cell r="A7111" t="str">
            <v>101372</v>
          </cell>
          <cell r="B7111" t="str">
            <v>CURSO DE CAPACITAÇÃO PARA VIGIA DIURNO (ENCARGOS COMPLEMENTARES) - MENSALISTA</v>
          </cell>
          <cell r="C7111" t="str">
            <v>H</v>
          </cell>
          <cell r="D7111">
            <v>6.69</v>
          </cell>
        </row>
        <row r="7112">
          <cell r="A7112" t="str">
            <v>101373</v>
          </cell>
          <cell r="B7112" t="str">
            <v>ENGENHEIRO CIVIL SENIOR COM ENCARGOS COMPLEMENTARES</v>
          </cell>
          <cell r="C7112" t="str">
            <v>MES</v>
          </cell>
          <cell r="D7112">
            <v>146.63999999999999</v>
          </cell>
        </row>
        <row r="7113">
          <cell r="A7113" t="str">
            <v>101374</v>
          </cell>
          <cell r="B7113" t="str">
            <v>AJUDANTE DE ARMADOR COM ENCARGOS COMPLEMENTARES</v>
          </cell>
          <cell r="C7113" t="str">
            <v>MES</v>
          </cell>
          <cell r="D7113">
            <v>3487.46</v>
          </cell>
        </row>
        <row r="7114">
          <cell r="A7114" t="str">
            <v>101375</v>
          </cell>
          <cell r="B7114" t="str">
            <v>AJUDANTE DE ELETRICISTA COM ENCARGOS COMPLEMENTARES</v>
          </cell>
          <cell r="C7114" t="str">
            <v>MES</v>
          </cell>
          <cell r="D7114">
            <v>3698.43</v>
          </cell>
        </row>
        <row r="7115">
          <cell r="A7115" t="str">
            <v>101376</v>
          </cell>
          <cell r="B7115" t="str">
            <v>AJUDANTE DE ESTRUTURAS METÁLICAS COM ENCARGOS COMPLEMENTARES</v>
          </cell>
          <cell r="C7115" t="str">
            <v>MES</v>
          </cell>
          <cell r="D7115">
            <v>3669.25</v>
          </cell>
        </row>
        <row r="7116">
          <cell r="A7116" t="str">
            <v>101377</v>
          </cell>
          <cell r="B7116" t="str">
            <v>AJUDANTE DE OPERAÇÃO EM GERAL COM ENCARGOS COMPLEMENTARES</v>
          </cell>
          <cell r="C7116" t="str">
            <v>MES</v>
          </cell>
          <cell r="D7116">
            <v>3567.66</v>
          </cell>
        </row>
        <row r="7117">
          <cell r="A7117" t="str">
            <v>101378</v>
          </cell>
          <cell r="B7117" t="str">
            <v>AJUDANTE DE PINTOR COM ENCARGOS COMPLEMENTARES</v>
          </cell>
          <cell r="C7117" t="str">
            <v>MES</v>
          </cell>
          <cell r="D7117">
            <v>3804.07</v>
          </cell>
        </row>
        <row r="7118">
          <cell r="A7118" t="str">
            <v>101379</v>
          </cell>
          <cell r="B7118" t="str">
            <v>AJUDANTE DE SERRALHEIRO COM ENCARGOS COMPLEMENTARES</v>
          </cell>
          <cell r="C7118" t="str">
            <v>MES</v>
          </cell>
          <cell r="D7118">
            <v>3654.95</v>
          </cell>
        </row>
        <row r="7119">
          <cell r="A7119" t="str">
            <v>101380</v>
          </cell>
          <cell r="B7119" t="str">
            <v>AJUDANTE ESPECIALIZADO COM ENCARGOS COMPLEMENTARES</v>
          </cell>
          <cell r="C7119" t="str">
            <v>MES</v>
          </cell>
          <cell r="D7119">
            <v>3865.22</v>
          </cell>
        </row>
        <row r="7120">
          <cell r="A7120" t="str">
            <v>101381</v>
          </cell>
          <cell r="B7120" t="str">
            <v>ARMADOR COM ENCARGOS COMPLEMENTARES</v>
          </cell>
          <cell r="C7120" t="str">
            <v>MES</v>
          </cell>
          <cell r="D7120">
            <v>4487.63</v>
          </cell>
        </row>
        <row r="7121">
          <cell r="A7121" t="str">
            <v>101382</v>
          </cell>
          <cell r="B7121" t="str">
            <v>ASSENTADOR DE MANILHAS COM ENCARGOS COMPLEMENTARES</v>
          </cell>
          <cell r="C7121" t="str">
            <v>MES</v>
          </cell>
          <cell r="D7121">
            <v>5009.41</v>
          </cell>
        </row>
        <row r="7122">
          <cell r="A7122" t="str">
            <v>101383</v>
          </cell>
          <cell r="B7122" t="str">
            <v>AUXILIAR DE AZULEJISTA COM ENCARGOS COMPLEMENTARES</v>
          </cell>
          <cell r="C7122" t="str">
            <v>MES</v>
          </cell>
          <cell r="D7122">
            <v>3596.05</v>
          </cell>
        </row>
        <row r="7123">
          <cell r="A7123" t="str">
            <v>101384</v>
          </cell>
          <cell r="B7123" t="str">
            <v>AUXILIAR DE ENCANADOR OU BOMBEIRO HIDRÁULICO COM ENCARGOS COMPLEMENTARES</v>
          </cell>
          <cell r="C7123" t="str">
            <v>MES</v>
          </cell>
          <cell r="D7123">
            <v>3094.15</v>
          </cell>
        </row>
        <row r="7124">
          <cell r="A7124" t="str">
            <v>101385</v>
          </cell>
          <cell r="B7124" t="str">
            <v>AUXILIAR DE LABORATORISTA DE SOLOS E DE CONCRETO COM ENCARGOS COMPLEMENTARES</v>
          </cell>
          <cell r="C7124" t="str">
            <v>MES</v>
          </cell>
          <cell r="D7124">
            <v>4230.3</v>
          </cell>
        </row>
        <row r="7125">
          <cell r="A7125" t="str">
            <v>101386</v>
          </cell>
          <cell r="B7125" t="str">
            <v>AUXILIAR DE MECÂNICO COM ENCARGOS COMPLEMENTARES</v>
          </cell>
          <cell r="C7125" t="str">
            <v>MES</v>
          </cell>
          <cell r="D7125">
            <v>3740.35</v>
          </cell>
        </row>
        <row r="7126">
          <cell r="A7126" t="str">
            <v>101387</v>
          </cell>
          <cell r="B7126" t="str">
            <v>AUXILIAR DE PEDREIRO COM ENCARGOS COMPLEMENTARES</v>
          </cell>
          <cell r="C7126" t="str">
            <v>MES</v>
          </cell>
          <cell r="D7126">
            <v>3246.36</v>
          </cell>
        </row>
        <row r="7127">
          <cell r="A7127" t="str">
            <v>101388</v>
          </cell>
          <cell r="B7127" t="str">
            <v>AUXILIAR DE SERVIÇOS GERAIS COM ENCARGOS COMPLEMENTARES</v>
          </cell>
          <cell r="C7127" t="str">
            <v>MES</v>
          </cell>
          <cell r="D7127">
            <v>3403.83</v>
          </cell>
        </row>
        <row r="7128">
          <cell r="A7128" t="str">
            <v>101389</v>
          </cell>
          <cell r="B7128" t="str">
            <v>AUXILIAR DE TOPÓGRAFO COM ENCARGOS COMPLEMENTARES</v>
          </cell>
          <cell r="C7128" t="str">
            <v>MES</v>
          </cell>
          <cell r="D7128">
            <v>2391.5500000000002</v>
          </cell>
        </row>
        <row r="7129">
          <cell r="A7129" t="str">
            <v>101390</v>
          </cell>
          <cell r="B7129" t="str">
            <v>AUXILIAR TÉCNICO / ASSISTENTE DE ENGENHARIA COM ENCARGOS COMPLEMENTARES</v>
          </cell>
          <cell r="C7129" t="str">
            <v>MES</v>
          </cell>
          <cell r="D7129">
            <v>6444.58</v>
          </cell>
        </row>
        <row r="7130">
          <cell r="A7130" t="str">
            <v>101391</v>
          </cell>
          <cell r="B7130" t="str">
            <v>AZULEJISTA OU LADRILHEIRO COM ENCARGOS COMPLEMENTARES</v>
          </cell>
          <cell r="C7130" t="str">
            <v>MES</v>
          </cell>
          <cell r="D7130">
            <v>4663.49</v>
          </cell>
        </row>
        <row r="7131">
          <cell r="A7131" t="str">
            <v>101392</v>
          </cell>
          <cell r="B7131" t="str">
            <v>BLASTER, DINAMITADOR OU CABO DE FORÇA COM ENCARGOS COMPLEMENTARES</v>
          </cell>
          <cell r="C7131" t="str">
            <v>MES</v>
          </cell>
          <cell r="D7131">
            <v>4654.6400000000003</v>
          </cell>
        </row>
        <row r="7132">
          <cell r="A7132" t="str">
            <v>101394</v>
          </cell>
          <cell r="B7132" t="str">
            <v>CALCETEIRO COM ENCARGOS COMPLEMENTARES</v>
          </cell>
          <cell r="C7132" t="str">
            <v>MES</v>
          </cell>
          <cell r="D7132">
            <v>4065.35</v>
          </cell>
        </row>
        <row r="7133">
          <cell r="A7133" t="str">
            <v>101395</v>
          </cell>
          <cell r="B7133" t="str">
            <v>CARPINTEIRO AUXILIAR COM ENCARGOS COMPLEMENTARES</v>
          </cell>
          <cell r="C7133" t="str">
            <v>MES</v>
          </cell>
          <cell r="D7133">
            <v>3796.58</v>
          </cell>
        </row>
        <row r="7134">
          <cell r="A7134" t="str">
            <v>101396</v>
          </cell>
          <cell r="B7134" t="str">
            <v>CARPINTEIRO DE ESQUADRIAS COM ENCARGOS COMPLEMENTARES</v>
          </cell>
          <cell r="C7134" t="str">
            <v>MES</v>
          </cell>
          <cell r="D7134">
            <v>3969.74</v>
          </cell>
        </row>
        <row r="7135">
          <cell r="A7135" t="str">
            <v>101397</v>
          </cell>
          <cell r="B7135" t="str">
            <v>CARPINTEIRO DE FORMAS COM ENCARGOS COMPLEMENTARES</v>
          </cell>
          <cell r="C7135" t="str">
            <v>MES</v>
          </cell>
          <cell r="D7135">
            <v>4500.24</v>
          </cell>
        </row>
        <row r="7136">
          <cell r="A7136" t="str">
            <v>101398</v>
          </cell>
          <cell r="B7136" t="str">
            <v>CAVOUQUEIRO OU OPERADOR DE PERFURATRIZ COM ENCARGOS COMPLEMENTARES</v>
          </cell>
          <cell r="C7136" t="str">
            <v>MES</v>
          </cell>
          <cell r="D7136">
            <v>3574.09</v>
          </cell>
        </row>
        <row r="7137">
          <cell r="A7137" t="str">
            <v>101399</v>
          </cell>
          <cell r="B7137" t="str">
            <v>ELETRICISTA COM ENCARGOS COMPLEMENTARES</v>
          </cell>
          <cell r="C7137" t="str">
            <v>MES</v>
          </cell>
          <cell r="D7137">
            <v>4758.03</v>
          </cell>
        </row>
        <row r="7138">
          <cell r="A7138" t="str">
            <v>101400</v>
          </cell>
          <cell r="B7138" t="str">
            <v>ELETRICISTA DE MANUTENÇÃO INDUSTRIAL COM ENCARGOS COMPLEMENTARES</v>
          </cell>
          <cell r="C7138" t="str">
            <v>MES</v>
          </cell>
          <cell r="D7138">
            <v>5121.8</v>
          </cell>
        </row>
        <row r="7139">
          <cell r="A7139" t="str">
            <v>101401</v>
          </cell>
          <cell r="B7139" t="str">
            <v>ELETROTÉCNICO COM ENCARGOS COMPLEMENTARES</v>
          </cell>
          <cell r="C7139" t="str">
            <v>MES</v>
          </cell>
          <cell r="D7139">
            <v>5455.4</v>
          </cell>
        </row>
        <row r="7140">
          <cell r="A7140" t="str">
            <v>101402</v>
          </cell>
          <cell r="B7140" t="str">
            <v>ENCANADOR OU BOMBEIRO HIDRÁULICO COM ENCARGOS COMPLEMENTARES</v>
          </cell>
          <cell r="C7140" t="str">
            <v>MES</v>
          </cell>
          <cell r="D7140">
            <v>3923.15</v>
          </cell>
        </row>
        <row r="7141">
          <cell r="A7141" t="str">
            <v>101403</v>
          </cell>
          <cell r="B7141" t="str">
            <v>ENGENHEIRO CIVIL SENIOR COM ENCARGOS COMPLEMENTARES</v>
          </cell>
          <cell r="C7141" t="str">
            <v>MES</v>
          </cell>
          <cell r="D7141">
            <v>25748.76</v>
          </cell>
        </row>
        <row r="7142">
          <cell r="A7142" t="str">
            <v>101404</v>
          </cell>
          <cell r="B7142" t="str">
            <v>ENGENHEIRO ELETRICISTA COM ENCARGOS COMPLEMENTARES</v>
          </cell>
          <cell r="C7142" t="str">
            <v>MES</v>
          </cell>
          <cell r="D7142">
            <v>17776.09</v>
          </cell>
        </row>
        <row r="7143">
          <cell r="A7143" t="str">
            <v>101405</v>
          </cell>
          <cell r="B7143" t="str">
            <v>ENGENHEIRO SANITARISTA COM ENCARGOS COMPLEMENTARES</v>
          </cell>
          <cell r="C7143" t="str">
            <v>MES</v>
          </cell>
          <cell r="D7143">
            <v>16911.5</v>
          </cell>
        </row>
        <row r="7144">
          <cell r="A7144" t="str">
            <v>101407</v>
          </cell>
          <cell r="B7144" t="str">
            <v>GESSEIRO COM ENCARGOS COMPLEMENTARES</v>
          </cell>
          <cell r="C7144" t="str">
            <v>MES</v>
          </cell>
          <cell r="D7144">
            <v>3623.58</v>
          </cell>
        </row>
        <row r="7145">
          <cell r="A7145" t="str">
            <v>101408</v>
          </cell>
          <cell r="B7145" t="str">
            <v>IMPERMEABILIZADOR COM ENCARGOS COMPLEMENTARES</v>
          </cell>
          <cell r="C7145" t="str">
            <v>MES</v>
          </cell>
          <cell r="D7145">
            <v>4267.3500000000004</v>
          </cell>
        </row>
        <row r="7146">
          <cell r="A7146" t="str">
            <v>101409</v>
          </cell>
          <cell r="B7146" t="str">
            <v>INSTALADOR DE TUBULAÇÕES COM ENCARGOS COMPLEMENTARES</v>
          </cell>
          <cell r="C7146" t="str">
            <v>MES</v>
          </cell>
          <cell r="D7146">
            <v>4535.72</v>
          </cell>
        </row>
        <row r="7147">
          <cell r="A7147" t="str">
            <v>101410</v>
          </cell>
          <cell r="B7147" t="str">
            <v>JARDINEIRO COM ENCARGOS COMPLEMENTARES</v>
          </cell>
          <cell r="C7147" t="str">
            <v>MES</v>
          </cell>
          <cell r="D7147">
            <v>4368.75</v>
          </cell>
        </row>
        <row r="7148">
          <cell r="A7148" t="str">
            <v>101411</v>
          </cell>
          <cell r="B7148" t="str">
            <v>LEITURISTA OU CADASTRISTA DE REDES DE ÁGUA COM ENCARGOS COMPLEMENTARES</v>
          </cell>
          <cell r="C7148" t="str">
            <v>MES</v>
          </cell>
          <cell r="D7148">
            <v>2967.32</v>
          </cell>
        </row>
        <row r="7149">
          <cell r="A7149" t="str">
            <v>101412</v>
          </cell>
          <cell r="B7149" t="str">
            <v>MAÇARIQUEIRO COM ENCARGOS COMPLEMENTARES</v>
          </cell>
          <cell r="C7149" t="str">
            <v>MES</v>
          </cell>
          <cell r="D7149">
            <v>4904.88</v>
          </cell>
        </row>
        <row r="7150">
          <cell r="A7150" t="str">
            <v>101413</v>
          </cell>
          <cell r="B7150" t="str">
            <v>MARCENEIRO COM ENCARGOS COMPLEMENTARES</v>
          </cell>
          <cell r="C7150" t="str">
            <v>MES</v>
          </cell>
          <cell r="D7150">
            <v>4581</v>
          </cell>
        </row>
        <row r="7151">
          <cell r="A7151" t="str">
            <v>101414</v>
          </cell>
          <cell r="B7151" t="str">
            <v>MARMORISTA / GRANITEIRO COM ENCARGOS COMPLEMENTARES</v>
          </cell>
          <cell r="C7151" t="str">
            <v>MES</v>
          </cell>
          <cell r="D7151">
            <v>4662.53</v>
          </cell>
        </row>
        <row r="7152">
          <cell r="A7152" t="str">
            <v>101415</v>
          </cell>
          <cell r="B7152" t="str">
            <v>MECÂNICO DE EQUIPAMENTOS PESADOS COM ENCARGOS COMPLEMENTARES</v>
          </cell>
          <cell r="C7152" t="str">
            <v>MES</v>
          </cell>
          <cell r="D7152">
            <v>5795.73</v>
          </cell>
        </row>
        <row r="7153">
          <cell r="A7153" t="str">
            <v>101416</v>
          </cell>
          <cell r="B7153" t="str">
            <v>MECÂNICO DE REFRIGERAÇÃO COM ENCARGOS COMPLEMENTARES</v>
          </cell>
          <cell r="C7153" t="str">
            <v>MES</v>
          </cell>
          <cell r="D7153">
            <v>4346.3599999999997</v>
          </cell>
        </row>
        <row r="7154">
          <cell r="A7154" t="str">
            <v>101417</v>
          </cell>
          <cell r="B7154" t="str">
            <v>MONTADOR DE ELETROELETRÔNICO COM ENCARGOS COMPLEMENTARES</v>
          </cell>
          <cell r="C7154" t="str">
            <v>MES</v>
          </cell>
          <cell r="D7154">
            <v>4425.01</v>
          </cell>
        </row>
        <row r="7155">
          <cell r="A7155" t="str">
            <v>101418</v>
          </cell>
          <cell r="B7155" t="str">
            <v>MONTADOR DE ESTRUTURAS METÁLICAS COM ENCARGOS COMPLEMENTARES</v>
          </cell>
          <cell r="C7155" t="str">
            <v>MES</v>
          </cell>
          <cell r="D7155">
            <v>4646.26</v>
          </cell>
        </row>
        <row r="7156">
          <cell r="A7156" t="str">
            <v>101419</v>
          </cell>
          <cell r="B7156" t="str">
            <v>MONTADOR DE MÁQUINAS COM ENCARGOS COMPLEMENTARES</v>
          </cell>
          <cell r="C7156" t="str">
            <v>MES</v>
          </cell>
          <cell r="D7156">
            <v>6310.72</v>
          </cell>
        </row>
        <row r="7157">
          <cell r="A7157" t="str">
            <v>101420</v>
          </cell>
          <cell r="B7157" t="str">
            <v>MOTORISTA DE CAMINHÃO BASCULANTE COM ENCARGOS COMPLEMENTARES</v>
          </cell>
          <cell r="C7157" t="str">
            <v>MES</v>
          </cell>
          <cell r="D7157">
            <v>4270.5200000000004</v>
          </cell>
        </row>
        <row r="7158">
          <cell r="A7158" t="str">
            <v>101421</v>
          </cell>
          <cell r="B7158" t="str">
            <v>MOTORISTA DE CAMINHÃO CARRETA COM ENCARGOS COMPLEMENTARES</v>
          </cell>
          <cell r="C7158" t="str">
            <v>MES</v>
          </cell>
          <cell r="D7158">
            <v>5638.75</v>
          </cell>
        </row>
        <row r="7159">
          <cell r="A7159" t="str">
            <v>101422</v>
          </cell>
          <cell r="B7159" t="str">
            <v>MOTORISTA DE CARRO DE PASSEIO COM ENCARGOS COMPLEMENTARES</v>
          </cell>
          <cell r="C7159" t="str">
            <v>MES</v>
          </cell>
          <cell r="D7159">
            <v>4342.84</v>
          </cell>
        </row>
        <row r="7160">
          <cell r="A7160" t="str">
            <v>101423</v>
          </cell>
          <cell r="B7160" t="str">
            <v>MOTORISTA DE ÔNIBUS / MICRO-ÔNIBUS COM ENCARGOS COMPLEMENTARES</v>
          </cell>
          <cell r="C7160" t="str">
            <v>MES</v>
          </cell>
          <cell r="D7160">
            <v>4988.51</v>
          </cell>
        </row>
        <row r="7161">
          <cell r="A7161" t="str">
            <v>101424</v>
          </cell>
          <cell r="B7161" t="str">
            <v>MOTORISTA OPERADOR DE CAMINHÃO COM MUNCK COM ENCARGOS COMPLEMENTARES</v>
          </cell>
          <cell r="C7161" t="str">
            <v>MES</v>
          </cell>
          <cell r="D7161">
            <v>5055.7</v>
          </cell>
        </row>
        <row r="7162">
          <cell r="A7162" t="str">
            <v>101425</v>
          </cell>
          <cell r="B7162" t="str">
            <v>NIVELADOR  COM ENCARGOS COMPLEMENTARES</v>
          </cell>
          <cell r="C7162" t="str">
            <v>MES</v>
          </cell>
          <cell r="D7162">
            <v>2936.24</v>
          </cell>
        </row>
        <row r="7163">
          <cell r="A7163" t="str">
            <v>101426</v>
          </cell>
          <cell r="B7163" t="str">
            <v>OPERADOR DE BATE-ESTACA COM ENCARGOS COMPLEMENTARES</v>
          </cell>
          <cell r="C7163" t="str">
            <v>MES</v>
          </cell>
          <cell r="D7163">
            <v>5256.63</v>
          </cell>
        </row>
        <row r="7164">
          <cell r="A7164" t="str">
            <v>101427</v>
          </cell>
          <cell r="B7164" t="str">
            <v>OPERADOR DE BETONEIRA (CAMINHÃO) COM ENCARGOS COMPLEMENTARES</v>
          </cell>
          <cell r="C7164" t="str">
            <v>MES</v>
          </cell>
          <cell r="D7164">
            <v>4131.62</v>
          </cell>
        </row>
        <row r="7165">
          <cell r="A7165" t="str">
            <v>101428</v>
          </cell>
          <cell r="B7165" t="str">
            <v>OPERADOR DE BETONEIRA ESTACIONÁRIA COM ENCARGOS COMPLEMENTARES</v>
          </cell>
          <cell r="C7165" t="str">
            <v>MES</v>
          </cell>
          <cell r="D7165">
            <v>4021.4</v>
          </cell>
        </row>
        <row r="7166">
          <cell r="A7166" t="str">
            <v>101429</v>
          </cell>
          <cell r="B7166" t="str">
            <v>OPERADOR DE COMPRESSOR DE AR OU COMPRESSORISTA COM ENCARGOS COMPLEMENTARES</v>
          </cell>
          <cell r="C7166" t="str">
            <v>MES</v>
          </cell>
          <cell r="D7166">
            <v>4660.32</v>
          </cell>
        </row>
        <row r="7167">
          <cell r="A7167" t="str">
            <v>101430</v>
          </cell>
          <cell r="B7167" t="str">
            <v>OPERADOR DE DEMARCADORA DE FAIXAS DE TRÁFEGO COM ENCARGOS COMPLEMENTARES</v>
          </cell>
          <cell r="C7167" t="str">
            <v>MES</v>
          </cell>
          <cell r="D7167">
            <v>4858.9799999999996</v>
          </cell>
        </row>
        <row r="7168">
          <cell r="A7168" t="str">
            <v>101431</v>
          </cell>
          <cell r="B7168" t="str">
            <v>OPERADOR DE ESCAVADEIRA COM ENCARGOS COMPLEMENTARES</v>
          </cell>
          <cell r="C7168" t="str">
            <v>MES</v>
          </cell>
          <cell r="D7168">
            <v>5237.7299999999996</v>
          </cell>
        </row>
        <row r="7169">
          <cell r="A7169" t="str">
            <v>101432</v>
          </cell>
          <cell r="B7169" t="str">
            <v>OPERADOR DE GUINCHO OU GUINCHEIRO COM ENCARGOS COMPLEMENTARES</v>
          </cell>
          <cell r="C7169" t="str">
            <v>MES</v>
          </cell>
          <cell r="D7169">
            <v>4366.3100000000004</v>
          </cell>
        </row>
        <row r="7170">
          <cell r="A7170" t="str">
            <v>101433</v>
          </cell>
          <cell r="B7170" t="str">
            <v>OPERADOR DE GUINDASTE COM ENCARGOS COMPLEMENTARES</v>
          </cell>
          <cell r="C7170" t="str">
            <v>MES</v>
          </cell>
          <cell r="D7170">
            <v>7298.85</v>
          </cell>
        </row>
        <row r="7171">
          <cell r="A7171" t="str">
            <v>101434</v>
          </cell>
          <cell r="B7171" t="str">
            <v>OPERADOR DE JATO ABRASIVO OU JATISTA COM ENCARGOS COMPLEMENTARES</v>
          </cell>
          <cell r="C7171" t="str">
            <v>MES</v>
          </cell>
          <cell r="D7171">
            <v>4791.6000000000004</v>
          </cell>
        </row>
        <row r="7172">
          <cell r="A7172" t="str">
            <v>101435</v>
          </cell>
          <cell r="B7172" t="str">
            <v>OPERADOR DE MÁQUINAS E TRATORES DIVERSOS COM ENCARGOS COMPLEMENTARES</v>
          </cell>
          <cell r="C7172" t="str">
            <v>MES</v>
          </cell>
          <cell r="D7172">
            <v>5008.32</v>
          </cell>
        </row>
        <row r="7173">
          <cell r="A7173" t="str">
            <v>101436</v>
          </cell>
          <cell r="B7173" t="str">
            <v>OPERADOR DE MARTELETE OU MARTELETEIRO COM ENCARGOS COMPLEMENTARES</v>
          </cell>
          <cell r="C7173" t="str">
            <v>MES</v>
          </cell>
          <cell r="D7173">
            <v>2963.38</v>
          </cell>
        </row>
        <row r="7174">
          <cell r="A7174" t="str">
            <v>101437</v>
          </cell>
          <cell r="B7174" t="str">
            <v>OPERADOR DE MOTO SCRAPER COM ENCARGOS COMPLEMENTARES</v>
          </cell>
          <cell r="C7174" t="str">
            <v>MES</v>
          </cell>
          <cell r="D7174">
            <v>4925.1000000000004</v>
          </cell>
        </row>
        <row r="7175">
          <cell r="A7175" t="str">
            <v>101438</v>
          </cell>
          <cell r="B7175" t="str">
            <v>OPERADOR DE MOTONIVELADORA COM ENCARGOS COMPLEMENTARES</v>
          </cell>
          <cell r="C7175" t="str">
            <v>MES</v>
          </cell>
          <cell r="D7175">
            <v>5819.96</v>
          </cell>
        </row>
        <row r="7176">
          <cell r="A7176" t="str">
            <v>101439</v>
          </cell>
          <cell r="B7176" t="str">
            <v>OPERADOR DE PÁ CARREGADEIRA COM ENCARGOS COMPLEMENTARES</v>
          </cell>
          <cell r="C7176" t="str">
            <v>MES</v>
          </cell>
          <cell r="D7176">
            <v>4785.1899999999996</v>
          </cell>
        </row>
        <row r="7177">
          <cell r="A7177" t="str">
            <v>101440</v>
          </cell>
          <cell r="B7177" t="str">
            <v>OPERADOR DE PAVIMENTADORA / MESA VIBROACABADORA COM ENCARGOS COMPLEMENTARES</v>
          </cell>
          <cell r="C7177" t="str">
            <v>MES</v>
          </cell>
          <cell r="D7177">
            <v>5052.93</v>
          </cell>
        </row>
        <row r="7178">
          <cell r="A7178" t="str">
            <v>101441</v>
          </cell>
          <cell r="B7178" t="str">
            <v>OPERADOR DE ROLO COMPACTADOR COM ENCARGOS COMPLEMENTARES</v>
          </cell>
          <cell r="C7178" t="str">
            <v>MES</v>
          </cell>
          <cell r="D7178">
            <v>4047.04</v>
          </cell>
        </row>
        <row r="7179">
          <cell r="A7179" t="str">
            <v>101442</v>
          </cell>
          <cell r="B7179" t="str">
            <v>OPERADOR DE TRATOR - EXCLUSIVE AGROPECUÁRIA COM ENCARGOS COMPLEMENTARES</v>
          </cell>
          <cell r="C7179" t="str">
            <v>MES</v>
          </cell>
          <cell r="D7179">
            <v>5427.78</v>
          </cell>
        </row>
        <row r="7180">
          <cell r="A7180" t="str">
            <v>101443</v>
          </cell>
          <cell r="B7180" t="str">
            <v>OPERADOR DE USINA DE ASFALTO, DE SOLOS OU DE CONCRETO COM ENCARGOS COMPLEMENTARES</v>
          </cell>
          <cell r="C7180" t="str">
            <v>MES</v>
          </cell>
          <cell r="D7180">
            <v>4477.6499999999996</v>
          </cell>
        </row>
        <row r="7181">
          <cell r="A7181" t="str">
            <v>101444</v>
          </cell>
          <cell r="B7181" t="str">
            <v>PASTILHEIRO COM ENCARGOS COMPLEMENTARES</v>
          </cell>
          <cell r="C7181" t="str">
            <v>MES</v>
          </cell>
          <cell r="D7181">
            <v>4662.54</v>
          </cell>
        </row>
        <row r="7182">
          <cell r="A7182" t="str">
            <v>101445</v>
          </cell>
          <cell r="B7182" t="str">
            <v>PEDREIRO COM ENCARGOS COMPLEMENTARES</v>
          </cell>
          <cell r="C7182" t="str">
            <v>MES</v>
          </cell>
          <cell r="D7182">
            <v>4507.33</v>
          </cell>
        </row>
        <row r="7183">
          <cell r="A7183" t="str">
            <v>101446</v>
          </cell>
          <cell r="B7183" t="str">
            <v>PINTOR COM ENCARGOS COMPLEMENTARES</v>
          </cell>
          <cell r="C7183" t="str">
            <v>MES</v>
          </cell>
          <cell r="D7183">
            <v>4731.18</v>
          </cell>
        </row>
        <row r="7184">
          <cell r="A7184" t="str">
            <v>101447</v>
          </cell>
          <cell r="B7184" t="str">
            <v>PINTOR DE LETREIROS COM ENCARGOS COMPLEMENTARES</v>
          </cell>
          <cell r="C7184" t="str">
            <v>MES</v>
          </cell>
          <cell r="D7184">
            <v>5789.73</v>
          </cell>
        </row>
        <row r="7185">
          <cell r="A7185" t="str">
            <v>101448</v>
          </cell>
          <cell r="B7185" t="str">
            <v>PINTOR PARA TINTA EPÓXI COM ENCARGOS COMPLEMENTARES</v>
          </cell>
          <cell r="C7185" t="str">
            <v>MES</v>
          </cell>
          <cell r="D7185">
            <v>4983.1499999999996</v>
          </cell>
        </row>
        <row r="7186">
          <cell r="A7186" t="str">
            <v>101449</v>
          </cell>
          <cell r="B7186" t="str">
            <v>POCEIRO / ESCAVADOR DE VALAS COM ENCARGOS COMPLEMENTARES</v>
          </cell>
          <cell r="C7186" t="str">
            <v>MES</v>
          </cell>
          <cell r="D7186">
            <v>4163.2</v>
          </cell>
        </row>
        <row r="7187">
          <cell r="A7187" t="str">
            <v>101450</v>
          </cell>
          <cell r="B7187" t="str">
            <v>RASTELEIRO COM ENCARGOS COMPLEMENTARES</v>
          </cell>
          <cell r="C7187" t="str">
            <v>MES</v>
          </cell>
          <cell r="D7187">
            <v>3729.38</v>
          </cell>
        </row>
        <row r="7188">
          <cell r="A7188" t="str">
            <v>101451</v>
          </cell>
          <cell r="B7188" t="str">
            <v>SERRALHEIRO COM ENCARGOS COMPLEMENTARES</v>
          </cell>
          <cell r="C7188" t="str">
            <v>MES</v>
          </cell>
          <cell r="D7188">
            <v>4487.63</v>
          </cell>
        </row>
        <row r="7189">
          <cell r="A7189" t="str">
            <v>101452</v>
          </cell>
          <cell r="B7189" t="str">
            <v>SERVENTE DE OBRAS COM ENCARGOS COMPLEMENTARES</v>
          </cell>
          <cell r="C7189" t="str">
            <v>MES</v>
          </cell>
          <cell r="D7189">
            <v>3256.56</v>
          </cell>
        </row>
        <row r="7190">
          <cell r="A7190" t="str">
            <v>101453</v>
          </cell>
          <cell r="B7190" t="str">
            <v>SOLDADOR COM ENCARGOS COMPLEMENTARES</v>
          </cell>
          <cell r="C7190" t="str">
            <v>MES</v>
          </cell>
          <cell r="D7190">
            <v>5112.21</v>
          </cell>
        </row>
        <row r="7191">
          <cell r="A7191" t="str">
            <v>101454</v>
          </cell>
          <cell r="B7191" t="str">
            <v>SOLDADOR ELÉTRICO COM ENCARGOS COMPLEMENTARES</v>
          </cell>
          <cell r="C7191" t="str">
            <v>MES</v>
          </cell>
          <cell r="D7191">
            <v>5449.4</v>
          </cell>
        </row>
        <row r="7192">
          <cell r="A7192" t="str">
            <v>101455</v>
          </cell>
          <cell r="B7192" t="str">
            <v>TAQUEADOR OU TAQUEIRO COM ENCARGOS COMPLEMENTARES</v>
          </cell>
          <cell r="C7192" t="str">
            <v>MES</v>
          </cell>
          <cell r="D7192">
            <v>5259.21</v>
          </cell>
        </row>
        <row r="7193">
          <cell r="A7193" t="str">
            <v>101456</v>
          </cell>
          <cell r="B7193" t="str">
            <v>TÉCNICO DE LABORATÓRIO E CAMPO DE CONSTRUÇÃO COM ENCARGOS COMPLEMENTARES</v>
          </cell>
          <cell r="C7193" t="str">
            <v>MES</v>
          </cell>
          <cell r="D7193">
            <v>7182.72</v>
          </cell>
        </row>
        <row r="7194">
          <cell r="A7194" t="str">
            <v>101457</v>
          </cell>
          <cell r="B7194" t="str">
            <v>TÉCNICO EM SONDAGEM COM ENCARGOS COMPLEMENTARES</v>
          </cell>
          <cell r="C7194" t="str">
            <v>MES</v>
          </cell>
          <cell r="D7194">
            <v>5613.71</v>
          </cell>
        </row>
        <row r="7195">
          <cell r="A7195" t="str">
            <v>101458</v>
          </cell>
          <cell r="B7195" t="str">
            <v>TELHADOR COM ENCARGOS COMPLEMENTARES</v>
          </cell>
          <cell r="C7195" t="str">
            <v>MES</v>
          </cell>
          <cell r="D7195">
            <v>4107.53</v>
          </cell>
        </row>
        <row r="7196">
          <cell r="A7196" t="str">
            <v>101459</v>
          </cell>
          <cell r="B7196" t="str">
            <v>VIDRACEIRO COM ENCARGOS COMPLEMENTARES</v>
          </cell>
          <cell r="C7196" t="str">
            <v>MES</v>
          </cell>
          <cell r="D7196">
            <v>4342.72</v>
          </cell>
        </row>
        <row r="7197">
          <cell r="A7197" t="str">
            <v>101460</v>
          </cell>
          <cell r="B7197" t="str">
            <v>VIGIA DIURNO COM ENCARGOS COMPLEMENTARES</v>
          </cell>
          <cell r="C7197" t="str">
            <v>MES</v>
          </cell>
          <cell r="D7197">
            <v>3324.23</v>
          </cell>
        </row>
      </sheetData>
      <sheetData sheetId="5"/>
      <sheetData sheetId="6">
        <row r="2">
          <cell r="B2" t="str">
            <v>Urbanização da Orla de Piúma</v>
          </cell>
        </row>
        <row r="3">
          <cell r="F3">
            <v>1.5727</v>
          </cell>
          <cell r="I3">
            <v>0.28220000000000001</v>
          </cell>
        </row>
        <row r="59">
          <cell r="A59" t="str">
            <v xml:space="preserve"> </v>
          </cell>
          <cell r="B59" t="str">
            <v xml:space="preserve"> </v>
          </cell>
        </row>
        <row r="166">
          <cell r="B166" t="str">
            <v xml:space="preserve"> </v>
          </cell>
        </row>
        <row r="175">
          <cell r="B175" t="str">
            <v xml:space="preserve"> </v>
          </cell>
        </row>
      </sheetData>
      <sheetData sheetId="7">
        <row r="9">
          <cell r="F9">
            <v>33.64</v>
          </cell>
        </row>
      </sheetData>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R-ED"/>
      <sheetName val="SINAPI"/>
      <sheetName val="Preço"/>
      <sheetName val="Memória"/>
      <sheetName val="Cronograma"/>
      <sheetName val="Correção IOPES"/>
      <sheetName val="BDI"/>
      <sheetName val="CP-001"/>
      <sheetName val="CP-002"/>
      <sheetName val="CP-003"/>
      <sheetName val="CP-004"/>
      <sheetName val="CP-005"/>
      <sheetName val="CP-006"/>
      <sheetName val="CP-007"/>
      <sheetName val="CP-008"/>
      <sheetName val="CP-009"/>
      <sheetName val="CP-010"/>
      <sheetName val="CP-011"/>
      <sheetName val="CP-012"/>
      <sheetName val="CP-013"/>
      <sheetName val="CP-014"/>
      <sheetName val="CP-015"/>
      <sheetName val="CP-016"/>
      <sheetName val="CP-017"/>
      <sheetName val="CP-018"/>
      <sheetName val="CP-019"/>
      <sheetName val="CP-020"/>
      <sheetName val="CP-021"/>
      <sheetName val="CP-022"/>
      <sheetName val="CP-023"/>
      <sheetName val="CP-024"/>
      <sheetName val="CP-025"/>
      <sheetName val="CP-026"/>
      <sheetName val="CP-027"/>
      <sheetName val="CP-028"/>
      <sheetName val="CP-029"/>
      <sheetName val="CP-030"/>
      <sheetName val="CP-031"/>
      <sheetName val="CP-032"/>
      <sheetName val="CP-033"/>
      <sheetName val="CP-034"/>
      <sheetName val="CP-035"/>
      <sheetName val="CP-036"/>
      <sheetName val="CP-037"/>
      <sheetName val="CP-038"/>
      <sheetName val="CP-039"/>
      <sheetName val="CP-040"/>
      <sheetName val="CP-041"/>
      <sheetName val="CP-042"/>
    </sheetNames>
    <sheetDataSet>
      <sheetData sheetId="0"/>
      <sheetData sheetId="1"/>
      <sheetData sheetId="2">
        <row r="8">
          <cell r="A8">
            <v>1</v>
          </cell>
        </row>
        <row r="20">
          <cell r="A20">
            <v>2</v>
          </cell>
        </row>
        <row r="23">
          <cell r="A23">
            <v>3</v>
          </cell>
        </row>
        <row r="27">
          <cell r="A27">
            <v>4</v>
          </cell>
        </row>
        <row r="33">
          <cell r="A33">
            <v>5</v>
          </cell>
        </row>
        <row r="39">
          <cell r="A39">
            <v>6</v>
          </cell>
        </row>
        <row r="45">
          <cell r="A45">
            <v>7</v>
          </cell>
        </row>
        <row r="49">
          <cell r="A49">
            <v>8</v>
          </cell>
        </row>
        <row r="52">
          <cell r="A52">
            <v>9</v>
          </cell>
        </row>
        <row r="58">
          <cell r="A58">
            <v>10</v>
          </cell>
        </row>
        <row r="66">
          <cell r="A66">
            <v>11</v>
          </cell>
        </row>
        <row r="72">
          <cell r="A72">
            <v>12</v>
          </cell>
        </row>
        <row r="85">
          <cell r="A85">
            <v>13</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NAPI"/>
      <sheetName val="DER-RD"/>
      <sheetName val="DER-ED"/>
      <sheetName val="Resumo"/>
      <sheetName val="Insumos"/>
      <sheetName val="Planilha - Orla"/>
      <sheetName val="Composições"/>
      <sheetName val="Mem - Orla"/>
      <sheetName val="Cron - Orla"/>
      <sheetName val="Comp. - Orla"/>
      <sheetName val="MAPA DE COT. - Orla"/>
      <sheetName val="CURVA ABC - ORLA 01"/>
      <sheetName val="CURVA ABC - ORLA 02"/>
      <sheetName val="QUIOSQUE - MOD 01"/>
      <sheetName val="MEM - QUIOSQUE MOD 01"/>
      <sheetName val="CRON - QUIOSQUE MOD 01"/>
      <sheetName val="QUIOSQUE - MOD 02"/>
      <sheetName val="MEM - QUIOSQUE MOD 02"/>
      <sheetName val="CRON - QUIOSQUE MOD 02"/>
      <sheetName val="QUIOSQUE - MOD 03"/>
      <sheetName val="MEM - QUIOSQUE MOD 03"/>
      <sheetName val="CRON - QUIOSQUE MOD 03"/>
      <sheetName val="QUIOSQUE - MOD 04"/>
      <sheetName val="MEM - QUIOSQUE MOD 04"/>
      <sheetName val="CRON - QUIOSQUE MOD 04"/>
      <sheetName val="QUIOSQUE - MOD 05"/>
      <sheetName val="MEM - QUIOSQUE MOD 05"/>
      <sheetName val="CRON - QUIOSQUE MOD 05"/>
      <sheetName val="COMP. - Quiosque"/>
      <sheetName val="MAPA DE COT. - Quiosque"/>
      <sheetName val="CURVA ABC - QUIOSQUE"/>
      <sheetName val="BDI GER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3">
          <cell r="I3">
            <v>0.28220000000000001</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12">
          <cell r="G112">
            <v>14.31</v>
          </cell>
        </row>
      </sheetData>
      <sheetData sheetId="30" refreshError="1"/>
      <sheetData sheetId="3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 Quiosque"/>
      <sheetName val="Mem - Quiosque"/>
      <sheetName val="Cron - Quiosque"/>
      <sheetName val="COMP. - Quiosque"/>
      <sheetName val="MAPA DE COT. - Quiosque"/>
      <sheetName val="BDI ORLA QUIOSQUE"/>
    </sheetNames>
    <sheetDataSet>
      <sheetData sheetId="0"/>
      <sheetData sheetId="1"/>
      <sheetData sheetId="2"/>
      <sheetData sheetId="3">
        <row r="2975">
          <cell r="C2975" t="str">
            <v>Chuveirão Externo Inox Piscina Campo Praia Ducha Ionizador, inclusive fornecimento e instalação</v>
          </cell>
        </row>
      </sheetData>
      <sheetData sheetId="4">
        <row r="386">
          <cell r="H386">
            <v>1172.9433333333334</v>
          </cell>
        </row>
      </sheetData>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NAPI"/>
      <sheetName val="DER-RD"/>
      <sheetName val="DER-ED"/>
      <sheetName val="Resumo"/>
      <sheetName val="Insumos"/>
      <sheetName val="Planilha - Orla"/>
      <sheetName val="Composições"/>
      <sheetName val="Mem - Orla"/>
      <sheetName val="Comp. - Orla"/>
      <sheetName val="Cron - Orla"/>
      <sheetName val="MAPA DE COT. - Orla"/>
      <sheetName val="CURVA ABC - ORLA 01"/>
      <sheetName val="CURVA ABC - ORLA 02"/>
      <sheetName val="QUIOSQUE - MOD 01"/>
      <sheetName val="MEM - QUIOSQUE MOD 01"/>
      <sheetName val="CRON - QUIOSQUE MOD 01"/>
      <sheetName val="QUIOSQUE - MOD 02"/>
      <sheetName val="MEM - QUIOSQUE MOD 02"/>
      <sheetName val="CRON - QUIOSQUE MOD 02"/>
      <sheetName val="QUIOSQUE - MOD 03"/>
      <sheetName val="MEM - QUIOSQUE MOD 03"/>
      <sheetName val="CRON - QUIOSQUE MOD 03"/>
      <sheetName val="QUIOSQUE - MOD 04"/>
      <sheetName val="MEM - QUIOSQUE MOD 04"/>
      <sheetName val="CRON - QUIOSQUE MOD 04"/>
      <sheetName val="QUIOSQUE - MOD 05"/>
      <sheetName val="MEM - QUIOSQUE MOD 05"/>
      <sheetName val="CRON - QUIOSQUE MOD 05"/>
      <sheetName val="COMP. - Quiosque"/>
      <sheetName val="MAPA DE COT. - Quiosque"/>
      <sheetName val="CURVA ABC - QUIOSQUE"/>
      <sheetName val="BDI GER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4">
          <cell r="I4">
            <v>0.15570000000000001</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756838-BE4E-4C8B-8130-157582037462}">
  <dimension ref="A1:O1432"/>
  <sheetViews>
    <sheetView workbookViewId="0"/>
  </sheetViews>
  <sheetFormatPr defaultColWidth="9.140625" defaultRowHeight="15" x14ac:dyDescent="0.25"/>
  <cols>
    <col min="1" max="1" width="6.42578125" style="136" bestFit="1" customWidth="1"/>
    <col min="2" max="2" width="99.28515625" style="136" customWidth="1"/>
    <col min="3" max="3" width="9.140625" style="136"/>
    <col min="4" max="4" width="10.140625" style="294" customWidth="1"/>
    <col min="5" max="5" width="12.28515625" style="348" customWidth="1"/>
    <col min="6" max="6" width="9.140625" style="136" customWidth="1"/>
    <col min="7" max="7" width="14.7109375" style="294" customWidth="1"/>
    <col min="8" max="9" width="9.140625" style="136"/>
    <col min="10" max="10" width="8.85546875"/>
    <col min="11" max="11" width="9.140625" style="136"/>
    <col min="12" max="12" width="10.5703125" style="136" bestFit="1" customWidth="1"/>
    <col min="13" max="16384" width="9.140625" style="136"/>
  </cols>
  <sheetData>
    <row r="1" spans="1:15" ht="24.75" thickBot="1" x14ac:dyDescent="0.3">
      <c r="A1" s="295" t="s">
        <v>3684</v>
      </c>
      <c r="B1" s="295" t="s">
        <v>3685</v>
      </c>
      <c r="C1" s="295" t="s">
        <v>3686</v>
      </c>
      <c r="D1" s="296" t="s">
        <v>3687</v>
      </c>
      <c r="E1" s="349" t="s">
        <v>3690</v>
      </c>
      <c r="F1" s="295" t="s">
        <v>3688</v>
      </c>
      <c r="G1" s="296" t="s">
        <v>4187</v>
      </c>
      <c r="H1" s="293" t="s">
        <v>3689</v>
      </c>
      <c r="I1" s="291"/>
      <c r="L1" s="136" t="s">
        <v>3691</v>
      </c>
    </row>
    <row r="2" spans="1:15" x14ac:dyDescent="0.25">
      <c r="A2" s="297">
        <v>43339</v>
      </c>
      <c r="B2" s="298" t="s">
        <v>3767</v>
      </c>
      <c r="C2" s="299" t="s">
        <v>2884</v>
      </c>
      <c r="D2" s="300">
        <v>0.77</v>
      </c>
      <c r="E2" s="350">
        <f t="shared" ref="E2:E65" si="0">ROUNDUP(D2/(1+$L$2),2)</f>
        <v>0.63</v>
      </c>
      <c r="F2" s="298" t="s">
        <v>98</v>
      </c>
      <c r="G2" s="301">
        <f>ROUNDUP(E2*$H$2,2)</f>
        <v>0.66</v>
      </c>
      <c r="H2" s="136">
        <v>1.0392965000000001</v>
      </c>
      <c r="L2" s="292">
        <v>0.23319999999999999</v>
      </c>
    </row>
    <row r="3" spans="1:15" x14ac:dyDescent="0.25">
      <c r="A3" s="297">
        <v>41099</v>
      </c>
      <c r="B3" s="298" t="s">
        <v>2859</v>
      </c>
      <c r="C3" s="299" t="s">
        <v>76</v>
      </c>
      <c r="D3" s="300">
        <v>7.09</v>
      </c>
      <c r="E3" s="350">
        <f t="shared" si="0"/>
        <v>5.75</v>
      </c>
      <c r="F3" s="298" t="s">
        <v>98</v>
      </c>
      <c r="G3" s="301">
        <f t="shared" ref="G3:G63" si="1">ROUNDUP(E3*$H$2,2)</f>
        <v>5.98</v>
      </c>
    </row>
    <row r="4" spans="1:15" x14ac:dyDescent="0.25">
      <c r="A4" s="297">
        <v>40224</v>
      </c>
      <c r="B4" s="298" t="s">
        <v>2860</v>
      </c>
      <c r="C4" s="299" t="s">
        <v>76</v>
      </c>
      <c r="D4" s="300">
        <v>3.67</v>
      </c>
      <c r="E4" s="350">
        <f t="shared" si="0"/>
        <v>2.98</v>
      </c>
      <c r="F4" s="298" t="s">
        <v>98</v>
      </c>
      <c r="G4" s="301">
        <f t="shared" si="1"/>
        <v>3.1</v>
      </c>
    </row>
    <row r="5" spans="1:15" x14ac:dyDescent="0.25">
      <c r="A5" s="297">
        <v>40225</v>
      </c>
      <c r="B5" s="298" t="s">
        <v>2861</v>
      </c>
      <c r="C5" s="299" t="s">
        <v>76</v>
      </c>
      <c r="D5" s="300">
        <v>4.74</v>
      </c>
      <c r="E5" s="350">
        <f t="shared" si="0"/>
        <v>3.85</v>
      </c>
      <c r="F5" s="298" t="s">
        <v>98</v>
      </c>
      <c r="G5" s="301">
        <f t="shared" si="1"/>
        <v>4.01</v>
      </c>
    </row>
    <row r="6" spans="1:15" x14ac:dyDescent="0.25">
      <c r="A6" s="297">
        <v>40226</v>
      </c>
      <c r="B6" s="298" t="s">
        <v>2862</v>
      </c>
      <c r="C6" s="299" t="s">
        <v>76</v>
      </c>
      <c r="D6" s="300">
        <v>7.09</v>
      </c>
      <c r="E6" s="350">
        <f t="shared" si="0"/>
        <v>5.75</v>
      </c>
      <c r="F6" s="298" t="s">
        <v>98</v>
      </c>
      <c r="G6" s="301">
        <f t="shared" si="1"/>
        <v>5.98</v>
      </c>
    </row>
    <row r="7" spans="1:15" x14ac:dyDescent="0.25">
      <c r="A7" s="297">
        <v>40229</v>
      </c>
      <c r="B7" s="298" t="s">
        <v>2863</v>
      </c>
      <c r="C7" s="299" t="s">
        <v>76</v>
      </c>
      <c r="D7" s="300">
        <v>7.36</v>
      </c>
      <c r="E7" s="350">
        <f t="shared" si="0"/>
        <v>5.97</v>
      </c>
      <c r="F7" s="298" t="s">
        <v>98</v>
      </c>
      <c r="G7" s="301">
        <f t="shared" si="1"/>
        <v>6.21</v>
      </c>
    </row>
    <row r="8" spans="1:15" x14ac:dyDescent="0.25">
      <c r="A8" s="297">
        <v>43340</v>
      </c>
      <c r="B8" s="298" t="s">
        <v>3782</v>
      </c>
      <c r="C8" s="299" t="s">
        <v>76</v>
      </c>
      <c r="D8" s="300">
        <v>7.63</v>
      </c>
      <c r="E8" s="350">
        <f t="shared" si="0"/>
        <v>6.19</v>
      </c>
      <c r="F8" s="298" t="s">
        <v>98</v>
      </c>
      <c r="G8" s="301">
        <f t="shared" si="1"/>
        <v>6.44</v>
      </c>
    </row>
    <row r="9" spans="1:15" x14ac:dyDescent="0.25">
      <c r="A9" s="297">
        <v>40228</v>
      </c>
      <c r="B9" s="298" t="s">
        <v>2864</v>
      </c>
      <c r="C9" s="299" t="s">
        <v>76</v>
      </c>
      <c r="D9" s="300">
        <v>5.91</v>
      </c>
      <c r="E9" s="350">
        <f t="shared" si="0"/>
        <v>4.8</v>
      </c>
      <c r="F9" s="298" t="s">
        <v>98</v>
      </c>
      <c r="G9" s="301">
        <f t="shared" si="1"/>
        <v>4.99</v>
      </c>
    </row>
    <row r="10" spans="1:15" x14ac:dyDescent="0.25">
      <c r="A10" s="297">
        <v>42227</v>
      </c>
      <c r="B10" s="298" t="s">
        <v>2865</v>
      </c>
      <c r="C10" s="299" t="s">
        <v>76</v>
      </c>
      <c r="D10" s="300">
        <v>5.59</v>
      </c>
      <c r="E10" s="350">
        <f t="shared" si="0"/>
        <v>4.54</v>
      </c>
      <c r="F10" s="298" t="s">
        <v>98</v>
      </c>
      <c r="G10" s="301">
        <f t="shared" si="1"/>
        <v>4.72</v>
      </c>
      <c r="L10" s="1357" t="s">
        <v>4388</v>
      </c>
      <c r="M10" s="1357"/>
      <c r="N10" s="1357"/>
      <c r="O10" s="1357"/>
    </row>
    <row r="11" spans="1:15" x14ac:dyDescent="0.25">
      <c r="A11" s="297">
        <v>40994</v>
      </c>
      <c r="B11" s="298" t="s">
        <v>2866</v>
      </c>
      <c r="C11" s="299" t="s">
        <v>76</v>
      </c>
      <c r="D11" s="300">
        <v>6.37</v>
      </c>
      <c r="E11" s="350">
        <f t="shared" si="0"/>
        <v>5.17</v>
      </c>
      <c r="F11" s="298" t="s">
        <v>98</v>
      </c>
      <c r="G11" s="301">
        <f t="shared" si="1"/>
        <v>5.38</v>
      </c>
      <c r="L11" s="1357"/>
      <c r="M11" s="1357"/>
      <c r="N11" s="1357"/>
      <c r="O11" s="1357"/>
    </row>
    <row r="12" spans="1:15" x14ac:dyDescent="0.25">
      <c r="A12" s="297">
        <v>42940</v>
      </c>
      <c r="B12" s="298" t="s">
        <v>2867</v>
      </c>
      <c r="C12" s="299" t="s">
        <v>286</v>
      </c>
      <c r="D12" s="300">
        <v>280.47000000000003</v>
      </c>
      <c r="E12" s="350">
        <f t="shared" si="0"/>
        <v>227.44</v>
      </c>
      <c r="F12" s="298" t="s">
        <v>98</v>
      </c>
      <c r="G12" s="301">
        <f t="shared" si="1"/>
        <v>236.38</v>
      </c>
      <c r="L12" s="1357"/>
      <c r="M12" s="1357"/>
      <c r="N12" s="1357"/>
      <c r="O12" s="1357"/>
    </row>
    <row r="13" spans="1:15" x14ac:dyDescent="0.25">
      <c r="A13" s="297">
        <v>41047</v>
      </c>
      <c r="B13" s="298" t="s">
        <v>3876</v>
      </c>
      <c r="C13" s="299" t="s">
        <v>76</v>
      </c>
      <c r="D13" s="300">
        <v>597.04</v>
      </c>
      <c r="E13" s="350">
        <f t="shared" si="0"/>
        <v>484.14</v>
      </c>
      <c r="F13" s="298" t="s">
        <v>98</v>
      </c>
      <c r="G13" s="301">
        <f t="shared" si="1"/>
        <v>503.17</v>
      </c>
      <c r="L13" s="1357"/>
      <c r="M13" s="1357"/>
      <c r="N13" s="1357"/>
      <c r="O13" s="1357"/>
    </row>
    <row r="14" spans="1:15" x14ac:dyDescent="0.25">
      <c r="A14" s="297">
        <v>41048</v>
      </c>
      <c r="B14" s="298" t="s">
        <v>2868</v>
      </c>
      <c r="C14" s="299" t="s">
        <v>76</v>
      </c>
      <c r="D14" s="300">
        <v>528.42999999999995</v>
      </c>
      <c r="E14" s="350">
        <f t="shared" si="0"/>
        <v>428.51</v>
      </c>
      <c r="F14" s="298" t="s">
        <v>98</v>
      </c>
      <c r="G14" s="301">
        <f t="shared" si="1"/>
        <v>445.35</v>
      </c>
    </row>
    <row r="15" spans="1:15" x14ac:dyDescent="0.25">
      <c r="A15" s="297">
        <v>40217</v>
      </c>
      <c r="B15" s="298" t="s">
        <v>2869</v>
      </c>
      <c r="C15" s="299" t="s">
        <v>76</v>
      </c>
      <c r="D15" s="300">
        <v>49.11</v>
      </c>
      <c r="E15" s="350">
        <f t="shared" si="0"/>
        <v>39.83</v>
      </c>
      <c r="F15" s="298" t="s">
        <v>98</v>
      </c>
      <c r="G15" s="301">
        <f t="shared" si="1"/>
        <v>41.4</v>
      </c>
    </row>
    <row r="16" spans="1:15" x14ac:dyDescent="0.25">
      <c r="A16" s="297">
        <v>40172</v>
      </c>
      <c r="B16" s="298" t="s">
        <v>2870</v>
      </c>
      <c r="C16" s="299" t="s">
        <v>2871</v>
      </c>
      <c r="D16" s="300">
        <v>29.48</v>
      </c>
      <c r="E16" s="350">
        <f t="shared" si="0"/>
        <v>23.91</v>
      </c>
      <c r="F16" s="298" t="s">
        <v>98</v>
      </c>
      <c r="G16" s="301">
        <f t="shared" si="1"/>
        <v>24.85</v>
      </c>
    </row>
    <row r="17" spans="1:7" x14ac:dyDescent="0.25">
      <c r="A17" s="297">
        <v>40171</v>
      </c>
      <c r="B17" s="298" t="s">
        <v>2872</v>
      </c>
      <c r="C17" s="299" t="s">
        <v>2871</v>
      </c>
      <c r="D17" s="300">
        <v>14.73</v>
      </c>
      <c r="E17" s="350">
        <f t="shared" si="0"/>
        <v>11.95</v>
      </c>
      <c r="F17" s="298" t="s">
        <v>98</v>
      </c>
      <c r="G17" s="301">
        <f t="shared" si="1"/>
        <v>12.42</v>
      </c>
    </row>
    <row r="18" spans="1:7" x14ac:dyDescent="0.25">
      <c r="A18" s="297">
        <v>42225</v>
      </c>
      <c r="B18" s="298" t="s">
        <v>2873</v>
      </c>
      <c r="C18" s="299" t="s">
        <v>76</v>
      </c>
      <c r="D18" s="300">
        <v>9.39</v>
      </c>
      <c r="E18" s="350">
        <f t="shared" si="0"/>
        <v>7.62</v>
      </c>
      <c r="F18" s="298" t="s">
        <v>98</v>
      </c>
      <c r="G18" s="301">
        <f t="shared" si="1"/>
        <v>7.92</v>
      </c>
    </row>
    <row r="19" spans="1:7" x14ac:dyDescent="0.25">
      <c r="A19" s="297">
        <v>40178</v>
      </c>
      <c r="B19" s="298" t="s">
        <v>2874</v>
      </c>
      <c r="C19" s="299" t="s">
        <v>76</v>
      </c>
      <c r="D19" s="300">
        <v>7.7</v>
      </c>
      <c r="E19" s="350">
        <f t="shared" si="0"/>
        <v>6.25</v>
      </c>
      <c r="F19" s="298" t="s">
        <v>98</v>
      </c>
      <c r="G19" s="301">
        <f t="shared" si="1"/>
        <v>6.5</v>
      </c>
    </row>
    <row r="20" spans="1:7" x14ac:dyDescent="0.25">
      <c r="A20" s="297">
        <v>40179</v>
      </c>
      <c r="B20" s="298" t="s">
        <v>3938</v>
      </c>
      <c r="C20" s="299" t="s">
        <v>76</v>
      </c>
      <c r="D20" s="300">
        <v>16.79</v>
      </c>
      <c r="E20" s="350">
        <f t="shared" si="0"/>
        <v>13.62</v>
      </c>
      <c r="F20" s="298" t="s">
        <v>98</v>
      </c>
      <c r="G20" s="301">
        <f t="shared" si="1"/>
        <v>14.16</v>
      </c>
    </row>
    <row r="21" spans="1:7" x14ac:dyDescent="0.25">
      <c r="A21" s="297">
        <v>40184</v>
      </c>
      <c r="B21" s="298" t="s">
        <v>3939</v>
      </c>
      <c r="C21" s="299" t="s">
        <v>76</v>
      </c>
      <c r="D21" s="300">
        <v>30.06</v>
      </c>
      <c r="E21" s="350">
        <f t="shared" si="0"/>
        <v>24.38</v>
      </c>
      <c r="F21" s="298" t="s">
        <v>98</v>
      </c>
      <c r="G21" s="301">
        <f t="shared" si="1"/>
        <v>25.34</v>
      </c>
    </row>
    <row r="22" spans="1:7" x14ac:dyDescent="0.25">
      <c r="A22" s="297">
        <v>40180</v>
      </c>
      <c r="B22" s="298" t="s">
        <v>3940</v>
      </c>
      <c r="C22" s="299" t="s">
        <v>76</v>
      </c>
      <c r="D22" s="300">
        <v>19.66</v>
      </c>
      <c r="E22" s="350">
        <f t="shared" si="0"/>
        <v>15.95</v>
      </c>
      <c r="F22" s="298" t="s">
        <v>98</v>
      </c>
      <c r="G22" s="301">
        <f t="shared" si="1"/>
        <v>16.579999999999998</v>
      </c>
    </row>
    <row r="23" spans="1:7" x14ac:dyDescent="0.25">
      <c r="A23" s="297">
        <v>40181</v>
      </c>
      <c r="B23" s="298" t="s">
        <v>3941</v>
      </c>
      <c r="C23" s="299" t="s">
        <v>76</v>
      </c>
      <c r="D23" s="300">
        <v>22.12</v>
      </c>
      <c r="E23" s="350">
        <f t="shared" si="0"/>
        <v>17.940000000000001</v>
      </c>
      <c r="F23" s="298" t="s">
        <v>98</v>
      </c>
      <c r="G23" s="301">
        <f t="shared" si="1"/>
        <v>18.649999999999999</v>
      </c>
    </row>
    <row r="24" spans="1:7" x14ac:dyDescent="0.25">
      <c r="A24" s="297">
        <v>40182</v>
      </c>
      <c r="B24" s="298" t="s">
        <v>3942</v>
      </c>
      <c r="C24" s="299" t="s">
        <v>76</v>
      </c>
      <c r="D24" s="300">
        <v>25.69</v>
      </c>
      <c r="E24" s="350">
        <f t="shared" si="0"/>
        <v>20.84</v>
      </c>
      <c r="F24" s="298" t="s">
        <v>98</v>
      </c>
      <c r="G24" s="301">
        <f t="shared" si="1"/>
        <v>21.66</v>
      </c>
    </row>
    <row r="25" spans="1:7" x14ac:dyDescent="0.25">
      <c r="A25" s="297">
        <v>40183</v>
      </c>
      <c r="B25" s="298" t="s">
        <v>3943</v>
      </c>
      <c r="C25" s="299" t="s">
        <v>76</v>
      </c>
      <c r="D25" s="300">
        <v>27.01</v>
      </c>
      <c r="E25" s="350">
        <f t="shared" si="0"/>
        <v>21.91</v>
      </c>
      <c r="F25" s="298" t="s">
        <v>98</v>
      </c>
      <c r="G25" s="301">
        <f t="shared" si="1"/>
        <v>22.78</v>
      </c>
    </row>
    <row r="26" spans="1:7" x14ac:dyDescent="0.25">
      <c r="A26" s="297">
        <v>40191</v>
      </c>
      <c r="B26" s="298" t="s">
        <v>3944</v>
      </c>
      <c r="C26" s="299" t="s">
        <v>76</v>
      </c>
      <c r="D26" s="300">
        <v>25.24</v>
      </c>
      <c r="E26" s="350">
        <f t="shared" si="0"/>
        <v>20.47</v>
      </c>
      <c r="F26" s="298" t="s">
        <v>98</v>
      </c>
      <c r="G26" s="301">
        <f t="shared" si="1"/>
        <v>21.28</v>
      </c>
    </row>
    <row r="27" spans="1:7" x14ac:dyDescent="0.25">
      <c r="A27" s="297">
        <v>40196</v>
      </c>
      <c r="B27" s="298" t="s">
        <v>3945</v>
      </c>
      <c r="C27" s="299" t="s">
        <v>76</v>
      </c>
      <c r="D27" s="300">
        <v>41.28</v>
      </c>
      <c r="E27" s="350">
        <f t="shared" si="0"/>
        <v>33.479999999999997</v>
      </c>
      <c r="F27" s="298" t="s">
        <v>98</v>
      </c>
      <c r="G27" s="301">
        <f t="shared" si="1"/>
        <v>34.799999999999997</v>
      </c>
    </row>
    <row r="28" spans="1:7" x14ac:dyDescent="0.25">
      <c r="A28" s="297">
        <v>40192</v>
      </c>
      <c r="B28" s="298" t="s">
        <v>3946</v>
      </c>
      <c r="C28" s="299" t="s">
        <v>76</v>
      </c>
      <c r="D28" s="300">
        <v>27.85</v>
      </c>
      <c r="E28" s="350">
        <f t="shared" si="0"/>
        <v>22.59</v>
      </c>
      <c r="F28" s="298" t="s">
        <v>98</v>
      </c>
      <c r="G28" s="301">
        <f t="shared" si="1"/>
        <v>23.48</v>
      </c>
    </row>
    <row r="29" spans="1:7" x14ac:dyDescent="0.25">
      <c r="A29" s="297">
        <v>40193</v>
      </c>
      <c r="B29" s="298" t="s">
        <v>3947</v>
      </c>
      <c r="C29" s="299" t="s">
        <v>76</v>
      </c>
      <c r="D29" s="300">
        <v>30.54</v>
      </c>
      <c r="E29" s="350">
        <f t="shared" si="0"/>
        <v>24.77</v>
      </c>
      <c r="F29" s="298" t="s">
        <v>98</v>
      </c>
      <c r="G29" s="301">
        <f t="shared" si="1"/>
        <v>25.75</v>
      </c>
    </row>
    <row r="30" spans="1:7" x14ac:dyDescent="0.25">
      <c r="A30" s="297">
        <v>40194</v>
      </c>
      <c r="B30" s="298" t="s">
        <v>3948</v>
      </c>
      <c r="C30" s="299" t="s">
        <v>76</v>
      </c>
      <c r="D30" s="300">
        <v>35.35</v>
      </c>
      <c r="E30" s="350">
        <f t="shared" si="0"/>
        <v>28.67</v>
      </c>
      <c r="F30" s="298" t="s">
        <v>98</v>
      </c>
      <c r="G30" s="301">
        <f t="shared" si="1"/>
        <v>29.8</v>
      </c>
    </row>
    <row r="31" spans="1:7" x14ac:dyDescent="0.25">
      <c r="A31" s="297">
        <v>40195</v>
      </c>
      <c r="B31" s="298" t="s">
        <v>3949</v>
      </c>
      <c r="C31" s="299" t="s">
        <v>76</v>
      </c>
      <c r="D31" s="300">
        <v>37.840000000000003</v>
      </c>
      <c r="E31" s="350">
        <f t="shared" si="0"/>
        <v>30.69</v>
      </c>
      <c r="F31" s="298" t="s">
        <v>98</v>
      </c>
      <c r="G31" s="301">
        <f t="shared" si="1"/>
        <v>31.9</v>
      </c>
    </row>
    <row r="32" spans="1:7" x14ac:dyDescent="0.25">
      <c r="A32" s="297">
        <v>40220</v>
      </c>
      <c r="B32" s="298" t="s">
        <v>2875</v>
      </c>
      <c r="C32" s="299" t="s">
        <v>76</v>
      </c>
      <c r="D32" s="300">
        <v>10.16</v>
      </c>
      <c r="E32" s="350">
        <f t="shared" si="0"/>
        <v>8.24</v>
      </c>
      <c r="F32" s="298" t="s">
        <v>98</v>
      </c>
      <c r="G32" s="301">
        <f t="shared" si="1"/>
        <v>8.57</v>
      </c>
    </row>
    <row r="33" spans="1:7" x14ac:dyDescent="0.25">
      <c r="A33" s="297">
        <v>40230</v>
      </c>
      <c r="B33" s="298" t="s">
        <v>2876</v>
      </c>
      <c r="C33" s="299" t="s">
        <v>76</v>
      </c>
      <c r="D33" s="300">
        <v>3.82</v>
      </c>
      <c r="E33" s="350">
        <f t="shared" si="0"/>
        <v>3.1</v>
      </c>
      <c r="F33" s="298" t="s">
        <v>98</v>
      </c>
      <c r="G33" s="301">
        <f t="shared" si="1"/>
        <v>3.23</v>
      </c>
    </row>
    <row r="34" spans="1:7" x14ac:dyDescent="0.25">
      <c r="A34" s="297">
        <v>40221</v>
      </c>
      <c r="B34" s="298" t="s">
        <v>2877</v>
      </c>
      <c r="C34" s="299" t="s">
        <v>76</v>
      </c>
      <c r="D34" s="300">
        <v>9.31</v>
      </c>
      <c r="E34" s="350">
        <f t="shared" si="0"/>
        <v>7.55</v>
      </c>
      <c r="F34" s="298" t="s">
        <v>98</v>
      </c>
      <c r="G34" s="301">
        <f t="shared" si="1"/>
        <v>7.85</v>
      </c>
    </row>
    <row r="35" spans="1:7" x14ac:dyDescent="0.25">
      <c r="A35" s="297">
        <v>40231</v>
      </c>
      <c r="B35" s="298" t="s">
        <v>2878</v>
      </c>
      <c r="C35" s="299" t="s">
        <v>76</v>
      </c>
      <c r="D35" s="300">
        <v>5.63</v>
      </c>
      <c r="E35" s="350">
        <f t="shared" si="0"/>
        <v>4.57</v>
      </c>
      <c r="F35" s="298" t="s">
        <v>98</v>
      </c>
      <c r="G35" s="301">
        <f t="shared" si="1"/>
        <v>4.75</v>
      </c>
    </row>
    <row r="36" spans="1:7" x14ac:dyDescent="0.25">
      <c r="A36" s="297">
        <v>40222</v>
      </c>
      <c r="B36" s="298" t="s">
        <v>2879</v>
      </c>
      <c r="C36" s="299" t="s">
        <v>76</v>
      </c>
      <c r="D36" s="300">
        <v>13.34</v>
      </c>
      <c r="E36" s="350">
        <f t="shared" si="0"/>
        <v>10.82</v>
      </c>
      <c r="F36" s="298" t="s">
        <v>98</v>
      </c>
      <c r="G36" s="301">
        <f t="shared" si="1"/>
        <v>11.25</v>
      </c>
    </row>
    <row r="37" spans="1:7" x14ac:dyDescent="0.25">
      <c r="A37" s="297">
        <v>40216</v>
      </c>
      <c r="B37" s="298" t="s">
        <v>3951</v>
      </c>
      <c r="C37" s="299" t="s">
        <v>76</v>
      </c>
      <c r="D37" s="300">
        <v>105.94</v>
      </c>
      <c r="E37" s="350">
        <f t="shared" si="0"/>
        <v>85.91</v>
      </c>
      <c r="F37" s="298" t="s">
        <v>98</v>
      </c>
      <c r="G37" s="301">
        <f t="shared" si="1"/>
        <v>89.29</v>
      </c>
    </row>
    <row r="38" spans="1:7" x14ac:dyDescent="0.25">
      <c r="A38" s="297">
        <v>40223</v>
      </c>
      <c r="B38" s="298" t="s">
        <v>2880</v>
      </c>
      <c r="C38" s="299" t="s">
        <v>76</v>
      </c>
      <c r="D38" s="300">
        <v>47.16</v>
      </c>
      <c r="E38" s="350">
        <f t="shared" si="0"/>
        <v>38.25</v>
      </c>
      <c r="F38" s="298" t="s">
        <v>98</v>
      </c>
      <c r="G38" s="301">
        <f t="shared" si="1"/>
        <v>39.76</v>
      </c>
    </row>
    <row r="39" spans="1:7" x14ac:dyDescent="0.25">
      <c r="A39" s="297">
        <v>43335</v>
      </c>
      <c r="B39" s="298" t="s">
        <v>4015</v>
      </c>
      <c r="C39" s="299" t="s">
        <v>76</v>
      </c>
      <c r="D39" s="300">
        <v>3</v>
      </c>
      <c r="E39" s="350">
        <f t="shared" si="0"/>
        <v>2.44</v>
      </c>
      <c r="F39" s="298" t="s">
        <v>98</v>
      </c>
      <c r="G39" s="301">
        <f t="shared" si="1"/>
        <v>2.54</v>
      </c>
    </row>
    <row r="40" spans="1:7" x14ac:dyDescent="0.25">
      <c r="A40" s="297">
        <v>42547</v>
      </c>
      <c r="B40" s="298" t="s">
        <v>285</v>
      </c>
      <c r="C40" s="299" t="s">
        <v>76</v>
      </c>
      <c r="D40" s="300">
        <v>1.93</v>
      </c>
      <c r="E40" s="350">
        <f t="shared" si="0"/>
        <v>1.57</v>
      </c>
      <c r="F40" s="298" t="s">
        <v>98</v>
      </c>
      <c r="G40" s="301">
        <f t="shared" si="1"/>
        <v>1.64</v>
      </c>
    </row>
    <row r="41" spans="1:7" x14ac:dyDescent="0.25">
      <c r="A41" s="297">
        <v>40177</v>
      </c>
      <c r="B41" s="298" t="s">
        <v>2881</v>
      </c>
      <c r="C41" s="299" t="s">
        <v>76</v>
      </c>
      <c r="D41" s="300">
        <v>4.96</v>
      </c>
      <c r="E41" s="350">
        <f t="shared" si="0"/>
        <v>4.03</v>
      </c>
      <c r="F41" s="298" t="s">
        <v>98</v>
      </c>
      <c r="G41" s="301">
        <f t="shared" si="1"/>
        <v>4.1900000000000004</v>
      </c>
    </row>
    <row r="42" spans="1:7" x14ac:dyDescent="0.25">
      <c r="A42" s="297">
        <v>41056</v>
      </c>
      <c r="B42" s="298" t="s">
        <v>4040</v>
      </c>
      <c r="C42" s="299" t="s">
        <v>76</v>
      </c>
      <c r="D42" s="300">
        <v>110.13</v>
      </c>
      <c r="E42" s="350">
        <f t="shared" si="0"/>
        <v>89.31</v>
      </c>
      <c r="F42" s="298" t="s">
        <v>98</v>
      </c>
      <c r="G42" s="301">
        <f t="shared" si="1"/>
        <v>92.82</v>
      </c>
    </row>
    <row r="43" spans="1:7" x14ac:dyDescent="0.25">
      <c r="A43" s="297">
        <v>40218</v>
      </c>
      <c r="B43" s="298" t="s">
        <v>2882</v>
      </c>
      <c r="C43" s="299" t="s">
        <v>76</v>
      </c>
      <c r="D43" s="300">
        <v>56.09</v>
      </c>
      <c r="E43" s="350">
        <f t="shared" si="0"/>
        <v>45.49</v>
      </c>
      <c r="F43" s="298" t="s">
        <v>98</v>
      </c>
      <c r="G43" s="301">
        <f t="shared" si="1"/>
        <v>47.28</v>
      </c>
    </row>
    <row r="44" spans="1:7" x14ac:dyDescent="0.25">
      <c r="A44" s="297">
        <v>40170</v>
      </c>
      <c r="B44" s="298" t="s">
        <v>2883</v>
      </c>
      <c r="C44" s="299" t="s">
        <v>2884</v>
      </c>
      <c r="D44" s="300">
        <v>0.81</v>
      </c>
      <c r="E44" s="350">
        <f t="shared" si="0"/>
        <v>0.66</v>
      </c>
      <c r="F44" s="298" t="s">
        <v>98</v>
      </c>
      <c r="G44" s="301">
        <f t="shared" si="1"/>
        <v>0.69</v>
      </c>
    </row>
    <row r="45" spans="1:7" x14ac:dyDescent="0.25">
      <c r="A45" s="297">
        <v>40167</v>
      </c>
      <c r="B45" s="298" t="s">
        <v>2885</v>
      </c>
      <c r="C45" s="299" t="s">
        <v>2884</v>
      </c>
      <c r="D45" s="300">
        <v>0.56000000000000005</v>
      </c>
      <c r="E45" s="350">
        <f t="shared" si="0"/>
        <v>0.46</v>
      </c>
      <c r="F45" s="298" t="s">
        <v>98</v>
      </c>
      <c r="G45" s="301">
        <f t="shared" si="1"/>
        <v>0.48</v>
      </c>
    </row>
    <row r="46" spans="1:7" x14ac:dyDescent="0.25">
      <c r="A46" s="297">
        <v>40168</v>
      </c>
      <c r="B46" s="298" t="s">
        <v>2886</v>
      </c>
      <c r="C46" s="299" t="s">
        <v>2884</v>
      </c>
      <c r="D46" s="300">
        <v>3.08</v>
      </c>
      <c r="E46" s="350">
        <f t="shared" si="0"/>
        <v>2.5</v>
      </c>
      <c r="F46" s="298" t="s">
        <v>98</v>
      </c>
      <c r="G46" s="301">
        <f t="shared" si="1"/>
        <v>2.6</v>
      </c>
    </row>
    <row r="47" spans="1:7" x14ac:dyDescent="0.25">
      <c r="A47" s="297">
        <v>40169</v>
      </c>
      <c r="B47" s="298" t="s">
        <v>4058</v>
      </c>
      <c r="C47" s="299" t="s">
        <v>2884</v>
      </c>
      <c r="D47" s="300">
        <v>9.7899999999999991</v>
      </c>
      <c r="E47" s="350">
        <f t="shared" si="0"/>
        <v>7.94</v>
      </c>
      <c r="F47" s="298" t="s">
        <v>98</v>
      </c>
      <c r="G47" s="301">
        <f t="shared" si="1"/>
        <v>8.26</v>
      </c>
    </row>
    <row r="48" spans="1:7" x14ac:dyDescent="0.25">
      <c r="A48" s="297">
        <v>102069</v>
      </c>
      <c r="B48" s="298" t="s">
        <v>4060</v>
      </c>
      <c r="C48" s="299" t="s">
        <v>5</v>
      </c>
      <c r="D48" s="300">
        <v>4.3499999999999996</v>
      </c>
      <c r="E48" s="350">
        <f t="shared" si="0"/>
        <v>3.53</v>
      </c>
      <c r="F48" s="298" t="s">
        <v>98</v>
      </c>
      <c r="G48" s="301">
        <f t="shared" si="1"/>
        <v>3.67</v>
      </c>
    </row>
    <row r="49" spans="1:7" x14ac:dyDescent="0.25">
      <c r="A49" s="297">
        <v>40219</v>
      </c>
      <c r="B49" s="298" t="s">
        <v>2887</v>
      </c>
      <c r="C49" s="299" t="s">
        <v>2884</v>
      </c>
      <c r="D49" s="300">
        <v>36.9</v>
      </c>
      <c r="E49" s="350">
        <f t="shared" si="0"/>
        <v>29.93</v>
      </c>
      <c r="F49" s="298" t="s">
        <v>98</v>
      </c>
      <c r="G49" s="301">
        <f t="shared" si="1"/>
        <v>31.11</v>
      </c>
    </row>
    <row r="50" spans="1:7" x14ac:dyDescent="0.25">
      <c r="A50" s="297">
        <v>41095</v>
      </c>
      <c r="B50" s="298" t="s">
        <v>2888</v>
      </c>
      <c r="C50" s="299" t="s">
        <v>76</v>
      </c>
      <c r="D50" s="300">
        <v>31.39</v>
      </c>
      <c r="E50" s="350">
        <f t="shared" si="0"/>
        <v>25.46</v>
      </c>
      <c r="F50" s="298" t="s">
        <v>98</v>
      </c>
      <c r="G50" s="301">
        <f t="shared" si="1"/>
        <v>26.47</v>
      </c>
    </row>
    <row r="51" spans="1:7" x14ac:dyDescent="0.25">
      <c r="A51" s="297">
        <v>43352</v>
      </c>
      <c r="B51" s="298" t="s">
        <v>4128</v>
      </c>
      <c r="C51" s="299" t="s">
        <v>2884</v>
      </c>
      <c r="D51" s="300">
        <v>0.67</v>
      </c>
      <c r="E51" s="350">
        <f t="shared" si="0"/>
        <v>0.55000000000000004</v>
      </c>
      <c r="F51" s="298" t="s">
        <v>98</v>
      </c>
      <c r="G51" s="301">
        <f t="shared" si="1"/>
        <v>0.57999999999999996</v>
      </c>
    </row>
    <row r="52" spans="1:7" x14ac:dyDescent="0.25">
      <c r="A52" s="297">
        <v>43338</v>
      </c>
      <c r="B52" s="298" t="s">
        <v>4130</v>
      </c>
      <c r="C52" s="299" t="s">
        <v>2884</v>
      </c>
      <c r="D52" s="300">
        <v>0.55000000000000004</v>
      </c>
      <c r="E52" s="350">
        <f t="shared" si="0"/>
        <v>0.45</v>
      </c>
      <c r="F52" s="298" t="s">
        <v>98</v>
      </c>
      <c r="G52" s="301">
        <f t="shared" si="1"/>
        <v>0.47</v>
      </c>
    </row>
    <row r="53" spans="1:7" x14ac:dyDescent="0.25">
      <c r="A53" s="297">
        <v>40166</v>
      </c>
      <c r="B53" s="298" t="s">
        <v>2889</v>
      </c>
      <c r="C53" s="299" t="s">
        <v>2884</v>
      </c>
      <c r="D53" s="300">
        <v>0.19</v>
      </c>
      <c r="E53" s="350">
        <f t="shared" si="0"/>
        <v>0.16</v>
      </c>
      <c r="F53" s="298" t="s">
        <v>98</v>
      </c>
      <c r="G53" s="301">
        <f t="shared" si="1"/>
        <v>0.17</v>
      </c>
    </row>
    <row r="54" spans="1:7" x14ac:dyDescent="0.25">
      <c r="A54" s="297">
        <v>41326</v>
      </c>
      <c r="B54" s="298" t="s">
        <v>4158</v>
      </c>
      <c r="C54" s="299" t="s">
        <v>76</v>
      </c>
      <c r="D54" s="300">
        <v>6.46</v>
      </c>
      <c r="E54" s="350">
        <f t="shared" si="0"/>
        <v>5.24</v>
      </c>
      <c r="F54" s="298" t="s">
        <v>98</v>
      </c>
      <c r="G54" s="301">
        <f t="shared" si="1"/>
        <v>5.45</v>
      </c>
    </row>
    <row r="55" spans="1:7" x14ac:dyDescent="0.25">
      <c r="A55" s="297">
        <v>40801</v>
      </c>
      <c r="B55" s="298" t="s">
        <v>4277</v>
      </c>
      <c r="C55" s="299" t="s">
        <v>76</v>
      </c>
      <c r="D55" s="300">
        <v>90.97</v>
      </c>
      <c r="E55" s="350">
        <f t="shared" si="0"/>
        <v>73.77</v>
      </c>
      <c r="F55" s="298" t="s">
        <v>3693</v>
      </c>
      <c r="G55" s="301">
        <f t="shared" si="1"/>
        <v>76.67</v>
      </c>
    </row>
    <row r="56" spans="1:7" x14ac:dyDescent="0.25">
      <c r="A56" s="297">
        <v>40799</v>
      </c>
      <c r="B56" s="298" t="s">
        <v>2890</v>
      </c>
      <c r="C56" s="299" t="s">
        <v>76</v>
      </c>
      <c r="D56" s="300">
        <v>69.7</v>
      </c>
      <c r="E56" s="350">
        <f t="shared" si="0"/>
        <v>56.52</v>
      </c>
      <c r="F56" s="298" t="s">
        <v>3693</v>
      </c>
      <c r="G56" s="301">
        <f t="shared" si="1"/>
        <v>58.75</v>
      </c>
    </row>
    <row r="57" spans="1:7" x14ac:dyDescent="0.25">
      <c r="A57" s="297">
        <v>40793</v>
      </c>
      <c r="B57" s="298" t="s">
        <v>2891</v>
      </c>
      <c r="C57" s="299" t="s">
        <v>76</v>
      </c>
      <c r="D57" s="300">
        <v>114.31</v>
      </c>
      <c r="E57" s="350">
        <f t="shared" si="0"/>
        <v>92.7</v>
      </c>
      <c r="F57" s="298" t="s">
        <v>3693</v>
      </c>
      <c r="G57" s="301">
        <f t="shared" si="1"/>
        <v>96.35</v>
      </c>
    </row>
    <row r="58" spans="1:7" x14ac:dyDescent="0.25">
      <c r="A58" s="297">
        <v>40797</v>
      </c>
      <c r="B58" s="298" t="s">
        <v>2892</v>
      </c>
      <c r="C58" s="299" t="s">
        <v>76</v>
      </c>
      <c r="D58" s="300">
        <v>43.13</v>
      </c>
      <c r="E58" s="350">
        <f t="shared" si="0"/>
        <v>34.979999999999997</v>
      </c>
      <c r="F58" s="298" t="s">
        <v>3693</v>
      </c>
      <c r="G58" s="301">
        <f t="shared" si="1"/>
        <v>36.36</v>
      </c>
    </row>
    <row r="59" spans="1:7" x14ac:dyDescent="0.25">
      <c r="A59" s="297">
        <v>41157</v>
      </c>
      <c r="B59" s="298" t="s">
        <v>2893</v>
      </c>
      <c r="C59" s="299" t="s">
        <v>76</v>
      </c>
      <c r="D59" s="300">
        <v>57.25</v>
      </c>
      <c r="E59" s="350">
        <f t="shared" si="0"/>
        <v>46.43</v>
      </c>
      <c r="F59" s="298" t="s">
        <v>98</v>
      </c>
      <c r="G59" s="301">
        <f t="shared" si="1"/>
        <v>48.26</v>
      </c>
    </row>
    <row r="60" spans="1:7" x14ac:dyDescent="0.25">
      <c r="A60" s="297">
        <v>40795</v>
      </c>
      <c r="B60" s="298" t="s">
        <v>2894</v>
      </c>
      <c r="C60" s="299" t="s">
        <v>76</v>
      </c>
      <c r="D60" s="300">
        <v>48.85</v>
      </c>
      <c r="E60" s="350">
        <f t="shared" si="0"/>
        <v>39.619999999999997</v>
      </c>
      <c r="F60" s="298" t="s">
        <v>3693</v>
      </c>
      <c r="G60" s="301">
        <f t="shared" si="1"/>
        <v>41.18</v>
      </c>
    </row>
    <row r="61" spans="1:7" x14ac:dyDescent="0.25">
      <c r="A61" s="297">
        <v>40787</v>
      </c>
      <c r="B61" s="298" t="s">
        <v>2895</v>
      </c>
      <c r="C61" s="299" t="s">
        <v>76</v>
      </c>
      <c r="D61" s="300">
        <v>112.86</v>
      </c>
      <c r="E61" s="350">
        <f t="shared" si="0"/>
        <v>91.52</v>
      </c>
      <c r="F61" s="298" t="s">
        <v>3693</v>
      </c>
      <c r="G61" s="301">
        <f t="shared" si="1"/>
        <v>95.12</v>
      </c>
    </row>
    <row r="62" spans="1:7" x14ac:dyDescent="0.25">
      <c r="A62" s="297">
        <v>40812</v>
      </c>
      <c r="B62" s="298" t="s">
        <v>2896</v>
      </c>
      <c r="C62" s="299" t="s">
        <v>76</v>
      </c>
      <c r="D62" s="300">
        <v>112.86</v>
      </c>
      <c r="E62" s="350">
        <f t="shared" si="0"/>
        <v>91.52</v>
      </c>
      <c r="F62" s="298" t="s">
        <v>98</v>
      </c>
      <c r="G62" s="301">
        <f t="shared" si="1"/>
        <v>95.12</v>
      </c>
    </row>
    <row r="63" spans="1:7" x14ac:dyDescent="0.25">
      <c r="A63" s="297">
        <v>42673</v>
      </c>
      <c r="B63" s="298" t="s">
        <v>2897</v>
      </c>
      <c r="C63" s="299" t="s">
        <v>76</v>
      </c>
      <c r="D63" s="300">
        <v>153.19999999999999</v>
      </c>
      <c r="E63" s="350">
        <f t="shared" si="0"/>
        <v>124.23</v>
      </c>
      <c r="F63" s="298" t="s">
        <v>98</v>
      </c>
      <c r="G63" s="301">
        <f t="shared" si="1"/>
        <v>129.12</v>
      </c>
    </row>
    <row r="64" spans="1:7" x14ac:dyDescent="0.25">
      <c r="A64" s="297">
        <v>40803</v>
      </c>
      <c r="B64" s="298" t="s">
        <v>2898</v>
      </c>
      <c r="C64" s="299" t="s">
        <v>76</v>
      </c>
      <c r="D64" s="300">
        <v>70.83</v>
      </c>
      <c r="E64" s="350">
        <f t="shared" si="0"/>
        <v>57.44</v>
      </c>
      <c r="F64" s="298" t="s">
        <v>3693</v>
      </c>
      <c r="G64" s="301">
        <f t="shared" ref="G64:G126" si="2">ROUNDUP(E64*$H$2,2)</f>
        <v>59.7</v>
      </c>
    </row>
    <row r="65" spans="1:7" x14ac:dyDescent="0.25">
      <c r="A65" s="297">
        <v>41406</v>
      </c>
      <c r="B65" s="298" t="s">
        <v>3715</v>
      </c>
      <c r="C65" s="299" t="s">
        <v>76</v>
      </c>
      <c r="D65" s="300">
        <v>63.54</v>
      </c>
      <c r="E65" s="350">
        <f t="shared" si="0"/>
        <v>51.53</v>
      </c>
      <c r="F65" s="298" t="s">
        <v>3693</v>
      </c>
      <c r="G65" s="301">
        <f t="shared" si="2"/>
        <v>53.56</v>
      </c>
    </row>
    <row r="66" spans="1:7" x14ac:dyDescent="0.25">
      <c r="A66" s="297">
        <v>41100</v>
      </c>
      <c r="B66" s="298" t="s">
        <v>2899</v>
      </c>
      <c r="C66" s="299" t="s">
        <v>76</v>
      </c>
      <c r="D66" s="300">
        <v>61.51</v>
      </c>
      <c r="E66" s="350">
        <f t="shared" ref="E66:E129" si="3">ROUNDUP(D66/(1+$L$2),2)</f>
        <v>49.88</v>
      </c>
      <c r="F66" s="298" t="s">
        <v>98</v>
      </c>
      <c r="G66" s="301">
        <f t="shared" si="2"/>
        <v>51.85</v>
      </c>
    </row>
    <row r="67" spans="1:7" x14ac:dyDescent="0.25">
      <c r="A67" s="297">
        <v>40979</v>
      </c>
      <c r="B67" s="298" t="s">
        <v>2900</v>
      </c>
      <c r="C67" s="299" t="s">
        <v>76</v>
      </c>
      <c r="D67" s="300">
        <v>54.71</v>
      </c>
      <c r="E67" s="350">
        <f t="shared" si="3"/>
        <v>44.37</v>
      </c>
      <c r="F67" s="298" t="s">
        <v>98</v>
      </c>
      <c r="G67" s="301">
        <f t="shared" si="2"/>
        <v>46.12</v>
      </c>
    </row>
    <row r="68" spans="1:7" x14ac:dyDescent="0.25">
      <c r="A68" s="297">
        <v>40815</v>
      </c>
      <c r="B68" s="298" t="s">
        <v>2901</v>
      </c>
      <c r="C68" s="299" t="s">
        <v>76</v>
      </c>
      <c r="D68" s="300">
        <v>66.14</v>
      </c>
      <c r="E68" s="350">
        <f t="shared" si="3"/>
        <v>53.64</v>
      </c>
      <c r="F68" s="298" t="s">
        <v>98</v>
      </c>
      <c r="G68" s="301">
        <f t="shared" si="2"/>
        <v>55.75</v>
      </c>
    </row>
    <row r="69" spans="1:7" x14ac:dyDescent="0.25">
      <c r="A69" s="297">
        <v>40809</v>
      </c>
      <c r="B69" s="298" t="s">
        <v>2902</v>
      </c>
      <c r="C69" s="299" t="s">
        <v>76</v>
      </c>
      <c r="D69" s="300">
        <v>75.760000000000005</v>
      </c>
      <c r="E69" s="350">
        <f t="shared" si="3"/>
        <v>61.44</v>
      </c>
      <c r="F69" s="298" t="s">
        <v>98</v>
      </c>
      <c r="G69" s="301">
        <f t="shared" si="2"/>
        <v>63.86</v>
      </c>
    </row>
    <row r="70" spans="1:7" x14ac:dyDescent="0.25">
      <c r="A70" s="297">
        <v>40810</v>
      </c>
      <c r="B70" s="298" t="s">
        <v>2903</v>
      </c>
      <c r="C70" s="299" t="s">
        <v>76</v>
      </c>
      <c r="D70" s="300">
        <v>95.1</v>
      </c>
      <c r="E70" s="350">
        <f t="shared" si="3"/>
        <v>77.12</v>
      </c>
      <c r="F70" s="298" t="s">
        <v>98</v>
      </c>
      <c r="G70" s="301">
        <f t="shared" si="2"/>
        <v>80.16</v>
      </c>
    </row>
    <row r="71" spans="1:7" x14ac:dyDescent="0.25">
      <c r="A71" s="297">
        <v>41097</v>
      </c>
      <c r="B71" s="298" t="s">
        <v>2904</v>
      </c>
      <c r="C71" s="299" t="s">
        <v>76</v>
      </c>
      <c r="D71" s="300">
        <v>106.78</v>
      </c>
      <c r="E71" s="350">
        <f t="shared" si="3"/>
        <v>86.59</v>
      </c>
      <c r="F71" s="298" t="s">
        <v>3693</v>
      </c>
      <c r="G71" s="301">
        <f t="shared" si="2"/>
        <v>90</v>
      </c>
    </row>
    <row r="72" spans="1:7" x14ac:dyDescent="0.25">
      <c r="A72" s="297">
        <v>41364</v>
      </c>
      <c r="B72" s="298" t="s">
        <v>3716</v>
      </c>
      <c r="C72" s="299" t="s">
        <v>76</v>
      </c>
      <c r="D72" s="300">
        <v>63.54</v>
      </c>
      <c r="E72" s="350">
        <f t="shared" si="3"/>
        <v>51.53</v>
      </c>
      <c r="F72" s="298" t="s">
        <v>98</v>
      </c>
      <c r="G72" s="301">
        <f t="shared" si="2"/>
        <v>53.56</v>
      </c>
    </row>
    <row r="73" spans="1:7" x14ac:dyDescent="0.25">
      <c r="A73" s="297">
        <v>40777</v>
      </c>
      <c r="B73" s="298" t="s">
        <v>2905</v>
      </c>
      <c r="C73" s="299" t="s">
        <v>76</v>
      </c>
      <c r="D73" s="300">
        <v>47.61</v>
      </c>
      <c r="E73" s="350">
        <f t="shared" si="3"/>
        <v>38.61</v>
      </c>
      <c r="F73" s="298" t="s">
        <v>3693</v>
      </c>
      <c r="G73" s="301">
        <f t="shared" si="2"/>
        <v>40.130000000000003</v>
      </c>
    </row>
    <row r="74" spans="1:7" x14ac:dyDescent="0.25">
      <c r="A74" s="297">
        <v>40779</v>
      </c>
      <c r="B74" s="298" t="s">
        <v>2906</v>
      </c>
      <c r="C74" s="299" t="s">
        <v>76</v>
      </c>
      <c r="D74" s="300">
        <v>53.86</v>
      </c>
      <c r="E74" s="350">
        <f t="shared" si="3"/>
        <v>43.68</v>
      </c>
      <c r="F74" s="298" t="s">
        <v>3693</v>
      </c>
      <c r="G74" s="301">
        <f t="shared" si="2"/>
        <v>45.4</v>
      </c>
    </row>
    <row r="75" spans="1:7" x14ac:dyDescent="0.25">
      <c r="A75" s="297">
        <v>40781</v>
      </c>
      <c r="B75" s="298" t="s">
        <v>2907</v>
      </c>
      <c r="C75" s="299" t="s">
        <v>76</v>
      </c>
      <c r="D75" s="300">
        <v>75.760000000000005</v>
      </c>
      <c r="E75" s="350">
        <f t="shared" si="3"/>
        <v>61.44</v>
      </c>
      <c r="F75" s="298" t="s">
        <v>3693</v>
      </c>
      <c r="G75" s="301">
        <f t="shared" si="2"/>
        <v>63.86</v>
      </c>
    </row>
    <row r="76" spans="1:7" x14ac:dyDescent="0.25">
      <c r="A76" s="297">
        <v>40783</v>
      </c>
      <c r="B76" s="298" t="s">
        <v>2908</v>
      </c>
      <c r="C76" s="299" t="s">
        <v>76</v>
      </c>
      <c r="D76" s="300">
        <v>95.1</v>
      </c>
      <c r="E76" s="350">
        <f t="shared" si="3"/>
        <v>77.12</v>
      </c>
      <c r="F76" s="298" t="s">
        <v>3693</v>
      </c>
      <c r="G76" s="301">
        <f t="shared" si="2"/>
        <v>80.16</v>
      </c>
    </row>
    <row r="77" spans="1:7" x14ac:dyDescent="0.25">
      <c r="A77" s="297">
        <v>41366</v>
      </c>
      <c r="B77" s="298" t="s">
        <v>2909</v>
      </c>
      <c r="C77" s="299" t="s">
        <v>76</v>
      </c>
      <c r="D77" s="300">
        <v>106.78</v>
      </c>
      <c r="E77" s="350">
        <f t="shared" si="3"/>
        <v>86.59</v>
      </c>
      <c r="F77" s="298" t="s">
        <v>98</v>
      </c>
      <c r="G77" s="301">
        <f t="shared" si="2"/>
        <v>90</v>
      </c>
    </row>
    <row r="78" spans="1:7" x14ac:dyDescent="0.25">
      <c r="A78" s="297">
        <v>40834</v>
      </c>
      <c r="B78" s="298" t="s">
        <v>2910</v>
      </c>
      <c r="C78" s="299" t="s">
        <v>2884</v>
      </c>
      <c r="D78" s="300">
        <v>2.23</v>
      </c>
      <c r="E78" s="350">
        <f t="shared" si="3"/>
        <v>1.81</v>
      </c>
      <c r="F78" s="298" t="s">
        <v>3693</v>
      </c>
      <c r="G78" s="301">
        <f t="shared" si="2"/>
        <v>1.89</v>
      </c>
    </row>
    <row r="79" spans="1:7" x14ac:dyDescent="0.25">
      <c r="A79" s="297">
        <v>40835</v>
      </c>
      <c r="B79" s="298" t="s">
        <v>2911</v>
      </c>
      <c r="C79" s="299" t="s">
        <v>2884</v>
      </c>
      <c r="D79" s="300">
        <v>4.3499999999999996</v>
      </c>
      <c r="E79" s="350">
        <f t="shared" si="3"/>
        <v>3.53</v>
      </c>
      <c r="F79" s="298" t="s">
        <v>3693</v>
      </c>
      <c r="G79" s="301">
        <f t="shared" si="2"/>
        <v>3.67</v>
      </c>
    </row>
    <row r="80" spans="1:7" x14ac:dyDescent="0.25">
      <c r="A80" s="297">
        <v>40841</v>
      </c>
      <c r="B80" s="298" t="s">
        <v>3769</v>
      </c>
      <c r="C80" s="299" t="s">
        <v>284</v>
      </c>
      <c r="D80" s="300">
        <v>132.63</v>
      </c>
      <c r="E80" s="350">
        <f t="shared" si="3"/>
        <v>107.55</v>
      </c>
      <c r="F80" s="298" t="s">
        <v>3693</v>
      </c>
      <c r="G80" s="301">
        <f t="shared" si="2"/>
        <v>111.78</v>
      </c>
    </row>
    <row r="81" spans="1:7" x14ac:dyDescent="0.25">
      <c r="A81" s="297">
        <v>40842</v>
      </c>
      <c r="B81" s="298" t="s">
        <v>313</v>
      </c>
      <c r="C81" s="299" t="s">
        <v>284</v>
      </c>
      <c r="D81" s="300">
        <v>457.87</v>
      </c>
      <c r="E81" s="350">
        <f t="shared" si="3"/>
        <v>371.29</v>
      </c>
      <c r="F81" s="298" t="s">
        <v>3693</v>
      </c>
      <c r="G81" s="301">
        <f t="shared" si="2"/>
        <v>385.89</v>
      </c>
    </row>
    <row r="82" spans="1:7" x14ac:dyDescent="0.25">
      <c r="A82" s="297">
        <v>40843</v>
      </c>
      <c r="B82" s="298" t="s">
        <v>3770</v>
      </c>
      <c r="C82" s="299" t="s">
        <v>284</v>
      </c>
      <c r="D82" s="300">
        <v>135.33000000000001</v>
      </c>
      <c r="E82" s="350">
        <f t="shared" si="3"/>
        <v>109.74</v>
      </c>
      <c r="F82" s="298" t="s">
        <v>3693</v>
      </c>
      <c r="G82" s="301">
        <f t="shared" si="2"/>
        <v>114.06</v>
      </c>
    </row>
    <row r="83" spans="1:7" x14ac:dyDescent="0.25">
      <c r="A83" s="297">
        <v>40844</v>
      </c>
      <c r="B83" s="298" t="s">
        <v>314</v>
      </c>
      <c r="C83" s="299" t="s">
        <v>284</v>
      </c>
      <c r="D83" s="300">
        <v>462.52</v>
      </c>
      <c r="E83" s="350">
        <f t="shared" si="3"/>
        <v>375.06</v>
      </c>
      <c r="F83" s="298" t="s">
        <v>3693</v>
      </c>
      <c r="G83" s="301">
        <f t="shared" si="2"/>
        <v>389.8</v>
      </c>
    </row>
    <row r="84" spans="1:7" x14ac:dyDescent="0.25">
      <c r="A84" s="297">
        <v>41112</v>
      </c>
      <c r="B84" s="298" t="s">
        <v>4276</v>
      </c>
      <c r="C84" s="299" t="s">
        <v>284</v>
      </c>
      <c r="D84" s="300">
        <v>129.6</v>
      </c>
      <c r="E84" s="350">
        <f t="shared" si="3"/>
        <v>105.1</v>
      </c>
      <c r="F84" s="298" t="s">
        <v>3693</v>
      </c>
      <c r="G84" s="301">
        <f t="shared" si="2"/>
        <v>109.24</v>
      </c>
    </row>
    <row r="85" spans="1:7" x14ac:dyDescent="0.25">
      <c r="A85" s="297">
        <v>43342</v>
      </c>
      <c r="B85" s="298" t="s">
        <v>3771</v>
      </c>
      <c r="C85" s="299" t="s">
        <v>284</v>
      </c>
      <c r="D85" s="300">
        <v>136.99</v>
      </c>
      <c r="E85" s="350">
        <f t="shared" si="3"/>
        <v>111.09</v>
      </c>
      <c r="F85" s="298" t="s">
        <v>3693</v>
      </c>
      <c r="G85" s="301">
        <f t="shared" si="2"/>
        <v>115.46</v>
      </c>
    </row>
    <row r="86" spans="1:7" x14ac:dyDescent="0.25">
      <c r="A86" s="297">
        <v>40878</v>
      </c>
      <c r="B86" s="298" t="s">
        <v>3772</v>
      </c>
      <c r="C86" s="299" t="s">
        <v>284</v>
      </c>
      <c r="D86" s="300">
        <v>135.33000000000001</v>
      </c>
      <c r="E86" s="350">
        <f t="shared" si="3"/>
        <v>109.74</v>
      </c>
      <c r="F86" s="298" t="s">
        <v>3693</v>
      </c>
      <c r="G86" s="301">
        <f t="shared" si="2"/>
        <v>114.06</v>
      </c>
    </row>
    <row r="87" spans="1:7" x14ac:dyDescent="0.25">
      <c r="A87" s="297">
        <v>40845</v>
      </c>
      <c r="B87" s="298" t="s">
        <v>3773</v>
      </c>
      <c r="C87" s="299" t="s">
        <v>284</v>
      </c>
      <c r="D87" s="300">
        <v>108.78</v>
      </c>
      <c r="E87" s="350">
        <f t="shared" si="3"/>
        <v>88.21</v>
      </c>
      <c r="F87" s="298" t="s">
        <v>3693</v>
      </c>
      <c r="G87" s="301">
        <f t="shared" si="2"/>
        <v>91.68</v>
      </c>
    </row>
    <row r="88" spans="1:7" x14ac:dyDescent="0.25">
      <c r="A88" s="297">
        <v>40846</v>
      </c>
      <c r="B88" s="298" t="s">
        <v>3774</v>
      </c>
      <c r="C88" s="299" t="s">
        <v>284</v>
      </c>
      <c r="D88" s="300">
        <v>435.97</v>
      </c>
      <c r="E88" s="350">
        <f t="shared" si="3"/>
        <v>353.53</v>
      </c>
      <c r="F88" s="298" t="s">
        <v>3693</v>
      </c>
      <c r="G88" s="301">
        <f t="shared" si="2"/>
        <v>367.43</v>
      </c>
    </row>
    <row r="89" spans="1:7" x14ac:dyDescent="0.25">
      <c r="A89" s="297">
        <v>40879</v>
      </c>
      <c r="B89" s="298" t="s">
        <v>2912</v>
      </c>
      <c r="C89" s="299" t="s">
        <v>284</v>
      </c>
      <c r="D89" s="300">
        <v>108.78</v>
      </c>
      <c r="E89" s="350">
        <f t="shared" si="3"/>
        <v>88.21</v>
      </c>
      <c r="F89" s="298" t="s">
        <v>98</v>
      </c>
      <c r="G89" s="301">
        <f t="shared" si="2"/>
        <v>91.68</v>
      </c>
    </row>
    <row r="90" spans="1:7" x14ac:dyDescent="0.25">
      <c r="A90" s="297">
        <v>40877</v>
      </c>
      <c r="B90" s="298" t="s">
        <v>2913</v>
      </c>
      <c r="C90" s="299" t="s">
        <v>284</v>
      </c>
      <c r="D90" s="300">
        <v>146.77000000000001</v>
      </c>
      <c r="E90" s="350">
        <f t="shared" si="3"/>
        <v>119.02</v>
      </c>
      <c r="F90" s="298" t="s">
        <v>3693</v>
      </c>
      <c r="G90" s="301">
        <f t="shared" si="2"/>
        <v>123.7</v>
      </c>
    </row>
    <row r="91" spans="1:7" x14ac:dyDescent="0.25">
      <c r="A91" s="297">
        <v>43341</v>
      </c>
      <c r="B91" s="298" t="s">
        <v>3775</v>
      </c>
      <c r="C91" s="299" t="s">
        <v>284</v>
      </c>
      <c r="D91" s="300">
        <v>147.31</v>
      </c>
      <c r="E91" s="350">
        <f t="shared" si="3"/>
        <v>119.46</v>
      </c>
      <c r="F91" s="298" t="s">
        <v>3693</v>
      </c>
      <c r="G91" s="301">
        <f t="shared" si="2"/>
        <v>124.16</v>
      </c>
    </row>
    <row r="92" spans="1:7" x14ac:dyDescent="0.25">
      <c r="A92" s="297">
        <v>40867</v>
      </c>
      <c r="B92" s="298" t="s">
        <v>2914</v>
      </c>
      <c r="C92" s="299" t="s">
        <v>2884</v>
      </c>
      <c r="D92" s="300">
        <v>3.36</v>
      </c>
      <c r="E92" s="350">
        <f t="shared" si="3"/>
        <v>2.73</v>
      </c>
      <c r="F92" s="298" t="s">
        <v>98</v>
      </c>
      <c r="G92" s="301">
        <f t="shared" si="2"/>
        <v>2.84</v>
      </c>
    </row>
    <row r="93" spans="1:7" x14ac:dyDescent="0.25">
      <c r="A93" s="297">
        <v>40763</v>
      </c>
      <c r="B93" s="298" t="s">
        <v>3935</v>
      </c>
      <c r="C93" s="299" t="s">
        <v>2884</v>
      </c>
      <c r="D93" s="300">
        <v>0.98</v>
      </c>
      <c r="E93" s="350">
        <f t="shared" si="3"/>
        <v>0.8</v>
      </c>
      <c r="F93" s="298" t="s">
        <v>98</v>
      </c>
      <c r="G93" s="301">
        <f t="shared" si="2"/>
        <v>0.84</v>
      </c>
    </row>
    <row r="94" spans="1:7" x14ac:dyDescent="0.25">
      <c r="A94" s="297">
        <v>40765</v>
      </c>
      <c r="B94" s="298" t="s">
        <v>3936</v>
      </c>
      <c r="C94" s="299" t="s">
        <v>2884</v>
      </c>
      <c r="D94" s="300">
        <v>7.22</v>
      </c>
      <c r="E94" s="350">
        <f t="shared" si="3"/>
        <v>5.86</v>
      </c>
      <c r="F94" s="298" t="s">
        <v>98</v>
      </c>
      <c r="G94" s="301">
        <f t="shared" si="2"/>
        <v>6.1</v>
      </c>
    </row>
    <row r="95" spans="1:7" x14ac:dyDescent="0.25">
      <c r="A95" s="297">
        <v>40757</v>
      </c>
      <c r="B95" s="298" t="s">
        <v>2915</v>
      </c>
      <c r="C95" s="299" t="s">
        <v>76</v>
      </c>
      <c r="D95" s="300">
        <v>22.91</v>
      </c>
      <c r="E95" s="350">
        <f t="shared" si="3"/>
        <v>18.579999999999998</v>
      </c>
      <c r="F95" s="298" t="s">
        <v>98</v>
      </c>
      <c r="G95" s="301">
        <f t="shared" si="2"/>
        <v>19.32</v>
      </c>
    </row>
    <row r="96" spans="1:7" x14ac:dyDescent="0.25">
      <c r="A96" s="297">
        <v>40758</v>
      </c>
      <c r="B96" s="298" t="s">
        <v>2916</v>
      </c>
      <c r="C96" s="299" t="s">
        <v>76</v>
      </c>
      <c r="D96" s="300">
        <v>24.67</v>
      </c>
      <c r="E96" s="350">
        <f t="shared" si="3"/>
        <v>20.010000000000002</v>
      </c>
      <c r="F96" s="298" t="s">
        <v>98</v>
      </c>
      <c r="G96" s="301">
        <f t="shared" si="2"/>
        <v>20.8</v>
      </c>
    </row>
    <row r="97" spans="1:7" x14ac:dyDescent="0.25">
      <c r="A97" s="297">
        <v>40761</v>
      </c>
      <c r="B97" s="298" t="s">
        <v>4016</v>
      </c>
      <c r="C97" s="299" t="s">
        <v>76</v>
      </c>
      <c r="D97" s="300">
        <v>49.46</v>
      </c>
      <c r="E97" s="350">
        <f t="shared" si="3"/>
        <v>40.11</v>
      </c>
      <c r="F97" s="298" t="s">
        <v>98</v>
      </c>
      <c r="G97" s="301">
        <f t="shared" si="2"/>
        <v>41.69</v>
      </c>
    </row>
    <row r="98" spans="1:7" x14ac:dyDescent="0.25">
      <c r="A98" s="297">
        <v>40759</v>
      </c>
      <c r="B98" s="298" t="s">
        <v>2917</v>
      </c>
      <c r="C98" s="299" t="s">
        <v>76</v>
      </c>
      <c r="D98" s="300">
        <v>25.18</v>
      </c>
      <c r="E98" s="350">
        <f t="shared" si="3"/>
        <v>20.420000000000002</v>
      </c>
      <c r="F98" s="298" t="s">
        <v>98</v>
      </c>
      <c r="G98" s="301">
        <f t="shared" si="2"/>
        <v>21.23</v>
      </c>
    </row>
    <row r="99" spans="1:7" x14ac:dyDescent="0.25">
      <c r="A99" s="297">
        <v>40760</v>
      </c>
      <c r="B99" s="298" t="s">
        <v>2918</v>
      </c>
      <c r="C99" s="299" t="s">
        <v>76</v>
      </c>
      <c r="D99" s="300">
        <v>25.92</v>
      </c>
      <c r="E99" s="350">
        <f t="shared" si="3"/>
        <v>21.02</v>
      </c>
      <c r="F99" s="298" t="s">
        <v>98</v>
      </c>
      <c r="G99" s="301">
        <f t="shared" si="2"/>
        <v>21.85</v>
      </c>
    </row>
    <row r="100" spans="1:7" x14ac:dyDescent="0.25">
      <c r="A100" s="297">
        <v>41069</v>
      </c>
      <c r="B100" s="298" t="s">
        <v>2919</v>
      </c>
      <c r="C100" s="299" t="s">
        <v>2884</v>
      </c>
      <c r="D100" s="300">
        <v>15.73</v>
      </c>
      <c r="E100" s="350">
        <f t="shared" si="3"/>
        <v>12.76</v>
      </c>
      <c r="F100" s="298" t="s">
        <v>98</v>
      </c>
      <c r="G100" s="301">
        <f t="shared" si="2"/>
        <v>13.27</v>
      </c>
    </row>
    <row r="101" spans="1:7" x14ac:dyDescent="0.25">
      <c r="A101" s="297">
        <v>40985</v>
      </c>
      <c r="B101" s="298" t="s">
        <v>4041</v>
      </c>
      <c r="C101" s="299" t="s">
        <v>2884</v>
      </c>
      <c r="D101" s="300">
        <v>13.63</v>
      </c>
      <c r="E101" s="350">
        <f t="shared" si="3"/>
        <v>11.06</v>
      </c>
      <c r="F101" s="298" t="s">
        <v>98</v>
      </c>
      <c r="G101" s="301">
        <f t="shared" si="2"/>
        <v>11.5</v>
      </c>
    </row>
    <row r="102" spans="1:7" x14ac:dyDescent="0.25">
      <c r="A102" s="297">
        <v>40868</v>
      </c>
      <c r="B102" s="298" t="s">
        <v>4042</v>
      </c>
      <c r="C102" s="299" t="s">
        <v>2884</v>
      </c>
      <c r="D102" s="300">
        <v>19.62</v>
      </c>
      <c r="E102" s="350">
        <f t="shared" si="3"/>
        <v>15.91</v>
      </c>
      <c r="F102" s="298" t="s">
        <v>98</v>
      </c>
      <c r="G102" s="301">
        <f t="shared" si="2"/>
        <v>16.54</v>
      </c>
    </row>
    <row r="103" spans="1:7" x14ac:dyDescent="0.25">
      <c r="A103" s="297">
        <v>40816</v>
      </c>
      <c r="B103" s="298" t="s">
        <v>2920</v>
      </c>
      <c r="C103" s="299" t="s">
        <v>2884</v>
      </c>
      <c r="D103" s="300">
        <v>1.01</v>
      </c>
      <c r="E103" s="350">
        <f t="shared" si="3"/>
        <v>0.82</v>
      </c>
      <c r="F103" s="298" t="s">
        <v>98</v>
      </c>
      <c r="G103" s="301">
        <f t="shared" si="2"/>
        <v>0.86</v>
      </c>
    </row>
    <row r="104" spans="1:7" x14ac:dyDescent="0.25">
      <c r="A104" s="297">
        <v>40817</v>
      </c>
      <c r="B104" s="298" t="s">
        <v>2921</v>
      </c>
      <c r="C104" s="299" t="s">
        <v>2884</v>
      </c>
      <c r="D104" s="300">
        <v>9.91</v>
      </c>
      <c r="E104" s="350">
        <f t="shared" si="3"/>
        <v>8.0399999999999991</v>
      </c>
      <c r="F104" s="298" t="s">
        <v>3693</v>
      </c>
      <c r="G104" s="301">
        <f t="shared" si="2"/>
        <v>8.36</v>
      </c>
    </row>
    <row r="105" spans="1:7" x14ac:dyDescent="0.25">
      <c r="A105" s="297">
        <v>40850</v>
      </c>
      <c r="B105" s="298" t="s">
        <v>2922</v>
      </c>
      <c r="C105" s="299" t="s">
        <v>2884</v>
      </c>
      <c r="D105" s="300">
        <v>2.02</v>
      </c>
      <c r="E105" s="350">
        <f t="shared" si="3"/>
        <v>1.64</v>
      </c>
      <c r="F105" s="298" t="s">
        <v>3693</v>
      </c>
      <c r="G105" s="301">
        <f t="shared" si="2"/>
        <v>1.71</v>
      </c>
    </row>
    <row r="106" spans="1:7" x14ac:dyDescent="0.25">
      <c r="A106" s="297">
        <v>40851</v>
      </c>
      <c r="B106" s="298" t="s">
        <v>2923</v>
      </c>
      <c r="C106" s="299" t="s">
        <v>2884</v>
      </c>
      <c r="D106" s="300">
        <v>4.99</v>
      </c>
      <c r="E106" s="350">
        <f t="shared" si="3"/>
        <v>4.05</v>
      </c>
      <c r="F106" s="298" t="s">
        <v>3693</v>
      </c>
      <c r="G106" s="301">
        <f t="shared" si="2"/>
        <v>4.21</v>
      </c>
    </row>
    <row r="107" spans="1:7" x14ac:dyDescent="0.25">
      <c r="A107" s="297">
        <v>40852</v>
      </c>
      <c r="B107" s="298" t="s">
        <v>2924</v>
      </c>
      <c r="C107" s="299" t="s">
        <v>2884</v>
      </c>
      <c r="D107" s="300">
        <v>2.17</v>
      </c>
      <c r="E107" s="350">
        <f t="shared" si="3"/>
        <v>1.76</v>
      </c>
      <c r="F107" s="298" t="s">
        <v>3693</v>
      </c>
      <c r="G107" s="301">
        <f t="shared" si="2"/>
        <v>1.83</v>
      </c>
    </row>
    <row r="108" spans="1:7" x14ac:dyDescent="0.25">
      <c r="A108" s="297">
        <v>40853</v>
      </c>
      <c r="B108" s="298" t="s">
        <v>2925</v>
      </c>
      <c r="C108" s="299" t="s">
        <v>2884</v>
      </c>
      <c r="D108" s="300">
        <v>6.83</v>
      </c>
      <c r="E108" s="350">
        <f t="shared" si="3"/>
        <v>5.54</v>
      </c>
      <c r="F108" s="298" t="s">
        <v>3693</v>
      </c>
      <c r="G108" s="301">
        <f t="shared" si="2"/>
        <v>5.76</v>
      </c>
    </row>
    <row r="109" spans="1:7" x14ac:dyDescent="0.25">
      <c r="A109" s="297">
        <v>40854</v>
      </c>
      <c r="B109" s="298" t="s">
        <v>2926</v>
      </c>
      <c r="C109" s="299" t="s">
        <v>2884</v>
      </c>
      <c r="D109" s="300">
        <v>2.2799999999999998</v>
      </c>
      <c r="E109" s="350">
        <f t="shared" si="3"/>
        <v>1.85</v>
      </c>
      <c r="F109" s="298" t="s">
        <v>3693</v>
      </c>
      <c r="G109" s="301">
        <f t="shared" si="2"/>
        <v>1.93</v>
      </c>
    </row>
    <row r="110" spans="1:7" x14ac:dyDescent="0.25">
      <c r="A110" s="297">
        <v>40855</v>
      </c>
      <c r="B110" s="298" t="s">
        <v>2927</v>
      </c>
      <c r="C110" s="299" t="s">
        <v>2884</v>
      </c>
      <c r="D110" s="300">
        <v>9.06</v>
      </c>
      <c r="E110" s="350">
        <f t="shared" si="3"/>
        <v>7.35</v>
      </c>
      <c r="F110" s="298" t="s">
        <v>3693</v>
      </c>
      <c r="G110" s="301">
        <f t="shared" si="2"/>
        <v>7.64</v>
      </c>
    </row>
    <row r="111" spans="1:7" x14ac:dyDescent="0.25">
      <c r="A111" s="297">
        <v>40856</v>
      </c>
      <c r="B111" s="298" t="s">
        <v>2928</v>
      </c>
      <c r="C111" s="299" t="s">
        <v>2884</v>
      </c>
      <c r="D111" s="300">
        <v>2.66</v>
      </c>
      <c r="E111" s="350">
        <f t="shared" si="3"/>
        <v>2.16</v>
      </c>
      <c r="F111" s="298" t="s">
        <v>3693</v>
      </c>
      <c r="G111" s="301">
        <f t="shared" si="2"/>
        <v>2.25</v>
      </c>
    </row>
    <row r="112" spans="1:7" x14ac:dyDescent="0.25">
      <c r="A112" s="297">
        <v>40857</v>
      </c>
      <c r="B112" s="298" t="s">
        <v>2929</v>
      </c>
      <c r="C112" s="299" t="s">
        <v>2884</v>
      </c>
      <c r="D112" s="300">
        <v>11.99</v>
      </c>
      <c r="E112" s="350">
        <f t="shared" si="3"/>
        <v>9.73</v>
      </c>
      <c r="F112" s="298" t="s">
        <v>3693</v>
      </c>
      <c r="G112" s="301">
        <f t="shared" si="2"/>
        <v>10.119999999999999</v>
      </c>
    </row>
    <row r="113" spans="1:7" x14ac:dyDescent="0.25">
      <c r="A113" s="297">
        <v>42229</v>
      </c>
      <c r="B113" s="298" t="s">
        <v>4057</v>
      </c>
      <c r="C113" s="299" t="s">
        <v>76</v>
      </c>
      <c r="D113" s="300">
        <v>24.05</v>
      </c>
      <c r="E113" s="350">
        <f t="shared" si="3"/>
        <v>19.510000000000002</v>
      </c>
      <c r="F113" s="298" t="s">
        <v>98</v>
      </c>
      <c r="G113" s="301">
        <f t="shared" si="2"/>
        <v>20.28</v>
      </c>
    </row>
    <row r="114" spans="1:7" x14ac:dyDescent="0.25">
      <c r="A114" s="297">
        <v>40894</v>
      </c>
      <c r="B114" s="298" t="s">
        <v>2930</v>
      </c>
      <c r="C114" s="299" t="s">
        <v>82</v>
      </c>
      <c r="D114" s="300">
        <v>34.340000000000003</v>
      </c>
      <c r="E114" s="350">
        <f t="shared" si="3"/>
        <v>27.85</v>
      </c>
      <c r="F114" s="298" t="s">
        <v>98</v>
      </c>
      <c r="G114" s="301">
        <f t="shared" si="2"/>
        <v>28.95</v>
      </c>
    </row>
    <row r="115" spans="1:7" x14ac:dyDescent="0.25">
      <c r="A115" s="297">
        <v>40895</v>
      </c>
      <c r="B115" s="298" t="s">
        <v>2931</v>
      </c>
      <c r="C115" s="299" t="s">
        <v>82</v>
      </c>
      <c r="D115" s="300">
        <v>61.32</v>
      </c>
      <c r="E115" s="350">
        <f t="shared" si="3"/>
        <v>49.73</v>
      </c>
      <c r="F115" s="298" t="s">
        <v>98</v>
      </c>
      <c r="G115" s="301">
        <f t="shared" si="2"/>
        <v>51.69</v>
      </c>
    </row>
    <row r="116" spans="1:7" x14ac:dyDescent="0.25">
      <c r="A116" s="297">
        <v>40869</v>
      </c>
      <c r="B116" s="298" t="s">
        <v>2932</v>
      </c>
      <c r="C116" s="299" t="s">
        <v>2884</v>
      </c>
      <c r="D116" s="300">
        <v>7.18</v>
      </c>
      <c r="E116" s="350">
        <f t="shared" si="3"/>
        <v>5.83</v>
      </c>
      <c r="F116" s="298" t="s">
        <v>3693</v>
      </c>
      <c r="G116" s="301">
        <f t="shared" si="2"/>
        <v>6.06</v>
      </c>
    </row>
    <row r="117" spans="1:7" x14ac:dyDescent="0.25">
      <c r="A117" s="297">
        <v>40881</v>
      </c>
      <c r="B117" s="298" t="s">
        <v>2933</v>
      </c>
      <c r="C117" s="299" t="s">
        <v>2884</v>
      </c>
      <c r="D117" s="300">
        <v>7.18</v>
      </c>
      <c r="E117" s="350">
        <f t="shared" si="3"/>
        <v>5.83</v>
      </c>
      <c r="F117" s="298" t="s">
        <v>98</v>
      </c>
      <c r="G117" s="301">
        <f t="shared" si="2"/>
        <v>6.06</v>
      </c>
    </row>
    <row r="118" spans="1:7" x14ac:dyDescent="0.25">
      <c r="A118" s="297">
        <v>40870</v>
      </c>
      <c r="B118" s="298" t="s">
        <v>2934</v>
      </c>
      <c r="C118" s="299" t="s">
        <v>2884</v>
      </c>
      <c r="D118" s="300">
        <v>19.12</v>
      </c>
      <c r="E118" s="350">
        <f t="shared" si="3"/>
        <v>15.51</v>
      </c>
      <c r="F118" s="298" t="s">
        <v>3693</v>
      </c>
      <c r="G118" s="301">
        <f t="shared" si="2"/>
        <v>16.12</v>
      </c>
    </row>
    <row r="119" spans="1:7" x14ac:dyDescent="0.25">
      <c r="A119" s="297">
        <v>40860</v>
      </c>
      <c r="B119" s="298" t="s">
        <v>2935</v>
      </c>
      <c r="C119" s="299" t="s">
        <v>2884</v>
      </c>
      <c r="D119" s="300">
        <v>52.12</v>
      </c>
      <c r="E119" s="350">
        <f t="shared" si="3"/>
        <v>42.27</v>
      </c>
      <c r="F119" s="298" t="s">
        <v>3693</v>
      </c>
      <c r="G119" s="301">
        <f t="shared" si="2"/>
        <v>43.94</v>
      </c>
    </row>
    <row r="120" spans="1:7" x14ac:dyDescent="0.25">
      <c r="A120" s="297">
        <v>40864</v>
      </c>
      <c r="B120" s="298" t="s">
        <v>2936</v>
      </c>
      <c r="C120" s="299" t="s">
        <v>284</v>
      </c>
      <c r="D120" s="300">
        <v>536.47</v>
      </c>
      <c r="E120" s="350">
        <f t="shared" si="3"/>
        <v>435.03</v>
      </c>
      <c r="F120" s="298" t="s">
        <v>3693</v>
      </c>
      <c r="G120" s="301">
        <f t="shared" si="2"/>
        <v>452.13</v>
      </c>
    </row>
    <row r="121" spans="1:7" x14ac:dyDescent="0.25">
      <c r="A121" s="297">
        <v>40861</v>
      </c>
      <c r="B121" s="298" t="s">
        <v>2937</v>
      </c>
      <c r="C121" s="299" t="s">
        <v>2884</v>
      </c>
      <c r="D121" s="300">
        <v>86.33</v>
      </c>
      <c r="E121" s="350">
        <f t="shared" si="3"/>
        <v>70.010000000000005</v>
      </c>
      <c r="F121" s="298" t="s">
        <v>3693</v>
      </c>
      <c r="G121" s="301">
        <f t="shared" si="2"/>
        <v>72.77</v>
      </c>
    </row>
    <row r="122" spans="1:7" x14ac:dyDescent="0.25">
      <c r="A122" s="297">
        <v>40865</v>
      </c>
      <c r="B122" s="302" t="s">
        <v>2938</v>
      </c>
      <c r="C122" s="299" t="s">
        <v>284</v>
      </c>
      <c r="D122" s="300">
        <v>911.74</v>
      </c>
      <c r="E122" s="350">
        <f t="shared" si="3"/>
        <v>739.33</v>
      </c>
      <c r="F122" s="298" t="s">
        <v>3693</v>
      </c>
      <c r="G122" s="301">
        <f t="shared" si="2"/>
        <v>768.39</v>
      </c>
    </row>
    <row r="123" spans="1:7" x14ac:dyDescent="0.25">
      <c r="A123" s="297">
        <v>40880</v>
      </c>
      <c r="B123" s="298" t="s">
        <v>2939</v>
      </c>
      <c r="C123" s="299" t="s">
        <v>2884</v>
      </c>
      <c r="D123" s="300">
        <v>56.48</v>
      </c>
      <c r="E123" s="350">
        <f t="shared" si="3"/>
        <v>45.8</v>
      </c>
      <c r="F123" s="298" t="s">
        <v>98</v>
      </c>
      <c r="G123" s="301">
        <f t="shared" si="2"/>
        <v>47.6</v>
      </c>
    </row>
    <row r="124" spans="1:7" x14ac:dyDescent="0.25">
      <c r="A124" s="297">
        <v>40858</v>
      </c>
      <c r="B124" s="298" t="s">
        <v>2940</v>
      </c>
      <c r="C124" s="299" t="s">
        <v>2884</v>
      </c>
      <c r="D124" s="300">
        <v>46.89</v>
      </c>
      <c r="E124" s="350">
        <f t="shared" si="3"/>
        <v>38.03</v>
      </c>
      <c r="F124" s="298" t="s">
        <v>3693</v>
      </c>
      <c r="G124" s="301">
        <f t="shared" si="2"/>
        <v>39.53</v>
      </c>
    </row>
    <row r="125" spans="1:7" x14ac:dyDescent="0.25">
      <c r="A125" s="297">
        <v>40862</v>
      </c>
      <c r="B125" s="298" t="s">
        <v>2941</v>
      </c>
      <c r="C125" s="299" t="s">
        <v>284</v>
      </c>
      <c r="D125" s="300">
        <v>482</v>
      </c>
      <c r="E125" s="350">
        <f t="shared" si="3"/>
        <v>390.86</v>
      </c>
      <c r="F125" s="298" t="s">
        <v>3693</v>
      </c>
      <c r="G125" s="301">
        <f t="shared" si="2"/>
        <v>406.22</v>
      </c>
    </row>
    <row r="126" spans="1:7" x14ac:dyDescent="0.25">
      <c r="A126" s="297">
        <v>40859</v>
      </c>
      <c r="B126" s="298" t="s">
        <v>2942</v>
      </c>
      <c r="C126" s="299" t="s">
        <v>2884</v>
      </c>
      <c r="D126" s="300">
        <v>84.53</v>
      </c>
      <c r="E126" s="350">
        <f t="shared" si="3"/>
        <v>68.55</v>
      </c>
      <c r="F126" s="298" t="s">
        <v>3693</v>
      </c>
      <c r="G126" s="301">
        <f t="shared" si="2"/>
        <v>71.25</v>
      </c>
    </row>
    <row r="127" spans="1:7" x14ac:dyDescent="0.25">
      <c r="A127" s="297">
        <v>40863</v>
      </c>
      <c r="B127" s="298" t="s">
        <v>2943</v>
      </c>
      <c r="C127" s="299" t="s">
        <v>284</v>
      </c>
      <c r="D127" s="300">
        <v>879.9</v>
      </c>
      <c r="E127" s="350">
        <f t="shared" si="3"/>
        <v>713.51</v>
      </c>
      <c r="F127" s="298" t="s">
        <v>3693</v>
      </c>
      <c r="G127" s="301">
        <f t="shared" ref="G127:G188" si="4">ROUNDUP(E127*$H$2,2)</f>
        <v>741.55</v>
      </c>
    </row>
    <row r="128" spans="1:7" x14ac:dyDescent="0.25">
      <c r="A128" s="297">
        <v>40883</v>
      </c>
      <c r="B128" s="298" t="s">
        <v>4069</v>
      </c>
      <c r="C128" s="299" t="s">
        <v>2884</v>
      </c>
      <c r="D128" s="300">
        <v>91.36</v>
      </c>
      <c r="E128" s="350">
        <f t="shared" si="3"/>
        <v>74.09</v>
      </c>
      <c r="F128" s="298" t="s">
        <v>3693</v>
      </c>
      <c r="G128" s="301">
        <f t="shared" si="4"/>
        <v>77.010000000000005</v>
      </c>
    </row>
    <row r="129" spans="1:7" x14ac:dyDescent="0.25">
      <c r="A129" s="297">
        <v>40885</v>
      </c>
      <c r="B129" s="302" t="s">
        <v>4275</v>
      </c>
      <c r="C129" s="299" t="s">
        <v>2884</v>
      </c>
      <c r="D129" s="300">
        <v>116.2</v>
      </c>
      <c r="E129" s="350">
        <f t="shared" si="3"/>
        <v>94.23</v>
      </c>
      <c r="F129" s="298" t="s">
        <v>3693</v>
      </c>
      <c r="G129" s="301">
        <f t="shared" si="4"/>
        <v>97.94</v>
      </c>
    </row>
    <row r="130" spans="1:7" x14ac:dyDescent="0.25">
      <c r="A130" s="297">
        <v>40897</v>
      </c>
      <c r="B130" s="298" t="s">
        <v>4070</v>
      </c>
      <c r="C130" s="299" t="s">
        <v>2884</v>
      </c>
      <c r="D130" s="300">
        <v>91.36</v>
      </c>
      <c r="E130" s="350">
        <f t="shared" ref="E130:E193" si="5">ROUNDUP(D130/(1+$L$2),2)</f>
        <v>74.09</v>
      </c>
      <c r="F130" s="298" t="s">
        <v>98</v>
      </c>
      <c r="G130" s="301">
        <f t="shared" si="4"/>
        <v>77.010000000000005</v>
      </c>
    </row>
    <row r="131" spans="1:7" x14ac:dyDescent="0.25">
      <c r="A131" s="297">
        <v>40884</v>
      </c>
      <c r="B131" s="298" t="s">
        <v>4071</v>
      </c>
      <c r="C131" s="299" t="s">
        <v>2884</v>
      </c>
      <c r="D131" s="300">
        <v>109.64</v>
      </c>
      <c r="E131" s="350">
        <f t="shared" si="5"/>
        <v>88.91</v>
      </c>
      <c r="F131" s="298" t="s">
        <v>3693</v>
      </c>
      <c r="G131" s="301">
        <f t="shared" si="4"/>
        <v>92.41</v>
      </c>
    </row>
    <row r="132" spans="1:7" x14ac:dyDescent="0.25">
      <c r="A132" s="297">
        <v>40898</v>
      </c>
      <c r="B132" s="298" t="s">
        <v>4073</v>
      </c>
      <c r="C132" s="299" t="s">
        <v>2884</v>
      </c>
      <c r="D132" s="300">
        <v>109.64</v>
      </c>
      <c r="E132" s="350">
        <f t="shared" si="5"/>
        <v>88.91</v>
      </c>
      <c r="F132" s="298" t="s">
        <v>98</v>
      </c>
      <c r="G132" s="301">
        <f t="shared" si="4"/>
        <v>92.41</v>
      </c>
    </row>
    <row r="133" spans="1:7" x14ac:dyDescent="0.25">
      <c r="A133" s="297">
        <v>40896</v>
      </c>
      <c r="B133" s="298" t="s">
        <v>4274</v>
      </c>
      <c r="C133" s="299" t="s">
        <v>2884</v>
      </c>
      <c r="D133" s="300">
        <v>116.2</v>
      </c>
      <c r="E133" s="350">
        <f t="shared" si="5"/>
        <v>94.23</v>
      </c>
      <c r="F133" s="298" t="s">
        <v>98</v>
      </c>
      <c r="G133" s="301">
        <f t="shared" si="4"/>
        <v>97.94</v>
      </c>
    </row>
    <row r="134" spans="1:7" x14ac:dyDescent="0.25">
      <c r="A134" s="297">
        <v>40886</v>
      </c>
      <c r="B134" s="298" t="s">
        <v>4075</v>
      </c>
      <c r="C134" s="299" t="s">
        <v>2884</v>
      </c>
      <c r="D134" s="300">
        <v>40.79</v>
      </c>
      <c r="E134" s="350">
        <f t="shared" si="5"/>
        <v>33.08</v>
      </c>
      <c r="F134" s="298" t="s">
        <v>3693</v>
      </c>
      <c r="G134" s="301">
        <f t="shared" si="4"/>
        <v>34.380000000000003</v>
      </c>
    </row>
    <row r="135" spans="1:7" x14ac:dyDescent="0.25">
      <c r="A135" s="297">
        <v>40887</v>
      </c>
      <c r="B135" s="298" t="s">
        <v>4076</v>
      </c>
      <c r="C135" s="299" t="s">
        <v>2884</v>
      </c>
      <c r="D135" s="300">
        <v>204.56</v>
      </c>
      <c r="E135" s="350">
        <f t="shared" si="5"/>
        <v>165.88</v>
      </c>
      <c r="F135" s="298" t="s">
        <v>3693</v>
      </c>
      <c r="G135" s="301">
        <f t="shared" si="4"/>
        <v>172.4</v>
      </c>
    </row>
    <row r="136" spans="1:7" x14ac:dyDescent="0.25">
      <c r="A136" s="297">
        <v>40888</v>
      </c>
      <c r="B136" s="298" t="s">
        <v>4077</v>
      </c>
      <c r="C136" s="299" t="s">
        <v>2884</v>
      </c>
      <c r="D136" s="300">
        <v>204</v>
      </c>
      <c r="E136" s="350">
        <f t="shared" si="5"/>
        <v>165.43</v>
      </c>
      <c r="F136" s="298" t="s">
        <v>3693</v>
      </c>
      <c r="G136" s="301">
        <f t="shared" si="4"/>
        <v>171.94</v>
      </c>
    </row>
    <row r="137" spans="1:7" x14ac:dyDescent="0.25">
      <c r="A137" s="297">
        <v>40889</v>
      </c>
      <c r="B137" s="298" t="s">
        <v>2944</v>
      </c>
      <c r="C137" s="299" t="s">
        <v>2884</v>
      </c>
      <c r="D137" s="300">
        <v>149.99</v>
      </c>
      <c r="E137" s="350">
        <f t="shared" si="5"/>
        <v>121.63</v>
      </c>
      <c r="F137" s="298" t="s">
        <v>3693</v>
      </c>
      <c r="G137" s="301">
        <f t="shared" si="4"/>
        <v>126.41</v>
      </c>
    </row>
    <row r="138" spans="1:7" x14ac:dyDescent="0.25">
      <c r="A138" s="297">
        <v>40818</v>
      </c>
      <c r="B138" s="298" t="s">
        <v>2945</v>
      </c>
      <c r="C138" s="299" t="s">
        <v>2884</v>
      </c>
      <c r="D138" s="300">
        <v>0.83</v>
      </c>
      <c r="E138" s="350">
        <f t="shared" si="5"/>
        <v>0.68</v>
      </c>
      <c r="F138" s="298" t="s">
        <v>98</v>
      </c>
      <c r="G138" s="301">
        <f t="shared" si="4"/>
        <v>0.71</v>
      </c>
    </row>
    <row r="139" spans="1:7" x14ac:dyDescent="0.25">
      <c r="A139" s="297">
        <v>40819</v>
      </c>
      <c r="B139" s="298" t="s">
        <v>2946</v>
      </c>
      <c r="C139" s="299" t="s">
        <v>2884</v>
      </c>
      <c r="D139" s="300">
        <v>2.91</v>
      </c>
      <c r="E139" s="350">
        <f t="shared" si="5"/>
        <v>2.36</v>
      </c>
      <c r="F139" s="298" t="s">
        <v>3693</v>
      </c>
      <c r="G139" s="301">
        <f t="shared" si="4"/>
        <v>2.46</v>
      </c>
    </row>
    <row r="140" spans="1:7" x14ac:dyDescent="0.25">
      <c r="A140" s="297">
        <v>40872</v>
      </c>
      <c r="B140" s="298" t="s">
        <v>2947</v>
      </c>
      <c r="C140" s="299" t="s">
        <v>284</v>
      </c>
      <c r="D140" s="300">
        <v>79.430000000000007</v>
      </c>
      <c r="E140" s="350">
        <f t="shared" si="5"/>
        <v>64.41</v>
      </c>
      <c r="F140" s="298" t="s">
        <v>3693</v>
      </c>
      <c r="G140" s="301">
        <f t="shared" si="4"/>
        <v>66.95</v>
      </c>
    </row>
    <row r="141" spans="1:7" x14ac:dyDescent="0.25">
      <c r="A141" s="297">
        <v>40836</v>
      </c>
      <c r="B141" s="298" t="s">
        <v>2948</v>
      </c>
      <c r="C141" s="299" t="s">
        <v>284</v>
      </c>
      <c r="D141" s="300">
        <v>54.31</v>
      </c>
      <c r="E141" s="350">
        <f t="shared" si="5"/>
        <v>44.04</v>
      </c>
      <c r="F141" s="298" t="s">
        <v>3693</v>
      </c>
      <c r="G141" s="301">
        <f t="shared" si="4"/>
        <v>45.78</v>
      </c>
    </row>
    <row r="142" spans="1:7" x14ac:dyDescent="0.25">
      <c r="A142" s="297">
        <v>40837</v>
      </c>
      <c r="B142" s="298" t="s">
        <v>2949</v>
      </c>
      <c r="C142" s="299" t="s">
        <v>284</v>
      </c>
      <c r="D142" s="300">
        <v>404.13</v>
      </c>
      <c r="E142" s="350">
        <f t="shared" si="5"/>
        <v>327.71</v>
      </c>
      <c r="F142" s="298" t="s">
        <v>3693</v>
      </c>
      <c r="G142" s="301">
        <f t="shared" si="4"/>
        <v>340.59</v>
      </c>
    </row>
    <row r="143" spans="1:7" x14ac:dyDescent="0.25">
      <c r="A143" s="297">
        <v>41076</v>
      </c>
      <c r="B143" s="298" t="s">
        <v>2950</v>
      </c>
      <c r="C143" s="299" t="s">
        <v>76</v>
      </c>
      <c r="D143" s="300">
        <v>69.069999999999993</v>
      </c>
      <c r="E143" s="350">
        <f t="shared" si="5"/>
        <v>56.01</v>
      </c>
      <c r="F143" s="298" t="s">
        <v>98</v>
      </c>
      <c r="G143" s="301">
        <f t="shared" si="4"/>
        <v>58.22</v>
      </c>
    </row>
    <row r="144" spans="1:7" x14ac:dyDescent="0.25">
      <c r="A144" s="297">
        <v>41556</v>
      </c>
      <c r="B144" s="298" t="s">
        <v>4084</v>
      </c>
      <c r="C144" s="299" t="s">
        <v>76</v>
      </c>
      <c r="D144" s="300">
        <v>74.040000000000006</v>
      </c>
      <c r="E144" s="350">
        <f t="shared" si="5"/>
        <v>60.04</v>
      </c>
      <c r="F144" s="298" t="s">
        <v>3693</v>
      </c>
      <c r="G144" s="301">
        <f t="shared" si="4"/>
        <v>62.4</v>
      </c>
    </row>
    <row r="145" spans="1:7" x14ac:dyDescent="0.25">
      <c r="A145" s="297">
        <v>43345</v>
      </c>
      <c r="B145" s="298" t="s">
        <v>4106</v>
      </c>
      <c r="C145" s="299" t="s">
        <v>76</v>
      </c>
      <c r="D145" s="300">
        <v>39.909999999999997</v>
      </c>
      <c r="E145" s="350">
        <f t="shared" si="5"/>
        <v>32.369999999999997</v>
      </c>
      <c r="F145" s="298" t="s">
        <v>98</v>
      </c>
      <c r="G145" s="301">
        <f t="shared" si="4"/>
        <v>33.65</v>
      </c>
    </row>
    <row r="146" spans="1:7" x14ac:dyDescent="0.25">
      <c r="A146" s="297">
        <v>40720</v>
      </c>
      <c r="B146" s="298" t="s">
        <v>4107</v>
      </c>
      <c r="C146" s="299" t="s">
        <v>76</v>
      </c>
      <c r="D146" s="300">
        <v>86.2</v>
      </c>
      <c r="E146" s="350">
        <f t="shared" si="5"/>
        <v>69.900000000000006</v>
      </c>
      <c r="F146" s="298" t="s">
        <v>98</v>
      </c>
      <c r="G146" s="301">
        <f t="shared" si="4"/>
        <v>72.650000000000006</v>
      </c>
    </row>
    <row r="147" spans="1:7" x14ac:dyDescent="0.25">
      <c r="A147" s="297">
        <v>41070</v>
      </c>
      <c r="B147" s="298" t="s">
        <v>2951</v>
      </c>
      <c r="C147" s="299" t="s">
        <v>76</v>
      </c>
      <c r="D147" s="300">
        <v>116.14</v>
      </c>
      <c r="E147" s="350">
        <f t="shared" si="5"/>
        <v>94.18</v>
      </c>
      <c r="F147" s="298" t="s">
        <v>3693</v>
      </c>
      <c r="G147" s="301">
        <f t="shared" si="4"/>
        <v>97.89</v>
      </c>
    </row>
    <row r="148" spans="1:7" x14ac:dyDescent="0.25">
      <c r="A148" s="297">
        <v>40984</v>
      </c>
      <c r="B148" s="298" t="s">
        <v>2953</v>
      </c>
      <c r="C148" s="299" t="s">
        <v>76</v>
      </c>
      <c r="D148" s="300">
        <v>58.56</v>
      </c>
      <c r="E148" s="350">
        <f t="shared" si="5"/>
        <v>47.49</v>
      </c>
      <c r="F148" s="298" t="s">
        <v>98</v>
      </c>
      <c r="G148" s="301">
        <f t="shared" si="4"/>
        <v>49.36</v>
      </c>
    </row>
    <row r="149" spans="1:7" x14ac:dyDescent="0.25">
      <c r="A149" s="297">
        <v>41356</v>
      </c>
      <c r="B149" s="298" t="s">
        <v>2954</v>
      </c>
      <c r="C149" s="299" t="s">
        <v>76</v>
      </c>
      <c r="D149" s="300">
        <v>114.56</v>
      </c>
      <c r="E149" s="350">
        <f t="shared" si="5"/>
        <v>92.9</v>
      </c>
      <c r="F149" s="298" t="s">
        <v>3693</v>
      </c>
      <c r="G149" s="301">
        <f t="shared" si="4"/>
        <v>96.56</v>
      </c>
    </row>
    <row r="150" spans="1:7" x14ac:dyDescent="0.25">
      <c r="A150" s="297">
        <v>40774</v>
      </c>
      <c r="B150" s="298" t="s">
        <v>2955</v>
      </c>
      <c r="C150" s="299" t="s">
        <v>76</v>
      </c>
      <c r="D150" s="300">
        <v>114.56</v>
      </c>
      <c r="E150" s="350">
        <f t="shared" si="5"/>
        <v>92.9</v>
      </c>
      <c r="F150" s="298" t="s">
        <v>98</v>
      </c>
      <c r="G150" s="301">
        <f t="shared" si="4"/>
        <v>96.56</v>
      </c>
    </row>
    <row r="151" spans="1:7" x14ac:dyDescent="0.25">
      <c r="A151" s="297">
        <v>40768</v>
      </c>
      <c r="B151" s="298" t="s">
        <v>2956</v>
      </c>
      <c r="C151" s="299" t="s">
        <v>76</v>
      </c>
      <c r="D151" s="300">
        <v>104.94</v>
      </c>
      <c r="E151" s="350">
        <f t="shared" si="5"/>
        <v>85.1</v>
      </c>
      <c r="F151" s="298" t="s">
        <v>3693</v>
      </c>
      <c r="G151" s="301">
        <f t="shared" si="4"/>
        <v>88.45</v>
      </c>
    </row>
    <row r="152" spans="1:7" x14ac:dyDescent="0.25">
      <c r="A152" s="297">
        <v>40767</v>
      </c>
      <c r="B152" s="298" t="s">
        <v>2957</v>
      </c>
      <c r="C152" s="299" t="s">
        <v>76</v>
      </c>
      <c r="D152" s="300">
        <v>96.48</v>
      </c>
      <c r="E152" s="350">
        <f t="shared" si="5"/>
        <v>78.239999999999995</v>
      </c>
      <c r="F152" s="298" t="s">
        <v>3693</v>
      </c>
      <c r="G152" s="301">
        <f t="shared" si="4"/>
        <v>81.319999999999993</v>
      </c>
    </row>
    <row r="153" spans="1:7" x14ac:dyDescent="0.25">
      <c r="A153" s="297">
        <v>40769</v>
      </c>
      <c r="B153" s="298" t="s">
        <v>2958</v>
      </c>
      <c r="C153" s="299" t="s">
        <v>76</v>
      </c>
      <c r="D153" s="300">
        <v>124.18</v>
      </c>
      <c r="E153" s="350">
        <f t="shared" si="5"/>
        <v>100.7</v>
      </c>
      <c r="F153" s="298" t="s">
        <v>3693</v>
      </c>
      <c r="G153" s="301">
        <f t="shared" si="4"/>
        <v>104.66</v>
      </c>
    </row>
    <row r="154" spans="1:7" x14ac:dyDescent="0.25">
      <c r="A154" s="297">
        <v>40766</v>
      </c>
      <c r="B154" s="298" t="s">
        <v>2959</v>
      </c>
      <c r="C154" s="299" t="s">
        <v>76</v>
      </c>
      <c r="D154" s="300">
        <v>63.89</v>
      </c>
      <c r="E154" s="350">
        <f t="shared" si="5"/>
        <v>51.81</v>
      </c>
      <c r="F154" s="298" t="s">
        <v>98</v>
      </c>
      <c r="G154" s="301">
        <f t="shared" si="4"/>
        <v>53.85</v>
      </c>
    </row>
    <row r="155" spans="1:7" x14ac:dyDescent="0.25">
      <c r="A155" s="297">
        <v>40771</v>
      </c>
      <c r="B155" s="298" t="s">
        <v>4110</v>
      </c>
      <c r="C155" s="299" t="s">
        <v>76</v>
      </c>
      <c r="D155" s="300">
        <v>352.05</v>
      </c>
      <c r="E155" s="350">
        <f t="shared" si="5"/>
        <v>285.48</v>
      </c>
      <c r="F155" s="298" t="s">
        <v>3693</v>
      </c>
      <c r="G155" s="301">
        <f t="shared" si="4"/>
        <v>296.7</v>
      </c>
    </row>
    <row r="156" spans="1:7" x14ac:dyDescent="0.25">
      <c r="A156" s="297">
        <v>40773</v>
      </c>
      <c r="B156" s="298" t="s">
        <v>2960</v>
      </c>
      <c r="C156" s="299" t="s">
        <v>76</v>
      </c>
      <c r="D156" s="300">
        <v>85.38</v>
      </c>
      <c r="E156" s="350">
        <f t="shared" si="5"/>
        <v>69.239999999999995</v>
      </c>
      <c r="F156" s="298" t="s">
        <v>3693</v>
      </c>
      <c r="G156" s="301">
        <f t="shared" si="4"/>
        <v>71.97</v>
      </c>
    </row>
    <row r="157" spans="1:7" x14ac:dyDescent="0.25">
      <c r="A157" s="297">
        <v>40775</v>
      </c>
      <c r="B157" s="298" t="s">
        <v>2961</v>
      </c>
      <c r="C157" s="299" t="s">
        <v>76</v>
      </c>
      <c r="D157" s="300">
        <v>124.18</v>
      </c>
      <c r="E157" s="350">
        <f t="shared" si="5"/>
        <v>100.7</v>
      </c>
      <c r="F157" s="298" t="s">
        <v>98</v>
      </c>
      <c r="G157" s="301">
        <f t="shared" si="4"/>
        <v>104.66</v>
      </c>
    </row>
    <row r="158" spans="1:7" x14ac:dyDescent="0.25">
      <c r="A158" s="297">
        <v>40762</v>
      </c>
      <c r="B158" s="298" t="s">
        <v>4112</v>
      </c>
      <c r="C158" s="299" t="s">
        <v>2884</v>
      </c>
      <c r="D158" s="300">
        <v>7.62</v>
      </c>
      <c r="E158" s="350">
        <f t="shared" si="5"/>
        <v>6.18</v>
      </c>
      <c r="F158" s="298" t="s">
        <v>98</v>
      </c>
      <c r="G158" s="301">
        <f t="shared" si="4"/>
        <v>6.43</v>
      </c>
    </row>
    <row r="159" spans="1:7" x14ac:dyDescent="0.25">
      <c r="A159" s="297">
        <v>40804</v>
      </c>
      <c r="B159" s="298" t="s">
        <v>2962</v>
      </c>
      <c r="C159" s="299" t="s">
        <v>2884</v>
      </c>
      <c r="D159" s="300">
        <v>13.28</v>
      </c>
      <c r="E159" s="350">
        <f t="shared" si="5"/>
        <v>10.77</v>
      </c>
      <c r="F159" s="298" t="s">
        <v>3693</v>
      </c>
      <c r="G159" s="301">
        <f t="shared" si="4"/>
        <v>11.2</v>
      </c>
    </row>
    <row r="160" spans="1:7" x14ac:dyDescent="0.25">
      <c r="A160" s="297">
        <v>40811</v>
      </c>
      <c r="B160" s="298" t="s">
        <v>2963</v>
      </c>
      <c r="C160" s="299" t="s">
        <v>76</v>
      </c>
      <c r="D160" s="300">
        <v>72.099999999999994</v>
      </c>
      <c r="E160" s="350">
        <f t="shared" si="5"/>
        <v>58.47</v>
      </c>
      <c r="F160" s="298" t="s">
        <v>98</v>
      </c>
      <c r="G160" s="301">
        <f t="shared" si="4"/>
        <v>60.77</v>
      </c>
    </row>
    <row r="161" spans="1:7" x14ac:dyDescent="0.25">
      <c r="A161" s="297">
        <v>42211</v>
      </c>
      <c r="B161" s="302" t="s">
        <v>2964</v>
      </c>
      <c r="C161" s="299" t="s">
        <v>76</v>
      </c>
      <c r="D161" s="300">
        <v>72.099999999999994</v>
      </c>
      <c r="E161" s="350">
        <f t="shared" si="5"/>
        <v>58.47</v>
      </c>
      <c r="F161" s="298" t="s">
        <v>3693</v>
      </c>
      <c r="G161" s="301">
        <f t="shared" si="4"/>
        <v>60.77</v>
      </c>
    </row>
    <row r="162" spans="1:7" x14ac:dyDescent="0.25">
      <c r="A162" s="297">
        <v>40756</v>
      </c>
      <c r="B162" s="298" t="s">
        <v>2965</v>
      </c>
      <c r="C162" s="299" t="s">
        <v>76</v>
      </c>
      <c r="D162" s="300">
        <v>8.44</v>
      </c>
      <c r="E162" s="350">
        <f t="shared" si="5"/>
        <v>6.85</v>
      </c>
      <c r="F162" s="298" t="s">
        <v>98</v>
      </c>
      <c r="G162" s="301">
        <f t="shared" si="4"/>
        <v>7.12</v>
      </c>
    </row>
    <row r="163" spans="1:7" x14ac:dyDescent="0.25">
      <c r="A163" s="297">
        <v>40754</v>
      </c>
      <c r="B163" s="298" t="s">
        <v>435</v>
      </c>
      <c r="C163" s="299" t="s">
        <v>2884</v>
      </c>
      <c r="D163" s="300">
        <v>1.5</v>
      </c>
      <c r="E163" s="350">
        <f t="shared" si="5"/>
        <v>1.22</v>
      </c>
      <c r="F163" s="298" t="s">
        <v>98</v>
      </c>
      <c r="G163" s="301">
        <f t="shared" si="4"/>
        <v>1.27</v>
      </c>
    </row>
    <row r="164" spans="1:7" x14ac:dyDescent="0.25">
      <c r="A164" s="297">
        <v>40866</v>
      </c>
      <c r="B164" s="298" t="s">
        <v>2966</v>
      </c>
      <c r="C164" s="299" t="s">
        <v>2884</v>
      </c>
      <c r="D164" s="300">
        <v>0.98</v>
      </c>
      <c r="E164" s="350">
        <f t="shared" si="5"/>
        <v>0.8</v>
      </c>
      <c r="F164" s="298" t="s">
        <v>98</v>
      </c>
      <c r="G164" s="301">
        <f t="shared" si="4"/>
        <v>0.84</v>
      </c>
    </row>
    <row r="165" spans="1:7" x14ac:dyDescent="0.25">
      <c r="A165" s="297">
        <v>40893</v>
      </c>
      <c r="B165" s="298" t="s">
        <v>2967</v>
      </c>
      <c r="C165" s="299" t="s">
        <v>82</v>
      </c>
      <c r="D165" s="300">
        <v>26.97</v>
      </c>
      <c r="E165" s="350">
        <f t="shared" si="5"/>
        <v>21.87</v>
      </c>
      <c r="F165" s="298" t="s">
        <v>98</v>
      </c>
      <c r="G165" s="301">
        <f t="shared" si="4"/>
        <v>22.73</v>
      </c>
    </row>
    <row r="166" spans="1:7" x14ac:dyDescent="0.25">
      <c r="A166" s="297">
        <v>40891</v>
      </c>
      <c r="B166" s="298" t="s">
        <v>2968</v>
      </c>
      <c r="C166" s="299" t="s">
        <v>2884</v>
      </c>
      <c r="D166" s="300">
        <v>21.8</v>
      </c>
      <c r="E166" s="350">
        <f t="shared" si="5"/>
        <v>17.68</v>
      </c>
      <c r="F166" s="298" t="s">
        <v>98</v>
      </c>
      <c r="G166" s="301">
        <f t="shared" si="4"/>
        <v>18.38</v>
      </c>
    </row>
    <row r="167" spans="1:7" x14ac:dyDescent="0.25">
      <c r="A167" s="297">
        <v>40890</v>
      </c>
      <c r="B167" s="298" t="s">
        <v>2969</v>
      </c>
      <c r="C167" s="299" t="s">
        <v>2884</v>
      </c>
      <c r="D167" s="300">
        <v>78.400000000000006</v>
      </c>
      <c r="E167" s="350">
        <f t="shared" si="5"/>
        <v>63.58</v>
      </c>
      <c r="F167" s="298" t="s">
        <v>3693</v>
      </c>
      <c r="G167" s="301">
        <f t="shared" si="4"/>
        <v>66.08</v>
      </c>
    </row>
    <row r="168" spans="1:7" x14ac:dyDescent="0.25">
      <c r="A168" s="297">
        <v>40892</v>
      </c>
      <c r="B168" s="298" t="s">
        <v>2970</v>
      </c>
      <c r="C168" s="299" t="s">
        <v>2884</v>
      </c>
      <c r="D168" s="300">
        <v>87.24</v>
      </c>
      <c r="E168" s="350">
        <f t="shared" si="5"/>
        <v>70.75</v>
      </c>
      <c r="F168" s="298" t="s">
        <v>3693</v>
      </c>
      <c r="G168" s="301">
        <f t="shared" si="4"/>
        <v>73.540000000000006</v>
      </c>
    </row>
    <row r="169" spans="1:7" x14ac:dyDescent="0.25">
      <c r="A169" s="297">
        <v>40749</v>
      </c>
      <c r="B169" s="298" t="s">
        <v>2971</v>
      </c>
      <c r="C169" s="299" t="s">
        <v>2884</v>
      </c>
      <c r="D169" s="300">
        <v>0.2</v>
      </c>
      <c r="E169" s="350">
        <f t="shared" si="5"/>
        <v>0.17</v>
      </c>
      <c r="F169" s="298" t="s">
        <v>98</v>
      </c>
      <c r="G169" s="301">
        <f t="shared" si="4"/>
        <v>0.18</v>
      </c>
    </row>
    <row r="170" spans="1:7" x14ac:dyDescent="0.25">
      <c r="A170" s="297">
        <v>40750</v>
      </c>
      <c r="B170" s="298" t="s">
        <v>2972</v>
      </c>
      <c r="C170" s="299" t="s">
        <v>2884</v>
      </c>
      <c r="D170" s="300">
        <v>0.99</v>
      </c>
      <c r="E170" s="350">
        <f t="shared" si="5"/>
        <v>0.81</v>
      </c>
      <c r="F170" s="298" t="s">
        <v>98</v>
      </c>
      <c r="G170" s="301">
        <f t="shared" si="4"/>
        <v>0.85</v>
      </c>
    </row>
    <row r="171" spans="1:7" x14ac:dyDescent="0.25">
      <c r="A171" s="297">
        <v>40792</v>
      </c>
      <c r="B171" s="298" t="s">
        <v>2973</v>
      </c>
      <c r="C171" s="299" t="s">
        <v>76</v>
      </c>
      <c r="D171" s="300">
        <v>114.31</v>
      </c>
      <c r="E171" s="350">
        <f t="shared" si="5"/>
        <v>92.7</v>
      </c>
      <c r="F171" s="298" t="s">
        <v>3693</v>
      </c>
      <c r="G171" s="301">
        <f t="shared" si="4"/>
        <v>96.35</v>
      </c>
    </row>
    <row r="172" spans="1:7" x14ac:dyDescent="0.25">
      <c r="A172" s="297">
        <v>40794</v>
      </c>
      <c r="B172" s="298" t="s">
        <v>2974</v>
      </c>
      <c r="C172" s="299" t="s">
        <v>76</v>
      </c>
      <c r="D172" s="300">
        <v>48.85</v>
      </c>
      <c r="E172" s="350">
        <f t="shared" si="5"/>
        <v>39.619999999999997</v>
      </c>
      <c r="F172" s="298" t="s">
        <v>3693</v>
      </c>
      <c r="G172" s="301">
        <f t="shared" si="4"/>
        <v>41.18</v>
      </c>
    </row>
    <row r="173" spans="1:7" x14ac:dyDescent="0.25">
      <c r="A173" s="297">
        <v>40796</v>
      </c>
      <c r="B173" s="298" t="s">
        <v>4145</v>
      </c>
      <c r="C173" s="299" t="s">
        <v>76</v>
      </c>
      <c r="D173" s="300">
        <v>43.13</v>
      </c>
      <c r="E173" s="350">
        <f t="shared" si="5"/>
        <v>34.979999999999997</v>
      </c>
      <c r="F173" s="298" t="s">
        <v>3693</v>
      </c>
      <c r="G173" s="301">
        <f t="shared" si="4"/>
        <v>36.36</v>
      </c>
    </row>
    <row r="174" spans="1:7" x14ac:dyDescent="0.25">
      <c r="A174" s="297">
        <v>41098</v>
      </c>
      <c r="B174" s="298" t="s">
        <v>2975</v>
      </c>
      <c r="C174" s="299" t="s">
        <v>76</v>
      </c>
      <c r="D174" s="300">
        <v>43.13</v>
      </c>
      <c r="E174" s="350">
        <f t="shared" si="5"/>
        <v>34.979999999999997</v>
      </c>
      <c r="F174" s="298" t="s">
        <v>98</v>
      </c>
      <c r="G174" s="301">
        <f t="shared" si="4"/>
        <v>36.36</v>
      </c>
    </row>
    <row r="175" spans="1:7" x14ac:dyDescent="0.25">
      <c r="A175" s="297">
        <v>40786</v>
      </c>
      <c r="B175" s="298" t="s">
        <v>2976</v>
      </c>
      <c r="C175" s="299" t="s">
        <v>76</v>
      </c>
      <c r="D175" s="300">
        <v>112.86</v>
      </c>
      <c r="E175" s="350">
        <f t="shared" si="5"/>
        <v>91.52</v>
      </c>
      <c r="F175" s="298" t="s">
        <v>3693</v>
      </c>
      <c r="G175" s="301">
        <f t="shared" si="4"/>
        <v>95.12</v>
      </c>
    </row>
    <row r="176" spans="1:7" x14ac:dyDescent="0.25">
      <c r="A176" s="297">
        <v>43327</v>
      </c>
      <c r="B176" s="298" t="s">
        <v>4147</v>
      </c>
      <c r="C176" s="299" t="s">
        <v>76</v>
      </c>
      <c r="D176" s="300">
        <v>112.86</v>
      </c>
      <c r="E176" s="350">
        <f t="shared" si="5"/>
        <v>91.52</v>
      </c>
      <c r="F176" s="298" t="s">
        <v>98</v>
      </c>
      <c r="G176" s="301">
        <f t="shared" si="4"/>
        <v>95.12</v>
      </c>
    </row>
    <row r="177" spans="1:7" x14ac:dyDescent="0.25">
      <c r="A177" s="297">
        <v>42675</v>
      </c>
      <c r="B177" s="298" t="s">
        <v>2977</v>
      </c>
      <c r="C177" s="299" t="s">
        <v>76</v>
      </c>
      <c r="D177" s="300">
        <v>153.19999999999999</v>
      </c>
      <c r="E177" s="350">
        <f t="shared" si="5"/>
        <v>124.23</v>
      </c>
      <c r="F177" s="298" t="s">
        <v>98</v>
      </c>
      <c r="G177" s="301">
        <f t="shared" si="4"/>
        <v>129.12</v>
      </c>
    </row>
    <row r="178" spans="1:7" x14ac:dyDescent="0.25">
      <c r="A178" s="297">
        <v>40802</v>
      </c>
      <c r="B178" s="298" t="s">
        <v>2978</v>
      </c>
      <c r="C178" s="299" t="s">
        <v>76</v>
      </c>
      <c r="D178" s="300">
        <v>70.83</v>
      </c>
      <c r="E178" s="350">
        <f t="shared" si="5"/>
        <v>57.44</v>
      </c>
      <c r="F178" s="298" t="s">
        <v>3693</v>
      </c>
      <c r="G178" s="301">
        <f t="shared" si="4"/>
        <v>59.7</v>
      </c>
    </row>
    <row r="179" spans="1:7" x14ac:dyDescent="0.25">
      <c r="A179" s="297">
        <v>41074</v>
      </c>
      <c r="B179" s="298" t="s">
        <v>2979</v>
      </c>
      <c r="C179" s="299" t="s">
        <v>76</v>
      </c>
      <c r="D179" s="300">
        <v>72.62</v>
      </c>
      <c r="E179" s="350">
        <f t="shared" si="5"/>
        <v>58.89</v>
      </c>
      <c r="F179" s="298" t="s">
        <v>98</v>
      </c>
      <c r="G179" s="301">
        <f t="shared" si="4"/>
        <v>61.21</v>
      </c>
    </row>
    <row r="180" spans="1:7" x14ac:dyDescent="0.25">
      <c r="A180" s="297">
        <v>40776</v>
      </c>
      <c r="B180" s="298" t="s">
        <v>2980</v>
      </c>
      <c r="C180" s="299" t="s">
        <v>76</v>
      </c>
      <c r="D180" s="300">
        <v>47.61</v>
      </c>
      <c r="E180" s="350">
        <f t="shared" si="5"/>
        <v>38.61</v>
      </c>
      <c r="F180" s="298" t="s">
        <v>3693</v>
      </c>
      <c r="G180" s="301">
        <f t="shared" si="4"/>
        <v>40.130000000000003</v>
      </c>
    </row>
    <row r="181" spans="1:7" x14ac:dyDescent="0.25">
      <c r="A181" s="297">
        <v>40778</v>
      </c>
      <c r="B181" s="298" t="s">
        <v>2981</v>
      </c>
      <c r="C181" s="299" t="s">
        <v>76</v>
      </c>
      <c r="D181" s="300">
        <v>53.86</v>
      </c>
      <c r="E181" s="350">
        <f t="shared" si="5"/>
        <v>43.68</v>
      </c>
      <c r="F181" s="298" t="s">
        <v>3693</v>
      </c>
      <c r="G181" s="301">
        <f t="shared" si="4"/>
        <v>45.4</v>
      </c>
    </row>
    <row r="182" spans="1:7" x14ac:dyDescent="0.25">
      <c r="A182" s="297">
        <v>40780</v>
      </c>
      <c r="B182" s="298" t="s">
        <v>2982</v>
      </c>
      <c r="C182" s="299" t="s">
        <v>76</v>
      </c>
      <c r="D182" s="300">
        <v>75.760000000000005</v>
      </c>
      <c r="E182" s="350">
        <f t="shared" si="5"/>
        <v>61.44</v>
      </c>
      <c r="F182" s="298" t="s">
        <v>3693</v>
      </c>
      <c r="G182" s="301">
        <f t="shared" si="4"/>
        <v>63.86</v>
      </c>
    </row>
    <row r="183" spans="1:7" x14ac:dyDescent="0.25">
      <c r="A183" s="297">
        <v>40782</v>
      </c>
      <c r="B183" s="298" t="s">
        <v>2983</v>
      </c>
      <c r="C183" s="299" t="s">
        <v>76</v>
      </c>
      <c r="D183" s="300">
        <v>95.1</v>
      </c>
      <c r="E183" s="350">
        <f t="shared" si="5"/>
        <v>77.12</v>
      </c>
      <c r="F183" s="298" t="s">
        <v>3693</v>
      </c>
      <c r="G183" s="301">
        <f t="shared" si="4"/>
        <v>80.16</v>
      </c>
    </row>
    <row r="184" spans="1:7" x14ac:dyDescent="0.25">
      <c r="A184" s="297">
        <v>40830</v>
      </c>
      <c r="B184" s="298" t="s">
        <v>2984</v>
      </c>
      <c r="C184" s="299" t="s">
        <v>2884</v>
      </c>
      <c r="D184" s="300">
        <v>9.9</v>
      </c>
      <c r="E184" s="350">
        <f t="shared" si="5"/>
        <v>8.0299999999999994</v>
      </c>
      <c r="F184" s="298" t="s">
        <v>3693</v>
      </c>
      <c r="G184" s="301">
        <f t="shared" si="4"/>
        <v>8.35</v>
      </c>
    </row>
    <row r="185" spans="1:7" x14ac:dyDescent="0.25">
      <c r="A185" s="297">
        <v>40873</v>
      </c>
      <c r="B185" s="298" t="s">
        <v>4160</v>
      </c>
      <c r="C185" s="299" t="s">
        <v>2884</v>
      </c>
      <c r="D185" s="300">
        <v>8.17</v>
      </c>
      <c r="E185" s="350">
        <f t="shared" si="5"/>
        <v>6.63</v>
      </c>
      <c r="F185" s="298" t="s">
        <v>3693</v>
      </c>
      <c r="G185" s="301">
        <f t="shared" si="4"/>
        <v>6.9</v>
      </c>
    </row>
    <row r="186" spans="1:7" x14ac:dyDescent="0.25">
      <c r="A186" s="297">
        <v>40876</v>
      </c>
      <c r="B186" s="298" t="s">
        <v>4161</v>
      </c>
      <c r="C186" s="299" t="s">
        <v>2884</v>
      </c>
      <c r="D186" s="300">
        <v>8.7799999999999994</v>
      </c>
      <c r="E186" s="350">
        <f t="shared" si="5"/>
        <v>7.12</v>
      </c>
      <c r="F186" s="298" t="s">
        <v>98</v>
      </c>
      <c r="G186" s="301">
        <f t="shared" si="4"/>
        <v>7.4</v>
      </c>
    </row>
    <row r="187" spans="1:7" x14ac:dyDescent="0.25">
      <c r="A187" s="297">
        <v>41363</v>
      </c>
      <c r="B187" s="298" t="s">
        <v>4162</v>
      </c>
      <c r="C187" s="299" t="s">
        <v>2884</v>
      </c>
      <c r="D187" s="300">
        <v>14.94</v>
      </c>
      <c r="E187" s="350">
        <f t="shared" si="5"/>
        <v>12.12</v>
      </c>
      <c r="F187" s="298" t="s">
        <v>3693</v>
      </c>
      <c r="G187" s="301">
        <f t="shared" si="4"/>
        <v>12.6</v>
      </c>
    </row>
    <row r="188" spans="1:7" x14ac:dyDescent="0.25">
      <c r="A188" s="297">
        <v>40831</v>
      </c>
      <c r="B188" s="298" t="s">
        <v>4164</v>
      </c>
      <c r="C188" s="299" t="s">
        <v>2884</v>
      </c>
      <c r="D188" s="300">
        <v>26.02</v>
      </c>
      <c r="E188" s="350">
        <f t="shared" si="5"/>
        <v>21.1</v>
      </c>
      <c r="F188" s="298" t="s">
        <v>3693</v>
      </c>
      <c r="G188" s="301">
        <f t="shared" si="4"/>
        <v>21.93</v>
      </c>
    </row>
    <row r="189" spans="1:7" x14ac:dyDescent="0.25">
      <c r="A189" s="297">
        <v>40827</v>
      </c>
      <c r="B189" s="298" t="s">
        <v>4165</v>
      </c>
      <c r="C189" s="299" t="s">
        <v>2884</v>
      </c>
      <c r="D189" s="300">
        <v>14.21</v>
      </c>
      <c r="E189" s="350">
        <f t="shared" si="5"/>
        <v>11.53</v>
      </c>
      <c r="F189" s="298" t="s">
        <v>3693</v>
      </c>
      <c r="G189" s="301">
        <f t="shared" ref="G189:G251" si="6">ROUNDUP(E189*$H$2,2)</f>
        <v>11.99</v>
      </c>
    </row>
    <row r="190" spans="1:7" x14ac:dyDescent="0.25">
      <c r="A190" s="297">
        <v>40828</v>
      </c>
      <c r="B190" s="298" t="s">
        <v>4166</v>
      </c>
      <c r="C190" s="299" t="s">
        <v>2884</v>
      </c>
      <c r="D190" s="300">
        <v>9.0299999999999994</v>
      </c>
      <c r="E190" s="350">
        <f t="shared" si="5"/>
        <v>7.33</v>
      </c>
      <c r="F190" s="298" t="s">
        <v>3693</v>
      </c>
      <c r="G190" s="301">
        <f t="shared" si="6"/>
        <v>7.62</v>
      </c>
    </row>
    <row r="191" spans="1:7" x14ac:dyDescent="0.25">
      <c r="A191" s="297">
        <v>40874</v>
      </c>
      <c r="B191" s="298" t="s">
        <v>4167</v>
      </c>
      <c r="C191" s="299" t="s">
        <v>2884</v>
      </c>
      <c r="D191" s="300">
        <v>9.08</v>
      </c>
      <c r="E191" s="350">
        <f t="shared" si="5"/>
        <v>7.37</v>
      </c>
      <c r="F191" s="298" t="s">
        <v>3693</v>
      </c>
      <c r="G191" s="301">
        <f t="shared" si="6"/>
        <v>7.66</v>
      </c>
    </row>
    <row r="192" spans="1:7" x14ac:dyDescent="0.25">
      <c r="A192" s="297">
        <v>40875</v>
      </c>
      <c r="B192" s="298" t="s">
        <v>4273</v>
      </c>
      <c r="C192" s="299" t="s">
        <v>2884</v>
      </c>
      <c r="D192" s="300">
        <v>8.6199999999999992</v>
      </c>
      <c r="E192" s="350">
        <f t="shared" si="5"/>
        <v>6.99</v>
      </c>
      <c r="F192" s="298" t="s">
        <v>98</v>
      </c>
      <c r="G192" s="301">
        <f t="shared" si="6"/>
        <v>7.27</v>
      </c>
    </row>
    <row r="193" spans="1:7" x14ac:dyDescent="0.25">
      <c r="A193" s="297">
        <v>40829</v>
      </c>
      <c r="B193" s="298" t="s">
        <v>4168</v>
      </c>
      <c r="C193" s="299" t="s">
        <v>2884</v>
      </c>
      <c r="D193" s="300">
        <v>23.88</v>
      </c>
      <c r="E193" s="350">
        <f t="shared" si="5"/>
        <v>19.37</v>
      </c>
      <c r="F193" s="298" t="s">
        <v>3693</v>
      </c>
      <c r="G193" s="301">
        <f t="shared" si="6"/>
        <v>20.14</v>
      </c>
    </row>
    <row r="194" spans="1:7" x14ac:dyDescent="0.25">
      <c r="A194" s="297">
        <v>40824</v>
      </c>
      <c r="B194" s="298" t="s">
        <v>4169</v>
      </c>
      <c r="C194" s="299" t="s">
        <v>2884</v>
      </c>
      <c r="D194" s="300">
        <v>5.63</v>
      </c>
      <c r="E194" s="350">
        <f t="shared" ref="E194:E257" si="7">ROUNDUP(D194/(1+$L$2),2)</f>
        <v>4.57</v>
      </c>
      <c r="F194" s="298" t="s">
        <v>3693</v>
      </c>
      <c r="G194" s="301">
        <f t="shared" si="6"/>
        <v>4.75</v>
      </c>
    </row>
    <row r="195" spans="1:7" x14ac:dyDescent="0.25">
      <c r="A195" s="297">
        <v>40825</v>
      </c>
      <c r="B195" s="298" t="s">
        <v>4170</v>
      </c>
      <c r="C195" s="299" t="s">
        <v>2884</v>
      </c>
      <c r="D195" s="300">
        <v>10.81</v>
      </c>
      <c r="E195" s="350">
        <f t="shared" si="7"/>
        <v>8.77</v>
      </c>
      <c r="F195" s="298" t="s">
        <v>3693</v>
      </c>
      <c r="G195" s="301">
        <f t="shared" si="6"/>
        <v>9.1199999999999992</v>
      </c>
    </row>
    <row r="196" spans="1:7" x14ac:dyDescent="0.25">
      <c r="A196" s="297">
        <v>40820</v>
      </c>
      <c r="B196" s="298" t="s">
        <v>4171</v>
      </c>
      <c r="C196" s="299" t="s">
        <v>2884</v>
      </c>
      <c r="D196" s="300">
        <v>5.19</v>
      </c>
      <c r="E196" s="350">
        <f t="shared" si="7"/>
        <v>4.21</v>
      </c>
      <c r="F196" s="298" t="s">
        <v>3693</v>
      </c>
      <c r="G196" s="301">
        <f t="shared" si="6"/>
        <v>4.38</v>
      </c>
    </row>
    <row r="197" spans="1:7" x14ac:dyDescent="0.25">
      <c r="A197" s="297">
        <v>100394</v>
      </c>
      <c r="B197" s="298" t="s">
        <v>2985</v>
      </c>
      <c r="C197" s="299" t="s">
        <v>20</v>
      </c>
      <c r="D197" s="300">
        <v>22.07</v>
      </c>
      <c r="E197" s="350">
        <f t="shared" si="7"/>
        <v>17.899999999999999</v>
      </c>
      <c r="F197" s="298" t="s">
        <v>98</v>
      </c>
      <c r="G197" s="301">
        <f t="shared" si="6"/>
        <v>18.61</v>
      </c>
    </row>
    <row r="198" spans="1:7" x14ac:dyDescent="0.25">
      <c r="A198" s="297">
        <v>40376</v>
      </c>
      <c r="B198" s="298" t="s">
        <v>3694</v>
      </c>
      <c r="C198" s="299" t="s">
        <v>20</v>
      </c>
      <c r="D198" s="300">
        <v>19.87</v>
      </c>
      <c r="E198" s="350">
        <f t="shared" si="7"/>
        <v>16.12</v>
      </c>
      <c r="F198" s="298" t="s">
        <v>98</v>
      </c>
      <c r="G198" s="301">
        <f t="shared" si="6"/>
        <v>16.760000000000002</v>
      </c>
    </row>
    <row r="199" spans="1:7" x14ac:dyDescent="0.25">
      <c r="A199" s="297">
        <v>43351</v>
      </c>
      <c r="B199" s="298" t="s">
        <v>3695</v>
      </c>
      <c r="C199" s="299" t="s">
        <v>20</v>
      </c>
      <c r="D199" s="300">
        <v>17.649999999999999</v>
      </c>
      <c r="E199" s="350">
        <f t="shared" si="7"/>
        <v>14.32</v>
      </c>
      <c r="F199" s="298" t="s">
        <v>98</v>
      </c>
      <c r="G199" s="301">
        <f t="shared" si="6"/>
        <v>14.89</v>
      </c>
    </row>
    <row r="200" spans="1:7" x14ac:dyDescent="0.25">
      <c r="A200" s="297">
        <v>43350</v>
      </c>
      <c r="B200" s="298" t="s">
        <v>3696</v>
      </c>
      <c r="C200" s="299" t="s">
        <v>20</v>
      </c>
      <c r="D200" s="300">
        <v>18.11</v>
      </c>
      <c r="E200" s="350">
        <f t="shared" si="7"/>
        <v>14.69</v>
      </c>
      <c r="F200" s="298" t="s">
        <v>98</v>
      </c>
      <c r="G200" s="301">
        <f t="shared" si="6"/>
        <v>15.27</v>
      </c>
    </row>
    <row r="201" spans="1:7" x14ac:dyDescent="0.25">
      <c r="A201" s="297">
        <v>41261</v>
      </c>
      <c r="B201" s="298" t="s">
        <v>3697</v>
      </c>
      <c r="C201" s="299" t="s">
        <v>20</v>
      </c>
      <c r="D201" s="300">
        <v>18.04</v>
      </c>
      <c r="E201" s="350">
        <f t="shared" si="7"/>
        <v>14.63</v>
      </c>
      <c r="F201" s="298" t="s">
        <v>98</v>
      </c>
      <c r="G201" s="301">
        <f t="shared" si="6"/>
        <v>15.21</v>
      </c>
    </row>
    <row r="202" spans="1:7" x14ac:dyDescent="0.25">
      <c r="A202" s="297">
        <v>41023</v>
      </c>
      <c r="B202" s="298" t="s">
        <v>2986</v>
      </c>
      <c r="C202" s="299" t="s">
        <v>82</v>
      </c>
      <c r="D202" s="300">
        <v>98.55</v>
      </c>
      <c r="E202" s="350">
        <f t="shared" si="7"/>
        <v>79.92</v>
      </c>
      <c r="F202" s="298" t="s">
        <v>98</v>
      </c>
      <c r="G202" s="301">
        <f t="shared" si="6"/>
        <v>83.07</v>
      </c>
    </row>
    <row r="203" spans="1:7" x14ac:dyDescent="0.25">
      <c r="A203" s="297">
        <v>41575</v>
      </c>
      <c r="B203" s="302" t="s">
        <v>3703</v>
      </c>
      <c r="C203" s="299" t="s">
        <v>2884</v>
      </c>
      <c r="D203" s="300">
        <v>62.85</v>
      </c>
      <c r="E203" s="350">
        <f t="shared" si="7"/>
        <v>50.97</v>
      </c>
      <c r="F203" s="298" t="s">
        <v>3693</v>
      </c>
      <c r="G203" s="301">
        <f t="shared" si="6"/>
        <v>52.98</v>
      </c>
    </row>
    <row r="204" spans="1:7" x14ac:dyDescent="0.25">
      <c r="A204" s="297">
        <v>40346</v>
      </c>
      <c r="B204" s="298" t="s">
        <v>2987</v>
      </c>
      <c r="C204" s="299" t="s">
        <v>2884</v>
      </c>
      <c r="D204" s="300">
        <v>104.63</v>
      </c>
      <c r="E204" s="350">
        <f t="shared" si="7"/>
        <v>84.85</v>
      </c>
      <c r="F204" s="298" t="s">
        <v>3693</v>
      </c>
      <c r="G204" s="301">
        <f t="shared" si="6"/>
        <v>88.19</v>
      </c>
    </row>
    <row r="205" spans="1:7" x14ac:dyDescent="0.25">
      <c r="A205" s="297">
        <v>40345</v>
      </c>
      <c r="B205" s="298" t="s">
        <v>2988</v>
      </c>
      <c r="C205" s="299" t="s">
        <v>2884</v>
      </c>
      <c r="D205" s="300">
        <v>69.08</v>
      </c>
      <c r="E205" s="350">
        <f t="shared" si="7"/>
        <v>56.02</v>
      </c>
      <c r="F205" s="298" t="s">
        <v>3693</v>
      </c>
      <c r="G205" s="301">
        <f t="shared" si="6"/>
        <v>58.23</v>
      </c>
    </row>
    <row r="206" spans="1:7" x14ac:dyDescent="0.25">
      <c r="A206" s="297">
        <v>40343</v>
      </c>
      <c r="B206" s="298" t="s">
        <v>2989</v>
      </c>
      <c r="C206" s="299" t="s">
        <v>76</v>
      </c>
      <c r="D206" s="300">
        <v>410.91</v>
      </c>
      <c r="E206" s="350">
        <f t="shared" si="7"/>
        <v>333.21</v>
      </c>
      <c r="F206" s="298" t="s">
        <v>3693</v>
      </c>
      <c r="G206" s="301">
        <f t="shared" si="6"/>
        <v>346.31</v>
      </c>
    </row>
    <row r="207" spans="1:7" x14ac:dyDescent="0.25">
      <c r="A207" s="297">
        <v>40344</v>
      </c>
      <c r="B207" s="298" t="s">
        <v>2990</v>
      </c>
      <c r="C207" s="299" t="s">
        <v>76</v>
      </c>
      <c r="D207" s="300">
        <v>303.24</v>
      </c>
      <c r="E207" s="350">
        <f t="shared" si="7"/>
        <v>245.9</v>
      </c>
      <c r="F207" s="298" t="s">
        <v>3693</v>
      </c>
      <c r="G207" s="301">
        <f t="shared" si="6"/>
        <v>255.57</v>
      </c>
    </row>
    <row r="208" spans="1:7" x14ac:dyDescent="0.25">
      <c r="A208" s="297">
        <v>41027</v>
      </c>
      <c r="B208" s="298" t="s">
        <v>2991</v>
      </c>
      <c r="C208" s="299" t="s">
        <v>76</v>
      </c>
      <c r="D208" s="300">
        <v>33.82</v>
      </c>
      <c r="E208" s="350">
        <f t="shared" si="7"/>
        <v>27.43</v>
      </c>
      <c r="F208" s="298" t="s">
        <v>98</v>
      </c>
      <c r="G208" s="301">
        <f t="shared" si="6"/>
        <v>28.51</v>
      </c>
    </row>
    <row r="209" spans="1:7" x14ac:dyDescent="0.25">
      <c r="A209" s="297">
        <v>40337</v>
      </c>
      <c r="B209" s="298" t="s">
        <v>2992</v>
      </c>
      <c r="C209" s="299" t="s">
        <v>2884</v>
      </c>
      <c r="D209" s="300">
        <v>210.4</v>
      </c>
      <c r="E209" s="350">
        <f t="shared" si="7"/>
        <v>170.62</v>
      </c>
      <c r="F209" s="298" t="s">
        <v>98</v>
      </c>
      <c r="G209" s="301">
        <f t="shared" si="6"/>
        <v>177.33</v>
      </c>
    </row>
    <row r="210" spans="1:7" x14ac:dyDescent="0.25">
      <c r="A210" s="297">
        <v>40395</v>
      </c>
      <c r="B210" s="298" t="s">
        <v>2993</v>
      </c>
      <c r="C210" s="299" t="s">
        <v>2884</v>
      </c>
      <c r="D210" s="300">
        <v>27.37</v>
      </c>
      <c r="E210" s="350">
        <f t="shared" si="7"/>
        <v>22.2</v>
      </c>
      <c r="F210" s="298" t="s">
        <v>98</v>
      </c>
      <c r="G210" s="301">
        <f t="shared" si="6"/>
        <v>23.08</v>
      </c>
    </row>
    <row r="211" spans="1:7" x14ac:dyDescent="0.25">
      <c r="A211" s="297">
        <v>40300</v>
      </c>
      <c r="B211" s="298" t="s">
        <v>2994</v>
      </c>
      <c r="C211" s="299" t="s">
        <v>76</v>
      </c>
      <c r="D211" s="300">
        <v>58.47</v>
      </c>
      <c r="E211" s="350">
        <f t="shared" si="7"/>
        <v>47.42</v>
      </c>
      <c r="F211" s="298" t="s">
        <v>98</v>
      </c>
      <c r="G211" s="301">
        <f t="shared" si="6"/>
        <v>49.29</v>
      </c>
    </row>
    <row r="212" spans="1:7" x14ac:dyDescent="0.25">
      <c r="A212" s="297">
        <v>40348</v>
      </c>
      <c r="B212" s="298" t="s">
        <v>3711</v>
      </c>
      <c r="C212" s="299" t="s">
        <v>76</v>
      </c>
      <c r="D212" s="300">
        <v>508.91</v>
      </c>
      <c r="E212" s="350">
        <f t="shared" si="7"/>
        <v>412.68</v>
      </c>
      <c r="F212" s="298" t="s">
        <v>3693</v>
      </c>
      <c r="G212" s="301">
        <f t="shared" si="6"/>
        <v>428.9</v>
      </c>
    </row>
    <row r="213" spans="1:7" x14ac:dyDescent="0.25">
      <c r="A213" s="297">
        <v>40347</v>
      </c>
      <c r="B213" s="298" t="s">
        <v>3712</v>
      </c>
      <c r="C213" s="299" t="s">
        <v>76</v>
      </c>
      <c r="D213" s="300">
        <v>929.66</v>
      </c>
      <c r="E213" s="350">
        <f t="shared" si="7"/>
        <v>753.86</v>
      </c>
      <c r="F213" s="298" t="s">
        <v>3693</v>
      </c>
      <c r="G213" s="301">
        <f t="shared" si="6"/>
        <v>783.49</v>
      </c>
    </row>
    <row r="214" spans="1:7" x14ac:dyDescent="0.25">
      <c r="A214" s="297">
        <v>41415</v>
      </c>
      <c r="B214" s="298" t="s">
        <v>2995</v>
      </c>
      <c r="C214" s="299" t="s">
        <v>76</v>
      </c>
      <c r="D214" s="300">
        <v>523.59</v>
      </c>
      <c r="E214" s="350">
        <f t="shared" si="7"/>
        <v>424.58</v>
      </c>
      <c r="F214" s="298" t="s">
        <v>3693</v>
      </c>
      <c r="G214" s="301">
        <f t="shared" si="6"/>
        <v>441.27</v>
      </c>
    </row>
    <row r="215" spans="1:7" x14ac:dyDescent="0.25">
      <c r="A215" s="297">
        <v>42257</v>
      </c>
      <c r="B215" s="298" t="s">
        <v>2996</v>
      </c>
      <c r="C215" s="299" t="s">
        <v>76</v>
      </c>
      <c r="D215" s="300">
        <v>8.43</v>
      </c>
      <c r="E215" s="350">
        <f t="shared" si="7"/>
        <v>6.84</v>
      </c>
      <c r="F215" s="298" t="s">
        <v>98</v>
      </c>
      <c r="G215" s="301">
        <f t="shared" si="6"/>
        <v>7.11</v>
      </c>
    </row>
    <row r="216" spans="1:7" x14ac:dyDescent="0.25">
      <c r="A216" s="297">
        <v>40519</v>
      </c>
      <c r="B216" s="298" t="s">
        <v>2997</v>
      </c>
      <c r="C216" s="299" t="s">
        <v>82</v>
      </c>
      <c r="D216" s="300">
        <v>297.36</v>
      </c>
      <c r="E216" s="350">
        <f t="shared" si="7"/>
        <v>241.13</v>
      </c>
      <c r="F216" s="298" t="s">
        <v>3693</v>
      </c>
      <c r="G216" s="301">
        <f t="shared" si="6"/>
        <v>250.61</v>
      </c>
    </row>
    <row r="217" spans="1:7" x14ac:dyDescent="0.25">
      <c r="A217" s="297">
        <v>40520</v>
      </c>
      <c r="B217" s="298" t="s">
        <v>2998</v>
      </c>
      <c r="C217" s="299" t="s">
        <v>82</v>
      </c>
      <c r="D217" s="300">
        <v>464.43</v>
      </c>
      <c r="E217" s="350">
        <f t="shared" si="7"/>
        <v>376.61</v>
      </c>
      <c r="F217" s="298" t="s">
        <v>3693</v>
      </c>
      <c r="G217" s="301">
        <f t="shared" si="6"/>
        <v>391.41</v>
      </c>
    </row>
    <row r="218" spans="1:7" x14ac:dyDescent="0.25">
      <c r="A218" s="297">
        <v>40521</v>
      </c>
      <c r="B218" s="298" t="s">
        <v>2999</v>
      </c>
      <c r="C218" s="299" t="s">
        <v>82</v>
      </c>
      <c r="D218" s="300">
        <v>667.92</v>
      </c>
      <c r="E218" s="350">
        <f t="shared" si="7"/>
        <v>541.62</v>
      </c>
      <c r="F218" s="298" t="s">
        <v>3693</v>
      </c>
      <c r="G218" s="301">
        <f t="shared" si="6"/>
        <v>562.91</v>
      </c>
    </row>
    <row r="219" spans="1:7" x14ac:dyDescent="0.25">
      <c r="A219" s="297">
        <v>40522</v>
      </c>
      <c r="B219" s="298" t="s">
        <v>3000</v>
      </c>
      <c r="C219" s="299" t="s">
        <v>82</v>
      </c>
      <c r="D219" s="300">
        <v>901.34</v>
      </c>
      <c r="E219" s="350">
        <f t="shared" si="7"/>
        <v>730.9</v>
      </c>
      <c r="F219" s="298" t="s">
        <v>3693</v>
      </c>
      <c r="G219" s="301">
        <f t="shared" si="6"/>
        <v>759.63</v>
      </c>
    </row>
    <row r="220" spans="1:7" x14ac:dyDescent="0.25">
      <c r="A220" s="297">
        <v>40523</v>
      </c>
      <c r="B220" s="298" t="s">
        <v>3001</v>
      </c>
      <c r="C220" s="299" t="s">
        <v>82</v>
      </c>
      <c r="D220" s="300">
        <v>1300.77</v>
      </c>
      <c r="E220" s="350">
        <f t="shared" si="7"/>
        <v>1054.8</v>
      </c>
      <c r="F220" s="298" t="s">
        <v>3693</v>
      </c>
      <c r="G220" s="301">
        <f t="shared" si="6"/>
        <v>1096.25</v>
      </c>
    </row>
    <row r="221" spans="1:7" x14ac:dyDescent="0.25">
      <c r="A221" s="297">
        <v>40513</v>
      </c>
      <c r="B221" s="298" t="s">
        <v>3002</v>
      </c>
      <c r="C221" s="299" t="s">
        <v>82</v>
      </c>
      <c r="D221" s="300">
        <v>106.93</v>
      </c>
      <c r="E221" s="350">
        <f t="shared" si="7"/>
        <v>86.71</v>
      </c>
      <c r="F221" s="298" t="s">
        <v>3693</v>
      </c>
      <c r="G221" s="301">
        <f t="shared" si="6"/>
        <v>90.12</v>
      </c>
    </row>
    <row r="222" spans="1:7" x14ac:dyDescent="0.25">
      <c r="A222" s="297">
        <v>40514</v>
      </c>
      <c r="B222" s="298" t="s">
        <v>3003</v>
      </c>
      <c r="C222" s="299" t="s">
        <v>82</v>
      </c>
      <c r="D222" s="300">
        <v>178.6</v>
      </c>
      <c r="E222" s="350">
        <f t="shared" si="7"/>
        <v>144.83000000000001</v>
      </c>
      <c r="F222" s="298" t="s">
        <v>3693</v>
      </c>
      <c r="G222" s="301">
        <f t="shared" si="6"/>
        <v>150.53</v>
      </c>
    </row>
    <row r="223" spans="1:7" x14ac:dyDescent="0.25">
      <c r="A223" s="297">
        <v>40515</v>
      </c>
      <c r="B223" s="298" t="s">
        <v>3004</v>
      </c>
      <c r="C223" s="299" t="s">
        <v>82</v>
      </c>
      <c r="D223" s="300">
        <v>271.82</v>
      </c>
      <c r="E223" s="350">
        <f t="shared" si="7"/>
        <v>220.42</v>
      </c>
      <c r="F223" s="298" t="s">
        <v>3693</v>
      </c>
      <c r="G223" s="301">
        <f t="shared" si="6"/>
        <v>229.09</v>
      </c>
    </row>
    <row r="224" spans="1:7" x14ac:dyDescent="0.25">
      <c r="A224" s="297">
        <v>40516</v>
      </c>
      <c r="B224" s="298" t="s">
        <v>3005</v>
      </c>
      <c r="C224" s="299" t="s">
        <v>82</v>
      </c>
      <c r="D224" s="300">
        <v>382.99</v>
      </c>
      <c r="E224" s="350">
        <f t="shared" si="7"/>
        <v>310.57</v>
      </c>
      <c r="F224" s="298" t="s">
        <v>3693</v>
      </c>
      <c r="G224" s="301">
        <f t="shared" si="6"/>
        <v>322.77999999999997</v>
      </c>
    </row>
    <row r="225" spans="1:7" x14ac:dyDescent="0.25">
      <c r="A225" s="297">
        <v>40517</v>
      </c>
      <c r="B225" s="298" t="s">
        <v>3006</v>
      </c>
      <c r="C225" s="299" t="s">
        <v>82</v>
      </c>
      <c r="D225" s="300">
        <v>509.64</v>
      </c>
      <c r="E225" s="350">
        <f t="shared" si="7"/>
        <v>413.27</v>
      </c>
      <c r="F225" s="298" t="s">
        <v>3693</v>
      </c>
      <c r="G225" s="301">
        <f t="shared" si="6"/>
        <v>429.52</v>
      </c>
    </row>
    <row r="226" spans="1:7" x14ac:dyDescent="0.25">
      <c r="A226" s="297">
        <v>40518</v>
      </c>
      <c r="B226" s="298" t="s">
        <v>3007</v>
      </c>
      <c r="C226" s="299" t="s">
        <v>82</v>
      </c>
      <c r="D226" s="300">
        <v>723.44</v>
      </c>
      <c r="E226" s="350">
        <f t="shared" si="7"/>
        <v>586.64</v>
      </c>
      <c r="F226" s="298" t="s">
        <v>3693</v>
      </c>
      <c r="G226" s="301">
        <f t="shared" si="6"/>
        <v>609.70000000000005</v>
      </c>
    </row>
    <row r="227" spans="1:7" x14ac:dyDescent="0.25">
      <c r="A227" s="297">
        <v>40524</v>
      </c>
      <c r="B227" s="298" t="s">
        <v>3008</v>
      </c>
      <c r="C227" s="299" t="s">
        <v>82</v>
      </c>
      <c r="D227" s="300">
        <v>414.12</v>
      </c>
      <c r="E227" s="350">
        <f t="shared" si="7"/>
        <v>335.81</v>
      </c>
      <c r="F227" s="298" t="s">
        <v>3693</v>
      </c>
      <c r="G227" s="301">
        <f t="shared" si="6"/>
        <v>349.01</v>
      </c>
    </row>
    <row r="228" spans="1:7" x14ac:dyDescent="0.25">
      <c r="A228" s="297">
        <v>40525</v>
      </c>
      <c r="B228" s="298" t="s">
        <v>3009</v>
      </c>
      <c r="C228" s="299" t="s">
        <v>82</v>
      </c>
      <c r="D228" s="300">
        <v>658.04</v>
      </c>
      <c r="E228" s="350">
        <f t="shared" si="7"/>
        <v>533.61</v>
      </c>
      <c r="F228" s="298" t="s">
        <v>3693</v>
      </c>
      <c r="G228" s="301">
        <f t="shared" si="6"/>
        <v>554.58000000000004</v>
      </c>
    </row>
    <row r="229" spans="1:7" x14ac:dyDescent="0.25">
      <c r="A229" s="297">
        <v>40526</v>
      </c>
      <c r="B229" s="298" t="s">
        <v>3010</v>
      </c>
      <c r="C229" s="299" t="s">
        <v>82</v>
      </c>
      <c r="D229" s="300">
        <v>952.35</v>
      </c>
      <c r="E229" s="350">
        <f t="shared" si="7"/>
        <v>772.26</v>
      </c>
      <c r="F229" s="298" t="s">
        <v>3693</v>
      </c>
      <c r="G229" s="301">
        <f t="shared" si="6"/>
        <v>802.61</v>
      </c>
    </row>
    <row r="230" spans="1:7" x14ac:dyDescent="0.25">
      <c r="A230" s="297">
        <v>40527</v>
      </c>
      <c r="B230" s="298" t="s">
        <v>3011</v>
      </c>
      <c r="C230" s="299" t="s">
        <v>82</v>
      </c>
      <c r="D230" s="300">
        <v>1293.05</v>
      </c>
      <c r="E230" s="350">
        <f t="shared" si="7"/>
        <v>1048.54</v>
      </c>
      <c r="F230" s="298" t="s">
        <v>3693</v>
      </c>
      <c r="G230" s="301">
        <f t="shared" si="6"/>
        <v>1089.75</v>
      </c>
    </row>
    <row r="231" spans="1:7" x14ac:dyDescent="0.25">
      <c r="A231" s="297">
        <v>40528</v>
      </c>
      <c r="B231" s="298" t="s">
        <v>3012</v>
      </c>
      <c r="C231" s="299" t="s">
        <v>82</v>
      </c>
      <c r="D231" s="300">
        <v>1878.11</v>
      </c>
      <c r="E231" s="350">
        <f t="shared" si="7"/>
        <v>1522.96</v>
      </c>
      <c r="F231" s="298" t="s">
        <v>3693</v>
      </c>
      <c r="G231" s="301">
        <f t="shared" si="6"/>
        <v>1582.81</v>
      </c>
    </row>
    <row r="232" spans="1:7" x14ac:dyDescent="0.25">
      <c r="A232" s="297">
        <v>41177</v>
      </c>
      <c r="B232" s="298" t="s">
        <v>3721</v>
      </c>
      <c r="C232" s="299" t="s">
        <v>82</v>
      </c>
      <c r="D232" s="300">
        <v>51.88</v>
      </c>
      <c r="E232" s="350">
        <f t="shared" si="7"/>
        <v>42.07</v>
      </c>
      <c r="F232" s="298" t="s">
        <v>3693</v>
      </c>
      <c r="G232" s="301">
        <f t="shared" si="6"/>
        <v>43.73</v>
      </c>
    </row>
    <row r="233" spans="1:7" x14ac:dyDescent="0.25">
      <c r="A233" s="297">
        <v>100391</v>
      </c>
      <c r="B233" s="298" t="s">
        <v>3722</v>
      </c>
      <c r="C233" s="299" t="s">
        <v>82</v>
      </c>
      <c r="D233" s="300">
        <v>57.8</v>
      </c>
      <c r="E233" s="350">
        <f t="shared" si="7"/>
        <v>46.87</v>
      </c>
      <c r="F233" s="298" t="s">
        <v>3693</v>
      </c>
      <c r="G233" s="301">
        <f t="shared" si="6"/>
        <v>48.72</v>
      </c>
    </row>
    <row r="234" spans="1:7" x14ac:dyDescent="0.25">
      <c r="A234" s="297">
        <v>41172</v>
      </c>
      <c r="B234" s="298" t="s">
        <v>3723</v>
      </c>
      <c r="C234" s="299" t="s">
        <v>82</v>
      </c>
      <c r="D234" s="300">
        <v>94.84</v>
      </c>
      <c r="E234" s="350">
        <f t="shared" si="7"/>
        <v>76.91</v>
      </c>
      <c r="F234" s="298" t="s">
        <v>3693</v>
      </c>
      <c r="G234" s="301">
        <f t="shared" si="6"/>
        <v>79.94</v>
      </c>
    </row>
    <row r="235" spans="1:7" x14ac:dyDescent="0.25">
      <c r="A235" s="297">
        <v>40620</v>
      </c>
      <c r="B235" s="298" t="s">
        <v>3013</v>
      </c>
      <c r="C235" s="299" t="s">
        <v>2871</v>
      </c>
      <c r="D235" s="300">
        <v>20710.48</v>
      </c>
      <c r="E235" s="350">
        <f t="shared" si="7"/>
        <v>16794.099999999999</v>
      </c>
      <c r="F235" s="298" t="s">
        <v>98</v>
      </c>
      <c r="G235" s="301">
        <f t="shared" si="6"/>
        <v>17454.05</v>
      </c>
    </row>
    <row r="236" spans="1:7" x14ac:dyDescent="0.25">
      <c r="A236" s="297">
        <v>40626</v>
      </c>
      <c r="B236" s="298" t="s">
        <v>3014</v>
      </c>
      <c r="C236" s="299" t="s">
        <v>2871</v>
      </c>
      <c r="D236" s="300">
        <v>20154.43</v>
      </c>
      <c r="E236" s="350">
        <f t="shared" si="7"/>
        <v>16343.2</v>
      </c>
      <c r="F236" s="298" t="s">
        <v>98</v>
      </c>
      <c r="G236" s="301">
        <f t="shared" si="6"/>
        <v>16985.439999999999</v>
      </c>
    </row>
    <row r="237" spans="1:7" x14ac:dyDescent="0.25">
      <c r="A237" s="297">
        <v>40621</v>
      </c>
      <c r="B237" s="298" t="s">
        <v>3015</v>
      </c>
      <c r="C237" s="299" t="s">
        <v>2871</v>
      </c>
      <c r="D237" s="300">
        <v>31874</v>
      </c>
      <c r="E237" s="350">
        <f t="shared" si="7"/>
        <v>25846.58</v>
      </c>
      <c r="F237" s="298" t="s">
        <v>98</v>
      </c>
      <c r="G237" s="301">
        <f t="shared" si="6"/>
        <v>26862.27</v>
      </c>
    </row>
    <row r="238" spans="1:7" x14ac:dyDescent="0.25">
      <c r="A238" s="297">
        <v>40622</v>
      </c>
      <c r="B238" s="298" t="s">
        <v>3016</v>
      </c>
      <c r="C238" s="299" t="s">
        <v>2871</v>
      </c>
      <c r="D238" s="300">
        <v>50826.02</v>
      </c>
      <c r="E238" s="350">
        <f t="shared" si="7"/>
        <v>41214.75</v>
      </c>
      <c r="F238" s="298" t="s">
        <v>98</v>
      </c>
      <c r="G238" s="301">
        <f t="shared" si="6"/>
        <v>42834.35</v>
      </c>
    </row>
    <row r="239" spans="1:7" x14ac:dyDescent="0.25">
      <c r="A239" s="297">
        <v>40627</v>
      </c>
      <c r="B239" s="298" t="s">
        <v>3017</v>
      </c>
      <c r="C239" s="299" t="s">
        <v>2871</v>
      </c>
      <c r="D239" s="300">
        <v>37363.620000000003</v>
      </c>
      <c r="E239" s="350">
        <f t="shared" si="7"/>
        <v>30298.11</v>
      </c>
      <c r="F239" s="298" t="s">
        <v>98</v>
      </c>
      <c r="G239" s="301">
        <f t="shared" si="6"/>
        <v>31488.720000000001</v>
      </c>
    </row>
    <row r="240" spans="1:7" x14ac:dyDescent="0.25">
      <c r="A240" s="297">
        <v>40623</v>
      </c>
      <c r="B240" s="298" t="s">
        <v>3018</v>
      </c>
      <c r="C240" s="299" t="s">
        <v>2871</v>
      </c>
      <c r="D240" s="300">
        <v>44410.97</v>
      </c>
      <c r="E240" s="350">
        <f t="shared" si="7"/>
        <v>36012.79</v>
      </c>
      <c r="F240" s="298" t="s">
        <v>98</v>
      </c>
      <c r="G240" s="301">
        <f t="shared" si="6"/>
        <v>37427.97</v>
      </c>
    </row>
    <row r="241" spans="1:7" x14ac:dyDescent="0.25">
      <c r="A241" s="297">
        <v>40624</v>
      </c>
      <c r="B241" s="298" t="s">
        <v>3019</v>
      </c>
      <c r="C241" s="299" t="s">
        <v>2871</v>
      </c>
      <c r="D241" s="300">
        <v>57595.43</v>
      </c>
      <c r="E241" s="350">
        <f t="shared" si="7"/>
        <v>46704.05</v>
      </c>
      <c r="F241" s="298" t="s">
        <v>98</v>
      </c>
      <c r="G241" s="301">
        <f t="shared" si="6"/>
        <v>48539.360000000001</v>
      </c>
    </row>
    <row r="242" spans="1:7" x14ac:dyDescent="0.25">
      <c r="A242" s="297">
        <v>40625</v>
      </c>
      <c r="B242" s="298" t="s">
        <v>3020</v>
      </c>
      <c r="C242" s="299" t="s">
        <v>2871</v>
      </c>
      <c r="D242" s="300">
        <v>64068.06</v>
      </c>
      <c r="E242" s="350">
        <f t="shared" si="7"/>
        <v>51952.7</v>
      </c>
      <c r="F242" s="298" t="s">
        <v>98</v>
      </c>
      <c r="G242" s="301">
        <f t="shared" si="6"/>
        <v>53994.26</v>
      </c>
    </row>
    <row r="243" spans="1:7" x14ac:dyDescent="0.25">
      <c r="A243" s="297">
        <v>40613</v>
      </c>
      <c r="B243" s="298" t="s">
        <v>3021</v>
      </c>
      <c r="C243" s="299" t="s">
        <v>2871</v>
      </c>
      <c r="D243" s="300">
        <v>17727.34</v>
      </c>
      <c r="E243" s="350">
        <f t="shared" si="7"/>
        <v>14375.08</v>
      </c>
      <c r="F243" s="298" t="s">
        <v>98</v>
      </c>
      <c r="G243" s="301">
        <f t="shared" si="6"/>
        <v>14939.98</v>
      </c>
    </row>
    <row r="244" spans="1:7" x14ac:dyDescent="0.25">
      <c r="A244" s="297">
        <v>40614</v>
      </c>
      <c r="B244" s="298" t="s">
        <v>3022</v>
      </c>
      <c r="C244" s="299" t="s">
        <v>2871</v>
      </c>
      <c r="D244" s="300">
        <v>27613.01</v>
      </c>
      <c r="E244" s="350">
        <f t="shared" si="7"/>
        <v>22391.35</v>
      </c>
      <c r="F244" s="298" t="s">
        <v>98</v>
      </c>
      <c r="G244" s="301">
        <f t="shared" si="6"/>
        <v>23271.26</v>
      </c>
    </row>
    <row r="245" spans="1:7" x14ac:dyDescent="0.25">
      <c r="A245" s="297">
        <v>40615</v>
      </c>
      <c r="B245" s="298" t="s">
        <v>3023</v>
      </c>
      <c r="C245" s="299" t="s">
        <v>2871</v>
      </c>
      <c r="D245" s="300">
        <v>42444.51</v>
      </c>
      <c r="E245" s="350">
        <f t="shared" si="7"/>
        <v>34418.19</v>
      </c>
      <c r="F245" s="298" t="s">
        <v>98</v>
      </c>
      <c r="G245" s="301">
        <f t="shared" si="6"/>
        <v>35770.71</v>
      </c>
    </row>
    <row r="246" spans="1:7" x14ac:dyDescent="0.25">
      <c r="A246" s="297">
        <v>40616</v>
      </c>
      <c r="B246" s="298" t="s">
        <v>3024</v>
      </c>
      <c r="C246" s="299" t="s">
        <v>2871</v>
      </c>
      <c r="D246" s="300">
        <v>36555.32</v>
      </c>
      <c r="E246" s="350">
        <f t="shared" si="7"/>
        <v>29642.66</v>
      </c>
      <c r="F246" s="298" t="s">
        <v>98</v>
      </c>
      <c r="G246" s="301">
        <f t="shared" si="6"/>
        <v>30807.52</v>
      </c>
    </row>
    <row r="247" spans="1:7" x14ac:dyDescent="0.25">
      <c r="A247" s="297">
        <v>40617</v>
      </c>
      <c r="B247" s="298" t="s">
        <v>3025</v>
      </c>
      <c r="C247" s="299" t="s">
        <v>2871</v>
      </c>
      <c r="D247" s="300">
        <v>47522.85</v>
      </c>
      <c r="E247" s="350">
        <f t="shared" si="7"/>
        <v>38536.21</v>
      </c>
      <c r="F247" s="298" t="s">
        <v>98</v>
      </c>
      <c r="G247" s="301">
        <f t="shared" si="6"/>
        <v>40050.550000000003</v>
      </c>
    </row>
    <row r="248" spans="1:7" x14ac:dyDescent="0.25">
      <c r="A248" s="297">
        <v>40618</v>
      </c>
      <c r="B248" s="298" t="s">
        <v>3026</v>
      </c>
      <c r="C248" s="299" t="s">
        <v>2871</v>
      </c>
      <c r="D248" s="300">
        <v>52631.71</v>
      </c>
      <c r="E248" s="350">
        <f t="shared" si="7"/>
        <v>42678.98</v>
      </c>
      <c r="F248" s="298" t="s">
        <v>98</v>
      </c>
      <c r="G248" s="301">
        <f t="shared" si="6"/>
        <v>44356.12</v>
      </c>
    </row>
    <row r="249" spans="1:7" x14ac:dyDescent="0.25">
      <c r="A249" s="297">
        <v>40629</v>
      </c>
      <c r="B249" s="298" t="s">
        <v>3027</v>
      </c>
      <c r="C249" s="299" t="s">
        <v>2871</v>
      </c>
      <c r="D249" s="300">
        <v>25684.31</v>
      </c>
      <c r="E249" s="350">
        <f t="shared" si="7"/>
        <v>20827.37</v>
      </c>
      <c r="F249" s="298" t="s">
        <v>98</v>
      </c>
      <c r="G249" s="301">
        <f t="shared" si="6"/>
        <v>21645.82</v>
      </c>
    </row>
    <row r="250" spans="1:7" x14ac:dyDescent="0.25">
      <c r="A250" s="297">
        <v>40630</v>
      </c>
      <c r="B250" s="298" t="s">
        <v>3028</v>
      </c>
      <c r="C250" s="299" t="s">
        <v>2871</v>
      </c>
      <c r="D250" s="300">
        <v>39011.93</v>
      </c>
      <c r="E250" s="350">
        <f t="shared" si="7"/>
        <v>31634.720000000001</v>
      </c>
      <c r="F250" s="298" t="s">
        <v>98</v>
      </c>
      <c r="G250" s="301">
        <f t="shared" si="6"/>
        <v>32877.86</v>
      </c>
    </row>
    <row r="251" spans="1:7" x14ac:dyDescent="0.25">
      <c r="A251" s="297">
        <v>40631</v>
      </c>
      <c r="B251" s="298" t="s">
        <v>3029</v>
      </c>
      <c r="C251" s="299" t="s">
        <v>2871</v>
      </c>
      <c r="D251" s="300">
        <v>60239.25</v>
      </c>
      <c r="E251" s="350">
        <f t="shared" si="7"/>
        <v>48847.92</v>
      </c>
      <c r="F251" s="298" t="s">
        <v>98</v>
      </c>
      <c r="G251" s="301">
        <f t="shared" si="6"/>
        <v>50767.48</v>
      </c>
    </row>
    <row r="252" spans="1:7" x14ac:dyDescent="0.25">
      <c r="A252" s="297">
        <v>40632</v>
      </c>
      <c r="B252" s="298" t="s">
        <v>3030</v>
      </c>
      <c r="C252" s="299" t="s">
        <v>2871</v>
      </c>
      <c r="D252" s="300">
        <v>55046.080000000002</v>
      </c>
      <c r="E252" s="350">
        <f t="shared" si="7"/>
        <v>44636.79</v>
      </c>
      <c r="F252" s="298" t="s">
        <v>98</v>
      </c>
      <c r="G252" s="301">
        <f t="shared" ref="G252:G309" si="8">ROUNDUP(E252*$H$2,2)</f>
        <v>46390.86</v>
      </c>
    </row>
    <row r="253" spans="1:7" x14ac:dyDescent="0.25">
      <c r="A253" s="297">
        <v>40633</v>
      </c>
      <c r="B253" s="298" t="s">
        <v>3031</v>
      </c>
      <c r="C253" s="299" t="s">
        <v>2871</v>
      </c>
      <c r="D253" s="300">
        <v>68860.05</v>
      </c>
      <c r="E253" s="350">
        <f t="shared" si="7"/>
        <v>55838.51</v>
      </c>
      <c r="F253" s="298" t="s">
        <v>98</v>
      </c>
      <c r="G253" s="301">
        <f t="shared" si="8"/>
        <v>58032.77</v>
      </c>
    </row>
    <row r="254" spans="1:7" x14ac:dyDescent="0.25">
      <c r="A254" s="297">
        <v>40634</v>
      </c>
      <c r="B254" s="298" t="s">
        <v>3032</v>
      </c>
      <c r="C254" s="299" t="s">
        <v>2871</v>
      </c>
      <c r="D254" s="300">
        <v>77528.69</v>
      </c>
      <c r="E254" s="350">
        <f t="shared" si="7"/>
        <v>62867.9</v>
      </c>
      <c r="F254" s="298" t="s">
        <v>98</v>
      </c>
      <c r="G254" s="301">
        <f t="shared" si="8"/>
        <v>65338.39</v>
      </c>
    </row>
    <row r="255" spans="1:7" x14ac:dyDescent="0.25">
      <c r="A255" s="297">
        <v>40535</v>
      </c>
      <c r="B255" s="298" t="s">
        <v>3033</v>
      </c>
      <c r="C255" s="299" t="s">
        <v>2871</v>
      </c>
      <c r="D255" s="300">
        <v>1528.82</v>
      </c>
      <c r="E255" s="350">
        <f t="shared" si="7"/>
        <v>1239.72</v>
      </c>
      <c r="F255" s="298" t="s">
        <v>3693</v>
      </c>
      <c r="G255" s="301">
        <f t="shared" si="8"/>
        <v>1288.44</v>
      </c>
    </row>
    <row r="256" spans="1:7" x14ac:dyDescent="0.25">
      <c r="A256" s="297">
        <v>40536</v>
      </c>
      <c r="B256" s="298" t="s">
        <v>3034</v>
      </c>
      <c r="C256" s="299" t="s">
        <v>2871</v>
      </c>
      <c r="D256" s="300">
        <v>2528.2600000000002</v>
      </c>
      <c r="E256" s="350">
        <f t="shared" si="7"/>
        <v>2050.17</v>
      </c>
      <c r="F256" s="298" t="s">
        <v>3693</v>
      </c>
      <c r="G256" s="301">
        <f t="shared" si="8"/>
        <v>2130.7399999999998</v>
      </c>
    </row>
    <row r="257" spans="1:7" x14ac:dyDescent="0.25">
      <c r="A257" s="297">
        <v>40537</v>
      </c>
      <c r="B257" s="298" t="s">
        <v>3035</v>
      </c>
      <c r="C257" s="299" t="s">
        <v>2871</v>
      </c>
      <c r="D257" s="300">
        <v>4713.29</v>
      </c>
      <c r="E257" s="350">
        <f t="shared" si="7"/>
        <v>3822</v>
      </c>
      <c r="F257" s="298" t="s">
        <v>3693</v>
      </c>
      <c r="G257" s="301">
        <f t="shared" si="8"/>
        <v>3972.2</v>
      </c>
    </row>
    <row r="258" spans="1:7" x14ac:dyDescent="0.25">
      <c r="A258" s="297">
        <v>40538</v>
      </c>
      <c r="B258" s="298" t="s">
        <v>3036</v>
      </c>
      <c r="C258" s="299" t="s">
        <v>2871</v>
      </c>
      <c r="D258" s="300">
        <v>6787.15</v>
      </c>
      <c r="E258" s="350">
        <f t="shared" ref="E258:E321" si="9">ROUNDUP(D258/(1+$L$2),2)</f>
        <v>5503.69</v>
      </c>
      <c r="F258" s="298" t="s">
        <v>3693</v>
      </c>
      <c r="G258" s="301">
        <f t="shared" si="8"/>
        <v>5719.97</v>
      </c>
    </row>
    <row r="259" spans="1:7" x14ac:dyDescent="0.25">
      <c r="A259" s="297">
        <v>40539</v>
      </c>
      <c r="B259" s="298" t="s">
        <v>3037</v>
      </c>
      <c r="C259" s="299" t="s">
        <v>2871</v>
      </c>
      <c r="D259" s="300">
        <v>11882.54</v>
      </c>
      <c r="E259" s="350">
        <f t="shared" si="9"/>
        <v>9635.5400000000009</v>
      </c>
      <c r="F259" s="298" t="s">
        <v>3693</v>
      </c>
      <c r="G259" s="301">
        <f t="shared" si="8"/>
        <v>10014.19</v>
      </c>
    </row>
    <row r="260" spans="1:7" x14ac:dyDescent="0.25">
      <c r="A260" s="297">
        <v>40529</v>
      </c>
      <c r="B260" s="298" t="s">
        <v>3038</v>
      </c>
      <c r="C260" s="299" t="s">
        <v>2871</v>
      </c>
      <c r="D260" s="300">
        <v>443.18</v>
      </c>
      <c r="E260" s="350">
        <f t="shared" si="9"/>
        <v>359.38</v>
      </c>
      <c r="F260" s="298" t="s">
        <v>3693</v>
      </c>
      <c r="G260" s="301">
        <f t="shared" si="8"/>
        <v>373.51</v>
      </c>
    </row>
    <row r="261" spans="1:7" x14ac:dyDescent="0.25">
      <c r="A261" s="297">
        <v>40530</v>
      </c>
      <c r="B261" s="298" t="s">
        <v>3039</v>
      </c>
      <c r="C261" s="299" t="s">
        <v>2871</v>
      </c>
      <c r="D261" s="300">
        <v>1340.62</v>
      </c>
      <c r="E261" s="350">
        <f t="shared" si="9"/>
        <v>1087.1099999999999</v>
      </c>
      <c r="F261" s="298" t="s">
        <v>3693</v>
      </c>
      <c r="G261" s="301">
        <f t="shared" si="8"/>
        <v>1129.83</v>
      </c>
    </row>
    <row r="262" spans="1:7" x14ac:dyDescent="0.25">
      <c r="A262" s="297">
        <v>40531</v>
      </c>
      <c r="B262" s="298" t="s">
        <v>3040</v>
      </c>
      <c r="C262" s="299" t="s">
        <v>2871</v>
      </c>
      <c r="D262" s="300">
        <v>2215.27</v>
      </c>
      <c r="E262" s="350">
        <f t="shared" si="9"/>
        <v>1796.36</v>
      </c>
      <c r="F262" s="298" t="s">
        <v>3693</v>
      </c>
      <c r="G262" s="301">
        <f t="shared" si="8"/>
        <v>1866.96</v>
      </c>
    </row>
    <row r="263" spans="1:7" x14ac:dyDescent="0.25">
      <c r="A263" s="297">
        <v>40532</v>
      </c>
      <c r="B263" s="298" t="s">
        <v>3041</v>
      </c>
      <c r="C263" s="299" t="s">
        <v>2871</v>
      </c>
      <c r="D263" s="300">
        <v>3390.62</v>
      </c>
      <c r="E263" s="350">
        <f t="shared" si="9"/>
        <v>2749.45</v>
      </c>
      <c r="F263" s="298" t="s">
        <v>3693</v>
      </c>
      <c r="G263" s="301">
        <f t="shared" si="8"/>
        <v>2857.5</v>
      </c>
    </row>
    <row r="264" spans="1:7" x14ac:dyDescent="0.25">
      <c r="A264" s="297">
        <v>40533</v>
      </c>
      <c r="B264" s="298" t="s">
        <v>3042</v>
      </c>
      <c r="C264" s="299" t="s">
        <v>2871</v>
      </c>
      <c r="D264" s="300">
        <v>4868.71</v>
      </c>
      <c r="E264" s="350">
        <f t="shared" si="9"/>
        <v>3948.03</v>
      </c>
      <c r="F264" s="298" t="s">
        <v>3693</v>
      </c>
      <c r="G264" s="301">
        <f t="shared" si="8"/>
        <v>4103.18</v>
      </c>
    </row>
    <row r="265" spans="1:7" x14ac:dyDescent="0.25">
      <c r="A265" s="297">
        <v>40534</v>
      </c>
      <c r="B265" s="298" t="s">
        <v>3043</v>
      </c>
      <c r="C265" s="299" t="s">
        <v>2871</v>
      </c>
      <c r="D265" s="300">
        <v>8736.76</v>
      </c>
      <c r="E265" s="350">
        <f t="shared" si="9"/>
        <v>7084.63</v>
      </c>
      <c r="F265" s="298" t="s">
        <v>3693</v>
      </c>
      <c r="G265" s="301">
        <f t="shared" si="8"/>
        <v>7363.04</v>
      </c>
    </row>
    <row r="266" spans="1:7" x14ac:dyDescent="0.25">
      <c r="A266" s="297">
        <v>40540</v>
      </c>
      <c r="B266" s="298" t="s">
        <v>3044</v>
      </c>
      <c r="C266" s="299" t="s">
        <v>2871</v>
      </c>
      <c r="D266" s="300">
        <v>1903.91</v>
      </c>
      <c r="E266" s="350">
        <f t="shared" si="9"/>
        <v>1543.88</v>
      </c>
      <c r="F266" s="298" t="s">
        <v>3693</v>
      </c>
      <c r="G266" s="301">
        <f t="shared" si="8"/>
        <v>1604.55</v>
      </c>
    </row>
    <row r="267" spans="1:7" x14ac:dyDescent="0.25">
      <c r="A267" s="297">
        <v>40541</v>
      </c>
      <c r="B267" s="298" t="s">
        <v>3045</v>
      </c>
      <c r="C267" s="299" t="s">
        <v>2871</v>
      </c>
      <c r="D267" s="300">
        <v>3097.69</v>
      </c>
      <c r="E267" s="350">
        <f t="shared" si="9"/>
        <v>2511.92</v>
      </c>
      <c r="F267" s="298" t="s">
        <v>3693</v>
      </c>
      <c r="G267" s="301">
        <f t="shared" si="8"/>
        <v>2610.63</v>
      </c>
    </row>
    <row r="268" spans="1:7" x14ac:dyDescent="0.25">
      <c r="A268" s="297">
        <v>40542</v>
      </c>
      <c r="B268" s="298" t="s">
        <v>3046</v>
      </c>
      <c r="C268" s="299" t="s">
        <v>2871</v>
      </c>
      <c r="D268" s="300">
        <v>6035.94</v>
      </c>
      <c r="E268" s="350">
        <f t="shared" si="9"/>
        <v>4894.54</v>
      </c>
      <c r="F268" s="298" t="s">
        <v>3693</v>
      </c>
      <c r="G268" s="301">
        <f t="shared" si="8"/>
        <v>5086.88</v>
      </c>
    </row>
    <row r="269" spans="1:7" x14ac:dyDescent="0.25">
      <c r="A269" s="297">
        <v>40543</v>
      </c>
      <c r="B269" s="298" t="s">
        <v>3047</v>
      </c>
      <c r="C269" s="299" t="s">
        <v>2871</v>
      </c>
      <c r="D269" s="300">
        <v>8704.56</v>
      </c>
      <c r="E269" s="350">
        <f t="shared" si="9"/>
        <v>7058.52</v>
      </c>
      <c r="F269" s="298" t="s">
        <v>3693</v>
      </c>
      <c r="G269" s="301">
        <f t="shared" si="8"/>
        <v>7335.9</v>
      </c>
    </row>
    <row r="270" spans="1:7" x14ac:dyDescent="0.25">
      <c r="A270" s="297">
        <v>40544</v>
      </c>
      <c r="B270" s="298" t="s">
        <v>3048</v>
      </c>
      <c r="C270" s="299" t="s">
        <v>2871</v>
      </c>
      <c r="D270" s="300">
        <v>15087.19</v>
      </c>
      <c r="E270" s="350">
        <f t="shared" si="9"/>
        <v>12234.18</v>
      </c>
      <c r="F270" s="298" t="s">
        <v>3693</v>
      </c>
      <c r="G270" s="301">
        <f t="shared" si="8"/>
        <v>12714.95</v>
      </c>
    </row>
    <row r="271" spans="1:7" x14ac:dyDescent="0.25">
      <c r="A271" s="297">
        <v>40565</v>
      </c>
      <c r="B271" s="298" t="s">
        <v>3049</v>
      </c>
      <c r="C271" s="299" t="s">
        <v>2871</v>
      </c>
      <c r="D271" s="300">
        <v>3769.8</v>
      </c>
      <c r="E271" s="350">
        <f t="shared" si="9"/>
        <v>3056.93</v>
      </c>
      <c r="F271" s="298" t="s">
        <v>98</v>
      </c>
      <c r="G271" s="301">
        <f t="shared" si="8"/>
        <v>3177.06</v>
      </c>
    </row>
    <row r="272" spans="1:7" x14ac:dyDescent="0.25">
      <c r="A272" s="297">
        <v>40656</v>
      </c>
      <c r="B272" s="298" t="s">
        <v>3050</v>
      </c>
      <c r="C272" s="299" t="s">
        <v>2871</v>
      </c>
      <c r="D272" s="300">
        <v>282.23</v>
      </c>
      <c r="E272" s="350">
        <f t="shared" si="9"/>
        <v>228.86</v>
      </c>
      <c r="F272" s="298" t="s">
        <v>3693</v>
      </c>
      <c r="G272" s="301">
        <f t="shared" si="8"/>
        <v>237.86</v>
      </c>
    </row>
    <row r="273" spans="1:7" x14ac:dyDescent="0.25">
      <c r="A273" s="297">
        <v>41102</v>
      </c>
      <c r="B273" s="298" t="s">
        <v>4272</v>
      </c>
      <c r="C273" s="299" t="s">
        <v>82</v>
      </c>
      <c r="D273" s="300">
        <v>3779.96</v>
      </c>
      <c r="E273" s="350">
        <f t="shared" si="9"/>
        <v>3065.17</v>
      </c>
      <c r="F273" s="298" t="s">
        <v>3693</v>
      </c>
      <c r="G273" s="301">
        <f t="shared" si="8"/>
        <v>3185.63</v>
      </c>
    </row>
    <row r="274" spans="1:7" x14ac:dyDescent="0.25">
      <c r="A274" s="297">
        <v>41103</v>
      </c>
      <c r="B274" s="298" t="s">
        <v>4271</v>
      </c>
      <c r="C274" s="299" t="s">
        <v>82</v>
      </c>
      <c r="D274" s="300">
        <v>4542.91</v>
      </c>
      <c r="E274" s="350">
        <f t="shared" si="9"/>
        <v>3683.84</v>
      </c>
      <c r="F274" s="298" t="s">
        <v>3693</v>
      </c>
      <c r="G274" s="301">
        <f t="shared" si="8"/>
        <v>3828.61</v>
      </c>
    </row>
    <row r="275" spans="1:7" x14ac:dyDescent="0.25">
      <c r="A275" s="297">
        <v>41104</v>
      </c>
      <c r="B275" s="298" t="s">
        <v>4270</v>
      </c>
      <c r="C275" s="299" t="s">
        <v>82</v>
      </c>
      <c r="D275" s="300">
        <v>5803.95</v>
      </c>
      <c r="E275" s="350">
        <f t="shared" si="9"/>
        <v>4706.42</v>
      </c>
      <c r="F275" s="298" t="s">
        <v>3693</v>
      </c>
      <c r="G275" s="301">
        <f t="shared" si="8"/>
        <v>4891.37</v>
      </c>
    </row>
    <row r="276" spans="1:7" x14ac:dyDescent="0.25">
      <c r="A276" s="297">
        <v>41155</v>
      </c>
      <c r="B276" s="298" t="s">
        <v>4269</v>
      </c>
      <c r="C276" s="299" t="s">
        <v>82</v>
      </c>
      <c r="D276" s="300">
        <v>6717.08</v>
      </c>
      <c r="E276" s="350">
        <f t="shared" si="9"/>
        <v>5446.87</v>
      </c>
      <c r="F276" s="298" t="s">
        <v>3693</v>
      </c>
      <c r="G276" s="301">
        <f t="shared" si="8"/>
        <v>5660.92</v>
      </c>
    </row>
    <row r="277" spans="1:7" x14ac:dyDescent="0.25">
      <c r="A277" s="297">
        <v>40635</v>
      </c>
      <c r="B277" s="298" t="s">
        <v>3728</v>
      </c>
      <c r="C277" s="299" t="s">
        <v>82</v>
      </c>
      <c r="D277" s="300">
        <v>18533.89</v>
      </c>
      <c r="E277" s="350">
        <f t="shared" si="9"/>
        <v>15029.11</v>
      </c>
      <c r="F277" s="298" t="s">
        <v>3693</v>
      </c>
      <c r="G277" s="301">
        <f t="shared" si="8"/>
        <v>15619.71</v>
      </c>
    </row>
    <row r="278" spans="1:7" x14ac:dyDescent="0.25">
      <c r="A278" s="297">
        <v>42230</v>
      </c>
      <c r="B278" s="298" t="s">
        <v>3730</v>
      </c>
      <c r="C278" s="299" t="s">
        <v>82</v>
      </c>
      <c r="D278" s="300">
        <v>14947.54</v>
      </c>
      <c r="E278" s="350">
        <f t="shared" si="9"/>
        <v>12120.94</v>
      </c>
      <c r="F278" s="298" t="s">
        <v>3693</v>
      </c>
      <c r="G278" s="301">
        <f t="shared" si="8"/>
        <v>12597.26</v>
      </c>
    </row>
    <row r="279" spans="1:7" x14ac:dyDescent="0.25">
      <c r="A279" s="297">
        <v>40658</v>
      </c>
      <c r="B279" s="298" t="s">
        <v>306</v>
      </c>
      <c r="C279" s="299" t="s">
        <v>2884</v>
      </c>
      <c r="D279" s="300">
        <v>6.54</v>
      </c>
      <c r="E279" s="350">
        <f t="shared" si="9"/>
        <v>5.31</v>
      </c>
      <c r="F279" s="298" t="s">
        <v>98</v>
      </c>
      <c r="G279" s="301">
        <f t="shared" si="8"/>
        <v>5.52</v>
      </c>
    </row>
    <row r="280" spans="1:7" x14ac:dyDescent="0.25">
      <c r="A280" s="297">
        <v>41161</v>
      </c>
      <c r="B280" s="298" t="s">
        <v>3051</v>
      </c>
      <c r="C280" s="299" t="s">
        <v>2871</v>
      </c>
      <c r="D280" s="300">
        <v>5528.05</v>
      </c>
      <c r="E280" s="350">
        <f t="shared" si="9"/>
        <v>4482.6899999999996</v>
      </c>
      <c r="F280" s="298" t="s">
        <v>98</v>
      </c>
      <c r="G280" s="301">
        <f t="shared" si="8"/>
        <v>4658.8500000000004</v>
      </c>
    </row>
    <row r="281" spans="1:7" x14ac:dyDescent="0.25">
      <c r="A281" s="297">
        <v>40563</v>
      </c>
      <c r="B281" s="298" t="s">
        <v>3734</v>
      </c>
      <c r="C281" s="299" t="s">
        <v>2871</v>
      </c>
      <c r="D281" s="300">
        <v>5279.87</v>
      </c>
      <c r="E281" s="350">
        <f t="shared" si="9"/>
        <v>4281.4399999999996</v>
      </c>
      <c r="F281" s="298" t="s">
        <v>98</v>
      </c>
      <c r="G281" s="301">
        <f t="shared" si="8"/>
        <v>4449.6899999999996</v>
      </c>
    </row>
    <row r="282" spans="1:7" x14ac:dyDescent="0.25">
      <c r="A282" s="297">
        <v>40564</v>
      </c>
      <c r="B282" s="298" t="s">
        <v>3736</v>
      </c>
      <c r="C282" s="299" t="s">
        <v>2871</v>
      </c>
      <c r="D282" s="300">
        <v>6482.13</v>
      </c>
      <c r="E282" s="350">
        <f t="shared" si="9"/>
        <v>5256.35</v>
      </c>
      <c r="F282" s="298" t="s">
        <v>98</v>
      </c>
      <c r="G282" s="301">
        <f t="shared" si="8"/>
        <v>5462.91</v>
      </c>
    </row>
    <row r="283" spans="1:7" x14ac:dyDescent="0.25">
      <c r="A283" s="297">
        <v>41333</v>
      </c>
      <c r="B283" s="298" t="s">
        <v>3738</v>
      </c>
      <c r="C283" s="299" t="s">
        <v>2871</v>
      </c>
      <c r="D283" s="300">
        <v>2594.98</v>
      </c>
      <c r="E283" s="350">
        <f t="shared" si="9"/>
        <v>2104.27</v>
      </c>
      <c r="F283" s="298" t="s">
        <v>3693</v>
      </c>
      <c r="G283" s="301">
        <f t="shared" si="8"/>
        <v>2186.9699999999998</v>
      </c>
    </row>
    <row r="284" spans="1:7" x14ac:dyDescent="0.25">
      <c r="A284" s="297">
        <v>40545</v>
      </c>
      <c r="B284" s="298" t="s">
        <v>3742</v>
      </c>
      <c r="C284" s="299" t="s">
        <v>2871</v>
      </c>
      <c r="D284" s="300">
        <v>2468.17</v>
      </c>
      <c r="E284" s="350">
        <f t="shared" si="9"/>
        <v>2001.44</v>
      </c>
      <c r="F284" s="298" t="s">
        <v>3693</v>
      </c>
      <c r="G284" s="301">
        <f t="shared" si="8"/>
        <v>2080.09</v>
      </c>
    </row>
    <row r="285" spans="1:7" x14ac:dyDescent="0.25">
      <c r="A285" s="297">
        <v>40546</v>
      </c>
      <c r="B285" s="298" t="s">
        <v>3744</v>
      </c>
      <c r="C285" s="299" t="s">
        <v>2871</v>
      </c>
      <c r="D285" s="300">
        <v>3817.37</v>
      </c>
      <c r="E285" s="350">
        <f t="shared" si="9"/>
        <v>3095.5</v>
      </c>
      <c r="F285" s="298" t="s">
        <v>3693</v>
      </c>
      <c r="G285" s="301">
        <f t="shared" si="8"/>
        <v>3217.15</v>
      </c>
    </row>
    <row r="286" spans="1:7" x14ac:dyDescent="0.25">
      <c r="A286" s="297">
        <v>40547</v>
      </c>
      <c r="B286" s="298" t="s">
        <v>3746</v>
      </c>
      <c r="C286" s="299" t="s">
        <v>2871</v>
      </c>
      <c r="D286" s="300">
        <v>4743.55</v>
      </c>
      <c r="E286" s="350">
        <f t="shared" si="9"/>
        <v>3846.54</v>
      </c>
      <c r="F286" s="298" t="s">
        <v>3693</v>
      </c>
      <c r="G286" s="301">
        <f t="shared" si="8"/>
        <v>3997.7</v>
      </c>
    </row>
    <row r="287" spans="1:7" x14ac:dyDescent="0.25">
      <c r="A287" s="297">
        <v>40548</v>
      </c>
      <c r="B287" s="298" t="s">
        <v>3748</v>
      </c>
      <c r="C287" s="299" t="s">
        <v>2871</v>
      </c>
      <c r="D287" s="300">
        <v>5632.02</v>
      </c>
      <c r="E287" s="350">
        <f t="shared" si="9"/>
        <v>4567</v>
      </c>
      <c r="F287" s="298" t="s">
        <v>3693</v>
      </c>
      <c r="G287" s="301">
        <f t="shared" si="8"/>
        <v>4746.47</v>
      </c>
    </row>
    <row r="288" spans="1:7" x14ac:dyDescent="0.25">
      <c r="A288" s="297">
        <v>40549</v>
      </c>
      <c r="B288" s="298" t="s">
        <v>3754</v>
      </c>
      <c r="C288" s="299" t="s">
        <v>2871</v>
      </c>
      <c r="D288" s="300">
        <v>1654.85</v>
      </c>
      <c r="E288" s="350">
        <f t="shared" si="9"/>
        <v>1341.92</v>
      </c>
      <c r="F288" s="298" t="s">
        <v>98</v>
      </c>
      <c r="G288" s="301">
        <f t="shared" si="8"/>
        <v>1394.66</v>
      </c>
    </row>
    <row r="289" spans="1:7" x14ac:dyDescent="0.25">
      <c r="A289" s="297">
        <v>40550</v>
      </c>
      <c r="B289" s="298" t="s">
        <v>3756</v>
      </c>
      <c r="C289" s="299" t="s">
        <v>2871</v>
      </c>
      <c r="D289" s="300">
        <v>2088.62</v>
      </c>
      <c r="E289" s="350">
        <f t="shared" si="9"/>
        <v>1693.66</v>
      </c>
      <c r="F289" s="298" t="s">
        <v>98</v>
      </c>
      <c r="G289" s="301">
        <f t="shared" si="8"/>
        <v>1760.22</v>
      </c>
    </row>
    <row r="290" spans="1:7" x14ac:dyDescent="0.25">
      <c r="A290" s="297">
        <v>40551</v>
      </c>
      <c r="B290" s="298" t="s">
        <v>3758</v>
      </c>
      <c r="C290" s="299" t="s">
        <v>2871</v>
      </c>
      <c r="D290" s="300">
        <v>2625.03</v>
      </c>
      <c r="E290" s="350">
        <f t="shared" si="9"/>
        <v>2128.64</v>
      </c>
      <c r="F290" s="298" t="s">
        <v>98</v>
      </c>
      <c r="G290" s="301">
        <f t="shared" si="8"/>
        <v>2212.29</v>
      </c>
    </row>
    <row r="291" spans="1:7" x14ac:dyDescent="0.25">
      <c r="A291" s="297">
        <v>40552</v>
      </c>
      <c r="B291" s="298" t="s">
        <v>3760</v>
      </c>
      <c r="C291" s="299" t="s">
        <v>2871</v>
      </c>
      <c r="D291" s="300">
        <v>4192.18</v>
      </c>
      <c r="E291" s="350">
        <f t="shared" si="9"/>
        <v>3399.44</v>
      </c>
      <c r="F291" s="298" t="s">
        <v>98</v>
      </c>
      <c r="G291" s="301">
        <f t="shared" si="8"/>
        <v>3533.03</v>
      </c>
    </row>
    <row r="292" spans="1:7" x14ac:dyDescent="0.25">
      <c r="A292" s="297">
        <v>41320</v>
      </c>
      <c r="B292" s="298" t="s">
        <v>3052</v>
      </c>
      <c r="C292" s="299" t="s">
        <v>2871</v>
      </c>
      <c r="D292" s="300">
        <v>9854.51</v>
      </c>
      <c r="E292" s="350">
        <f t="shared" si="9"/>
        <v>7991.01</v>
      </c>
      <c r="F292" s="298" t="s">
        <v>3693</v>
      </c>
      <c r="G292" s="301">
        <f t="shared" si="8"/>
        <v>8305.0300000000007</v>
      </c>
    </row>
    <row r="293" spans="1:7" x14ac:dyDescent="0.25">
      <c r="A293" s="297">
        <v>41184</v>
      </c>
      <c r="B293" s="298" t="s">
        <v>3053</v>
      </c>
      <c r="C293" s="299" t="s">
        <v>82</v>
      </c>
      <c r="D293" s="300">
        <v>1688.85</v>
      </c>
      <c r="E293" s="350">
        <f t="shared" si="9"/>
        <v>1369.49</v>
      </c>
      <c r="F293" s="298" t="s">
        <v>98</v>
      </c>
      <c r="G293" s="301">
        <f t="shared" si="8"/>
        <v>1423.31</v>
      </c>
    </row>
    <row r="294" spans="1:7" x14ac:dyDescent="0.25">
      <c r="A294" s="297">
        <v>41338</v>
      </c>
      <c r="B294" s="298" t="s">
        <v>3054</v>
      </c>
      <c r="C294" s="299" t="s">
        <v>2871</v>
      </c>
      <c r="D294" s="300">
        <v>774.1</v>
      </c>
      <c r="E294" s="350">
        <f t="shared" si="9"/>
        <v>627.72</v>
      </c>
      <c r="F294" s="298" t="s">
        <v>98</v>
      </c>
      <c r="G294" s="301">
        <f t="shared" si="8"/>
        <v>652.39</v>
      </c>
    </row>
    <row r="295" spans="1:7" x14ac:dyDescent="0.25">
      <c r="A295" s="297">
        <v>40561</v>
      </c>
      <c r="B295" s="298" t="s">
        <v>3055</v>
      </c>
      <c r="C295" s="299" t="s">
        <v>2871</v>
      </c>
      <c r="D295" s="300">
        <v>838.92</v>
      </c>
      <c r="E295" s="350">
        <f t="shared" si="9"/>
        <v>680.28</v>
      </c>
      <c r="F295" s="298" t="s">
        <v>3693</v>
      </c>
      <c r="G295" s="301">
        <f t="shared" si="8"/>
        <v>707.02</v>
      </c>
    </row>
    <row r="296" spans="1:7" x14ac:dyDescent="0.25">
      <c r="A296" s="297">
        <v>40672</v>
      </c>
      <c r="B296" s="298" t="s">
        <v>3056</v>
      </c>
      <c r="C296" s="299" t="s">
        <v>82</v>
      </c>
      <c r="D296" s="300">
        <v>734.74</v>
      </c>
      <c r="E296" s="350">
        <f t="shared" si="9"/>
        <v>595.79999999999995</v>
      </c>
      <c r="F296" s="298" t="s">
        <v>3693</v>
      </c>
      <c r="G296" s="301">
        <f t="shared" si="8"/>
        <v>619.22</v>
      </c>
    </row>
    <row r="297" spans="1:7" x14ac:dyDescent="0.25">
      <c r="A297" s="297">
        <v>40703</v>
      </c>
      <c r="B297" s="298" t="s">
        <v>3057</v>
      </c>
      <c r="C297" s="299" t="s">
        <v>82</v>
      </c>
      <c r="D297" s="300">
        <v>236.84</v>
      </c>
      <c r="E297" s="350">
        <f t="shared" si="9"/>
        <v>192.06</v>
      </c>
      <c r="F297" s="298" t="s">
        <v>98</v>
      </c>
      <c r="G297" s="301">
        <f t="shared" si="8"/>
        <v>199.61</v>
      </c>
    </row>
    <row r="298" spans="1:7" x14ac:dyDescent="0.25">
      <c r="A298" s="297">
        <v>40671</v>
      </c>
      <c r="B298" s="298" t="s">
        <v>3058</v>
      </c>
      <c r="C298" s="299" t="s">
        <v>82</v>
      </c>
      <c r="D298" s="300">
        <v>296.79000000000002</v>
      </c>
      <c r="E298" s="350">
        <f t="shared" si="9"/>
        <v>240.67</v>
      </c>
      <c r="F298" s="298" t="s">
        <v>98</v>
      </c>
      <c r="G298" s="301">
        <f t="shared" si="8"/>
        <v>250.13</v>
      </c>
    </row>
    <row r="299" spans="1:7" x14ac:dyDescent="0.25">
      <c r="A299" s="297">
        <v>41016</v>
      </c>
      <c r="B299" s="298" t="s">
        <v>3059</v>
      </c>
      <c r="C299" s="299" t="s">
        <v>82</v>
      </c>
      <c r="D299" s="300">
        <v>220.27</v>
      </c>
      <c r="E299" s="350">
        <f t="shared" si="9"/>
        <v>178.62</v>
      </c>
      <c r="F299" s="298" t="s">
        <v>3693</v>
      </c>
      <c r="G299" s="301">
        <f t="shared" si="8"/>
        <v>185.64</v>
      </c>
    </row>
    <row r="300" spans="1:7" x14ac:dyDescent="0.25">
      <c r="A300" s="297">
        <v>40952</v>
      </c>
      <c r="B300" s="298" t="s">
        <v>3778</v>
      </c>
      <c r="C300" s="299" t="s">
        <v>2884</v>
      </c>
      <c r="D300" s="300">
        <v>51.48</v>
      </c>
      <c r="E300" s="350">
        <f t="shared" si="9"/>
        <v>41.75</v>
      </c>
      <c r="F300" s="298" t="s">
        <v>98</v>
      </c>
      <c r="G300" s="301">
        <f t="shared" si="8"/>
        <v>43.4</v>
      </c>
    </row>
    <row r="301" spans="1:7" x14ac:dyDescent="0.25">
      <c r="A301" s="297">
        <v>40953</v>
      </c>
      <c r="B301" s="298" t="s">
        <v>3060</v>
      </c>
      <c r="C301" s="299" t="s">
        <v>82</v>
      </c>
      <c r="D301" s="300">
        <v>111.48</v>
      </c>
      <c r="E301" s="350">
        <f t="shared" si="9"/>
        <v>90.4</v>
      </c>
      <c r="F301" s="298" t="s">
        <v>3693</v>
      </c>
      <c r="G301" s="301">
        <f t="shared" si="8"/>
        <v>93.96</v>
      </c>
    </row>
    <row r="302" spans="1:7" x14ac:dyDescent="0.25">
      <c r="A302" s="297">
        <v>40708</v>
      </c>
      <c r="B302" s="298" t="s">
        <v>3061</v>
      </c>
      <c r="C302" s="299" t="s">
        <v>2884</v>
      </c>
      <c r="D302" s="300">
        <v>120.96</v>
      </c>
      <c r="E302" s="350">
        <f t="shared" si="9"/>
        <v>98.09</v>
      </c>
      <c r="F302" s="298" t="s">
        <v>98</v>
      </c>
      <c r="G302" s="301">
        <f t="shared" si="8"/>
        <v>101.95</v>
      </c>
    </row>
    <row r="303" spans="1:7" x14ac:dyDescent="0.25">
      <c r="A303" s="297">
        <v>40377</v>
      </c>
      <c r="B303" s="298" t="s">
        <v>3062</v>
      </c>
      <c r="C303" s="299" t="s">
        <v>2884</v>
      </c>
      <c r="D303" s="300">
        <v>6.36</v>
      </c>
      <c r="E303" s="350">
        <f t="shared" si="9"/>
        <v>5.16</v>
      </c>
      <c r="F303" s="298" t="s">
        <v>98</v>
      </c>
      <c r="G303" s="301">
        <f t="shared" si="8"/>
        <v>5.37</v>
      </c>
    </row>
    <row r="304" spans="1:7" x14ac:dyDescent="0.25">
      <c r="A304" s="297">
        <v>40378</v>
      </c>
      <c r="B304" s="298" t="s">
        <v>3063</v>
      </c>
      <c r="C304" s="299" t="s">
        <v>2884</v>
      </c>
      <c r="D304" s="300">
        <v>10.51</v>
      </c>
      <c r="E304" s="350">
        <f t="shared" si="9"/>
        <v>8.5299999999999994</v>
      </c>
      <c r="F304" s="298" t="s">
        <v>98</v>
      </c>
      <c r="G304" s="301">
        <f t="shared" si="8"/>
        <v>8.8699999999999992</v>
      </c>
    </row>
    <row r="305" spans="1:7" x14ac:dyDescent="0.25">
      <c r="A305" s="297">
        <v>41389</v>
      </c>
      <c r="B305" s="298" t="s">
        <v>3064</v>
      </c>
      <c r="C305" s="299" t="s">
        <v>76</v>
      </c>
      <c r="D305" s="300">
        <v>6.05</v>
      </c>
      <c r="E305" s="350">
        <f t="shared" si="9"/>
        <v>4.91</v>
      </c>
      <c r="F305" s="298" t="s">
        <v>98</v>
      </c>
      <c r="G305" s="301">
        <f t="shared" si="8"/>
        <v>5.1100000000000003</v>
      </c>
    </row>
    <row r="306" spans="1:7" x14ac:dyDescent="0.25">
      <c r="A306" s="297">
        <v>40715</v>
      </c>
      <c r="B306" s="298" t="s">
        <v>3065</v>
      </c>
      <c r="C306" s="299" t="s">
        <v>76</v>
      </c>
      <c r="D306" s="300">
        <v>86.21</v>
      </c>
      <c r="E306" s="350">
        <f t="shared" si="9"/>
        <v>69.91</v>
      </c>
      <c r="F306" s="298" t="s">
        <v>3693</v>
      </c>
      <c r="G306" s="301">
        <f t="shared" si="8"/>
        <v>72.66</v>
      </c>
    </row>
    <row r="307" spans="1:7" x14ac:dyDescent="0.25">
      <c r="A307" s="297">
        <v>40716</v>
      </c>
      <c r="B307" s="298" t="s">
        <v>3066</v>
      </c>
      <c r="C307" s="299" t="s">
        <v>76</v>
      </c>
      <c r="D307" s="300">
        <v>118.88</v>
      </c>
      <c r="E307" s="350">
        <f t="shared" si="9"/>
        <v>96.4</v>
      </c>
      <c r="F307" s="298" t="s">
        <v>3693</v>
      </c>
      <c r="G307" s="301">
        <f t="shared" si="8"/>
        <v>100.19</v>
      </c>
    </row>
    <row r="308" spans="1:7" x14ac:dyDescent="0.25">
      <c r="A308" s="297">
        <v>40717</v>
      </c>
      <c r="B308" s="298" t="s">
        <v>3067</v>
      </c>
      <c r="C308" s="299" t="s">
        <v>76</v>
      </c>
      <c r="D308" s="300">
        <v>119.47</v>
      </c>
      <c r="E308" s="350">
        <f t="shared" si="9"/>
        <v>96.88</v>
      </c>
      <c r="F308" s="298" t="s">
        <v>3693</v>
      </c>
      <c r="G308" s="301">
        <f t="shared" si="8"/>
        <v>100.69</v>
      </c>
    </row>
    <row r="309" spans="1:7" x14ac:dyDescent="0.25">
      <c r="A309" s="297">
        <v>40718</v>
      </c>
      <c r="B309" s="298" t="s">
        <v>3068</v>
      </c>
      <c r="C309" s="299" t="s">
        <v>76</v>
      </c>
      <c r="D309" s="300">
        <v>112.66</v>
      </c>
      <c r="E309" s="350">
        <f t="shared" si="9"/>
        <v>91.36</v>
      </c>
      <c r="F309" s="298" t="s">
        <v>3693</v>
      </c>
      <c r="G309" s="301">
        <f t="shared" si="8"/>
        <v>94.96</v>
      </c>
    </row>
    <row r="310" spans="1:7" x14ac:dyDescent="0.25">
      <c r="A310" s="297">
        <v>40652</v>
      </c>
      <c r="B310" s="298" t="s">
        <v>3069</v>
      </c>
      <c r="C310" s="299" t="s">
        <v>82</v>
      </c>
      <c r="D310" s="300">
        <v>470.52</v>
      </c>
      <c r="E310" s="350">
        <f t="shared" si="9"/>
        <v>381.55</v>
      </c>
      <c r="F310" s="298" t="s">
        <v>3693</v>
      </c>
      <c r="G310" s="301">
        <f t="shared" ref="G310:G367" si="10">ROUNDUP(E310*$H$2,2)</f>
        <v>396.55</v>
      </c>
    </row>
    <row r="311" spans="1:7" x14ac:dyDescent="0.25">
      <c r="A311" s="297">
        <v>41090</v>
      </c>
      <c r="B311" s="298" t="s">
        <v>3070</v>
      </c>
      <c r="C311" s="299" t="s">
        <v>76</v>
      </c>
      <c r="D311" s="300">
        <v>1596.64</v>
      </c>
      <c r="E311" s="350">
        <f t="shared" si="9"/>
        <v>1294.72</v>
      </c>
      <c r="F311" s="298" t="s">
        <v>98</v>
      </c>
      <c r="G311" s="301">
        <f t="shared" si="10"/>
        <v>1345.6</v>
      </c>
    </row>
    <row r="312" spans="1:7" x14ac:dyDescent="0.25">
      <c r="A312" s="297">
        <v>40350</v>
      </c>
      <c r="B312" s="298" t="s">
        <v>3784</v>
      </c>
      <c r="C312" s="299" t="s">
        <v>76</v>
      </c>
      <c r="D312" s="300">
        <v>465.38</v>
      </c>
      <c r="E312" s="350">
        <f t="shared" si="9"/>
        <v>377.38</v>
      </c>
      <c r="F312" s="298" t="s">
        <v>3693</v>
      </c>
      <c r="G312" s="301">
        <f t="shared" si="10"/>
        <v>392.21</v>
      </c>
    </row>
    <row r="313" spans="1:7" x14ac:dyDescent="0.25">
      <c r="A313" s="297">
        <v>40351</v>
      </c>
      <c r="B313" s="298" t="s">
        <v>3785</v>
      </c>
      <c r="C313" s="299" t="s">
        <v>76</v>
      </c>
      <c r="D313" s="300">
        <v>498.98</v>
      </c>
      <c r="E313" s="350">
        <f t="shared" si="9"/>
        <v>404.63</v>
      </c>
      <c r="F313" s="298" t="s">
        <v>3693</v>
      </c>
      <c r="G313" s="301">
        <f t="shared" si="10"/>
        <v>420.54</v>
      </c>
    </row>
    <row r="314" spans="1:7" x14ac:dyDescent="0.25">
      <c r="A314" s="297">
        <v>40353</v>
      </c>
      <c r="B314" s="298" t="s">
        <v>3786</v>
      </c>
      <c r="C314" s="299" t="s">
        <v>76</v>
      </c>
      <c r="D314" s="300">
        <v>515.85</v>
      </c>
      <c r="E314" s="350">
        <f t="shared" si="9"/>
        <v>418.31</v>
      </c>
      <c r="F314" s="298" t="s">
        <v>3693</v>
      </c>
      <c r="G314" s="301">
        <f t="shared" si="10"/>
        <v>434.75</v>
      </c>
    </row>
    <row r="315" spans="1:7" x14ac:dyDescent="0.25">
      <c r="A315" s="297">
        <v>40349</v>
      </c>
      <c r="B315" s="298" t="s">
        <v>3787</v>
      </c>
      <c r="C315" s="299" t="s">
        <v>76</v>
      </c>
      <c r="D315" s="300">
        <v>507.06</v>
      </c>
      <c r="E315" s="350">
        <f t="shared" si="9"/>
        <v>411.18</v>
      </c>
      <c r="F315" s="298" t="s">
        <v>3693</v>
      </c>
      <c r="G315" s="301">
        <f t="shared" si="10"/>
        <v>427.34</v>
      </c>
    </row>
    <row r="316" spans="1:7" x14ac:dyDescent="0.25">
      <c r="A316" s="297">
        <v>40358</v>
      </c>
      <c r="B316" s="298" t="s">
        <v>307</v>
      </c>
      <c r="C316" s="299" t="s">
        <v>76</v>
      </c>
      <c r="D316" s="300">
        <v>650.34</v>
      </c>
      <c r="E316" s="350">
        <f t="shared" si="9"/>
        <v>527.36</v>
      </c>
      <c r="F316" s="298" t="s">
        <v>3693</v>
      </c>
      <c r="G316" s="301">
        <f t="shared" si="10"/>
        <v>548.09</v>
      </c>
    </row>
    <row r="317" spans="1:7" x14ac:dyDescent="0.25">
      <c r="A317" s="297">
        <v>40361</v>
      </c>
      <c r="B317" s="298" t="s">
        <v>3790</v>
      </c>
      <c r="C317" s="299" t="s">
        <v>76</v>
      </c>
      <c r="D317" s="300">
        <v>680.78</v>
      </c>
      <c r="E317" s="350">
        <f t="shared" si="9"/>
        <v>552.04999999999995</v>
      </c>
      <c r="F317" s="298" t="s">
        <v>3693</v>
      </c>
      <c r="G317" s="301">
        <f t="shared" si="10"/>
        <v>573.75</v>
      </c>
    </row>
    <row r="318" spans="1:7" x14ac:dyDescent="0.25">
      <c r="A318" s="297">
        <v>40360</v>
      </c>
      <c r="B318" s="298" t="s">
        <v>3792</v>
      </c>
      <c r="C318" s="299" t="s">
        <v>76</v>
      </c>
      <c r="D318" s="300">
        <v>674.44</v>
      </c>
      <c r="E318" s="350">
        <f t="shared" si="9"/>
        <v>546.91</v>
      </c>
      <c r="F318" s="298" t="s">
        <v>3693</v>
      </c>
      <c r="G318" s="301">
        <f t="shared" si="10"/>
        <v>568.41</v>
      </c>
    </row>
    <row r="319" spans="1:7" x14ac:dyDescent="0.25">
      <c r="A319" s="297">
        <v>40363</v>
      </c>
      <c r="B319" s="298" t="s">
        <v>3794</v>
      </c>
      <c r="C319" s="299" t="s">
        <v>76</v>
      </c>
      <c r="D319" s="300">
        <v>707.14</v>
      </c>
      <c r="E319" s="350">
        <f t="shared" si="9"/>
        <v>573.41999999999996</v>
      </c>
      <c r="F319" s="298" t="s">
        <v>3693</v>
      </c>
      <c r="G319" s="301">
        <f t="shared" si="10"/>
        <v>595.96</v>
      </c>
    </row>
    <row r="320" spans="1:7" x14ac:dyDescent="0.25">
      <c r="A320" s="297">
        <v>40362</v>
      </c>
      <c r="B320" s="298" t="s">
        <v>3796</v>
      </c>
      <c r="C320" s="299" t="s">
        <v>76</v>
      </c>
      <c r="D320" s="300">
        <v>700.05</v>
      </c>
      <c r="E320" s="350">
        <f t="shared" si="9"/>
        <v>567.66999999999996</v>
      </c>
      <c r="F320" s="298" t="s">
        <v>3693</v>
      </c>
      <c r="G320" s="301">
        <f t="shared" si="10"/>
        <v>589.98</v>
      </c>
    </row>
    <row r="321" spans="1:7" x14ac:dyDescent="0.25">
      <c r="A321" s="297">
        <v>40368</v>
      </c>
      <c r="B321" s="298" t="s">
        <v>3797</v>
      </c>
      <c r="C321" s="299" t="s">
        <v>76</v>
      </c>
      <c r="D321" s="300">
        <v>913.89</v>
      </c>
      <c r="E321" s="350">
        <f t="shared" si="9"/>
        <v>741.08</v>
      </c>
      <c r="F321" s="298" t="s">
        <v>3693</v>
      </c>
      <c r="G321" s="301">
        <f t="shared" si="10"/>
        <v>770.21</v>
      </c>
    </row>
    <row r="322" spans="1:7" x14ac:dyDescent="0.25">
      <c r="A322" s="297">
        <v>40365</v>
      </c>
      <c r="B322" s="298" t="s">
        <v>3798</v>
      </c>
      <c r="C322" s="299" t="s">
        <v>76</v>
      </c>
      <c r="D322" s="300">
        <v>731.47</v>
      </c>
      <c r="E322" s="350">
        <f t="shared" ref="E322:E385" si="11">ROUNDUP(D322/(1+$L$2),2)</f>
        <v>593.15</v>
      </c>
      <c r="F322" s="298" t="s">
        <v>3693</v>
      </c>
      <c r="G322" s="301">
        <f t="shared" si="10"/>
        <v>616.46</v>
      </c>
    </row>
    <row r="323" spans="1:7" x14ac:dyDescent="0.25">
      <c r="A323" s="297">
        <v>40364</v>
      </c>
      <c r="B323" s="298" t="s">
        <v>3801</v>
      </c>
      <c r="C323" s="299" t="s">
        <v>76</v>
      </c>
      <c r="D323" s="300">
        <v>723.66</v>
      </c>
      <c r="E323" s="350">
        <f t="shared" si="11"/>
        <v>586.82000000000005</v>
      </c>
      <c r="F323" s="298" t="s">
        <v>3693</v>
      </c>
      <c r="G323" s="301">
        <f t="shared" si="10"/>
        <v>609.88</v>
      </c>
    </row>
    <row r="324" spans="1:7" x14ac:dyDescent="0.25">
      <c r="A324" s="297">
        <v>40369</v>
      </c>
      <c r="B324" s="298" t="s">
        <v>3802</v>
      </c>
      <c r="C324" s="299" t="s">
        <v>76</v>
      </c>
      <c r="D324" s="300">
        <v>959.05</v>
      </c>
      <c r="E324" s="350">
        <f t="shared" si="11"/>
        <v>777.7</v>
      </c>
      <c r="F324" s="298" t="s">
        <v>3693</v>
      </c>
      <c r="G324" s="301">
        <f t="shared" si="10"/>
        <v>808.27</v>
      </c>
    </row>
    <row r="325" spans="1:7" x14ac:dyDescent="0.25">
      <c r="A325" s="297">
        <v>40371</v>
      </c>
      <c r="B325" s="298" t="s">
        <v>3805</v>
      </c>
      <c r="C325" s="299" t="s">
        <v>76</v>
      </c>
      <c r="D325" s="300">
        <v>1661.26</v>
      </c>
      <c r="E325" s="350">
        <f t="shared" si="11"/>
        <v>1347.12</v>
      </c>
      <c r="F325" s="298" t="s">
        <v>3693</v>
      </c>
      <c r="G325" s="301">
        <f t="shared" si="10"/>
        <v>1400.06</v>
      </c>
    </row>
    <row r="326" spans="1:7" x14ac:dyDescent="0.25">
      <c r="A326" s="297">
        <v>40467</v>
      </c>
      <c r="B326" s="298" t="s">
        <v>3071</v>
      </c>
      <c r="C326" s="299" t="s">
        <v>82</v>
      </c>
      <c r="D326" s="300">
        <v>446.44</v>
      </c>
      <c r="E326" s="350">
        <f t="shared" si="11"/>
        <v>362.02</v>
      </c>
      <c r="F326" s="298" t="s">
        <v>3693</v>
      </c>
      <c r="G326" s="301">
        <f t="shared" si="10"/>
        <v>376.25</v>
      </c>
    </row>
    <row r="327" spans="1:7" x14ac:dyDescent="0.25">
      <c r="A327" s="297">
        <v>40468</v>
      </c>
      <c r="B327" s="298" t="s">
        <v>3072</v>
      </c>
      <c r="C327" s="299" t="s">
        <v>82</v>
      </c>
      <c r="D327" s="300">
        <v>484.45</v>
      </c>
      <c r="E327" s="350">
        <f t="shared" si="11"/>
        <v>392.84</v>
      </c>
      <c r="F327" s="298" t="s">
        <v>3693</v>
      </c>
      <c r="G327" s="301">
        <f t="shared" si="10"/>
        <v>408.28</v>
      </c>
    </row>
    <row r="328" spans="1:7" x14ac:dyDescent="0.25">
      <c r="A328" s="297">
        <v>40469</v>
      </c>
      <c r="B328" s="298" t="s">
        <v>3073</v>
      </c>
      <c r="C328" s="299" t="s">
        <v>82</v>
      </c>
      <c r="D328" s="300">
        <v>452.7</v>
      </c>
      <c r="E328" s="350">
        <f t="shared" si="11"/>
        <v>367.1</v>
      </c>
      <c r="F328" s="298" t="s">
        <v>3693</v>
      </c>
      <c r="G328" s="301">
        <f t="shared" si="10"/>
        <v>381.53</v>
      </c>
    </row>
    <row r="329" spans="1:7" x14ac:dyDescent="0.25">
      <c r="A329" s="297">
        <v>40470</v>
      </c>
      <c r="B329" s="298" t="s">
        <v>3074</v>
      </c>
      <c r="C329" s="299" t="s">
        <v>82</v>
      </c>
      <c r="D329" s="300">
        <v>440.2</v>
      </c>
      <c r="E329" s="350">
        <f t="shared" si="11"/>
        <v>356.96</v>
      </c>
      <c r="F329" s="298" t="s">
        <v>3693</v>
      </c>
      <c r="G329" s="301">
        <f t="shared" si="10"/>
        <v>370.99</v>
      </c>
    </row>
    <row r="330" spans="1:7" x14ac:dyDescent="0.25">
      <c r="A330" s="297">
        <v>40471</v>
      </c>
      <c r="B330" s="298" t="s">
        <v>3075</v>
      </c>
      <c r="C330" s="299" t="s">
        <v>82</v>
      </c>
      <c r="D330" s="300">
        <v>944.75</v>
      </c>
      <c r="E330" s="350">
        <f t="shared" si="11"/>
        <v>766.1</v>
      </c>
      <c r="F330" s="298" t="s">
        <v>3693</v>
      </c>
      <c r="G330" s="301">
        <f t="shared" si="10"/>
        <v>796.21</v>
      </c>
    </row>
    <row r="331" spans="1:7" x14ac:dyDescent="0.25">
      <c r="A331" s="297">
        <v>40472</v>
      </c>
      <c r="B331" s="298" t="s">
        <v>3076</v>
      </c>
      <c r="C331" s="299" t="s">
        <v>82</v>
      </c>
      <c r="D331" s="300">
        <v>932.59</v>
      </c>
      <c r="E331" s="350">
        <f t="shared" si="11"/>
        <v>756.24</v>
      </c>
      <c r="F331" s="298" t="s">
        <v>3693</v>
      </c>
      <c r="G331" s="301">
        <f t="shared" si="10"/>
        <v>785.96</v>
      </c>
    </row>
    <row r="332" spans="1:7" x14ac:dyDescent="0.25">
      <c r="A332" s="297">
        <v>40473</v>
      </c>
      <c r="B332" s="298" t="s">
        <v>3077</v>
      </c>
      <c r="C332" s="299" t="s">
        <v>82</v>
      </c>
      <c r="D332" s="300">
        <v>966.18</v>
      </c>
      <c r="E332" s="350">
        <f t="shared" si="11"/>
        <v>783.48</v>
      </c>
      <c r="F332" s="298" t="s">
        <v>3693</v>
      </c>
      <c r="G332" s="301">
        <f t="shared" si="10"/>
        <v>814.27</v>
      </c>
    </row>
    <row r="333" spans="1:7" x14ac:dyDescent="0.25">
      <c r="A333" s="297">
        <v>40474</v>
      </c>
      <c r="B333" s="298" t="s">
        <v>3078</v>
      </c>
      <c r="C333" s="299" t="s">
        <v>82</v>
      </c>
      <c r="D333" s="300">
        <v>917.15</v>
      </c>
      <c r="E333" s="350">
        <f t="shared" si="11"/>
        <v>743.72</v>
      </c>
      <c r="F333" s="298" t="s">
        <v>3693</v>
      </c>
      <c r="G333" s="301">
        <f t="shared" si="10"/>
        <v>772.95</v>
      </c>
    </row>
    <row r="334" spans="1:7" x14ac:dyDescent="0.25">
      <c r="A334" s="297">
        <v>40475</v>
      </c>
      <c r="B334" s="298" t="s">
        <v>3079</v>
      </c>
      <c r="C334" s="299" t="s">
        <v>82</v>
      </c>
      <c r="D334" s="300">
        <v>1100.45</v>
      </c>
      <c r="E334" s="350">
        <f t="shared" si="11"/>
        <v>892.36</v>
      </c>
      <c r="F334" s="298" t="s">
        <v>3693</v>
      </c>
      <c r="G334" s="301">
        <f t="shared" si="10"/>
        <v>927.43</v>
      </c>
    </row>
    <row r="335" spans="1:7" x14ac:dyDescent="0.25">
      <c r="A335" s="297">
        <v>40476</v>
      </c>
      <c r="B335" s="298" t="s">
        <v>3080</v>
      </c>
      <c r="C335" s="299" t="s">
        <v>82</v>
      </c>
      <c r="D335" s="300">
        <v>1078.82</v>
      </c>
      <c r="E335" s="350">
        <f t="shared" si="11"/>
        <v>874.82</v>
      </c>
      <c r="F335" s="298" t="s">
        <v>3693</v>
      </c>
      <c r="G335" s="301">
        <f t="shared" si="10"/>
        <v>909.2</v>
      </c>
    </row>
    <row r="336" spans="1:7" x14ac:dyDescent="0.25">
      <c r="A336" s="297">
        <v>40477</v>
      </c>
      <c r="B336" s="298" t="s">
        <v>3081</v>
      </c>
      <c r="C336" s="299" t="s">
        <v>82</v>
      </c>
      <c r="D336" s="300">
        <v>1177.73</v>
      </c>
      <c r="E336" s="350">
        <f t="shared" si="11"/>
        <v>955.02</v>
      </c>
      <c r="F336" s="298" t="s">
        <v>3693</v>
      </c>
      <c r="G336" s="301">
        <f t="shared" si="10"/>
        <v>992.55</v>
      </c>
    </row>
    <row r="337" spans="1:7" x14ac:dyDescent="0.25">
      <c r="A337" s="297">
        <v>40478</v>
      </c>
      <c r="B337" s="298" t="s">
        <v>3082</v>
      </c>
      <c r="C337" s="299" t="s">
        <v>82</v>
      </c>
      <c r="D337" s="300">
        <v>1143.42</v>
      </c>
      <c r="E337" s="350">
        <f t="shared" si="11"/>
        <v>927.2</v>
      </c>
      <c r="F337" s="298" t="s">
        <v>3693</v>
      </c>
      <c r="G337" s="301">
        <f t="shared" si="10"/>
        <v>963.64</v>
      </c>
    </row>
    <row r="338" spans="1:7" x14ac:dyDescent="0.25">
      <c r="A338" s="297">
        <v>40479</v>
      </c>
      <c r="B338" s="298" t="s">
        <v>3083</v>
      </c>
      <c r="C338" s="299" t="s">
        <v>82</v>
      </c>
      <c r="D338" s="300">
        <v>1340.01</v>
      </c>
      <c r="E338" s="350">
        <f t="shared" si="11"/>
        <v>1086.6199999999999</v>
      </c>
      <c r="F338" s="298" t="s">
        <v>3693</v>
      </c>
      <c r="G338" s="301">
        <f t="shared" si="10"/>
        <v>1129.33</v>
      </c>
    </row>
    <row r="339" spans="1:7" x14ac:dyDescent="0.25">
      <c r="A339" s="297">
        <v>40480</v>
      </c>
      <c r="B339" s="298" t="s">
        <v>3084</v>
      </c>
      <c r="C339" s="299" t="s">
        <v>82</v>
      </c>
      <c r="D339" s="300">
        <v>1615.62</v>
      </c>
      <c r="E339" s="350">
        <f t="shared" si="11"/>
        <v>1310.1099999999999</v>
      </c>
      <c r="F339" s="298" t="s">
        <v>3693</v>
      </c>
      <c r="G339" s="301">
        <f t="shared" si="10"/>
        <v>1361.6</v>
      </c>
    </row>
    <row r="340" spans="1:7" x14ac:dyDescent="0.25">
      <c r="A340" s="297">
        <v>40481</v>
      </c>
      <c r="B340" s="298" t="s">
        <v>3085</v>
      </c>
      <c r="C340" s="299" t="s">
        <v>82</v>
      </c>
      <c r="D340" s="300">
        <v>1509</v>
      </c>
      <c r="E340" s="350">
        <f t="shared" si="11"/>
        <v>1223.6500000000001</v>
      </c>
      <c r="F340" s="298" t="s">
        <v>3693</v>
      </c>
      <c r="G340" s="301">
        <f t="shared" si="10"/>
        <v>1271.74</v>
      </c>
    </row>
    <row r="341" spans="1:7" x14ac:dyDescent="0.25">
      <c r="A341" s="297">
        <v>40482</v>
      </c>
      <c r="B341" s="298" t="s">
        <v>3086</v>
      </c>
      <c r="C341" s="299" t="s">
        <v>82</v>
      </c>
      <c r="D341" s="300">
        <v>1660.93</v>
      </c>
      <c r="E341" s="350">
        <f t="shared" si="11"/>
        <v>1346.85</v>
      </c>
      <c r="F341" s="298" t="s">
        <v>3693</v>
      </c>
      <c r="G341" s="301">
        <f t="shared" si="10"/>
        <v>1399.78</v>
      </c>
    </row>
    <row r="342" spans="1:7" x14ac:dyDescent="0.25">
      <c r="A342" s="297">
        <v>40483</v>
      </c>
      <c r="B342" s="298" t="s">
        <v>3087</v>
      </c>
      <c r="C342" s="299" t="s">
        <v>82</v>
      </c>
      <c r="D342" s="300">
        <v>1586.22</v>
      </c>
      <c r="E342" s="350">
        <f t="shared" si="11"/>
        <v>1286.27</v>
      </c>
      <c r="F342" s="298" t="s">
        <v>3693</v>
      </c>
      <c r="G342" s="301">
        <f t="shared" si="10"/>
        <v>1336.82</v>
      </c>
    </row>
    <row r="343" spans="1:7" x14ac:dyDescent="0.25">
      <c r="A343" s="297">
        <v>40484</v>
      </c>
      <c r="B343" s="298" t="s">
        <v>3088</v>
      </c>
      <c r="C343" s="299" t="s">
        <v>82</v>
      </c>
      <c r="D343" s="300">
        <v>1987.56</v>
      </c>
      <c r="E343" s="350">
        <f t="shared" si="11"/>
        <v>1611.71</v>
      </c>
      <c r="F343" s="298" t="s">
        <v>3693</v>
      </c>
      <c r="G343" s="301">
        <f t="shared" si="10"/>
        <v>1675.05</v>
      </c>
    </row>
    <row r="344" spans="1:7" x14ac:dyDescent="0.25">
      <c r="A344" s="297">
        <v>40485</v>
      </c>
      <c r="B344" s="298" t="s">
        <v>3089</v>
      </c>
      <c r="C344" s="299" t="s">
        <v>82</v>
      </c>
      <c r="D344" s="300">
        <v>2097.4299999999998</v>
      </c>
      <c r="E344" s="350">
        <f t="shared" si="11"/>
        <v>1700.81</v>
      </c>
      <c r="F344" s="298" t="s">
        <v>3693</v>
      </c>
      <c r="G344" s="301">
        <f t="shared" si="10"/>
        <v>1767.65</v>
      </c>
    </row>
    <row r="345" spans="1:7" x14ac:dyDescent="0.25">
      <c r="A345" s="297">
        <v>40486</v>
      </c>
      <c r="B345" s="298" t="s">
        <v>3090</v>
      </c>
      <c r="C345" s="299" t="s">
        <v>82</v>
      </c>
      <c r="D345" s="300">
        <v>2078.94</v>
      </c>
      <c r="E345" s="350">
        <f t="shared" si="11"/>
        <v>1685.81</v>
      </c>
      <c r="F345" s="298" t="s">
        <v>3693</v>
      </c>
      <c r="G345" s="301">
        <f t="shared" si="10"/>
        <v>1752.06</v>
      </c>
    </row>
    <row r="346" spans="1:7" x14ac:dyDescent="0.25">
      <c r="A346" s="297">
        <v>40487</v>
      </c>
      <c r="B346" s="298" t="s">
        <v>3091</v>
      </c>
      <c r="C346" s="299" t="s">
        <v>82</v>
      </c>
      <c r="D346" s="300">
        <v>2093.98</v>
      </c>
      <c r="E346" s="350">
        <f t="shared" si="11"/>
        <v>1698.01</v>
      </c>
      <c r="F346" s="298" t="s">
        <v>3693</v>
      </c>
      <c r="G346" s="301">
        <f t="shared" si="10"/>
        <v>1764.74</v>
      </c>
    </row>
    <row r="347" spans="1:7" x14ac:dyDescent="0.25">
      <c r="A347" s="297">
        <v>40488</v>
      </c>
      <c r="B347" s="298" t="s">
        <v>3092</v>
      </c>
      <c r="C347" s="299" t="s">
        <v>82</v>
      </c>
      <c r="D347" s="300">
        <v>2177.2199999999998</v>
      </c>
      <c r="E347" s="350">
        <f t="shared" si="11"/>
        <v>1765.51</v>
      </c>
      <c r="F347" s="298" t="s">
        <v>3693</v>
      </c>
      <c r="G347" s="301">
        <f t="shared" si="10"/>
        <v>1834.89</v>
      </c>
    </row>
    <row r="348" spans="1:7" x14ac:dyDescent="0.25">
      <c r="A348" s="297">
        <v>40489</v>
      </c>
      <c r="B348" s="298" t="s">
        <v>3093</v>
      </c>
      <c r="C348" s="299" t="s">
        <v>82</v>
      </c>
      <c r="D348" s="300">
        <v>2873.71</v>
      </c>
      <c r="E348" s="350">
        <f t="shared" si="11"/>
        <v>2330.29</v>
      </c>
      <c r="F348" s="298" t="s">
        <v>3693</v>
      </c>
      <c r="G348" s="301">
        <f t="shared" si="10"/>
        <v>2421.87</v>
      </c>
    </row>
    <row r="349" spans="1:7" x14ac:dyDescent="0.25">
      <c r="A349" s="297">
        <v>40417</v>
      </c>
      <c r="B349" s="298" t="s">
        <v>3094</v>
      </c>
      <c r="C349" s="299" t="s">
        <v>82</v>
      </c>
      <c r="D349" s="300">
        <v>104.06</v>
      </c>
      <c r="E349" s="350">
        <f t="shared" si="11"/>
        <v>84.39</v>
      </c>
      <c r="F349" s="298" t="s">
        <v>3693</v>
      </c>
      <c r="G349" s="301">
        <f t="shared" si="10"/>
        <v>87.71</v>
      </c>
    </row>
    <row r="350" spans="1:7" x14ac:dyDescent="0.25">
      <c r="A350" s="297">
        <v>40418</v>
      </c>
      <c r="B350" s="298" t="s">
        <v>3095</v>
      </c>
      <c r="C350" s="299" t="s">
        <v>82</v>
      </c>
      <c r="D350" s="300">
        <v>110.39</v>
      </c>
      <c r="E350" s="350">
        <f t="shared" si="11"/>
        <v>89.52</v>
      </c>
      <c r="F350" s="298" t="s">
        <v>3693</v>
      </c>
      <c r="G350" s="301">
        <f t="shared" si="10"/>
        <v>93.04</v>
      </c>
    </row>
    <row r="351" spans="1:7" x14ac:dyDescent="0.25">
      <c r="A351" s="297">
        <v>40419</v>
      </c>
      <c r="B351" s="298" t="s">
        <v>3096</v>
      </c>
      <c r="C351" s="299" t="s">
        <v>82</v>
      </c>
      <c r="D351" s="300">
        <v>133.11000000000001</v>
      </c>
      <c r="E351" s="350">
        <f t="shared" si="11"/>
        <v>107.94</v>
      </c>
      <c r="F351" s="298" t="s">
        <v>3693</v>
      </c>
      <c r="G351" s="301">
        <f t="shared" si="10"/>
        <v>112.19</v>
      </c>
    </row>
    <row r="352" spans="1:7" x14ac:dyDescent="0.25">
      <c r="A352" s="297">
        <v>40420</v>
      </c>
      <c r="B352" s="298" t="s">
        <v>3097</v>
      </c>
      <c r="C352" s="299" t="s">
        <v>82</v>
      </c>
      <c r="D352" s="300">
        <v>140.96</v>
      </c>
      <c r="E352" s="350">
        <f t="shared" si="11"/>
        <v>114.31</v>
      </c>
      <c r="F352" s="298" t="s">
        <v>3693</v>
      </c>
      <c r="G352" s="301">
        <f t="shared" si="10"/>
        <v>118.81</v>
      </c>
    </row>
    <row r="353" spans="1:7" x14ac:dyDescent="0.25">
      <c r="A353" s="297">
        <v>40422</v>
      </c>
      <c r="B353" s="298" t="s">
        <v>3098</v>
      </c>
      <c r="C353" s="299" t="s">
        <v>82</v>
      </c>
      <c r="D353" s="300">
        <v>186.5</v>
      </c>
      <c r="E353" s="350">
        <f t="shared" si="11"/>
        <v>151.24</v>
      </c>
      <c r="F353" s="298" t="s">
        <v>3693</v>
      </c>
      <c r="G353" s="301">
        <f t="shared" si="10"/>
        <v>157.19</v>
      </c>
    </row>
    <row r="354" spans="1:7" x14ac:dyDescent="0.25">
      <c r="A354" s="297">
        <v>40423</v>
      </c>
      <c r="B354" s="298" t="s">
        <v>3099</v>
      </c>
      <c r="C354" s="299" t="s">
        <v>82</v>
      </c>
      <c r="D354" s="300">
        <v>187.42</v>
      </c>
      <c r="E354" s="350">
        <f t="shared" si="11"/>
        <v>151.97999999999999</v>
      </c>
      <c r="F354" s="298" t="s">
        <v>3693</v>
      </c>
      <c r="G354" s="301">
        <f t="shared" si="10"/>
        <v>157.96</v>
      </c>
    </row>
    <row r="355" spans="1:7" x14ac:dyDescent="0.25">
      <c r="A355" s="297">
        <v>40426</v>
      </c>
      <c r="B355" s="298" t="s">
        <v>3100</v>
      </c>
      <c r="C355" s="299" t="s">
        <v>82</v>
      </c>
      <c r="D355" s="300">
        <v>295.64999999999998</v>
      </c>
      <c r="E355" s="350">
        <f t="shared" si="11"/>
        <v>239.75</v>
      </c>
      <c r="F355" s="298" t="s">
        <v>3693</v>
      </c>
      <c r="G355" s="301">
        <f t="shared" si="10"/>
        <v>249.18</v>
      </c>
    </row>
    <row r="356" spans="1:7" x14ac:dyDescent="0.25">
      <c r="A356" s="297">
        <v>40427</v>
      </c>
      <c r="B356" s="298" t="s">
        <v>3101</v>
      </c>
      <c r="C356" s="299" t="s">
        <v>82</v>
      </c>
      <c r="D356" s="300">
        <v>303.14999999999998</v>
      </c>
      <c r="E356" s="350">
        <f t="shared" si="11"/>
        <v>245.83</v>
      </c>
      <c r="F356" s="298" t="s">
        <v>3693</v>
      </c>
      <c r="G356" s="301">
        <f t="shared" si="10"/>
        <v>255.5</v>
      </c>
    </row>
    <row r="357" spans="1:7" x14ac:dyDescent="0.25">
      <c r="A357" s="297">
        <v>40421</v>
      </c>
      <c r="B357" s="302" t="s">
        <v>3102</v>
      </c>
      <c r="C357" s="299" t="s">
        <v>82</v>
      </c>
      <c r="D357" s="300">
        <v>170.62</v>
      </c>
      <c r="E357" s="350">
        <f t="shared" si="11"/>
        <v>138.36000000000001</v>
      </c>
      <c r="F357" s="298" t="s">
        <v>3693</v>
      </c>
      <c r="G357" s="301">
        <f t="shared" si="10"/>
        <v>143.80000000000001</v>
      </c>
    </row>
    <row r="358" spans="1:7" x14ac:dyDescent="0.25">
      <c r="A358" s="297">
        <v>40424</v>
      </c>
      <c r="B358" s="302" t="s">
        <v>3103</v>
      </c>
      <c r="C358" s="299" t="s">
        <v>82</v>
      </c>
      <c r="D358" s="300">
        <v>218.39</v>
      </c>
      <c r="E358" s="350">
        <f t="shared" si="11"/>
        <v>177.1</v>
      </c>
      <c r="F358" s="298" t="s">
        <v>3693</v>
      </c>
      <c r="G358" s="301">
        <f t="shared" si="10"/>
        <v>184.06</v>
      </c>
    </row>
    <row r="359" spans="1:7" x14ac:dyDescent="0.25">
      <c r="A359" s="297">
        <v>40425</v>
      </c>
      <c r="B359" s="302" t="s">
        <v>3104</v>
      </c>
      <c r="C359" s="299" t="s">
        <v>82</v>
      </c>
      <c r="D359" s="300">
        <v>223.32</v>
      </c>
      <c r="E359" s="350">
        <f t="shared" si="11"/>
        <v>181.09</v>
      </c>
      <c r="F359" s="298" t="s">
        <v>3693</v>
      </c>
      <c r="G359" s="301">
        <f t="shared" si="10"/>
        <v>188.21</v>
      </c>
    </row>
    <row r="360" spans="1:7" x14ac:dyDescent="0.25">
      <c r="A360" s="297">
        <v>40428</v>
      </c>
      <c r="B360" s="302" t="s">
        <v>3105</v>
      </c>
      <c r="C360" s="299" t="s">
        <v>82</v>
      </c>
      <c r="D360" s="300">
        <v>352.59</v>
      </c>
      <c r="E360" s="350">
        <f t="shared" si="11"/>
        <v>285.92</v>
      </c>
      <c r="F360" s="298" t="s">
        <v>3693</v>
      </c>
      <c r="G360" s="301">
        <f t="shared" si="10"/>
        <v>297.16000000000003</v>
      </c>
    </row>
    <row r="361" spans="1:7" x14ac:dyDescent="0.25">
      <c r="A361" s="297">
        <v>40429</v>
      </c>
      <c r="B361" s="302" t="s">
        <v>3106</v>
      </c>
      <c r="C361" s="299" t="s">
        <v>82</v>
      </c>
      <c r="D361" s="300">
        <v>371.6</v>
      </c>
      <c r="E361" s="350">
        <f t="shared" si="11"/>
        <v>301.33</v>
      </c>
      <c r="F361" s="298" t="s">
        <v>3693</v>
      </c>
      <c r="G361" s="301">
        <f t="shared" si="10"/>
        <v>313.18</v>
      </c>
    </row>
    <row r="362" spans="1:7" x14ac:dyDescent="0.25">
      <c r="A362" s="297">
        <v>40430</v>
      </c>
      <c r="B362" s="302" t="s">
        <v>3107</v>
      </c>
      <c r="C362" s="299" t="s">
        <v>82</v>
      </c>
      <c r="D362" s="300">
        <v>355.72</v>
      </c>
      <c r="E362" s="350">
        <f t="shared" si="11"/>
        <v>288.45999999999998</v>
      </c>
      <c r="F362" s="298" t="s">
        <v>3693</v>
      </c>
      <c r="G362" s="301">
        <f t="shared" si="10"/>
        <v>299.8</v>
      </c>
    </row>
    <row r="363" spans="1:7" x14ac:dyDescent="0.25">
      <c r="A363" s="297">
        <v>40431</v>
      </c>
      <c r="B363" s="302" t="s">
        <v>3108</v>
      </c>
      <c r="C363" s="299" t="s">
        <v>82</v>
      </c>
      <c r="D363" s="300">
        <v>349.47</v>
      </c>
      <c r="E363" s="350">
        <f t="shared" si="11"/>
        <v>283.39</v>
      </c>
      <c r="F363" s="298" t="s">
        <v>3693</v>
      </c>
      <c r="G363" s="301">
        <f t="shared" si="10"/>
        <v>294.52999999999997</v>
      </c>
    </row>
    <row r="364" spans="1:7" x14ac:dyDescent="0.25">
      <c r="A364" s="297">
        <v>40432</v>
      </c>
      <c r="B364" s="302" t="s">
        <v>3109</v>
      </c>
      <c r="C364" s="299" t="s">
        <v>82</v>
      </c>
      <c r="D364" s="300">
        <v>703.54</v>
      </c>
      <c r="E364" s="350">
        <f t="shared" si="11"/>
        <v>570.5</v>
      </c>
      <c r="F364" s="298" t="s">
        <v>3693</v>
      </c>
      <c r="G364" s="301">
        <f t="shared" si="10"/>
        <v>592.91999999999996</v>
      </c>
    </row>
    <row r="365" spans="1:7" x14ac:dyDescent="0.25">
      <c r="A365" s="297">
        <v>40433</v>
      </c>
      <c r="B365" s="302" t="s">
        <v>3110</v>
      </c>
      <c r="C365" s="299" t="s">
        <v>82</v>
      </c>
      <c r="D365" s="300">
        <v>697.46</v>
      </c>
      <c r="E365" s="350">
        <f t="shared" si="11"/>
        <v>565.57000000000005</v>
      </c>
      <c r="F365" s="298" t="s">
        <v>3693</v>
      </c>
      <c r="G365" s="301">
        <f t="shared" si="10"/>
        <v>587.79999999999995</v>
      </c>
    </row>
    <row r="366" spans="1:7" x14ac:dyDescent="0.25">
      <c r="A366" s="297">
        <v>40434</v>
      </c>
      <c r="B366" s="302" t="s">
        <v>3111</v>
      </c>
      <c r="C366" s="299" t="s">
        <v>82</v>
      </c>
      <c r="D366" s="300">
        <v>714.25</v>
      </c>
      <c r="E366" s="350">
        <f t="shared" si="11"/>
        <v>579.19000000000005</v>
      </c>
      <c r="F366" s="298" t="s">
        <v>3693</v>
      </c>
      <c r="G366" s="301">
        <f t="shared" si="10"/>
        <v>601.96</v>
      </c>
    </row>
    <row r="367" spans="1:7" x14ac:dyDescent="0.25">
      <c r="A367" s="297">
        <v>40435</v>
      </c>
      <c r="B367" s="302" t="s">
        <v>3112</v>
      </c>
      <c r="C367" s="299" t="s">
        <v>82</v>
      </c>
      <c r="D367" s="300">
        <v>689.74</v>
      </c>
      <c r="E367" s="350">
        <f t="shared" si="11"/>
        <v>559.30999999999995</v>
      </c>
      <c r="F367" s="298" t="s">
        <v>3693</v>
      </c>
      <c r="G367" s="301">
        <f t="shared" si="10"/>
        <v>581.29</v>
      </c>
    </row>
    <row r="368" spans="1:7" x14ac:dyDescent="0.25">
      <c r="A368" s="297">
        <v>40436</v>
      </c>
      <c r="B368" s="302" t="s">
        <v>3113</v>
      </c>
      <c r="C368" s="299" t="s">
        <v>82</v>
      </c>
      <c r="D368" s="300">
        <v>891.38</v>
      </c>
      <c r="E368" s="350">
        <f t="shared" si="11"/>
        <v>722.82</v>
      </c>
      <c r="F368" s="298" t="s">
        <v>3693</v>
      </c>
      <c r="G368" s="301">
        <f t="shared" ref="G368:G429" si="12">ROUNDUP(E368*$H$2,2)</f>
        <v>751.23</v>
      </c>
    </row>
    <row r="369" spans="1:7" x14ac:dyDescent="0.25">
      <c r="A369" s="297">
        <v>40437</v>
      </c>
      <c r="B369" s="302" t="s">
        <v>3114</v>
      </c>
      <c r="C369" s="299" t="s">
        <v>82</v>
      </c>
      <c r="D369" s="300">
        <v>880.56</v>
      </c>
      <c r="E369" s="350">
        <f t="shared" si="11"/>
        <v>714.05</v>
      </c>
      <c r="F369" s="298" t="s">
        <v>3693</v>
      </c>
      <c r="G369" s="301">
        <f t="shared" si="12"/>
        <v>742.11</v>
      </c>
    </row>
    <row r="370" spans="1:7" x14ac:dyDescent="0.25">
      <c r="A370" s="297">
        <v>40438</v>
      </c>
      <c r="B370" s="302" t="s">
        <v>3115</v>
      </c>
      <c r="C370" s="299" t="s">
        <v>82</v>
      </c>
      <c r="D370" s="300">
        <v>930.01</v>
      </c>
      <c r="E370" s="350">
        <f t="shared" si="11"/>
        <v>754.15</v>
      </c>
      <c r="F370" s="298" t="s">
        <v>3693</v>
      </c>
      <c r="G370" s="301">
        <f t="shared" si="12"/>
        <v>783.79</v>
      </c>
    </row>
    <row r="371" spans="1:7" x14ac:dyDescent="0.25">
      <c r="A371" s="297">
        <v>40439</v>
      </c>
      <c r="B371" s="302" t="s">
        <v>3116</v>
      </c>
      <c r="C371" s="299" t="s">
        <v>82</v>
      </c>
      <c r="D371" s="300">
        <v>912.86</v>
      </c>
      <c r="E371" s="350">
        <f t="shared" si="11"/>
        <v>740.24</v>
      </c>
      <c r="F371" s="298" t="s">
        <v>3693</v>
      </c>
      <c r="G371" s="301">
        <f t="shared" si="12"/>
        <v>769.33</v>
      </c>
    </row>
    <row r="372" spans="1:7" x14ac:dyDescent="0.25">
      <c r="A372" s="297">
        <v>40440</v>
      </c>
      <c r="B372" s="302" t="s">
        <v>3117</v>
      </c>
      <c r="C372" s="299" t="s">
        <v>82</v>
      </c>
      <c r="D372" s="300">
        <v>1256.03</v>
      </c>
      <c r="E372" s="350">
        <f t="shared" si="11"/>
        <v>1018.52</v>
      </c>
      <c r="F372" s="298" t="s">
        <v>3693</v>
      </c>
      <c r="G372" s="301">
        <f t="shared" si="12"/>
        <v>1058.55</v>
      </c>
    </row>
    <row r="373" spans="1:7" x14ac:dyDescent="0.25">
      <c r="A373" s="297">
        <v>40441</v>
      </c>
      <c r="B373" s="302" t="s">
        <v>3118</v>
      </c>
      <c r="C373" s="299" t="s">
        <v>82</v>
      </c>
      <c r="D373" s="300">
        <v>1202.72</v>
      </c>
      <c r="E373" s="350">
        <f t="shared" si="11"/>
        <v>975.29</v>
      </c>
      <c r="F373" s="298" t="s">
        <v>3693</v>
      </c>
      <c r="G373" s="301">
        <f t="shared" si="12"/>
        <v>1013.62</v>
      </c>
    </row>
    <row r="374" spans="1:7" x14ac:dyDescent="0.25">
      <c r="A374" s="297">
        <v>40442</v>
      </c>
      <c r="B374" s="302" t="s">
        <v>3119</v>
      </c>
      <c r="C374" s="299" t="s">
        <v>82</v>
      </c>
      <c r="D374" s="300">
        <v>1278.69</v>
      </c>
      <c r="E374" s="350">
        <f t="shared" si="11"/>
        <v>1036.8900000000001</v>
      </c>
      <c r="F374" s="298" t="s">
        <v>3693</v>
      </c>
      <c r="G374" s="301">
        <f t="shared" si="12"/>
        <v>1077.6400000000001</v>
      </c>
    </row>
    <row r="375" spans="1:7" x14ac:dyDescent="0.25">
      <c r="A375" s="297">
        <v>40443</v>
      </c>
      <c r="B375" s="302" t="s">
        <v>3120</v>
      </c>
      <c r="C375" s="299" t="s">
        <v>82</v>
      </c>
      <c r="D375" s="300">
        <v>1241.33</v>
      </c>
      <c r="E375" s="350">
        <f t="shared" si="11"/>
        <v>1006.6</v>
      </c>
      <c r="F375" s="298" t="s">
        <v>3693</v>
      </c>
      <c r="G375" s="301">
        <f t="shared" si="12"/>
        <v>1046.1600000000001</v>
      </c>
    </row>
    <row r="376" spans="1:7" x14ac:dyDescent="0.25">
      <c r="A376" s="297">
        <v>40444</v>
      </c>
      <c r="B376" s="298" t="s">
        <v>3121</v>
      </c>
      <c r="C376" s="299" t="s">
        <v>82</v>
      </c>
      <c r="D376" s="300">
        <v>225.09</v>
      </c>
      <c r="E376" s="350">
        <f t="shared" si="11"/>
        <v>182.53</v>
      </c>
      <c r="F376" s="298" t="s">
        <v>3693</v>
      </c>
      <c r="G376" s="301">
        <f t="shared" si="12"/>
        <v>189.71</v>
      </c>
    </row>
    <row r="377" spans="1:7" x14ac:dyDescent="0.25">
      <c r="A377" s="297">
        <v>40445</v>
      </c>
      <c r="B377" s="298" t="s">
        <v>3122</v>
      </c>
      <c r="C377" s="299" t="s">
        <v>82</v>
      </c>
      <c r="D377" s="300">
        <v>244.09</v>
      </c>
      <c r="E377" s="350">
        <f t="shared" si="11"/>
        <v>197.94</v>
      </c>
      <c r="F377" s="298" t="s">
        <v>3693</v>
      </c>
      <c r="G377" s="301">
        <f t="shared" si="12"/>
        <v>205.72</v>
      </c>
    </row>
    <row r="378" spans="1:7" x14ac:dyDescent="0.25">
      <c r="A378" s="297">
        <v>40446</v>
      </c>
      <c r="B378" s="298" t="s">
        <v>3123</v>
      </c>
      <c r="C378" s="299" t="s">
        <v>82</v>
      </c>
      <c r="D378" s="300">
        <v>228.22</v>
      </c>
      <c r="E378" s="350">
        <f t="shared" si="11"/>
        <v>185.07</v>
      </c>
      <c r="F378" s="298" t="s">
        <v>3693</v>
      </c>
      <c r="G378" s="301">
        <f t="shared" si="12"/>
        <v>192.35</v>
      </c>
    </row>
    <row r="379" spans="1:7" x14ac:dyDescent="0.25">
      <c r="A379" s="297">
        <v>40447</v>
      </c>
      <c r="B379" s="298" t="s">
        <v>3124</v>
      </c>
      <c r="C379" s="299" t="s">
        <v>82</v>
      </c>
      <c r="D379" s="300">
        <v>221.97</v>
      </c>
      <c r="E379" s="350">
        <f t="shared" si="11"/>
        <v>180</v>
      </c>
      <c r="F379" s="298" t="s">
        <v>3693</v>
      </c>
      <c r="G379" s="301">
        <f t="shared" si="12"/>
        <v>187.08</v>
      </c>
    </row>
    <row r="380" spans="1:7" x14ac:dyDescent="0.25">
      <c r="A380" s="297">
        <v>40448</v>
      </c>
      <c r="B380" s="298" t="s">
        <v>3125</v>
      </c>
      <c r="C380" s="299" t="s">
        <v>82</v>
      </c>
      <c r="D380" s="300">
        <v>523.27</v>
      </c>
      <c r="E380" s="350">
        <f t="shared" si="11"/>
        <v>424.32</v>
      </c>
      <c r="F380" s="298" t="s">
        <v>3693</v>
      </c>
      <c r="G380" s="301">
        <f t="shared" si="12"/>
        <v>441</v>
      </c>
    </row>
    <row r="381" spans="1:7" x14ac:dyDescent="0.25">
      <c r="A381" s="297">
        <v>40449</v>
      </c>
      <c r="B381" s="298" t="s">
        <v>3126</v>
      </c>
      <c r="C381" s="299" t="s">
        <v>82</v>
      </c>
      <c r="D381" s="300">
        <v>517.19000000000005</v>
      </c>
      <c r="E381" s="350">
        <f t="shared" si="11"/>
        <v>419.39</v>
      </c>
      <c r="F381" s="298" t="s">
        <v>3693</v>
      </c>
      <c r="G381" s="301">
        <f t="shared" si="12"/>
        <v>435.88</v>
      </c>
    </row>
    <row r="382" spans="1:7" x14ac:dyDescent="0.25">
      <c r="A382" s="297">
        <v>40450</v>
      </c>
      <c r="B382" s="298" t="s">
        <v>3127</v>
      </c>
      <c r="C382" s="299" t="s">
        <v>82</v>
      </c>
      <c r="D382" s="300">
        <v>533.98</v>
      </c>
      <c r="E382" s="350">
        <f t="shared" si="11"/>
        <v>433.01</v>
      </c>
      <c r="F382" s="298" t="s">
        <v>3693</v>
      </c>
      <c r="G382" s="301">
        <f t="shared" si="12"/>
        <v>450.03</v>
      </c>
    </row>
    <row r="383" spans="1:7" x14ac:dyDescent="0.25">
      <c r="A383" s="297">
        <v>40451</v>
      </c>
      <c r="B383" s="298" t="s">
        <v>3128</v>
      </c>
      <c r="C383" s="299" t="s">
        <v>82</v>
      </c>
      <c r="D383" s="300">
        <v>509.47</v>
      </c>
      <c r="E383" s="350">
        <f t="shared" si="11"/>
        <v>413.13</v>
      </c>
      <c r="F383" s="298" t="s">
        <v>3693</v>
      </c>
      <c r="G383" s="301">
        <f t="shared" si="12"/>
        <v>429.37</v>
      </c>
    </row>
    <row r="384" spans="1:7" x14ac:dyDescent="0.25">
      <c r="A384" s="297">
        <v>40452</v>
      </c>
      <c r="B384" s="298" t="s">
        <v>3129</v>
      </c>
      <c r="C384" s="299" t="s">
        <v>82</v>
      </c>
      <c r="D384" s="300">
        <v>600.08000000000004</v>
      </c>
      <c r="E384" s="350">
        <f t="shared" si="11"/>
        <v>486.61</v>
      </c>
      <c r="F384" s="298" t="s">
        <v>3693</v>
      </c>
      <c r="G384" s="301">
        <f t="shared" si="12"/>
        <v>505.74</v>
      </c>
    </row>
    <row r="385" spans="1:7" x14ac:dyDescent="0.25">
      <c r="A385" s="297">
        <v>40453</v>
      </c>
      <c r="B385" s="298" t="s">
        <v>3130</v>
      </c>
      <c r="C385" s="299" t="s">
        <v>82</v>
      </c>
      <c r="D385" s="300">
        <v>589.27</v>
      </c>
      <c r="E385" s="350">
        <f t="shared" si="11"/>
        <v>477.84</v>
      </c>
      <c r="F385" s="298" t="s">
        <v>3693</v>
      </c>
      <c r="G385" s="301">
        <f t="shared" si="12"/>
        <v>496.62</v>
      </c>
    </row>
    <row r="386" spans="1:7" x14ac:dyDescent="0.25">
      <c r="A386" s="297">
        <v>40454</v>
      </c>
      <c r="B386" s="298" t="s">
        <v>3131</v>
      </c>
      <c r="C386" s="299" t="s">
        <v>82</v>
      </c>
      <c r="D386" s="300">
        <v>638.72</v>
      </c>
      <c r="E386" s="350">
        <f t="shared" ref="E386:E449" si="13">ROUNDUP(D386/(1+$L$2),2)</f>
        <v>517.94000000000005</v>
      </c>
      <c r="F386" s="298" t="s">
        <v>3693</v>
      </c>
      <c r="G386" s="301">
        <f t="shared" si="12"/>
        <v>538.29999999999995</v>
      </c>
    </row>
    <row r="387" spans="1:7" x14ac:dyDescent="0.25">
      <c r="A387" s="297">
        <v>40455</v>
      </c>
      <c r="B387" s="298" t="s">
        <v>3132</v>
      </c>
      <c r="C387" s="299" t="s">
        <v>82</v>
      </c>
      <c r="D387" s="300">
        <v>621.55999999999995</v>
      </c>
      <c r="E387" s="350">
        <f t="shared" si="13"/>
        <v>504.03</v>
      </c>
      <c r="F387" s="298" t="s">
        <v>3693</v>
      </c>
      <c r="G387" s="301">
        <f t="shared" si="12"/>
        <v>523.84</v>
      </c>
    </row>
    <row r="388" spans="1:7" x14ac:dyDescent="0.25">
      <c r="A388" s="297">
        <v>40456</v>
      </c>
      <c r="B388" s="298" t="s">
        <v>3133</v>
      </c>
      <c r="C388" s="299" t="s">
        <v>82</v>
      </c>
      <c r="D388" s="300">
        <v>719.86</v>
      </c>
      <c r="E388" s="350">
        <f t="shared" si="13"/>
        <v>583.74</v>
      </c>
      <c r="F388" s="298" t="s">
        <v>3693</v>
      </c>
      <c r="G388" s="301">
        <f t="shared" si="12"/>
        <v>606.67999999999995</v>
      </c>
    </row>
    <row r="389" spans="1:7" x14ac:dyDescent="0.25">
      <c r="A389" s="297">
        <v>40457</v>
      </c>
      <c r="B389" s="298" t="s">
        <v>3134</v>
      </c>
      <c r="C389" s="299" t="s">
        <v>82</v>
      </c>
      <c r="D389" s="300">
        <v>861.42</v>
      </c>
      <c r="E389" s="350">
        <f t="shared" si="13"/>
        <v>698.53</v>
      </c>
      <c r="F389" s="298" t="s">
        <v>3693</v>
      </c>
      <c r="G389" s="301">
        <f t="shared" si="12"/>
        <v>725.98</v>
      </c>
    </row>
    <row r="390" spans="1:7" x14ac:dyDescent="0.25">
      <c r="A390" s="297">
        <v>40458</v>
      </c>
      <c r="B390" s="298" t="s">
        <v>3135</v>
      </c>
      <c r="C390" s="299" t="s">
        <v>82</v>
      </c>
      <c r="D390" s="300">
        <v>808.11</v>
      </c>
      <c r="E390" s="350">
        <f t="shared" si="13"/>
        <v>655.29999999999995</v>
      </c>
      <c r="F390" s="298" t="s">
        <v>3693</v>
      </c>
      <c r="G390" s="301">
        <f t="shared" si="12"/>
        <v>681.06</v>
      </c>
    </row>
    <row r="391" spans="1:7" x14ac:dyDescent="0.25">
      <c r="A391" s="297">
        <v>40459</v>
      </c>
      <c r="B391" s="298" t="s">
        <v>3136</v>
      </c>
      <c r="C391" s="299" t="s">
        <v>82</v>
      </c>
      <c r="D391" s="300">
        <v>884.08</v>
      </c>
      <c r="E391" s="350">
        <f t="shared" si="13"/>
        <v>716.9</v>
      </c>
      <c r="F391" s="298" t="s">
        <v>3693</v>
      </c>
      <c r="G391" s="301">
        <f t="shared" si="12"/>
        <v>745.08</v>
      </c>
    </row>
    <row r="392" spans="1:7" x14ac:dyDescent="0.25">
      <c r="A392" s="297">
        <v>40460</v>
      </c>
      <c r="B392" s="298" t="s">
        <v>3137</v>
      </c>
      <c r="C392" s="299" t="s">
        <v>82</v>
      </c>
      <c r="D392" s="300">
        <v>846.72</v>
      </c>
      <c r="E392" s="350">
        <f t="shared" si="13"/>
        <v>686.61</v>
      </c>
      <c r="F392" s="298" t="s">
        <v>3693</v>
      </c>
      <c r="G392" s="301">
        <f t="shared" si="12"/>
        <v>713.6</v>
      </c>
    </row>
    <row r="393" spans="1:7" x14ac:dyDescent="0.25">
      <c r="A393" s="297">
        <v>40461</v>
      </c>
      <c r="B393" s="298" t="s">
        <v>3138</v>
      </c>
      <c r="C393" s="299" t="s">
        <v>82</v>
      </c>
      <c r="D393" s="300">
        <v>1047.3900000000001</v>
      </c>
      <c r="E393" s="350">
        <f t="shared" si="13"/>
        <v>849.33</v>
      </c>
      <c r="F393" s="298" t="s">
        <v>3693</v>
      </c>
      <c r="G393" s="301">
        <f t="shared" si="12"/>
        <v>882.71</v>
      </c>
    </row>
    <row r="394" spans="1:7" x14ac:dyDescent="0.25">
      <c r="A394" s="297">
        <v>40462</v>
      </c>
      <c r="B394" s="298" t="s">
        <v>3139</v>
      </c>
      <c r="C394" s="299" t="s">
        <v>82</v>
      </c>
      <c r="D394" s="300">
        <v>1098.58</v>
      </c>
      <c r="E394" s="350">
        <f t="shared" si="13"/>
        <v>890.84</v>
      </c>
      <c r="F394" s="298" t="s">
        <v>3693</v>
      </c>
      <c r="G394" s="301">
        <f t="shared" si="12"/>
        <v>925.85</v>
      </c>
    </row>
    <row r="395" spans="1:7" x14ac:dyDescent="0.25">
      <c r="A395" s="297">
        <v>40463</v>
      </c>
      <c r="B395" s="298" t="s">
        <v>3140</v>
      </c>
      <c r="C395" s="299" t="s">
        <v>82</v>
      </c>
      <c r="D395" s="300">
        <v>1089.33</v>
      </c>
      <c r="E395" s="350">
        <f t="shared" si="13"/>
        <v>883.34</v>
      </c>
      <c r="F395" s="298" t="s">
        <v>3693</v>
      </c>
      <c r="G395" s="301">
        <f t="shared" si="12"/>
        <v>918.06</v>
      </c>
    </row>
    <row r="396" spans="1:7" x14ac:dyDescent="0.25">
      <c r="A396" s="297">
        <v>40464</v>
      </c>
      <c r="B396" s="298" t="s">
        <v>3141</v>
      </c>
      <c r="C396" s="299" t="s">
        <v>82</v>
      </c>
      <c r="D396" s="300">
        <v>1096.8499999999999</v>
      </c>
      <c r="E396" s="350">
        <f t="shared" si="13"/>
        <v>889.44</v>
      </c>
      <c r="F396" s="298" t="s">
        <v>3693</v>
      </c>
      <c r="G396" s="301">
        <f t="shared" si="12"/>
        <v>924.4</v>
      </c>
    </row>
    <row r="397" spans="1:7" x14ac:dyDescent="0.25">
      <c r="A397" s="297">
        <v>40465</v>
      </c>
      <c r="B397" s="298" t="s">
        <v>3142</v>
      </c>
      <c r="C397" s="299" t="s">
        <v>82</v>
      </c>
      <c r="D397" s="300">
        <v>1138.47</v>
      </c>
      <c r="E397" s="350">
        <f t="shared" si="13"/>
        <v>923.19</v>
      </c>
      <c r="F397" s="298" t="s">
        <v>3693</v>
      </c>
      <c r="G397" s="301">
        <f t="shared" si="12"/>
        <v>959.47</v>
      </c>
    </row>
    <row r="398" spans="1:7" x14ac:dyDescent="0.25">
      <c r="A398" s="297">
        <v>40466</v>
      </c>
      <c r="B398" s="298" t="s">
        <v>3143</v>
      </c>
      <c r="C398" s="299" t="s">
        <v>82</v>
      </c>
      <c r="D398" s="300">
        <v>1486.72</v>
      </c>
      <c r="E398" s="350">
        <f t="shared" si="13"/>
        <v>1205.58</v>
      </c>
      <c r="F398" s="298" t="s">
        <v>3693</v>
      </c>
      <c r="G398" s="301">
        <f t="shared" si="12"/>
        <v>1252.96</v>
      </c>
    </row>
    <row r="399" spans="1:7" x14ac:dyDescent="0.25">
      <c r="A399" s="297">
        <v>40490</v>
      </c>
      <c r="B399" s="298" t="s">
        <v>3144</v>
      </c>
      <c r="C399" s="299" t="s">
        <v>82</v>
      </c>
      <c r="D399" s="300">
        <v>671.55</v>
      </c>
      <c r="E399" s="350">
        <f t="shared" si="13"/>
        <v>544.55999999999995</v>
      </c>
      <c r="F399" s="298" t="s">
        <v>3693</v>
      </c>
      <c r="G399" s="301">
        <f t="shared" si="12"/>
        <v>565.96</v>
      </c>
    </row>
    <row r="400" spans="1:7" x14ac:dyDescent="0.25">
      <c r="A400" s="297">
        <v>40491</v>
      </c>
      <c r="B400" s="298" t="s">
        <v>3145</v>
      </c>
      <c r="C400" s="299" t="s">
        <v>82</v>
      </c>
      <c r="D400" s="300">
        <v>728.56</v>
      </c>
      <c r="E400" s="350">
        <f t="shared" si="13"/>
        <v>590.79</v>
      </c>
      <c r="F400" s="298" t="s">
        <v>3693</v>
      </c>
      <c r="G400" s="301">
        <f t="shared" si="12"/>
        <v>614.01</v>
      </c>
    </row>
    <row r="401" spans="1:7" x14ac:dyDescent="0.25">
      <c r="A401" s="297">
        <v>40492</v>
      </c>
      <c r="B401" s="298" t="s">
        <v>3146</v>
      </c>
      <c r="C401" s="299" t="s">
        <v>82</v>
      </c>
      <c r="D401" s="300">
        <v>680.94</v>
      </c>
      <c r="E401" s="350">
        <f t="shared" si="13"/>
        <v>552.17999999999995</v>
      </c>
      <c r="F401" s="298" t="s">
        <v>3693</v>
      </c>
      <c r="G401" s="301">
        <f t="shared" si="12"/>
        <v>573.88</v>
      </c>
    </row>
    <row r="402" spans="1:7" x14ac:dyDescent="0.25">
      <c r="A402" s="297">
        <v>40493</v>
      </c>
      <c r="B402" s="298" t="s">
        <v>3147</v>
      </c>
      <c r="C402" s="299" t="s">
        <v>82</v>
      </c>
      <c r="D402" s="300">
        <v>662.19</v>
      </c>
      <c r="E402" s="350">
        <f t="shared" si="13"/>
        <v>536.97</v>
      </c>
      <c r="F402" s="298" t="s">
        <v>3693</v>
      </c>
      <c r="G402" s="301">
        <f t="shared" si="12"/>
        <v>558.08000000000004</v>
      </c>
    </row>
    <row r="403" spans="1:7" x14ac:dyDescent="0.25">
      <c r="A403" s="297">
        <v>40494</v>
      </c>
      <c r="B403" s="298" t="s">
        <v>3148</v>
      </c>
      <c r="C403" s="299" t="s">
        <v>82</v>
      </c>
      <c r="D403" s="300">
        <v>1370.36</v>
      </c>
      <c r="E403" s="350">
        <f t="shared" si="13"/>
        <v>1111.23</v>
      </c>
      <c r="F403" s="298" t="s">
        <v>3693</v>
      </c>
      <c r="G403" s="301">
        <f t="shared" si="12"/>
        <v>1154.9000000000001</v>
      </c>
    </row>
    <row r="404" spans="1:7" x14ac:dyDescent="0.25">
      <c r="A404" s="297">
        <v>40495</v>
      </c>
      <c r="B404" s="298" t="s">
        <v>3149</v>
      </c>
      <c r="C404" s="299" t="s">
        <v>82</v>
      </c>
      <c r="D404" s="300">
        <v>1352.12</v>
      </c>
      <c r="E404" s="350">
        <f t="shared" si="13"/>
        <v>1096.44</v>
      </c>
      <c r="F404" s="298" t="s">
        <v>3693</v>
      </c>
      <c r="G404" s="301">
        <f t="shared" si="12"/>
        <v>1139.53</v>
      </c>
    </row>
    <row r="405" spans="1:7" x14ac:dyDescent="0.25">
      <c r="A405" s="297">
        <v>40496</v>
      </c>
      <c r="B405" s="298" t="s">
        <v>3150</v>
      </c>
      <c r="C405" s="299" t="s">
        <v>82</v>
      </c>
      <c r="D405" s="300">
        <v>1402.51</v>
      </c>
      <c r="E405" s="350">
        <f t="shared" si="13"/>
        <v>1137.3</v>
      </c>
      <c r="F405" s="298" t="s">
        <v>3693</v>
      </c>
      <c r="G405" s="301">
        <f t="shared" si="12"/>
        <v>1182</v>
      </c>
    </row>
    <row r="406" spans="1:7" x14ac:dyDescent="0.25">
      <c r="A406" s="297">
        <v>40497</v>
      </c>
      <c r="B406" s="298" t="s">
        <v>3151</v>
      </c>
      <c r="C406" s="299" t="s">
        <v>82</v>
      </c>
      <c r="D406" s="300">
        <v>1328.97</v>
      </c>
      <c r="E406" s="350">
        <f t="shared" si="13"/>
        <v>1077.6600000000001</v>
      </c>
      <c r="F406" s="298" t="s">
        <v>3693</v>
      </c>
      <c r="G406" s="301">
        <f t="shared" si="12"/>
        <v>1120.01</v>
      </c>
    </row>
    <row r="407" spans="1:7" x14ac:dyDescent="0.25">
      <c r="A407" s="297">
        <v>40498</v>
      </c>
      <c r="B407" s="298" t="s">
        <v>3152</v>
      </c>
      <c r="C407" s="299" t="s">
        <v>82</v>
      </c>
      <c r="D407" s="300">
        <v>1600.81</v>
      </c>
      <c r="E407" s="350">
        <f t="shared" si="13"/>
        <v>1298.0999999999999</v>
      </c>
      <c r="F407" s="298" t="s">
        <v>3693</v>
      </c>
      <c r="G407" s="301">
        <f t="shared" si="12"/>
        <v>1349.12</v>
      </c>
    </row>
    <row r="408" spans="1:7" x14ac:dyDescent="0.25">
      <c r="A408" s="297">
        <v>40499</v>
      </c>
      <c r="B408" s="298" t="s">
        <v>3153</v>
      </c>
      <c r="C408" s="299" t="s">
        <v>82</v>
      </c>
      <c r="D408" s="300">
        <v>1568.37</v>
      </c>
      <c r="E408" s="350">
        <f t="shared" si="13"/>
        <v>1271.79</v>
      </c>
      <c r="F408" s="298" t="s">
        <v>3693</v>
      </c>
      <c r="G408" s="301">
        <f t="shared" si="12"/>
        <v>1321.77</v>
      </c>
    </row>
    <row r="409" spans="1:7" x14ac:dyDescent="0.25">
      <c r="A409" s="297">
        <v>40500</v>
      </c>
      <c r="B409" s="298" t="s">
        <v>3154</v>
      </c>
      <c r="C409" s="299" t="s">
        <v>82</v>
      </c>
      <c r="D409" s="300">
        <v>1716.72</v>
      </c>
      <c r="E409" s="350">
        <f t="shared" si="13"/>
        <v>1392.09</v>
      </c>
      <c r="F409" s="298" t="s">
        <v>3693</v>
      </c>
      <c r="G409" s="301">
        <f t="shared" si="12"/>
        <v>1446.8</v>
      </c>
    </row>
    <row r="410" spans="1:7" x14ac:dyDescent="0.25">
      <c r="A410" s="297">
        <v>40501</v>
      </c>
      <c r="B410" s="298" t="s">
        <v>3155</v>
      </c>
      <c r="C410" s="299" t="s">
        <v>82</v>
      </c>
      <c r="D410" s="300">
        <v>1665.26</v>
      </c>
      <c r="E410" s="350">
        <f t="shared" si="13"/>
        <v>1350.36</v>
      </c>
      <c r="F410" s="298" t="s">
        <v>3693</v>
      </c>
      <c r="G410" s="301">
        <f t="shared" si="12"/>
        <v>1403.43</v>
      </c>
    </row>
    <row r="411" spans="1:7" x14ac:dyDescent="0.25">
      <c r="A411" s="297">
        <v>40502</v>
      </c>
      <c r="B411" s="298" t="s">
        <v>3156</v>
      </c>
      <c r="C411" s="299" t="s">
        <v>82</v>
      </c>
      <c r="D411" s="300">
        <v>1960.15</v>
      </c>
      <c r="E411" s="350">
        <f t="shared" si="13"/>
        <v>1589.49</v>
      </c>
      <c r="F411" s="298" t="s">
        <v>3693</v>
      </c>
      <c r="G411" s="301">
        <f t="shared" si="12"/>
        <v>1651.96</v>
      </c>
    </row>
    <row r="412" spans="1:7" x14ac:dyDescent="0.25">
      <c r="A412" s="297">
        <v>40503</v>
      </c>
      <c r="B412" s="298" t="s">
        <v>3157</v>
      </c>
      <c r="C412" s="299" t="s">
        <v>82</v>
      </c>
      <c r="D412" s="300">
        <v>2384.87</v>
      </c>
      <c r="E412" s="350">
        <f t="shared" si="13"/>
        <v>1933.89</v>
      </c>
      <c r="F412" s="298" t="s">
        <v>3693</v>
      </c>
      <c r="G412" s="301">
        <f t="shared" si="12"/>
        <v>2009.89</v>
      </c>
    </row>
    <row r="413" spans="1:7" x14ac:dyDescent="0.25">
      <c r="A413" s="297">
        <v>40504</v>
      </c>
      <c r="B413" s="298" t="s">
        <v>3158</v>
      </c>
      <c r="C413" s="299" t="s">
        <v>82</v>
      </c>
      <c r="D413" s="300">
        <v>2224.9299999999998</v>
      </c>
      <c r="E413" s="350">
        <f t="shared" si="13"/>
        <v>1804.2</v>
      </c>
      <c r="F413" s="298" t="s">
        <v>3693</v>
      </c>
      <c r="G413" s="301">
        <f t="shared" si="12"/>
        <v>1875.1</v>
      </c>
    </row>
    <row r="414" spans="1:7" x14ac:dyDescent="0.25">
      <c r="A414" s="297">
        <v>40505</v>
      </c>
      <c r="B414" s="298" t="s">
        <v>3159</v>
      </c>
      <c r="C414" s="299" t="s">
        <v>82</v>
      </c>
      <c r="D414" s="300">
        <v>2452.83</v>
      </c>
      <c r="E414" s="350">
        <f t="shared" si="13"/>
        <v>1989</v>
      </c>
      <c r="F414" s="298" t="s">
        <v>3693</v>
      </c>
      <c r="G414" s="301">
        <f t="shared" si="12"/>
        <v>2067.17</v>
      </c>
    </row>
    <row r="415" spans="1:7" x14ac:dyDescent="0.25">
      <c r="A415" s="297">
        <v>40506</v>
      </c>
      <c r="B415" s="298" t="s">
        <v>3160</v>
      </c>
      <c r="C415" s="299" t="s">
        <v>82</v>
      </c>
      <c r="D415" s="300">
        <v>2340.77</v>
      </c>
      <c r="E415" s="350">
        <f t="shared" si="13"/>
        <v>1898.13</v>
      </c>
      <c r="F415" s="298" t="s">
        <v>3693</v>
      </c>
      <c r="G415" s="301">
        <f t="shared" si="12"/>
        <v>1972.72</v>
      </c>
    </row>
    <row r="416" spans="1:7" x14ac:dyDescent="0.25">
      <c r="A416" s="297">
        <v>40507</v>
      </c>
      <c r="B416" s="298" t="s">
        <v>3161</v>
      </c>
      <c r="C416" s="299" t="s">
        <v>82</v>
      </c>
      <c r="D416" s="300">
        <v>2942.77</v>
      </c>
      <c r="E416" s="350">
        <f t="shared" si="13"/>
        <v>2386.29</v>
      </c>
      <c r="F416" s="298" t="s">
        <v>3693</v>
      </c>
      <c r="G416" s="301">
        <f t="shared" si="12"/>
        <v>2480.0700000000002</v>
      </c>
    </row>
    <row r="417" spans="1:7" x14ac:dyDescent="0.25">
      <c r="A417" s="297">
        <v>40508</v>
      </c>
      <c r="B417" s="298" t="s">
        <v>3162</v>
      </c>
      <c r="C417" s="299" t="s">
        <v>82</v>
      </c>
      <c r="D417" s="300">
        <v>3096.3</v>
      </c>
      <c r="E417" s="350">
        <f t="shared" si="13"/>
        <v>2510.79</v>
      </c>
      <c r="F417" s="298" t="s">
        <v>3693</v>
      </c>
      <c r="G417" s="301">
        <f t="shared" si="12"/>
        <v>2609.46</v>
      </c>
    </row>
    <row r="418" spans="1:7" x14ac:dyDescent="0.25">
      <c r="A418" s="297">
        <v>40509</v>
      </c>
      <c r="B418" s="298" t="s">
        <v>3163</v>
      </c>
      <c r="C418" s="299" t="s">
        <v>82</v>
      </c>
      <c r="D418" s="300">
        <v>3068.55</v>
      </c>
      <c r="E418" s="350">
        <f t="shared" si="13"/>
        <v>2488.29</v>
      </c>
      <c r="F418" s="298" t="s">
        <v>3693</v>
      </c>
      <c r="G418" s="301">
        <f t="shared" si="12"/>
        <v>2586.08</v>
      </c>
    </row>
    <row r="419" spans="1:7" x14ac:dyDescent="0.25">
      <c r="A419" s="297">
        <v>40510</v>
      </c>
      <c r="B419" s="298" t="s">
        <v>3164</v>
      </c>
      <c r="C419" s="299" t="s">
        <v>82</v>
      </c>
      <c r="D419" s="300">
        <v>3091.12</v>
      </c>
      <c r="E419" s="350">
        <f t="shared" si="13"/>
        <v>2506.59</v>
      </c>
      <c r="F419" s="298" t="s">
        <v>3693</v>
      </c>
      <c r="G419" s="301">
        <f t="shared" si="12"/>
        <v>2605.1</v>
      </c>
    </row>
    <row r="420" spans="1:7" x14ac:dyDescent="0.25">
      <c r="A420" s="297">
        <v>40511</v>
      </c>
      <c r="B420" s="298" t="s">
        <v>3165</v>
      </c>
      <c r="C420" s="299" t="s">
        <v>82</v>
      </c>
      <c r="D420" s="300">
        <v>3215.98</v>
      </c>
      <c r="E420" s="350">
        <f t="shared" si="13"/>
        <v>2607.84</v>
      </c>
      <c r="F420" s="298" t="s">
        <v>3693</v>
      </c>
      <c r="G420" s="301">
        <f t="shared" si="12"/>
        <v>2710.32</v>
      </c>
    </row>
    <row r="421" spans="1:7" x14ac:dyDescent="0.25">
      <c r="A421" s="297">
        <v>40512</v>
      </c>
      <c r="B421" s="298" t="s">
        <v>3166</v>
      </c>
      <c r="C421" s="299" t="s">
        <v>82</v>
      </c>
      <c r="D421" s="300">
        <v>4260.71</v>
      </c>
      <c r="E421" s="350">
        <f t="shared" si="13"/>
        <v>3455.01</v>
      </c>
      <c r="F421" s="298" t="s">
        <v>3693</v>
      </c>
      <c r="G421" s="301">
        <f t="shared" si="12"/>
        <v>3590.78</v>
      </c>
    </row>
    <row r="422" spans="1:7" x14ac:dyDescent="0.25">
      <c r="A422" s="297">
        <v>40586</v>
      </c>
      <c r="B422" s="298" t="s">
        <v>3807</v>
      </c>
      <c r="C422" s="299" t="s">
        <v>82</v>
      </c>
      <c r="D422" s="300">
        <v>5696.24</v>
      </c>
      <c r="E422" s="350">
        <f t="shared" si="13"/>
        <v>4619.08</v>
      </c>
      <c r="F422" s="298" t="s">
        <v>98</v>
      </c>
      <c r="G422" s="301">
        <f t="shared" si="12"/>
        <v>4800.6000000000004</v>
      </c>
    </row>
    <row r="423" spans="1:7" x14ac:dyDescent="0.25">
      <c r="A423" s="297">
        <v>40592</v>
      </c>
      <c r="B423" s="298" t="s">
        <v>3167</v>
      </c>
      <c r="C423" s="299" t="s">
        <v>82</v>
      </c>
      <c r="D423" s="300">
        <v>6093.83</v>
      </c>
      <c r="E423" s="350">
        <f t="shared" si="13"/>
        <v>4941.4799999999996</v>
      </c>
      <c r="F423" s="298" t="s">
        <v>98</v>
      </c>
      <c r="G423" s="301">
        <f t="shared" si="12"/>
        <v>5135.67</v>
      </c>
    </row>
    <row r="424" spans="1:7" x14ac:dyDescent="0.25">
      <c r="A424" s="297">
        <v>40598</v>
      </c>
      <c r="B424" s="298" t="s">
        <v>3810</v>
      </c>
      <c r="C424" s="299" t="s">
        <v>82</v>
      </c>
      <c r="D424" s="300">
        <v>8926.0400000000009</v>
      </c>
      <c r="E424" s="350">
        <f t="shared" si="13"/>
        <v>7238.12</v>
      </c>
      <c r="F424" s="298" t="s">
        <v>98</v>
      </c>
      <c r="G424" s="301">
        <f t="shared" si="12"/>
        <v>7522.56</v>
      </c>
    </row>
    <row r="425" spans="1:7" x14ac:dyDescent="0.25">
      <c r="A425" s="297">
        <v>40587</v>
      </c>
      <c r="B425" s="298" t="s">
        <v>3812</v>
      </c>
      <c r="C425" s="299" t="s">
        <v>82</v>
      </c>
      <c r="D425" s="300">
        <v>8377.6</v>
      </c>
      <c r="E425" s="350">
        <f t="shared" si="13"/>
        <v>6793.39</v>
      </c>
      <c r="F425" s="298" t="s">
        <v>98</v>
      </c>
      <c r="G425" s="301">
        <f t="shared" si="12"/>
        <v>7060.35</v>
      </c>
    </row>
    <row r="426" spans="1:7" x14ac:dyDescent="0.25">
      <c r="A426" s="297">
        <v>40593</v>
      </c>
      <c r="B426" s="298" t="s">
        <v>3168</v>
      </c>
      <c r="C426" s="299" t="s">
        <v>82</v>
      </c>
      <c r="D426" s="300">
        <v>9632.59</v>
      </c>
      <c r="E426" s="350">
        <f t="shared" si="13"/>
        <v>7811.06</v>
      </c>
      <c r="F426" s="298" t="s">
        <v>98</v>
      </c>
      <c r="G426" s="301">
        <f t="shared" si="12"/>
        <v>8118.01</v>
      </c>
    </row>
    <row r="427" spans="1:7" x14ac:dyDescent="0.25">
      <c r="A427" s="297">
        <v>40588</v>
      </c>
      <c r="B427" s="298" t="s">
        <v>3816</v>
      </c>
      <c r="C427" s="299" t="s">
        <v>82</v>
      </c>
      <c r="D427" s="300">
        <v>11697.19</v>
      </c>
      <c r="E427" s="350">
        <f t="shared" si="13"/>
        <v>9485.24</v>
      </c>
      <c r="F427" s="298" t="s">
        <v>98</v>
      </c>
      <c r="G427" s="301">
        <f t="shared" si="12"/>
        <v>9857.98</v>
      </c>
    </row>
    <row r="428" spans="1:7" x14ac:dyDescent="0.25">
      <c r="A428" s="297">
        <v>40594</v>
      </c>
      <c r="B428" s="298" t="s">
        <v>3169</v>
      </c>
      <c r="C428" s="299" t="s">
        <v>82</v>
      </c>
      <c r="D428" s="300">
        <v>14088.34</v>
      </c>
      <c r="E428" s="350">
        <f t="shared" si="13"/>
        <v>11424.22</v>
      </c>
      <c r="F428" s="298" t="s">
        <v>98</v>
      </c>
      <c r="G428" s="301">
        <f t="shared" si="12"/>
        <v>11873.16</v>
      </c>
    </row>
    <row r="429" spans="1:7" x14ac:dyDescent="0.25">
      <c r="A429" s="297">
        <v>40599</v>
      </c>
      <c r="B429" s="298" t="s">
        <v>3170</v>
      </c>
      <c r="C429" s="299" t="s">
        <v>82</v>
      </c>
      <c r="D429" s="300">
        <v>12848.62</v>
      </c>
      <c r="E429" s="350">
        <f t="shared" si="13"/>
        <v>10418.93</v>
      </c>
      <c r="F429" s="298" t="s">
        <v>98</v>
      </c>
      <c r="G429" s="301">
        <f t="shared" si="12"/>
        <v>10828.36</v>
      </c>
    </row>
    <row r="430" spans="1:7" x14ac:dyDescent="0.25">
      <c r="A430" s="297">
        <v>40589</v>
      </c>
      <c r="B430" s="298" t="s">
        <v>3820</v>
      </c>
      <c r="C430" s="299" t="s">
        <v>82</v>
      </c>
      <c r="D430" s="300">
        <v>11385.11</v>
      </c>
      <c r="E430" s="350">
        <f t="shared" si="13"/>
        <v>9232.17</v>
      </c>
      <c r="F430" s="298" t="s">
        <v>98</v>
      </c>
      <c r="G430" s="301">
        <f t="shared" ref="G430:G491" si="14">ROUNDUP(E430*$H$2,2)</f>
        <v>9594.9699999999993</v>
      </c>
    </row>
    <row r="431" spans="1:7" x14ac:dyDescent="0.25">
      <c r="A431" s="297">
        <v>40595</v>
      </c>
      <c r="B431" s="298" t="s">
        <v>3171</v>
      </c>
      <c r="C431" s="299" t="s">
        <v>82</v>
      </c>
      <c r="D431" s="300">
        <v>12747.61</v>
      </c>
      <c r="E431" s="350">
        <f t="shared" si="13"/>
        <v>10337.02</v>
      </c>
      <c r="F431" s="298" t="s">
        <v>98</v>
      </c>
      <c r="G431" s="301">
        <f t="shared" si="14"/>
        <v>10743.23</v>
      </c>
    </row>
    <row r="432" spans="1:7" x14ac:dyDescent="0.25">
      <c r="A432" s="297">
        <v>40590</v>
      </c>
      <c r="B432" s="298" t="s">
        <v>3824</v>
      </c>
      <c r="C432" s="299" t="s">
        <v>82</v>
      </c>
      <c r="D432" s="300">
        <v>13587.77</v>
      </c>
      <c r="E432" s="350">
        <f t="shared" si="13"/>
        <v>11018.31</v>
      </c>
      <c r="F432" s="298" t="s">
        <v>98</v>
      </c>
      <c r="G432" s="301">
        <f t="shared" si="14"/>
        <v>11451.3</v>
      </c>
    </row>
    <row r="433" spans="1:7" x14ac:dyDescent="0.25">
      <c r="A433" s="297">
        <v>40596</v>
      </c>
      <c r="B433" s="298" t="s">
        <v>3172</v>
      </c>
      <c r="C433" s="299" t="s">
        <v>82</v>
      </c>
      <c r="D433" s="300">
        <v>15098.09</v>
      </c>
      <c r="E433" s="350">
        <f t="shared" si="13"/>
        <v>12243.02</v>
      </c>
      <c r="F433" s="298" t="s">
        <v>98</v>
      </c>
      <c r="G433" s="301">
        <f t="shared" si="14"/>
        <v>12724.13</v>
      </c>
    </row>
    <row r="434" spans="1:7" x14ac:dyDescent="0.25">
      <c r="A434" s="297">
        <v>40591</v>
      </c>
      <c r="B434" s="298" t="s">
        <v>3827</v>
      </c>
      <c r="C434" s="299" t="s">
        <v>82</v>
      </c>
      <c r="D434" s="300">
        <v>14892.5</v>
      </c>
      <c r="E434" s="350">
        <f t="shared" si="13"/>
        <v>12076.31</v>
      </c>
      <c r="F434" s="298" t="s">
        <v>98</v>
      </c>
      <c r="G434" s="301">
        <f t="shared" si="14"/>
        <v>12550.87</v>
      </c>
    </row>
    <row r="435" spans="1:7" x14ac:dyDescent="0.25">
      <c r="A435" s="297">
        <v>40597</v>
      </c>
      <c r="B435" s="298" t="s">
        <v>3173</v>
      </c>
      <c r="C435" s="299" t="s">
        <v>82</v>
      </c>
      <c r="D435" s="300">
        <v>15899.65</v>
      </c>
      <c r="E435" s="350">
        <f t="shared" si="13"/>
        <v>12893.01</v>
      </c>
      <c r="F435" s="298" t="s">
        <v>98</v>
      </c>
      <c r="G435" s="301">
        <f t="shared" si="14"/>
        <v>13399.67</v>
      </c>
    </row>
    <row r="436" spans="1:7" x14ac:dyDescent="0.25">
      <c r="A436" s="297">
        <v>40573</v>
      </c>
      <c r="B436" s="298" t="s">
        <v>3829</v>
      </c>
      <c r="C436" s="299" t="s">
        <v>82</v>
      </c>
      <c r="D436" s="300">
        <v>3494.96</v>
      </c>
      <c r="E436" s="350">
        <f t="shared" si="13"/>
        <v>2834.06</v>
      </c>
      <c r="F436" s="298" t="s">
        <v>98</v>
      </c>
      <c r="G436" s="301">
        <f t="shared" si="14"/>
        <v>2945.43</v>
      </c>
    </row>
    <row r="437" spans="1:7" x14ac:dyDescent="0.25">
      <c r="A437" s="297">
        <v>40579</v>
      </c>
      <c r="B437" s="298" t="s">
        <v>3174</v>
      </c>
      <c r="C437" s="299" t="s">
        <v>82</v>
      </c>
      <c r="D437" s="300">
        <v>3793.15</v>
      </c>
      <c r="E437" s="350">
        <f t="shared" si="13"/>
        <v>3075.86</v>
      </c>
      <c r="F437" s="298" t="s">
        <v>98</v>
      </c>
      <c r="G437" s="301">
        <f t="shared" si="14"/>
        <v>3196.74</v>
      </c>
    </row>
    <row r="438" spans="1:7" x14ac:dyDescent="0.25">
      <c r="A438" s="297">
        <v>41113</v>
      </c>
      <c r="B438" s="298" t="s">
        <v>3175</v>
      </c>
      <c r="C438" s="299" t="s">
        <v>82</v>
      </c>
      <c r="D438" s="300">
        <v>6343.49</v>
      </c>
      <c r="E438" s="350">
        <f t="shared" si="13"/>
        <v>5143.93</v>
      </c>
      <c r="F438" s="298" t="s">
        <v>98</v>
      </c>
      <c r="G438" s="301">
        <f t="shared" si="14"/>
        <v>5346.07</v>
      </c>
    </row>
    <row r="439" spans="1:7" x14ac:dyDescent="0.25">
      <c r="A439" s="297">
        <v>40574</v>
      </c>
      <c r="B439" s="298" t="s">
        <v>3831</v>
      </c>
      <c r="C439" s="299" t="s">
        <v>82</v>
      </c>
      <c r="D439" s="300">
        <v>5034.7299999999996</v>
      </c>
      <c r="E439" s="350">
        <f t="shared" si="13"/>
        <v>4082.66</v>
      </c>
      <c r="F439" s="298" t="s">
        <v>98</v>
      </c>
      <c r="G439" s="301">
        <f t="shared" si="14"/>
        <v>4243.1000000000004</v>
      </c>
    </row>
    <row r="440" spans="1:7" x14ac:dyDescent="0.25">
      <c r="A440" s="297">
        <v>40580</v>
      </c>
      <c r="B440" s="298" t="s">
        <v>3176</v>
      </c>
      <c r="C440" s="299" t="s">
        <v>82</v>
      </c>
      <c r="D440" s="300">
        <v>5647.72</v>
      </c>
      <c r="E440" s="350">
        <f t="shared" si="13"/>
        <v>4579.7299999999996</v>
      </c>
      <c r="F440" s="298" t="s">
        <v>98</v>
      </c>
      <c r="G440" s="301">
        <f t="shared" si="14"/>
        <v>4759.7</v>
      </c>
    </row>
    <row r="441" spans="1:7" x14ac:dyDescent="0.25">
      <c r="A441" s="297">
        <v>40575</v>
      </c>
      <c r="B441" s="298" t="s">
        <v>3833</v>
      </c>
      <c r="C441" s="299" t="s">
        <v>82</v>
      </c>
      <c r="D441" s="300">
        <v>7259.51</v>
      </c>
      <c r="E441" s="350">
        <f t="shared" si="13"/>
        <v>5886.73</v>
      </c>
      <c r="F441" s="298" t="s">
        <v>98</v>
      </c>
      <c r="G441" s="301">
        <f t="shared" si="14"/>
        <v>6118.06</v>
      </c>
    </row>
    <row r="442" spans="1:7" x14ac:dyDescent="0.25">
      <c r="A442" s="297">
        <v>40581</v>
      </c>
      <c r="B442" s="298" t="s">
        <v>3177</v>
      </c>
      <c r="C442" s="299" t="s">
        <v>82</v>
      </c>
      <c r="D442" s="300">
        <v>9358.3799999999992</v>
      </c>
      <c r="E442" s="350">
        <f t="shared" si="13"/>
        <v>7588.7</v>
      </c>
      <c r="F442" s="298" t="s">
        <v>98</v>
      </c>
      <c r="G442" s="301">
        <f t="shared" si="14"/>
        <v>7886.91</v>
      </c>
    </row>
    <row r="443" spans="1:7" x14ac:dyDescent="0.25">
      <c r="A443" s="297">
        <v>40576</v>
      </c>
      <c r="B443" s="298" t="s">
        <v>3839</v>
      </c>
      <c r="C443" s="299" t="s">
        <v>82</v>
      </c>
      <c r="D443" s="300">
        <v>7134.8</v>
      </c>
      <c r="E443" s="350">
        <f t="shared" si="13"/>
        <v>5785.6</v>
      </c>
      <c r="F443" s="298" t="s">
        <v>98</v>
      </c>
      <c r="G443" s="301">
        <f t="shared" si="14"/>
        <v>6012.96</v>
      </c>
    </row>
    <row r="444" spans="1:7" x14ac:dyDescent="0.25">
      <c r="A444" s="297">
        <v>40582</v>
      </c>
      <c r="B444" s="298" t="s">
        <v>3178</v>
      </c>
      <c r="C444" s="299" t="s">
        <v>82</v>
      </c>
      <c r="D444" s="300">
        <v>8188.39</v>
      </c>
      <c r="E444" s="350">
        <f t="shared" si="13"/>
        <v>6639.96</v>
      </c>
      <c r="F444" s="298" t="s">
        <v>98</v>
      </c>
      <c r="G444" s="301">
        <f t="shared" si="14"/>
        <v>6900.89</v>
      </c>
    </row>
    <row r="445" spans="1:7" x14ac:dyDescent="0.25">
      <c r="A445" s="297">
        <v>40577</v>
      </c>
      <c r="B445" s="298" t="s">
        <v>3840</v>
      </c>
      <c r="C445" s="299" t="s">
        <v>82</v>
      </c>
      <c r="D445" s="300">
        <v>9020.82</v>
      </c>
      <c r="E445" s="350">
        <f t="shared" si="13"/>
        <v>7314.97</v>
      </c>
      <c r="F445" s="298" t="s">
        <v>98</v>
      </c>
      <c r="G445" s="301">
        <f t="shared" si="14"/>
        <v>7602.43</v>
      </c>
    </row>
    <row r="446" spans="1:7" x14ac:dyDescent="0.25">
      <c r="A446" s="297">
        <v>40583</v>
      </c>
      <c r="B446" s="298" t="s">
        <v>3179</v>
      </c>
      <c r="C446" s="299" t="s">
        <v>82</v>
      </c>
      <c r="D446" s="300">
        <v>11136.65</v>
      </c>
      <c r="E446" s="350">
        <f t="shared" si="13"/>
        <v>9030.7000000000007</v>
      </c>
      <c r="F446" s="298" t="s">
        <v>98</v>
      </c>
      <c r="G446" s="301">
        <f t="shared" si="14"/>
        <v>9385.58</v>
      </c>
    </row>
    <row r="447" spans="1:7" x14ac:dyDescent="0.25">
      <c r="A447" s="297">
        <v>40578</v>
      </c>
      <c r="B447" s="298" t="s">
        <v>3844</v>
      </c>
      <c r="C447" s="299" t="s">
        <v>82</v>
      </c>
      <c r="D447" s="300">
        <v>9722.31</v>
      </c>
      <c r="E447" s="350">
        <f t="shared" si="13"/>
        <v>7883.81</v>
      </c>
      <c r="F447" s="298" t="s">
        <v>98</v>
      </c>
      <c r="G447" s="301">
        <f t="shared" si="14"/>
        <v>8193.6200000000008</v>
      </c>
    </row>
    <row r="448" spans="1:7" x14ac:dyDescent="0.25">
      <c r="A448" s="297">
        <v>40584</v>
      </c>
      <c r="B448" s="298" t="s">
        <v>3180</v>
      </c>
      <c r="C448" s="299" t="s">
        <v>82</v>
      </c>
      <c r="D448" s="300">
        <v>11322.34</v>
      </c>
      <c r="E448" s="350">
        <f t="shared" si="13"/>
        <v>9181.27</v>
      </c>
      <c r="F448" s="298" t="s">
        <v>98</v>
      </c>
      <c r="G448" s="301">
        <f t="shared" si="14"/>
        <v>9542.07</v>
      </c>
    </row>
    <row r="449" spans="1:7" x14ac:dyDescent="0.25">
      <c r="A449" s="297">
        <v>40601</v>
      </c>
      <c r="B449" s="298" t="s">
        <v>3847</v>
      </c>
      <c r="C449" s="299" t="s">
        <v>82</v>
      </c>
      <c r="D449" s="300">
        <v>8015.5</v>
      </c>
      <c r="E449" s="350">
        <f t="shared" si="13"/>
        <v>6499.76</v>
      </c>
      <c r="F449" s="298" t="s">
        <v>98</v>
      </c>
      <c r="G449" s="301">
        <f t="shared" si="14"/>
        <v>6755.18</v>
      </c>
    </row>
    <row r="450" spans="1:7" x14ac:dyDescent="0.25">
      <c r="A450" s="297">
        <v>40607</v>
      </c>
      <c r="B450" s="298" t="s">
        <v>3181</v>
      </c>
      <c r="C450" s="299" t="s">
        <v>82</v>
      </c>
      <c r="D450" s="300">
        <v>8751.0300000000007</v>
      </c>
      <c r="E450" s="350">
        <f t="shared" ref="E450:E513" si="15">ROUNDUP(D450/(1+$L$2),2)</f>
        <v>7096.2</v>
      </c>
      <c r="F450" s="298" t="s">
        <v>98</v>
      </c>
      <c r="G450" s="301">
        <f t="shared" si="14"/>
        <v>7375.06</v>
      </c>
    </row>
    <row r="451" spans="1:7" x14ac:dyDescent="0.25">
      <c r="A451" s="297">
        <v>40602</v>
      </c>
      <c r="B451" s="298" t="s">
        <v>3850</v>
      </c>
      <c r="C451" s="299" t="s">
        <v>82</v>
      </c>
      <c r="D451" s="300">
        <v>11916.85</v>
      </c>
      <c r="E451" s="350">
        <f t="shared" si="15"/>
        <v>9663.36</v>
      </c>
      <c r="F451" s="298" t="s">
        <v>98</v>
      </c>
      <c r="G451" s="301">
        <f t="shared" si="14"/>
        <v>10043.1</v>
      </c>
    </row>
    <row r="452" spans="1:7" x14ac:dyDescent="0.25">
      <c r="A452" s="297">
        <v>40608</v>
      </c>
      <c r="B452" s="298" t="s">
        <v>3182</v>
      </c>
      <c r="C452" s="299" t="s">
        <v>82</v>
      </c>
      <c r="D452" s="300">
        <v>13285.91</v>
      </c>
      <c r="E452" s="350">
        <f t="shared" si="15"/>
        <v>10773.53</v>
      </c>
      <c r="F452" s="298" t="s">
        <v>98</v>
      </c>
      <c r="G452" s="301">
        <f t="shared" si="14"/>
        <v>11196.9</v>
      </c>
    </row>
    <row r="453" spans="1:7" x14ac:dyDescent="0.25">
      <c r="A453" s="297">
        <v>40603</v>
      </c>
      <c r="B453" s="298" t="s">
        <v>3853</v>
      </c>
      <c r="C453" s="299" t="s">
        <v>82</v>
      </c>
      <c r="D453" s="300">
        <v>17269.419999999998</v>
      </c>
      <c r="E453" s="350">
        <f t="shared" si="15"/>
        <v>14003.75</v>
      </c>
      <c r="F453" s="298" t="s">
        <v>98</v>
      </c>
      <c r="G453" s="301">
        <f t="shared" si="14"/>
        <v>14554.05</v>
      </c>
    </row>
    <row r="454" spans="1:7" x14ac:dyDescent="0.25">
      <c r="A454" s="297">
        <v>40609</v>
      </c>
      <c r="B454" s="298" t="s">
        <v>3183</v>
      </c>
      <c r="C454" s="299" t="s">
        <v>82</v>
      </c>
      <c r="D454" s="300">
        <v>19861.060000000001</v>
      </c>
      <c r="E454" s="350">
        <f t="shared" si="15"/>
        <v>16105.31</v>
      </c>
      <c r="F454" s="298" t="s">
        <v>98</v>
      </c>
      <c r="G454" s="301">
        <f t="shared" si="14"/>
        <v>16738.2</v>
      </c>
    </row>
    <row r="455" spans="1:7" x14ac:dyDescent="0.25">
      <c r="A455" s="297">
        <v>40604</v>
      </c>
      <c r="B455" s="298" t="s">
        <v>3856</v>
      </c>
      <c r="C455" s="299" t="s">
        <v>82</v>
      </c>
      <c r="D455" s="300">
        <v>15621.32</v>
      </c>
      <c r="E455" s="350">
        <f t="shared" si="15"/>
        <v>12667.31</v>
      </c>
      <c r="F455" s="298" t="s">
        <v>98</v>
      </c>
      <c r="G455" s="301">
        <f t="shared" si="14"/>
        <v>13165.1</v>
      </c>
    </row>
    <row r="456" spans="1:7" x14ac:dyDescent="0.25">
      <c r="A456" s="297">
        <v>40610</v>
      </c>
      <c r="B456" s="298" t="s">
        <v>3184</v>
      </c>
      <c r="C456" s="299" t="s">
        <v>82</v>
      </c>
      <c r="D456" s="300">
        <v>17573.59</v>
      </c>
      <c r="E456" s="350">
        <f t="shared" si="15"/>
        <v>14250.4</v>
      </c>
      <c r="F456" s="298" t="s">
        <v>98</v>
      </c>
      <c r="G456" s="301">
        <f t="shared" si="14"/>
        <v>14810.4</v>
      </c>
    </row>
    <row r="457" spans="1:7" x14ac:dyDescent="0.25">
      <c r="A457" s="297">
        <v>40605</v>
      </c>
      <c r="B457" s="298" t="s">
        <v>3859</v>
      </c>
      <c r="C457" s="299" t="s">
        <v>82</v>
      </c>
      <c r="D457" s="300">
        <v>19320.060000000001</v>
      </c>
      <c r="E457" s="350">
        <f t="shared" si="15"/>
        <v>15666.61</v>
      </c>
      <c r="F457" s="298" t="s">
        <v>98</v>
      </c>
      <c r="G457" s="301">
        <f t="shared" si="14"/>
        <v>16282.26</v>
      </c>
    </row>
    <row r="458" spans="1:7" x14ac:dyDescent="0.25">
      <c r="A458" s="297">
        <v>40611</v>
      </c>
      <c r="B458" s="298" t="s">
        <v>3185</v>
      </c>
      <c r="C458" s="299" t="s">
        <v>82</v>
      </c>
      <c r="D458" s="300">
        <v>22218.19</v>
      </c>
      <c r="E458" s="350">
        <f t="shared" si="15"/>
        <v>18016.7</v>
      </c>
      <c r="F458" s="298" t="s">
        <v>98</v>
      </c>
      <c r="G458" s="301">
        <f t="shared" si="14"/>
        <v>18724.7</v>
      </c>
    </row>
    <row r="459" spans="1:7" x14ac:dyDescent="0.25">
      <c r="A459" s="297">
        <v>40606</v>
      </c>
      <c r="B459" s="298" t="s">
        <v>3863</v>
      </c>
      <c r="C459" s="299" t="s">
        <v>82</v>
      </c>
      <c r="D459" s="300">
        <v>20508.75</v>
      </c>
      <c r="E459" s="350">
        <f t="shared" si="15"/>
        <v>16630.52</v>
      </c>
      <c r="F459" s="298" t="s">
        <v>98</v>
      </c>
      <c r="G459" s="301">
        <f t="shared" si="14"/>
        <v>17284.05</v>
      </c>
    </row>
    <row r="460" spans="1:7" x14ac:dyDescent="0.25">
      <c r="A460" s="297">
        <v>40612</v>
      </c>
      <c r="B460" s="298" t="s">
        <v>3186</v>
      </c>
      <c r="C460" s="299" t="s">
        <v>82</v>
      </c>
      <c r="D460" s="300">
        <v>23206.240000000002</v>
      </c>
      <c r="E460" s="350">
        <f t="shared" si="15"/>
        <v>18817.91</v>
      </c>
      <c r="F460" s="298" t="s">
        <v>98</v>
      </c>
      <c r="G460" s="301">
        <f t="shared" si="14"/>
        <v>19557.39</v>
      </c>
    </row>
    <row r="461" spans="1:7" x14ac:dyDescent="0.25">
      <c r="A461" s="297">
        <v>40305</v>
      </c>
      <c r="B461" s="298" t="s">
        <v>3867</v>
      </c>
      <c r="C461" s="299" t="s">
        <v>76</v>
      </c>
      <c r="D461" s="300">
        <v>18.059999999999999</v>
      </c>
      <c r="E461" s="350">
        <f t="shared" si="15"/>
        <v>14.65</v>
      </c>
      <c r="F461" s="298" t="s">
        <v>98</v>
      </c>
      <c r="G461" s="301">
        <f t="shared" si="14"/>
        <v>15.23</v>
      </c>
    </row>
    <row r="462" spans="1:7" x14ac:dyDescent="0.25">
      <c r="A462" s="297">
        <v>40306</v>
      </c>
      <c r="B462" s="298" t="s">
        <v>3869</v>
      </c>
      <c r="C462" s="299" t="s">
        <v>76</v>
      </c>
      <c r="D462" s="300">
        <v>36.130000000000003</v>
      </c>
      <c r="E462" s="350">
        <f t="shared" si="15"/>
        <v>29.3</v>
      </c>
      <c r="F462" s="298" t="s">
        <v>98</v>
      </c>
      <c r="G462" s="301">
        <f t="shared" si="14"/>
        <v>30.46</v>
      </c>
    </row>
    <row r="463" spans="1:7" x14ac:dyDescent="0.25">
      <c r="A463" s="297">
        <v>41049</v>
      </c>
      <c r="B463" s="298" t="s">
        <v>3872</v>
      </c>
      <c r="C463" s="299" t="s">
        <v>82</v>
      </c>
      <c r="D463" s="300">
        <v>22.38</v>
      </c>
      <c r="E463" s="350">
        <f t="shared" si="15"/>
        <v>18.149999999999999</v>
      </c>
      <c r="F463" s="298" t="s">
        <v>98</v>
      </c>
      <c r="G463" s="301">
        <f t="shared" si="14"/>
        <v>18.87</v>
      </c>
    </row>
    <row r="464" spans="1:7" x14ac:dyDescent="0.25">
      <c r="A464" s="297">
        <v>40372</v>
      </c>
      <c r="B464" s="298" t="s">
        <v>3187</v>
      </c>
      <c r="C464" s="299" t="s">
        <v>76</v>
      </c>
      <c r="D464" s="300">
        <v>225.39</v>
      </c>
      <c r="E464" s="350">
        <f t="shared" si="15"/>
        <v>182.77</v>
      </c>
      <c r="F464" s="298" t="s">
        <v>98</v>
      </c>
      <c r="G464" s="301">
        <f t="shared" si="14"/>
        <v>189.96</v>
      </c>
    </row>
    <row r="465" spans="1:7" x14ac:dyDescent="0.25">
      <c r="A465" s="297">
        <v>40374</v>
      </c>
      <c r="B465" s="298" t="s">
        <v>3188</v>
      </c>
      <c r="C465" s="299" t="s">
        <v>76</v>
      </c>
      <c r="D465" s="300">
        <v>332.64</v>
      </c>
      <c r="E465" s="350">
        <f t="shared" si="15"/>
        <v>269.74</v>
      </c>
      <c r="F465" s="298" t="s">
        <v>98</v>
      </c>
      <c r="G465" s="301">
        <f t="shared" si="14"/>
        <v>280.33999999999997</v>
      </c>
    </row>
    <row r="466" spans="1:7" x14ac:dyDescent="0.25">
      <c r="A466" s="297">
        <v>40373</v>
      </c>
      <c r="B466" s="298" t="s">
        <v>3189</v>
      </c>
      <c r="C466" s="299" t="s">
        <v>76</v>
      </c>
      <c r="D466" s="300">
        <v>293.51</v>
      </c>
      <c r="E466" s="350">
        <f t="shared" si="15"/>
        <v>238.01</v>
      </c>
      <c r="F466" s="298" t="s">
        <v>98</v>
      </c>
      <c r="G466" s="301">
        <f t="shared" si="14"/>
        <v>247.37</v>
      </c>
    </row>
    <row r="467" spans="1:7" x14ac:dyDescent="0.25">
      <c r="A467" s="297">
        <v>40375</v>
      </c>
      <c r="B467" s="298" t="s">
        <v>3190</v>
      </c>
      <c r="C467" s="299" t="s">
        <v>76</v>
      </c>
      <c r="D467" s="300">
        <v>197.65</v>
      </c>
      <c r="E467" s="350">
        <f t="shared" si="15"/>
        <v>160.28</v>
      </c>
      <c r="F467" s="298" t="s">
        <v>98</v>
      </c>
      <c r="G467" s="301">
        <f t="shared" si="14"/>
        <v>166.58</v>
      </c>
    </row>
    <row r="468" spans="1:7" x14ac:dyDescent="0.25">
      <c r="A468" s="297">
        <v>40678</v>
      </c>
      <c r="B468" s="298" t="s">
        <v>3191</v>
      </c>
      <c r="C468" s="299" t="s">
        <v>82</v>
      </c>
      <c r="D468" s="300">
        <v>480.7</v>
      </c>
      <c r="E468" s="350">
        <f t="shared" si="15"/>
        <v>389.8</v>
      </c>
      <c r="F468" s="298" t="s">
        <v>98</v>
      </c>
      <c r="G468" s="301">
        <f t="shared" si="14"/>
        <v>405.12</v>
      </c>
    </row>
    <row r="469" spans="1:7" x14ac:dyDescent="0.25">
      <c r="A469" s="297">
        <v>40679</v>
      </c>
      <c r="B469" s="298" t="s">
        <v>3192</v>
      </c>
      <c r="C469" s="299" t="s">
        <v>2871</v>
      </c>
      <c r="D469" s="300">
        <v>888.8</v>
      </c>
      <c r="E469" s="350">
        <f t="shared" si="15"/>
        <v>720.73</v>
      </c>
      <c r="F469" s="298" t="s">
        <v>98</v>
      </c>
      <c r="G469" s="301">
        <f t="shared" si="14"/>
        <v>749.06</v>
      </c>
    </row>
    <row r="470" spans="1:7" x14ac:dyDescent="0.25">
      <c r="A470" s="297">
        <v>40684</v>
      </c>
      <c r="B470" s="298" t="s">
        <v>3193</v>
      </c>
      <c r="C470" s="299" t="s">
        <v>2871</v>
      </c>
      <c r="D470" s="300">
        <v>932.65</v>
      </c>
      <c r="E470" s="350">
        <f t="shared" si="15"/>
        <v>756.29</v>
      </c>
      <c r="F470" s="298" t="s">
        <v>98</v>
      </c>
      <c r="G470" s="301">
        <f t="shared" si="14"/>
        <v>786.01</v>
      </c>
    </row>
    <row r="471" spans="1:7" x14ac:dyDescent="0.25">
      <c r="A471" s="297">
        <v>40683</v>
      </c>
      <c r="B471" s="298" t="s">
        <v>3194</v>
      </c>
      <c r="C471" s="299" t="s">
        <v>82</v>
      </c>
      <c r="D471" s="300">
        <v>454.56</v>
      </c>
      <c r="E471" s="350">
        <f t="shared" si="15"/>
        <v>368.61</v>
      </c>
      <c r="F471" s="298" t="s">
        <v>98</v>
      </c>
      <c r="G471" s="301">
        <f t="shared" si="14"/>
        <v>383.1</v>
      </c>
    </row>
    <row r="472" spans="1:7" x14ac:dyDescent="0.25">
      <c r="A472" s="297">
        <v>40685</v>
      </c>
      <c r="B472" s="298" t="s">
        <v>3195</v>
      </c>
      <c r="C472" s="299" t="s">
        <v>2871</v>
      </c>
      <c r="D472" s="300">
        <v>826.09</v>
      </c>
      <c r="E472" s="350">
        <f t="shared" si="15"/>
        <v>669.88</v>
      </c>
      <c r="F472" s="298" t="s">
        <v>98</v>
      </c>
      <c r="G472" s="301">
        <f t="shared" si="14"/>
        <v>696.21</v>
      </c>
    </row>
    <row r="473" spans="1:7" x14ac:dyDescent="0.25">
      <c r="A473" s="297">
        <v>40686</v>
      </c>
      <c r="B473" s="298" t="s">
        <v>3196</v>
      </c>
      <c r="C473" s="299" t="s">
        <v>82</v>
      </c>
      <c r="D473" s="300">
        <v>638.74</v>
      </c>
      <c r="E473" s="350">
        <f t="shared" si="15"/>
        <v>517.96</v>
      </c>
      <c r="F473" s="298" t="s">
        <v>98</v>
      </c>
      <c r="G473" s="301">
        <f t="shared" si="14"/>
        <v>538.32000000000005</v>
      </c>
    </row>
    <row r="474" spans="1:7" x14ac:dyDescent="0.25">
      <c r="A474" s="297">
        <v>40687</v>
      </c>
      <c r="B474" s="298" t="s">
        <v>3197</v>
      </c>
      <c r="C474" s="299" t="s">
        <v>82</v>
      </c>
      <c r="D474" s="300">
        <v>606.57000000000005</v>
      </c>
      <c r="E474" s="350">
        <f t="shared" si="15"/>
        <v>491.87</v>
      </c>
      <c r="F474" s="298" t="s">
        <v>98</v>
      </c>
      <c r="G474" s="301">
        <f t="shared" si="14"/>
        <v>511.2</v>
      </c>
    </row>
    <row r="475" spans="1:7" x14ac:dyDescent="0.25">
      <c r="A475" s="297">
        <v>40676</v>
      </c>
      <c r="B475" s="298" t="s">
        <v>3198</v>
      </c>
      <c r="C475" s="299" t="s">
        <v>82</v>
      </c>
      <c r="D475" s="300">
        <v>341.54</v>
      </c>
      <c r="E475" s="350">
        <f t="shared" si="15"/>
        <v>276.95999999999998</v>
      </c>
      <c r="F475" s="298" t="s">
        <v>98</v>
      </c>
      <c r="G475" s="301">
        <f t="shared" si="14"/>
        <v>287.85000000000002</v>
      </c>
    </row>
    <row r="476" spans="1:7" x14ac:dyDescent="0.25">
      <c r="A476" s="297">
        <v>40677</v>
      </c>
      <c r="B476" s="298" t="s">
        <v>3199</v>
      </c>
      <c r="C476" s="299" t="s">
        <v>2871</v>
      </c>
      <c r="D476" s="300">
        <v>729.77</v>
      </c>
      <c r="E476" s="350">
        <f t="shared" si="15"/>
        <v>591.77</v>
      </c>
      <c r="F476" s="298" t="s">
        <v>98</v>
      </c>
      <c r="G476" s="301">
        <f t="shared" si="14"/>
        <v>615.03</v>
      </c>
    </row>
    <row r="477" spans="1:7" x14ac:dyDescent="0.25">
      <c r="A477" s="297">
        <v>40681</v>
      </c>
      <c r="B477" s="298" t="s">
        <v>3200</v>
      </c>
      <c r="C477" s="299" t="s">
        <v>2871</v>
      </c>
      <c r="D477" s="300">
        <v>816.36</v>
      </c>
      <c r="E477" s="350">
        <f t="shared" si="15"/>
        <v>661.99</v>
      </c>
      <c r="F477" s="298" t="s">
        <v>98</v>
      </c>
      <c r="G477" s="301">
        <f t="shared" si="14"/>
        <v>688.01</v>
      </c>
    </row>
    <row r="478" spans="1:7" x14ac:dyDescent="0.25">
      <c r="A478" s="297">
        <v>40680</v>
      </c>
      <c r="B478" s="298" t="s">
        <v>3201</v>
      </c>
      <c r="C478" s="299" t="s">
        <v>82</v>
      </c>
      <c r="D478" s="300">
        <v>414.81</v>
      </c>
      <c r="E478" s="350">
        <f t="shared" si="15"/>
        <v>336.37</v>
      </c>
      <c r="F478" s="298" t="s">
        <v>98</v>
      </c>
      <c r="G478" s="301">
        <f t="shared" si="14"/>
        <v>349.59</v>
      </c>
    </row>
    <row r="479" spans="1:7" x14ac:dyDescent="0.25">
      <c r="A479" s="297">
        <v>40682</v>
      </c>
      <c r="B479" s="298" t="s">
        <v>3202</v>
      </c>
      <c r="C479" s="299" t="s">
        <v>2871</v>
      </c>
      <c r="D479" s="300">
        <v>726.7</v>
      </c>
      <c r="E479" s="350">
        <f t="shared" si="15"/>
        <v>589.28</v>
      </c>
      <c r="F479" s="298" t="s">
        <v>98</v>
      </c>
      <c r="G479" s="301">
        <f t="shared" si="14"/>
        <v>612.44000000000005</v>
      </c>
    </row>
    <row r="480" spans="1:7" x14ac:dyDescent="0.25">
      <c r="A480" s="297">
        <v>41189</v>
      </c>
      <c r="B480" s="298" t="s">
        <v>3203</v>
      </c>
      <c r="C480" s="299" t="s">
        <v>82</v>
      </c>
      <c r="D480" s="300">
        <v>43.93</v>
      </c>
      <c r="E480" s="350">
        <f t="shared" si="15"/>
        <v>35.630000000000003</v>
      </c>
      <c r="F480" s="298" t="s">
        <v>3693</v>
      </c>
      <c r="G480" s="301">
        <f t="shared" si="14"/>
        <v>37.04</v>
      </c>
    </row>
    <row r="481" spans="1:7" x14ac:dyDescent="0.25">
      <c r="A481" s="297">
        <v>40728</v>
      </c>
      <c r="B481" s="298" t="s">
        <v>3204</v>
      </c>
      <c r="C481" s="299" t="s">
        <v>2871</v>
      </c>
      <c r="D481" s="300">
        <v>414.2</v>
      </c>
      <c r="E481" s="350">
        <f t="shared" si="15"/>
        <v>335.88</v>
      </c>
      <c r="F481" s="298" t="s">
        <v>3693</v>
      </c>
      <c r="G481" s="301">
        <f t="shared" si="14"/>
        <v>349.08</v>
      </c>
    </row>
    <row r="482" spans="1:7" x14ac:dyDescent="0.25">
      <c r="A482" s="297">
        <v>40732</v>
      </c>
      <c r="B482" s="298" t="s">
        <v>3880</v>
      </c>
      <c r="C482" s="299" t="s">
        <v>2871</v>
      </c>
      <c r="D482" s="300">
        <v>711.37</v>
      </c>
      <c r="E482" s="350">
        <f t="shared" si="15"/>
        <v>576.85</v>
      </c>
      <c r="F482" s="298" t="s">
        <v>3693</v>
      </c>
      <c r="G482" s="301">
        <f t="shared" si="14"/>
        <v>599.52</v>
      </c>
    </row>
    <row r="483" spans="1:7" x14ac:dyDescent="0.25">
      <c r="A483" s="297">
        <v>40733</v>
      </c>
      <c r="B483" s="298" t="s">
        <v>3881</v>
      </c>
      <c r="C483" s="299" t="s">
        <v>2871</v>
      </c>
      <c r="D483" s="300">
        <v>1760.41</v>
      </c>
      <c r="E483" s="350">
        <f t="shared" si="15"/>
        <v>1427.52</v>
      </c>
      <c r="F483" s="298" t="s">
        <v>3693</v>
      </c>
      <c r="G483" s="301">
        <f t="shared" si="14"/>
        <v>1483.62</v>
      </c>
    </row>
    <row r="484" spans="1:7" x14ac:dyDescent="0.25">
      <c r="A484" s="297">
        <v>40734</v>
      </c>
      <c r="B484" s="298" t="s">
        <v>3882</v>
      </c>
      <c r="C484" s="299" t="s">
        <v>2871</v>
      </c>
      <c r="D484" s="300">
        <v>2755.79</v>
      </c>
      <c r="E484" s="350">
        <f t="shared" si="15"/>
        <v>2234.67</v>
      </c>
      <c r="F484" s="298" t="s">
        <v>3693</v>
      </c>
      <c r="G484" s="301">
        <f t="shared" si="14"/>
        <v>2322.4899999999998</v>
      </c>
    </row>
    <row r="485" spans="1:7" x14ac:dyDescent="0.25">
      <c r="A485" s="297">
        <v>40735</v>
      </c>
      <c r="B485" s="298" t="s">
        <v>3883</v>
      </c>
      <c r="C485" s="299" t="s">
        <v>2871</v>
      </c>
      <c r="D485" s="300">
        <v>3980.88</v>
      </c>
      <c r="E485" s="350">
        <f t="shared" si="15"/>
        <v>3228.09</v>
      </c>
      <c r="F485" s="298" t="s">
        <v>3693</v>
      </c>
      <c r="G485" s="301">
        <f t="shared" si="14"/>
        <v>3354.95</v>
      </c>
    </row>
    <row r="486" spans="1:7" x14ac:dyDescent="0.25">
      <c r="A486" s="297">
        <v>40736</v>
      </c>
      <c r="B486" s="298" t="s">
        <v>3884</v>
      </c>
      <c r="C486" s="299" t="s">
        <v>2871</v>
      </c>
      <c r="D486" s="300">
        <v>5354.25</v>
      </c>
      <c r="E486" s="350">
        <f t="shared" si="15"/>
        <v>4341.76</v>
      </c>
      <c r="F486" s="298" t="s">
        <v>3693</v>
      </c>
      <c r="G486" s="301">
        <f t="shared" si="14"/>
        <v>4512.38</v>
      </c>
    </row>
    <row r="487" spans="1:7" x14ac:dyDescent="0.25">
      <c r="A487" s="297">
        <v>40737</v>
      </c>
      <c r="B487" s="298" t="s">
        <v>3885</v>
      </c>
      <c r="C487" s="299" t="s">
        <v>2871</v>
      </c>
      <c r="D487" s="300">
        <v>8506.4</v>
      </c>
      <c r="E487" s="350">
        <f t="shared" si="15"/>
        <v>6897.83</v>
      </c>
      <c r="F487" s="298" t="s">
        <v>3693</v>
      </c>
      <c r="G487" s="301">
        <f t="shared" si="14"/>
        <v>7168.9</v>
      </c>
    </row>
    <row r="488" spans="1:7" x14ac:dyDescent="0.25">
      <c r="A488" s="297">
        <v>40738</v>
      </c>
      <c r="B488" s="298" t="s">
        <v>3886</v>
      </c>
      <c r="C488" s="299" t="s">
        <v>2871</v>
      </c>
      <c r="D488" s="300">
        <v>5448.95</v>
      </c>
      <c r="E488" s="350">
        <f t="shared" si="15"/>
        <v>4418.55</v>
      </c>
      <c r="F488" s="298" t="s">
        <v>3693</v>
      </c>
      <c r="G488" s="301">
        <f t="shared" si="14"/>
        <v>4592.1899999999996</v>
      </c>
    </row>
    <row r="489" spans="1:7" x14ac:dyDescent="0.25">
      <c r="A489" s="297">
        <v>40739</v>
      </c>
      <c r="B489" s="298" t="s">
        <v>3887</v>
      </c>
      <c r="C489" s="299" t="s">
        <v>2871</v>
      </c>
      <c r="D489" s="300">
        <v>7333.61</v>
      </c>
      <c r="E489" s="350">
        <f t="shared" si="15"/>
        <v>5946.82</v>
      </c>
      <c r="F489" s="298" t="s">
        <v>3693</v>
      </c>
      <c r="G489" s="301">
        <f t="shared" si="14"/>
        <v>6180.51</v>
      </c>
    </row>
    <row r="490" spans="1:7" x14ac:dyDescent="0.25">
      <c r="A490" s="297">
        <v>40740</v>
      </c>
      <c r="B490" s="298" t="s">
        <v>3888</v>
      </c>
      <c r="C490" s="299" t="s">
        <v>2871</v>
      </c>
      <c r="D490" s="300">
        <v>11370.57</v>
      </c>
      <c r="E490" s="350">
        <f t="shared" si="15"/>
        <v>9220.3799999999992</v>
      </c>
      <c r="F490" s="298" t="s">
        <v>3693</v>
      </c>
      <c r="G490" s="301">
        <f t="shared" si="14"/>
        <v>9582.7099999999991</v>
      </c>
    </row>
    <row r="491" spans="1:7" x14ac:dyDescent="0.25">
      <c r="A491" s="297">
        <v>40741</v>
      </c>
      <c r="B491" s="298" t="s">
        <v>3889</v>
      </c>
      <c r="C491" s="299" t="s">
        <v>2871</v>
      </c>
      <c r="D491" s="300">
        <v>6925.49</v>
      </c>
      <c r="E491" s="350">
        <f t="shared" si="15"/>
        <v>5615.87</v>
      </c>
      <c r="F491" s="298" t="s">
        <v>3693</v>
      </c>
      <c r="G491" s="301">
        <f t="shared" si="14"/>
        <v>5836.56</v>
      </c>
    </row>
    <row r="492" spans="1:7" x14ac:dyDescent="0.25">
      <c r="A492" s="297">
        <v>40742</v>
      </c>
      <c r="B492" s="298" t="s">
        <v>3890</v>
      </c>
      <c r="C492" s="299" t="s">
        <v>2871</v>
      </c>
      <c r="D492" s="300">
        <v>14232.49</v>
      </c>
      <c r="E492" s="350">
        <f t="shared" si="15"/>
        <v>11541.11</v>
      </c>
      <c r="F492" s="298" t="s">
        <v>3693</v>
      </c>
      <c r="G492" s="301">
        <f t="shared" ref="G492:G545" si="16">ROUNDUP(E492*$H$2,2)</f>
        <v>11994.64</v>
      </c>
    </row>
    <row r="493" spans="1:7" x14ac:dyDescent="0.25">
      <c r="A493" s="297">
        <v>40729</v>
      </c>
      <c r="B493" s="298" t="s">
        <v>3205</v>
      </c>
      <c r="C493" s="299" t="s">
        <v>2871</v>
      </c>
      <c r="D493" s="300">
        <v>348.26</v>
      </c>
      <c r="E493" s="350">
        <f t="shared" si="15"/>
        <v>282.41000000000003</v>
      </c>
      <c r="F493" s="298" t="s">
        <v>3693</v>
      </c>
      <c r="G493" s="301">
        <f t="shared" si="16"/>
        <v>293.51</v>
      </c>
    </row>
    <row r="494" spans="1:7" x14ac:dyDescent="0.25">
      <c r="A494" s="297">
        <v>40730</v>
      </c>
      <c r="B494" s="298" t="s">
        <v>3206</v>
      </c>
      <c r="C494" s="299" t="s">
        <v>2871</v>
      </c>
      <c r="D494" s="300">
        <v>414.2</v>
      </c>
      <c r="E494" s="350">
        <f t="shared" si="15"/>
        <v>335.88</v>
      </c>
      <c r="F494" s="298" t="s">
        <v>3693</v>
      </c>
      <c r="G494" s="301">
        <f t="shared" si="16"/>
        <v>349.08</v>
      </c>
    </row>
    <row r="495" spans="1:7" x14ac:dyDescent="0.25">
      <c r="A495" s="297">
        <v>40731</v>
      </c>
      <c r="B495" s="298" t="s">
        <v>3207</v>
      </c>
      <c r="C495" s="299" t="s">
        <v>2871</v>
      </c>
      <c r="D495" s="300">
        <v>493.9</v>
      </c>
      <c r="E495" s="350">
        <f t="shared" si="15"/>
        <v>400.51</v>
      </c>
      <c r="F495" s="298" t="s">
        <v>3693</v>
      </c>
      <c r="G495" s="301">
        <f t="shared" si="16"/>
        <v>416.25</v>
      </c>
    </row>
    <row r="496" spans="1:7" x14ac:dyDescent="0.25">
      <c r="A496" s="297">
        <v>40650</v>
      </c>
      <c r="B496" s="302" t="s">
        <v>4268</v>
      </c>
      <c r="C496" s="299" t="s">
        <v>82</v>
      </c>
      <c r="D496" s="300">
        <v>72.19</v>
      </c>
      <c r="E496" s="350">
        <f t="shared" si="15"/>
        <v>58.54</v>
      </c>
      <c r="F496" s="298" t="s">
        <v>3693</v>
      </c>
      <c r="G496" s="301">
        <f t="shared" si="16"/>
        <v>60.85</v>
      </c>
    </row>
    <row r="497" spans="1:7" x14ac:dyDescent="0.25">
      <c r="A497" s="297">
        <v>40637</v>
      </c>
      <c r="B497" s="298" t="s">
        <v>3891</v>
      </c>
      <c r="C497" s="299" t="s">
        <v>82</v>
      </c>
      <c r="D497" s="300">
        <v>38.17</v>
      </c>
      <c r="E497" s="350">
        <f t="shared" si="15"/>
        <v>30.96</v>
      </c>
      <c r="F497" s="298" t="s">
        <v>98</v>
      </c>
      <c r="G497" s="301">
        <f t="shared" si="16"/>
        <v>32.18</v>
      </c>
    </row>
    <row r="498" spans="1:7" x14ac:dyDescent="0.25">
      <c r="A498" s="297">
        <v>40636</v>
      </c>
      <c r="B498" s="298" t="s">
        <v>3893</v>
      </c>
      <c r="C498" s="299" t="s">
        <v>82</v>
      </c>
      <c r="D498" s="300">
        <v>36.729999999999997</v>
      </c>
      <c r="E498" s="350">
        <f t="shared" si="15"/>
        <v>29.79</v>
      </c>
      <c r="F498" s="298" t="s">
        <v>98</v>
      </c>
      <c r="G498" s="301">
        <f t="shared" si="16"/>
        <v>30.97</v>
      </c>
    </row>
    <row r="499" spans="1:7" x14ac:dyDescent="0.25">
      <c r="A499" s="297">
        <v>40712</v>
      </c>
      <c r="B499" s="298" t="s">
        <v>4266</v>
      </c>
      <c r="C499" s="299" t="s">
        <v>82</v>
      </c>
      <c r="D499" s="300">
        <v>113.59</v>
      </c>
      <c r="E499" s="350">
        <f t="shared" si="15"/>
        <v>92.11</v>
      </c>
      <c r="F499" s="298" t="s">
        <v>3693</v>
      </c>
      <c r="G499" s="301">
        <f t="shared" si="16"/>
        <v>95.73</v>
      </c>
    </row>
    <row r="500" spans="1:7" x14ac:dyDescent="0.25">
      <c r="A500" s="297">
        <v>40713</v>
      </c>
      <c r="B500" s="298" t="s">
        <v>4267</v>
      </c>
      <c r="C500" s="299" t="s">
        <v>82</v>
      </c>
      <c r="D500" s="300">
        <v>144.35</v>
      </c>
      <c r="E500" s="350">
        <f t="shared" si="15"/>
        <v>117.06</v>
      </c>
      <c r="F500" s="298" t="s">
        <v>3693</v>
      </c>
      <c r="G500" s="301">
        <f t="shared" si="16"/>
        <v>121.67</v>
      </c>
    </row>
    <row r="501" spans="1:7" x14ac:dyDescent="0.25">
      <c r="A501" s="297">
        <v>41262</v>
      </c>
      <c r="B501" s="298" t="s">
        <v>3898</v>
      </c>
      <c r="C501" s="299" t="s">
        <v>82</v>
      </c>
      <c r="D501" s="300">
        <v>107.91</v>
      </c>
      <c r="E501" s="350">
        <f t="shared" si="15"/>
        <v>87.51</v>
      </c>
      <c r="F501" s="298" t="s">
        <v>98</v>
      </c>
      <c r="G501" s="301">
        <f t="shared" si="16"/>
        <v>90.95</v>
      </c>
    </row>
    <row r="502" spans="1:7" x14ac:dyDescent="0.25">
      <c r="A502" s="297">
        <v>41259</v>
      </c>
      <c r="B502" s="298" t="s">
        <v>3208</v>
      </c>
      <c r="C502" s="299" t="s">
        <v>82</v>
      </c>
      <c r="D502" s="300">
        <v>34.799999999999997</v>
      </c>
      <c r="E502" s="350">
        <f t="shared" si="15"/>
        <v>28.22</v>
      </c>
      <c r="F502" s="298" t="s">
        <v>98</v>
      </c>
      <c r="G502" s="301">
        <f t="shared" si="16"/>
        <v>29.33</v>
      </c>
    </row>
    <row r="503" spans="1:7" x14ac:dyDescent="0.25">
      <c r="A503" s="297">
        <v>40640</v>
      </c>
      <c r="B503" s="298" t="s">
        <v>3899</v>
      </c>
      <c r="C503" s="299" t="s">
        <v>82</v>
      </c>
      <c r="D503" s="300">
        <v>110</v>
      </c>
      <c r="E503" s="350">
        <f t="shared" si="15"/>
        <v>89.2</v>
      </c>
      <c r="F503" s="298" t="s">
        <v>3693</v>
      </c>
      <c r="G503" s="301">
        <f t="shared" si="16"/>
        <v>92.71</v>
      </c>
    </row>
    <row r="504" spans="1:7" x14ac:dyDescent="0.25">
      <c r="A504" s="297">
        <v>40642</v>
      </c>
      <c r="B504" s="298" t="s">
        <v>3209</v>
      </c>
      <c r="C504" s="299" t="s">
        <v>82</v>
      </c>
      <c r="D504" s="300">
        <v>114.66</v>
      </c>
      <c r="E504" s="350">
        <f t="shared" si="15"/>
        <v>92.98</v>
      </c>
      <c r="F504" s="298" t="s">
        <v>3693</v>
      </c>
      <c r="G504" s="301">
        <f t="shared" si="16"/>
        <v>96.64</v>
      </c>
    </row>
    <row r="505" spans="1:7" x14ac:dyDescent="0.25">
      <c r="A505" s="297">
        <v>40643</v>
      </c>
      <c r="B505" s="298" t="s">
        <v>3210</v>
      </c>
      <c r="C505" s="299" t="s">
        <v>82</v>
      </c>
      <c r="D505" s="300">
        <v>124.92</v>
      </c>
      <c r="E505" s="350">
        <f t="shared" si="15"/>
        <v>101.3</v>
      </c>
      <c r="F505" s="298" t="s">
        <v>3693</v>
      </c>
      <c r="G505" s="301">
        <f t="shared" si="16"/>
        <v>105.29</v>
      </c>
    </row>
    <row r="506" spans="1:7" x14ac:dyDescent="0.25">
      <c r="A506" s="297">
        <v>40641</v>
      </c>
      <c r="B506" s="298" t="s">
        <v>3901</v>
      </c>
      <c r="C506" s="299" t="s">
        <v>82</v>
      </c>
      <c r="D506" s="300">
        <v>110.87</v>
      </c>
      <c r="E506" s="350">
        <f t="shared" si="15"/>
        <v>89.91</v>
      </c>
      <c r="F506" s="298" t="s">
        <v>3693</v>
      </c>
      <c r="G506" s="301">
        <f t="shared" si="16"/>
        <v>93.45</v>
      </c>
    </row>
    <row r="507" spans="1:7" x14ac:dyDescent="0.25">
      <c r="A507" s="297">
        <v>40648</v>
      </c>
      <c r="B507" s="298" t="s">
        <v>3903</v>
      </c>
      <c r="C507" s="299" t="s">
        <v>82</v>
      </c>
      <c r="D507" s="300">
        <v>141.21</v>
      </c>
      <c r="E507" s="350">
        <f t="shared" si="15"/>
        <v>114.51</v>
      </c>
      <c r="F507" s="298" t="s">
        <v>3693</v>
      </c>
      <c r="G507" s="301">
        <f t="shared" si="16"/>
        <v>119.01</v>
      </c>
    </row>
    <row r="508" spans="1:7" x14ac:dyDescent="0.25">
      <c r="A508" s="297">
        <v>40649</v>
      </c>
      <c r="B508" s="298" t="s">
        <v>3904</v>
      </c>
      <c r="C508" s="299" t="s">
        <v>82</v>
      </c>
      <c r="D508" s="300">
        <v>115.11</v>
      </c>
      <c r="E508" s="350">
        <f t="shared" si="15"/>
        <v>93.35</v>
      </c>
      <c r="F508" s="298" t="s">
        <v>3693</v>
      </c>
      <c r="G508" s="301">
        <f t="shared" si="16"/>
        <v>97.02</v>
      </c>
    </row>
    <row r="509" spans="1:7" x14ac:dyDescent="0.25">
      <c r="A509" s="297">
        <v>40645</v>
      </c>
      <c r="B509" s="298" t="s">
        <v>3906</v>
      </c>
      <c r="C509" s="299" t="s">
        <v>82</v>
      </c>
      <c r="D509" s="300">
        <v>260.41000000000003</v>
      </c>
      <c r="E509" s="350">
        <f t="shared" si="15"/>
        <v>211.17</v>
      </c>
      <c r="F509" s="298" t="s">
        <v>3693</v>
      </c>
      <c r="G509" s="301">
        <f t="shared" si="16"/>
        <v>219.47</v>
      </c>
    </row>
    <row r="510" spans="1:7" x14ac:dyDescent="0.25">
      <c r="A510" s="297">
        <v>40644</v>
      </c>
      <c r="B510" s="298" t="s">
        <v>4265</v>
      </c>
      <c r="C510" s="299" t="s">
        <v>82</v>
      </c>
      <c r="D510" s="300">
        <v>161.38</v>
      </c>
      <c r="E510" s="350">
        <f t="shared" si="15"/>
        <v>130.87</v>
      </c>
      <c r="F510" s="298" t="s">
        <v>3693</v>
      </c>
      <c r="G510" s="301">
        <f t="shared" si="16"/>
        <v>136.02000000000001</v>
      </c>
    </row>
    <row r="511" spans="1:7" x14ac:dyDescent="0.25">
      <c r="A511" s="297">
        <v>40646</v>
      </c>
      <c r="B511" s="298" t="s">
        <v>4264</v>
      </c>
      <c r="C511" s="299" t="s">
        <v>82</v>
      </c>
      <c r="D511" s="300">
        <v>134.04</v>
      </c>
      <c r="E511" s="350">
        <f t="shared" si="15"/>
        <v>108.7</v>
      </c>
      <c r="F511" s="298" t="s">
        <v>3693</v>
      </c>
      <c r="G511" s="301">
        <f t="shared" si="16"/>
        <v>112.98</v>
      </c>
    </row>
    <row r="512" spans="1:7" x14ac:dyDescent="0.25">
      <c r="A512" s="297">
        <v>40647</v>
      </c>
      <c r="B512" s="298" t="s">
        <v>3907</v>
      </c>
      <c r="C512" s="299" t="s">
        <v>82</v>
      </c>
      <c r="D512" s="300">
        <v>130.94999999999999</v>
      </c>
      <c r="E512" s="350">
        <f t="shared" si="15"/>
        <v>106.19</v>
      </c>
      <c r="F512" s="298" t="s">
        <v>3693</v>
      </c>
      <c r="G512" s="301">
        <f t="shared" si="16"/>
        <v>110.37</v>
      </c>
    </row>
    <row r="513" spans="1:7" x14ac:dyDescent="0.25">
      <c r="A513" s="297">
        <v>40704</v>
      </c>
      <c r="B513" s="298" t="s">
        <v>4263</v>
      </c>
      <c r="C513" s="299" t="s">
        <v>82</v>
      </c>
      <c r="D513" s="300">
        <v>118.92</v>
      </c>
      <c r="E513" s="350">
        <f t="shared" si="15"/>
        <v>96.44</v>
      </c>
      <c r="F513" s="298" t="s">
        <v>3693</v>
      </c>
      <c r="G513" s="301">
        <f t="shared" si="16"/>
        <v>100.23</v>
      </c>
    </row>
    <row r="514" spans="1:7" x14ac:dyDescent="0.25">
      <c r="A514" s="297">
        <v>41107</v>
      </c>
      <c r="B514" s="298" t="s">
        <v>3211</v>
      </c>
      <c r="C514" s="299" t="s">
        <v>82</v>
      </c>
      <c r="D514" s="300">
        <v>148.24</v>
      </c>
      <c r="E514" s="350">
        <f t="shared" ref="E514:E577" si="17">ROUNDUP(D514/(1+$L$2),2)</f>
        <v>120.21</v>
      </c>
      <c r="F514" s="298" t="s">
        <v>3693</v>
      </c>
      <c r="G514" s="301">
        <f t="shared" si="16"/>
        <v>124.94</v>
      </c>
    </row>
    <row r="515" spans="1:7" x14ac:dyDescent="0.25">
      <c r="A515" s="297">
        <v>40638</v>
      </c>
      <c r="B515" s="298" t="s">
        <v>3913</v>
      </c>
      <c r="C515" s="299" t="s">
        <v>82</v>
      </c>
      <c r="D515" s="300">
        <v>610.87</v>
      </c>
      <c r="E515" s="350">
        <f t="shared" si="17"/>
        <v>495.36</v>
      </c>
      <c r="F515" s="298" t="s">
        <v>98</v>
      </c>
      <c r="G515" s="301">
        <f t="shared" si="16"/>
        <v>514.83000000000004</v>
      </c>
    </row>
    <row r="516" spans="1:7" x14ac:dyDescent="0.25">
      <c r="A516" s="297">
        <v>41188</v>
      </c>
      <c r="B516" s="298" t="s">
        <v>3916</v>
      </c>
      <c r="C516" s="299" t="s">
        <v>82</v>
      </c>
      <c r="D516" s="300">
        <v>913.39</v>
      </c>
      <c r="E516" s="350">
        <f t="shared" si="17"/>
        <v>740.67</v>
      </c>
      <c r="F516" s="298" t="s">
        <v>98</v>
      </c>
      <c r="G516" s="301">
        <f t="shared" si="16"/>
        <v>769.78</v>
      </c>
    </row>
    <row r="517" spans="1:7" x14ac:dyDescent="0.25">
      <c r="A517" s="297">
        <v>41187</v>
      </c>
      <c r="B517" s="298" t="s">
        <v>4262</v>
      </c>
      <c r="C517" s="299" t="s">
        <v>82</v>
      </c>
      <c r="D517" s="300">
        <v>1202.56</v>
      </c>
      <c r="E517" s="350">
        <f t="shared" si="17"/>
        <v>975.16</v>
      </c>
      <c r="F517" s="298" t="s">
        <v>98</v>
      </c>
      <c r="G517" s="301">
        <f t="shared" si="16"/>
        <v>1013.49</v>
      </c>
    </row>
    <row r="518" spans="1:7" x14ac:dyDescent="0.25">
      <c r="A518" s="297">
        <v>40705</v>
      </c>
      <c r="B518" s="298" t="s">
        <v>4261</v>
      </c>
      <c r="C518" s="299" t="s">
        <v>82</v>
      </c>
      <c r="D518" s="300">
        <v>92.49</v>
      </c>
      <c r="E518" s="350">
        <f t="shared" si="17"/>
        <v>75</v>
      </c>
      <c r="F518" s="298" t="s">
        <v>3693</v>
      </c>
      <c r="G518" s="301">
        <f t="shared" si="16"/>
        <v>77.95</v>
      </c>
    </row>
    <row r="519" spans="1:7" x14ac:dyDescent="0.25">
      <c r="A519" s="297">
        <v>40639</v>
      </c>
      <c r="B519" s="298" t="s">
        <v>3918</v>
      </c>
      <c r="C519" s="299" t="s">
        <v>82</v>
      </c>
      <c r="D519" s="300">
        <v>620.17999999999995</v>
      </c>
      <c r="E519" s="350">
        <f t="shared" si="17"/>
        <v>502.91</v>
      </c>
      <c r="F519" s="298" t="s">
        <v>98</v>
      </c>
      <c r="G519" s="301">
        <f t="shared" si="16"/>
        <v>522.67999999999995</v>
      </c>
    </row>
    <row r="520" spans="1:7" x14ac:dyDescent="0.25">
      <c r="A520" s="297">
        <v>41227</v>
      </c>
      <c r="B520" s="298" t="s">
        <v>3921</v>
      </c>
      <c r="C520" s="299" t="s">
        <v>82</v>
      </c>
      <c r="D520" s="300">
        <v>211.8</v>
      </c>
      <c r="E520" s="350">
        <f t="shared" si="17"/>
        <v>171.75</v>
      </c>
      <c r="F520" s="298" t="s">
        <v>98</v>
      </c>
      <c r="G520" s="301">
        <f t="shared" si="16"/>
        <v>178.5</v>
      </c>
    </row>
    <row r="521" spans="1:7" x14ac:dyDescent="0.25">
      <c r="A521" s="297">
        <v>40951</v>
      </c>
      <c r="B521" s="298" t="s">
        <v>3212</v>
      </c>
      <c r="C521" s="299" t="s">
        <v>82</v>
      </c>
      <c r="D521" s="300">
        <v>32.69</v>
      </c>
      <c r="E521" s="350">
        <f t="shared" si="17"/>
        <v>26.51</v>
      </c>
      <c r="F521" s="298" t="s">
        <v>98</v>
      </c>
      <c r="G521" s="301">
        <f t="shared" si="16"/>
        <v>27.56</v>
      </c>
    </row>
    <row r="522" spans="1:7" x14ac:dyDescent="0.25">
      <c r="A522" s="297">
        <v>41121</v>
      </c>
      <c r="B522" s="298" t="s">
        <v>3213</v>
      </c>
      <c r="C522" s="299" t="s">
        <v>82</v>
      </c>
      <c r="D522" s="300">
        <v>38.15</v>
      </c>
      <c r="E522" s="350">
        <f t="shared" si="17"/>
        <v>30.94</v>
      </c>
      <c r="F522" s="298" t="s">
        <v>98</v>
      </c>
      <c r="G522" s="301">
        <f t="shared" si="16"/>
        <v>32.159999999999997</v>
      </c>
    </row>
    <row r="523" spans="1:7" x14ac:dyDescent="0.25">
      <c r="A523" s="297">
        <v>41120</v>
      </c>
      <c r="B523" s="298" t="s">
        <v>3214</v>
      </c>
      <c r="C523" s="299" t="s">
        <v>82</v>
      </c>
      <c r="D523" s="300">
        <v>22.82</v>
      </c>
      <c r="E523" s="350">
        <f t="shared" si="17"/>
        <v>18.510000000000002</v>
      </c>
      <c r="F523" s="298" t="s">
        <v>98</v>
      </c>
      <c r="G523" s="301">
        <f t="shared" si="16"/>
        <v>19.239999999999998</v>
      </c>
    </row>
    <row r="524" spans="1:7" x14ac:dyDescent="0.25">
      <c r="A524" s="297">
        <v>41128</v>
      </c>
      <c r="B524" s="298" t="s">
        <v>3215</v>
      </c>
      <c r="C524" s="299" t="s">
        <v>82</v>
      </c>
      <c r="D524" s="300">
        <v>8.65</v>
      </c>
      <c r="E524" s="350">
        <f t="shared" si="17"/>
        <v>7.02</v>
      </c>
      <c r="F524" s="298" t="s">
        <v>98</v>
      </c>
      <c r="G524" s="301">
        <f t="shared" si="16"/>
        <v>7.3</v>
      </c>
    </row>
    <row r="525" spans="1:7" x14ac:dyDescent="0.25">
      <c r="A525" s="297">
        <v>41129</v>
      </c>
      <c r="B525" s="298" t="s">
        <v>3216</v>
      </c>
      <c r="C525" s="299" t="s">
        <v>82</v>
      </c>
      <c r="D525" s="300">
        <v>10.26</v>
      </c>
      <c r="E525" s="350">
        <f t="shared" si="17"/>
        <v>8.32</v>
      </c>
      <c r="F525" s="298" t="s">
        <v>98</v>
      </c>
      <c r="G525" s="301">
        <f t="shared" si="16"/>
        <v>8.65</v>
      </c>
    </row>
    <row r="526" spans="1:7" x14ac:dyDescent="0.25">
      <c r="A526" s="297">
        <v>41131</v>
      </c>
      <c r="B526" s="298" t="s">
        <v>3217</v>
      </c>
      <c r="C526" s="299" t="s">
        <v>82</v>
      </c>
      <c r="D526" s="300">
        <v>12.11</v>
      </c>
      <c r="E526" s="350">
        <f t="shared" si="17"/>
        <v>9.82</v>
      </c>
      <c r="F526" s="298" t="s">
        <v>98</v>
      </c>
      <c r="G526" s="301">
        <f t="shared" si="16"/>
        <v>10.210000000000001</v>
      </c>
    </row>
    <row r="527" spans="1:7" x14ac:dyDescent="0.25">
      <c r="A527" s="297">
        <v>41130</v>
      </c>
      <c r="B527" s="298" t="s">
        <v>3218</v>
      </c>
      <c r="C527" s="299" t="s">
        <v>82</v>
      </c>
      <c r="D527" s="300">
        <v>18.57</v>
      </c>
      <c r="E527" s="350">
        <f t="shared" si="17"/>
        <v>15.06</v>
      </c>
      <c r="F527" s="298" t="s">
        <v>98</v>
      </c>
      <c r="G527" s="301">
        <f t="shared" si="16"/>
        <v>15.66</v>
      </c>
    </row>
    <row r="528" spans="1:7" x14ac:dyDescent="0.25">
      <c r="A528" s="297">
        <v>40997</v>
      </c>
      <c r="B528" s="298" t="s">
        <v>3219</v>
      </c>
      <c r="C528" s="299" t="s">
        <v>76</v>
      </c>
      <c r="D528" s="300">
        <v>128.41999999999999</v>
      </c>
      <c r="E528" s="350">
        <f t="shared" si="17"/>
        <v>104.14</v>
      </c>
      <c r="F528" s="298" t="s">
        <v>98</v>
      </c>
      <c r="G528" s="301">
        <f t="shared" si="16"/>
        <v>108.24</v>
      </c>
    </row>
    <row r="529" spans="1:7" x14ac:dyDescent="0.25">
      <c r="A529" s="297">
        <v>40724</v>
      </c>
      <c r="B529" s="298" t="s">
        <v>3220</v>
      </c>
      <c r="C529" s="299" t="s">
        <v>76</v>
      </c>
      <c r="D529" s="300">
        <v>193.73</v>
      </c>
      <c r="E529" s="350">
        <f t="shared" si="17"/>
        <v>157.1</v>
      </c>
      <c r="F529" s="298" t="s">
        <v>98</v>
      </c>
      <c r="G529" s="301">
        <f t="shared" si="16"/>
        <v>163.28</v>
      </c>
    </row>
    <row r="530" spans="1:7" x14ac:dyDescent="0.25">
      <c r="A530" s="297">
        <v>40722</v>
      </c>
      <c r="B530" s="298" t="s">
        <v>3221</v>
      </c>
      <c r="C530" s="299" t="s">
        <v>76</v>
      </c>
      <c r="D530" s="300">
        <v>11.88</v>
      </c>
      <c r="E530" s="350">
        <f t="shared" si="17"/>
        <v>9.64</v>
      </c>
      <c r="F530" s="298" t="s">
        <v>98</v>
      </c>
      <c r="G530" s="301">
        <f t="shared" si="16"/>
        <v>10.02</v>
      </c>
    </row>
    <row r="531" spans="1:7" x14ac:dyDescent="0.25">
      <c r="A531" s="297">
        <v>40998</v>
      </c>
      <c r="B531" s="298" t="s">
        <v>3222</v>
      </c>
      <c r="C531" s="299" t="s">
        <v>76</v>
      </c>
      <c r="D531" s="300">
        <v>12.13</v>
      </c>
      <c r="E531" s="350">
        <f t="shared" si="17"/>
        <v>9.84</v>
      </c>
      <c r="F531" s="298" t="s">
        <v>98</v>
      </c>
      <c r="G531" s="301">
        <f t="shared" si="16"/>
        <v>10.23</v>
      </c>
    </row>
    <row r="532" spans="1:7" x14ac:dyDescent="0.25">
      <c r="A532" s="297">
        <v>40723</v>
      </c>
      <c r="B532" s="298" t="s">
        <v>3223</v>
      </c>
      <c r="C532" s="299" t="s">
        <v>76</v>
      </c>
      <c r="D532" s="300">
        <v>95.38</v>
      </c>
      <c r="E532" s="350">
        <f t="shared" si="17"/>
        <v>77.349999999999994</v>
      </c>
      <c r="F532" s="298" t="s">
        <v>98</v>
      </c>
      <c r="G532" s="301">
        <f t="shared" si="16"/>
        <v>80.39</v>
      </c>
    </row>
    <row r="533" spans="1:7" x14ac:dyDescent="0.25">
      <c r="A533" s="297">
        <v>40335</v>
      </c>
      <c r="B533" s="298" t="s">
        <v>3931</v>
      </c>
      <c r="C533" s="299" t="s">
        <v>2884</v>
      </c>
      <c r="D533" s="300">
        <v>718.98</v>
      </c>
      <c r="E533" s="350">
        <f t="shared" si="17"/>
        <v>583.02</v>
      </c>
      <c r="F533" s="298" t="s">
        <v>3693</v>
      </c>
      <c r="G533" s="301">
        <f t="shared" si="16"/>
        <v>605.94000000000005</v>
      </c>
    </row>
    <row r="534" spans="1:7" x14ac:dyDescent="0.25">
      <c r="A534" s="297">
        <v>40334</v>
      </c>
      <c r="B534" s="298" t="s">
        <v>3932</v>
      </c>
      <c r="C534" s="299" t="s">
        <v>2884</v>
      </c>
      <c r="D534" s="300">
        <v>1029.67</v>
      </c>
      <c r="E534" s="350">
        <f t="shared" si="17"/>
        <v>834.96</v>
      </c>
      <c r="F534" s="298" t="s">
        <v>3693</v>
      </c>
      <c r="G534" s="301">
        <f t="shared" si="16"/>
        <v>867.78</v>
      </c>
    </row>
    <row r="535" spans="1:7" x14ac:dyDescent="0.25">
      <c r="A535" s="297">
        <v>40333</v>
      </c>
      <c r="B535" s="298" t="s">
        <v>3933</v>
      </c>
      <c r="C535" s="299" t="s">
        <v>2884</v>
      </c>
      <c r="D535" s="300">
        <v>359.49</v>
      </c>
      <c r="E535" s="350">
        <f t="shared" si="17"/>
        <v>291.51</v>
      </c>
      <c r="F535" s="298" t="s">
        <v>3693</v>
      </c>
      <c r="G535" s="301">
        <f t="shared" si="16"/>
        <v>302.97000000000003</v>
      </c>
    </row>
    <row r="536" spans="1:7" x14ac:dyDescent="0.25">
      <c r="A536" s="297">
        <v>40332</v>
      </c>
      <c r="B536" s="298" t="s">
        <v>3934</v>
      </c>
      <c r="C536" s="299" t="s">
        <v>2884</v>
      </c>
      <c r="D536" s="300">
        <v>514.83000000000004</v>
      </c>
      <c r="E536" s="350">
        <f t="shared" si="17"/>
        <v>417.48</v>
      </c>
      <c r="F536" s="298" t="s">
        <v>3693</v>
      </c>
      <c r="G536" s="301">
        <f t="shared" si="16"/>
        <v>433.89</v>
      </c>
    </row>
    <row r="537" spans="1:7" x14ac:dyDescent="0.25">
      <c r="A537" s="297">
        <v>40675</v>
      </c>
      <c r="B537" s="298" t="s">
        <v>3224</v>
      </c>
      <c r="C537" s="299" t="s">
        <v>2871</v>
      </c>
      <c r="D537" s="300">
        <v>305.02999999999997</v>
      </c>
      <c r="E537" s="350">
        <f t="shared" si="17"/>
        <v>247.35</v>
      </c>
      <c r="F537" s="298" t="s">
        <v>98</v>
      </c>
      <c r="G537" s="301">
        <f t="shared" si="16"/>
        <v>257.07</v>
      </c>
    </row>
    <row r="538" spans="1:7" x14ac:dyDescent="0.25">
      <c r="A538" s="297">
        <v>40673</v>
      </c>
      <c r="B538" s="298" t="s">
        <v>3225</v>
      </c>
      <c r="C538" s="299" t="s">
        <v>2871</v>
      </c>
      <c r="D538" s="300">
        <v>83.74</v>
      </c>
      <c r="E538" s="350">
        <f t="shared" si="17"/>
        <v>67.91</v>
      </c>
      <c r="F538" s="298" t="s">
        <v>98</v>
      </c>
      <c r="G538" s="301">
        <f t="shared" si="16"/>
        <v>70.58</v>
      </c>
    </row>
    <row r="539" spans="1:7" x14ac:dyDescent="0.25">
      <c r="A539" s="297">
        <v>40674</v>
      </c>
      <c r="B539" s="298" t="s">
        <v>3226</v>
      </c>
      <c r="C539" s="299" t="s">
        <v>2871</v>
      </c>
      <c r="D539" s="300">
        <v>89.75</v>
      </c>
      <c r="E539" s="350">
        <f t="shared" si="17"/>
        <v>72.78</v>
      </c>
      <c r="F539" s="298" t="s">
        <v>98</v>
      </c>
      <c r="G539" s="301">
        <f t="shared" si="16"/>
        <v>75.64</v>
      </c>
    </row>
    <row r="540" spans="1:7" x14ac:dyDescent="0.25">
      <c r="A540" s="297">
        <v>41037</v>
      </c>
      <c r="B540" s="298" t="s">
        <v>3227</v>
      </c>
      <c r="C540" s="299" t="s">
        <v>82</v>
      </c>
      <c r="D540" s="300">
        <v>89.03</v>
      </c>
      <c r="E540" s="350">
        <f t="shared" si="17"/>
        <v>72.2</v>
      </c>
      <c r="F540" s="298" t="s">
        <v>98</v>
      </c>
      <c r="G540" s="301">
        <f t="shared" si="16"/>
        <v>75.040000000000006</v>
      </c>
    </row>
    <row r="541" spans="1:7" x14ac:dyDescent="0.25">
      <c r="A541" s="297">
        <v>40258</v>
      </c>
      <c r="B541" s="298" t="s">
        <v>3953</v>
      </c>
      <c r="C541" s="299" t="s">
        <v>76</v>
      </c>
      <c r="D541" s="300">
        <v>71.69</v>
      </c>
      <c r="E541" s="350">
        <f t="shared" si="17"/>
        <v>58.14</v>
      </c>
      <c r="F541" s="298" t="s">
        <v>98</v>
      </c>
      <c r="G541" s="301">
        <f t="shared" si="16"/>
        <v>60.43</v>
      </c>
    </row>
    <row r="542" spans="1:7" x14ac:dyDescent="0.25">
      <c r="A542" s="297">
        <v>40261</v>
      </c>
      <c r="B542" s="298" t="s">
        <v>3955</v>
      </c>
      <c r="C542" s="299" t="s">
        <v>76</v>
      </c>
      <c r="D542" s="300">
        <v>81.88</v>
      </c>
      <c r="E542" s="350">
        <f t="shared" si="17"/>
        <v>66.400000000000006</v>
      </c>
      <c r="F542" s="298" t="s">
        <v>98</v>
      </c>
      <c r="G542" s="301">
        <f t="shared" si="16"/>
        <v>69.010000000000005</v>
      </c>
    </row>
    <row r="543" spans="1:7" x14ac:dyDescent="0.25">
      <c r="A543" s="297">
        <v>40259</v>
      </c>
      <c r="B543" s="298" t="s">
        <v>3957</v>
      </c>
      <c r="C543" s="299" t="s">
        <v>76</v>
      </c>
      <c r="D543" s="300">
        <v>105.68</v>
      </c>
      <c r="E543" s="350">
        <f t="shared" si="17"/>
        <v>85.7</v>
      </c>
      <c r="F543" s="298" t="s">
        <v>98</v>
      </c>
      <c r="G543" s="301">
        <f t="shared" si="16"/>
        <v>89.07</v>
      </c>
    </row>
    <row r="544" spans="1:7" x14ac:dyDescent="0.25">
      <c r="A544" s="297">
        <v>40262</v>
      </c>
      <c r="B544" s="298" t="s">
        <v>3959</v>
      </c>
      <c r="C544" s="299" t="s">
        <v>76</v>
      </c>
      <c r="D544" s="300">
        <v>115.87</v>
      </c>
      <c r="E544" s="350">
        <f t="shared" si="17"/>
        <v>93.96</v>
      </c>
      <c r="F544" s="298" t="s">
        <v>98</v>
      </c>
      <c r="G544" s="301">
        <f t="shared" si="16"/>
        <v>97.66</v>
      </c>
    </row>
    <row r="545" spans="1:7" x14ac:dyDescent="0.25">
      <c r="A545" s="297">
        <v>40260</v>
      </c>
      <c r="B545" s="298" t="s">
        <v>3961</v>
      </c>
      <c r="C545" s="299" t="s">
        <v>76</v>
      </c>
      <c r="D545" s="300">
        <v>156.63999999999999</v>
      </c>
      <c r="E545" s="350">
        <f t="shared" si="17"/>
        <v>127.02</v>
      </c>
      <c r="F545" s="298" t="s">
        <v>98</v>
      </c>
      <c r="G545" s="301">
        <f t="shared" si="16"/>
        <v>132.02000000000001</v>
      </c>
    </row>
    <row r="546" spans="1:7" x14ac:dyDescent="0.25">
      <c r="A546" s="297">
        <v>40263</v>
      </c>
      <c r="B546" s="298" t="s">
        <v>3963</v>
      </c>
      <c r="C546" s="299" t="s">
        <v>76</v>
      </c>
      <c r="D546" s="300">
        <v>166.82</v>
      </c>
      <c r="E546" s="350">
        <f t="shared" si="17"/>
        <v>135.28</v>
      </c>
      <c r="F546" s="298" t="s">
        <v>98</v>
      </c>
      <c r="G546" s="301">
        <f t="shared" ref="G546:G601" si="18">ROUNDUP(E546*$H$2,2)</f>
        <v>140.6</v>
      </c>
    </row>
    <row r="547" spans="1:7" x14ac:dyDescent="0.25">
      <c r="A547" s="297">
        <v>40267</v>
      </c>
      <c r="B547" s="298" t="s">
        <v>3966</v>
      </c>
      <c r="C547" s="299" t="s">
        <v>76</v>
      </c>
      <c r="D547" s="300">
        <v>171.83</v>
      </c>
      <c r="E547" s="350">
        <f t="shared" si="17"/>
        <v>139.34</v>
      </c>
      <c r="F547" s="298" t="s">
        <v>98</v>
      </c>
      <c r="G547" s="301">
        <f t="shared" si="18"/>
        <v>144.82</v>
      </c>
    </row>
    <row r="548" spans="1:7" x14ac:dyDescent="0.25">
      <c r="A548" s="297">
        <v>40264</v>
      </c>
      <c r="B548" s="298" t="s">
        <v>3968</v>
      </c>
      <c r="C548" s="299" t="s">
        <v>76</v>
      </c>
      <c r="D548" s="300">
        <v>161.63999999999999</v>
      </c>
      <c r="E548" s="350">
        <f t="shared" si="17"/>
        <v>131.08000000000001</v>
      </c>
      <c r="F548" s="298" t="s">
        <v>98</v>
      </c>
      <c r="G548" s="301">
        <f t="shared" si="18"/>
        <v>136.24</v>
      </c>
    </row>
    <row r="549" spans="1:7" x14ac:dyDescent="0.25">
      <c r="A549" s="297">
        <v>40268</v>
      </c>
      <c r="B549" s="298" t="s">
        <v>3970</v>
      </c>
      <c r="C549" s="299" t="s">
        <v>76</v>
      </c>
      <c r="D549" s="300">
        <v>211.35</v>
      </c>
      <c r="E549" s="350">
        <f t="shared" si="17"/>
        <v>171.39</v>
      </c>
      <c r="F549" s="298" t="s">
        <v>98</v>
      </c>
      <c r="G549" s="301">
        <f t="shared" si="18"/>
        <v>178.13</v>
      </c>
    </row>
    <row r="550" spans="1:7" x14ac:dyDescent="0.25">
      <c r="A550" s="297">
        <v>40265</v>
      </c>
      <c r="B550" s="298" t="s">
        <v>3972</v>
      </c>
      <c r="C550" s="299" t="s">
        <v>76</v>
      </c>
      <c r="D550" s="300">
        <v>201.17</v>
      </c>
      <c r="E550" s="350">
        <f t="shared" si="17"/>
        <v>163.13</v>
      </c>
      <c r="F550" s="298" t="s">
        <v>98</v>
      </c>
      <c r="G550" s="301">
        <f t="shared" si="18"/>
        <v>169.55</v>
      </c>
    </row>
    <row r="551" spans="1:7" x14ac:dyDescent="0.25">
      <c r="A551" s="297">
        <v>40269</v>
      </c>
      <c r="B551" s="298" t="s">
        <v>3974</v>
      </c>
      <c r="C551" s="299" t="s">
        <v>76</v>
      </c>
      <c r="D551" s="300">
        <v>367.46</v>
      </c>
      <c r="E551" s="350">
        <f t="shared" si="17"/>
        <v>297.98</v>
      </c>
      <c r="F551" s="298" t="s">
        <v>98</v>
      </c>
      <c r="G551" s="301">
        <f t="shared" si="18"/>
        <v>309.69</v>
      </c>
    </row>
    <row r="552" spans="1:7" x14ac:dyDescent="0.25">
      <c r="A552" s="297">
        <v>40266</v>
      </c>
      <c r="B552" s="298" t="s">
        <v>3976</v>
      </c>
      <c r="C552" s="299" t="s">
        <v>76</v>
      </c>
      <c r="D552" s="300">
        <v>357.28</v>
      </c>
      <c r="E552" s="350">
        <f t="shared" si="17"/>
        <v>289.72000000000003</v>
      </c>
      <c r="F552" s="298" t="s">
        <v>98</v>
      </c>
      <c r="G552" s="301">
        <f t="shared" si="18"/>
        <v>301.11</v>
      </c>
    </row>
    <row r="553" spans="1:7" x14ac:dyDescent="0.25">
      <c r="A553" s="297">
        <v>40276</v>
      </c>
      <c r="B553" s="298" t="s">
        <v>3977</v>
      </c>
      <c r="C553" s="299" t="s">
        <v>76</v>
      </c>
      <c r="D553" s="300">
        <v>289.97000000000003</v>
      </c>
      <c r="E553" s="350">
        <f t="shared" si="17"/>
        <v>235.14</v>
      </c>
      <c r="F553" s="298" t="s">
        <v>98</v>
      </c>
      <c r="G553" s="301">
        <f t="shared" si="18"/>
        <v>244.39</v>
      </c>
    </row>
    <row r="554" spans="1:7" x14ac:dyDescent="0.25">
      <c r="A554" s="297">
        <v>40256</v>
      </c>
      <c r="B554" s="298" t="s">
        <v>3979</v>
      </c>
      <c r="C554" s="299" t="s">
        <v>76</v>
      </c>
      <c r="D554" s="300">
        <v>105.68</v>
      </c>
      <c r="E554" s="350">
        <f t="shared" si="17"/>
        <v>85.7</v>
      </c>
      <c r="F554" s="298" t="s">
        <v>98</v>
      </c>
      <c r="G554" s="301">
        <f t="shared" si="18"/>
        <v>89.07</v>
      </c>
    </row>
    <row r="555" spans="1:7" x14ac:dyDescent="0.25">
      <c r="A555" s="297">
        <v>40257</v>
      </c>
      <c r="B555" s="298" t="s">
        <v>3981</v>
      </c>
      <c r="C555" s="299" t="s">
        <v>76</v>
      </c>
      <c r="D555" s="300">
        <v>240.59</v>
      </c>
      <c r="E555" s="350">
        <f t="shared" si="17"/>
        <v>195.1</v>
      </c>
      <c r="F555" s="298" t="s">
        <v>98</v>
      </c>
      <c r="G555" s="301">
        <f t="shared" si="18"/>
        <v>202.77</v>
      </c>
    </row>
    <row r="556" spans="1:7" x14ac:dyDescent="0.25">
      <c r="A556" s="297">
        <v>40282</v>
      </c>
      <c r="B556" s="298" t="s">
        <v>3984</v>
      </c>
      <c r="C556" s="299" t="s">
        <v>76</v>
      </c>
      <c r="D556" s="300">
        <v>16.41</v>
      </c>
      <c r="E556" s="350">
        <f t="shared" si="17"/>
        <v>13.31</v>
      </c>
      <c r="F556" s="298" t="s">
        <v>98</v>
      </c>
      <c r="G556" s="301">
        <f t="shared" si="18"/>
        <v>13.84</v>
      </c>
    </row>
    <row r="557" spans="1:7" x14ac:dyDescent="0.25">
      <c r="A557" s="297">
        <v>40285</v>
      </c>
      <c r="B557" s="298" t="s">
        <v>3985</v>
      </c>
      <c r="C557" s="299" t="s">
        <v>76</v>
      </c>
      <c r="D557" s="300">
        <v>26.6</v>
      </c>
      <c r="E557" s="350">
        <f t="shared" si="17"/>
        <v>21.57</v>
      </c>
      <c r="F557" s="298" t="s">
        <v>98</v>
      </c>
      <c r="G557" s="301">
        <f t="shared" si="18"/>
        <v>22.42</v>
      </c>
    </row>
    <row r="558" spans="1:7" x14ac:dyDescent="0.25">
      <c r="A558" s="297">
        <v>40283</v>
      </c>
      <c r="B558" s="298" t="s">
        <v>3987</v>
      </c>
      <c r="C558" s="299" t="s">
        <v>76</v>
      </c>
      <c r="D558" s="300">
        <v>18.059999999999999</v>
      </c>
      <c r="E558" s="350">
        <f t="shared" si="17"/>
        <v>14.65</v>
      </c>
      <c r="F558" s="298" t="s">
        <v>98</v>
      </c>
      <c r="G558" s="301">
        <f t="shared" si="18"/>
        <v>15.23</v>
      </c>
    </row>
    <row r="559" spans="1:7" x14ac:dyDescent="0.25">
      <c r="A559" s="297">
        <v>40286</v>
      </c>
      <c r="B559" s="298" t="s">
        <v>3988</v>
      </c>
      <c r="C559" s="299" t="s">
        <v>76</v>
      </c>
      <c r="D559" s="300">
        <v>28.25</v>
      </c>
      <c r="E559" s="350">
        <f t="shared" si="17"/>
        <v>22.91</v>
      </c>
      <c r="F559" s="298" t="s">
        <v>98</v>
      </c>
      <c r="G559" s="301">
        <f t="shared" si="18"/>
        <v>23.82</v>
      </c>
    </row>
    <row r="560" spans="1:7" x14ac:dyDescent="0.25">
      <c r="A560" s="297">
        <v>40284</v>
      </c>
      <c r="B560" s="298" t="s">
        <v>3990</v>
      </c>
      <c r="C560" s="299" t="s">
        <v>76</v>
      </c>
      <c r="D560" s="300">
        <v>21.24</v>
      </c>
      <c r="E560" s="350">
        <f t="shared" si="17"/>
        <v>17.23</v>
      </c>
      <c r="F560" s="298" t="s">
        <v>98</v>
      </c>
      <c r="G560" s="301">
        <f t="shared" si="18"/>
        <v>17.91</v>
      </c>
    </row>
    <row r="561" spans="1:7" x14ac:dyDescent="0.25">
      <c r="A561" s="297">
        <v>40287</v>
      </c>
      <c r="B561" s="298" t="s">
        <v>3991</v>
      </c>
      <c r="C561" s="299" t="s">
        <v>76</v>
      </c>
      <c r="D561" s="300">
        <v>31.43</v>
      </c>
      <c r="E561" s="350">
        <f t="shared" si="17"/>
        <v>25.49</v>
      </c>
      <c r="F561" s="298" t="s">
        <v>98</v>
      </c>
      <c r="G561" s="301">
        <f t="shared" si="18"/>
        <v>26.5</v>
      </c>
    </row>
    <row r="562" spans="1:7" x14ac:dyDescent="0.25">
      <c r="A562" s="297">
        <v>40288</v>
      </c>
      <c r="B562" s="298" t="s">
        <v>3993</v>
      </c>
      <c r="C562" s="299" t="s">
        <v>76</v>
      </c>
      <c r="D562" s="300">
        <v>30.1</v>
      </c>
      <c r="E562" s="350">
        <f t="shared" si="17"/>
        <v>24.41</v>
      </c>
      <c r="F562" s="298" t="s">
        <v>98</v>
      </c>
      <c r="G562" s="301">
        <f t="shared" si="18"/>
        <v>25.37</v>
      </c>
    </row>
    <row r="563" spans="1:7" x14ac:dyDescent="0.25">
      <c r="A563" s="297">
        <v>40291</v>
      </c>
      <c r="B563" s="298" t="s">
        <v>3994</v>
      </c>
      <c r="C563" s="299" t="s">
        <v>76</v>
      </c>
      <c r="D563" s="300">
        <v>40.28</v>
      </c>
      <c r="E563" s="350">
        <f t="shared" si="17"/>
        <v>32.67</v>
      </c>
      <c r="F563" s="298" t="s">
        <v>98</v>
      </c>
      <c r="G563" s="301">
        <f t="shared" si="18"/>
        <v>33.96</v>
      </c>
    </row>
    <row r="564" spans="1:7" x14ac:dyDescent="0.25">
      <c r="A564" s="297">
        <v>40289</v>
      </c>
      <c r="B564" s="298" t="s">
        <v>3996</v>
      </c>
      <c r="C564" s="299" t="s">
        <v>76</v>
      </c>
      <c r="D564" s="300">
        <v>36.130000000000003</v>
      </c>
      <c r="E564" s="350">
        <f t="shared" si="17"/>
        <v>29.3</v>
      </c>
      <c r="F564" s="298" t="s">
        <v>98</v>
      </c>
      <c r="G564" s="301">
        <f t="shared" si="18"/>
        <v>30.46</v>
      </c>
    </row>
    <row r="565" spans="1:7" x14ac:dyDescent="0.25">
      <c r="A565" s="297">
        <v>40292</v>
      </c>
      <c r="B565" s="298" t="s">
        <v>3997</v>
      </c>
      <c r="C565" s="299" t="s">
        <v>76</v>
      </c>
      <c r="D565" s="300">
        <v>46.31</v>
      </c>
      <c r="E565" s="350">
        <f t="shared" si="17"/>
        <v>37.56</v>
      </c>
      <c r="F565" s="298" t="s">
        <v>98</v>
      </c>
      <c r="G565" s="301">
        <f t="shared" si="18"/>
        <v>39.04</v>
      </c>
    </row>
    <row r="566" spans="1:7" x14ac:dyDescent="0.25">
      <c r="A566" s="297">
        <v>40290</v>
      </c>
      <c r="B566" s="298" t="s">
        <v>3999</v>
      </c>
      <c r="C566" s="299" t="s">
        <v>76</v>
      </c>
      <c r="D566" s="300">
        <v>45.15</v>
      </c>
      <c r="E566" s="350">
        <f t="shared" si="17"/>
        <v>36.619999999999997</v>
      </c>
      <c r="F566" s="298" t="s">
        <v>98</v>
      </c>
      <c r="G566" s="301">
        <f t="shared" si="18"/>
        <v>38.06</v>
      </c>
    </row>
    <row r="567" spans="1:7" x14ac:dyDescent="0.25">
      <c r="A567" s="297">
        <v>40293</v>
      </c>
      <c r="B567" s="298" t="s">
        <v>4000</v>
      </c>
      <c r="C567" s="299" t="s">
        <v>76</v>
      </c>
      <c r="D567" s="300">
        <v>55.34</v>
      </c>
      <c r="E567" s="350">
        <f t="shared" si="17"/>
        <v>44.88</v>
      </c>
      <c r="F567" s="298" t="s">
        <v>98</v>
      </c>
      <c r="G567" s="301">
        <f t="shared" si="18"/>
        <v>46.65</v>
      </c>
    </row>
    <row r="568" spans="1:7" x14ac:dyDescent="0.25">
      <c r="A568" s="297">
        <v>40294</v>
      </c>
      <c r="B568" s="298" t="s">
        <v>4002</v>
      </c>
      <c r="C568" s="299" t="s">
        <v>76</v>
      </c>
      <c r="D568" s="300">
        <v>148.44999999999999</v>
      </c>
      <c r="E568" s="350">
        <f t="shared" si="17"/>
        <v>120.38</v>
      </c>
      <c r="F568" s="298" t="s">
        <v>98</v>
      </c>
      <c r="G568" s="301">
        <f t="shared" si="18"/>
        <v>125.12</v>
      </c>
    </row>
    <row r="569" spans="1:7" x14ac:dyDescent="0.25">
      <c r="A569" s="297">
        <v>40297</v>
      </c>
      <c r="B569" s="298" t="s">
        <v>4003</v>
      </c>
      <c r="C569" s="299" t="s">
        <v>76</v>
      </c>
      <c r="D569" s="300">
        <v>158.63</v>
      </c>
      <c r="E569" s="350">
        <f t="shared" si="17"/>
        <v>128.63999999999999</v>
      </c>
      <c r="F569" s="298" t="s">
        <v>98</v>
      </c>
      <c r="G569" s="301">
        <f t="shared" si="18"/>
        <v>133.69999999999999</v>
      </c>
    </row>
    <row r="570" spans="1:7" x14ac:dyDescent="0.25">
      <c r="A570" s="297">
        <v>40295</v>
      </c>
      <c r="B570" s="298" t="s">
        <v>4004</v>
      </c>
      <c r="C570" s="299" t="s">
        <v>76</v>
      </c>
      <c r="D570" s="300">
        <v>166.71</v>
      </c>
      <c r="E570" s="350">
        <f t="shared" si="17"/>
        <v>135.19</v>
      </c>
      <c r="F570" s="298" t="s">
        <v>98</v>
      </c>
      <c r="G570" s="301">
        <f t="shared" si="18"/>
        <v>140.51</v>
      </c>
    </row>
    <row r="571" spans="1:7" x14ac:dyDescent="0.25">
      <c r="A571" s="297">
        <v>40298</v>
      </c>
      <c r="B571" s="298" t="s">
        <v>4005</v>
      </c>
      <c r="C571" s="299" t="s">
        <v>76</v>
      </c>
      <c r="D571" s="300">
        <v>176.9</v>
      </c>
      <c r="E571" s="350">
        <f t="shared" si="17"/>
        <v>143.44999999999999</v>
      </c>
      <c r="F571" s="298" t="s">
        <v>98</v>
      </c>
      <c r="G571" s="301">
        <f t="shared" si="18"/>
        <v>149.09</v>
      </c>
    </row>
    <row r="572" spans="1:7" x14ac:dyDescent="0.25">
      <c r="A572" s="297">
        <v>40296</v>
      </c>
      <c r="B572" s="298" t="s">
        <v>4006</v>
      </c>
      <c r="C572" s="299" t="s">
        <v>76</v>
      </c>
      <c r="D572" s="300">
        <v>200.01</v>
      </c>
      <c r="E572" s="350">
        <f t="shared" si="17"/>
        <v>162.19</v>
      </c>
      <c r="F572" s="298" t="s">
        <v>98</v>
      </c>
      <c r="G572" s="301">
        <f t="shared" si="18"/>
        <v>168.57</v>
      </c>
    </row>
    <row r="573" spans="1:7" x14ac:dyDescent="0.25">
      <c r="A573" s="297">
        <v>40299</v>
      </c>
      <c r="B573" s="298" t="s">
        <v>4007</v>
      </c>
      <c r="C573" s="299" t="s">
        <v>76</v>
      </c>
      <c r="D573" s="300">
        <v>210.19</v>
      </c>
      <c r="E573" s="350">
        <f t="shared" si="17"/>
        <v>170.45</v>
      </c>
      <c r="F573" s="298" t="s">
        <v>98</v>
      </c>
      <c r="G573" s="301">
        <f t="shared" si="18"/>
        <v>177.15</v>
      </c>
    </row>
    <row r="574" spans="1:7" x14ac:dyDescent="0.25">
      <c r="A574" s="297">
        <v>40327</v>
      </c>
      <c r="B574" s="298" t="s">
        <v>4009</v>
      </c>
      <c r="C574" s="299" t="s">
        <v>2884</v>
      </c>
      <c r="D574" s="300">
        <v>279.38</v>
      </c>
      <c r="E574" s="350">
        <f t="shared" si="17"/>
        <v>226.55</v>
      </c>
      <c r="F574" s="298" t="s">
        <v>3693</v>
      </c>
      <c r="G574" s="301">
        <f t="shared" si="18"/>
        <v>235.46</v>
      </c>
    </row>
    <row r="575" spans="1:7" x14ac:dyDescent="0.25">
      <c r="A575" s="297">
        <v>40328</v>
      </c>
      <c r="B575" s="298" t="s">
        <v>4011</v>
      </c>
      <c r="C575" s="299" t="s">
        <v>76</v>
      </c>
      <c r="D575" s="300">
        <v>148.09</v>
      </c>
      <c r="E575" s="350">
        <f t="shared" si="17"/>
        <v>120.09</v>
      </c>
      <c r="F575" s="298" t="s">
        <v>3693</v>
      </c>
      <c r="G575" s="301">
        <f t="shared" si="18"/>
        <v>124.81</v>
      </c>
    </row>
    <row r="576" spans="1:7" x14ac:dyDescent="0.25">
      <c r="A576" s="297">
        <v>43332</v>
      </c>
      <c r="B576" s="298" t="s">
        <v>4014</v>
      </c>
      <c r="C576" s="299" t="s">
        <v>3228</v>
      </c>
      <c r="D576" s="300">
        <v>7423.86</v>
      </c>
      <c r="E576" s="350">
        <f t="shared" si="17"/>
        <v>6020</v>
      </c>
      <c r="F576" s="298" t="s">
        <v>98</v>
      </c>
      <c r="G576" s="301">
        <f t="shared" si="18"/>
        <v>6256.57</v>
      </c>
    </row>
    <row r="577" spans="1:7" x14ac:dyDescent="0.25">
      <c r="A577" s="297">
        <v>40316</v>
      </c>
      <c r="B577" s="298" t="s">
        <v>309</v>
      </c>
      <c r="C577" s="299" t="s">
        <v>2884</v>
      </c>
      <c r="D577" s="300">
        <v>100.09</v>
      </c>
      <c r="E577" s="350">
        <f t="shared" si="17"/>
        <v>81.17</v>
      </c>
      <c r="F577" s="298" t="s">
        <v>3693</v>
      </c>
      <c r="G577" s="301">
        <f t="shared" si="18"/>
        <v>84.36</v>
      </c>
    </row>
    <row r="578" spans="1:7" x14ac:dyDescent="0.25">
      <c r="A578" s="297">
        <v>40317</v>
      </c>
      <c r="B578" s="298" t="s">
        <v>4020</v>
      </c>
      <c r="C578" s="299" t="s">
        <v>2884</v>
      </c>
      <c r="D578" s="300">
        <v>88.42</v>
      </c>
      <c r="E578" s="350">
        <f t="shared" ref="E578:E641" si="19">ROUNDUP(D578/(1+$L$2),2)</f>
        <v>71.7</v>
      </c>
      <c r="F578" s="298" t="s">
        <v>3693</v>
      </c>
      <c r="G578" s="301">
        <f t="shared" si="18"/>
        <v>74.52</v>
      </c>
    </row>
    <row r="579" spans="1:7" x14ac:dyDescent="0.25">
      <c r="A579" s="297">
        <v>40318</v>
      </c>
      <c r="B579" s="298" t="s">
        <v>3229</v>
      </c>
      <c r="C579" s="299" t="s">
        <v>2884</v>
      </c>
      <c r="D579" s="300">
        <v>11.75</v>
      </c>
      <c r="E579" s="350">
        <f t="shared" si="19"/>
        <v>9.5299999999999994</v>
      </c>
      <c r="F579" s="298" t="s">
        <v>98</v>
      </c>
      <c r="G579" s="301">
        <f t="shared" si="18"/>
        <v>9.91</v>
      </c>
    </row>
    <row r="580" spans="1:7" x14ac:dyDescent="0.25">
      <c r="A580" s="297">
        <v>40311</v>
      </c>
      <c r="B580" s="298" t="s">
        <v>4023</v>
      </c>
      <c r="C580" s="299" t="s">
        <v>2884</v>
      </c>
      <c r="D580" s="300">
        <v>121.61</v>
      </c>
      <c r="E580" s="350">
        <f t="shared" si="19"/>
        <v>98.62</v>
      </c>
      <c r="F580" s="298" t="s">
        <v>3693</v>
      </c>
      <c r="G580" s="301">
        <f t="shared" si="18"/>
        <v>102.5</v>
      </c>
    </row>
    <row r="581" spans="1:7" x14ac:dyDescent="0.25">
      <c r="A581" s="297">
        <v>40312</v>
      </c>
      <c r="B581" s="298" t="s">
        <v>4025</v>
      </c>
      <c r="C581" s="299" t="s">
        <v>2884</v>
      </c>
      <c r="D581" s="300">
        <v>102.72</v>
      </c>
      <c r="E581" s="350">
        <f t="shared" si="19"/>
        <v>83.3</v>
      </c>
      <c r="F581" s="298" t="s">
        <v>3693</v>
      </c>
      <c r="G581" s="301">
        <f t="shared" si="18"/>
        <v>86.58</v>
      </c>
    </row>
    <row r="582" spans="1:7" x14ac:dyDescent="0.25">
      <c r="A582" s="297">
        <v>40313</v>
      </c>
      <c r="B582" s="298" t="s">
        <v>4027</v>
      </c>
      <c r="C582" s="299" t="s">
        <v>2884</v>
      </c>
      <c r="D582" s="300">
        <v>88.02</v>
      </c>
      <c r="E582" s="350">
        <f t="shared" si="19"/>
        <v>71.38</v>
      </c>
      <c r="F582" s="298" t="s">
        <v>3693</v>
      </c>
      <c r="G582" s="301">
        <f t="shared" si="18"/>
        <v>74.19</v>
      </c>
    </row>
    <row r="583" spans="1:7" x14ac:dyDescent="0.25">
      <c r="A583" s="297">
        <v>40310</v>
      </c>
      <c r="B583" s="298" t="s">
        <v>4030</v>
      </c>
      <c r="C583" s="299" t="s">
        <v>2884</v>
      </c>
      <c r="D583" s="300">
        <v>175.76</v>
      </c>
      <c r="E583" s="350">
        <f t="shared" si="19"/>
        <v>142.53</v>
      </c>
      <c r="F583" s="298" t="s">
        <v>3693</v>
      </c>
      <c r="G583" s="301">
        <f t="shared" si="18"/>
        <v>148.13999999999999</v>
      </c>
    </row>
    <row r="584" spans="1:7" x14ac:dyDescent="0.25">
      <c r="A584" s="297">
        <v>40748</v>
      </c>
      <c r="B584" s="298" t="s">
        <v>4045</v>
      </c>
      <c r="C584" s="299" t="s">
        <v>2884</v>
      </c>
      <c r="D584" s="300">
        <v>289.02999999999997</v>
      </c>
      <c r="E584" s="350">
        <f t="shared" si="19"/>
        <v>234.38</v>
      </c>
      <c r="F584" s="298" t="s">
        <v>98</v>
      </c>
      <c r="G584" s="301">
        <f t="shared" si="18"/>
        <v>243.6</v>
      </c>
    </row>
    <row r="585" spans="1:7" x14ac:dyDescent="0.25">
      <c r="A585" s="297">
        <v>40726</v>
      </c>
      <c r="B585" s="298" t="s">
        <v>4260</v>
      </c>
      <c r="C585" s="299" t="s">
        <v>76</v>
      </c>
      <c r="D585" s="300">
        <v>564</v>
      </c>
      <c r="E585" s="350">
        <f t="shared" si="19"/>
        <v>457.35</v>
      </c>
      <c r="F585" s="298" t="s">
        <v>3693</v>
      </c>
      <c r="G585" s="301">
        <f t="shared" si="18"/>
        <v>475.33</v>
      </c>
    </row>
    <row r="586" spans="1:7" x14ac:dyDescent="0.25">
      <c r="A586" s="297">
        <v>40725</v>
      </c>
      <c r="B586" s="298" t="s">
        <v>3230</v>
      </c>
      <c r="C586" s="299" t="s">
        <v>76</v>
      </c>
      <c r="D586" s="300">
        <v>560.4</v>
      </c>
      <c r="E586" s="350">
        <f t="shared" si="19"/>
        <v>454.43</v>
      </c>
      <c r="F586" s="298" t="s">
        <v>3693</v>
      </c>
      <c r="G586" s="301">
        <f t="shared" si="18"/>
        <v>472.29</v>
      </c>
    </row>
    <row r="587" spans="1:7" x14ac:dyDescent="0.25">
      <c r="A587" s="297">
        <v>41394</v>
      </c>
      <c r="B587" s="298" t="s">
        <v>4047</v>
      </c>
      <c r="C587" s="299" t="s">
        <v>2884</v>
      </c>
      <c r="D587" s="300">
        <v>38.06</v>
      </c>
      <c r="E587" s="350">
        <f t="shared" si="19"/>
        <v>30.87</v>
      </c>
      <c r="F587" s="298" t="s">
        <v>98</v>
      </c>
      <c r="G587" s="301">
        <f t="shared" si="18"/>
        <v>32.090000000000003</v>
      </c>
    </row>
    <row r="588" spans="1:7" x14ac:dyDescent="0.25">
      <c r="A588" s="297">
        <v>41393</v>
      </c>
      <c r="B588" s="298" t="s">
        <v>4048</v>
      </c>
      <c r="C588" s="299" t="s">
        <v>2884</v>
      </c>
      <c r="D588" s="300">
        <v>53.36</v>
      </c>
      <c r="E588" s="350">
        <f t="shared" si="19"/>
        <v>43.27</v>
      </c>
      <c r="F588" s="298" t="s">
        <v>98</v>
      </c>
      <c r="G588" s="301">
        <f t="shared" si="18"/>
        <v>44.98</v>
      </c>
    </row>
    <row r="589" spans="1:7" x14ac:dyDescent="0.25">
      <c r="A589" s="297">
        <v>41391</v>
      </c>
      <c r="B589" s="298" t="s">
        <v>4049</v>
      </c>
      <c r="C589" s="299" t="s">
        <v>2884</v>
      </c>
      <c r="D589" s="300">
        <v>73.069999999999993</v>
      </c>
      <c r="E589" s="350">
        <f t="shared" si="19"/>
        <v>59.26</v>
      </c>
      <c r="F589" s="298" t="s">
        <v>98</v>
      </c>
      <c r="G589" s="301">
        <f t="shared" si="18"/>
        <v>61.59</v>
      </c>
    </row>
    <row r="590" spans="1:7" x14ac:dyDescent="0.25">
      <c r="A590" s="297">
        <v>102596</v>
      </c>
      <c r="B590" s="298" t="s">
        <v>4259</v>
      </c>
      <c r="C590" s="299" t="s">
        <v>287</v>
      </c>
      <c r="D590" s="300">
        <v>22.82</v>
      </c>
      <c r="E590" s="350">
        <f t="shared" si="19"/>
        <v>18.510000000000002</v>
      </c>
      <c r="F590" s="298" t="s">
        <v>98</v>
      </c>
      <c r="G590" s="301">
        <f t="shared" si="18"/>
        <v>19.239999999999998</v>
      </c>
    </row>
    <row r="591" spans="1:7" x14ac:dyDescent="0.25">
      <c r="A591" s="297">
        <v>102595</v>
      </c>
      <c r="B591" s="298" t="s">
        <v>4258</v>
      </c>
      <c r="C591" s="299" t="s">
        <v>287</v>
      </c>
      <c r="D591" s="300">
        <v>26.11</v>
      </c>
      <c r="E591" s="350">
        <f t="shared" si="19"/>
        <v>21.18</v>
      </c>
      <c r="F591" s="298" t="s">
        <v>98</v>
      </c>
      <c r="G591" s="301">
        <f t="shared" si="18"/>
        <v>22.02</v>
      </c>
    </row>
    <row r="592" spans="1:7" x14ac:dyDescent="0.25">
      <c r="A592" s="297">
        <v>41392</v>
      </c>
      <c r="B592" s="298" t="s">
        <v>4050</v>
      </c>
      <c r="C592" s="299" t="s">
        <v>2884</v>
      </c>
      <c r="D592" s="300">
        <v>64.45</v>
      </c>
      <c r="E592" s="350">
        <f t="shared" si="19"/>
        <v>52.27</v>
      </c>
      <c r="F592" s="298" t="s">
        <v>98</v>
      </c>
      <c r="G592" s="301">
        <f t="shared" si="18"/>
        <v>54.33</v>
      </c>
    </row>
    <row r="593" spans="1:7" x14ac:dyDescent="0.25">
      <c r="A593" s="297">
        <v>102594</v>
      </c>
      <c r="B593" s="298" t="s">
        <v>4257</v>
      </c>
      <c r="C593" s="299" t="s">
        <v>287</v>
      </c>
      <c r="D593" s="300">
        <v>30.69</v>
      </c>
      <c r="E593" s="350">
        <f t="shared" si="19"/>
        <v>24.89</v>
      </c>
      <c r="F593" s="298" t="s">
        <v>98</v>
      </c>
      <c r="G593" s="301">
        <f t="shared" si="18"/>
        <v>25.87</v>
      </c>
    </row>
    <row r="594" spans="1:7" x14ac:dyDescent="0.25">
      <c r="A594" s="297">
        <v>41197</v>
      </c>
      <c r="B594" s="298" t="s">
        <v>3231</v>
      </c>
      <c r="C594" s="299" t="s">
        <v>2884</v>
      </c>
      <c r="D594" s="300">
        <v>58.33</v>
      </c>
      <c r="E594" s="350">
        <f t="shared" si="19"/>
        <v>47.3</v>
      </c>
      <c r="F594" s="298" t="s">
        <v>98</v>
      </c>
      <c r="G594" s="301">
        <f t="shared" si="18"/>
        <v>49.16</v>
      </c>
    </row>
    <row r="595" spans="1:7" x14ac:dyDescent="0.25">
      <c r="A595" s="297">
        <v>40709</v>
      </c>
      <c r="B595" s="298" t="s">
        <v>4051</v>
      </c>
      <c r="C595" s="299" t="s">
        <v>2884</v>
      </c>
      <c r="D595" s="300">
        <v>30.89</v>
      </c>
      <c r="E595" s="350">
        <f t="shared" si="19"/>
        <v>25.05</v>
      </c>
      <c r="F595" s="298" t="s">
        <v>98</v>
      </c>
      <c r="G595" s="301">
        <f t="shared" si="18"/>
        <v>26.04</v>
      </c>
    </row>
    <row r="596" spans="1:7" x14ac:dyDescent="0.25">
      <c r="A596" s="297">
        <v>40721</v>
      </c>
      <c r="B596" s="298" t="s">
        <v>3232</v>
      </c>
      <c r="C596" s="299" t="s">
        <v>76</v>
      </c>
      <c r="D596" s="300">
        <v>147.97999999999999</v>
      </c>
      <c r="E596" s="350">
        <f t="shared" si="19"/>
        <v>120</v>
      </c>
      <c r="F596" s="298" t="s">
        <v>3693</v>
      </c>
      <c r="G596" s="301">
        <f t="shared" si="18"/>
        <v>124.72</v>
      </c>
    </row>
    <row r="597" spans="1:7" x14ac:dyDescent="0.25">
      <c r="A597" s="297">
        <v>40396</v>
      </c>
      <c r="B597" s="298" t="s">
        <v>3233</v>
      </c>
      <c r="C597" s="299" t="s">
        <v>2884</v>
      </c>
      <c r="D597" s="300">
        <v>39.26</v>
      </c>
      <c r="E597" s="350">
        <f t="shared" si="19"/>
        <v>31.84</v>
      </c>
      <c r="F597" s="298" t="s">
        <v>98</v>
      </c>
      <c r="G597" s="301">
        <f t="shared" si="18"/>
        <v>33.1</v>
      </c>
    </row>
    <row r="598" spans="1:7" x14ac:dyDescent="0.25">
      <c r="A598" s="297">
        <v>40744</v>
      </c>
      <c r="B598" s="298" t="s">
        <v>3234</v>
      </c>
      <c r="C598" s="299" t="s">
        <v>82</v>
      </c>
      <c r="D598" s="300">
        <v>35.17</v>
      </c>
      <c r="E598" s="350">
        <f t="shared" si="19"/>
        <v>28.52</v>
      </c>
      <c r="F598" s="298" t="s">
        <v>98</v>
      </c>
      <c r="G598" s="301">
        <f t="shared" si="18"/>
        <v>29.65</v>
      </c>
    </row>
    <row r="599" spans="1:7" x14ac:dyDescent="0.25">
      <c r="A599" s="297">
        <v>40746</v>
      </c>
      <c r="B599" s="298" t="s">
        <v>3235</v>
      </c>
      <c r="C599" s="299" t="s">
        <v>82</v>
      </c>
      <c r="D599" s="300">
        <v>68.47</v>
      </c>
      <c r="E599" s="350">
        <f t="shared" si="19"/>
        <v>55.53</v>
      </c>
      <c r="F599" s="298" t="s">
        <v>98</v>
      </c>
      <c r="G599" s="301">
        <f t="shared" si="18"/>
        <v>57.72</v>
      </c>
    </row>
    <row r="600" spans="1:7" x14ac:dyDescent="0.25">
      <c r="A600" s="297">
        <v>40743</v>
      </c>
      <c r="B600" s="298" t="s">
        <v>3236</v>
      </c>
      <c r="C600" s="299" t="s">
        <v>82</v>
      </c>
      <c r="D600" s="300">
        <v>18.52</v>
      </c>
      <c r="E600" s="350">
        <f t="shared" si="19"/>
        <v>15.02</v>
      </c>
      <c r="F600" s="298" t="s">
        <v>98</v>
      </c>
      <c r="G600" s="301">
        <f t="shared" si="18"/>
        <v>15.62</v>
      </c>
    </row>
    <row r="601" spans="1:7" x14ac:dyDescent="0.25">
      <c r="A601" s="297">
        <v>40745</v>
      </c>
      <c r="B601" s="298" t="s">
        <v>3237</v>
      </c>
      <c r="C601" s="299" t="s">
        <v>82</v>
      </c>
      <c r="D601" s="300">
        <v>51.83</v>
      </c>
      <c r="E601" s="350">
        <f t="shared" si="19"/>
        <v>42.03</v>
      </c>
      <c r="F601" s="298" t="s">
        <v>98</v>
      </c>
      <c r="G601" s="301">
        <f t="shared" si="18"/>
        <v>43.69</v>
      </c>
    </row>
    <row r="602" spans="1:7" x14ac:dyDescent="0.25">
      <c r="A602" s="297">
        <v>40397</v>
      </c>
      <c r="B602" s="298" t="s">
        <v>3238</v>
      </c>
      <c r="C602" s="299" t="s">
        <v>2884</v>
      </c>
      <c r="D602" s="300">
        <v>101.36</v>
      </c>
      <c r="E602" s="350">
        <f t="shared" si="19"/>
        <v>82.2</v>
      </c>
      <c r="F602" s="298" t="s">
        <v>98</v>
      </c>
      <c r="G602" s="301">
        <f t="shared" ref="G602:G663" si="20">ROUNDUP(E602*$H$2,2)</f>
        <v>85.44</v>
      </c>
    </row>
    <row r="603" spans="1:7" x14ac:dyDescent="0.25">
      <c r="A603" s="297">
        <v>41221</v>
      </c>
      <c r="B603" s="298" t="s">
        <v>3239</v>
      </c>
      <c r="C603" s="299" t="s">
        <v>2884</v>
      </c>
      <c r="D603" s="300">
        <v>4.83</v>
      </c>
      <c r="E603" s="350">
        <f t="shared" si="19"/>
        <v>3.92</v>
      </c>
      <c r="F603" s="298" t="s">
        <v>98</v>
      </c>
      <c r="G603" s="301">
        <f t="shared" si="20"/>
        <v>4.08</v>
      </c>
    </row>
    <row r="604" spans="1:7" x14ac:dyDescent="0.25">
      <c r="A604" s="297">
        <v>41401</v>
      </c>
      <c r="B604" s="298" t="s">
        <v>3240</v>
      </c>
      <c r="C604" s="299" t="s">
        <v>2884</v>
      </c>
      <c r="D604" s="300">
        <v>9.7200000000000006</v>
      </c>
      <c r="E604" s="350">
        <f t="shared" si="19"/>
        <v>7.89</v>
      </c>
      <c r="F604" s="298" t="s">
        <v>98</v>
      </c>
      <c r="G604" s="301">
        <f t="shared" si="20"/>
        <v>8.2100000000000009</v>
      </c>
    </row>
    <row r="605" spans="1:7" x14ac:dyDescent="0.25">
      <c r="A605" s="297">
        <v>40714</v>
      </c>
      <c r="B605" s="298" t="s">
        <v>3241</v>
      </c>
      <c r="C605" s="299" t="s">
        <v>2884</v>
      </c>
      <c r="D605" s="300">
        <v>13.97</v>
      </c>
      <c r="E605" s="350">
        <f t="shared" si="19"/>
        <v>11.33</v>
      </c>
      <c r="F605" s="298" t="s">
        <v>98</v>
      </c>
      <c r="G605" s="301">
        <f t="shared" si="20"/>
        <v>11.78</v>
      </c>
    </row>
    <row r="606" spans="1:7" x14ac:dyDescent="0.25">
      <c r="A606" s="297">
        <v>40660</v>
      </c>
      <c r="B606" s="298" t="s">
        <v>3242</v>
      </c>
      <c r="C606" s="299" t="s">
        <v>82</v>
      </c>
      <c r="D606" s="300">
        <v>69.739999999999995</v>
      </c>
      <c r="E606" s="350">
        <f t="shared" si="19"/>
        <v>56.56</v>
      </c>
      <c r="F606" s="298" t="s">
        <v>98</v>
      </c>
      <c r="G606" s="301">
        <f t="shared" si="20"/>
        <v>58.79</v>
      </c>
    </row>
    <row r="607" spans="1:7" x14ac:dyDescent="0.25">
      <c r="A607" s="297">
        <v>40661</v>
      </c>
      <c r="B607" s="298" t="s">
        <v>301</v>
      </c>
      <c r="C607" s="299" t="s">
        <v>82</v>
      </c>
      <c r="D607" s="300">
        <v>134.06</v>
      </c>
      <c r="E607" s="350">
        <f t="shared" si="19"/>
        <v>108.71</v>
      </c>
      <c r="F607" s="298" t="s">
        <v>98</v>
      </c>
      <c r="G607" s="301">
        <f t="shared" si="20"/>
        <v>112.99</v>
      </c>
    </row>
    <row r="608" spans="1:7" x14ac:dyDescent="0.25">
      <c r="A608" s="297">
        <v>40662</v>
      </c>
      <c r="B608" s="298" t="s">
        <v>305</v>
      </c>
      <c r="C608" s="299" t="s">
        <v>82</v>
      </c>
      <c r="D608" s="300">
        <v>74.63</v>
      </c>
      <c r="E608" s="350">
        <f t="shared" si="19"/>
        <v>60.52</v>
      </c>
      <c r="F608" s="298" t="s">
        <v>98</v>
      </c>
      <c r="G608" s="301">
        <f t="shared" si="20"/>
        <v>62.9</v>
      </c>
    </row>
    <row r="609" spans="1:7" x14ac:dyDescent="0.25">
      <c r="A609" s="297">
        <v>40663</v>
      </c>
      <c r="B609" s="298" t="s">
        <v>4061</v>
      </c>
      <c r="C609" s="299" t="s">
        <v>82</v>
      </c>
      <c r="D609" s="300">
        <v>66.03</v>
      </c>
      <c r="E609" s="350">
        <f t="shared" si="19"/>
        <v>53.55</v>
      </c>
      <c r="F609" s="298" t="s">
        <v>3693</v>
      </c>
      <c r="G609" s="301">
        <f t="shared" si="20"/>
        <v>55.66</v>
      </c>
    </row>
    <row r="610" spans="1:7" x14ac:dyDescent="0.25">
      <c r="A610" s="297">
        <v>40659</v>
      </c>
      <c r="B610" s="298" t="s">
        <v>3243</v>
      </c>
      <c r="C610" s="299" t="s">
        <v>82</v>
      </c>
      <c r="D610" s="300">
        <v>62.9</v>
      </c>
      <c r="E610" s="350">
        <f t="shared" si="19"/>
        <v>51.01</v>
      </c>
      <c r="F610" s="298" t="s">
        <v>98</v>
      </c>
      <c r="G610" s="301">
        <f t="shared" si="20"/>
        <v>53.02</v>
      </c>
    </row>
    <row r="611" spans="1:7" x14ac:dyDescent="0.25">
      <c r="A611" s="1355">
        <v>41024</v>
      </c>
      <c r="B611" s="302" t="s">
        <v>4177</v>
      </c>
      <c r="C611" s="1356" t="s">
        <v>82</v>
      </c>
      <c r="D611" s="300">
        <v>23.87</v>
      </c>
      <c r="E611" s="350">
        <f t="shared" si="19"/>
        <v>19.36</v>
      </c>
      <c r="F611" s="298" t="s">
        <v>98</v>
      </c>
      <c r="G611" s="301">
        <f t="shared" si="20"/>
        <v>20.13</v>
      </c>
    </row>
    <row r="612" spans="1:7" x14ac:dyDescent="0.25">
      <c r="A612" s="1355"/>
      <c r="B612" s="298" t="s">
        <v>4178</v>
      </c>
      <c r="C612" s="1356"/>
      <c r="D612" s="300"/>
      <c r="E612" s="350">
        <f t="shared" si="19"/>
        <v>0</v>
      </c>
      <c r="F612" s="298"/>
      <c r="G612" s="301">
        <f t="shared" si="20"/>
        <v>0</v>
      </c>
    </row>
    <row r="613" spans="1:7" x14ac:dyDescent="0.25">
      <c r="A613" s="297">
        <v>40657</v>
      </c>
      <c r="B613" s="298" t="s">
        <v>3244</v>
      </c>
      <c r="C613" s="299" t="s">
        <v>82</v>
      </c>
      <c r="D613" s="300">
        <v>221.07</v>
      </c>
      <c r="E613" s="350">
        <f t="shared" si="19"/>
        <v>179.27</v>
      </c>
      <c r="F613" s="298" t="s">
        <v>98</v>
      </c>
      <c r="G613" s="301">
        <f t="shared" si="20"/>
        <v>186.32</v>
      </c>
    </row>
    <row r="614" spans="1:7" x14ac:dyDescent="0.25">
      <c r="A614" s="297">
        <v>41395</v>
      </c>
      <c r="B614" s="298" t="s">
        <v>4064</v>
      </c>
      <c r="C614" s="299" t="s">
        <v>2884</v>
      </c>
      <c r="D614" s="300">
        <v>865.38</v>
      </c>
      <c r="E614" s="350">
        <f t="shared" si="19"/>
        <v>701.74</v>
      </c>
      <c r="F614" s="298" t="s">
        <v>3693</v>
      </c>
      <c r="G614" s="301">
        <f t="shared" si="20"/>
        <v>729.32</v>
      </c>
    </row>
    <row r="615" spans="1:7" x14ac:dyDescent="0.25">
      <c r="A615" s="1355">
        <v>41396</v>
      </c>
      <c r="B615" s="302" t="s">
        <v>4179</v>
      </c>
      <c r="C615" s="1356" t="s">
        <v>2884</v>
      </c>
      <c r="D615" s="300">
        <v>1036.8800000000001</v>
      </c>
      <c r="E615" s="350">
        <f t="shared" si="19"/>
        <v>840.81</v>
      </c>
      <c r="F615" s="298" t="s">
        <v>3693</v>
      </c>
      <c r="G615" s="301">
        <f t="shared" si="20"/>
        <v>873.86</v>
      </c>
    </row>
    <row r="616" spans="1:7" x14ac:dyDescent="0.25">
      <c r="A616" s="1355"/>
      <c r="B616" s="298" t="s">
        <v>4180</v>
      </c>
      <c r="C616" s="1356"/>
      <c r="D616" s="300"/>
      <c r="E616" s="350">
        <f t="shared" si="19"/>
        <v>0</v>
      </c>
      <c r="F616" s="298"/>
      <c r="G616" s="301">
        <f t="shared" si="20"/>
        <v>0</v>
      </c>
    </row>
    <row r="617" spans="1:7" x14ac:dyDescent="0.25">
      <c r="A617" s="1355">
        <v>41397</v>
      </c>
      <c r="B617" s="302" t="s">
        <v>4181</v>
      </c>
      <c r="C617" s="1356" t="s">
        <v>2884</v>
      </c>
      <c r="D617" s="300">
        <v>1009.38</v>
      </c>
      <c r="E617" s="350">
        <f t="shared" si="19"/>
        <v>818.51</v>
      </c>
      <c r="F617" s="298" t="s">
        <v>3693</v>
      </c>
      <c r="G617" s="301">
        <f t="shared" si="20"/>
        <v>850.68</v>
      </c>
    </row>
    <row r="618" spans="1:7" x14ac:dyDescent="0.25">
      <c r="A618" s="1355"/>
      <c r="B618" s="298" t="s">
        <v>4182</v>
      </c>
      <c r="C618" s="1356"/>
      <c r="D618" s="300"/>
      <c r="E618" s="350">
        <f t="shared" si="19"/>
        <v>0</v>
      </c>
      <c r="F618" s="298"/>
      <c r="G618" s="301">
        <f t="shared" si="20"/>
        <v>0</v>
      </c>
    </row>
    <row r="619" spans="1:7" x14ac:dyDescent="0.25">
      <c r="A619" s="1355">
        <v>41398</v>
      </c>
      <c r="B619" s="298" t="s">
        <v>4183</v>
      </c>
      <c r="C619" s="1356" t="s">
        <v>2884</v>
      </c>
      <c r="D619" s="300">
        <v>1083.79</v>
      </c>
      <c r="E619" s="350">
        <f t="shared" si="19"/>
        <v>878.85</v>
      </c>
      <c r="F619" s="298" t="s">
        <v>3693</v>
      </c>
      <c r="G619" s="301">
        <f t="shared" si="20"/>
        <v>913.39</v>
      </c>
    </row>
    <row r="620" spans="1:7" x14ac:dyDescent="0.25">
      <c r="A620" s="1355"/>
      <c r="B620" s="298" t="s">
        <v>4184</v>
      </c>
      <c r="C620" s="1356"/>
      <c r="D620" s="300"/>
      <c r="E620" s="350">
        <f t="shared" si="19"/>
        <v>0</v>
      </c>
      <c r="F620" s="298"/>
      <c r="G620" s="301">
        <f t="shared" si="20"/>
        <v>0</v>
      </c>
    </row>
    <row r="621" spans="1:7" x14ac:dyDescent="0.25">
      <c r="A621" s="1355">
        <v>41399</v>
      </c>
      <c r="B621" s="298" t="s">
        <v>4185</v>
      </c>
      <c r="C621" s="1356" t="s">
        <v>2884</v>
      </c>
      <c r="D621" s="300">
        <v>1094</v>
      </c>
      <c r="E621" s="350">
        <f t="shared" si="19"/>
        <v>887.13</v>
      </c>
      <c r="F621" s="298" t="s">
        <v>3693</v>
      </c>
      <c r="G621" s="301">
        <f t="shared" si="20"/>
        <v>922</v>
      </c>
    </row>
    <row r="622" spans="1:7" x14ac:dyDescent="0.25">
      <c r="A622" s="1355"/>
      <c r="B622" s="298" t="s">
        <v>4186</v>
      </c>
      <c r="C622" s="1356"/>
      <c r="D622" s="300"/>
      <c r="E622" s="350">
        <f t="shared" si="19"/>
        <v>0</v>
      </c>
      <c r="F622" s="298"/>
      <c r="G622" s="301">
        <f t="shared" si="20"/>
        <v>0</v>
      </c>
    </row>
    <row r="623" spans="1:7" x14ac:dyDescent="0.25">
      <c r="A623" s="297">
        <v>40654</v>
      </c>
      <c r="B623" s="298" t="s">
        <v>3245</v>
      </c>
      <c r="C623" s="299" t="s">
        <v>2871</v>
      </c>
      <c r="D623" s="300">
        <v>718.28</v>
      </c>
      <c r="E623" s="350">
        <f t="shared" si="19"/>
        <v>582.46</v>
      </c>
      <c r="F623" s="298" t="s">
        <v>3693</v>
      </c>
      <c r="G623" s="301">
        <f t="shared" si="20"/>
        <v>605.35</v>
      </c>
    </row>
    <row r="624" spans="1:7" x14ac:dyDescent="0.25">
      <c r="A624" s="297">
        <v>40653</v>
      </c>
      <c r="B624" s="298" t="s">
        <v>3246</v>
      </c>
      <c r="C624" s="299" t="s">
        <v>2871</v>
      </c>
      <c r="D624" s="300">
        <v>788.63</v>
      </c>
      <c r="E624" s="350">
        <f t="shared" si="19"/>
        <v>639.5</v>
      </c>
      <c r="F624" s="298" t="s">
        <v>3693</v>
      </c>
      <c r="G624" s="301">
        <f t="shared" si="20"/>
        <v>664.64</v>
      </c>
    </row>
    <row r="625" spans="1:7" x14ac:dyDescent="0.25">
      <c r="A625" s="297">
        <v>41337</v>
      </c>
      <c r="B625" s="298" t="s">
        <v>3247</v>
      </c>
      <c r="C625" s="299" t="s">
        <v>2871</v>
      </c>
      <c r="D625" s="300">
        <v>357.06</v>
      </c>
      <c r="E625" s="350">
        <f t="shared" si="19"/>
        <v>289.54000000000002</v>
      </c>
      <c r="F625" s="298" t="s">
        <v>3693</v>
      </c>
      <c r="G625" s="301">
        <f t="shared" si="20"/>
        <v>300.92</v>
      </c>
    </row>
    <row r="626" spans="1:7" x14ac:dyDescent="0.25">
      <c r="A626" s="297">
        <v>40719</v>
      </c>
      <c r="B626" s="298" t="s">
        <v>3248</v>
      </c>
      <c r="C626" s="299" t="s">
        <v>76</v>
      </c>
      <c r="D626" s="300">
        <v>82.95</v>
      </c>
      <c r="E626" s="350">
        <f t="shared" si="19"/>
        <v>67.27</v>
      </c>
      <c r="F626" s="298" t="s">
        <v>98</v>
      </c>
      <c r="G626" s="301">
        <f t="shared" si="20"/>
        <v>69.92</v>
      </c>
    </row>
    <row r="627" spans="1:7" x14ac:dyDescent="0.25">
      <c r="A627" s="297">
        <v>41019</v>
      </c>
      <c r="B627" s="298" t="s">
        <v>4079</v>
      </c>
      <c r="C627" s="299" t="s">
        <v>82</v>
      </c>
      <c r="D627" s="300">
        <v>873.74</v>
      </c>
      <c r="E627" s="350">
        <f t="shared" si="19"/>
        <v>708.52</v>
      </c>
      <c r="F627" s="298" t="s">
        <v>98</v>
      </c>
      <c r="G627" s="301">
        <f t="shared" si="20"/>
        <v>736.37</v>
      </c>
    </row>
    <row r="628" spans="1:7" x14ac:dyDescent="0.25">
      <c r="A628" s="297">
        <v>40557</v>
      </c>
      <c r="B628" s="298" t="s">
        <v>4080</v>
      </c>
      <c r="C628" s="299" t="s">
        <v>2871</v>
      </c>
      <c r="D628" s="300">
        <v>119.38</v>
      </c>
      <c r="E628" s="350">
        <f t="shared" si="19"/>
        <v>96.81</v>
      </c>
      <c r="F628" s="298" t="s">
        <v>3693</v>
      </c>
      <c r="G628" s="301">
        <f t="shared" si="20"/>
        <v>100.62</v>
      </c>
    </row>
    <row r="629" spans="1:7" x14ac:dyDescent="0.25">
      <c r="A629" s="297">
        <v>40391</v>
      </c>
      <c r="B629" s="298" t="s">
        <v>3249</v>
      </c>
      <c r="C629" s="299" t="s">
        <v>2884</v>
      </c>
      <c r="D629" s="300">
        <v>5.22</v>
      </c>
      <c r="E629" s="350">
        <f t="shared" si="19"/>
        <v>4.24</v>
      </c>
      <c r="F629" s="298" t="s">
        <v>98</v>
      </c>
      <c r="G629" s="301">
        <f t="shared" si="20"/>
        <v>4.41</v>
      </c>
    </row>
    <row r="630" spans="1:7" x14ac:dyDescent="0.25">
      <c r="A630" s="297">
        <v>40380</v>
      </c>
      <c r="B630" s="298" t="s">
        <v>3250</v>
      </c>
      <c r="C630" s="299" t="s">
        <v>2884</v>
      </c>
      <c r="D630" s="300">
        <v>70.819999999999993</v>
      </c>
      <c r="E630" s="350">
        <f t="shared" si="19"/>
        <v>57.43</v>
      </c>
      <c r="F630" s="298" t="s">
        <v>98</v>
      </c>
      <c r="G630" s="301">
        <f t="shared" si="20"/>
        <v>59.69</v>
      </c>
    </row>
    <row r="631" spans="1:7" x14ac:dyDescent="0.25">
      <c r="A631" s="297">
        <v>40399</v>
      </c>
      <c r="B631" s="298" t="s">
        <v>3251</v>
      </c>
      <c r="C631" s="299" t="s">
        <v>2884</v>
      </c>
      <c r="D631" s="300">
        <v>297.2</v>
      </c>
      <c r="E631" s="350">
        <f t="shared" si="19"/>
        <v>241</v>
      </c>
      <c r="F631" s="298" t="s">
        <v>98</v>
      </c>
      <c r="G631" s="301">
        <f t="shared" si="20"/>
        <v>250.48</v>
      </c>
    </row>
    <row r="632" spans="1:7" x14ac:dyDescent="0.25">
      <c r="A632" s="297">
        <v>41028</v>
      </c>
      <c r="B632" s="298" t="s">
        <v>3252</v>
      </c>
      <c r="C632" s="299" t="s">
        <v>2884</v>
      </c>
      <c r="D632" s="300">
        <v>4.4800000000000004</v>
      </c>
      <c r="E632" s="350">
        <f t="shared" si="19"/>
        <v>3.64</v>
      </c>
      <c r="F632" s="298" t="s">
        <v>98</v>
      </c>
      <c r="G632" s="301">
        <f t="shared" si="20"/>
        <v>3.79</v>
      </c>
    </row>
    <row r="633" spans="1:7" x14ac:dyDescent="0.25">
      <c r="A633" s="297">
        <v>41167</v>
      </c>
      <c r="B633" s="298" t="s">
        <v>4086</v>
      </c>
      <c r="C633" s="299" t="s">
        <v>2871</v>
      </c>
      <c r="D633" s="300">
        <v>3280.78</v>
      </c>
      <c r="E633" s="350">
        <f t="shared" si="19"/>
        <v>2660.38</v>
      </c>
      <c r="F633" s="298" t="s">
        <v>98</v>
      </c>
      <c r="G633" s="301">
        <f t="shared" si="20"/>
        <v>2764.93</v>
      </c>
    </row>
    <row r="634" spans="1:7" x14ac:dyDescent="0.25">
      <c r="A634" s="297">
        <v>41168</v>
      </c>
      <c r="B634" s="298" t="s">
        <v>4088</v>
      </c>
      <c r="C634" s="299" t="s">
        <v>2871</v>
      </c>
      <c r="D634" s="300">
        <v>3797.86</v>
      </c>
      <c r="E634" s="350">
        <f t="shared" si="19"/>
        <v>3079.68</v>
      </c>
      <c r="F634" s="298" t="s">
        <v>98</v>
      </c>
      <c r="G634" s="301">
        <f t="shared" si="20"/>
        <v>3200.71</v>
      </c>
    </row>
    <row r="635" spans="1:7" x14ac:dyDescent="0.25">
      <c r="A635" s="297">
        <v>40570</v>
      </c>
      <c r="B635" s="298" t="s">
        <v>3253</v>
      </c>
      <c r="C635" s="299" t="s">
        <v>2871</v>
      </c>
      <c r="D635" s="300">
        <v>14782.17</v>
      </c>
      <c r="E635" s="350">
        <f t="shared" si="19"/>
        <v>11986.84</v>
      </c>
      <c r="F635" s="298" t="s">
        <v>3693</v>
      </c>
      <c r="G635" s="301">
        <f t="shared" si="20"/>
        <v>12457.89</v>
      </c>
    </row>
    <row r="636" spans="1:7" x14ac:dyDescent="0.25">
      <c r="A636" s="297">
        <v>41115</v>
      </c>
      <c r="B636" s="298" t="s">
        <v>3254</v>
      </c>
      <c r="C636" s="299" t="s">
        <v>2871</v>
      </c>
      <c r="D636" s="300">
        <v>1911.28</v>
      </c>
      <c r="E636" s="350">
        <f t="shared" si="19"/>
        <v>1549.86</v>
      </c>
      <c r="F636" s="298" t="s">
        <v>98</v>
      </c>
      <c r="G636" s="301">
        <f t="shared" si="20"/>
        <v>1610.77</v>
      </c>
    </row>
    <row r="637" spans="1:7" x14ac:dyDescent="0.25">
      <c r="A637" s="297">
        <v>41116</v>
      </c>
      <c r="B637" s="298" t="s">
        <v>3255</v>
      </c>
      <c r="C637" s="299" t="s">
        <v>2871</v>
      </c>
      <c r="D637" s="300">
        <v>2473.12</v>
      </c>
      <c r="E637" s="350">
        <f t="shared" si="19"/>
        <v>2005.45</v>
      </c>
      <c r="F637" s="298" t="s">
        <v>98</v>
      </c>
      <c r="G637" s="301">
        <f t="shared" si="20"/>
        <v>2084.2600000000002</v>
      </c>
    </row>
    <row r="638" spans="1:7" x14ac:dyDescent="0.25">
      <c r="A638" s="297">
        <v>41117</v>
      </c>
      <c r="B638" s="298" t="s">
        <v>3256</v>
      </c>
      <c r="C638" s="299" t="s">
        <v>2871</v>
      </c>
      <c r="D638" s="300">
        <v>3052.77</v>
      </c>
      <c r="E638" s="350">
        <f t="shared" si="19"/>
        <v>2475.4899999999998</v>
      </c>
      <c r="F638" s="298" t="s">
        <v>98</v>
      </c>
      <c r="G638" s="301">
        <f t="shared" si="20"/>
        <v>2572.77</v>
      </c>
    </row>
    <row r="639" spans="1:7" x14ac:dyDescent="0.25">
      <c r="A639" s="297">
        <v>40572</v>
      </c>
      <c r="B639" s="298" t="s">
        <v>3257</v>
      </c>
      <c r="C639" s="299" t="s">
        <v>2871</v>
      </c>
      <c r="D639" s="300">
        <v>24168.91</v>
      </c>
      <c r="E639" s="350">
        <f t="shared" si="19"/>
        <v>19598.54</v>
      </c>
      <c r="F639" s="298" t="s">
        <v>3693</v>
      </c>
      <c r="G639" s="301">
        <f t="shared" si="20"/>
        <v>20368.7</v>
      </c>
    </row>
    <row r="640" spans="1:7" x14ac:dyDescent="0.25">
      <c r="A640" s="297">
        <v>40553</v>
      </c>
      <c r="B640" s="298" t="s">
        <v>4095</v>
      </c>
      <c r="C640" s="299" t="s">
        <v>2871</v>
      </c>
      <c r="D640" s="300">
        <v>4643.67</v>
      </c>
      <c r="E640" s="350">
        <f t="shared" si="19"/>
        <v>3765.55</v>
      </c>
      <c r="F640" s="298" t="s">
        <v>3693</v>
      </c>
      <c r="G640" s="301">
        <f t="shared" si="20"/>
        <v>3913.53</v>
      </c>
    </row>
    <row r="641" spans="1:7" x14ac:dyDescent="0.25">
      <c r="A641" s="297">
        <v>40554</v>
      </c>
      <c r="B641" s="298" t="s">
        <v>4097</v>
      </c>
      <c r="C641" s="299" t="s">
        <v>2871</v>
      </c>
      <c r="D641" s="300">
        <v>5127.6899999999996</v>
      </c>
      <c r="E641" s="350">
        <f t="shared" si="19"/>
        <v>4158.04</v>
      </c>
      <c r="F641" s="298" t="s">
        <v>3693</v>
      </c>
      <c r="G641" s="301">
        <f t="shared" si="20"/>
        <v>4321.4399999999996</v>
      </c>
    </row>
    <row r="642" spans="1:7" x14ac:dyDescent="0.25">
      <c r="A642" s="297">
        <v>40555</v>
      </c>
      <c r="B642" s="298" t="s">
        <v>4099</v>
      </c>
      <c r="C642" s="299" t="s">
        <v>2871</v>
      </c>
      <c r="D642" s="300">
        <v>5611.72</v>
      </c>
      <c r="E642" s="350">
        <f t="shared" ref="E642:E705" si="21">ROUNDUP(D642/(1+$L$2),2)</f>
        <v>4550.54</v>
      </c>
      <c r="F642" s="298" t="s">
        <v>3693</v>
      </c>
      <c r="G642" s="301">
        <f t="shared" si="20"/>
        <v>4729.37</v>
      </c>
    </row>
    <row r="643" spans="1:7" x14ac:dyDescent="0.25">
      <c r="A643" s="297">
        <v>40556</v>
      </c>
      <c r="B643" s="298" t="s">
        <v>4101</v>
      </c>
      <c r="C643" s="299" t="s">
        <v>2871</v>
      </c>
      <c r="D643" s="300">
        <v>6095.74</v>
      </c>
      <c r="E643" s="350">
        <f t="shared" si="21"/>
        <v>4943.03</v>
      </c>
      <c r="F643" s="298" t="s">
        <v>3693</v>
      </c>
      <c r="G643" s="301">
        <f t="shared" si="20"/>
        <v>5137.28</v>
      </c>
    </row>
    <row r="644" spans="1:7" x14ac:dyDescent="0.25">
      <c r="A644" s="297">
        <v>41086</v>
      </c>
      <c r="B644" s="298" t="s">
        <v>4105</v>
      </c>
      <c r="C644" s="299" t="s">
        <v>2884</v>
      </c>
      <c r="D644" s="300">
        <v>11.85</v>
      </c>
      <c r="E644" s="350">
        <f t="shared" si="21"/>
        <v>9.61</v>
      </c>
      <c r="F644" s="298" t="s">
        <v>98</v>
      </c>
      <c r="G644" s="301">
        <f t="shared" si="20"/>
        <v>9.99</v>
      </c>
    </row>
    <row r="645" spans="1:7" x14ac:dyDescent="0.25">
      <c r="A645" s="297">
        <v>41021</v>
      </c>
      <c r="B645" s="298" t="s">
        <v>3258</v>
      </c>
      <c r="C645" s="299" t="s">
        <v>2884</v>
      </c>
      <c r="D645" s="300">
        <v>9.5</v>
      </c>
      <c r="E645" s="350">
        <f t="shared" si="21"/>
        <v>7.71</v>
      </c>
      <c r="F645" s="298" t="s">
        <v>98</v>
      </c>
      <c r="G645" s="301">
        <f t="shared" si="20"/>
        <v>8.02</v>
      </c>
    </row>
    <row r="646" spans="1:7" x14ac:dyDescent="0.25">
      <c r="A646" s="297">
        <v>40304</v>
      </c>
      <c r="B646" s="298" t="s">
        <v>3259</v>
      </c>
      <c r="C646" s="299" t="s">
        <v>76</v>
      </c>
      <c r="D646" s="300">
        <v>68.02</v>
      </c>
      <c r="E646" s="350">
        <f t="shared" si="21"/>
        <v>55.16</v>
      </c>
      <c r="F646" s="298" t="s">
        <v>3693</v>
      </c>
      <c r="G646" s="301">
        <f t="shared" si="20"/>
        <v>57.33</v>
      </c>
    </row>
    <row r="647" spans="1:7" x14ac:dyDescent="0.25">
      <c r="A647" s="297">
        <v>40302</v>
      </c>
      <c r="B647" s="298" t="s">
        <v>3260</v>
      </c>
      <c r="C647" s="299" t="s">
        <v>76</v>
      </c>
      <c r="D647" s="300">
        <v>75.47</v>
      </c>
      <c r="E647" s="350">
        <f t="shared" si="21"/>
        <v>61.2</v>
      </c>
      <c r="F647" s="298" t="s">
        <v>98</v>
      </c>
      <c r="G647" s="301">
        <f t="shared" si="20"/>
        <v>63.61</v>
      </c>
    </row>
    <row r="648" spans="1:7" x14ac:dyDescent="0.25">
      <c r="A648" s="297">
        <v>40301</v>
      </c>
      <c r="B648" s="298" t="s">
        <v>3261</v>
      </c>
      <c r="C648" s="299" t="s">
        <v>76</v>
      </c>
      <c r="D648" s="300">
        <v>109.44</v>
      </c>
      <c r="E648" s="350">
        <f t="shared" si="21"/>
        <v>88.75</v>
      </c>
      <c r="F648" s="298" t="s">
        <v>98</v>
      </c>
      <c r="G648" s="301">
        <f t="shared" si="20"/>
        <v>92.24</v>
      </c>
    </row>
    <row r="649" spans="1:7" x14ac:dyDescent="0.25">
      <c r="A649" s="297">
        <v>40303</v>
      </c>
      <c r="B649" s="298" t="s">
        <v>3262</v>
      </c>
      <c r="C649" s="299" t="s">
        <v>76</v>
      </c>
      <c r="D649" s="300">
        <v>47.82</v>
      </c>
      <c r="E649" s="350">
        <f t="shared" si="21"/>
        <v>38.78</v>
      </c>
      <c r="F649" s="298" t="s">
        <v>98</v>
      </c>
      <c r="G649" s="301">
        <f t="shared" si="20"/>
        <v>40.31</v>
      </c>
    </row>
    <row r="650" spans="1:7" x14ac:dyDescent="0.25">
      <c r="A650" s="297">
        <v>40559</v>
      </c>
      <c r="B650" s="298" t="s">
        <v>3263</v>
      </c>
      <c r="C650" s="299" t="s">
        <v>2871</v>
      </c>
      <c r="D650" s="300">
        <v>1086.28</v>
      </c>
      <c r="E650" s="350">
        <f t="shared" si="21"/>
        <v>880.87</v>
      </c>
      <c r="F650" s="298" t="s">
        <v>3693</v>
      </c>
      <c r="G650" s="301">
        <f t="shared" si="20"/>
        <v>915.49</v>
      </c>
    </row>
    <row r="651" spans="1:7" x14ac:dyDescent="0.25">
      <c r="A651" s="297">
        <v>41224</v>
      </c>
      <c r="B651" s="298" t="s">
        <v>3264</v>
      </c>
      <c r="C651" s="299" t="s">
        <v>82</v>
      </c>
      <c r="D651" s="300">
        <v>21.02</v>
      </c>
      <c r="E651" s="350">
        <f t="shared" si="21"/>
        <v>17.05</v>
      </c>
      <c r="F651" s="298" t="s">
        <v>98</v>
      </c>
      <c r="G651" s="301">
        <f t="shared" si="20"/>
        <v>17.73</v>
      </c>
    </row>
    <row r="652" spans="1:7" x14ac:dyDescent="0.25">
      <c r="A652" s="297">
        <v>41225</v>
      </c>
      <c r="B652" s="298" t="s">
        <v>3265</v>
      </c>
      <c r="C652" s="299" t="s">
        <v>82</v>
      </c>
      <c r="D652" s="300">
        <v>24.79</v>
      </c>
      <c r="E652" s="350">
        <f t="shared" si="21"/>
        <v>20.11</v>
      </c>
      <c r="F652" s="298" t="s">
        <v>98</v>
      </c>
      <c r="G652" s="301">
        <f t="shared" si="20"/>
        <v>20.91</v>
      </c>
    </row>
    <row r="653" spans="1:7" x14ac:dyDescent="0.25">
      <c r="A653" s="297">
        <v>41226</v>
      </c>
      <c r="B653" s="298" t="s">
        <v>3266</v>
      </c>
      <c r="C653" s="299" t="s">
        <v>82</v>
      </c>
      <c r="D653" s="300">
        <v>29.39</v>
      </c>
      <c r="E653" s="350">
        <f t="shared" si="21"/>
        <v>23.84</v>
      </c>
      <c r="F653" s="298" t="s">
        <v>98</v>
      </c>
      <c r="G653" s="301">
        <f t="shared" si="20"/>
        <v>24.78</v>
      </c>
    </row>
    <row r="654" spans="1:7" x14ac:dyDescent="0.25">
      <c r="A654" s="297">
        <v>41060</v>
      </c>
      <c r="B654" s="298" t="s">
        <v>3267</v>
      </c>
      <c r="C654" s="299" t="s">
        <v>82</v>
      </c>
      <c r="D654" s="300">
        <v>106.04</v>
      </c>
      <c r="E654" s="350">
        <f t="shared" si="21"/>
        <v>85.99</v>
      </c>
      <c r="F654" s="298" t="s">
        <v>98</v>
      </c>
      <c r="G654" s="301">
        <f t="shared" si="20"/>
        <v>89.37</v>
      </c>
    </row>
    <row r="655" spans="1:7" x14ac:dyDescent="0.25">
      <c r="A655" s="297">
        <v>41059</v>
      </c>
      <c r="B655" s="298" t="s">
        <v>3268</v>
      </c>
      <c r="C655" s="299" t="s">
        <v>82</v>
      </c>
      <c r="D655" s="300">
        <v>149.59</v>
      </c>
      <c r="E655" s="350">
        <f t="shared" si="21"/>
        <v>121.31</v>
      </c>
      <c r="F655" s="298" t="s">
        <v>98</v>
      </c>
      <c r="G655" s="301">
        <f t="shared" si="20"/>
        <v>126.08</v>
      </c>
    </row>
    <row r="656" spans="1:7" x14ac:dyDescent="0.25">
      <c r="A656" s="297">
        <v>40567</v>
      </c>
      <c r="B656" s="298" t="s">
        <v>3269</v>
      </c>
      <c r="C656" s="299" t="s">
        <v>82</v>
      </c>
      <c r="D656" s="300">
        <v>91.95</v>
      </c>
      <c r="E656" s="350">
        <f t="shared" si="21"/>
        <v>74.569999999999993</v>
      </c>
      <c r="F656" s="298" t="s">
        <v>98</v>
      </c>
      <c r="G656" s="301">
        <f t="shared" si="20"/>
        <v>77.510000000000005</v>
      </c>
    </row>
    <row r="657" spans="1:7" x14ac:dyDescent="0.25">
      <c r="A657" s="297">
        <v>40747</v>
      </c>
      <c r="B657" s="298" t="s">
        <v>3270</v>
      </c>
      <c r="C657" s="299" t="s">
        <v>82</v>
      </c>
      <c r="D657" s="300">
        <v>147.6</v>
      </c>
      <c r="E657" s="350">
        <f t="shared" si="21"/>
        <v>119.69</v>
      </c>
      <c r="F657" s="298" t="s">
        <v>98</v>
      </c>
      <c r="G657" s="301">
        <f t="shared" si="20"/>
        <v>124.4</v>
      </c>
    </row>
    <row r="658" spans="1:7" x14ac:dyDescent="0.25">
      <c r="A658" s="297">
        <v>40727</v>
      </c>
      <c r="B658" s="298" t="s">
        <v>3271</v>
      </c>
      <c r="C658" s="299" t="s">
        <v>76</v>
      </c>
      <c r="D658" s="300">
        <v>352.31</v>
      </c>
      <c r="E658" s="350">
        <f t="shared" si="21"/>
        <v>285.69</v>
      </c>
      <c r="F658" s="298" t="s">
        <v>3693</v>
      </c>
      <c r="G658" s="301">
        <f t="shared" si="20"/>
        <v>296.92</v>
      </c>
    </row>
    <row r="659" spans="1:7" x14ac:dyDescent="0.25">
      <c r="A659" s="297">
        <v>41264</v>
      </c>
      <c r="B659" s="298" t="s">
        <v>3272</v>
      </c>
      <c r="C659" s="299" t="s">
        <v>76</v>
      </c>
      <c r="D659" s="300">
        <v>478.02</v>
      </c>
      <c r="E659" s="350">
        <f t="shared" si="21"/>
        <v>387.63</v>
      </c>
      <c r="F659" s="298" t="s">
        <v>3693</v>
      </c>
      <c r="G659" s="301">
        <f t="shared" si="20"/>
        <v>402.87</v>
      </c>
    </row>
    <row r="660" spans="1:7" x14ac:dyDescent="0.25">
      <c r="A660" s="297">
        <v>41239</v>
      </c>
      <c r="B660" s="298" t="s">
        <v>3273</v>
      </c>
      <c r="C660" s="299" t="s">
        <v>76</v>
      </c>
      <c r="D660" s="300">
        <v>108.85</v>
      </c>
      <c r="E660" s="350">
        <f t="shared" si="21"/>
        <v>88.27</v>
      </c>
      <c r="F660" s="298" t="s">
        <v>98</v>
      </c>
      <c r="G660" s="301">
        <f t="shared" si="20"/>
        <v>91.74</v>
      </c>
    </row>
    <row r="661" spans="1:7" x14ac:dyDescent="0.25">
      <c r="A661" s="297">
        <v>40688</v>
      </c>
      <c r="B661" s="298" t="s">
        <v>3274</v>
      </c>
      <c r="C661" s="299" t="s">
        <v>2871</v>
      </c>
      <c r="D661" s="300">
        <v>381.95</v>
      </c>
      <c r="E661" s="350">
        <f t="shared" si="21"/>
        <v>309.73</v>
      </c>
      <c r="F661" s="298" t="s">
        <v>98</v>
      </c>
      <c r="G661" s="301">
        <f t="shared" si="20"/>
        <v>321.91000000000003</v>
      </c>
    </row>
    <row r="662" spans="1:7" x14ac:dyDescent="0.25">
      <c r="A662" s="297">
        <v>40690</v>
      </c>
      <c r="B662" s="298" t="s">
        <v>3275</v>
      </c>
      <c r="C662" s="299" t="s">
        <v>2871</v>
      </c>
      <c r="D662" s="300">
        <v>1629.87</v>
      </c>
      <c r="E662" s="350">
        <f t="shared" si="21"/>
        <v>1321.66</v>
      </c>
      <c r="F662" s="298" t="s">
        <v>98</v>
      </c>
      <c r="G662" s="301">
        <f t="shared" si="20"/>
        <v>1373.6</v>
      </c>
    </row>
    <row r="663" spans="1:7" x14ac:dyDescent="0.25">
      <c r="A663" s="297">
        <v>40691</v>
      </c>
      <c r="B663" s="298" t="s">
        <v>3276</v>
      </c>
      <c r="C663" s="299" t="s">
        <v>2871</v>
      </c>
      <c r="D663" s="300">
        <v>1947.51</v>
      </c>
      <c r="E663" s="350">
        <f t="shared" si="21"/>
        <v>1579.24</v>
      </c>
      <c r="F663" s="298" t="s">
        <v>98</v>
      </c>
      <c r="G663" s="301">
        <f t="shared" si="20"/>
        <v>1641.3</v>
      </c>
    </row>
    <row r="664" spans="1:7" x14ac:dyDescent="0.25">
      <c r="A664" s="297">
        <v>40689</v>
      </c>
      <c r="B664" s="298" t="s">
        <v>3277</v>
      </c>
      <c r="C664" s="299" t="s">
        <v>2871</v>
      </c>
      <c r="D664" s="300">
        <v>849.9</v>
      </c>
      <c r="E664" s="350">
        <f t="shared" si="21"/>
        <v>689.19</v>
      </c>
      <c r="F664" s="298" t="s">
        <v>98</v>
      </c>
      <c r="G664" s="301">
        <f t="shared" ref="G664:G720" si="22">ROUNDUP(E664*$H$2,2)</f>
        <v>716.28</v>
      </c>
    </row>
    <row r="665" spans="1:7" x14ac:dyDescent="0.25">
      <c r="A665" s="297">
        <v>40666</v>
      </c>
      <c r="B665" s="298" t="s">
        <v>3278</v>
      </c>
      <c r="C665" s="299" t="s">
        <v>82</v>
      </c>
      <c r="D665" s="300">
        <v>97.12</v>
      </c>
      <c r="E665" s="350">
        <f t="shared" si="21"/>
        <v>78.760000000000005</v>
      </c>
      <c r="F665" s="298" t="s">
        <v>98</v>
      </c>
      <c r="G665" s="301">
        <f t="shared" si="22"/>
        <v>81.86</v>
      </c>
    </row>
    <row r="666" spans="1:7" x14ac:dyDescent="0.25">
      <c r="A666" s="297">
        <v>40667</v>
      </c>
      <c r="B666" s="298" t="s">
        <v>3279</v>
      </c>
      <c r="C666" s="299" t="s">
        <v>82</v>
      </c>
      <c r="D666" s="300">
        <v>101.57</v>
      </c>
      <c r="E666" s="350">
        <f t="shared" si="21"/>
        <v>82.37</v>
      </c>
      <c r="F666" s="298" t="s">
        <v>98</v>
      </c>
      <c r="G666" s="301">
        <f t="shared" si="22"/>
        <v>85.61</v>
      </c>
    </row>
    <row r="667" spans="1:7" x14ac:dyDescent="0.25">
      <c r="A667" s="297">
        <v>41180</v>
      </c>
      <c r="B667" s="298" t="s">
        <v>4132</v>
      </c>
      <c r="C667" s="299" t="s">
        <v>82</v>
      </c>
      <c r="D667" s="300">
        <v>89.77</v>
      </c>
      <c r="E667" s="350">
        <f t="shared" si="21"/>
        <v>72.8</v>
      </c>
      <c r="F667" s="298" t="s">
        <v>3693</v>
      </c>
      <c r="G667" s="301">
        <f t="shared" si="22"/>
        <v>75.67</v>
      </c>
    </row>
    <row r="668" spans="1:7" x14ac:dyDescent="0.25">
      <c r="A668" s="297">
        <v>40668</v>
      </c>
      <c r="B668" s="298" t="s">
        <v>3280</v>
      </c>
      <c r="C668" s="299" t="s">
        <v>82</v>
      </c>
      <c r="D668" s="300">
        <v>116.85</v>
      </c>
      <c r="E668" s="350">
        <f t="shared" si="21"/>
        <v>94.76</v>
      </c>
      <c r="F668" s="298" t="s">
        <v>98</v>
      </c>
      <c r="G668" s="301">
        <f t="shared" si="22"/>
        <v>98.49</v>
      </c>
    </row>
    <row r="669" spans="1:7" x14ac:dyDescent="0.25">
      <c r="A669" s="297">
        <v>40982</v>
      </c>
      <c r="B669" s="298" t="s">
        <v>3281</v>
      </c>
      <c r="C669" s="299" t="s">
        <v>82</v>
      </c>
      <c r="D669" s="300">
        <v>222.46</v>
      </c>
      <c r="E669" s="350">
        <f t="shared" si="21"/>
        <v>180.4</v>
      </c>
      <c r="F669" s="298" t="s">
        <v>98</v>
      </c>
      <c r="G669" s="301">
        <f t="shared" si="22"/>
        <v>187.49</v>
      </c>
    </row>
    <row r="670" spans="1:7" x14ac:dyDescent="0.25">
      <c r="A670" s="297">
        <v>41336</v>
      </c>
      <c r="B670" s="298" t="s">
        <v>3282</v>
      </c>
      <c r="C670" s="299" t="s">
        <v>82</v>
      </c>
      <c r="D670" s="300">
        <v>116.79</v>
      </c>
      <c r="E670" s="350">
        <f t="shared" si="21"/>
        <v>94.71</v>
      </c>
      <c r="F670" s="298" t="s">
        <v>3693</v>
      </c>
      <c r="G670" s="301">
        <f t="shared" si="22"/>
        <v>98.44</v>
      </c>
    </row>
    <row r="671" spans="1:7" x14ac:dyDescent="0.25">
      <c r="A671" s="297">
        <v>40669</v>
      </c>
      <c r="B671" s="298" t="s">
        <v>3283</v>
      </c>
      <c r="C671" s="299" t="s">
        <v>82</v>
      </c>
      <c r="D671" s="300">
        <v>96</v>
      </c>
      <c r="E671" s="350">
        <f t="shared" si="21"/>
        <v>77.849999999999994</v>
      </c>
      <c r="F671" s="298" t="s">
        <v>98</v>
      </c>
      <c r="G671" s="301">
        <f t="shared" si="22"/>
        <v>80.91</v>
      </c>
    </row>
    <row r="672" spans="1:7" x14ac:dyDescent="0.25">
      <c r="A672" s="297">
        <v>40670</v>
      </c>
      <c r="B672" s="298" t="s">
        <v>3284</v>
      </c>
      <c r="C672" s="299" t="s">
        <v>82</v>
      </c>
      <c r="D672" s="300">
        <v>71.400000000000006</v>
      </c>
      <c r="E672" s="350">
        <f t="shared" si="21"/>
        <v>57.9</v>
      </c>
      <c r="F672" s="298" t="s">
        <v>98</v>
      </c>
      <c r="G672" s="301">
        <f t="shared" si="22"/>
        <v>60.18</v>
      </c>
    </row>
    <row r="673" spans="1:7" x14ac:dyDescent="0.25">
      <c r="A673" s="297">
        <v>40560</v>
      </c>
      <c r="B673" s="298" t="s">
        <v>3285</v>
      </c>
      <c r="C673" s="299" t="s">
        <v>2871</v>
      </c>
      <c r="D673" s="300">
        <v>243.69</v>
      </c>
      <c r="E673" s="350">
        <f t="shared" si="21"/>
        <v>197.61</v>
      </c>
      <c r="F673" s="298" t="s">
        <v>3693</v>
      </c>
      <c r="G673" s="301">
        <f t="shared" si="22"/>
        <v>205.38</v>
      </c>
    </row>
    <row r="674" spans="1:7" x14ac:dyDescent="0.25">
      <c r="A674" s="297">
        <v>40558</v>
      </c>
      <c r="B674" s="298" t="s">
        <v>3286</v>
      </c>
      <c r="C674" s="299" t="s">
        <v>2871</v>
      </c>
      <c r="D674" s="300">
        <v>663.76</v>
      </c>
      <c r="E674" s="350">
        <f t="shared" si="21"/>
        <v>538.25</v>
      </c>
      <c r="F674" s="298" t="s">
        <v>3693</v>
      </c>
      <c r="G674" s="301">
        <f t="shared" si="22"/>
        <v>559.41</v>
      </c>
    </row>
    <row r="675" spans="1:7" x14ac:dyDescent="0.25">
      <c r="A675" s="297">
        <v>41029</v>
      </c>
      <c r="B675" s="298" t="s">
        <v>3287</v>
      </c>
      <c r="C675" s="299" t="s">
        <v>2884</v>
      </c>
      <c r="D675" s="300">
        <v>49.73</v>
      </c>
      <c r="E675" s="350">
        <f t="shared" si="21"/>
        <v>40.33</v>
      </c>
      <c r="F675" s="298" t="s">
        <v>98</v>
      </c>
      <c r="G675" s="301">
        <f t="shared" si="22"/>
        <v>41.92</v>
      </c>
    </row>
    <row r="676" spans="1:7" x14ac:dyDescent="0.25">
      <c r="A676" s="297">
        <v>41040</v>
      </c>
      <c r="B676" s="298" t="s">
        <v>3288</v>
      </c>
      <c r="C676" s="299" t="s">
        <v>2884</v>
      </c>
      <c r="D676" s="300">
        <v>56.14</v>
      </c>
      <c r="E676" s="350">
        <f t="shared" si="21"/>
        <v>45.53</v>
      </c>
      <c r="F676" s="298" t="s">
        <v>98</v>
      </c>
      <c r="G676" s="301">
        <f t="shared" si="22"/>
        <v>47.32</v>
      </c>
    </row>
    <row r="677" spans="1:7" x14ac:dyDescent="0.25">
      <c r="A677" s="297">
        <v>42658</v>
      </c>
      <c r="B677" s="298" t="s">
        <v>3289</v>
      </c>
      <c r="C677" s="299" t="s">
        <v>2884</v>
      </c>
      <c r="D677" s="300">
        <v>95.69</v>
      </c>
      <c r="E677" s="350">
        <f t="shared" si="21"/>
        <v>77.599999999999994</v>
      </c>
      <c r="F677" s="298" t="s">
        <v>98</v>
      </c>
      <c r="G677" s="301">
        <f t="shared" si="22"/>
        <v>80.650000000000006</v>
      </c>
    </row>
    <row r="678" spans="1:7" x14ac:dyDescent="0.25">
      <c r="A678" s="297">
        <v>40655</v>
      </c>
      <c r="B678" s="298" t="s">
        <v>3290</v>
      </c>
      <c r="C678" s="299" t="s">
        <v>2871</v>
      </c>
      <c r="D678" s="300">
        <v>407.78</v>
      </c>
      <c r="E678" s="350">
        <f t="shared" si="21"/>
        <v>330.67</v>
      </c>
      <c r="F678" s="298" t="s">
        <v>3693</v>
      </c>
      <c r="G678" s="301">
        <f t="shared" si="22"/>
        <v>343.67</v>
      </c>
    </row>
    <row r="679" spans="1:7" x14ac:dyDescent="0.25">
      <c r="A679" s="297">
        <v>41092</v>
      </c>
      <c r="B679" s="298" t="s">
        <v>3291</v>
      </c>
      <c r="C679" s="299" t="s">
        <v>3292</v>
      </c>
      <c r="D679" s="300">
        <v>26.95</v>
      </c>
      <c r="E679" s="350">
        <f t="shared" si="21"/>
        <v>21.86</v>
      </c>
      <c r="F679" s="298" t="s">
        <v>98</v>
      </c>
      <c r="G679" s="301">
        <f t="shared" si="22"/>
        <v>22.72</v>
      </c>
    </row>
    <row r="680" spans="1:7" x14ac:dyDescent="0.25">
      <c r="A680" s="297">
        <v>41091</v>
      </c>
      <c r="B680" s="298" t="s">
        <v>3293</v>
      </c>
      <c r="C680" s="299" t="s">
        <v>3292</v>
      </c>
      <c r="D680" s="300">
        <v>36.46</v>
      </c>
      <c r="E680" s="350">
        <f t="shared" si="21"/>
        <v>29.57</v>
      </c>
      <c r="F680" s="298" t="s">
        <v>98</v>
      </c>
      <c r="G680" s="301">
        <f t="shared" si="22"/>
        <v>30.74</v>
      </c>
    </row>
    <row r="681" spans="1:7" x14ac:dyDescent="0.25">
      <c r="A681" s="297">
        <v>40706</v>
      </c>
      <c r="B681" s="298" t="s">
        <v>3294</v>
      </c>
      <c r="C681" s="299" t="s">
        <v>82</v>
      </c>
      <c r="D681" s="300">
        <v>360.16</v>
      </c>
      <c r="E681" s="350">
        <f t="shared" si="21"/>
        <v>292.06</v>
      </c>
      <c r="F681" s="298" t="s">
        <v>3693</v>
      </c>
      <c r="G681" s="301">
        <f t="shared" si="22"/>
        <v>303.54000000000002</v>
      </c>
    </row>
    <row r="682" spans="1:7" x14ac:dyDescent="0.25">
      <c r="A682" s="297">
        <v>40651</v>
      </c>
      <c r="B682" s="298" t="s">
        <v>4159</v>
      </c>
      <c r="C682" s="299" t="s">
        <v>82</v>
      </c>
      <c r="D682" s="300">
        <v>505.61</v>
      </c>
      <c r="E682" s="350">
        <f t="shared" si="21"/>
        <v>410</v>
      </c>
      <c r="F682" s="298" t="s">
        <v>3693</v>
      </c>
      <c r="G682" s="301">
        <f t="shared" si="22"/>
        <v>426.12</v>
      </c>
    </row>
    <row r="683" spans="1:7" x14ac:dyDescent="0.25">
      <c r="A683" s="297">
        <v>41122</v>
      </c>
      <c r="B683" s="298" t="s">
        <v>3295</v>
      </c>
      <c r="C683" s="299" t="s">
        <v>82</v>
      </c>
      <c r="D683" s="300">
        <v>30.39</v>
      </c>
      <c r="E683" s="350">
        <f t="shared" si="21"/>
        <v>24.65</v>
      </c>
      <c r="F683" s="298" t="s">
        <v>98</v>
      </c>
      <c r="G683" s="301">
        <f t="shared" si="22"/>
        <v>25.62</v>
      </c>
    </row>
    <row r="684" spans="1:7" x14ac:dyDescent="0.25">
      <c r="A684" s="297">
        <v>41123</v>
      </c>
      <c r="B684" s="298" t="s">
        <v>3296</v>
      </c>
      <c r="C684" s="299" t="s">
        <v>82</v>
      </c>
      <c r="D684" s="300">
        <v>77.959999999999994</v>
      </c>
      <c r="E684" s="350">
        <f t="shared" si="21"/>
        <v>63.22</v>
      </c>
      <c r="F684" s="298" t="s">
        <v>98</v>
      </c>
      <c r="G684" s="301">
        <f t="shared" si="22"/>
        <v>65.709999999999994</v>
      </c>
    </row>
    <row r="685" spans="1:7" x14ac:dyDescent="0.25">
      <c r="A685" s="297">
        <v>41125</v>
      </c>
      <c r="B685" s="298" t="s">
        <v>3297</v>
      </c>
      <c r="C685" s="299" t="s">
        <v>82</v>
      </c>
      <c r="D685" s="300">
        <v>62.94</v>
      </c>
      <c r="E685" s="350">
        <f t="shared" si="21"/>
        <v>51.04</v>
      </c>
      <c r="F685" s="298" t="s">
        <v>98</v>
      </c>
      <c r="G685" s="301">
        <f t="shared" si="22"/>
        <v>53.05</v>
      </c>
    </row>
    <row r="686" spans="1:7" x14ac:dyDescent="0.25">
      <c r="A686" s="297">
        <v>41119</v>
      </c>
      <c r="B686" s="298" t="s">
        <v>3298</v>
      </c>
      <c r="C686" s="299" t="s">
        <v>82</v>
      </c>
      <c r="D686" s="300">
        <v>10.75</v>
      </c>
      <c r="E686" s="350">
        <f t="shared" si="21"/>
        <v>8.7200000000000006</v>
      </c>
      <c r="F686" s="298" t="s">
        <v>98</v>
      </c>
      <c r="G686" s="301">
        <f t="shared" si="22"/>
        <v>9.07</v>
      </c>
    </row>
    <row r="687" spans="1:7" x14ac:dyDescent="0.25">
      <c r="A687" s="297">
        <v>41114</v>
      </c>
      <c r="B687" s="298" t="s">
        <v>3299</v>
      </c>
      <c r="C687" s="299" t="s">
        <v>82</v>
      </c>
      <c r="D687" s="300">
        <v>10.17</v>
      </c>
      <c r="E687" s="350">
        <f t="shared" si="21"/>
        <v>8.25</v>
      </c>
      <c r="F687" s="298" t="s">
        <v>98</v>
      </c>
      <c r="G687" s="301">
        <f t="shared" si="22"/>
        <v>8.58</v>
      </c>
    </row>
    <row r="688" spans="1:7" x14ac:dyDescent="0.25">
      <c r="A688" s="297">
        <v>40707</v>
      </c>
      <c r="B688" s="298" t="s">
        <v>3300</v>
      </c>
      <c r="C688" s="299" t="s">
        <v>82</v>
      </c>
      <c r="D688" s="300">
        <v>252.16</v>
      </c>
      <c r="E688" s="350">
        <f t="shared" si="21"/>
        <v>204.48</v>
      </c>
      <c r="F688" s="298" t="s">
        <v>3693</v>
      </c>
      <c r="G688" s="301">
        <f t="shared" si="22"/>
        <v>212.52</v>
      </c>
    </row>
    <row r="689" spans="1:7" x14ac:dyDescent="0.25">
      <c r="A689" s="297">
        <v>41118</v>
      </c>
      <c r="B689" s="298" t="s">
        <v>3301</v>
      </c>
      <c r="C689" s="299" t="s">
        <v>82</v>
      </c>
      <c r="D689" s="300">
        <v>19.41</v>
      </c>
      <c r="E689" s="350">
        <f t="shared" si="21"/>
        <v>15.74</v>
      </c>
      <c r="F689" s="298" t="s">
        <v>98</v>
      </c>
      <c r="G689" s="301">
        <f t="shared" si="22"/>
        <v>16.36</v>
      </c>
    </row>
    <row r="690" spans="1:7" x14ac:dyDescent="0.25">
      <c r="A690" s="297">
        <v>40702</v>
      </c>
      <c r="B690" s="298" t="s">
        <v>3302</v>
      </c>
      <c r="C690" s="299" t="s">
        <v>76</v>
      </c>
      <c r="D690" s="300">
        <v>410.91</v>
      </c>
      <c r="E690" s="350">
        <f t="shared" si="21"/>
        <v>333.21</v>
      </c>
      <c r="F690" s="298" t="s">
        <v>3693</v>
      </c>
      <c r="G690" s="301">
        <f t="shared" si="22"/>
        <v>346.31</v>
      </c>
    </row>
    <row r="691" spans="1:7" x14ac:dyDescent="0.25">
      <c r="A691" s="297">
        <v>40701</v>
      </c>
      <c r="B691" s="298" t="s">
        <v>3303</v>
      </c>
      <c r="C691" s="299" t="s">
        <v>76</v>
      </c>
      <c r="D691" s="300">
        <v>193.73</v>
      </c>
      <c r="E691" s="350">
        <f t="shared" si="21"/>
        <v>157.1</v>
      </c>
      <c r="F691" s="298" t="s">
        <v>3693</v>
      </c>
      <c r="G691" s="301">
        <f t="shared" si="22"/>
        <v>163.28</v>
      </c>
    </row>
    <row r="692" spans="1:7" x14ac:dyDescent="0.25">
      <c r="A692" s="297">
        <v>40698</v>
      </c>
      <c r="B692" s="298" t="s">
        <v>3304</v>
      </c>
      <c r="C692" s="299" t="s">
        <v>82</v>
      </c>
      <c r="D692" s="300">
        <v>94.54</v>
      </c>
      <c r="E692" s="350">
        <f t="shared" si="21"/>
        <v>76.67</v>
      </c>
      <c r="F692" s="298" t="s">
        <v>3693</v>
      </c>
      <c r="G692" s="301">
        <f t="shared" si="22"/>
        <v>79.69</v>
      </c>
    </row>
    <row r="693" spans="1:7" x14ac:dyDescent="0.25">
      <c r="A693" s="297">
        <v>40700</v>
      </c>
      <c r="B693" s="298" t="s">
        <v>3305</v>
      </c>
      <c r="C693" s="299" t="s">
        <v>82</v>
      </c>
      <c r="D693" s="300">
        <v>103.47</v>
      </c>
      <c r="E693" s="350">
        <f t="shared" si="21"/>
        <v>83.91</v>
      </c>
      <c r="F693" s="298" t="s">
        <v>3693</v>
      </c>
      <c r="G693" s="301">
        <f t="shared" si="22"/>
        <v>87.21</v>
      </c>
    </row>
    <row r="694" spans="1:7" x14ac:dyDescent="0.25">
      <c r="A694" s="297">
        <v>40696</v>
      </c>
      <c r="B694" s="298" t="s">
        <v>3306</v>
      </c>
      <c r="C694" s="299" t="s">
        <v>82</v>
      </c>
      <c r="D694" s="300">
        <v>203.31</v>
      </c>
      <c r="E694" s="350">
        <f t="shared" si="21"/>
        <v>164.87</v>
      </c>
      <c r="F694" s="298" t="s">
        <v>3693</v>
      </c>
      <c r="G694" s="301">
        <f t="shared" si="22"/>
        <v>171.35</v>
      </c>
    </row>
    <row r="695" spans="1:7" x14ac:dyDescent="0.25">
      <c r="A695" s="297">
        <v>40695</v>
      </c>
      <c r="B695" s="298" t="s">
        <v>3307</v>
      </c>
      <c r="C695" s="299" t="s">
        <v>82</v>
      </c>
      <c r="D695" s="300">
        <v>74.41</v>
      </c>
      <c r="E695" s="350">
        <f t="shared" si="21"/>
        <v>60.34</v>
      </c>
      <c r="F695" s="298" t="s">
        <v>98</v>
      </c>
      <c r="G695" s="301">
        <f t="shared" si="22"/>
        <v>62.72</v>
      </c>
    </row>
    <row r="696" spans="1:7" x14ac:dyDescent="0.25">
      <c r="A696" s="297">
        <v>40692</v>
      </c>
      <c r="B696" s="298" t="s">
        <v>3308</v>
      </c>
      <c r="C696" s="299" t="s">
        <v>82</v>
      </c>
      <c r="D696" s="300">
        <v>4.1399999999999997</v>
      </c>
      <c r="E696" s="350">
        <f t="shared" si="21"/>
        <v>3.36</v>
      </c>
      <c r="F696" s="298" t="s">
        <v>98</v>
      </c>
      <c r="G696" s="301">
        <f t="shared" si="22"/>
        <v>3.5</v>
      </c>
    </row>
    <row r="697" spans="1:7" x14ac:dyDescent="0.25">
      <c r="A697" s="297">
        <v>40697</v>
      </c>
      <c r="B697" s="298" t="s">
        <v>3309</v>
      </c>
      <c r="C697" s="299" t="s">
        <v>82</v>
      </c>
      <c r="D697" s="300">
        <v>92.65</v>
      </c>
      <c r="E697" s="350">
        <f t="shared" si="21"/>
        <v>75.13</v>
      </c>
      <c r="F697" s="298" t="s">
        <v>3693</v>
      </c>
      <c r="G697" s="301">
        <f t="shared" si="22"/>
        <v>78.09</v>
      </c>
    </row>
    <row r="698" spans="1:7" x14ac:dyDescent="0.25">
      <c r="A698" s="297">
        <v>40699</v>
      </c>
      <c r="B698" s="298" t="s">
        <v>3310</v>
      </c>
      <c r="C698" s="299" t="s">
        <v>82</v>
      </c>
      <c r="D698" s="300">
        <v>240.14</v>
      </c>
      <c r="E698" s="350">
        <f t="shared" si="21"/>
        <v>194.73</v>
      </c>
      <c r="F698" s="298" t="s">
        <v>3693</v>
      </c>
      <c r="G698" s="301">
        <f t="shared" si="22"/>
        <v>202.39</v>
      </c>
    </row>
    <row r="699" spans="1:7" x14ac:dyDescent="0.25">
      <c r="A699" s="297">
        <v>40693</v>
      </c>
      <c r="B699" s="298" t="s">
        <v>3311</v>
      </c>
      <c r="C699" s="299" t="s">
        <v>82</v>
      </c>
      <c r="D699" s="300">
        <v>40.28</v>
      </c>
      <c r="E699" s="350">
        <f t="shared" si="21"/>
        <v>32.67</v>
      </c>
      <c r="F699" s="298" t="s">
        <v>98</v>
      </c>
      <c r="G699" s="301">
        <f t="shared" si="22"/>
        <v>33.96</v>
      </c>
    </row>
    <row r="700" spans="1:7" x14ac:dyDescent="0.25">
      <c r="A700" s="297">
        <v>40694</v>
      </c>
      <c r="B700" s="298" t="s">
        <v>3312</v>
      </c>
      <c r="C700" s="299" t="s">
        <v>82</v>
      </c>
      <c r="D700" s="300">
        <v>78.92</v>
      </c>
      <c r="E700" s="350">
        <f t="shared" si="21"/>
        <v>64</v>
      </c>
      <c r="F700" s="298" t="s">
        <v>3693</v>
      </c>
      <c r="G700" s="301">
        <f t="shared" si="22"/>
        <v>66.52</v>
      </c>
    </row>
    <row r="701" spans="1:7" x14ac:dyDescent="0.25">
      <c r="A701" s="297">
        <v>40972</v>
      </c>
      <c r="B701" s="298" t="s">
        <v>3727</v>
      </c>
      <c r="C701" s="299" t="s">
        <v>2858</v>
      </c>
      <c r="D701" s="300">
        <v>0</v>
      </c>
      <c r="E701" s="350">
        <f t="shared" si="21"/>
        <v>0</v>
      </c>
      <c r="F701" s="298" t="s">
        <v>98</v>
      </c>
      <c r="G701" s="301">
        <f t="shared" si="22"/>
        <v>0</v>
      </c>
    </row>
    <row r="702" spans="1:7" x14ac:dyDescent="0.25">
      <c r="A702" s="297">
        <v>41405</v>
      </c>
      <c r="B702" s="298" t="s">
        <v>3313</v>
      </c>
      <c r="C702" s="299" t="s">
        <v>284</v>
      </c>
      <c r="D702" s="300">
        <v>4946.68</v>
      </c>
      <c r="E702" s="350">
        <f t="shared" si="21"/>
        <v>4011.26</v>
      </c>
      <c r="F702" s="298" t="s">
        <v>98</v>
      </c>
      <c r="G702" s="301">
        <f t="shared" si="22"/>
        <v>4168.8900000000003</v>
      </c>
    </row>
    <row r="703" spans="1:7" x14ac:dyDescent="0.25">
      <c r="A703" s="297">
        <v>41360</v>
      </c>
      <c r="B703" s="298" t="s">
        <v>3314</v>
      </c>
      <c r="C703" s="299" t="s">
        <v>284</v>
      </c>
      <c r="D703" s="300">
        <v>4080.09</v>
      </c>
      <c r="E703" s="350">
        <f t="shared" si="21"/>
        <v>3308.54</v>
      </c>
      <c r="F703" s="298" t="s">
        <v>98</v>
      </c>
      <c r="G703" s="301">
        <f t="shared" si="22"/>
        <v>3438.56</v>
      </c>
    </row>
    <row r="704" spans="1:7" x14ac:dyDescent="0.25">
      <c r="A704" s="297">
        <v>40968</v>
      </c>
      <c r="B704" s="298" t="s">
        <v>3315</v>
      </c>
      <c r="C704" s="299" t="s">
        <v>284</v>
      </c>
      <c r="D704" s="300">
        <v>6023.61</v>
      </c>
      <c r="E704" s="350">
        <f t="shared" si="21"/>
        <v>4884.54</v>
      </c>
      <c r="F704" s="298" t="s">
        <v>98</v>
      </c>
      <c r="G704" s="301">
        <f t="shared" si="22"/>
        <v>5076.49</v>
      </c>
    </row>
    <row r="705" spans="1:7" x14ac:dyDescent="0.25">
      <c r="A705" s="297">
        <v>40976</v>
      </c>
      <c r="B705" s="298" t="s">
        <v>3316</v>
      </c>
      <c r="C705" s="299" t="s">
        <v>284</v>
      </c>
      <c r="D705" s="300">
        <v>63150</v>
      </c>
      <c r="E705" s="350">
        <f t="shared" si="21"/>
        <v>51208.24</v>
      </c>
      <c r="F705" s="298" t="s">
        <v>98</v>
      </c>
      <c r="G705" s="301">
        <f t="shared" si="22"/>
        <v>53220.55</v>
      </c>
    </row>
    <row r="706" spans="1:7" x14ac:dyDescent="0.25">
      <c r="A706" s="297">
        <v>101196</v>
      </c>
      <c r="B706" s="298" t="s">
        <v>3927</v>
      </c>
      <c r="C706" s="299" t="s">
        <v>284</v>
      </c>
      <c r="D706" s="300">
        <v>2963.27</v>
      </c>
      <c r="E706" s="350">
        <f t="shared" ref="E706:E769" si="23">ROUNDUP(D706/(1+$L$2),2)</f>
        <v>2402.92</v>
      </c>
      <c r="F706" s="298" t="s">
        <v>98</v>
      </c>
      <c r="G706" s="301">
        <f t="shared" si="22"/>
        <v>2497.35</v>
      </c>
    </row>
    <row r="707" spans="1:7" x14ac:dyDescent="0.25">
      <c r="A707" s="297">
        <v>42545</v>
      </c>
      <c r="B707" s="298" t="s">
        <v>3928</v>
      </c>
      <c r="C707" s="299" t="s">
        <v>284</v>
      </c>
      <c r="D707" s="300">
        <v>3443.67</v>
      </c>
      <c r="E707" s="350">
        <f t="shared" si="23"/>
        <v>2792.47</v>
      </c>
      <c r="F707" s="298" t="s">
        <v>98</v>
      </c>
      <c r="G707" s="301">
        <f t="shared" si="22"/>
        <v>2902.21</v>
      </c>
    </row>
    <row r="708" spans="1:7" x14ac:dyDescent="0.25">
      <c r="A708" s="297">
        <v>40974</v>
      </c>
      <c r="B708" s="298" t="s">
        <v>3317</v>
      </c>
      <c r="C708" s="299" t="s">
        <v>284</v>
      </c>
      <c r="D708" s="300">
        <v>3545.92</v>
      </c>
      <c r="E708" s="350">
        <f t="shared" si="23"/>
        <v>2875.39</v>
      </c>
      <c r="F708" s="298" t="s">
        <v>98</v>
      </c>
      <c r="G708" s="301">
        <f t="shared" si="22"/>
        <v>2988.39</v>
      </c>
    </row>
    <row r="709" spans="1:7" x14ac:dyDescent="0.25">
      <c r="A709" s="297">
        <v>40978</v>
      </c>
      <c r="B709" s="298" t="s">
        <v>3929</v>
      </c>
      <c r="C709" s="299" t="s">
        <v>284</v>
      </c>
      <c r="D709" s="300">
        <v>3730.5</v>
      </c>
      <c r="E709" s="350">
        <f t="shared" si="23"/>
        <v>3025.06</v>
      </c>
      <c r="F709" s="298" t="s">
        <v>98</v>
      </c>
      <c r="G709" s="301">
        <f t="shared" si="22"/>
        <v>3143.94</v>
      </c>
    </row>
    <row r="710" spans="1:7" x14ac:dyDescent="0.25">
      <c r="A710" s="297">
        <v>40975</v>
      </c>
      <c r="B710" s="298" t="s">
        <v>3318</v>
      </c>
      <c r="C710" s="299" t="s">
        <v>284</v>
      </c>
      <c r="D710" s="300">
        <v>2804.87</v>
      </c>
      <c r="E710" s="350">
        <f t="shared" si="23"/>
        <v>2274.4699999999998</v>
      </c>
      <c r="F710" s="298" t="s">
        <v>98</v>
      </c>
      <c r="G710" s="301">
        <f t="shared" si="22"/>
        <v>2363.85</v>
      </c>
    </row>
    <row r="711" spans="1:7" x14ac:dyDescent="0.25">
      <c r="A711" s="297">
        <v>40969</v>
      </c>
      <c r="B711" s="298" t="s">
        <v>3319</v>
      </c>
      <c r="C711" s="299" t="s">
        <v>284</v>
      </c>
      <c r="D711" s="300">
        <v>3441.1</v>
      </c>
      <c r="E711" s="350">
        <f t="shared" si="23"/>
        <v>2790.39</v>
      </c>
      <c r="F711" s="298" t="s">
        <v>98</v>
      </c>
      <c r="G711" s="301">
        <f t="shared" si="22"/>
        <v>2900.05</v>
      </c>
    </row>
    <row r="712" spans="1:7" x14ac:dyDescent="0.25">
      <c r="A712" s="297">
        <v>40971</v>
      </c>
      <c r="B712" s="298" t="s">
        <v>3930</v>
      </c>
      <c r="C712" s="299" t="s">
        <v>284</v>
      </c>
      <c r="D712" s="300">
        <v>3539.17</v>
      </c>
      <c r="E712" s="350">
        <f t="shared" si="23"/>
        <v>2869.91</v>
      </c>
      <c r="F712" s="298" t="s">
        <v>98</v>
      </c>
      <c r="G712" s="301">
        <f t="shared" si="22"/>
        <v>2982.69</v>
      </c>
    </row>
    <row r="713" spans="1:7" x14ac:dyDescent="0.25">
      <c r="A713" s="297">
        <v>40910</v>
      </c>
      <c r="B713" s="298" t="s">
        <v>3320</v>
      </c>
      <c r="C713" s="299" t="s">
        <v>2871</v>
      </c>
      <c r="D713" s="300">
        <v>18437.099999999999</v>
      </c>
      <c r="E713" s="350">
        <f t="shared" si="23"/>
        <v>14950.62</v>
      </c>
      <c r="F713" s="298" t="s">
        <v>98</v>
      </c>
      <c r="G713" s="301">
        <f t="shared" si="22"/>
        <v>15538.13</v>
      </c>
    </row>
    <row r="714" spans="1:7" x14ac:dyDescent="0.25">
      <c r="A714" s="297">
        <v>41362</v>
      </c>
      <c r="B714" s="298" t="s">
        <v>3321</v>
      </c>
      <c r="C714" s="299" t="s">
        <v>2871</v>
      </c>
      <c r="D714" s="300">
        <v>13835.14</v>
      </c>
      <c r="E714" s="350">
        <f t="shared" si="23"/>
        <v>11218.9</v>
      </c>
      <c r="F714" s="298" t="s">
        <v>98</v>
      </c>
      <c r="G714" s="301">
        <f t="shared" si="22"/>
        <v>11659.77</v>
      </c>
    </row>
    <row r="715" spans="1:7" x14ac:dyDescent="0.25">
      <c r="A715" s="297">
        <v>43343</v>
      </c>
      <c r="B715" s="298" t="s">
        <v>3707</v>
      </c>
      <c r="C715" s="299" t="s">
        <v>2884</v>
      </c>
      <c r="D715" s="300">
        <v>115.08</v>
      </c>
      <c r="E715" s="350">
        <f t="shared" si="23"/>
        <v>93.32</v>
      </c>
      <c r="F715" s="298" t="s">
        <v>98</v>
      </c>
      <c r="G715" s="301">
        <f t="shared" si="22"/>
        <v>96.99</v>
      </c>
    </row>
    <row r="716" spans="1:7" x14ac:dyDescent="0.25">
      <c r="A716" s="297">
        <v>41151</v>
      </c>
      <c r="B716" s="298" t="s">
        <v>3322</v>
      </c>
      <c r="C716" s="299" t="s">
        <v>2871</v>
      </c>
      <c r="D716" s="300">
        <v>2933.93</v>
      </c>
      <c r="E716" s="350">
        <f t="shared" si="23"/>
        <v>2379.12</v>
      </c>
      <c r="F716" s="298" t="s">
        <v>98</v>
      </c>
      <c r="G716" s="301">
        <f t="shared" si="22"/>
        <v>2472.62</v>
      </c>
    </row>
    <row r="717" spans="1:7" x14ac:dyDescent="0.25">
      <c r="A717" s="297">
        <v>41346</v>
      </c>
      <c r="B717" s="298" t="s">
        <v>3323</v>
      </c>
      <c r="C717" s="299" t="s">
        <v>82</v>
      </c>
      <c r="D717" s="300">
        <v>53.76</v>
      </c>
      <c r="E717" s="350">
        <f t="shared" si="23"/>
        <v>43.6</v>
      </c>
      <c r="F717" s="298" t="s">
        <v>98</v>
      </c>
      <c r="G717" s="301">
        <f t="shared" si="22"/>
        <v>45.32</v>
      </c>
    </row>
    <row r="718" spans="1:7" x14ac:dyDescent="0.25">
      <c r="A718" s="297">
        <v>41150</v>
      </c>
      <c r="B718" s="298" t="s">
        <v>3324</v>
      </c>
      <c r="C718" s="299" t="s">
        <v>82</v>
      </c>
      <c r="D718" s="300">
        <v>10.72</v>
      </c>
      <c r="E718" s="350">
        <f t="shared" si="23"/>
        <v>8.6999999999999993</v>
      </c>
      <c r="F718" s="298" t="s">
        <v>98</v>
      </c>
      <c r="G718" s="301">
        <f t="shared" si="22"/>
        <v>9.0500000000000007</v>
      </c>
    </row>
    <row r="719" spans="1:7" x14ac:dyDescent="0.25">
      <c r="A719" s="297">
        <v>41149</v>
      </c>
      <c r="B719" s="298" t="s">
        <v>3325</v>
      </c>
      <c r="C719" s="299" t="s">
        <v>82</v>
      </c>
      <c r="D719" s="300">
        <v>10.61</v>
      </c>
      <c r="E719" s="350">
        <f t="shared" si="23"/>
        <v>8.61</v>
      </c>
      <c r="F719" s="298" t="s">
        <v>98</v>
      </c>
      <c r="G719" s="301">
        <f t="shared" si="22"/>
        <v>8.9499999999999993</v>
      </c>
    </row>
    <row r="720" spans="1:7" x14ac:dyDescent="0.25">
      <c r="A720" s="297">
        <v>41410</v>
      </c>
      <c r="B720" s="298" t="s">
        <v>3326</v>
      </c>
      <c r="C720" s="299" t="s">
        <v>82</v>
      </c>
      <c r="D720" s="300">
        <v>12.81</v>
      </c>
      <c r="E720" s="350">
        <f t="shared" si="23"/>
        <v>10.39</v>
      </c>
      <c r="F720" s="298" t="s">
        <v>98</v>
      </c>
      <c r="G720" s="301">
        <f t="shared" si="22"/>
        <v>10.8</v>
      </c>
    </row>
    <row r="721" spans="1:7" x14ac:dyDescent="0.25">
      <c r="A721" s="297">
        <v>41148</v>
      </c>
      <c r="B721" s="298" t="s">
        <v>3327</v>
      </c>
      <c r="C721" s="299" t="s">
        <v>82</v>
      </c>
      <c r="D721" s="300">
        <v>15.16</v>
      </c>
      <c r="E721" s="350">
        <f t="shared" si="23"/>
        <v>12.3</v>
      </c>
      <c r="F721" s="298" t="s">
        <v>98</v>
      </c>
      <c r="G721" s="301">
        <f t="shared" ref="G721:G775" si="24">ROUNDUP(E721*$H$2,2)</f>
        <v>12.79</v>
      </c>
    </row>
    <row r="722" spans="1:7" x14ac:dyDescent="0.25">
      <c r="A722" s="297">
        <v>41152</v>
      </c>
      <c r="B722" s="298" t="s">
        <v>3328</v>
      </c>
      <c r="C722" s="299" t="s">
        <v>2871</v>
      </c>
      <c r="D722" s="300">
        <v>631.32000000000005</v>
      </c>
      <c r="E722" s="350">
        <f t="shared" si="23"/>
        <v>511.94</v>
      </c>
      <c r="F722" s="298" t="s">
        <v>98</v>
      </c>
      <c r="G722" s="301">
        <f t="shared" si="24"/>
        <v>532.05999999999995</v>
      </c>
    </row>
    <row r="723" spans="1:7" x14ac:dyDescent="0.25">
      <c r="A723" s="297">
        <v>41004</v>
      </c>
      <c r="B723" s="298" t="s">
        <v>3329</v>
      </c>
      <c r="C723" s="299" t="s">
        <v>2871</v>
      </c>
      <c r="D723" s="300">
        <v>1192.28</v>
      </c>
      <c r="E723" s="350">
        <f t="shared" si="23"/>
        <v>966.82</v>
      </c>
      <c r="F723" s="298" t="s">
        <v>98</v>
      </c>
      <c r="G723" s="301">
        <f t="shared" si="24"/>
        <v>1004.82</v>
      </c>
    </row>
    <row r="724" spans="1:7" x14ac:dyDescent="0.25">
      <c r="A724" s="297">
        <v>40911</v>
      </c>
      <c r="B724" s="298" t="s">
        <v>3330</v>
      </c>
      <c r="C724" s="299" t="s">
        <v>2884</v>
      </c>
      <c r="D724" s="300">
        <v>53.33</v>
      </c>
      <c r="E724" s="350">
        <f t="shared" si="23"/>
        <v>43.25</v>
      </c>
      <c r="F724" s="298" t="s">
        <v>3693</v>
      </c>
      <c r="G724" s="301">
        <f t="shared" si="24"/>
        <v>44.95</v>
      </c>
    </row>
    <row r="725" spans="1:7" x14ac:dyDescent="0.25">
      <c r="A725" s="297">
        <v>40915</v>
      </c>
      <c r="B725" s="298" t="s">
        <v>3764</v>
      </c>
      <c r="C725" s="299" t="s">
        <v>2884</v>
      </c>
      <c r="D725" s="300">
        <v>110.61</v>
      </c>
      <c r="E725" s="350">
        <f t="shared" si="23"/>
        <v>89.7</v>
      </c>
      <c r="F725" s="298" t="s">
        <v>3693</v>
      </c>
      <c r="G725" s="301">
        <f t="shared" si="24"/>
        <v>93.23</v>
      </c>
    </row>
    <row r="726" spans="1:7" x14ac:dyDescent="0.25">
      <c r="A726" s="297">
        <v>40899</v>
      </c>
      <c r="B726" s="302" t="s">
        <v>4256</v>
      </c>
      <c r="C726" s="299" t="s">
        <v>82</v>
      </c>
      <c r="D726" s="300">
        <v>21.58</v>
      </c>
      <c r="E726" s="350">
        <f t="shared" si="23"/>
        <v>17.5</v>
      </c>
      <c r="F726" s="298" t="s">
        <v>3693</v>
      </c>
      <c r="G726" s="301">
        <f t="shared" si="24"/>
        <v>18.190000000000001</v>
      </c>
    </row>
    <row r="727" spans="1:7" x14ac:dyDescent="0.25">
      <c r="A727" s="297">
        <v>40900</v>
      </c>
      <c r="B727" s="302" t="s">
        <v>4255</v>
      </c>
      <c r="C727" s="299" t="s">
        <v>82</v>
      </c>
      <c r="D727" s="300">
        <v>30.84</v>
      </c>
      <c r="E727" s="350">
        <f t="shared" si="23"/>
        <v>25.01</v>
      </c>
      <c r="F727" s="298" t="s">
        <v>3693</v>
      </c>
      <c r="G727" s="301">
        <f t="shared" si="24"/>
        <v>26</v>
      </c>
    </row>
    <row r="728" spans="1:7" x14ac:dyDescent="0.25">
      <c r="A728" s="297">
        <v>41365</v>
      </c>
      <c r="B728" s="302" t="s">
        <v>4254</v>
      </c>
      <c r="C728" s="299" t="s">
        <v>82</v>
      </c>
      <c r="D728" s="300">
        <v>22.01</v>
      </c>
      <c r="E728" s="350">
        <f t="shared" si="23"/>
        <v>17.850000000000001</v>
      </c>
      <c r="F728" s="298" t="s">
        <v>3693</v>
      </c>
      <c r="G728" s="301">
        <f t="shared" si="24"/>
        <v>18.559999999999999</v>
      </c>
    </row>
    <row r="729" spans="1:7" x14ac:dyDescent="0.25">
      <c r="A729" s="297">
        <v>41110</v>
      </c>
      <c r="B729" s="298" t="s">
        <v>3331</v>
      </c>
      <c r="C729" s="299" t="s">
        <v>82</v>
      </c>
      <c r="D729" s="300">
        <v>22.09</v>
      </c>
      <c r="E729" s="350">
        <f t="shared" si="23"/>
        <v>17.920000000000002</v>
      </c>
      <c r="F729" s="298" t="s">
        <v>3693</v>
      </c>
      <c r="G729" s="301">
        <f t="shared" si="24"/>
        <v>18.63</v>
      </c>
    </row>
    <row r="730" spans="1:7" x14ac:dyDescent="0.25">
      <c r="A730" s="297">
        <v>40903</v>
      </c>
      <c r="B730" s="298" t="s">
        <v>3332</v>
      </c>
      <c r="C730" s="299" t="s">
        <v>82</v>
      </c>
      <c r="D730" s="300">
        <v>37.78</v>
      </c>
      <c r="E730" s="350">
        <f t="shared" si="23"/>
        <v>30.64</v>
      </c>
      <c r="F730" s="298" t="s">
        <v>3693</v>
      </c>
      <c r="G730" s="301">
        <f t="shared" si="24"/>
        <v>31.85</v>
      </c>
    </row>
    <row r="731" spans="1:7" x14ac:dyDescent="0.25">
      <c r="A731" s="297">
        <v>40904</v>
      </c>
      <c r="B731" s="298" t="s">
        <v>3333</v>
      </c>
      <c r="C731" s="299" t="s">
        <v>82</v>
      </c>
      <c r="D731" s="300">
        <v>64.69</v>
      </c>
      <c r="E731" s="350">
        <f t="shared" si="23"/>
        <v>52.46</v>
      </c>
      <c r="F731" s="298" t="s">
        <v>3693</v>
      </c>
      <c r="G731" s="301">
        <f t="shared" si="24"/>
        <v>54.53</v>
      </c>
    </row>
    <row r="732" spans="1:7" x14ac:dyDescent="0.25">
      <c r="A732" s="297">
        <v>40905</v>
      </c>
      <c r="B732" s="298" t="s">
        <v>3776</v>
      </c>
      <c r="C732" s="299" t="s">
        <v>82</v>
      </c>
      <c r="D732" s="300">
        <v>40.57</v>
      </c>
      <c r="E732" s="350">
        <f t="shared" si="23"/>
        <v>32.9</v>
      </c>
      <c r="F732" s="298" t="s">
        <v>3693</v>
      </c>
      <c r="G732" s="301">
        <f t="shared" si="24"/>
        <v>34.200000000000003</v>
      </c>
    </row>
    <row r="733" spans="1:7" x14ac:dyDescent="0.25">
      <c r="A733" s="297">
        <v>43330</v>
      </c>
      <c r="B733" s="298" t="s">
        <v>3777</v>
      </c>
      <c r="C733" s="299" t="s">
        <v>82</v>
      </c>
      <c r="D733" s="300">
        <v>36.49</v>
      </c>
      <c r="E733" s="350">
        <f t="shared" si="23"/>
        <v>29.59</v>
      </c>
      <c r="F733" s="298" t="s">
        <v>3693</v>
      </c>
      <c r="G733" s="301">
        <f t="shared" si="24"/>
        <v>30.76</v>
      </c>
    </row>
    <row r="734" spans="1:7" x14ac:dyDescent="0.25">
      <c r="A734" s="297">
        <v>40901</v>
      </c>
      <c r="B734" s="298" t="s">
        <v>3334</v>
      </c>
      <c r="C734" s="299" t="s">
        <v>82</v>
      </c>
      <c r="D734" s="300">
        <v>24.57</v>
      </c>
      <c r="E734" s="350">
        <f t="shared" si="23"/>
        <v>19.93</v>
      </c>
      <c r="F734" s="298" t="s">
        <v>3693</v>
      </c>
      <c r="G734" s="301">
        <f t="shared" si="24"/>
        <v>20.72</v>
      </c>
    </row>
    <row r="735" spans="1:7" x14ac:dyDescent="0.25">
      <c r="A735" s="297">
        <v>42475</v>
      </c>
      <c r="B735" s="298" t="s">
        <v>3788</v>
      </c>
      <c r="C735" s="299" t="s">
        <v>76</v>
      </c>
      <c r="D735" s="300">
        <v>602.34</v>
      </c>
      <c r="E735" s="350">
        <f t="shared" si="23"/>
        <v>488.44</v>
      </c>
      <c r="F735" s="298" t="s">
        <v>3693</v>
      </c>
      <c r="G735" s="301">
        <f t="shared" si="24"/>
        <v>507.64</v>
      </c>
    </row>
    <row r="736" spans="1:7" x14ac:dyDescent="0.25">
      <c r="A736" s="297">
        <v>40945</v>
      </c>
      <c r="B736" s="298" t="s">
        <v>3335</v>
      </c>
      <c r="C736" s="299" t="s">
        <v>82</v>
      </c>
      <c r="D736" s="300">
        <v>97.17</v>
      </c>
      <c r="E736" s="350">
        <f t="shared" si="23"/>
        <v>78.8</v>
      </c>
      <c r="F736" s="298" t="s">
        <v>3693</v>
      </c>
      <c r="G736" s="301">
        <f t="shared" si="24"/>
        <v>81.900000000000006</v>
      </c>
    </row>
    <row r="737" spans="1:7" x14ac:dyDescent="0.25">
      <c r="A737" s="297">
        <v>41109</v>
      </c>
      <c r="B737" s="298" t="s">
        <v>3336</v>
      </c>
      <c r="C737" s="299" t="s">
        <v>82</v>
      </c>
      <c r="D737" s="300">
        <v>3.11</v>
      </c>
      <c r="E737" s="350">
        <f t="shared" si="23"/>
        <v>2.5299999999999998</v>
      </c>
      <c r="F737" s="298" t="s">
        <v>98</v>
      </c>
      <c r="G737" s="301">
        <f t="shared" si="24"/>
        <v>2.63</v>
      </c>
    </row>
    <row r="738" spans="1:7" x14ac:dyDescent="0.25">
      <c r="A738" s="297">
        <v>40164</v>
      </c>
      <c r="B738" s="298" t="s">
        <v>3337</v>
      </c>
      <c r="C738" s="299" t="s">
        <v>2884</v>
      </c>
      <c r="D738" s="300">
        <v>53.48</v>
      </c>
      <c r="E738" s="350">
        <f t="shared" si="23"/>
        <v>43.37</v>
      </c>
      <c r="F738" s="298" t="s">
        <v>98</v>
      </c>
      <c r="G738" s="301">
        <f t="shared" si="24"/>
        <v>45.08</v>
      </c>
    </row>
    <row r="739" spans="1:7" x14ac:dyDescent="0.25">
      <c r="A739" s="297">
        <v>40944</v>
      </c>
      <c r="B739" s="298" t="s">
        <v>3338</v>
      </c>
      <c r="C739" s="299" t="s">
        <v>82</v>
      </c>
      <c r="D739" s="300">
        <v>807.19</v>
      </c>
      <c r="E739" s="350">
        <f t="shared" si="23"/>
        <v>654.54999999999995</v>
      </c>
      <c r="F739" s="298" t="s">
        <v>3693</v>
      </c>
      <c r="G739" s="301">
        <f t="shared" si="24"/>
        <v>680.28</v>
      </c>
    </row>
    <row r="740" spans="1:7" x14ac:dyDescent="0.25">
      <c r="A740" s="297">
        <v>40902</v>
      </c>
      <c r="B740" s="298" t="s">
        <v>3339</v>
      </c>
      <c r="C740" s="299" t="s">
        <v>82</v>
      </c>
      <c r="D740" s="300">
        <v>5.68</v>
      </c>
      <c r="E740" s="350">
        <f t="shared" si="23"/>
        <v>4.6100000000000003</v>
      </c>
      <c r="F740" s="298" t="s">
        <v>98</v>
      </c>
      <c r="G740" s="301">
        <f t="shared" si="24"/>
        <v>4.8</v>
      </c>
    </row>
    <row r="741" spans="1:7" x14ac:dyDescent="0.25">
      <c r="A741" s="297">
        <v>41344</v>
      </c>
      <c r="B741" s="298" t="s">
        <v>3340</v>
      </c>
      <c r="C741" s="299" t="s">
        <v>82</v>
      </c>
      <c r="D741" s="300">
        <v>85.31</v>
      </c>
      <c r="E741" s="350">
        <f t="shared" si="23"/>
        <v>69.180000000000007</v>
      </c>
      <c r="F741" s="298" t="s">
        <v>98</v>
      </c>
      <c r="G741" s="301">
        <f t="shared" si="24"/>
        <v>71.900000000000006</v>
      </c>
    </row>
    <row r="742" spans="1:7" x14ac:dyDescent="0.25">
      <c r="A742" s="297">
        <v>41345</v>
      </c>
      <c r="B742" s="298" t="s">
        <v>3341</v>
      </c>
      <c r="C742" s="299" t="s">
        <v>82</v>
      </c>
      <c r="D742" s="300">
        <v>129.47</v>
      </c>
      <c r="E742" s="350">
        <f t="shared" si="23"/>
        <v>104.99</v>
      </c>
      <c r="F742" s="298" t="s">
        <v>98</v>
      </c>
      <c r="G742" s="301">
        <f t="shared" si="24"/>
        <v>109.12</v>
      </c>
    </row>
    <row r="743" spans="1:7" x14ac:dyDescent="0.25">
      <c r="A743" s="297">
        <v>41242</v>
      </c>
      <c r="B743" s="298" t="s">
        <v>3342</v>
      </c>
      <c r="C743" s="299" t="s">
        <v>2884</v>
      </c>
      <c r="D743" s="300">
        <v>78.39</v>
      </c>
      <c r="E743" s="350">
        <f t="shared" si="23"/>
        <v>63.57</v>
      </c>
      <c r="F743" s="298" t="s">
        <v>98</v>
      </c>
      <c r="G743" s="301">
        <f t="shared" si="24"/>
        <v>66.069999999999993</v>
      </c>
    </row>
    <row r="744" spans="1:7" x14ac:dyDescent="0.25">
      <c r="A744" s="297">
        <v>42476</v>
      </c>
      <c r="B744" s="298" t="s">
        <v>3343</v>
      </c>
      <c r="C744" s="299" t="s">
        <v>2871</v>
      </c>
      <c r="D744" s="300">
        <v>48.07</v>
      </c>
      <c r="E744" s="350">
        <f t="shared" si="23"/>
        <v>38.979999999999997</v>
      </c>
      <c r="F744" s="298" t="s">
        <v>98</v>
      </c>
      <c r="G744" s="301">
        <f t="shared" si="24"/>
        <v>40.520000000000003</v>
      </c>
    </row>
    <row r="745" spans="1:7" x14ac:dyDescent="0.25">
      <c r="A745" s="297">
        <v>41136</v>
      </c>
      <c r="B745" s="298" t="s">
        <v>3344</v>
      </c>
      <c r="C745" s="299" t="s">
        <v>2871</v>
      </c>
      <c r="D745" s="300">
        <v>131.15</v>
      </c>
      <c r="E745" s="350">
        <f t="shared" si="23"/>
        <v>106.35</v>
      </c>
      <c r="F745" s="298" t="s">
        <v>98</v>
      </c>
      <c r="G745" s="301">
        <f t="shared" si="24"/>
        <v>110.53</v>
      </c>
    </row>
    <row r="746" spans="1:7" x14ac:dyDescent="0.25">
      <c r="A746" s="297">
        <v>41135</v>
      </c>
      <c r="B746" s="298" t="s">
        <v>3345</v>
      </c>
      <c r="C746" s="299" t="s">
        <v>2871</v>
      </c>
      <c r="D746" s="300">
        <v>97.49</v>
      </c>
      <c r="E746" s="350">
        <f t="shared" si="23"/>
        <v>79.06</v>
      </c>
      <c r="F746" s="298" t="s">
        <v>98</v>
      </c>
      <c r="G746" s="301">
        <f t="shared" si="24"/>
        <v>82.17</v>
      </c>
    </row>
    <row r="747" spans="1:7" x14ac:dyDescent="0.25">
      <c r="A747" s="297">
        <v>40912</v>
      </c>
      <c r="B747" s="298" t="s">
        <v>3346</v>
      </c>
      <c r="C747" s="299" t="s">
        <v>2884</v>
      </c>
      <c r="D747" s="300">
        <v>110.29</v>
      </c>
      <c r="E747" s="350">
        <f t="shared" si="23"/>
        <v>89.44</v>
      </c>
      <c r="F747" s="298" t="s">
        <v>3693</v>
      </c>
      <c r="G747" s="301">
        <f t="shared" si="24"/>
        <v>92.96</v>
      </c>
    </row>
    <row r="748" spans="1:7" x14ac:dyDescent="0.25">
      <c r="A748" s="297">
        <v>40908</v>
      </c>
      <c r="B748" s="298" t="s">
        <v>3347</v>
      </c>
      <c r="C748" s="299" t="s">
        <v>2871</v>
      </c>
      <c r="D748" s="300">
        <v>9184.39</v>
      </c>
      <c r="E748" s="350">
        <f t="shared" si="23"/>
        <v>7447.61</v>
      </c>
      <c r="F748" s="298" t="s">
        <v>3693</v>
      </c>
      <c r="G748" s="301">
        <f t="shared" si="24"/>
        <v>7740.28</v>
      </c>
    </row>
    <row r="749" spans="1:7" x14ac:dyDescent="0.25">
      <c r="A749" s="297">
        <v>40907</v>
      </c>
      <c r="B749" s="298" t="s">
        <v>3348</v>
      </c>
      <c r="C749" s="299" t="s">
        <v>2871</v>
      </c>
      <c r="D749" s="300">
        <v>15677.17</v>
      </c>
      <c r="E749" s="350">
        <f t="shared" si="23"/>
        <v>12712.6</v>
      </c>
      <c r="F749" s="298" t="s">
        <v>3693</v>
      </c>
      <c r="G749" s="301">
        <f t="shared" si="24"/>
        <v>13212.17</v>
      </c>
    </row>
    <row r="750" spans="1:7" x14ac:dyDescent="0.25">
      <c r="A750" s="297">
        <v>40906</v>
      </c>
      <c r="B750" s="298" t="s">
        <v>3349</v>
      </c>
      <c r="C750" s="299" t="s">
        <v>82</v>
      </c>
      <c r="D750" s="300">
        <v>5316.23</v>
      </c>
      <c r="E750" s="350">
        <f t="shared" si="23"/>
        <v>4310.93</v>
      </c>
      <c r="F750" s="298" t="s">
        <v>98</v>
      </c>
      <c r="G750" s="301">
        <f t="shared" si="24"/>
        <v>4480.34</v>
      </c>
    </row>
    <row r="751" spans="1:7" x14ac:dyDescent="0.25">
      <c r="A751" s="297">
        <v>41240</v>
      </c>
      <c r="B751" s="298" t="s">
        <v>4067</v>
      </c>
      <c r="C751" s="299" t="s">
        <v>2884</v>
      </c>
      <c r="D751" s="300">
        <v>100.88</v>
      </c>
      <c r="E751" s="350">
        <f t="shared" si="23"/>
        <v>81.81</v>
      </c>
      <c r="F751" s="298" t="s">
        <v>3693</v>
      </c>
      <c r="G751" s="301">
        <f t="shared" si="24"/>
        <v>85.03</v>
      </c>
    </row>
    <row r="752" spans="1:7" x14ac:dyDescent="0.25">
      <c r="A752" s="297">
        <v>40946</v>
      </c>
      <c r="B752" s="298" t="s">
        <v>4068</v>
      </c>
      <c r="C752" s="299" t="s">
        <v>2884</v>
      </c>
      <c r="D752" s="300">
        <v>94.84</v>
      </c>
      <c r="E752" s="350">
        <f t="shared" si="23"/>
        <v>76.91</v>
      </c>
      <c r="F752" s="298" t="s">
        <v>3693</v>
      </c>
      <c r="G752" s="301">
        <f t="shared" si="24"/>
        <v>79.94</v>
      </c>
    </row>
    <row r="753" spans="1:7" x14ac:dyDescent="0.25">
      <c r="A753" s="297">
        <v>40942</v>
      </c>
      <c r="B753" s="298" t="s">
        <v>3350</v>
      </c>
      <c r="C753" s="299" t="s">
        <v>2884</v>
      </c>
      <c r="D753" s="300">
        <v>43.96</v>
      </c>
      <c r="E753" s="350">
        <f t="shared" si="23"/>
        <v>35.65</v>
      </c>
      <c r="F753" s="298" t="s">
        <v>3693</v>
      </c>
      <c r="G753" s="301">
        <f t="shared" si="24"/>
        <v>37.06</v>
      </c>
    </row>
    <row r="754" spans="1:7" x14ac:dyDescent="0.25">
      <c r="A754" s="297">
        <v>41245</v>
      </c>
      <c r="B754" s="298" t="s">
        <v>3351</v>
      </c>
      <c r="C754" s="299" t="s">
        <v>2884</v>
      </c>
      <c r="D754" s="300">
        <v>44.93</v>
      </c>
      <c r="E754" s="350">
        <f t="shared" si="23"/>
        <v>36.44</v>
      </c>
      <c r="F754" s="298" t="s">
        <v>98</v>
      </c>
      <c r="G754" s="301">
        <f t="shared" si="24"/>
        <v>37.880000000000003</v>
      </c>
    </row>
    <row r="755" spans="1:7" x14ac:dyDescent="0.25">
      <c r="A755" s="297">
        <v>41404</v>
      </c>
      <c r="B755" s="298" t="s">
        <v>3352</v>
      </c>
      <c r="C755" s="299" t="s">
        <v>2884</v>
      </c>
      <c r="D755" s="300">
        <v>42.48</v>
      </c>
      <c r="E755" s="350">
        <f t="shared" si="23"/>
        <v>34.450000000000003</v>
      </c>
      <c r="F755" s="298" t="s">
        <v>98</v>
      </c>
      <c r="G755" s="301">
        <f t="shared" si="24"/>
        <v>35.81</v>
      </c>
    </row>
    <row r="756" spans="1:7" x14ac:dyDescent="0.25">
      <c r="A756" s="297">
        <v>41244</v>
      </c>
      <c r="B756" s="298" t="s">
        <v>3353</v>
      </c>
      <c r="C756" s="299" t="s">
        <v>2884</v>
      </c>
      <c r="D756" s="300">
        <v>22.14</v>
      </c>
      <c r="E756" s="350">
        <f t="shared" si="23"/>
        <v>17.96</v>
      </c>
      <c r="F756" s="298" t="s">
        <v>98</v>
      </c>
      <c r="G756" s="301">
        <f t="shared" si="24"/>
        <v>18.670000000000002</v>
      </c>
    </row>
    <row r="757" spans="1:7" x14ac:dyDescent="0.25">
      <c r="A757" s="297">
        <v>43328</v>
      </c>
      <c r="B757" s="298" t="s">
        <v>4082</v>
      </c>
      <c r="C757" s="299" t="s">
        <v>2871</v>
      </c>
      <c r="D757" s="300">
        <v>12.94</v>
      </c>
      <c r="E757" s="350">
        <f t="shared" si="23"/>
        <v>10.5</v>
      </c>
      <c r="F757" s="298" t="s">
        <v>98</v>
      </c>
      <c r="G757" s="301">
        <f t="shared" si="24"/>
        <v>10.92</v>
      </c>
    </row>
    <row r="758" spans="1:7" x14ac:dyDescent="0.25">
      <c r="A758" s="297">
        <v>40909</v>
      </c>
      <c r="B758" s="298" t="s">
        <v>4104</v>
      </c>
      <c r="C758" s="299" t="s">
        <v>2871</v>
      </c>
      <c r="D758" s="300">
        <v>3897.66</v>
      </c>
      <c r="E758" s="350">
        <f t="shared" si="23"/>
        <v>3160.61</v>
      </c>
      <c r="F758" s="298" t="s">
        <v>3693</v>
      </c>
      <c r="G758" s="301">
        <f t="shared" si="24"/>
        <v>3284.82</v>
      </c>
    </row>
    <row r="759" spans="1:7" x14ac:dyDescent="0.25">
      <c r="A759" s="297">
        <v>41140</v>
      </c>
      <c r="B759" s="298" t="s">
        <v>3354</v>
      </c>
      <c r="C759" s="299" t="s">
        <v>2871</v>
      </c>
      <c r="D759" s="300">
        <v>1742.04</v>
      </c>
      <c r="E759" s="350">
        <f t="shared" si="23"/>
        <v>1412.62</v>
      </c>
      <c r="F759" s="298" t="s">
        <v>98</v>
      </c>
      <c r="G759" s="301">
        <f t="shared" si="24"/>
        <v>1468.14</v>
      </c>
    </row>
    <row r="760" spans="1:7" x14ac:dyDescent="0.25">
      <c r="A760" s="297">
        <v>41139</v>
      </c>
      <c r="B760" s="298" t="s">
        <v>3355</v>
      </c>
      <c r="C760" s="299" t="s">
        <v>2871</v>
      </c>
      <c r="D760" s="300">
        <v>3940.6</v>
      </c>
      <c r="E760" s="350">
        <f t="shared" si="23"/>
        <v>3195.43</v>
      </c>
      <c r="F760" s="298" t="s">
        <v>98</v>
      </c>
      <c r="G760" s="301">
        <f t="shared" si="24"/>
        <v>3321</v>
      </c>
    </row>
    <row r="761" spans="1:7" x14ac:dyDescent="0.25">
      <c r="A761" s="297">
        <v>41138</v>
      </c>
      <c r="B761" s="298" t="s">
        <v>3356</v>
      </c>
      <c r="C761" s="299" t="s">
        <v>2871</v>
      </c>
      <c r="D761" s="300">
        <v>3060.66</v>
      </c>
      <c r="E761" s="350">
        <f t="shared" si="23"/>
        <v>2481.89</v>
      </c>
      <c r="F761" s="298" t="s">
        <v>98</v>
      </c>
      <c r="G761" s="301">
        <f t="shared" si="24"/>
        <v>2579.42</v>
      </c>
    </row>
    <row r="762" spans="1:7" x14ac:dyDescent="0.25">
      <c r="A762" s="297">
        <v>41246</v>
      </c>
      <c r="B762" s="298" t="s">
        <v>3357</v>
      </c>
      <c r="C762" s="299" t="s">
        <v>82</v>
      </c>
      <c r="D762" s="300">
        <v>70.56</v>
      </c>
      <c r="E762" s="350">
        <f t="shared" si="23"/>
        <v>57.22</v>
      </c>
      <c r="F762" s="298" t="s">
        <v>3693</v>
      </c>
      <c r="G762" s="301">
        <f t="shared" si="24"/>
        <v>59.47</v>
      </c>
    </row>
    <row r="763" spans="1:7" x14ac:dyDescent="0.25">
      <c r="A763" s="297">
        <v>40943</v>
      </c>
      <c r="B763" s="298" t="s">
        <v>3358</v>
      </c>
      <c r="C763" s="299" t="s">
        <v>82</v>
      </c>
      <c r="D763" s="300">
        <v>52.99</v>
      </c>
      <c r="E763" s="350">
        <f t="shared" si="23"/>
        <v>42.97</v>
      </c>
      <c r="F763" s="298" t="s">
        <v>3693</v>
      </c>
      <c r="G763" s="301">
        <f t="shared" si="24"/>
        <v>44.66</v>
      </c>
    </row>
    <row r="764" spans="1:7" x14ac:dyDescent="0.25">
      <c r="A764" s="297">
        <v>40922</v>
      </c>
      <c r="B764" s="298" t="s">
        <v>3359</v>
      </c>
      <c r="C764" s="299" t="s">
        <v>76</v>
      </c>
      <c r="D764" s="300">
        <v>6.27</v>
      </c>
      <c r="E764" s="350">
        <f t="shared" si="23"/>
        <v>5.09</v>
      </c>
      <c r="F764" s="298" t="s">
        <v>98</v>
      </c>
      <c r="G764" s="301">
        <f t="shared" si="24"/>
        <v>5.3</v>
      </c>
    </row>
    <row r="765" spans="1:7" x14ac:dyDescent="0.25">
      <c r="A765" s="297">
        <v>40914</v>
      </c>
      <c r="B765" s="298" t="s">
        <v>3360</v>
      </c>
      <c r="C765" s="299" t="s">
        <v>82</v>
      </c>
      <c r="D765" s="300">
        <v>20.73</v>
      </c>
      <c r="E765" s="350">
        <f t="shared" si="23"/>
        <v>16.809999999999999</v>
      </c>
      <c r="F765" s="298" t="s">
        <v>3693</v>
      </c>
      <c r="G765" s="301">
        <f t="shared" si="24"/>
        <v>17.48</v>
      </c>
    </row>
    <row r="766" spans="1:7" x14ac:dyDescent="0.25">
      <c r="A766" s="297">
        <v>40913</v>
      </c>
      <c r="B766" s="298" t="s">
        <v>3361</v>
      </c>
      <c r="C766" s="299" t="s">
        <v>82</v>
      </c>
      <c r="D766" s="300">
        <v>131.08000000000001</v>
      </c>
      <c r="E766" s="350">
        <f t="shared" si="23"/>
        <v>106.3</v>
      </c>
      <c r="F766" s="298" t="s">
        <v>98</v>
      </c>
      <c r="G766" s="301">
        <f t="shared" si="24"/>
        <v>110.48</v>
      </c>
    </row>
    <row r="767" spans="1:7" x14ac:dyDescent="0.25">
      <c r="A767" s="297">
        <v>41191</v>
      </c>
      <c r="B767" s="298" t="s">
        <v>4253</v>
      </c>
      <c r="C767" s="299" t="s">
        <v>82</v>
      </c>
      <c r="D767" s="300">
        <v>580.75</v>
      </c>
      <c r="E767" s="350">
        <f t="shared" si="23"/>
        <v>470.93</v>
      </c>
      <c r="F767" s="298" t="s">
        <v>3693</v>
      </c>
      <c r="G767" s="301">
        <f t="shared" si="24"/>
        <v>489.44</v>
      </c>
    </row>
    <row r="768" spans="1:7" x14ac:dyDescent="0.25">
      <c r="A768" s="297">
        <v>40947</v>
      </c>
      <c r="B768" s="298" t="s">
        <v>3362</v>
      </c>
      <c r="C768" s="299" t="s">
        <v>2871</v>
      </c>
      <c r="D768" s="300">
        <v>3489.12</v>
      </c>
      <c r="E768" s="350">
        <f t="shared" si="23"/>
        <v>2829.33</v>
      </c>
      <c r="F768" s="298" t="s">
        <v>3693</v>
      </c>
      <c r="G768" s="301">
        <f t="shared" si="24"/>
        <v>2940.52</v>
      </c>
    </row>
    <row r="769" spans="1:7" x14ac:dyDescent="0.25">
      <c r="A769" s="297">
        <v>43329</v>
      </c>
      <c r="B769" s="298" t="s">
        <v>4148</v>
      </c>
      <c r="C769" s="299" t="s">
        <v>2871</v>
      </c>
      <c r="D769" s="300">
        <v>272.11</v>
      </c>
      <c r="E769" s="350">
        <f t="shared" si="23"/>
        <v>220.66</v>
      </c>
      <c r="F769" s="298" t="s">
        <v>3693</v>
      </c>
      <c r="G769" s="301">
        <f t="shared" si="24"/>
        <v>229.34</v>
      </c>
    </row>
    <row r="770" spans="1:7" x14ac:dyDescent="0.25">
      <c r="A770" s="297">
        <v>42050</v>
      </c>
      <c r="B770" s="298" t="s">
        <v>4154</v>
      </c>
      <c r="C770" s="299" t="s">
        <v>2884</v>
      </c>
      <c r="D770" s="300">
        <v>155.49</v>
      </c>
      <c r="E770" s="350">
        <f t="shared" ref="E770:E833" si="25">ROUNDUP(D770/(1+$L$2),2)</f>
        <v>126.09</v>
      </c>
      <c r="F770" s="298" t="s">
        <v>3693</v>
      </c>
      <c r="G770" s="301">
        <f t="shared" si="24"/>
        <v>131.05000000000001</v>
      </c>
    </row>
    <row r="771" spans="1:7" x14ac:dyDescent="0.25">
      <c r="A771" s="297">
        <v>42203</v>
      </c>
      <c r="B771" s="298" t="s">
        <v>3363</v>
      </c>
      <c r="C771" s="299" t="s">
        <v>2871</v>
      </c>
      <c r="D771" s="300">
        <v>179.33</v>
      </c>
      <c r="E771" s="350">
        <f t="shared" si="25"/>
        <v>145.41999999999999</v>
      </c>
      <c r="F771" s="298" t="s">
        <v>3693</v>
      </c>
      <c r="G771" s="301">
        <f t="shared" si="24"/>
        <v>151.13999999999999</v>
      </c>
    </row>
    <row r="772" spans="1:7" x14ac:dyDescent="0.25">
      <c r="A772" s="297">
        <v>42202</v>
      </c>
      <c r="B772" s="298" t="s">
        <v>3364</v>
      </c>
      <c r="C772" s="299" t="s">
        <v>2871</v>
      </c>
      <c r="D772" s="300">
        <v>114.97</v>
      </c>
      <c r="E772" s="350">
        <f t="shared" si="25"/>
        <v>93.23</v>
      </c>
      <c r="F772" s="298" t="s">
        <v>3693</v>
      </c>
      <c r="G772" s="301">
        <f t="shared" si="24"/>
        <v>96.9</v>
      </c>
    </row>
    <row r="773" spans="1:7" x14ac:dyDescent="0.25">
      <c r="A773" s="297">
        <v>42041</v>
      </c>
      <c r="B773" s="298" t="s">
        <v>3714</v>
      </c>
      <c r="C773" s="299" t="s">
        <v>82</v>
      </c>
      <c r="D773" s="300">
        <v>31.5</v>
      </c>
      <c r="E773" s="350">
        <f t="shared" si="25"/>
        <v>25.55</v>
      </c>
      <c r="F773" s="298" t="s">
        <v>3693</v>
      </c>
      <c r="G773" s="301">
        <f t="shared" si="24"/>
        <v>26.56</v>
      </c>
    </row>
    <row r="774" spans="1:7" x14ac:dyDescent="0.25">
      <c r="A774" s="297">
        <v>42199</v>
      </c>
      <c r="B774" s="298" t="s">
        <v>3365</v>
      </c>
      <c r="C774" s="299" t="s">
        <v>2884</v>
      </c>
      <c r="D774" s="300">
        <v>1.73</v>
      </c>
      <c r="E774" s="350">
        <f t="shared" si="25"/>
        <v>1.41</v>
      </c>
      <c r="F774" s="298" t="s">
        <v>98</v>
      </c>
      <c r="G774" s="301">
        <f t="shared" si="24"/>
        <v>1.47</v>
      </c>
    </row>
    <row r="775" spans="1:7" x14ac:dyDescent="0.25">
      <c r="A775" s="297">
        <v>42210</v>
      </c>
      <c r="B775" s="298" t="s">
        <v>3366</v>
      </c>
      <c r="C775" s="299" t="s">
        <v>2884</v>
      </c>
      <c r="D775" s="300">
        <v>25.98</v>
      </c>
      <c r="E775" s="350">
        <f t="shared" si="25"/>
        <v>21.07</v>
      </c>
      <c r="F775" s="298" t="s">
        <v>3693</v>
      </c>
      <c r="G775" s="301">
        <f t="shared" si="24"/>
        <v>21.9</v>
      </c>
    </row>
    <row r="776" spans="1:7" x14ac:dyDescent="0.25">
      <c r="A776" s="297">
        <v>42206</v>
      </c>
      <c r="B776" s="298" t="s">
        <v>3367</v>
      </c>
      <c r="C776" s="299" t="s">
        <v>2884</v>
      </c>
      <c r="D776" s="300">
        <v>19.02</v>
      </c>
      <c r="E776" s="350">
        <f t="shared" si="25"/>
        <v>15.43</v>
      </c>
      <c r="F776" s="298" t="s">
        <v>3693</v>
      </c>
      <c r="G776" s="301">
        <f t="shared" ref="G776:G832" si="26">ROUNDUP(E776*$H$2,2)</f>
        <v>16.04</v>
      </c>
    </row>
    <row r="777" spans="1:7" x14ac:dyDescent="0.25">
      <c r="A777" s="297">
        <v>42208</v>
      </c>
      <c r="B777" s="298" t="s">
        <v>3368</v>
      </c>
      <c r="C777" s="299" t="s">
        <v>2884</v>
      </c>
      <c r="D777" s="300">
        <v>2.0099999999999998</v>
      </c>
      <c r="E777" s="350">
        <f t="shared" si="25"/>
        <v>1.63</v>
      </c>
      <c r="F777" s="298" t="s">
        <v>98</v>
      </c>
      <c r="G777" s="301">
        <f t="shared" si="26"/>
        <v>1.7</v>
      </c>
    </row>
    <row r="778" spans="1:7" x14ac:dyDescent="0.25">
      <c r="A778" s="297">
        <v>42209</v>
      </c>
      <c r="B778" s="298" t="s">
        <v>3369</v>
      </c>
      <c r="C778" s="299" t="s">
        <v>2884</v>
      </c>
      <c r="D778" s="300">
        <v>9.5399999999999991</v>
      </c>
      <c r="E778" s="350">
        <f t="shared" si="25"/>
        <v>7.74</v>
      </c>
      <c r="F778" s="298" t="s">
        <v>3693</v>
      </c>
      <c r="G778" s="301">
        <f t="shared" si="26"/>
        <v>8.0500000000000007</v>
      </c>
    </row>
    <row r="779" spans="1:7" x14ac:dyDescent="0.25">
      <c r="A779" s="297">
        <v>42207</v>
      </c>
      <c r="B779" s="298" t="s">
        <v>3370</v>
      </c>
      <c r="C779" s="299" t="s">
        <v>2884</v>
      </c>
      <c r="D779" s="300">
        <v>3.83</v>
      </c>
      <c r="E779" s="350">
        <f t="shared" si="25"/>
        <v>3.11</v>
      </c>
      <c r="F779" s="298" t="s">
        <v>98</v>
      </c>
      <c r="G779" s="301">
        <f t="shared" si="26"/>
        <v>3.24</v>
      </c>
    </row>
    <row r="780" spans="1:7" x14ac:dyDescent="0.25">
      <c r="A780" s="297">
        <v>42200</v>
      </c>
      <c r="B780" s="298" t="s">
        <v>3371</v>
      </c>
      <c r="C780" s="299" t="s">
        <v>2884</v>
      </c>
      <c r="D780" s="300">
        <v>6.36</v>
      </c>
      <c r="E780" s="350">
        <f t="shared" si="25"/>
        <v>5.16</v>
      </c>
      <c r="F780" s="298" t="s">
        <v>98</v>
      </c>
      <c r="G780" s="301">
        <f t="shared" si="26"/>
        <v>5.37</v>
      </c>
    </row>
    <row r="781" spans="1:7" x14ac:dyDescent="0.25">
      <c r="A781" s="297">
        <v>42201</v>
      </c>
      <c r="B781" s="298" t="s">
        <v>3372</v>
      </c>
      <c r="C781" s="299" t="s">
        <v>2884</v>
      </c>
      <c r="D781" s="300">
        <v>4.5199999999999996</v>
      </c>
      <c r="E781" s="350">
        <f t="shared" si="25"/>
        <v>3.67</v>
      </c>
      <c r="F781" s="298" t="s">
        <v>98</v>
      </c>
      <c r="G781" s="301">
        <f t="shared" si="26"/>
        <v>3.82</v>
      </c>
    </row>
    <row r="782" spans="1:7" x14ac:dyDescent="0.25">
      <c r="A782" s="297">
        <v>41247</v>
      </c>
      <c r="B782" s="298" t="s">
        <v>4111</v>
      </c>
      <c r="C782" s="299" t="s">
        <v>76</v>
      </c>
      <c r="D782" s="300">
        <v>72.010000000000005</v>
      </c>
      <c r="E782" s="350">
        <f t="shared" si="25"/>
        <v>58.4</v>
      </c>
      <c r="F782" s="298" t="s">
        <v>98</v>
      </c>
      <c r="G782" s="301">
        <f t="shared" si="26"/>
        <v>60.7</v>
      </c>
    </row>
    <row r="783" spans="1:7" x14ac:dyDescent="0.25">
      <c r="A783" s="297">
        <v>42204</v>
      </c>
      <c r="B783" s="298" t="s">
        <v>3373</v>
      </c>
      <c r="C783" s="299" t="s">
        <v>2871</v>
      </c>
      <c r="D783" s="300">
        <v>43.12</v>
      </c>
      <c r="E783" s="350">
        <f t="shared" si="25"/>
        <v>34.97</v>
      </c>
      <c r="F783" s="298" t="s">
        <v>3693</v>
      </c>
      <c r="G783" s="301">
        <f t="shared" si="26"/>
        <v>36.35</v>
      </c>
    </row>
    <row r="784" spans="1:7" x14ac:dyDescent="0.25">
      <c r="A784" s="297">
        <v>42044</v>
      </c>
      <c r="B784" s="298" t="s">
        <v>3451</v>
      </c>
      <c r="C784" s="299" t="s">
        <v>2871</v>
      </c>
      <c r="D784" s="300">
        <v>4931.2700000000004</v>
      </c>
      <c r="E784" s="350">
        <f t="shared" si="25"/>
        <v>3998.76</v>
      </c>
      <c r="F784" s="298" t="s">
        <v>98</v>
      </c>
      <c r="G784" s="301">
        <f t="shared" si="26"/>
        <v>4155.8999999999996</v>
      </c>
    </row>
    <row r="785" spans="1:7" x14ac:dyDescent="0.25">
      <c r="A785" s="297">
        <v>40102</v>
      </c>
      <c r="B785" s="298" t="s">
        <v>4127</v>
      </c>
      <c r="C785" s="299" t="s">
        <v>2884</v>
      </c>
      <c r="D785" s="300">
        <v>18.52</v>
      </c>
      <c r="E785" s="350">
        <f t="shared" si="25"/>
        <v>15.02</v>
      </c>
      <c r="F785" s="298" t="s">
        <v>3693</v>
      </c>
      <c r="G785" s="301">
        <f t="shared" si="26"/>
        <v>15.62</v>
      </c>
    </row>
    <row r="786" spans="1:7" x14ac:dyDescent="0.25">
      <c r="A786" s="297">
        <v>42039</v>
      </c>
      <c r="B786" s="298" t="s">
        <v>3374</v>
      </c>
      <c r="C786" s="299" t="s">
        <v>2884</v>
      </c>
      <c r="D786" s="300">
        <v>22.34</v>
      </c>
      <c r="E786" s="350">
        <f t="shared" si="25"/>
        <v>18.12</v>
      </c>
      <c r="F786" s="298" t="s">
        <v>3693</v>
      </c>
      <c r="G786" s="301">
        <f t="shared" si="26"/>
        <v>18.84</v>
      </c>
    </row>
    <row r="787" spans="1:7" x14ac:dyDescent="0.25">
      <c r="A787" s="297">
        <v>41153</v>
      </c>
      <c r="B787" s="298" t="s">
        <v>3692</v>
      </c>
      <c r="C787" s="299" t="s">
        <v>2871</v>
      </c>
      <c r="D787" s="300">
        <v>187.06</v>
      </c>
      <c r="E787" s="350">
        <f t="shared" si="25"/>
        <v>151.69</v>
      </c>
      <c r="F787" s="298" t="s">
        <v>98</v>
      </c>
      <c r="G787" s="301">
        <f t="shared" si="26"/>
        <v>157.66</v>
      </c>
    </row>
    <row r="788" spans="1:7" x14ac:dyDescent="0.25">
      <c r="A788" s="297">
        <v>41409</v>
      </c>
      <c r="B788" s="298" t="s">
        <v>3375</v>
      </c>
      <c r="C788" s="299" t="s">
        <v>2871</v>
      </c>
      <c r="D788" s="300">
        <v>684.3</v>
      </c>
      <c r="E788" s="350">
        <f t="shared" si="25"/>
        <v>554.9</v>
      </c>
      <c r="F788" s="298" t="s">
        <v>98</v>
      </c>
      <c r="G788" s="301">
        <f t="shared" si="26"/>
        <v>576.71</v>
      </c>
    </row>
    <row r="789" spans="1:7" x14ac:dyDescent="0.25">
      <c r="A789" s="297">
        <v>40928</v>
      </c>
      <c r="B789" s="298" t="s">
        <v>3376</v>
      </c>
      <c r="C789" s="299" t="s">
        <v>2871</v>
      </c>
      <c r="D789" s="300">
        <v>52.68</v>
      </c>
      <c r="E789" s="350">
        <f t="shared" si="25"/>
        <v>42.72</v>
      </c>
      <c r="F789" s="298" t="s">
        <v>3693</v>
      </c>
      <c r="G789" s="301">
        <f t="shared" si="26"/>
        <v>44.4</v>
      </c>
    </row>
    <row r="790" spans="1:7" x14ac:dyDescent="0.25">
      <c r="A790" s="297">
        <v>41408</v>
      </c>
      <c r="B790" s="298" t="s">
        <v>3377</v>
      </c>
      <c r="C790" s="299" t="s">
        <v>2871</v>
      </c>
      <c r="D790" s="300">
        <v>3680.91</v>
      </c>
      <c r="E790" s="350">
        <f t="shared" si="25"/>
        <v>2984.85</v>
      </c>
      <c r="F790" s="298" t="s">
        <v>98</v>
      </c>
      <c r="G790" s="301">
        <f t="shared" si="26"/>
        <v>3102.15</v>
      </c>
    </row>
    <row r="791" spans="1:7" x14ac:dyDescent="0.25">
      <c r="A791" s="297">
        <v>41147</v>
      </c>
      <c r="B791" s="298" t="s">
        <v>3378</v>
      </c>
      <c r="C791" s="299" t="s">
        <v>82</v>
      </c>
      <c r="D791" s="300">
        <v>11.76</v>
      </c>
      <c r="E791" s="350">
        <f t="shared" si="25"/>
        <v>9.5399999999999991</v>
      </c>
      <c r="F791" s="298" t="s">
        <v>98</v>
      </c>
      <c r="G791" s="301">
        <f t="shared" si="26"/>
        <v>9.92</v>
      </c>
    </row>
    <row r="792" spans="1:7" x14ac:dyDescent="0.25">
      <c r="A792" s="297">
        <v>42046</v>
      </c>
      <c r="B792" s="298" t="s">
        <v>3379</v>
      </c>
      <c r="C792" s="299" t="s">
        <v>2871</v>
      </c>
      <c r="D792" s="300">
        <v>150.77000000000001</v>
      </c>
      <c r="E792" s="350">
        <f t="shared" si="25"/>
        <v>122.26</v>
      </c>
      <c r="F792" s="298" t="s">
        <v>98</v>
      </c>
      <c r="G792" s="301">
        <f t="shared" si="26"/>
        <v>127.07</v>
      </c>
    </row>
    <row r="793" spans="1:7" x14ac:dyDescent="0.25">
      <c r="A793" s="297">
        <v>41407</v>
      </c>
      <c r="B793" s="298" t="s">
        <v>3380</v>
      </c>
      <c r="C793" s="299" t="s">
        <v>2871</v>
      </c>
      <c r="D793" s="300">
        <v>18861.939999999999</v>
      </c>
      <c r="E793" s="350">
        <f t="shared" si="25"/>
        <v>15295.12</v>
      </c>
      <c r="F793" s="298" t="s">
        <v>98</v>
      </c>
      <c r="G793" s="301">
        <f t="shared" si="26"/>
        <v>15896.17</v>
      </c>
    </row>
    <row r="794" spans="1:7" x14ac:dyDescent="0.25">
      <c r="A794" s="297">
        <v>41146</v>
      </c>
      <c r="B794" s="298" t="s">
        <v>3381</v>
      </c>
      <c r="C794" s="299" t="s">
        <v>2871</v>
      </c>
      <c r="D794" s="300">
        <v>16710.37</v>
      </c>
      <c r="E794" s="350">
        <f t="shared" si="25"/>
        <v>13550.42</v>
      </c>
      <c r="F794" s="298" t="s">
        <v>98</v>
      </c>
      <c r="G794" s="301">
        <f t="shared" si="26"/>
        <v>14082.91</v>
      </c>
    </row>
    <row r="795" spans="1:7" x14ac:dyDescent="0.25">
      <c r="A795" s="297">
        <v>41017</v>
      </c>
      <c r="B795" s="298" t="s">
        <v>3382</v>
      </c>
      <c r="C795" s="299" t="s">
        <v>82</v>
      </c>
      <c r="D795" s="300">
        <v>618.03</v>
      </c>
      <c r="E795" s="350">
        <f t="shared" si="25"/>
        <v>501.16</v>
      </c>
      <c r="F795" s="298" t="s">
        <v>98</v>
      </c>
      <c r="G795" s="301">
        <f t="shared" si="26"/>
        <v>520.86</v>
      </c>
    </row>
    <row r="796" spans="1:7" x14ac:dyDescent="0.25">
      <c r="A796" s="297">
        <v>40929</v>
      </c>
      <c r="B796" s="298" t="s">
        <v>3873</v>
      </c>
      <c r="C796" s="299" t="s">
        <v>82</v>
      </c>
      <c r="D796" s="300">
        <v>376.71</v>
      </c>
      <c r="E796" s="350">
        <f t="shared" si="25"/>
        <v>305.48</v>
      </c>
      <c r="F796" s="298" t="s">
        <v>3693</v>
      </c>
      <c r="G796" s="301">
        <f t="shared" si="26"/>
        <v>317.49</v>
      </c>
    </row>
    <row r="797" spans="1:7" x14ac:dyDescent="0.25">
      <c r="A797" s="297">
        <v>41203</v>
      </c>
      <c r="B797" s="298" t="s">
        <v>3874</v>
      </c>
      <c r="C797" s="299" t="s">
        <v>82</v>
      </c>
      <c r="D797" s="300">
        <v>745.22</v>
      </c>
      <c r="E797" s="350">
        <f t="shared" si="25"/>
        <v>604.29999999999995</v>
      </c>
      <c r="F797" s="298" t="s">
        <v>3693</v>
      </c>
      <c r="G797" s="301">
        <f t="shared" si="26"/>
        <v>628.04999999999995</v>
      </c>
    </row>
    <row r="798" spans="1:7" x14ac:dyDescent="0.25">
      <c r="A798" s="297">
        <v>42047</v>
      </c>
      <c r="B798" s="298" t="s">
        <v>3383</v>
      </c>
      <c r="C798" s="299" t="s">
        <v>2871</v>
      </c>
      <c r="D798" s="300">
        <v>46.67</v>
      </c>
      <c r="E798" s="350">
        <f t="shared" si="25"/>
        <v>37.85</v>
      </c>
      <c r="F798" s="298" t="s">
        <v>98</v>
      </c>
      <c r="G798" s="301">
        <f t="shared" si="26"/>
        <v>39.340000000000003</v>
      </c>
    </row>
    <row r="799" spans="1:7" x14ac:dyDescent="0.25">
      <c r="A799" s="297">
        <v>41145</v>
      </c>
      <c r="B799" s="298" t="s">
        <v>4052</v>
      </c>
      <c r="C799" s="299" t="s">
        <v>2871</v>
      </c>
      <c r="D799" s="300">
        <v>10369.51</v>
      </c>
      <c r="E799" s="350">
        <f t="shared" si="25"/>
        <v>8408.6200000000008</v>
      </c>
      <c r="F799" s="298" t="s">
        <v>98</v>
      </c>
      <c r="G799" s="301">
        <f t="shared" si="26"/>
        <v>8739.0499999999993</v>
      </c>
    </row>
    <row r="800" spans="1:7" x14ac:dyDescent="0.25">
      <c r="A800" s="297">
        <v>41141</v>
      </c>
      <c r="B800" s="298" t="s">
        <v>4053</v>
      </c>
      <c r="C800" s="299" t="s">
        <v>2871</v>
      </c>
      <c r="D800" s="300">
        <v>2263.9499999999998</v>
      </c>
      <c r="E800" s="350">
        <f t="shared" si="25"/>
        <v>1835.84</v>
      </c>
      <c r="F800" s="298" t="s">
        <v>98</v>
      </c>
      <c r="G800" s="301">
        <f t="shared" si="26"/>
        <v>1907.99</v>
      </c>
    </row>
    <row r="801" spans="1:7" x14ac:dyDescent="0.25">
      <c r="A801" s="297">
        <v>41142</v>
      </c>
      <c r="B801" s="298" t="s">
        <v>4054</v>
      </c>
      <c r="C801" s="299" t="s">
        <v>2871</v>
      </c>
      <c r="D801" s="300">
        <v>2750.87</v>
      </c>
      <c r="E801" s="350">
        <f t="shared" si="25"/>
        <v>2230.6799999999998</v>
      </c>
      <c r="F801" s="298" t="s">
        <v>98</v>
      </c>
      <c r="G801" s="301">
        <f t="shared" si="26"/>
        <v>2318.34</v>
      </c>
    </row>
    <row r="802" spans="1:7" x14ac:dyDescent="0.25">
      <c r="A802" s="297">
        <v>41143</v>
      </c>
      <c r="B802" s="298" t="s">
        <v>4055</v>
      </c>
      <c r="C802" s="299" t="s">
        <v>2871</v>
      </c>
      <c r="D802" s="300">
        <v>4690.84</v>
      </c>
      <c r="E802" s="350">
        <f t="shared" si="25"/>
        <v>3803.8</v>
      </c>
      <c r="F802" s="298" t="s">
        <v>98</v>
      </c>
      <c r="G802" s="301">
        <f t="shared" si="26"/>
        <v>3953.28</v>
      </c>
    </row>
    <row r="803" spans="1:7" x14ac:dyDescent="0.25">
      <c r="A803" s="297">
        <v>43162</v>
      </c>
      <c r="B803" s="298" t="s">
        <v>3384</v>
      </c>
      <c r="C803" s="299" t="s">
        <v>82</v>
      </c>
      <c r="D803" s="300">
        <v>441.81</v>
      </c>
      <c r="E803" s="350">
        <f t="shared" si="25"/>
        <v>358.27</v>
      </c>
      <c r="F803" s="298" t="s">
        <v>3693</v>
      </c>
      <c r="G803" s="301">
        <f t="shared" si="26"/>
        <v>372.35</v>
      </c>
    </row>
    <row r="804" spans="1:7" x14ac:dyDescent="0.25">
      <c r="A804" s="297">
        <v>40931</v>
      </c>
      <c r="B804" s="298" t="s">
        <v>3385</v>
      </c>
      <c r="C804" s="299" t="s">
        <v>2884</v>
      </c>
      <c r="D804" s="300">
        <v>249.11</v>
      </c>
      <c r="E804" s="350">
        <f t="shared" si="25"/>
        <v>202.01</v>
      </c>
      <c r="F804" s="298" t="s">
        <v>3693</v>
      </c>
      <c r="G804" s="301">
        <f t="shared" si="26"/>
        <v>209.95</v>
      </c>
    </row>
    <row r="805" spans="1:7" x14ac:dyDescent="0.25">
      <c r="A805" s="297">
        <v>41526</v>
      </c>
      <c r="B805" s="298" t="s">
        <v>3386</v>
      </c>
      <c r="C805" s="299" t="s">
        <v>2884</v>
      </c>
      <c r="D805" s="300">
        <v>10.79</v>
      </c>
      <c r="E805" s="350">
        <f t="shared" si="25"/>
        <v>8.75</v>
      </c>
      <c r="F805" s="298" t="s">
        <v>3693</v>
      </c>
      <c r="G805" s="301">
        <f t="shared" si="26"/>
        <v>9.1</v>
      </c>
    </row>
    <row r="806" spans="1:7" x14ac:dyDescent="0.25">
      <c r="A806" s="297">
        <v>42524</v>
      </c>
      <c r="B806" s="298" t="s">
        <v>3387</v>
      </c>
      <c r="C806" s="299" t="s">
        <v>2884</v>
      </c>
      <c r="D806" s="300">
        <v>108.8</v>
      </c>
      <c r="E806" s="350">
        <f t="shared" si="25"/>
        <v>88.23</v>
      </c>
      <c r="F806" s="298" t="s">
        <v>98</v>
      </c>
      <c r="G806" s="301">
        <f t="shared" si="26"/>
        <v>91.7</v>
      </c>
    </row>
    <row r="807" spans="1:7" x14ac:dyDescent="0.25">
      <c r="A807" s="297">
        <v>40938</v>
      </c>
      <c r="B807" s="298" t="s">
        <v>3388</v>
      </c>
      <c r="C807" s="299" t="s">
        <v>2884</v>
      </c>
      <c r="D807" s="300">
        <v>804.05</v>
      </c>
      <c r="E807" s="350">
        <f t="shared" si="25"/>
        <v>652.01</v>
      </c>
      <c r="F807" s="298" t="s">
        <v>98</v>
      </c>
      <c r="G807" s="301">
        <f t="shared" si="26"/>
        <v>677.64</v>
      </c>
    </row>
    <row r="808" spans="1:7" x14ac:dyDescent="0.25">
      <c r="A808" s="297">
        <v>40924</v>
      </c>
      <c r="B808" s="298" t="s">
        <v>4139</v>
      </c>
      <c r="C808" s="299" t="s">
        <v>2884</v>
      </c>
      <c r="D808" s="300">
        <v>19.34</v>
      </c>
      <c r="E808" s="350">
        <f t="shared" si="25"/>
        <v>15.69</v>
      </c>
      <c r="F808" s="298" t="s">
        <v>3693</v>
      </c>
      <c r="G808" s="301">
        <f t="shared" si="26"/>
        <v>16.309999999999999</v>
      </c>
    </row>
    <row r="809" spans="1:7" x14ac:dyDescent="0.25">
      <c r="A809" s="297">
        <v>40925</v>
      </c>
      <c r="B809" s="298" t="s">
        <v>4140</v>
      </c>
      <c r="C809" s="299" t="s">
        <v>2884</v>
      </c>
      <c r="D809" s="300">
        <v>23.45</v>
      </c>
      <c r="E809" s="350">
        <f t="shared" si="25"/>
        <v>19.02</v>
      </c>
      <c r="F809" s="298" t="s">
        <v>3693</v>
      </c>
      <c r="G809" s="301">
        <f t="shared" si="26"/>
        <v>19.77</v>
      </c>
    </row>
    <row r="810" spans="1:7" x14ac:dyDescent="0.25">
      <c r="A810" s="297">
        <v>40926</v>
      </c>
      <c r="B810" s="298" t="s">
        <v>4141</v>
      </c>
      <c r="C810" s="299" t="s">
        <v>2884</v>
      </c>
      <c r="D810" s="300">
        <v>27.57</v>
      </c>
      <c r="E810" s="350">
        <f t="shared" si="25"/>
        <v>22.36</v>
      </c>
      <c r="F810" s="298" t="s">
        <v>3693</v>
      </c>
      <c r="G810" s="301">
        <f t="shared" si="26"/>
        <v>23.24</v>
      </c>
    </row>
    <row r="811" spans="1:7" x14ac:dyDescent="0.25">
      <c r="A811" s="297">
        <v>40927</v>
      </c>
      <c r="B811" s="298" t="s">
        <v>4142</v>
      </c>
      <c r="C811" s="299" t="s">
        <v>2884</v>
      </c>
      <c r="D811" s="300">
        <v>55.17</v>
      </c>
      <c r="E811" s="350">
        <f t="shared" si="25"/>
        <v>44.74</v>
      </c>
      <c r="F811" s="298" t="s">
        <v>3693</v>
      </c>
      <c r="G811" s="301">
        <f t="shared" si="26"/>
        <v>46.5</v>
      </c>
    </row>
    <row r="812" spans="1:7" x14ac:dyDescent="0.25">
      <c r="A812" s="297">
        <v>41202</v>
      </c>
      <c r="B812" s="298" t="s">
        <v>3389</v>
      </c>
      <c r="C812" s="299" t="s">
        <v>82</v>
      </c>
      <c r="D812" s="300">
        <v>32.85</v>
      </c>
      <c r="E812" s="350">
        <f t="shared" si="25"/>
        <v>26.64</v>
      </c>
      <c r="F812" s="298" t="s">
        <v>98</v>
      </c>
      <c r="G812" s="301">
        <f t="shared" si="26"/>
        <v>27.69</v>
      </c>
    </row>
    <row r="813" spans="1:7" x14ac:dyDescent="0.25">
      <c r="A813" s="297">
        <v>40937</v>
      </c>
      <c r="B813" s="298" t="s">
        <v>3390</v>
      </c>
      <c r="C813" s="299" t="s">
        <v>2884</v>
      </c>
      <c r="D813" s="300">
        <v>684.26</v>
      </c>
      <c r="E813" s="350">
        <f t="shared" si="25"/>
        <v>554.87</v>
      </c>
      <c r="F813" s="298" t="s">
        <v>98</v>
      </c>
      <c r="G813" s="301">
        <f t="shared" si="26"/>
        <v>576.67999999999995</v>
      </c>
    </row>
    <row r="814" spans="1:7" x14ac:dyDescent="0.25">
      <c r="A814" s="297">
        <v>40939</v>
      </c>
      <c r="B814" s="298" t="s">
        <v>4143</v>
      </c>
      <c r="C814" s="299" t="s">
        <v>2884</v>
      </c>
      <c r="D814" s="300">
        <v>721.2</v>
      </c>
      <c r="E814" s="350">
        <f t="shared" si="25"/>
        <v>584.82000000000005</v>
      </c>
      <c r="F814" s="298" t="s">
        <v>98</v>
      </c>
      <c r="G814" s="301">
        <f t="shared" si="26"/>
        <v>607.80999999999995</v>
      </c>
    </row>
    <row r="815" spans="1:7" x14ac:dyDescent="0.25">
      <c r="A815" s="297">
        <v>40936</v>
      </c>
      <c r="B815" s="298" t="s">
        <v>376</v>
      </c>
      <c r="C815" s="299" t="s">
        <v>2884</v>
      </c>
      <c r="D815" s="300">
        <v>842.76</v>
      </c>
      <c r="E815" s="350">
        <f t="shared" si="25"/>
        <v>683.4</v>
      </c>
      <c r="F815" s="298" t="s">
        <v>98</v>
      </c>
      <c r="G815" s="301">
        <f t="shared" si="26"/>
        <v>710.26</v>
      </c>
    </row>
    <row r="816" spans="1:7" x14ac:dyDescent="0.25">
      <c r="A816" s="297">
        <v>40930</v>
      </c>
      <c r="B816" s="298" t="s">
        <v>3391</v>
      </c>
      <c r="C816" s="299" t="s">
        <v>2884</v>
      </c>
      <c r="D816" s="300">
        <v>243.97</v>
      </c>
      <c r="E816" s="350">
        <f t="shared" si="25"/>
        <v>197.84</v>
      </c>
      <c r="F816" s="298" t="s">
        <v>3693</v>
      </c>
      <c r="G816" s="301">
        <f t="shared" si="26"/>
        <v>205.62</v>
      </c>
    </row>
    <row r="817" spans="1:7" x14ac:dyDescent="0.25">
      <c r="A817" s="297">
        <v>41222</v>
      </c>
      <c r="B817" s="298" t="s">
        <v>3392</v>
      </c>
      <c r="C817" s="299" t="s">
        <v>2871</v>
      </c>
      <c r="D817" s="300">
        <v>97.32</v>
      </c>
      <c r="E817" s="350">
        <f t="shared" si="25"/>
        <v>78.92</v>
      </c>
      <c r="F817" s="298" t="s">
        <v>98</v>
      </c>
      <c r="G817" s="301">
        <f t="shared" si="26"/>
        <v>82.03</v>
      </c>
    </row>
    <row r="818" spans="1:7" x14ac:dyDescent="0.25">
      <c r="A818" s="297">
        <v>40932</v>
      </c>
      <c r="B818" s="298" t="s">
        <v>3393</v>
      </c>
      <c r="C818" s="299" t="s">
        <v>2871</v>
      </c>
      <c r="D818" s="300">
        <v>25.92</v>
      </c>
      <c r="E818" s="350">
        <f t="shared" si="25"/>
        <v>21.02</v>
      </c>
      <c r="F818" s="298" t="s">
        <v>98</v>
      </c>
      <c r="G818" s="301">
        <f t="shared" si="26"/>
        <v>21.85</v>
      </c>
    </row>
    <row r="819" spans="1:7" x14ac:dyDescent="0.25">
      <c r="A819" s="297">
        <v>40934</v>
      </c>
      <c r="B819" s="298" t="s">
        <v>3394</v>
      </c>
      <c r="C819" s="299" t="s">
        <v>2871</v>
      </c>
      <c r="D819" s="300">
        <v>27.9</v>
      </c>
      <c r="E819" s="350">
        <f t="shared" si="25"/>
        <v>22.63</v>
      </c>
      <c r="F819" s="298" t="s">
        <v>98</v>
      </c>
      <c r="G819" s="301">
        <f t="shared" si="26"/>
        <v>23.52</v>
      </c>
    </row>
    <row r="820" spans="1:7" x14ac:dyDescent="0.25">
      <c r="A820" s="297">
        <v>40933</v>
      </c>
      <c r="B820" s="298" t="s">
        <v>3395</v>
      </c>
      <c r="C820" s="299" t="s">
        <v>2871</v>
      </c>
      <c r="D820" s="300">
        <v>66.22</v>
      </c>
      <c r="E820" s="350">
        <f t="shared" si="25"/>
        <v>53.7</v>
      </c>
      <c r="F820" s="298" t="s">
        <v>98</v>
      </c>
      <c r="G820" s="301">
        <f t="shared" si="26"/>
        <v>55.82</v>
      </c>
    </row>
    <row r="821" spans="1:7" x14ac:dyDescent="0.25">
      <c r="A821" s="297">
        <v>40935</v>
      </c>
      <c r="B821" s="298" t="s">
        <v>3396</v>
      </c>
      <c r="C821" s="299" t="s">
        <v>2871</v>
      </c>
      <c r="D821" s="300">
        <v>68.010000000000005</v>
      </c>
      <c r="E821" s="350">
        <f t="shared" si="25"/>
        <v>55.15</v>
      </c>
      <c r="F821" s="298" t="s">
        <v>98</v>
      </c>
      <c r="G821" s="301">
        <f t="shared" si="26"/>
        <v>57.32</v>
      </c>
    </row>
    <row r="822" spans="1:7" x14ac:dyDescent="0.25">
      <c r="A822" s="297">
        <v>41359</v>
      </c>
      <c r="B822" s="298" t="s">
        <v>4155</v>
      </c>
      <c r="C822" s="299" t="s">
        <v>82</v>
      </c>
      <c r="D822" s="300">
        <v>24.76</v>
      </c>
      <c r="E822" s="350">
        <f t="shared" si="25"/>
        <v>20.079999999999998</v>
      </c>
      <c r="F822" s="298" t="s">
        <v>3693</v>
      </c>
      <c r="G822" s="301">
        <f t="shared" si="26"/>
        <v>20.87</v>
      </c>
    </row>
    <row r="823" spans="1:7" x14ac:dyDescent="0.25">
      <c r="A823" s="297">
        <v>42878</v>
      </c>
      <c r="B823" s="298" t="s">
        <v>3700</v>
      </c>
      <c r="C823" s="299" t="s">
        <v>3228</v>
      </c>
      <c r="D823" s="300">
        <v>6537.13</v>
      </c>
      <c r="E823" s="350">
        <f t="shared" si="25"/>
        <v>5300.95</v>
      </c>
      <c r="F823" s="298" t="s">
        <v>98</v>
      </c>
      <c r="G823" s="301">
        <f t="shared" si="26"/>
        <v>5509.26</v>
      </c>
    </row>
    <row r="824" spans="1:7" x14ac:dyDescent="0.25">
      <c r="A824" s="297">
        <v>42888</v>
      </c>
      <c r="B824" s="298" t="s">
        <v>3397</v>
      </c>
      <c r="C824" s="299" t="s">
        <v>3228</v>
      </c>
      <c r="D824" s="300">
        <v>10600.99</v>
      </c>
      <c r="E824" s="350">
        <f t="shared" si="25"/>
        <v>8596.33</v>
      </c>
      <c r="F824" s="298" t="s">
        <v>98</v>
      </c>
      <c r="G824" s="301">
        <f t="shared" si="26"/>
        <v>8934.14</v>
      </c>
    </row>
    <row r="825" spans="1:7" x14ac:dyDescent="0.25">
      <c r="A825" s="297">
        <v>40981</v>
      </c>
      <c r="B825" s="298" t="s">
        <v>3398</v>
      </c>
      <c r="C825" s="299" t="s">
        <v>2884</v>
      </c>
      <c r="D825" s="300">
        <v>2.15</v>
      </c>
      <c r="E825" s="350">
        <f t="shared" si="25"/>
        <v>1.75</v>
      </c>
      <c r="F825" s="298" t="s">
        <v>98</v>
      </c>
      <c r="G825" s="301">
        <f t="shared" si="26"/>
        <v>1.82</v>
      </c>
    </row>
    <row r="826" spans="1:7" x14ac:dyDescent="0.25">
      <c r="A826" s="297">
        <v>40101</v>
      </c>
      <c r="B826" s="298" t="s">
        <v>3399</v>
      </c>
      <c r="C826" s="299" t="s">
        <v>2871</v>
      </c>
      <c r="D826" s="300">
        <v>201.41</v>
      </c>
      <c r="E826" s="350">
        <f t="shared" si="25"/>
        <v>163.33000000000001</v>
      </c>
      <c r="F826" s="298" t="s">
        <v>98</v>
      </c>
      <c r="G826" s="301">
        <f t="shared" si="26"/>
        <v>169.75</v>
      </c>
    </row>
    <row r="827" spans="1:7" x14ac:dyDescent="0.25">
      <c r="A827" s="297">
        <v>40110</v>
      </c>
      <c r="B827" s="298" t="s">
        <v>3400</v>
      </c>
      <c r="C827" s="299" t="s">
        <v>76</v>
      </c>
      <c r="D827" s="300">
        <v>43.4</v>
      </c>
      <c r="E827" s="350">
        <f t="shared" si="25"/>
        <v>35.200000000000003</v>
      </c>
      <c r="F827" s="298" t="s">
        <v>98</v>
      </c>
      <c r="G827" s="301">
        <f t="shared" si="26"/>
        <v>36.590000000000003</v>
      </c>
    </row>
    <row r="828" spans="1:7" x14ac:dyDescent="0.25">
      <c r="A828" s="297">
        <v>40137</v>
      </c>
      <c r="B828" s="298" t="s">
        <v>3724</v>
      </c>
      <c r="C828" s="299" t="s">
        <v>2871</v>
      </c>
      <c r="D828" s="300">
        <v>1851.46</v>
      </c>
      <c r="E828" s="350">
        <f t="shared" si="25"/>
        <v>1501.35</v>
      </c>
      <c r="F828" s="298" t="s">
        <v>3693</v>
      </c>
      <c r="G828" s="301">
        <f t="shared" si="26"/>
        <v>1560.35</v>
      </c>
    </row>
    <row r="829" spans="1:7" x14ac:dyDescent="0.25">
      <c r="A829" s="297">
        <v>40138</v>
      </c>
      <c r="B829" s="298" t="s">
        <v>3741</v>
      </c>
      <c r="C829" s="299" t="s">
        <v>2871</v>
      </c>
      <c r="D829" s="300">
        <v>3150.7</v>
      </c>
      <c r="E829" s="350">
        <f t="shared" si="25"/>
        <v>2554.9</v>
      </c>
      <c r="F829" s="298" t="s">
        <v>3693</v>
      </c>
      <c r="G829" s="301">
        <f t="shared" si="26"/>
        <v>2655.3</v>
      </c>
    </row>
    <row r="830" spans="1:7" x14ac:dyDescent="0.25">
      <c r="A830" s="297">
        <v>43336</v>
      </c>
      <c r="B830" s="298" t="s">
        <v>3767</v>
      </c>
      <c r="C830" s="299" t="s">
        <v>2884</v>
      </c>
      <c r="D830" s="300">
        <v>1.67</v>
      </c>
      <c r="E830" s="350">
        <f t="shared" si="25"/>
        <v>1.36</v>
      </c>
      <c r="F830" s="298" t="s">
        <v>98</v>
      </c>
      <c r="G830" s="301">
        <f t="shared" si="26"/>
        <v>1.42</v>
      </c>
    </row>
    <row r="831" spans="1:7" x14ac:dyDescent="0.25">
      <c r="A831" s="297">
        <v>40980</v>
      </c>
      <c r="B831" s="298" t="s">
        <v>3401</v>
      </c>
      <c r="C831" s="299" t="s">
        <v>76</v>
      </c>
      <c r="D831" s="300">
        <v>16.64</v>
      </c>
      <c r="E831" s="350">
        <f t="shared" si="25"/>
        <v>13.5</v>
      </c>
      <c r="F831" s="298" t="s">
        <v>98</v>
      </c>
      <c r="G831" s="301">
        <f t="shared" si="26"/>
        <v>14.04</v>
      </c>
    </row>
    <row r="832" spans="1:7" x14ac:dyDescent="0.25">
      <c r="A832" s="297">
        <v>40115</v>
      </c>
      <c r="B832" s="298" t="s">
        <v>3402</v>
      </c>
      <c r="C832" s="299" t="s">
        <v>284</v>
      </c>
      <c r="D832" s="300">
        <v>435.97</v>
      </c>
      <c r="E832" s="350">
        <f t="shared" si="25"/>
        <v>353.53</v>
      </c>
      <c r="F832" s="298" t="s">
        <v>3693</v>
      </c>
      <c r="G832" s="301">
        <f t="shared" si="26"/>
        <v>367.43</v>
      </c>
    </row>
    <row r="833" spans="1:7" x14ac:dyDescent="0.25">
      <c r="A833" s="297">
        <v>40104</v>
      </c>
      <c r="B833" s="302" t="s">
        <v>3403</v>
      </c>
      <c r="C833" s="299" t="s">
        <v>82</v>
      </c>
      <c r="D833" s="300">
        <v>21.14</v>
      </c>
      <c r="E833" s="350">
        <f t="shared" si="25"/>
        <v>17.149999999999999</v>
      </c>
      <c r="F833" s="298" t="s">
        <v>3693</v>
      </c>
      <c r="G833" s="301">
        <f t="shared" ref="G833:G893" si="27">ROUNDUP(E833*$H$2,2)</f>
        <v>17.829999999999998</v>
      </c>
    </row>
    <row r="834" spans="1:7" x14ac:dyDescent="0.25">
      <c r="A834" s="297">
        <v>40143</v>
      </c>
      <c r="B834" s="298" t="s">
        <v>3781</v>
      </c>
      <c r="C834" s="299" t="s">
        <v>76</v>
      </c>
      <c r="D834" s="300">
        <v>120.84</v>
      </c>
      <c r="E834" s="350">
        <f t="shared" ref="E834:E897" si="28">ROUNDUP(D834/(1+$L$2),2)</f>
        <v>97.99</v>
      </c>
      <c r="F834" s="298" t="s">
        <v>3693</v>
      </c>
      <c r="G834" s="301">
        <f t="shared" si="27"/>
        <v>101.85</v>
      </c>
    </row>
    <row r="835" spans="1:7" x14ac:dyDescent="0.25">
      <c r="A835" s="297">
        <v>40107</v>
      </c>
      <c r="B835" s="298" t="s">
        <v>2864</v>
      </c>
      <c r="C835" s="299" t="s">
        <v>76</v>
      </c>
      <c r="D835" s="300">
        <v>7.3</v>
      </c>
      <c r="E835" s="350">
        <f t="shared" si="28"/>
        <v>5.92</v>
      </c>
      <c r="F835" s="298" t="s">
        <v>98</v>
      </c>
      <c r="G835" s="301">
        <f t="shared" si="27"/>
        <v>6.16</v>
      </c>
    </row>
    <row r="836" spans="1:7" x14ac:dyDescent="0.25">
      <c r="A836" s="297">
        <v>40108</v>
      </c>
      <c r="B836" s="298" t="s">
        <v>3404</v>
      </c>
      <c r="C836" s="299" t="s">
        <v>2884</v>
      </c>
      <c r="D836" s="300">
        <v>3.51</v>
      </c>
      <c r="E836" s="350">
        <f t="shared" si="28"/>
        <v>2.85</v>
      </c>
      <c r="F836" s="298" t="s">
        <v>98</v>
      </c>
      <c r="G836" s="301">
        <f t="shared" si="27"/>
        <v>2.97</v>
      </c>
    </row>
    <row r="837" spans="1:7" x14ac:dyDescent="0.25">
      <c r="A837" s="297">
        <v>40081</v>
      </c>
      <c r="B837" s="298" t="s">
        <v>3405</v>
      </c>
      <c r="C837" s="299" t="s">
        <v>76</v>
      </c>
      <c r="D837" s="300">
        <v>9.0500000000000007</v>
      </c>
      <c r="E837" s="350">
        <f t="shared" si="28"/>
        <v>7.34</v>
      </c>
      <c r="F837" s="298" t="s">
        <v>98</v>
      </c>
      <c r="G837" s="301">
        <f t="shared" si="27"/>
        <v>7.63</v>
      </c>
    </row>
    <row r="838" spans="1:7" x14ac:dyDescent="0.25">
      <c r="A838" s="297">
        <v>40136</v>
      </c>
      <c r="B838" s="298" t="s">
        <v>3866</v>
      </c>
      <c r="C838" s="299" t="s">
        <v>82</v>
      </c>
      <c r="D838" s="300">
        <v>666.69</v>
      </c>
      <c r="E838" s="350">
        <f t="shared" si="28"/>
        <v>540.62</v>
      </c>
      <c r="F838" s="298" t="s">
        <v>3693</v>
      </c>
      <c r="G838" s="301">
        <f t="shared" si="27"/>
        <v>561.87</v>
      </c>
    </row>
    <row r="839" spans="1:7" x14ac:dyDescent="0.25">
      <c r="A839" s="297">
        <v>40096</v>
      </c>
      <c r="B839" s="298" t="s">
        <v>3875</v>
      </c>
      <c r="C839" s="299" t="s">
        <v>82</v>
      </c>
      <c r="D839" s="300">
        <v>487.66</v>
      </c>
      <c r="E839" s="350">
        <f t="shared" si="28"/>
        <v>395.45</v>
      </c>
      <c r="F839" s="298" t="s">
        <v>98</v>
      </c>
      <c r="G839" s="301">
        <f t="shared" si="27"/>
        <v>410.99</v>
      </c>
    </row>
    <row r="840" spans="1:7" x14ac:dyDescent="0.25">
      <c r="A840" s="297">
        <v>40134</v>
      </c>
      <c r="B840" s="298" t="s">
        <v>3406</v>
      </c>
      <c r="C840" s="299" t="s">
        <v>2884</v>
      </c>
      <c r="D840" s="300">
        <v>6.49</v>
      </c>
      <c r="E840" s="350">
        <f t="shared" si="28"/>
        <v>5.27</v>
      </c>
      <c r="F840" s="298" t="s">
        <v>98</v>
      </c>
      <c r="G840" s="301">
        <f t="shared" si="27"/>
        <v>5.48</v>
      </c>
    </row>
    <row r="841" spans="1:7" x14ac:dyDescent="0.25">
      <c r="A841" s="297">
        <v>40105</v>
      </c>
      <c r="B841" s="298" t="s">
        <v>3407</v>
      </c>
      <c r="C841" s="299" t="s">
        <v>2884</v>
      </c>
      <c r="D841" s="300">
        <v>0.83</v>
      </c>
      <c r="E841" s="350">
        <f t="shared" si="28"/>
        <v>0.68</v>
      </c>
      <c r="F841" s="298" t="s">
        <v>98</v>
      </c>
      <c r="G841" s="301">
        <f t="shared" si="27"/>
        <v>0.71</v>
      </c>
    </row>
    <row r="842" spans="1:7" x14ac:dyDescent="0.25">
      <c r="A842" s="297">
        <v>40084</v>
      </c>
      <c r="B842" s="298" t="s">
        <v>3408</v>
      </c>
      <c r="C842" s="299" t="s">
        <v>82</v>
      </c>
      <c r="D842" s="300">
        <v>1.99</v>
      </c>
      <c r="E842" s="350">
        <f t="shared" si="28"/>
        <v>1.62</v>
      </c>
      <c r="F842" s="298" t="s">
        <v>98</v>
      </c>
      <c r="G842" s="301">
        <f t="shared" si="27"/>
        <v>1.69</v>
      </c>
    </row>
    <row r="843" spans="1:7" x14ac:dyDescent="0.25">
      <c r="A843" s="297">
        <v>40144</v>
      </c>
      <c r="B843" s="298" t="s">
        <v>3910</v>
      </c>
      <c r="C843" s="299" t="s">
        <v>82</v>
      </c>
      <c r="D843" s="300">
        <v>155.63999999999999</v>
      </c>
      <c r="E843" s="350">
        <f t="shared" si="28"/>
        <v>126.21</v>
      </c>
      <c r="F843" s="298" t="s">
        <v>3693</v>
      </c>
      <c r="G843" s="301">
        <f t="shared" si="27"/>
        <v>131.16999999999999</v>
      </c>
    </row>
    <row r="844" spans="1:7" x14ac:dyDescent="0.25">
      <c r="A844" s="297">
        <v>40106</v>
      </c>
      <c r="B844" s="298" t="s">
        <v>3409</v>
      </c>
      <c r="C844" s="299" t="s">
        <v>76</v>
      </c>
      <c r="D844" s="300">
        <v>13.86</v>
      </c>
      <c r="E844" s="350">
        <f t="shared" si="28"/>
        <v>11.24</v>
      </c>
      <c r="F844" s="298" t="s">
        <v>3693</v>
      </c>
      <c r="G844" s="301">
        <f t="shared" si="27"/>
        <v>11.69</v>
      </c>
    </row>
    <row r="845" spans="1:7" x14ac:dyDescent="0.25">
      <c r="A845" s="297">
        <v>40135</v>
      </c>
      <c r="B845" s="298" t="s">
        <v>3410</v>
      </c>
      <c r="C845" s="299" t="s">
        <v>2884</v>
      </c>
      <c r="D845" s="300">
        <v>19.62</v>
      </c>
      <c r="E845" s="350">
        <f t="shared" si="28"/>
        <v>15.91</v>
      </c>
      <c r="F845" s="298" t="s">
        <v>98</v>
      </c>
      <c r="G845" s="301">
        <f t="shared" si="27"/>
        <v>16.54</v>
      </c>
    </row>
    <row r="846" spans="1:7" x14ac:dyDescent="0.25">
      <c r="A846" s="297">
        <v>40111</v>
      </c>
      <c r="B846" s="298" t="s">
        <v>3411</v>
      </c>
      <c r="C846" s="299" t="s">
        <v>2884</v>
      </c>
      <c r="D846" s="300">
        <v>10.17</v>
      </c>
      <c r="E846" s="350">
        <f t="shared" si="28"/>
        <v>8.25</v>
      </c>
      <c r="F846" s="298" t="s">
        <v>3693</v>
      </c>
      <c r="G846" s="301">
        <f t="shared" si="27"/>
        <v>8.58</v>
      </c>
    </row>
    <row r="847" spans="1:7" x14ac:dyDescent="0.25">
      <c r="A847" s="297">
        <v>40126</v>
      </c>
      <c r="B847" s="298" t="s">
        <v>3412</v>
      </c>
      <c r="C847" s="299" t="s">
        <v>2884</v>
      </c>
      <c r="D847" s="300">
        <v>4.99</v>
      </c>
      <c r="E847" s="350">
        <f t="shared" si="28"/>
        <v>4.05</v>
      </c>
      <c r="F847" s="298" t="s">
        <v>3693</v>
      </c>
      <c r="G847" s="301">
        <f t="shared" si="27"/>
        <v>4.21</v>
      </c>
    </row>
    <row r="848" spans="1:7" x14ac:dyDescent="0.25">
      <c r="A848" s="297">
        <v>40127</v>
      </c>
      <c r="B848" s="298" t="s">
        <v>3413</v>
      </c>
      <c r="C848" s="299" t="s">
        <v>2884</v>
      </c>
      <c r="D848" s="300">
        <v>6.83</v>
      </c>
      <c r="E848" s="350">
        <f t="shared" si="28"/>
        <v>5.54</v>
      </c>
      <c r="F848" s="298" t="s">
        <v>3693</v>
      </c>
      <c r="G848" s="301">
        <f t="shared" si="27"/>
        <v>5.76</v>
      </c>
    </row>
    <row r="849" spans="1:7" x14ac:dyDescent="0.25">
      <c r="A849" s="297">
        <v>40128</v>
      </c>
      <c r="B849" s="298" t="s">
        <v>3414</v>
      </c>
      <c r="C849" s="299" t="s">
        <v>2884</v>
      </c>
      <c r="D849" s="300">
        <v>9.06</v>
      </c>
      <c r="E849" s="350">
        <f t="shared" si="28"/>
        <v>7.35</v>
      </c>
      <c r="F849" s="298" t="s">
        <v>3693</v>
      </c>
      <c r="G849" s="301">
        <f t="shared" si="27"/>
        <v>7.64</v>
      </c>
    </row>
    <row r="850" spans="1:7" x14ac:dyDescent="0.25">
      <c r="A850" s="297">
        <v>40129</v>
      </c>
      <c r="B850" s="298" t="s">
        <v>3415</v>
      </c>
      <c r="C850" s="299" t="s">
        <v>2884</v>
      </c>
      <c r="D850" s="300">
        <v>11.99</v>
      </c>
      <c r="E850" s="350">
        <f t="shared" si="28"/>
        <v>9.73</v>
      </c>
      <c r="F850" s="298" t="s">
        <v>3693</v>
      </c>
      <c r="G850" s="301">
        <f t="shared" si="27"/>
        <v>10.119999999999999</v>
      </c>
    </row>
    <row r="851" spans="1:7" x14ac:dyDescent="0.25">
      <c r="A851" s="297">
        <v>40085</v>
      </c>
      <c r="B851" s="298" t="s">
        <v>3416</v>
      </c>
      <c r="C851" s="299" t="s">
        <v>82</v>
      </c>
      <c r="D851" s="300">
        <v>1.49</v>
      </c>
      <c r="E851" s="350">
        <f t="shared" si="28"/>
        <v>1.21</v>
      </c>
      <c r="F851" s="298" t="s">
        <v>98</v>
      </c>
      <c r="G851" s="301">
        <f t="shared" si="27"/>
        <v>1.26</v>
      </c>
    </row>
    <row r="852" spans="1:7" x14ac:dyDescent="0.25">
      <c r="A852" s="297">
        <v>40086</v>
      </c>
      <c r="B852" s="298" t="s">
        <v>3417</v>
      </c>
      <c r="C852" s="299" t="s">
        <v>82</v>
      </c>
      <c r="D852" s="300">
        <v>35.18</v>
      </c>
      <c r="E852" s="350">
        <f t="shared" si="28"/>
        <v>28.53</v>
      </c>
      <c r="F852" s="298" t="s">
        <v>98</v>
      </c>
      <c r="G852" s="301">
        <f t="shared" si="27"/>
        <v>29.66</v>
      </c>
    </row>
    <row r="853" spans="1:7" x14ac:dyDescent="0.25">
      <c r="A853" s="297">
        <v>40087</v>
      </c>
      <c r="B853" s="298" t="s">
        <v>3418</v>
      </c>
      <c r="C853" s="299" t="s">
        <v>2871</v>
      </c>
      <c r="D853" s="300">
        <v>134.44</v>
      </c>
      <c r="E853" s="350">
        <f t="shared" si="28"/>
        <v>109.02</v>
      </c>
      <c r="F853" s="298" t="s">
        <v>98</v>
      </c>
      <c r="G853" s="301">
        <f t="shared" si="27"/>
        <v>113.31</v>
      </c>
    </row>
    <row r="854" spans="1:7" x14ac:dyDescent="0.25">
      <c r="A854" s="297">
        <v>40983</v>
      </c>
      <c r="B854" s="298" t="s">
        <v>4059</v>
      </c>
      <c r="C854" s="299" t="s">
        <v>82</v>
      </c>
      <c r="D854" s="300">
        <v>10.97</v>
      </c>
      <c r="E854" s="350">
        <f t="shared" si="28"/>
        <v>8.9</v>
      </c>
      <c r="F854" s="298" t="s">
        <v>98</v>
      </c>
      <c r="G854" s="301">
        <f t="shared" si="27"/>
        <v>9.25</v>
      </c>
    </row>
    <row r="855" spans="1:7" x14ac:dyDescent="0.25">
      <c r="A855" s="297">
        <v>40100</v>
      </c>
      <c r="B855" s="298" t="s">
        <v>3419</v>
      </c>
      <c r="C855" s="299" t="s">
        <v>82</v>
      </c>
      <c r="D855" s="300">
        <v>111.85</v>
      </c>
      <c r="E855" s="350">
        <f t="shared" si="28"/>
        <v>90.7</v>
      </c>
      <c r="F855" s="298" t="s">
        <v>98</v>
      </c>
      <c r="G855" s="301">
        <f t="shared" si="27"/>
        <v>94.27</v>
      </c>
    </row>
    <row r="856" spans="1:7" x14ac:dyDescent="0.25">
      <c r="A856" s="297">
        <v>40141</v>
      </c>
      <c r="B856" s="298" t="s">
        <v>4062</v>
      </c>
      <c r="C856" s="299" t="s">
        <v>82</v>
      </c>
      <c r="D856" s="300">
        <v>66.03</v>
      </c>
      <c r="E856" s="350">
        <f t="shared" si="28"/>
        <v>53.55</v>
      </c>
      <c r="F856" s="298" t="s">
        <v>3693</v>
      </c>
      <c r="G856" s="301">
        <f t="shared" si="27"/>
        <v>55.66</v>
      </c>
    </row>
    <row r="857" spans="1:7" x14ac:dyDescent="0.25">
      <c r="A857" s="297">
        <v>40118</v>
      </c>
      <c r="B857" s="298" t="s">
        <v>3420</v>
      </c>
      <c r="C857" s="299" t="s">
        <v>2884</v>
      </c>
      <c r="D857" s="300">
        <v>90.97</v>
      </c>
      <c r="E857" s="350">
        <f t="shared" si="28"/>
        <v>73.77</v>
      </c>
      <c r="F857" s="298" t="s">
        <v>3693</v>
      </c>
      <c r="G857" s="301">
        <f t="shared" si="27"/>
        <v>76.67</v>
      </c>
    </row>
    <row r="858" spans="1:7" x14ac:dyDescent="0.25">
      <c r="A858" s="297">
        <v>40116</v>
      </c>
      <c r="B858" s="298" t="s">
        <v>3421</v>
      </c>
      <c r="C858" s="299" t="s">
        <v>2884</v>
      </c>
      <c r="D858" s="300">
        <v>84.48</v>
      </c>
      <c r="E858" s="350">
        <f t="shared" si="28"/>
        <v>68.510000000000005</v>
      </c>
      <c r="F858" s="298" t="s">
        <v>3693</v>
      </c>
      <c r="G858" s="301">
        <f t="shared" si="27"/>
        <v>71.209999999999994</v>
      </c>
    </row>
    <row r="859" spans="1:7" x14ac:dyDescent="0.25">
      <c r="A859" s="297">
        <v>40117</v>
      </c>
      <c r="B859" s="298" t="s">
        <v>3422</v>
      </c>
      <c r="C859" s="299" t="s">
        <v>2884</v>
      </c>
      <c r="D859" s="300">
        <v>49.35</v>
      </c>
      <c r="E859" s="350">
        <f t="shared" si="28"/>
        <v>40.020000000000003</v>
      </c>
      <c r="F859" s="298" t="s">
        <v>3693</v>
      </c>
      <c r="G859" s="301">
        <f t="shared" si="27"/>
        <v>41.6</v>
      </c>
    </row>
    <row r="860" spans="1:7" x14ac:dyDescent="0.25">
      <c r="A860" s="297">
        <v>40148</v>
      </c>
      <c r="B860" s="298" t="s">
        <v>3423</v>
      </c>
      <c r="C860" s="299" t="s">
        <v>82</v>
      </c>
      <c r="D860" s="300">
        <v>3.53</v>
      </c>
      <c r="E860" s="350">
        <f t="shared" si="28"/>
        <v>2.87</v>
      </c>
      <c r="F860" s="298" t="s">
        <v>98</v>
      </c>
      <c r="G860" s="301">
        <f t="shared" si="27"/>
        <v>2.99</v>
      </c>
    </row>
    <row r="861" spans="1:7" x14ac:dyDescent="0.25">
      <c r="A861" s="297">
        <v>40112</v>
      </c>
      <c r="B861" s="298" t="s">
        <v>3424</v>
      </c>
      <c r="C861" s="299" t="s">
        <v>2884</v>
      </c>
      <c r="D861" s="300">
        <v>3.08</v>
      </c>
      <c r="E861" s="350">
        <f t="shared" si="28"/>
        <v>2.5</v>
      </c>
      <c r="F861" s="298" t="s">
        <v>3693</v>
      </c>
      <c r="G861" s="301">
        <f t="shared" si="27"/>
        <v>2.6</v>
      </c>
    </row>
    <row r="862" spans="1:7" x14ac:dyDescent="0.25">
      <c r="A862" s="297">
        <v>40149</v>
      </c>
      <c r="B862" s="298" t="s">
        <v>3425</v>
      </c>
      <c r="C862" s="299" t="s">
        <v>2884</v>
      </c>
      <c r="D862" s="300">
        <v>7.28</v>
      </c>
      <c r="E862" s="350">
        <f t="shared" si="28"/>
        <v>5.91</v>
      </c>
      <c r="F862" s="298" t="s">
        <v>98</v>
      </c>
      <c r="G862" s="301">
        <f t="shared" si="27"/>
        <v>6.15</v>
      </c>
    </row>
    <row r="863" spans="1:7" x14ac:dyDescent="0.25">
      <c r="A863" s="297">
        <v>40094</v>
      </c>
      <c r="B863" s="298" t="s">
        <v>3426</v>
      </c>
      <c r="C863" s="299" t="s">
        <v>2884</v>
      </c>
      <c r="D863" s="300">
        <v>109.96</v>
      </c>
      <c r="E863" s="350">
        <f t="shared" si="28"/>
        <v>89.17</v>
      </c>
      <c r="F863" s="298" t="s">
        <v>98</v>
      </c>
      <c r="G863" s="301">
        <f t="shared" si="27"/>
        <v>92.68</v>
      </c>
    </row>
    <row r="864" spans="1:7" x14ac:dyDescent="0.25">
      <c r="A864" s="297">
        <v>40095</v>
      </c>
      <c r="B864" s="298" t="s">
        <v>3427</v>
      </c>
      <c r="C864" s="299" t="s">
        <v>2884</v>
      </c>
      <c r="D864" s="300">
        <v>764.84</v>
      </c>
      <c r="E864" s="350">
        <f t="shared" si="28"/>
        <v>620.21</v>
      </c>
      <c r="F864" s="298" t="s">
        <v>3693</v>
      </c>
      <c r="G864" s="301">
        <f t="shared" si="27"/>
        <v>644.59</v>
      </c>
    </row>
    <row r="865" spans="1:7" x14ac:dyDescent="0.25">
      <c r="A865" s="297">
        <v>40114</v>
      </c>
      <c r="B865" s="298" t="s">
        <v>3428</v>
      </c>
      <c r="C865" s="299" t="s">
        <v>284</v>
      </c>
      <c r="D865" s="300">
        <v>399.27</v>
      </c>
      <c r="E865" s="350">
        <f t="shared" si="28"/>
        <v>323.77</v>
      </c>
      <c r="F865" s="298" t="s">
        <v>3693</v>
      </c>
      <c r="G865" s="301">
        <f t="shared" si="27"/>
        <v>336.5</v>
      </c>
    </row>
    <row r="866" spans="1:7" x14ac:dyDescent="0.25">
      <c r="A866" s="297">
        <v>41134</v>
      </c>
      <c r="B866" s="298" t="s">
        <v>2952</v>
      </c>
      <c r="C866" s="299" t="s">
        <v>76</v>
      </c>
      <c r="D866" s="300">
        <v>129.09</v>
      </c>
      <c r="E866" s="350">
        <f t="shared" si="28"/>
        <v>104.68</v>
      </c>
      <c r="F866" s="298" t="s">
        <v>3693</v>
      </c>
      <c r="G866" s="301">
        <f t="shared" si="27"/>
        <v>108.8</v>
      </c>
    </row>
    <row r="867" spans="1:7" x14ac:dyDescent="0.25">
      <c r="A867" s="297">
        <v>40130</v>
      </c>
      <c r="B867" s="298" t="s">
        <v>3429</v>
      </c>
      <c r="C867" s="299" t="s">
        <v>284</v>
      </c>
      <c r="D867" s="300">
        <v>463.7</v>
      </c>
      <c r="E867" s="350">
        <f t="shared" si="28"/>
        <v>376.02</v>
      </c>
      <c r="F867" s="298" t="s">
        <v>3693</v>
      </c>
      <c r="G867" s="301">
        <f t="shared" si="27"/>
        <v>390.8</v>
      </c>
    </row>
    <row r="868" spans="1:7" x14ac:dyDescent="0.25">
      <c r="A868" s="297">
        <v>40131</v>
      </c>
      <c r="B868" s="298" t="s">
        <v>3430</v>
      </c>
      <c r="C868" s="299" t="s">
        <v>284</v>
      </c>
      <c r="D868" s="300">
        <v>424.23</v>
      </c>
      <c r="E868" s="350">
        <f t="shared" si="28"/>
        <v>344.01</v>
      </c>
      <c r="F868" s="298" t="s">
        <v>3693</v>
      </c>
      <c r="G868" s="301">
        <f t="shared" si="27"/>
        <v>357.53</v>
      </c>
    </row>
    <row r="869" spans="1:7" x14ac:dyDescent="0.25">
      <c r="A869" s="297">
        <v>40083</v>
      </c>
      <c r="B869" s="298" t="s">
        <v>3431</v>
      </c>
      <c r="C869" s="299" t="s">
        <v>2884</v>
      </c>
      <c r="D869" s="300">
        <v>3.39</v>
      </c>
      <c r="E869" s="350">
        <f t="shared" si="28"/>
        <v>2.75</v>
      </c>
      <c r="F869" s="298" t="s">
        <v>3693</v>
      </c>
      <c r="G869" s="301">
        <f t="shared" si="27"/>
        <v>2.86</v>
      </c>
    </row>
    <row r="870" spans="1:7" x14ac:dyDescent="0.25">
      <c r="A870" s="297">
        <v>40079</v>
      </c>
      <c r="B870" s="298" t="s">
        <v>3432</v>
      </c>
      <c r="C870" s="299" t="s">
        <v>76</v>
      </c>
      <c r="D870" s="300">
        <v>27.52</v>
      </c>
      <c r="E870" s="350">
        <f t="shared" si="28"/>
        <v>22.32</v>
      </c>
      <c r="F870" s="298" t="s">
        <v>3693</v>
      </c>
      <c r="G870" s="301">
        <f t="shared" si="27"/>
        <v>23.2</v>
      </c>
    </row>
    <row r="871" spans="1:7" x14ac:dyDescent="0.25">
      <c r="A871" s="297">
        <v>40082</v>
      </c>
      <c r="B871" s="298" t="s">
        <v>3433</v>
      </c>
      <c r="C871" s="299" t="s">
        <v>2884</v>
      </c>
      <c r="D871" s="300">
        <v>0.14000000000000001</v>
      </c>
      <c r="E871" s="350">
        <f t="shared" si="28"/>
        <v>0.12</v>
      </c>
      <c r="F871" s="298" t="s">
        <v>98</v>
      </c>
      <c r="G871" s="301">
        <f t="shared" si="27"/>
        <v>0.13</v>
      </c>
    </row>
    <row r="872" spans="1:7" x14ac:dyDescent="0.25">
      <c r="A872" s="297">
        <v>40119</v>
      </c>
      <c r="B872" s="298" t="s">
        <v>3434</v>
      </c>
      <c r="C872" s="299" t="s">
        <v>2884</v>
      </c>
      <c r="D872" s="300">
        <v>49.93</v>
      </c>
      <c r="E872" s="350">
        <f t="shared" si="28"/>
        <v>40.49</v>
      </c>
      <c r="F872" s="298" t="s">
        <v>3693</v>
      </c>
      <c r="G872" s="301">
        <f t="shared" si="27"/>
        <v>42.09</v>
      </c>
    </row>
    <row r="873" spans="1:7" x14ac:dyDescent="0.25">
      <c r="A873" s="297">
        <v>40122</v>
      </c>
      <c r="B873" s="298" t="s">
        <v>3434</v>
      </c>
      <c r="C873" s="299" t="s">
        <v>284</v>
      </c>
      <c r="D873" s="300">
        <v>567.64</v>
      </c>
      <c r="E873" s="350">
        <f t="shared" si="28"/>
        <v>460.3</v>
      </c>
      <c r="F873" s="298" t="s">
        <v>3693</v>
      </c>
      <c r="G873" s="301">
        <f t="shared" si="27"/>
        <v>478.39</v>
      </c>
    </row>
    <row r="874" spans="1:7" x14ac:dyDescent="0.25">
      <c r="A874" s="297">
        <v>40120</v>
      </c>
      <c r="B874" s="298" t="s">
        <v>3435</v>
      </c>
      <c r="C874" s="299" t="s">
        <v>2884</v>
      </c>
      <c r="D874" s="300">
        <v>14.79</v>
      </c>
      <c r="E874" s="350">
        <f t="shared" si="28"/>
        <v>12</v>
      </c>
      <c r="F874" s="298" t="s">
        <v>3693</v>
      </c>
      <c r="G874" s="301">
        <f t="shared" si="27"/>
        <v>12.48</v>
      </c>
    </row>
    <row r="875" spans="1:7" x14ac:dyDescent="0.25">
      <c r="A875" s="297">
        <v>40121</v>
      </c>
      <c r="B875" s="298" t="s">
        <v>3436</v>
      </c>
      <c r="C875" s="299" t="s">
        <v>2884</v>
      </c>
      <c r="D875" s="300">
        <v>56.41</v>
      </c>
      <c r="E875" s="350">
        <f t="shared" si="28"/>
        <v>45.75</v>
      </c>
      <c r="F875" s="298" t="s">
        <v>3693</v>
      </c>
      <c r="G875" s="301">
        <f t="shared" si="27"/>
        <v>47.55</v>
      </c>
    </row>
    <row r="876" spans="1:7" x14ac:dyDescent="0.25">
      <c r="A876" s="297">
        <v>40123</v>
      </c>
      <c r="B876" s="298" t="s">
        <v>3436</v>
      </c>
      <c r="C876" s="299" t="s">
        <v>284</v>
      </c>
      <c r="D876" s="300">
        <v>599.48</v>
      </c>
      <c r="E876" s="350">
        <f t="shared" si="28"/>
        <v>486.12</v>
      </c>
      <c r="F876" s="298" t="s">
        <v>3693</v>
      </c>
      <c r="G876" s="301">
        <f t="shared" si="27"/>
        <v>505.23</v>
      </c>
    </row>
    <row r="877" spans="1:7" x14ac:dyDescent="0.25">
      <c r="A877" s="297">
        <v>40080</v>
      </c>
      <c r="B877" s="298" t="s">
        <v>3437</v>
      </c>
      <c r="C877" s="299" t="s">
        <v>76</v>
      </c>
      <c r="D877" s="300">
        <v>2.2000000000000002</v>
      </c>
      <c r="E877" s="350">
        <f t="shared" si="28"/>
        <v>1.79</v>
      </c>
      <c r="F877" s="298" t="s">
        <v>3693</v>
      </c>
      <c r="G877" s="301">
        <f t="shared" si="27"/>
        <v>1.87</v>
      </c>
    </row>
    <row r="878" spans="1:7" x14ac:dyDescent="0.25">
      <c r="A878" s="297">
        <v>40089</v>
      </c>
      <c r="B878" s="298" t="s">
        <v>3438</v>
      </c>
      <c r="C878" s="299" t="s">
        <v>2871</v>
      </c>
      <c r="D878" s="300">
        <v>2096.19</v>
      </c>
      <c r="E878" s="350">
        <f t="shared" si="28"/>
        <v>1699.8</v>
      </c>
      <c r="F878" s="298" t="s">
        <v>3693</v>
      </c>
      <c r="G878" s="301">
        <f t="shared" si="27"/>
        <v>1766.6</v>
      </c>
    </row>
    <row r="879" spans="1:7" x14ac:dyDescent="0.25">
      <c r="A879" s="297">
        <v>40088</v>
      </c>
      <c r="B879" s="298" t="s">
        <v>3439</v>
      </c>
      <c r="C879" s="299" t="s">
        <v>2871</v>
      </c>
      <c r="D879" s="300">
        <v>922.6</v>
      </c>
      <c r="E879" s="350">
        <f t="shared" si="28"/>
        <v>748.14</v>
      </c>
      <c r="F879" s="298" t="s">
        <v>3693</v>
      </c>
      <c r="G879" s="301">
        <f t="shared" si="27"/>
        <v>777.54</v>
      </c>
    </row>
    <row r="880" spans="1:7" x14ac:dyDescent="0.25">
      <c r="A880" s="297">
        <v>40092</v>
      </c>
      <c r="B880" s="298" t="s">
        <v>3440</v>
      </c>
      <c r="C880" s="299" t="s">
        <v>2871</v>
      </c>
      <c r="D880" s="300">
        <v>351.69</v>
      </c>
      <c r="E880" s="350">
        <f t="shared" si="28"/>
        <v>285.19</v>
      </c>
      <c r="F880" s="298" t="s">
        <v>3693</v>
      </c>
      <c r="G880" s="301">
        <f t="shared" si="27"/>
        <v>296.39999999999998</v>
      </c>
    </row>
    <row r="881" spans="1:7" x14ac:dyDescent="0.25">
      <c r="A881" s="297">
        <v>40078</v>
      </c>
      <c r="B881" s="298" t="s">
        <v>4125</v>
      </c>
      <c r="C881" s="299" t="s">
        <v>82</v>
      </c>
      <c r="D881" s="300">
        <v>9.66</v>
      </c>
      <c r="E881" s="350">
        <f t="shared" si="28"/>
        <v>7.84</v>
      </c>
      <c r="F881" s="298" t="s">
        <v>3693</v>
      </c>
      <c r="G881" s="301">
        <f t="shared" si="27"/>
        <v>8.15</v>
      </c>
    </row>
    <row r="882" spans="1:7" x14ac:dyDescent="0.25">
      <c r="A882" s="297">
        <v>40097</v>
      </c>
      <c r="B882" s="298" t="s">
        <v>3441</v>
      </c>
      <c r="C882" s="299" t="s">
        <v>82</v>
      </c>
      <c r="D882" s="300">
        <v>155.53</v>
      </c>
      <c r="E882" s="350">
        <f t="shared" si="28"/>
        <v>126.12</v>
      </c>
      <c r="F882" s="298" t="s">
        <v>98</v>
      </c>
      <c r="G882" s="301">
        <f t="shared" si="27"/>
        <v>131.08000000000001</v>
      </c>
    </row>
    <row r="883" spans="1:7" x14ac:dyDescent="0.25">
      <c r="A883" s="297">
        <v>40090</v>
      </c>
      <c r="B883" s="298" t="s">
        <v>3442</v>
      </c>
      <c r="C883" s="299" t="s">
        <v>82</v>
      </c>
      <c r="D883" s="300">
        <v>38.26</v>
      </c>
      <c r="E883" s="350">
        <f t="shared" si="28"/>
        <v>31.03</v>
      </c>
      <c r="F883" s="298" t="s">
        <v>3693</v>
      </c>
      <c r="G883" s="301">
        <f t="shared" si="27"/>
        <v>32.25</v>
      </c>
    </row>
    <row r="884" spans="1:7" x14ac:dyDescent="0.25">
      <c r="A884" s="297">
        <v>40099</v>
      </c>
      <c r="B884" s="298" t="s">
        <v>3443</v>
      </c>
      <c r="C884" s="299" t="s">
        <v>76</v>
      </c>
      <c r="D884" s="300">
        <v>838.14</v>
      </c>
      <c r="E884" s="350">
        <f t="shared" si="28"/>
        <v>679.65</v>
      </c>
      <c r="F884" s="298" t="s">
        <v>3693</v>
      </c>
      <c r="G884" s="301">
        <f t="shared" si="27"/>
        <v>706.36</v>
      </c>
    </row>
    <row r="885" spans="1:7" x14ac:dyDescent="0.25">
      <c r="A885" s="297">
        <v>40091</v>
      </c>
      <c r="B885" s="298" t="s">
        <v>3444</v>
      </c>
      <c r="C885" s="299" t="s">
        <v>82</v>
      </c>
      <c r="D885" s="300">
        <v>50.85</v>
      </c>
      <c r="E885" s="350">
        <f t="shared" si="28"/>
        <v>41.24</v>
      </c>
      <c r="F885" s="298" t="s">
        <v>3693</v>
      </c>
      <c r="G885" s="301">
        <f t="shared" si="27"/>
        <v>42.87</v>
      </c>
    </row>
    <row r="886" spans="1:7" x14ac:dyDescent="0.25">
      <c r="A886" s="297">
        <v>40093</v>
      </c>
      <c r="B886" s="298" t="s">
        <v>3445</v>
      </c>
      <c r="C886" s="299" t="s">
        <v>2884</v>
      </c>
      <c r="D886" s="300">
        <v>101.27</v>
      </c>
      <c r="E886" s="350">
        <f t="shared" si="28"/>
        <v>82.12</v>
      </c>
      <c r="F886" s="298" t="s">
        <v>98</v>
      </c>
      <c r="G886" s="301">
        <f t="shared" si="27"/>
        <v>85.35</v>
      </c>
    </row>
    <row r="887" spans="1:7" x14ac:dyDescent="0.25">
      <c r="A887" s="297">
        <v>43353</v>
      </c>
      <c r="B887" s="298" t="s">
        <v>4129</v>
      </c>
      <c r="C887" s="299" t="s">
        <v>2884</v>
      </c>
      <c r="D887" s="300">
        <v>0.83</v>
      </c>
      <c r="E887" s="350">
        <f t="shared" si="28"/>
        <v>0.68</v>
      </c>
      <c r="F887" s="298" t="s">
        <v>98</v>
      </c>
      <c r="G887" s="301">
        <f t="shared" si="27"/>
        <v>0.71</v>
      </c>
    </row>
    <row r="888" spans="1:7" x14ac:dyDescent="0.25">
      <c r="A888" s="297">
        <v>43337</v>
      </c>
      <c r="B888" s="298" t="s">
        <v>4131</v>
      </c>
      <c r="C888" s="299" t="s">
        <v>2884</v>
      </c>
      <c r="D888" s="300">
        <v>0.71</v>
      </c>
      <c r="E888" s="350">
        <f t="shared" si="28"/>
        <v>0.57999999999999996</v>
      </c>
      <c r="F888" s="298" t="s">
        <v>98</v>
      </c>
      <c r="G888" s="301">
        <f t="shared" si="27"/>
        <v>0.61</v>
      </c>
    </row>
    <row r="889" spans="1:7" x14ac:dyDescent="0.25">
      <c r="A889" s="297">
        <v>40077</v>
      </c>
      <c r="B889" s="298" t="s">
        <v>3446</v>
      </c>
      <c r="C889" s="299" t="s">
        <v>2884</v>
      </c>
      <c r="D889" s="300">
        <v>0.24</v>
      </c>
      <c r="E889" s="350">
        <f t="shared" si="28"/>
        <v>0.2</v>
      </c>
      <c r="F889" s="298" t="s">
        <v>98</v>
      </c>
      <c r="G889" s="301">
        <f t="shared" si="27"/>
        <v>0.21</v>
      </c>
    </row>
    <row r="890" spans="1:7" x14ac:dyDescent="0.25">
      <c r="A890" s="297">
        <v>40142</v>
      </c>
      <c r="B890" s="298" t="s">
        <v>4136</v>
      </c>
      <c r="C890" s="299" t="s">
        <v>82</v>
      </c>
      <c r="D890" s="300">
        <v>110.93</v>
      </c>
      <c r="E890" s="350">
        <f t="shared" si="28"/>
        <v>89.96</v>
      </c>
      <c r="F890" s="298" t="s">
        <v>3693</v>
      </c>
      <c r="G890" s="301">
        <f t="shared" si="27"/>
        <v>93.5</v>
      </c>
    </row>
    <row r="891" spans="1:7" x14ac:dyDescent="0.25">
      <c r="A891" s="297">
        <v>40124</v>
      </c>
      <c r="B891" s="298" t="s">
        <v>4137</v>
      </c>
      <c r="C891" s="299" t="s">
        <v>2884</v>
      </c>
      <c r="D891" s="300">
        <v>13.09</v>
      </c>
      <c r="E891" s="350">
        <f t="shared" si="28"/>
        <v>10.62</v>
      </c>
      <c r="F891" s="298" t="s">
        <v>3693</v>
      </c>
      <c r="G891" s="301">
        <f t="shared" si="27"/>
        <v>11.04</v>
      </c>
    </row>
    <row r="892" spans="1:7" x14ac:dyDescent="0.25">
      <c r="A892" s="297">
        <v>40146</v>
      </c>
      <c r="B892" s="298" t="s">
        <v>4138</v>
      </c>
      <c r="C892" s="299" t="s">
        <v>2884</v>
      </c>
      <c r="D892" s="300">
        <v>22.48</v>
      </c>
      <c r="E892" s="350">
        <f t="shared" si="28"/>
        <v>18.23</v>
      </c>
      <c r="F892" s="298" t="s">
        <v>3693</v>
      </c>
      <c r="G892" s="301">
        <f t="shared" si="27"/>
        <v>18.95</v>
      </c>
    </row>
    <row r="893" spans="1:7" x14ac:dyDescent="0.25">
      <c r="A893" s="297">
        <v>40145</v>
      </c>
      <c r="B893" s="298" t="s">
        <v>4144</v>
      </c>
      <c r="C893" s="299" t="s">
        <v>2884</v>
      </c>
      <c r="D893" s="300">
        <v>650.04999999999995</v>
      </c>
      <c r="E893" s="350">
        <f t="shared" si="28"/>
        <v>527.13</v>
      </c>
      <c r="F893" s="298" t="s">
        <v>3693</v>
      </c>
      <c r="G893" s="301">
        <f t="shared" si="27"/>
        <v>547.85</v>
      </c>
    </row>
    <row r="894" spans="1:7" x14ac:dyDescent="0.25">
      <c r="A894" s="297">
        <v>40109</v>
      </c>
      <c r="B894" s="298" t="s">
        <v>3447</v>
      </c>
      <c r="C894" s="299" t="s">
        <v>76</v>
      </c>
      <c r="D894" s="300">
        <v>38.130000000000003</v>
      </c>
      <c r="E894" s="350">
        <f t="shared" si="28"/>
        <v>30.92</v>
      </c>
      <c r="F894" s="298" t="s">
        <v>98</v>
      </c>
      <c r="G894" s="301">
        <f t="shared" ref="G894:G941" si="29">ROUNDUP(E894*$H$2,2)</f>
        <v>32.14</v>
      </c>
    </row>
    <row r="895" spans="1:7" x14ac:dyDescent="0.25">
      <c r="A895" s="297">
        <v>40125</v>
      </c>
      <c r="B895" s="298" t="s">
        <v>4151</v>
      </c>
      <c r="C895" s="299" t="s">
        <v>2884</v>
      </c>
      <c r="D895" s="300">
        <v>15.36</v>
      </c>
      <c r="E895" s="350">
        <f t="shared" si="28"/>
        <v>12.46</v>
      </c>
      <c r="F895" s="298" t="s">
        <v>3693</v>
      </c>
      <c r="G895" s="301">
        <f t="shared" si="29"/>
        <v>12.95</v>
      </c>
    </row>
    <row r="896" spans="1:7" x14ac:dyDescent="0.25">
      <c r="A896" s="297">
        <v>40113</v>
      </c>
      <c r="B896" s="298" t="s">
        <v>3448</v>
      </c>
      <c r="C896" s="299" t="s">
        <v>2884</v>
      </c>
      <c r="D896" s="300">
        <v>21.59</v>
      </c>
      <c r="E896" s="350">
        <f t="shared" si="28"/>
        <v>17.510000000000002</v>
      </c>
      <c r="F896" s="298" t="s">
        <v>3693</v>
      </c>
      <c r="G896" s="301">
        <f t="shared" si="29"/>
        <v>18.2</v>
      </c>
    </row>
    <row r="897" spans="1:7" x14ac:dyDescent="0.25">
      <c r="A897" s="297">
        <v>40140</v>
      </c>
      <c r="B897" s="298" t="s">
        <v>4176</v>
      </c>
      <c r="C897" s="299" t="s">
        <v>82</v>
      </c>
      <c r="D897" s="300">
        <v>106.43</v>
      </c>
      <c r="E897" s="350">
        <f t="shared" si="28"/>
        <v>86.31</v>
      </c>
      <c r="F897" s="298" t="s">
        <v>3693</v>
      </c>
      <c r="G897" s="301">
        <f t="shared" si="29"/>
        <v>89.71</v>
      </c>
    </row>
    <row r="898" spans="1:7" x14ac:dyDescent="0.25">
      <c r="A898" s="297">
        <v>40139</v>
      </c>
      <c r="B898" s="298" t="s">
        <v>3449</v>
      </c>
      <c r="C898" s="299" t="s">
        <v>82</v>
      </c>
      <c r="D898" s="300">
        <v>11.96</v>
      </c>
      <c r="E898" s="350">
        <f t="shared" ref="E898:E961" si="30">ROUNDUP(D898/(1+$L$2),2)</f>
        <v>9.6999999999999993</v>
      </c>
      <c r="F898" s="298" t="s">
        <v>98</v>
      </c>
      <c r="G898" s="301">
        <f t="shared" si="29"/>
        <v>10.09</v>
      </c>
    </row>
    <row r="899" spans="1:7" x14ac:dyDescent="0.25">
      <c r="A899" s="297">
        <v>42186</v>
      </c>
      <c r="B899" s="298" t="s">
        <v>3450</v>
      </c>
      <c r="C899" s="299" t="s">
        <v>3228</v>
      </c>
      <c r="D899" s="300">
        <v>9411.7800000000007</v>
      </c>
      <c r="E899" s="350">
        <f t="shared" si="30"/>
        <v>7632</v>
      </c>
      <c r="F899" s="298" t="s">
        <v>98</v>
      </c>
      <c r="G899" s="301">
        <f t="shared" si="29"/>
        <v>7931.92</v>
      </c>
    </row>
    <row r="900" spans="1:7" x14ac:dyDescent="0.25">
      <c r="A900" s="297">
        <v>41352</v>
      </c>
      <c r="B900" s="298" t="s">
        <v>3713</v>
      </c>
      <c r="C900" s="299" t="s">
        <v>2871</v>
      </c>
      <c r="D900" s="300">
        <v>178.11</v>
      </c>
      <c r="E900" s="350">
        <f t="shared" si="30"/>
        <v>144.43</v>
      </c>
      <c r="F900" s="298" t="s">
        <v>98</v>
      </c>
      <c r="G900" s="301">
        <f t="shared" si="29"/>
        <v>150.11000000000001</v>
      </c>
    </row>
    <row r="901" spans="1:7" x14ac:dyDescent="0.25">
      <c r="A901" s="297">
        <v>41340</v>
      </c>
      <c r="B901" s="298" t="s">
        <v>3452</v>
      </c>
      <c r="C901" s="299" t="s">
        <v>82</v>
      </c>
      <c r="D901" s="300">
        <v>1202.8699999999999</v>
      </c>
      <c r="E901" s="350">
        <f t="shared" si="30"/>
        <v>975.41</v>
      </c>
      <c r="F901" s="298" t="s">
        <v>98</v>
      </c>
      <c r="G901" s="301">
        <f t="shared" si="29"/>
        <v>1013.75</v>
      </c>
    </row>
    <row r="902" spans="1:7" x14ac:dyDescent="0.25">
      <c r="A902" s="297">
        <v>40331</v>
      </c>
      <c r="B902" s="298" t="s">
        <v>4013</v>
      </c>
      <c r="C902" s="299" t="s">
        <v>2884</v>
      </c>
      <c r="D902" s="300">
        <v>118.22</v>
      </c>
      <c r="E902" s="350">
        <f t="shared" si="30"/>
        <v>95.87</v>
      </c>
      <c r="F902" s="298" t="s">
        <v>3693</v>
      </c>
      <c r="G902" s="301">
        <f t="shared" si="29"/>
        <v>99.64</v>
      </c>
    </row>
    <row r="903" spans="1:7" x14ac:dyDescent="0.25">
      <c r="A903" s="297">
        <v>40403</v>
      </c>
      <c r="B903" s="298" t="s">
        <v>4017</v>
      </c>
      <c r="C903" s="299" t="s">
        <v>82</v>
      </c>
      <c r="D903" s="300">
        <v>258.58</v>
      </c>
      <c r="E903" s="350">
        <f t="shared" si="30"/>
        <v>209.69</v>
      </c>
      <c r="F903" s="298" t="s">
        <v>3693</v>
      </c>
      <c r="G903" s="301">
        <f t="shared" si="29"/>
        <v>217.94</v>
      </c>
    </row>
    <row r="904" spans="1:7" x14ac:dyDescent="0.25">
      <c r="A904" s="297">
        <v>40405</v>
      </c>
      <c r="B904" s="298" t="s">
        <v>3453</v>
      </c>
      <c r="C904" s="299" t="s">
        <v>82</v>
      </c>
      <c r="D904" s="300">
        <v>337.4</v>
      </c>
      <c r="E904" s="350">
        <f t="shared" si="30"/>
        <v>273.60000000000002</v>
      </c>
      <c r="F904" s="298" t="s">
        <v>98</v>
      </c>
      <c r="G904" s="301">
        <f t="shared" si="29"/>
        <v>284.36</v>
      </c>
    </row>
    <row r="905" spans="1:7" x14ac:dyDescent="0.25">
      <c r="A905" s="297">
        <v>40408</v>
      </c>
      <c r="B905" s="298" t="s">
        <v>3454</v>
      </c>
      <c r="C905" s="299" t="s">
        <v>82</v>
      </c>
      <c r="D905" s="300">
        <v>587.65</v>
      </c>
      <c r="E905" s="350">
        <f t="shared" si="30"/>
        <v>476.53</v>
      </c>
      <c r="F905" s="298" t="s">
        <v>3693</v>
      </c>
      <c r="G905" s="301">
        <f t="shared" si="29"/>
        <v>495.26</v>
      </c>
    </row>
    <row r="906" spans="1:7" x14ac:dyDescent="0.25">
      <c r="A906" s="297">
        <v>40406</v>
      </c>
      <c r="B906" s="298" t="s">
        <v>4250</v>
      </c>
      <c r="C906" s="299" t="s">
        <v>82</v>
      </c>
      <c r="D906" s="300">
        <v>541.91999999999996</v>
      </c>
      <c r="E906" s="350">
        <f t="shared" si="30"/>
        <v>439.45</v>
      </c>
      <c r="F906" s="298" t="s">
        <v>3693</v>
      </c>
      <c r="G906" s="301">
        <f t="shared" si="29"/>
        <v>456.72</v>
      </c>
    </row>
    <row r="907" spans="1:7" x14ac:dyDescent="0.25">
      <c r="A907" s="297">
        <v>40407</v>
      </c>
      <c r="B907" s="298" t="s">
        <v>4252</v>
      </c>
      <c r="C907" s="299" t="s">
        <v>82</v>
      </c>
      <c r="D907" s="300">
        <v>896.75</v>
      </c>
      <c r="E907" s="350">
        <f t="shared" si="30"/>
        <v>727.18</v>
      </c>
      <c r="F907" s="298" t="s">
        <v>3693</v>
      </c>
      <c r="G907" s="301">
        <f t="shared" si="29"/>
        <v>755.76</v>
      </c>
    </row>
    <row r="908" spans="1:7" x14ac:dyDescent="0.25">
      <c r="A908" s="297">
        <v>40409</v>
      </c>
      <c r="B908" s="298" t="s">
        <v>4251</v>
      </c>
      <c r="C908" s="299" t="s">
        <v>82</v>
      </c>
      <c r="D908" s="300">
        <v>988.2</v>
      </c>
      <c r="E908" s="350">
        <f t="shared" si="30"/>
        <v>801.33</v>
      </c>
      <c r="F908" s="298" t="s">
        <v>3693</v>
      </c>
      <c r="G908" s="301">
        <f t="shared" si="29"/>
        <v>832.82</v>
      </c>
    </row>
    <row r="909" spans="1:7" x14ac:dyDescent="0.25">
      <c r="A909" s="297">
        <v>40404</v>
      </c>
      <c r="B909" s="298" t="s">
        <v>3455</v>
      </c>
      <c r="C909" s="299" t="s">
        <v>82</v>
      </c>
      <c r="D909" s="300">
        <v>233.8</v>
      </c>
      <c r="E909" s="350">
        <f t="shared" si="30"/>
        <v>189.59</v>
      </c>
      <c r="F909" s="298" t="s">
        <v>98</v>
      </c>
      <c r="G909" s="301">
        <f t="shared" si="29"/>
        <v>197.05</v>
      </c>
    </row>
    <row r="910" spans="1:7" x14ac:dyDescent="0.25">
      <c r="A910" s="297">
        <v>42051</v>
      </c>
      <c r="B910" s="298" t="s">
        <v>3456</v>
      </c>
      <c r="C910" s="299" t="s">
        <v>82</v>
      </c>
      <c r="D910" s="300">
        <v>1446.48</v>
      </c>
      <c r="E910" s="350">
        <f t="shared" si="30"/>
        <v>1172.95</v>
      </c>
      <c r="F910" s="298" t="s">
        <v>3693</v>
      </c>
      <c r="G910" s="301">
        <f t="shared" si="29"/>
        <v>1219.05</v>
      </c>
    </row>
    <row r="911" spans="1:7" x14ac:dyDescent="0.25">
      <c r="A911" s="297">
        <v>42052</v>
      </c>
      <c r="B911" s="298" t="s">
        <v>3457</v>
      </c>
      <c r="C911" s="299" t="s">
        <v>82</v>
      </c>
      <c r="D911" s="300">
        <v>855.86</v>
      </c>
      <c r="E911" s="350">
        <f t="shared" si="30"/>
        <v>694.02</v>
      </c>
      <c r="F911" s="298" t="s">
        <v>3693</v>
      </c>
      <c r="G911" s="301">
        <f t="shared" si="29"/>
        <v>721.3</v>
      </c>
    </row>
    <row r="912" spans="1:7" x14ac:dyDescent="0.25">
      <c r="A912" s="297">
        <v>40410</v>
      </c>
      <c r="B912" s="298" t="s">
        <v>4018</v>
      </c>
      <c r="C912" s="299" t="s">
        <v>82</v>
      </c>
      <c r="D912" s="300">
        <v>597.54</v>
      </c>
      <c r="E912" s="350">
        <f t="shared" si="30"/>
        <v>484.55</v>
      </c>
      <c r="F912" s="298" t="s">
        <v>3693</v>
      </c>
      <c r="G912" s="301">
        <f t="shared" si="29"/>
        <v>503.6</v>
      </c>
    </row>
    <row r="913" spans="1:7" x14ac:dyDescent="0.25">
      <c r="A913" s="297">
        <v>40309</v>
      </c>
      <c r="B913" s="298" t="s">
        <v>4032</v>
      </c>
      <c r="C913" s="299" t="s">
        <v>2884</v>
      </c>
      <c r="D913" s="300">
        <v>198.61</v>
      </c>
      <c r="E913" s="350">
        <f t="shared" si="30"/>
        <v>161.06</v>
      </c>
      <c r="F913" s="298" t="s">
        <v>3693</v>
      </c>
      <c r="G913" s="301">
        <f t="shared" si="29"/>
        <v>167.39</v>
      </c>
    </row>
    <row r="914" spans="1:7" x14ac:dyDescent="0.25">
      <c r="A914" s="297">
        <v>41258</v>
      </c>
      <c r="B914" s="298" t="s">
        <v>3458</v>
      </c>
      <c r="C914" s="299" t="s">
        <v>82</v>
      </c>
      <c r="D914" s="300">
        <v>278.2</v>
      </c>
      <c r="E914" s="350">
        <f t="shared" si="30"/>
        <v>225.6</v>
      </c>
      <c r="F914" s="298" t="s">
        <v>98</v>
      </c>
      <c r="G914" s="301">
        <f t="shared" si="29"/>
        <v>234.47</v>
      </c>
    </row>
    <row r="915" spans="1:7" x14ac:dyDescent="0.25">
      <c r="A915" s="297">
        <v>41034</v>
      </c>
      <c r="B915" s="298" t="s">
        <v>3459</v>
      </c>
      <c r="C915" s="299" t="s">
        <v>82</v>
      </c>
      <c r="D915" s="300">
        <v>213.99</v>
      </c>
      <c r="E915" s="350">
        <f t="shared" si="30"/>
        <v>173.53</v>
      </c>
      <c r="F915" s="298" t="s">
        <v>98</v>
      </c>
      <c r="G915" s="301">
        <f t="shared" si="29"/>
        <v>180.35</v>
      </c>
    </row>
    <row r="916" spans="1:7" x14ac:dyDescent="0.25">
      <c r="A916" s="297">
        <v>41026</v>
      </c>
      <c r="B916" s="298" t="s">
        <v>3460</v>
      </c>
      <c r="C916" s="299" t="s">
        <v>82</v>
      </c>
      <c r="D916" s="300">
        <v>176.31</v>
      </c>
      <c r="E916" s="350">
        <f t="shared" si="30"/>
        <v>142.97</v>
      </c>
      <c r="F916" s="298" t="s">
        <v>98</v>
      </c>
      <c r="G916" s="301">
        <f t="shared" si="29"/>
        <v>148.59</v>
      </c>
    </row>
    <row r="917" spans="1:7" x14ac:dyDescent="0.25">
      <c r="A917" s="297">
        <v>41022</v>
      </c>
      <c r="B917" s="298" t="s">
        <v>3461</v>
      </c>
      <c r="C917" s="299" t="s">
        <v>82</v>
      </c>
      <c r="D917" s="300">
        <v>164.55</v>
      </c>
      <c r="E917" s="350">
        <f t="shared" si="30"/>
        <v>133.44</v>
      </c>
      <c r="F917" s="298" t="s">
        <v>98</v>
      </c>
      <c r="G917" s="301">
        <f t="shared" si="29"/>
        <v>138.69</v>
      </c>
    </row>
    <row r="918" spans="1:7" x14ac:dyDescent="0.25">
      <c r="A918" s="297">
        <v>41403</v>
      </c>
      <c r="B918" s="298" t="s">
        <v>4066</v>
      </c>
      <c r="C918" s="299" t="s">
        <v>82</v>
      </c>
      <c r="D918" s="300">
        <v>2078.7399999999998</v>
      </c>
      <c r="E918" s="350">
        <f t="shared" si="30"/>
        <v>1685.65</v>
      </c>
      <c r="F918" s="298" t="s">
        <v>98</v>
      </c>
      <c r="G918" s="301">
        <f t="shared" si="29"/>
        <v>1751.9</v>
      </c>
    </row>
    <row r="919" spans="1:7" x14ac:dyDescent="0.25">
      <c r="A919" s="297">
        <v>40398</v>
      </c>
      <c r="B919" s="298" t="s">
        <v>3462</v>
      </c>
      <c r="C919" s="299" t="s">
        <v>2884</v>
      </c>
      <c r="D919" s="300">
        <v>297.2</v>
      </c>
      <c r="E919" s="350">
        <f t="shared" si="30"/>
        <v>241</v>
      </c>
      <c r="F919" s="298" t="s">
        <v>98</v>
      </c>
      <c r="G919" s="301">
        <f t="shared" si="29"/>
        <v>250.48</v>
      </c>
    </row>
    <row r="920" spans="1:7" x14ac:dyDescent="0.25">
      <c r="A920" s="297">
        <v>41036</v>
      </c>
      <c r="B920" s="298" t="s">
        <v>3463</v>
      </c>
      <c r="C920" s="299" t="s">
        <v>3464</v>
      </c>
      <c r="D920" s="300">
        <v>184.27</v>
      </c>
      <c r="E920" s="350">
        <f t="shared" si="30"/>
        <v>149.43</v>
      </c>
      <c r="F920" s="298" t="s">
        <v>98</v>
      </c>
      <c r="G920" s="301">
        <f t="shared" si="29"/>
        <v>155.31</v>
      </c>
    </row>
    <row r="921" spans="1:7" x14ac:dyDescent="0.25">
      <c r="A921" s="297">
        <v>40381</v>
      </c>
      <c r="B921" s="298" t="s">
        <v>3465</v>
      </c>
      <c r="C921" s="299" t="s">
        <v>2884</v>
      </c>
      <c r="D921" s="300">
        <v>29.1</v>
      </c>
      <c r="E921" s="350">
        <f t="shared" si="30"/>
        <v>23.6</v>
      </c>
      <c r="F921" s="298" t="s">
        <v>98</v>
      </c>
      <c r="G921" s="301">
        <f t="shared" si="29"/>
        <v>24.53</v>
      </c>
    </row>
    <row r="922" spans="1:7" x14ac:dyDescent="0.25">
      <c r="A922" s="297">
        <v>41260</v>
      </c>
      <c r="B922" s="298" t="s">
        <v>3466</v>
      </c>
      <c r="C922" s="299" t="s">
        <v>2871</v>
      </c>
      <c r="D922" s="300">
        <v>1124.33</v>
      </c>
      <c r="E922" s="350">
        <f t="shared" si="30"/>
        <v>911.72</v>
      </c>
      <c r="F922" s="298" t="s">
        <v>3693</v>
      </c>
      <c r="G922" s="301">
        <f t="shared" si="29"/>
        <v>947.55</v>
      </c>
    </row>
    <row r="923" spans="1:7" x14ac:dyDescent="0.25">
      <c r="A923" s="297">
        <v>41045</v>
      </c>
      <c r="B923" s="298" t="s">
        <v>3467</v>
      </c>
      <c r="C923" s="299" t="s">
        <v>2871</v>
      </c>
      <c r="D923" s="300">
        <v>1072.97</v>
      </c>
      <c r="E923" s="350">
        <f t="shared" si="30"/>
        <v>870.07</v>
      </c>
      <c r="F923" s="298" t="s">
        <v>3693</v>
      </c>
      <c r="G923" s="301">
        <f t="shared" si="29"/>
        <v>904.27</v>
      </c>
    </row>
    <row r="924" spans="1:7" x14ac:dyDescent="0.25">
      <c r="A924" s="297">
        <v>40387</v>
      </c>
      <c r="B924" s="298" t="s">
        <v>3709</v>
      </c>
      <c r="C924" s="299" t="s">
        <v>3468</v>
      </c>
      <c r="D924" s="300">
        <v>133.83000000000001</v>
      </c>
      <c r="E924" s="350">
        <f t="shared" si="30"/>
        <v>108.53</v>
      </c>
      <c r="F924" s="298" t="s">
        <v>3693</v>
      </c>
      <c r="G924" s="301">
        <f t="shared" si="29"/>
        <v>112.8</v>
      </c>
    </row>
    <row r="925" spans="1:7" x14ac:dyDescent="0.25">
      <c r="A925" s="297">
        <v>40339</v>
      </c>
      <c r="B925" s="298" t="s">
        <v>3469</v>
      </c>
      <c r="C925" s="299" t="s">
        <v>82</v>
      </c>
      <c r="D925" s="300">
        <v>153.65</v>
      </c>
      <c r="E925" s="350">
        <f t="shared" si="30"/>
        <v>124.6</v>
      </c>
      <c r="F925" s="298" t="s">
        <v>98</v>
      </c>
      <c r="G925" s="301">
        <f t="shared" si="29"/>
        <v>129.5</v>
      </c>
    </row>
    <row r="926" spans="1:7" x14ac:dyDescent="0.25">
      <c r="A926" s="297">
        <v>40379</v>
      </c>
      <c r="B926" s="298" t="s">
        <v>3470</v>
      </c>
      <c r="C926" s="299" t="s">
        <v>20</v>
      </c>
      <c r="D926" s="300">
        <v>23.36</v>
      </c>
      <c r="E926" s="350">
        <f t="shared" si="30"/>
        <v>18.95</v>
      </c>
      <c r="F926" s="298" t="s">
        <v>3693</v>
      </c>
      <c r="G926" s="301">
        <f t="shared" si="29"/>
        <v>19.7</v>
      </c>
    </row>
    <row r="927" spans="1:7" x14ac:dyDescent="0.25">
      <c r="A927" s="297">
        <v>42875</v>
      </c>
      <c r="B927" s="298" t="s">
        <v>3471</v>
      </c>
      <c r="C927" s="299" t="s">
        <v>82</v>
      </c>
      <c r="D927" s="300">
        <v>84.78</v>
      </c>
      <c r="E927" s="350">
        <f t="shared" si="30"/>
        <v>68.75</v>
      </c>
      <c r="F927" s="298" t="s">
        <v>98</v>
      </c>
      <c r="G927" s="301">
        <f t="shared" si="29"/>
        <v>71.459999999999994</v>
      </c>
    </row>
    <row r="928" spans="1:7" x14ac:dyDescent="0.25">
      <c r="A928" s="297">
        <v>42045</v>
      </c>
      <c r="B928" s="298" t="s">
        <v>3710</v>
      </c>
      <c r="C928" s="299" t="s">
        <v>76</v>
      </c>
      <c r="D928" s="300">
        <v>10.4</v>
      </c>
      <c r="E928" s="350">
        <f t="shared" si="30"/>
        <v>8.44</v>
      </c>
      <c r="F928" s="298" t="s">
        <v>98</v>
      </c>
      <c r="G928" s="301">
        <f t="shared" si="29"/>
        <v>8.7799999999999994</v>
      </c>
    </row>
    <row r="929" spans="1:7" x14ac:dyDescent="0.25">
      <c r="A929" s="297">
        <v>40991</v>
      </c>
      <c r="B929" s="298" t="s">
        <v>3780</v>
      </c>
      <c r="C929" s="299" t="s">
        <v>20</v>
      </c>
      <c r="D929" s="300">
        <v>58.7</v>
      </c>
      <c r="E929" s="350">
        <f t="shared" si="30"/>
        <v>47.6</v>
      </c>
      <c r="F929" s="298" t="s">
        <v>98</v>
      </c>
      <c r="G929" s="301">
        <f t="shared" si="29"/>
        <v>49.48</v>
      </c>
    </row>
    <row r="930" spans="1:7" x14ac:dyDescent="0.25">
      <c r="A930" s="297">
        <v>40382</v>
      </c>
      <c r="B930" s="298" t="s">
        <v>3472</v>
      </c>
      <c r="C930" s="299" t="s">
        <v>76</v>
      </c>
      <c r="D930" s="300">
        <v>806.74</v>
      </c>
      <c r="E930" s="350">
        <f t="shared" si="30"/>
        <v>654.19000000000005</v>
      </c>
      <c r="F930" s="298" t="s">
        <v>98</v>
      </c>
      <c r="G930" s="301">
        <f t="shared" si="29"/>
        <v>679.9</v>
      </c>
    </row>
    <row r="931" spans="1:7" x14ac:dyDescent="0.25">
      <c r="A931" s="297">
        <v>42660</v>
      </c>
      <c r="B931" s="298" t="s">
        <v>3803</v>
      </c>
      <c r="C931" s="299" t="s">
        <v>76</v>
      </c>
      <c r="D931" s="300">
        <v>1065.07</v>
      </c>
      <c r="E931" s="350">
        <f t="shared" si="30"/>
        <v>863.67</v>
      </c>
      <c r="F931" s="298" t="s">
        <v>98</v>
      </c>
      <c r="G931" s="301">
        <f t="shared" si="29"/>
        <v>897.61</v>
      </c>
    </row>
    <row r="932" spans="1:7" x14ac:dyDescent="0.25">
      <c r="A932" s="297">
        <v>40401</v>
      </c>
      <c r="B932" s="298" t="s">
        <v>3473</v>
      </c>
      <c r="C932" s="299" t="s">
        <v>2871</v>
      </c>
      <c r="D932" s="300">
        <v>1064.73</v>
      </c>
      <c r="E932" s="350">
        <f t="shared" si="30"/>
        <v>863.39</v>
      </c>
      <c r="F932" s="298" t="s">
        <v>3693</v>
      </c>
      <c r="G932" s="301">
        <f t="shared" si="29"/>
        <v>897.32</v>
      </c>
    </row>
    <row r="933" spans="1:7" x14ac:dyDescent="0.25">
      <c r="A933" s="297">
        <v>41200</v>
      </c>
      <c r="B933" s="298" t="s">
        <v>3806</v>
      </c>
      <c r="C933" s="299" t="s">
        <v>2871</v>
      </c>
      <c r="D933" s="300">
        <v>30.04</v>
      </c>
      <c r="E933" s="350">
        <f t="shared" si="30"/>
        <v>24.36</v>
      </c>
      <c r="F933" s="298" t="s">
        <v>98</v>
      </c>
      <c r="G933" s="301">
        <f t="shared" si="29"/>
        <v>25.32</v>
      </c>
    </row>
    <row r="934" spans="1:7" x14ac:dyDescent="0.25">
      <c r="A934" s="297">
        <v>42876</v>
      </c>
      <c r="B934" s="298" t="s">
        <v>4008</v>
      </c>
      <c r="C934" s="299" t="s">
        <v>2884</v>
      </c>
      <c r="D934" s="300">
        <v>235.43</v>
      </c>
      <c r="E934" s="350">
        <f t="shared" si="30"/>
        <v>190.91</v>
      </c>
      <c r="F934" s="298" t="s">
        <v>98</v>
      </c>
      <c r="G934" s="301">
        <f t="shared" si="29"/>
        <v>198.42</v>
      </c>
    </row>
    <row r="935" spans="1:7" x14ac:dyDescent="0.25">
      <c r="A935" s="297">
        <v>42239</v>
      </c>
      <c r="B935" s="298" t="s">
        <v>4010</v>
      </c>
      <c r="C935" s="299" t="s">
        <v>76</v>
      </c>
      <c r="D935" s="300">
        <v>200.9</v>
      </c>
      <c r="E935" s="350">
        <f t="shared" si="30"/>
        <v>162.91</v>
      </c>
      <c r="F935" s="298" t="s">
        <v>3693</v>
      </c>
      <c r="G935" s="301">
        <f t="shared" si="29"/>
        <v>169.32</v>
      </c>
    </row>
    <row r="936" spans="1:7" x14ac:dyDescent="0.25">
      <c r="A936" s="297">
        <v>40329</v>
      </c>
      <c r="B936" s="298" t="s">
        <v>4012</v>
      </c>
      <c r="C936" s="299" t="s">
        <v>76</v>
      </c>
      <c r="D936" s="300">
        <v>215.68</v>
      </c>
      <c r="E936" s="350">
        <f t="shared" si="30"/>
        <v>174.9</v>
      </c>
      <c r="F936" s="298" t="s">
        <v>3693</v>
      </c>
      <c r="G936" s="301">
        <f t="shared" si="29"/>
        <v>181.78</v>
      </c>
    </row>
    <row r="937" spans="1:7" x14ac:dyDescent="0.25">
      <c r="A937" s="297">
        <v>41195</v>
      </c>
      <c r="B937" s="298" t="s">
        <v>3474</v>
      </c>
      <c r="C937" s="299" t="s">
        <v>20</v>
      </c>
      <c r="D937" s="300">
        <v>24.35</v>
      </c>
      <c r="E937" s="350">
        <f t="shared" si="30"/>
        <v>19.75</v>
      </c>
      <c r="F937" s="298" t="s">
        <v>98</v>
      </c>
      <c r="G937" s="301">
        <f t="shared" si="29"/>
        <v>20.53</v>
      </c>
    </row>
    <row r="938" spans="1:7" x14ac:dyDescent="0.25">
      <c r="A938" s="297">
        <v>40315</v>
      </c>
      <c r="B938" s="298" t="s">
        <v>4022</v>
      </c>
      <c r="C938" s="299" t="s">
        <v>2884</v>
      </c>
      <c r="D938" s="300">
        <v>343.27</v>
      </c>
      <c r="E938" s="350">
        <f t="shared" si="30"/>
        <v>278.36</v>
      </c>
      <c r="F938" s="298" t="s">
        <v>3693</v>
      </c>
      <c r="G938" s="301">
        <f t="shared" si="29"/>
        <v>289.3</v>
      </c>
    </row>
    <row r="939" spans="1:7" x14ac:dyDescent="0.25">
      <c r="A939" s="297">
        <v>40314</v>
      </c>
      <c r="B939" s="298" t="s">
        <v>4029</v>
      </c>
      <c r="C939" s="299" t="s">
        <v>2884</v>
      </c>
      <c r="D939" s="300">
        <v>136.16</v>
      </c>
      <c r="E939" s="350">
        <f t="shared" si="30"/>
        <v>110.42</v>
      </c>
      <c r="F939" s="298" t="s">
        <v>3693</v>
      </c>
      <c r="G939" s="301">
        <f t="shared" si="29"/>
        <v>114.76</v>
      </c>
    </row>
    <row r="940" spans="1:7" x14ac:dyDescent="0.25">
      <c r="A940" s="297">
        <v>40321</v>
      </c>
      <c r="B940" s="298" t="s">
        <v>4033</v>
      </c>
      <c r="C940" s="299" t="s">
        <v>2884</v>
      </c>
      <c r="D940" s="300">
        <v>99.37</v>
      </c>
      <c r="E940" s="350">
        <f t="shared" si="30"/>
        <v>80.58</v>
      </c>
      <c r="F940" s="298" t="s">
        <v>3693</v>
      </c>
      <c r="G940" s="301">
        <f t="shared" si="29"/>
        <v>83.75</v>
      </c>
    </row>
    <row r="941" spans="1:7" x14ac:dyDescent="0.25">
      <c r="A941" s="297">
        <v>40323</v>
      </c>
      <c r="B941" s="298" t="s">
        <v>4034</v>
      </c>
      <c r="C941" s="299" t="s">
        <v>2884</v>
      </c>
      <c r="D941" s="300">
        <v>102.45</v>
      </c>
      <c r="E941" s="350">
        <f t="shared" si="30"/>
        <v>83.08</v>
      </c>
      <c r="F941" s="298" t="s">
        <v>3693</v>
      </c>
      <c r="G941" s="301">
        <f t="shared" si="29"/>
        <v>86.35</v>
      </c>
    </row>
    <row r="942" spans="1:7" x14ac:dyDescent="0.25">
      <c r="A942" s="297">
        <v>40324</v>
      </c>
      <c r="B942" s="298" t="s">
        <v>4035</v>
      </c>
      <c r="C942" s="299" t="s">
        <v>2884</v>
      </c>
      <c r="D942" s="300">
        <v>89.6</v>
      </c>
      <c r="E942" s="350">
        <f t="shared" si="30"/>
        <v>72.66</v>
      </c>
      <c r="F942" s="298" t="s">
        <v>3693</v>
      </c>
      <c r="G942" s="301">
        <f t="shared" ref="G942:G990" si="31">ROUNDUP(E942*$H$2,2)</f>
        <v>75.52</v>
      </c>
    </row>
    <row r="943" spans="1:7" x14ac:dyDescent="0.25">
      <c r="A943" s="297">
        <v>40325</v>
      </c>
      <c r="B943" s="298" t="s">
        <v>4036</v>
      </c>
      <c r="C943" s="299" t="s">
        <v>2884</v>
      </c>
      <c r="D943" s="300">
        <v>78.290000000000006</v>
      </c>
      <c r="E943" s="350">
        <f t="shared" si="30"/>
        <v>63.49</v>
      </c>
      <c r="F943" s="298" t="s">
        <v>3693</v>
      </c>
      <c r="G943" s="301">
        <f t="shared" si="31"/>
        <v>65.989999999999995</v>
      </c>
    </row>
    <row r="944" spans="1:7" x14ac:dyDescent="0.25">
      <c r="A944" s="297">
        <v>40319</v>
      </c>
      <c r="B944" s="298" t="s">
        <v>4037</v>
      </c>
      <c r="C944" s="299" t="s">
        <v>2884</v>
      </c>
      <c r="D944" s="300">
        <v>136.08000000000001</v>
      </c>
      <c r="E944" s="350">
        <f t="shared" si="30"/>
        <v>110.35</v>
      </c>
      <c r="F944" s="298" t="s">
        <v>3693</v>
      </c>
      <c r="G944" s="301">
        <f t="shared" si="31"/>
        <v>114.69</v>
      </c>
    </row>
    <row r="945" spans="1:7" x14ac:dyDescent="0.25">
      <c r="A945" s="297">
        <v>40320</v>
      </c>
      <c r="B945" s="298" t="s">
        <v>4038</v>
      </c>
      <c r="C945" s="299" t="s">
        <v>2884</v>
      </c>
      <c r="D945" s="300">
        <v>138.43</v>
      </c>
      <c r="E945" s="350">
        <f t="shared" si="30"/>
        <v>112.26</v>
      </c>
      <c r="F945" s="298" t="s">
        <v>3693</v>
      </c>
      <c r="G945" s="301">
        <f t="shared" si="31"/>
        <v>116.68</v>
      </c>
    </row>
    <row r="946" spans="1:7" x14ac:dyDescent="0.25">
      <c r="A946" s="297">
        <v>40322</v>
      </c>
      <c r="B946" s="298" t="s">
        <v>4039</v>
      </c>
      <c r="C946" s="299" t="s">
        <v>2884</v>
      </c>
      <c r="D946" s="300">
        <v>143.65</v>
      </c>
      <c r="E946" s="350">
        <f t="shared" si="30"/>
        <v>116.49</v>
      </c>
      <c r="F946" s="298" t="s">
        <v>3693</v>
      </c>
      <c r="G946" s="301">
        <f t="shared" si="31"/>
        <v>121.07</v>
      </c>
    </row>
    <row r="947" spans="1:7" x14ac:dyDescent="0.25">
      <c r="A947" s="297">
        <v>40342</v>
      </c>
      <c r="B947" s="298" t="s">
        <v>4043</v>
      </c>
      <c r="C947" s="299" t="s">
        <v>2871</v>
      </c>
      <c r="D947" s="300">
        <v>54.54</v>
      </c>
      <c r="E947" s="350">
        <f t="shared" si="30"/>
        <v>44.23</v>
      </c>
      <c r="F947" s="298" t="s">
        <v>98</v>
      </c>
      <c r="G947" s="301">
        <f t="shared" si="31"/>
        <v>45.97</v>
      </c>
    </row>
    <row r="948" spans="1:7" x14ac:dyDescent="0.25">
      <c r="A948" s="297">
        <v>40338</v>
      </c>
      <c r="B948" s="298" t="s">
        <v>3475</v>
      </c>
      <c r="C948" s="299" t="s">
        <v>2871</v>
      </c>
      <c r="D948" s="300">
        <v>34.549999999999997</v>
      </c>
      <c r="E948" s="350">
        <f t="shared" si="30"/>
        <v>28.02</v>
      </c>
      <c r="F948" s="298" t="s">
        <v>98</v>
      </c>
      <c r="G948" s="301">
        <f t="shared" si="31"/>
        <v>29.13</v>
      </c>
    </row>
    <row r="949" spans="1:7" x14ac:dyDescent="0.25">
      <c r="A949" s="297">
        <v>40341</v>
      </c>
      <c r="B949" s="298" t="s">
        <v>4044</v>
      </c>
      <c r="C949" s="299" t="s">
        <v>2871</v>
      </c>
      <c r="D949" s="300">
        <v>10.56</v>
      </c>
      <c r="E949" s="350">
        <f t="shared" si="30"/>
        <v>8.57</v>
      </c>
      <c r="F949" s="298" t="s">
        <v>98</v>
      </c>
      <c r="G949" s="301">
        <f t="shared" si="31"/>
        <v>8.91</v>
      </c>
    </row>
    <row r="950" spans="1:7" x14ac:dyDescent="0.25">
      <c r="A950" s="297">
        <v>40416</v>
      </c>
      <c r="B950" s="298" t="s">
        <v>3476</v>
      </c>
      <c r="C950" s="299" t="s">
        <v>82</v>
      </c>
      <c r="D950" s="300">
        <v>458.09</v>
      </c>
      <c r="E950" s="350">
        <f t="shared" si="30"/>
        <v>371.47</v>
      </c>
      <c r="F950" s="298" t="s">
        <v>98</v>
      </c>
      <c r="G950" s="301">
        <f t="shared" si="31"/>
        <v>386.07</v>
      </c>
    </row>
    <row r="951" spans="1:7" x14ac:dyDescent="0.25">
      <c r="A951" s="297">
        <v>40388</v>
      </c>
      <c r="B951" s="298" t="s">
        <v>3477</v>
      </c>
      <c r="C951" s="299" t="s">
        <v>82</v>
      </c>
      <c r="D951" s="300">
        <v>364.8</v>
      </c>
      <c r="E951" s="350">
        <f t="shared" si="30"/>
        <v>295.82</v>
      </c>
      <c r="F951" s="298" t="s">
        <v>98</v>
      </c>
      <c r="G951" s="301">
        <f t="shared" si="31"/>
        <v>307.45</v>
      </c>
    </row>
    <row r="952" spans="1:7" x14ac:dyDescent="0.25">
      <c r="A952" s="297">
        <v>40402</v>
      </c>
      <c r="B952" s="298" t="s">
        <v>3478</v>
      </c>
      <c r="C952" s="299" t="s">
        <v>2884</v>
      </c>
      <c r="D952" s="300">
        <v>19.68</v>
      </c>
      <c r="E952" s="350">
        <f t="shared" si="30"/>
        <v>15.96</v>
      </c>
      <c r="F952" s="298" t="s">
        <v>98</v>
      </c>
      <c r="G952" s="301">
        <f t="shared" si="31"/>
        <v>16.59</v>
      </c>
    </row>
    <row r="953" spans="1:7" x14ac:dyDescent="0.25">
      <c r="A953" s="297">
        <v>41033</v>
      </c>
      <c r="B953" s="298" t="s">
        <v>3479</v>
      </c>
      <c r="C953" s="299" t="s">
        <v>3480</v>
      </c>
      <c r="D953" s="300">
        <v>48.68</v>
      </c>
      <c r="E953" s="350">
        <f t="shared" si="30"/>
        <v>39.479999999999997</v>
      </c>
      <c r="F953" s="298" t="s">
        <v>98</v>
      </c>
      <c r="G953" s="301">
        <f t="shared" si="31"/>
        <v>41.04</v>
      </c>
    </row>
    <row r="954" spans="1:7" x14ac:dyDescent="0.25">
      <c r="A954" s="297">
        <v>41233</v>
      </c>
      <c r="B954" s="298" t="s">
        <v>3481</v>
      </c>
      <c r="C954" s="299" t="s">
        <v>20</v>
      </c>
      <c r="D954" s="300">
        <v>564.97</v>
      </c>
      <c r="E954" s="350">
        <f t="shared" si="30"/>
        <v>458.14</v>
      </c>
      <c r="F954" s="298" t="s">
        <v>98</v>
      </c>
      <c r="G954" s="301">
        <f t="shared" si="31"/>
        <v>476.15</v>
      </c>
    </row>
    <row r="955" spans="1:7" x14ac:dyDescent="0.25">
      <c r="A955" s="297">
        <v>40386</v>
      </c>
      <c r="B955" s="298" t="s">
        <v>3482</v>
      </c>
      <c r="C955" s="299" t="s">
        <v>82</v>
      </c>
      <c r="D955" s="300">
        <v>275.33</v>
      </c>
      <c r="E955" s="350">
        <f t="shared" si="30"/>
        <v>223.27</v>
      </c>
      <c r="F955" s="298" t="s">
        <v>3693</v>
      </c>
      <c r="G955" s="301">
        <f t="shared" si="31"/>
        <v>232.05</v>
      </c>
    </row>
    <row r="956" spans="1:7" x14ac:dyDescent="0.25">
      <c r="A956" s="297">
        <v>41199</v>
      </c>
      <c r="B956" s="298" t="s">
        <v>4056</v>
      </c>
      <c r="C956" s="299" t="s">
        <v>82</v>
      </c>
      <c r="D956" s="300">
        <v>71.260000000000005</v>
      </c>
      <c r="E956" s="350">
        <f t="shared" si="30"/>
        <v>57.79</v>
      </c>
      <c r="F956" s="298" t="s">
        <v>98</v>
      </c>
      <c r="G956" s="301">
        <f t="shared" si="31"/>
        <v>60.07</v>
      </c>
    </row>
    <row r="957" spans="1:7" x14ac:dyDescent="0.25">
      <c r="A957" s="297">
        <v>42529</v>
      </c>
      <c r="B957" s="298" t="s">
        <v>4249</v>
      </c>
      <c r="C957" s="299" t="s">
        <v>82</v>
      </c>
      <c r="D957" s="300">
        <v>483.57</v>
      </c>
      <c r="E957" s="350">
        <f t="shared" si="30"/>
        <v>392.13</v>
      </c>
      <c r="F957" s="298" t="s">
        <v>98</v>
      </c>
      <c r="G957" s="301">
        <f t="shared" si="31"/>
        <v>407.54</v>
      </c>
    </row>
    <row r="958" spans="1:7" x14ac:dyDescent="0.25">
      <c r="A958" s="297">
        <v>40384</v>
      </c>
      <c r="B958" s="298" t="s">
        <v>4248</v>
      </c>
      <c r="C958" s="299" t="s">
        <v>82</v>
      </c>
      <c r="D958" s="300">
        <v>1518.11</v>
      </c>
      <c r="E958" s="350">
        <f t="shared" si="30"/>
        <v>1231.04</v>
      </c>
      <c r="F958" s="298" t="s">
        <v>98</v>
      </c>
      <c r="G958" s="301">
        <f t="shared" si="31"/>
        <v>1279.42</v>
      </c>
    </row>
    <row r="959" spans="1:7" x14ac:dyDescent="0.25">
      <c r="A959" s="297">
        <v>40385</v>
      </c>
      <c r="B959" s="298" t="s">
        <v>4247</v>
      </c>
      <c r="C959" s="299" t="s">
        <v>82</v>
      </c>
      <c r="D959" s="300">
        <v>1567.92</v>
      </c>
      <c r="E959" s="350">
        <f t="shared" si="30"/>
        <v>1271.43</v>
      </c>
      <c r="F959" s="298" t="s">
        <v>98</v>
      </c>
      <c r="G959" s="301">
        <f t="shared" si="31"/>
        <v>1321.4</v>
      </c>
    </row>
    <row r="960" spans="1:7" x14ac:dyDescent="0.25">
      <c r="A960" s="297">
        <v>40393</v>
      </c>
      <c r="B960" s="298" t="s">
        <v>3483</v>
      </c>
      <c r="C960" s="299" t="s">
        <v>82</v>
      </c>
      <c r="D960" s="300">
        <v>22.99</v>
      </c>
      <c r="E960" s="350">
        <f t="shared" si="30"/>
        <v>18.649999999999999</v>
      </c>
      <c r="F960" s="298" t="s">
        <v>98</v>
      </c>
      <c r="G960" s="301">
        <f t="shared" si="31"/>
        <v>19.39</v>
      </c>
    </row>
    <row r="961" spans="1:7" x14ac:dyDescent="0.25">
      <c r="A961" s="297">
        <v>40394</v>
      </c>
      <c r="B961" s="298" t="s">
        <v>3484</v>
      </c>
      <c r="C961" s="299" t="s">
        <v>82</v>
      </c>
      <c r="D961" s="300">
        <v>26.9</v>
      </c>
      <c r="E961" s="350">
        <f t="shared" si="30"/>
        <v>21.82</v>
      </c>
      <c r="F961" s="298" t="s">
        <v>98</v>
      </c>
      <c r="G961" s="301">
        <f t="shared" si="31"/>
        <v>22.68</v>
      </c>
    </row>
    <row r="962" spans="1:7" x14ac:dyDescent="0.25">
      <c r="A962" s="297">
        <v>40390</v>
      </c>
      <c r="B962" s="298" t="s">
        <v>3485</v>
      </c>
      <c r="C962" s="299" t="s">
        <v>2884</v>
      </c>
      <c r="D962" s="300">
        <v>4.74</v>
      </c>
      <c r="E962" s="350">
        <f t="shared" ref="E962:E1024" si="32">ROUNDUP(D962/(1+$L$2),2)</f>
        <v>3.85</v>
      </c>
      <c r="F962" s="298" t="s">
        <v>98</v>
      </c>
      <c r="G962" s="301">
        <f t="shared" si="31"/>
        <v>4.01</v>
      </c>
    </row>
    <row r="963" spans="1:7" x14ac:dyDescent="0.25">
      <c r="A963" s="297">
        <v>42256</v>
      </c>
      <c r="B963" s="298" t="s">
        <v>4103</v>
      </c>
      <c r="C963" s="299" t="s">
        <v>2884</v>
      </c>
      <c r="D963" s="300">
        <v>5282.36</v>
      </c>
      <c r="E963" s="350">
        <f t="shared" si="32"/>
        <v>4283.46</v>
      </c>
      <c r="F963" s="298" t="s">
        <v>3693</v>
      </c>
      <c r="G963" s="301">
        <f t="shared" si="31"/>
        <v>4451.79</v>
      </c>
    </row>
    <row r="964" spans="1:7" x14ac:dyDescent="0.25">
      <c r="A964" s="297">
        <v>40400</v>
      </c>
      <c r="B964" s="298" t="s">
        <v>3486</v>
      </c>
      <c r="C964" s="299" t="s">
        <v>20</v>
      </c>
      <c r="D964" s="300">
        <v>20.56</v>
      </c>
      <c r="E964" s="350">
        <f t="shared" si="32"/>
        <v>16.68</v>
      </c>
      <c r="F964" s="298" t="s">
        <v>3693</v>
      </c>
      <c r="G964" s="301">
        <f t="shared" si="31"/>
        <v>17.34</v>
      </c>
    </row>
    <row r="965" spans="1:7" x14ac:dyDescent="0.25">
      <c r="A965" s="297">
        <v>41201</v>
      </c>
      <c r="B965" s="298" t="s">
        <v>4114</v>
      </c>
      <c r="C965" s="299" t="s">
        <v>2884</v>
      </c>
      <c r="D965" s="300">
        <v>404.82</v>
      </c>
      <c r="E965" s="350">
        <f t="shared" si="32"/>
        <v>328.27</v>
      </c>
      <c r="F965" s="298" t="s">
        <v>98</v>
      </c>
      <c r="G965" s="301">
        <f t="shared" si="31"/>
        <v>341.17</v>
      </c>
    </row>
    <row r="966" spans="1:7" x14ac:dyDescent="0.25">
      <c r="A966" s="297">
        <v>41035</v>
      </c>
      <c r="B966" s="298" t="s">
        <v>3487</v>
      </c>
      <c r="C966" s="299" t="s">
        <v>82</v>
      </c>
      <c r="D966" s="300">
        <v>156.43</v>
      </c>
      <c r="E966" s="350">
        <f t="shared" si="32"/>
        <v>126.85</v>
      </c>
      <c r="F966" s="298" t="s">
        <v>98</v>
      </c>
      <c r="G966" s="301">
        <f t="shared" si="31"/>
        <v>131.84</v>
      </c>
    </row>
    <row r="967" spans="1:7" x14ac:dyDescent="0.25">
      <c r="A967" s="297">
        <v>41263</v>
      </c>
      <c r="B967" s="298" t="s">
        <v>3488</v>
      </c>
      <c r="C967" s="299" t="s">
        <v>82</v>
      </c>
      <c r="D967" s="300">
        <v>226.21</v>
      </c>
      <c r="E967" s="350">
        <f t="shared" si="32"/>
        <v>183.44</v>
      </c>
      <c r="F967" s="298" t="s">
        <v>98</v>
      </c>
      <c r="G967" s="301">
        <f t="shared" si="31"/>
        <v>190.65</v>
      </c>
    </row>
    <row r="968" spans="1:7" x14ac:dyDescent="0.25">
      <c r="A968" s="297">
        <v>41089</v>
      </c>
      <c r="B968" s="298" t="s">
        <v>3489</v>
      </c>
      <c r="C968" s="299" t="s">
        <v>82</v>
      </c>
      <c r="D968" s="300">
        <v>233.88</v>
      </c>
      <c r="E968" s="350">
        <f t="shared" si="32"/>
        <v>189.66</v>
      </c>
      <c r="F968" s="298" t="s">
        <v>98</v>
      </c>
      <c r="G968" s="301">
        <f t="shared" si="31"/>
        <v>197.12</v>
      </c>
    </row>
    <row r="969" spans="1:7" x14ac:dyDescent="0.25">
      <c r="A969" s="297">
        <v>41039</v>
      </c>
      <c r="B969" s="298" t="s">
        <v>4157</v>
      </c>
      <c r="C969" s="299" t="s">
        <v>82</v>
      </c>
      <c r="D969" s="300">
        <v>303.47000000000003</v>
      </c>
      <c r="E969" s="350">
        <f t="shared" si="32"/>
        <v>246.09</v>
      </c>
      <c r="F969" s="298" t="s">
        <v>98</v>
      </c>
      <c r="G969" s="301">
        <f t="shared" si="31"/>
        <v>255.77</v>
      </c>
    </row>
    <row r="970" spans="1:7" x14ac:dyDescent="0.25">
      <c r="A970" s="297">
        <v>41030</v>
      </c>
      <c r="B970" s="298" t="s">
        <v>3490</v>
      </c>
      <c r="C970" s="299" t="s">
        <v>82</v>
      </c>
      <c r="D970" s="300">
        <v>212.03</v>
      </c>
      <c r="E970" s="350">
        <f t="shared" si="32"/>
        <v>171.94</v>
      </c>
      <c r="F970" s="298" t="s">
        <v>98</v>
      </c>
      <c r="G970" s="301">
        <f t="shared" si="31"/>
        <v>178.7</v>
      </c>
    </row>
    <row r="971" spans="1:7" x14ac:dyDescent="0.25">
      <c r="A971" s="297">
        <v>42043</v>
      </c>
      <c r="B971" s="298" t="s">
        <v>3726</v>
      </c>
      <c r="C971" s="299" t="s">
        <v>2858</v>
      </c>
      <c r="D971" s="300">
        <v>0</v>
      </c>
      <c r="E971" s="350">
        <f t="shared" si="32"/>
        <v>0</v>
      </c>
      <c r="F971" s="298" t="s">
        <v>98</v>
      </c>
      <c r="G971" s="301">
        <f t="shared" si="31"/>
        <v>0</v>
      </c>
    </row>
    <row r="972" spans="1:7" x14ac:dyDescent="0.25">
      <c r="A972" s="297">
        <v>42512</v>
      </c>
      <c r="B972" s="298" t="s">
        <v>289</v>
      </c>
      <c r="C972" s="299" t="s">
        <v>76</v>
      </c>
      <c r="D972" s="300">
        <v>4.51</v>
      </c>
      <c r="E972" s="350">
        <f t="shared" si="32"/>
        <v>3.66</v>
      </c>
      <c r="F972" s="298" t="s">
        <v>98</v>
      </c>
      <c r="G972" s="301">
        <f t="shared" si="31"/>
        <v>3.81</v>
      </c>
    </row>
    <row r="973" spans="1:7" x14ac:dyDescent="0.25">
      <c r="A973" s="297">
        <v>42513</v>
      </c>
      <c r="B973" s="298" t="s">
        <v>3768</v>
      </c>
      <c r="C973" s="299" t="s">
        <v>76</v>
      </c>
      <c r="D973" s="300">
        <v>5.85</v>
      </c>
      <c r="E973" s="350">
        <f t="shared" si="32"/>
        <v>4.75</v>
      </c>
      <c r="F973" s="298" t="s">
        <v>98</v>
      </c>
      <c r="G973" s="301">
        <f t="shared" si="31"/>
        <v>4.9400000000000004</v>
      </c>
    </row>
    <row r="974" spans="1:7" x14ac:dyDescent="0.25">
      <c r="A974" s="297">
        <v>42514</v>
      </c>
      <c r="B974" s="298" t="s">
        <v>3491</v>
      </c>
      <c r="C974" s="299" t="s">
        <v>76</v>
      </c>
      <c r="D974" s="300">
        <v>8.48</v>
      </c>
      <c r="E974" s="350">
        <f t="shared" si="32"/>
        <v>6.88</v>
      </c>
      <c r="F974" s="298" t="s">
        <v>98</v>
      </c>
      <c r="G974" s="301">
        <f t="shared" si="31"/>
        <v>7.16</v>
      </c>
    </row>
    <row r="975" spans="1:7" x14ac:dyDescent="0.25">
      <c r="A975" s="297">
        <v>43349</v>
      </c>
      <c r="B975" s="298" t="s">
        <v>3783</v>
      </c>
      <c r="C975" s="299" t="s">
        <v>76</v>
      </c>
      <c r="D975" s="300">
        <v>9.2100000000000009</v>
      </c>
      <c r="E975" s="350">
        <f t="shared" si="32"/>
        <v>7.47</v>
      </c>
      <c r="F975" s="298" t="s">
        <v>98</v>
      </c>
      <c r="G975" s="301">
        <f t="shared" si="31"/>
        <v>7.77</v>
      </c>
    </row>
    <row r="976" spans="1:7" x14ac:dyDescent="0.25">
      <c r="A976" s="297">
        <v>42515</v>
      </c>
      <c r="B976" s="298" t="s">
        <v>176</v>
      </c>
      <c r="C976" s="299" t="s">
        <v>76</v>
      </c>
      <c r="D976" s="300">
        <v>7.1</v>
      </c>
      <c r="E976" s="350">
        <f t="shared" si="32"/>
        <v>5.76</v>
      </c>
      <c r="F976" s="298" t="s">
        <v>98</v>
      </c>
      <c r="G976" s="301">
        <f t="shared" si="31"/>
        <v>5.99</v>
      </c>
    </row>
    <row r="977" spans="1:7" x14ac:dyDescent="0.25">
      <c r="A977" s="297">
        <v>42523</v>
      </c>
      <c r="B977" s="298" t="s">
        <v>3492</v>
      </c>
      <c r="C977" s="299" t="s">
        <v>76</v>
      </c>
      <c r="D977" s="300">
        <v>11.28</v>
      </c>
      <c r="E977" s="350">
        <f t="shared" si="32"/>
        <v>9.15</v>
      </c>
      <c r="F977" s="298" t="s">
        <v>98</v>
      </c>
      <c r="G977" s="301">
        <f t="shared" si="31"/>
        <v>9.51</v>
      </c>
    </row>
    <row r="978" spans="1:7" x14ac:dyDescent="0.25">
      <c r="A978" s="297">
        <v>42576</v>
      </c>
      <c r="B978" s="298" t="s">
        <v>3937</v>
      </c>
      <c r="C978" s="299" t="s">
        <v>76</v>
      </c>
      <c r="D978" s="300">
        <v>126.57</v>
      </c>
      <c r="E978" s="350">
        <f t="shared" si="32"/>
        <v>102.64</v>
      </c>
      <c r="F978" s="298" t="s">
        <v>98</v>
      </c>
      <c r="G978" s="301">
        <f t="shared" si="31"/>
        <v>106.68</v>
      </c>
    </row>
    <row r="979" spans="1:7" x14ac:dyDescent="0.25">
      <c r="A979" s="297">
        <v>42577</v>
      </c>
      <c r="B979" s="298" t="s">
        <v>3493</v>
      </c>
      <c r="C979" s="299" t="s">
        <v>76</v>
      </c>
      <c r="D979" s="300">
        <v>11.55</v>
      </c>
      <c r="E979" s="350">
        <f t="shared" si="32"/>
        <v>9.3699999999999992</v>
      </c>
      <c r="F979" s="298" t="s">
        <v>98</v>
      </c>
      <c r="G979" s="301">
        <f t="shared" si="31"/>
        <v>9.74</v>
      </c>
    </row>
    <row r="980" spans="1:7" x14ac:dyDescent="0.25">
      <c r="A980" s="297">
        <v>42578</v>
      </c>
      <c r="B980" s="298" t="s">
        <v>290</v>
      </c>
      <c r="C980" s="299" t="s">
        <v>76</v>
      </c>
      <c r="D980" s="300">
        <v>4.59</v>
      </c>
      <c r="E980" s="350">
        <f t="shared" si="32"/>
        <v>3.73</v>
      </c>
      <c r="F980" s="298" t="s">
        <v>98</v>
      </c>
      <c r="G980" s="301">
        <f t="shared" si="31"/>
        <v>3.88</v>
      </c>
    </row>
    <row r="981" spans="1:7" x14ac:dyDescent="0.25">
      <c r="A981" s="297">
        <v>42580</v>
      </c>
      <c r="B981" s="298" t="s">
        <v>3950</v>
      </c>
      <c r="C981" s="299" t="s">
        <v>76</v>
      </c>
      <c r="D981" s="300">
        <v>6.78</v>
      </c>
      <c r="E981" s="350">
        <f t="shared" si="32"/>
        <v>5.5</v>
      </c>
      <c r="F981" s="298" t="s">
        <v>98</v>
      </c>
      <c r="G981" s="301">
        <f t="shared" si="31"/>
        <v>5.72</v>
      </c>
    </row>
    <row r="982" spans="1:7" x14ac:dyDescent="0.25">
      <c r="A982" s="297">
        <v>42582</v>
      </c>
      <c r="B982" s="298" t="s">
        <v>3952</v>
      </c>
      <c r="C982" s="299" t="s">
        <v>76</v>
      </c>
      <c r="D982" s="300">
        <v>59.29</v>
      </c>
      <c r="E982" s="350">
        <f t="shared" si="32"/>
        <v>48.08</v>
      </c>
      <c r="F982" s="298" t="s">
        <v>98</v>
      </c>
      <c r="G982" s="301">
        <f t="shared" si="31"/>
        <v>49.97</v>
      </c>
    </row>
    <row r="983" spans="1:7" x14ac:dyDescent="0.25">
      <c r="A983" s="297">
        <v>42586</v>
      </c>
      <c r="B983" s="298" t="s">
        <v>3494</v>
      </c>
      <c r="C983" s="299" t="s">
        <v>76</v>
      </c>
      <c r="D983" s="300">
        <v>66.599999999999994</v>
      </c>
      <c r="E983" s="350">
        <f t="shared" si="32"/>
        <v>54.01</v>
      </c>
      <c r="F983" s="298" t="s">
        <v>98</v>
      </c>
      <c r="G983" s="301">
        <f t="shared" si="31"/>
        <v>56.14</v>
      </c>
    </row>
    <row r="984" spans="1:7" x14ac:dyDescent="0.25">
      <c r="A984" s="297">
        <v>42587</v>
      </c>
      <c r="B984" s="298" t="s">
        <v>3495</v>
      </c>
      <c r="C984" s="299" t="s">
        <v>2884</v>
      </c>
      <c r="D984" s="300">
        <v>0.99</v>
      </c>
      <c r="E984" s="350">
        <f t="shared" si="32"/>
        <v>0.81</v>
      </c>
      <c r="F984" s="298" t="s">
        <v>98</v>
      </c>
      <c r="G984" s="301">
        <f t="shared" si="31"/>
        <v>0.85</v>
      </c>
    </row>
    <row r="985" spans="1:7" x14ac:dyDescent="0.25">
      <c r="A985" s="297">
        <v>42590</v>
      </c>
      <c r="B985" s="298" t="s">
        <v>4246</v>
      </c>
      <c r="C985" s="299" t="s">
        <v>2884</v>
      </c>
      <c r="D985" s="300">
        <v>11.8</v>
      </c>
      <c r="E985" s="350">
        <f t="shared" si="32"/>
        <v>9.57</v>
      </c>
      <c r="F985" s="298" t="s">
        <v>98</v>
      </c>
      <c r="G985" s="301">
        <f t="shared" si="31"/>
        <v>9.9499999999999993</v>
      </c>
    </row>
    <row r="986" spans="1:7" x14ac:dyDescent="0.25">
      <c r="A986" s="297">
        <v>42591</v>
      </c>
      <c r="B986" s="298" t="s">
        <v>3496</v>
      </c>
      <c r="C986" s="299" t="s">
        <v>2884</v>
      </c>
      <c r="D986" s="300">
        <v>45.96</v>
      </c>
      <c r="E986" s="350">
        <f t="shared" si="32"/>
        <v>37.270000000000003</v>
      </c>
      <c r="F986" s="298" t="s">
        <v>98</v>
      </c>
      <c r="G986" s="301">
        <f t="shared" si="31"/>
        <v>38.74</v>
      </c>
    </row>
    <row r="987" spans="1:7" x14ac:dyDescent="0.25">
      <c r="A987" s="297">
        <v>42592</v>
      </c>
      <c r="B987" s="298" t="s">
        <v>3497</v>
      </c>
      <c r="C987" s="299" t="s">
        <v>2884</v>
      </c>
      <c r="D987" s="300">
        <v>19.12</v>
      </c>
      <c r="E987" s="350">
        <f t="shared" si="32"/>
        <v>15.51</v>
      </c>
      <c r="F987" s="298" t="s">
        <v>3693</v>
      </c>
      <c r="G987" s="301">
        <f t="shared" si="31"/>
        <v>16.12</v>
      </c>
    </row>
    <row r="988" spans="1:7" x14ac:dyDescent="0.25">
      <c r="A988" s="297">
        <v>42593</v>
      </c>
      <c r="B988" s="298" t="s">
        <v>4245</v>
      </c>
      <c r="C988" s="299" t="s">
        <v>76</v>
      </c>
      <c r="D988" s="300">
        <v>38.89</v>
      </c>
      <c r="E988" s="350">
        <f t="shared" si="32"/>
        <v>31.54</v>
      </c>
      <c r="F988" s="298" t="s">
        <v>98</v>
      </c>
      <c r="G988" s="301">
        <f t="shared" si="31"/>
        <v>32.78</v>
      </c>
    </row>
    <row r="989" spans="1:7" x14ac:dyDescent="0.25">
      <c r="A989" s="297">
        <v>42596</v>
      </c>
      <c r="B989" s="298" t="s">
        <v>4244</v>
      </c>
      <c r="C989" s="299" t="s">
        <v>76</v>
      </c>
      <c r="D989" s="300">
        <v>7.76</v>
      </c>
      <c r="E989" s="350">
        <f t="shared" si="32"/>
        <v>6.3</v>
      </c>
      <c r="F989" s="298" t="s">
        <v>98</v>
      </c>
      <c r="G989" s="301">
        <f t="shared" si="31"/>
        <v>6.55</v>
      </c>
    </row>
    <row r="990" spans="1:7" x14ac:dyDescent="0.25">
      <c r="A990" s="297">
        <v>42483</v>
      </c>
      <c r="B990" s="298" t="s">
        <v>3498</v>
      </c>
      <c r="C990" s="299" t="s">
        <v>76</v>
      </c>
      <c r="D990" s="300">
        <v>120.01</v>
      </c>
      <c r="E990" s="350">
        <f t="shared" si="32"/>
        <v>97.32</v>
      </c>
      <c r="F990" s="298" t="s">
        <v>98</v>
      </c>
      <c r="G990" s="301">
        <f t="shared" si="31"/>
        <v>101.15</v>
      </c>
    </row>
    <row r="991" spans="1:7" x14ac:dyDescent="0.25">
      <c r="A991" s="297">
        <v>42695</v>
      </c>
      <c r="B991" s="298" t="s">
        <v>311</v>
      </c>
      <c r="C991" s="299" t="s">
        <v>76</v>
      </c>
      <c r="D991" s="300">
        <v>160.35</v>
      </c>
      <c r="E991" s="350">
        <f t="shared" si="32"/>
        <v>130.03</v>
      </c>
      <c r="F991" s="298" t="s">
        <v>98</v>
      </c>
      <c r="G991" s="301">
        <f t="shared" ref="G991:G1040" si="33">ROUNDUP(E991*$H$2,2)</f>
        <v>135.13999999999999</v>
      </c>
    </row>
    <row r="992" spans="1:7" x14ac:dyDescent="0.25">
      <c r="A992" s="297">
        <v>42481</v>
      </c>
      <c r="B992" s="302" t="s">
        <v>4243</v>
      </c>
      <c r="C992" s="299" t="s">
        <v>76</v>
      </c>
      <c r="D992" s="300">
        <v>87.63</v>
      </c>
      <c r="E992" s="350">
        <f t="shared" si="32"/>
        <v>71.06</v>
      </c>
      <c r="F992" s="298" t="s">
        <v>98</v>
      </c>
      <c r="G992" s="301">
        <f t="shared" si="33"/>
        <v>73.86</v>
      </c>
    </row>
    <row r="993" spans="1:7" x14ac:dyDescent="0.25">
      <c r="A993" s="297">
        <v>42496</v>
      </c>
      <c r="B993" s="298" t="s">
        <v>3499</v>
      </c>
      <c r="C993" s="299" t="s">
        <v>2884</v>
      </c>
      <c r="D993" s="300">
        <v>4.8</v>
      </c>
      <c r="E993" s="350">
        <f t="shared" si="32"/>
        <v>3.9</v>
      </c>
      <c r="F993" s="298" t="s">
        <v>98</v>
      </c>
      <c r="G993" s="301">
        <f t="shared" si="33"/>
        <v>4.0599999999999996</v>
      </c>
    </row>
    <row r="994" spans="1:7" x14ac:dyDescent="0.25">
      <c r="A994" s="297">
        <v>41133</v>
      </c>
      <c r="B994" s="298" t="s">
        <v>4242</v>
      </c>
      <c r="C994" s="299" t="s">
        <v>2884</v>
      </c>
      <c r="D994" s="300">
        <v>21.21</v>
      </c>
      <c r="E994" s="350">
        <f t="shared" si="32"/>
        <v>17.2</v>
      </c>
      <c r="F994" s="298" t="s">
        <v>98</v>
      </c>
      <c r="G994" s="301">
        <f t="shared" si="33"/>
        <v>17.88</v>
      </c>
    </row>
    <row r="995" spans="1:7" x14ac:dyDescent="0.25">
      <c r="A995" s="297">
        <v>42479</v>
      </c>
      <c r="B995" s="298" t="s">
        <v>4241</v>
      </c>
      <c r="C995" s="299" t="s">
        <v>2884</v>
      </c>
      <c r="D995" s="300">
        <v>14.61</v>
      </c>
      <c r="E995" s="350">
        <f t="shared" si="32"/>
        <v>11.85</v>
      </c>
      <c r="F995" s="298" t="s">
        <v>98</v>
      </c>
      <c r="G995" s="301">
        <f t="shared" si="33"/>
        <v>12.32</v>
      </c>
    </row>
    <row r="996" spans="1:7" x14ac:dyDescent="0.25">
      <c r="A996" s="297">
        <v>43333</v>
      </c>
      <c r="B996" s="298" t="s">
        <v>4240</v>
      </c>
      <c r="C996" s="299" t="s">
        <v>2884</v>
      </c>
      <c r="D996" s="300">
        <v>1.45</v>
      </c>
      <c r="E996" s="350">
        <f t="shared" si="32"/>
        <v>1.18</v>
      </c>
      <c r="F996" s="298" t="s">
        <v>98</v>
      </c>
      <c r="G996" s="301">
        <f t="shared" si="33"/>
        <v>1.23</v>
      </c>
    </row>
    <row r="997" spans="1:7" x14ac:dyDescent="0.25">
      <c r="A997" s="297">
        <v>42484</v>
      </c>
      <c r="B997" s="298" t="s">
        <v>4239</v>
      </c>
      <c r="C997" s="299" t="s">
        <v>2884</v>
      </c>
      <c r="D997" s="300">
        <v>10.35</v>
      </c>
      <c r="E997" s="350">
        <f t="shared" si="32"/>
        <v>8.4</v>
      </c>
      <c r="F997" s="298" t="s">
        <v>3693</v>
      </c>
      <c r="G997" s="301">
        <f t="shared" si="33"/>
        <v>8.74</v>
      </c>
    </row>
    <row r="998" spans="1:7" x14ac:dyDescent="0.25">
      <c r="A998" s="297">
        <v>42497</v>
      </c>
      <c r="B998" s="298" t="s">
        <v>3500</v>
      </c>
      <c r="C998" s="299" t="s">
        <v>2884</v>
      </c>
      <c r="D998" s="300">
        <v>20.87</v>
      </c>
      <c r="E998" s="350">
        <f t="shared" si="32"/>
        <v>16.93</v>
      </c>
      <c r="F998" s="298" t="s">
        <v>3693</v>
      </c>
      <c r="G998" s="301">
        <f t="shared" si="33"/>
        <v>17.600000000000001</v>
      </c>
    </row>
    <row r="999" spans="1:7" x14ac:dyDescent="0.25">
      <c r="A999" s="297">
        <v>42493</v>
      </c>
      <c r="B999" s="298" t="s">
        <v>3501</v>
      </c>
      <c r="C999" s="299" t="s">
        <v>2884</v>
      </c>
      <c r="D999" s="300">
        <v>105.42</v>
      </c>
      <c r="E999" s="350">
        <f t="shared" si="32"/>
        <v>85.49</v>
      </c>
      <c r="F999" s="298" t="s">
        <v>3693</v>
      </c>
      <c r="G999" s="301">
        <f t="shared" si="33"/>
        <v>88.85</v>
      </c>
    </row>
    <row r="1000" spans="1:7" x14ac:dyDescent="0.25">
      <c r="A1000" s="297">
        <v>42494</v>
      </c>
      <c r="B1000" s="298" t="s">
        <v>4065</v>
      </c>
      <c r="C1000" s="299" t="s">
        <v>284</v>
      </c>
      <c r="D1000" s="300">
        <v>613.33000000000004</v>
      </c>
      <c r="E1000" s="350">
        <f t="shared" si="32"/>
        <v>497.35</v>
      </c>
      <c r="F1000" s="298" t="s">
        <v>3693</v>
      </c>
      <c r="G1000" s="301">
        <f t="shared" si="33"/>
        <v>516.9</v>
      </c>
    </row>
    <row r="1001" spans="1:7" x14ac:dyDescent="0.25">
      <c r="A1001" s="297">
        <v>42498</v>
      </c>
      <c r="B1001" s="298" t="s">
        <v>4072</v>
      </c>
      <c r="C1001" s="299" t="s">
        <v>2884</v>
      </c>
      <c r="D1001" s="300">
        <v>98.9</v>
      </c>
      <c r="E1001" s="350">
        <f t="shared" si="32"/>
        <v>80.2</v>
      </c>
      <c r="F1001" s="298" t="s">
        <v>3693</v>
      </c>
      <c r="G1001" s="301">
        <f t="shared" si="33"/>
        <v>83.36</v>
      </c>
    </row>
    <row r="1002" spans="1:7" x14ac:dyDescent="0.25">
      <c r="A1002" s="297">
        <v>42499</v>
      </c>
      <c r="B1002" s="298" t="s">
        <v>4074</v>
      </c>
      <c r="C1002" s="299" t="s">
        <v>2884</v>
      </c>
      <c r="D1002" s="300">
        <v>117.17</v>
      </c>
      <c r="E1002" s="350">
        <f t="shared" si="32"/>
        <v>95.02</v>
      </c>
      <c r="F1002" s="298" t="s">
        <v>3693</v>
      </c>
      <c r="G1002" s="301">
        <f t="shared" si="33"/>
        <v>98.76</v>
      </c>
    </row>
    <row r="1003" spans="1:7" x14ac:dyDescent="0.25">
      <c r="A1003" s="374">
        <v>42500</v>
      </c>
      <c r="B1003" s="298" t="s">
        <v>4431</v>
      </c>
      <c r="C1003" s="375" t="s">
        <v>2884</v>
      </c>
      <c r="D1003" s="300">
        <v>123.73</v>
      </c>
      <c r="E1003" s="350">
        <f t="shared" si="32"/>
        <v>100.34</v>
      </c>
      <c r="F1003" s="298" t="s">
        <v>3693</v>
      </c>
      <c r="G1003" s="301">
        <f t="shared" si="33"/>
        <v>104.29</v>
      </c>
    </row>
    <row r="1004" spans="1:7" x14ac:dyDescent="0.25">
      <c r="A1004" s="297">
        <v>42501</v>
      </c>
      <c r="B1004" s="298" t="s">
        <v>3502</v>
      </c>
      <c r="C1004" s="299" t="s">
        <v>2884</v>
      </c>
      <c r="D1004" s="300">
        <v>212.09</v>
      </c>
      <c r="E1004" s="350">
        <f t="shared" si="32"/>
        <v>171.99</v>
      </c>
      <c r="F1004" s="298" t="s">
        <v>3693</v>
      </c>
      <c r="G1004" s="301">
        <f t="shared" si="33"/>
        <v>178.75</v>
      </c>
    </row>
    <row r="1005" spans="1:7" x14ac:dyDescent="0.25">
      <c r="A1005" s="297">
        <v>42502</v>
      </c>
      <c r="B1005" s="298" t="s">
        <v>4078</v>
      </c>
      <c r="C1005" s="299" t="s">
        <v>2884</v>
      </c>
      <c r="D1005" s="300">
        <v>211.54</v>
      </c>
      <c r="E1005" s="350">
        <f t="shared" si="32"/>
        <v>171.54</v>
      </c>
      <c r="F1005" s="298" t="s">
        <v>3693</v>
      </c>
      <c r="G1005" s="301">
        <f t="shared" si="33"/>
        <v>178.29</v>
      </c>
    </row>
    <row r="1006" spans="1:7" x14ac:dyDescent="0.25">
      <c r="A1006" s="297">
        <v>42503</v>
      </c>
      <c r="B1006" s="298" t="s">
        <v>3503</v>
      </c>
      <c r="C1006" s="299" t="s">
        <v>2884</v>
      </c>
      <c r="D1006" s="300">
        <v>162.74</v>
      </c>
      <c r="E1006" s="350">
        <f t="shared" si="32"/>
        <v>131.97</v>
      </c>
      <c r="F1006" s="298" t="s">
        <v>3693</v>
      </c>
      <c r="G1006" s="301">
        <f t="shared" si="33"/>
        <v>137.16</v>
      </c>
    </row>
    <row r="1007" spans="1:7" x14ac:dyDescent="0.25">
      <c r="A1007" s="297">
        <v>43334</v>
      </c>
      <c r="B1007" s="298" t="s">
        <v>4238</v>
      </c>
      <c r="C1007" s="299" t="s">
        <v>2884</v>
      </c>
      <c r="D1007" s="300">
        <v>1.2</v>
      </c>
      <c r="E1007" s="350">
        <f t="shared" si="32"/>
        <v>0.98</v>
      </c>
      <c r="F1007" s="298" t="s">
        <v>98</v>
      </c>
      <c r="G1007" s="301">
        <f t="shared" si="33"/>
        <v>1.02</v>
      </c>
    </row>
    <row r="1008" spans="1:7" x14ac:dyDescent="0.25">
      <c r="A1008" s="297">
        <v>42485</v>
      </c>
      <c r="B1008" s="298" t="s">
        <v>312</v>
      </c>
      <c r="C1008" s="299" t="s">
        <v>2884</v>
      </c>
      <c r="D1008" s="300">
        <v>3.28</v>
      </c>
      <c r="E1008" s="350">
        <f t="shared" si="32"/>
        <v>2.66</v>
      </c>
      <c r="F1008" s="298" t="s">
        <v>3693</v>
      </c>
      <c r="G1008" s="301">
        <f t="shared" si="33"/>
        <v>2.77</v>
      </c>
    </row>
    <row r="1009" spans="1:7" x14ac:dyDescent="0.25">
      <c r="A1009" s="297">
        <v>42495</v>
      </c>
      <c r="B1009" s="298" t="s">
        <v>4122</v>
      </c>
      <c r="C1009" s="299" t="s">
        <v>2884</v>
      </c>
      <c r="D1009" s="300">
        <v>1.4</v>
      </c>
      <c r="E1009" s="350">
        <f t="shared" si="32"/>
        <v>1.1399999999999999</v>
      </c>
      <c r="F1009" s="298" t="s">
        <v>98</v>
      </c>
      <c r="G1009" s="301">
        <f t="shared" si="33"/>
        <v>1.19</v>
      </c>
    </row>
    <row r="1010" spans="1:7" x14ac:dyDescent="0.25">
      <c r="A1010" s="297">
        <v>42507</v>
      </c>
      <c r="B1010" s="298" t="s">
        <v>3504</v>
      </c>
      <c r="C1010" s="299" t="s">
        <v>82</v>
      </c>
      <c r="D1010" s="300">
        <v>29.31</v>
      </c>
      <c r="E1010" s="350">
        <f t="shared" si="32"/>
        <v>23.77</v>
      </c>
      <c r="F1010" s="298" t="s">
        <v>98</v>
      </c>
      <c r="G1010" s="301">
        <f t="shared" si="33"/>
        <v>24.71</v>
      </c>
    </row>
    <row r="1011" spans="1:7" x14ac:dyDescent="0.25">
      <c r="A1011" s="297">
        <v>42505</v>
      </c>
      <c r="B1011" s="298" t="s">
        <v>3505</v>
      </c>
      <c r="C1011" s="299" t="s">
        <v>2884</v>
      </c>
      <c r="D1011" s="300">
        <v>23.68</v>
      </c>
      <c r="E1011" s="350">
        <f t="shared" si="32"/>
        <v>19.21</v>
      </c>
      <c r="F1011" s="298" t="s">
        <v>98</v>
      </c>
      <c r="G1011" s="301">
        <f t="shared" si="33"/>
        <v>19.97</v>
      </c>
    </row>
    <row r="1012" spans="1:7" x14ac:dyDescent="0.25">
      <c r="A1012" s="297">
        <v>42504</v>
      </c>
      <c r="B1012" s="298" t="s">
        <v>4123</v>
      </c>
      <c r="C1012" s="299" t="s">
        <v>2884</v>
      </c>
      <c r="D1012" s="300">
        <v>59.87</v>
      </c>
      <c r="E1012" s="350">
        <f t="shared" si="32"/>
        <v>48.55</v>
      </c>
      <c r="F1012" s="298" t="s">
        <v>3693</v>
      </c>
      <c r="G1012" s="301">
        <f t="shared" si="33"/>
        <v>50.46</v>
      </c>
    </row>
    <row r="1013" spans="1:7" x14ac:dyDescent="0.25">
      <c r="A1013" s="297">
        <v>42506</v>
      </c>
      <c r="B1013" s="298" t="s">
        <v>4124</v>
      </c>
      <c r="C1013" s="299" t="s">
        <v>2884</v>
      </c>
      <c r="D1013" s="300">
        <v>68.709999999999994</v>
      </c>
      <c r="E1013" s="350">
        <f t="shared" si="32"/>
        <v>55.72</v>
      </c>
      <c r="F1013" s="298" t="s">
        <v>3693</v>
      </c>
      <c r="G1013" s="301">
        <f t="shared" si="33"/>
        <v>57.91</v>
      </c>
    </row>
    <row r="1014" spans="1:7" x14ac:dyDescent="0.25">
      <c r="A1014" s="297">
        <v>42482</v>
      </c>
      <c r="B1014" s="298" t="s">
        <v>4146</v>
      </c>
      <c r="C1014" s="299" t="s">
        <v>76</v>
      </c>
      <c r="D1014" s="300">
        <v>112.86</v>
      </c>
      <c r="E1014" s="350">
        <f t="shared" si="32"/>
        <v>91.52</v>
      </c>
      <c r="F1014" s="298" t="s">
        <v>3693</v>
      </c>
      <c r="G1014" s="301">
        <f t="shared" si="33"/>
        <v>95.12</v>
      </c>
    </row>
    <row r="1015" spans="1:7" x14ac:dyDescent="0.25">
      <c r="A1015" s="297">
        <v>42702</v>
      </c>
      <c r="B1015" s="298" t="s">
        <v>310</v>
      </c>
      <c r="C1015" s="299" t="s">
        <v>76</v>
      </c>
      <c r="D1015" s="300">
        <v>160.35</v>
      </c>
      <c r="E1015" s="350">
        <f t="shared" si="32"/>
        <v>130.03</v>
      </c>
      <c r="F1015" s="298" t="s">
        <v>98</v>
      </c>
      <c r="G1015" s="301">
        <f t="shared" si="33"/>
        <v>135.13999999999999</v>
      </c>
    </row>
    <row r="1016" spans="1:7" x14ac:dyDescent="0.25">
      <c r="A1016" s="297">
        <v>42480</v>
      </c>
      <c r="B1016" s="298" t="s">
        <v>4237</v>
      </c>
      <c r="C1016" s="299" t="s">
        <v>76</v>
      </c>
      <c r="D1016" s="300">
        <v>87.63</v>
      </c>
      <c r="E1016" s="350">
        <f t="shared" si="32"/>
        <v>71.06</v>
      </c>
      <c r="F1016" s="298" t="s">
        <v>3693</v>
      </c>
      <c r="G1016" s="301">
        <f t="shared" si="33"/>
        <v>73.86</v>
      </c>
    </row>
    <row r="1017" spans="1:7" x14ac:dyDescent="0.25">
      <c r="A1017" s="297">
        <v>42489</v>
      </c>
      <c r="B1017" s="298" t="s">
        <v>3506</v>
      </c>
      <c r="C1017" s="299" t="s">
        <v>2884</v>
      </c>
      <c r="D1017" s="300">
        <v>17.239999999999998</v>
      </c>
      <c r="E1017" s="350">
        <f t="shared" si="32"/>
        <v>13.98</v>
      </c>
      <c r="F1017" s="298" t="s">
        <v>3693</v>
      </c>
      <c r="G1017" s="301">
        <f t="shared" si="33"/>
        <v>14.53</v>
      </c>
    </row>
    <row r="1018" spans="1:7" x14ac:dyDescent="0.25">
      <c r="A1018" s="297">
        <v>42487</v>
      </c>
      <c r="B1018" s="298" t="s">
        <v>4163</v>
      </c>
      <c r="C1018" s="299" t="s">
        <v>2884</v>
      </c>
      <c r="D1018" s="300">
        <v>28.59</v>
      </c>
      <c r="E1018" s="350">
        <f t="shared" si="32"/>
        <v>23.19</v>
      </c>
      <c r="F1018" s="298" t="s">
        <v>3693</v>
      </c>
      <c r="G1018" s="301">
        <f t="shared" si="33"/>
        <v>24.11</v>
      </c>
    </row>
    <row r="1019" spans="1:7" x14ac:dyDescent="0.25">
      <c r="A1019" s="297">
        <v>42486</v>
      </c>
      <c r="B1019" s="298" t="s">
        <v>3507</v>
      </c>
      <c r="C1019" s="299" t="s">
        <v>2884</v>
      </c>
      <c r="D1019" s="300">
        <v>16.48</v>
      </c>
      <c r="E1019" s="350">
        <f t="shared" si="32"/>
        <v>13.37</v>
      </c>
      <c r="F1019" s="298" t="s">
        <v>3693</v>
      </c>
      <c r="G1019" s="301">
        <f t="shared" si="33"/>
        <v>13.9</v>
      </c>
    </row>
    <row r="1020" spans="1:7" x14ac:dyDescent="0.25">
      <c r="A1020" s="297">
        <v>42488</v>
      </c>
      <c r="B1020" s="298" t="s">
        <v>3508</v>
      </c>
      <c r="C1020" s="299" t="s">
        <v>2884</v>
      </c>
      <c r="D1020" s="300">
        <v>11.38</v>
      </c>
      <c r="E1020" s="350">
        <f t="shared" si="32"/>
        <v>9.23</v>
      </c>
      <c r="F1020" s="298" t="s">
        <v>3693</v>
      </c>
      <c r="G1020" s="301">
        <f t="shared" si="33"/>
        <v>9.6</v>
      </c>
    </row>
    <row r="1021" spans="1:7" x14ac:dyDescent="0.25">
      <c r="A1021" s="297">
        <v>42601</v>
      </c>
      <c r="B1021" s="298" t="s">
        <v>3509</v>
      </c>
      <c r="C1021" s="299" t="s">
        <v>2884</v>
      </c>
      <c r="D1021" s="300">
        <v>68.97</v>
      </c>
      <c r="E1021" s="350">
        <f t="shared" si="32"/>
        <v>55.93</v>
      </c>
      <c r="F1021" s="298" t="s">
        <v>3693</v>
      </c>
      <c r="G1021" s="301">
        <f t="shared" si="33"/>
        <v>58.13</v>
      </c>
    </row>
    <row r="1022" spans="1:7" x14ac:dyDescent="0.25">
      <c r="A1022" s="297">
        <v>43602</v>
      </c>
      <c r="B1022" s="298" t="s">
        <v>3510</v>
      </c>
      <c r="C1022" s="299" t="s">
        <v>2884</v>
      </c>
      <c r="D1022" s="300">
        <v>104.63</v>
      </c>
      <c r="E1022" s="350">
        <f t="shared" si="32"/>
        <v>84.85</v>
      </c>
      <c r="F1022" s="298" t="s">
        <v>3693</v>
      </c>
      <c r="G1022" s="301">
        <f t="shared" si="33"/>
        <v>88.19</v>
      </c>
    </row>
    <row r="1023" spans="1:7" x14ac:dyDescent="0.25">
      <c r="A1023" s="297">
        <v>42602</v>
      </c>
      <c r="B1023" s="298" t="s">
        <v>3704</v>
      </c>
      <c r="C1023" s="299" t="s">
        <v>2884</v>
      </c>
      <c r="D1023" s="300">
        <v>113.81</v>
      </c>
      <c r="E1023" s="350">
        <f t="shared" si="32"/>
        <v>92.29</v>
      </c>
      <c r="F1023" s="298" t="s">
        <v>3693</v>
      </c>
      <c r="G1023" s="301">
        <f t="shared" si="33"/>
        <v>95.92</v>
      </c>
    </row>
    <row r="1024" spans="1:7" x14ac:dyDescent="0.25">
      <c r="A1024" s="297">
        <v>42603</v>
      </c>
      <c r="B1024" s="298" t="s">
        <v>3511</v>
      </c>
      <c r="C1024" s="299" t="s">
        <v>2884</v>
      </c>
      <c r="D1024" s="300">
        <v>75.64</v>
      </c>
      <c r="E1024" s="350">
        <f t="shared" si="32"/>
        <v>61.34</v>
      </c>
      <c r="F1024" s="298" t="s">
        <v>3693</v>
      </c>
      <c r="G1024" s="301">
        <f t="shared" si="33"/>
        <v>63.76</v>
      </c>
    </row>
    <row r="1025" spans="1:7" x14ac:dyDescent="0.25">
      <c r="A1025" s="297">
        <v>42604</v>
      </c>
      <c r="B1025" s="298" t="s">
        <v>3705</v>
      </c>
      <c r="C1025" s="299" t="s">
        <v>76</v>
      </c>
      <c r="D1025" s="300">
        <v>326.74</v>
      </c>
      <c r="E1025" s="350">
        <f t="shared" ref="E1025:E1088" si="34">ROUNDUP(D1025/(1+$L$2),2)</f>
        <v>264.95999999999998</v>
      </c>
      <c r="F1025" s="298" t="s">
        <v>3693</v>
      </c>
      <c r="G1025" s="301">
        <f t="shared" si="33"/>
        <v>275.38</v>
      </c>
    </row>
    <row r="1026" spans="1:7" x14ac:dyDescent="0.25">
      <c r="A1026" s="297">
        <v>42605</v>
      </c>
      <c r="B1026" s="298" t="s">
        <v>3706</v>
      </c>
      <c r="C1026" s="299" t="s">
        <v>76</v>
      </c>
      <c r="D1026" s="300">
        <v>443.02</v>
      </c>
      <c r="E1026" s="350">
        <f t="shared" si="34"/>
        <v>359.25</v>
      </c>
      <c r="F1026" s="298" t="s">
        <v>3693</v>
      </c>
      <c r="G1026" s="301">
        <f t="shared" si="33"/>
        <v>373.37</v>
      </c>
    </row>
    <row r="1027" spans="1:7" x14ac:dyDescent="0.25">
      <c r="A1027" s="297">
        <v>42606</v>
      </c>
      <c r="B1027" s="302" t="s">
        <v>4236</v>
      </c>
      <c r="C1027" s="299" t="s">
        <v>76</v>
      </c>
      <c r="D1027" s="300">
        <v>36.299999999999997</v>
      </c>
      <c r="E1027" s="350">
        <f t="shared" si="34"/>
        <v>29.44</v>
      </c>
      <c r="F1027" s="298" t="s">
        <v>98</v>
      </c>
      <c r="G1027" s="301">
        <f t="shared" si="33"/>
        <v>30.6</v>
      </c>
    </row>
    <row r="1028" spans="1:7" x14ac:dyDescent="0.25">
      <c r="A1028" s="297">
        <v>42607</v>
      </c>
      <c r="B1028" s="298" t="s">
        <v>3708</v>
      </c>
      <c r="C1028" s="299" t="s">
        <v>2884</v>
      </c>
      <c r="D1028" s="300">
        <v>216.13</v>
      </c>
      <c r="E1028" s="350">
        <f t="shared" si="34"/>
        <v>175.26</v>
      </c>
      <c r="F1028" s="298" t="s">
        <v>98</v>
      </c>
      <c r="G1028" s="301">
        <f t="shared" si="33"/>
        <v>182.15</v>
      </c>
    </row>
    <row r="1029" spans="1:7" x14ac:dyDescent="0.25">
      <c r="A1029" s="297">
        <v>42608</v>
      </c>
      <c r="B1029" s="298" t="s">
        <v>3512</v>
      </c>
      <c r="C1029" s="299" t="s">
        <v>2884</v>
      </c>
      <c r="D1029" s="300">
        <v>29.75</v>
      </c>
      <c r="E1029" s="350">
        <f t="shared" si="34"/>
        <v>24.13</v>
      </c>
      <c r="F1029" s="298" t="s">
        <v>98</v>
      </c>
      <c r="G1029" s="301">
        <f t="shared" si="33"/>
        <v>25.08</v>
      </c>
    </row>
    <row r="1030" spans="1:7" x14ac:dyDescent="0.25">
      <c r="A1030" s="297">
        <v>42609</v>
      </c>
      <c r="B1030" s="298" t="s">
        <v>3513</v>
      </c>
      <c r="C1030" s="299" t="s">
        <v>76</v>
      </c>
      <c r="D1030" s="300">
        <v>63.55</v>
      </c>
      <c r="E1030" s="350">
        <f t="shared" si="34"/>
        <v>51.54</v>
      </c>
      <c r="F1030" s="298" t="s">
        <v>98</v>
      </c>
      <c r="G1030" s="301">
        <f t="shared" si="33"/>
        <v>53.57</v>
      </c>
    </row>
    <row r="1031" spans="1:7" x14ac:dyDescent="0.25">
      <c r="A1031" s="297">
        <v>42611</v>
      </c>
      <c r="B1031" s="298" t="s">
        <v>3514</v>
      </c>
      <c r="C1031" s="299" t="s">
        <v>76</v>
      </c>
      <c r="D1031" s="300">
        <v>551.55999999999995</v>
      </c>
      <c r="E1031" s="350">
        <f t="shared" si="34"/>
        <v>447.26</v>
      </c>
      <c r="F1031" s="298" t="s">
        <v>3693</v>
      </c>
      <c r="G1031" s="301">
        <f t="shared" si="33"/>
        <v>464.84</v>
      </c>
    </row>
    <row r="1032" spans="1:7" x14ac:dyDescent="0.25">
      <c r="A1032" s="297">
        <v>42612</v>
      </c>
      <c r="B1032" s="298" t="s">
        <v>3515</v>
      </c>
      <c r="C1032" s="299" t="s">
        <v>76</v>
      </c>
      <c r="D1032" s="300">
        <v>972.3</v>
      </c>
      <c r="E1032" s="350">
        <f t="shared" si="34"/>
        <v>788.44</v>
      </c>
      <c r="F1032" s="298" t="s">
        <v>3693</v>
      </c>
      <c r="G1032" s="301">
        <f t="shared" si="33"/>
        <v>819.43</v>
      </c>
    </row>
    <row r="1033" spans="1:7" x14ac:dyDescent="0.25">
      <c r="A1033" s="297">
        <v>42613</v>
      </c>
      <c r="B1033" s="298" t="s">
        <v>3516</v>
      </c>
      <c r="C1033" s="299" t="s">
        <v>76</v>
      </c>
      <c r="D1033" s="300">
        <v>565.54</v>
      </c>
      <c r="E1033" s="350">
        <f t="shared" si="34"/>
        <v>458.6</v>
      </c>
      <c r="F1033" s="298" t="s">
        <v>3693</v>
      </c>
      <c r="G1033" s="301">
        <f t="shared" si="33"/>
        <v>476.63</v>
      </c>
    </row>
    <row r="1034" spans="1:7" x14ac:dyDescent="0.25">
      <c r="A1034" s="297">
        <v>42615</v>
      </c>
      <c r="B1034" s="298" t="s">
        <v>3517</v>
      </c>
      <c r="C1034" s="299" t="s">
        <v>82</v>
      </c>
      <c r="D1034" s="300">
        <v>297.36</v>
      </c>
      <c r="E1034" s="350">
        <f t="shared" si="34"/>
        <v>241.13</v>
      </c>
      <c r="F1034" s="298" t="s">
        <v>3693</v>
      </c>
      <c r="G1034" s="301">
        <f t="shared" si="33"/>
        <v>250.61</v>
      </c>
    </row>
    <row r="1035" spans="1:7" x14ac:dyDescent="0.25">
      <c r="A1035" s="297">
        <v>41173</v>
      </c>
      <c r="B1035" s="298" t="s">
        <v>3717</v>
      </c>
      <c r="C1035" s="299" t="s">
        <v>82</v>
      </c>
      <c r="D1035" s="300">
        <v>22.28</v>
      </c>
      <c r="E1035" s="350">
        <f t="shared" si="34"/>
        <v>18.07</v>
      </c>
      <c r="F1035" s="298" t="s">
        <v>3693</v>
      </c>
      <c r="G1035" s="301">
        <f t="shared" si="33"/>
        <v>18.79</v>
      </c>
    </row>
    <row r="1036" spans="1:7" x14ac:dyDescent="0.25">
      <c r="A1036" s="297">
        <v>41174</v>
      </c>
      <c r="B1036" s="298" t="s">
        <v>3718</v>
      </c>
      <c r="C1036" s="299" t="s">
        <v>82</v>
      </c>
      <c r="D1036" s="300">
        <v>23.76</v>
      </c>
      <c r="E1036" s="350">
        <f t="shared" si="34"/>
        <v>19.27</v>
      </c>
      <c r="F1036" s="298" t="s">
        <v>3693</v>
      </c>
      <c r="G1036" s="301">
        <f t="shared" si="33"/>
        <v>20.03</v>
      </c>
    </row>
    <row r="1037" spans="1:7" x14ac:dyDescent="0.25">
      <c r="A1037" s="297">
        <v>41175</v>
      </c>
      <c r="B1037" s="298" t="s">
        <v>3719</v>
      </c>
      <c r="C1037" s="299" t="s">
        <v>82</v>
      </c>
      <c r="D1037" s="300">
        <v>29.68</v>
      </c>
      <c r="E1037" s="350">
        <f t="shared" si="34"/>
        <v>24.07</v>
      </c>
      <c r="F1037" s="298" t="s">
        <v>3693</v>
      </c>
      <c r="G1037" s="301">
        <f t="shared" si="33"/>
        <v>25.02</v>
      </c>
    </row>
    <row r="1038" spans="1:7" x14ac:dyDescent="0.25">
      <c r="A1038" s="297">
        <v>41176</v>
      </c>
      <c r="B1038" s="298" t="s">
        <v>3720</v>
      </c>
      <c r="C1038" s="299" t="s">
        <v>82</v>
      </c>
      <c r="D1038" s="300">
        <v>44.48</v>
      </c>
      <c r="E1038" s="350">
        <f t="shared" si="34"/>
        <v>36.07</v>
      </c>
      <c r="F1038" s="298" t="s">
        <v>3693</v>
      </c>
      <c r="G1038" s="301">
        <f t="shared" si="33"/>
        <v>37.49</v>
      </c>
    </row>
    <row r="1039" spans="1:7" x14ac:dyDescent="0.25">
      <c r="A1039" s="297">
        <v>42635</v>
      </c>
      <c r="B1039" s="298" t="s">
        <v>3518</v>
      </c>
      <c r="C1039" s="299" t="s">
        <v>2871</v>
      </c>
      <c r="D1039" s="300">
        <v>20245.07</v>
      </c>
      <c r="E1039" s="350">
        <f t="shared" si="34"/>
        <v>16416.7</v>
      </c>
      <c r="F1039" s="298" t="s">
        <v>98</v>
      </c>
      <c r="G1039" s="301">
        <f t="shared" si="33"/>
        <v>17061.82</v>
      </c>
    </row>
    <row r="1040" spans="1:7" x14ac:dyDescent="0.25">
      <c r="A1040" s="297">
        <v>40628</v>
      </c>
      <c r="B1040" s="298" t="s">
        <v>3519</v>
      </c>
      <c r="C1040" s="299" t="s">
        <v>2871</v>
      </c>
      <c r="D1040" s="300">
        <v>41114.85</v>
      </c>
      <c r="E1040" s="350">
        <f t="shared" si="34"/>
        <v>33339.97</v>
      </c>
      <c r="F1040" s="298" t="s">
        <v>98</v>
      </c>
      <c r="G1040" s="301">
        <f t="shared" si="33"/>
        <v>34650.120000000003</v>
      </c>
    </row>
    <row r="1041" spans="1:7" x14ac:dyDescent="0.25">
      <c r="A1041" s="297">
        <v>40619</v>
      </c>
      <c r="B1041" s="298" t="s">
        <v>3520</v>
      </c>
      <c r="C1041" s="299" t="s">
        <v>2871</v>
      </c>
      <c r="D1041" s="300">
        <v>37205.870000000003</v>
      </c>
      <c r="E1041" s="350">
        <f t="shared" si="34"/>
        <v>30170.19</v>
      </c>
      <c r="F1041" s="298" t="s">
        <v>98</v>
      </c>
      <c r="G1041" s="301">
        <f t="shared" ref="G1041:G1095" si="35">ROUNDUP(E1041*$H$2,2)</f>
        <v>31355.78</v>
      </c>
    </row>
    <row r="1042" spans="1:7" x14ac:dyDescent="0.25">
      <c r="A1042" s="297">
        <v>41087</v>
      </c>
      <c r="B1042" s="298" t="s">
        <v>3725</v>
      </c>
      <c r="C1042" s="299" t="s">
        <v>2871</v>
      </c>
      <c r="D1042" s="300">
        <v>1709.77</v>
      </c>
      <c r="E1042" s="350">
        <f t="shared" si="34"/>
        <v>1386.45</v>
      </c>
      <c r="F1042" s="298" t="s">
        <v>98</v>
      </c>
      <c r="G1042" s="301">
        <f t="shared" si="35"/>
        <v>1440.94</v>
      </c>
    </row>
    <row r="1043" spans="1:7" x14ac:dyDescent="0.25">
      <c r="A1043" s="297">
        <v>42676</v>
      </c>
      <c r="B1043" s="298" t="s">
        <v>3729</v>
      </c>
      <c r="C1043" s="299" t="s">
        <v>82</v>
      </c>
      <c r="D1043" s="300">
        <v>19407.28</v>
      </c>
      <c r="E1043" s="350">
        <f t="shared" si="34"/>
        <v>15737.34</v>
      </c>
      <c r="F1043" s="298" t="s">
        <v>3693</v>
      </c>
      <c r="G1043" s="301">
        <f t="shared" si="35"/>
        <v>16355.77</v>
      </c>
    </row>
    <row r="1044" spans="1:7" x14ac:dyDescent="0.25">
      <c r="A1044" s="297">
        <v>42677</v>
      </c>
      <c r="B1044" s="298" t="s">
        <v>3731</v>
      </c>
      <c r="C1044" s="299" t="s">
        <v>82</v>
      </c>
      <c r="D1044" s="300">
        <v>15113.39</v>
      </c>
      <c r="E1044" s="350">
        <f t="shared" si="34"/>
        <v>12255.43</v>
      </c>
      <c r="F1044" s="298" t="s">
        <v>3693</v>
      </c>
      <c r="G1044" s="301">
        <f t="shared" si="35"/>
        <v>12737.03</v>
      </c>
    </row>
    <row r="1045" spans="1:7" x14ac:dyDescent="0.25">
      <c r="A1045" s="297">
        <v>42678</v>
      </c>
      <c r="B1045" s="298" t="s">
        <v>3521</v>
      </c>
      <c r="C1045" s="299" t="s">
        <v>2884</v>
      </c>
      <c r="D1045" s="300">
        <v>7.78</v>
      </c>
      <c r="E1045" s="350">
        <f t="shared" si="34"/>
        <v>6.31</v>
      </c>
      <c r="F1045" s="298" t="s">
        <v>98</v>
      </c>
      <c r="G1045" s="301">
        <f t="shared" si="35"/>
        <v>6.56</v>
      </c>
    </row>
    <row r="1046" spans="1:7" x14ac:dyDescent="0.25">
      <c r="A1046" s="297">
        <v>41159</v>
      </c>
      <c r="B1046" s="298" t="s">
        <v>4235</v>
      </c>
      <c r="C1046" s="299" t="s">
        <v>2871</v>
      </c>
      <c r="D1046" s="300">
        <v>4014.22</v>
      </c>
      <c r="E1046" s="350">
        <f t="shared" si="34"/>
        <v>3255.13</v>
      </c>
      <c r="F1046" s="298" t="s">
        <v>98</v>
      </c>
      <c r="G1046" s="301">
        <f t="shared" si="35"/>
        <v>3383.05</v>
      </c>
    </row>
    <row r="1047" spans="1:7" x14ac:dyDescent="0.25">
      <c r="A1047" s="297">
        <v>41144</v>
      </c>
      <c r="B1047" s="298" t="s">
        <v>4234</v>
      </c>
      <c r="C1047" s="299" t="s">
        <v>2871</v>
      </c>
      <c r="D1047" s="300">
        <v>2940.03</v>
      </c>
      <c r="E1047" s="350">
        <f t="shared" si="34"/>
        <v>2384.0700000000002</v>
      </c>
      <c r="F1047" s="298" t="s">
        <v>98</v>
      </c>
      <c r="G1047" s="301">
        <f t="shared" si="35"/>
        <v>2477.7600000000002</v>
      </c>
    </row>
    <row r="1048" spans="1:7" x14ac:dyDescent="0.25">
      <c r="A1048" s="297">
        <v>41158</v>
      </c>
      <c r="B1048" s="298" t="s">
        <v>3732</v>
      </c>
      <c r="C1048" s="299" t="s">
        <v>2871</v>
      </c>
      <c r="D1048" s="300">
        <v>3442.94</v>
      </c>
      <c r="E1048" s="350">
        <f t="shared" si="34"/>
        <v>2791.88</v>
      </c>
      <c r="F1048" s="298" t="s">
        <v>98</v>
      </c>
      <c r="G1048" s="301">
        <f t="shared" si="35"/>
        <v>2901.6</v>
      </c>
    </row>
    <row r="1049" spans="1:7" x14ac:dyDescent="0.25">
      <c r="A1049" s="297">
        <v>41160</v>
      </c>
      <c r="B1049" s="298" t="s">
        <v>3733</v>
      </c>
      <c r="C1049" s="299" t="s">
        <v>2871</v>
      </c>
      <c r="D1049" s="300">
        <v>5111.63</v>
      </c>
      <c r="E1049" s="350">
        <f t="shared" si="34"/>
        <v>4145.0200000000004</v>
      </c>
      <c r="F1049" s="298" t="s">
        <v>98</v>
      </c>
      <c r="G1049" s="301">
        <f t="shared" si="35"/>
        <v>4307.91</v>
      </c>
    </row>
    <row r="1050" spans="1:7" x14ac:dyDescent="0.25">
      <c r="A1050" s="297">
        <v>41101</v>
      </c>
      <c r="B1050" s="298" t="s">
        <v>4233</v>
      </c>
      <c r="C1050" s="299" t="s">
        <v>2871</v>
      </c>
      <c r="D1050" s="300">
        <v>2459.66</v>
      </c>
      <c r="E1050" s="350">
        <f t="shared" si="34"/>
        <v>1994.54</v>
      </c>
      <c r="F1050" s="298" t="s">
        <v>98</v>
      </c>
      <c r="G1050" s="301">
        <f t="shared" si="35"/>
        <v>2072.92</v>
      </c>
    </row>
    <row r="1051" spans="1:7" x14ac:dyDescent="0.25">
      <c r="A1051" s="297">
        <v>42679</v>
      </c>
      <c r="B1051" s="298" t="s">
        <v>3522</v>
      </c>
      <c r="C1051" s="299" t="s">
        <v>2871</v>
      </c>
      <c r="D1051" s="300">
        <v>5536.13</v>
      </c>
      <c r="E1051" s="350">
        <f t="shared" si="34"/>
        <v>4489.24</v>
      </c>
      <c r="F1051" s="298" t="s">
        <v>98</v>
      </c>
      <c r="G1051" s="301">
        <f t="shared" si="35"/>
        <v>4665.66</v>
      </c>
    </row>
    <row r="1052" spans="1:7" x14ac:dyDescent="0.25">
      <c r="A1052" s="297">
        <v>42680</v>
      </c>
      <c r="B1052" s="298" t="s">
        <v>3735</v>
      </c>
      <c r="C1052" s="299" t="s">
        <v>2871</v>
      </c>
      <c r="D1052" s="300">
        <v>5288.22</v>
      </c>
      <c r="E1052" s="350">
        <f t="shared" si="34"/>
        <v>4288.21</v>
      </c>
      <c r="F1052" s="298" t="s">
        <v>98</v>
      </c>
      <c r="G1052" s="301">
        <f t="shared" si="35"/>
        <v>4456.7299999999996</v>
      </c>
    </row>
    <row r="1053" spans="1:7" x14ac:dyDescent="0.25">
      <c r="A1053" s="297">
        <v>42681</v>
      </c>
      <c r="B1053" s="298" t="s">
        <v>3737</v>
      </c>
      <c r="C1053" s="299" t="s">
        <v>2871</v>
      </c>
      <c r="D1053" s="300">
        <v>6490.47</v>
      </c>
      <c r="E1053" s="350">
        <f t="shared" si="34"/>
        <v>5263.12</v>
      </c>
      <c r="F1053" s="298" t="s">
        <v>98</v>
      </c>
      <c r="G1053" s="301">
        <f t="shared" si="35"/>
        <v>5469.95</v>
      </c>
    </row>
    <row r="1054" spans="1:7" x14ac:dyDescent="0.25">
      <c r="A1054" s="297">
        <v>42682</v>
      </c>
      <c r="B1054" s="298" t="s">
        <v>3739</v>
      </c>
      <c r="C1054" s="299" t="s">
        <v>2871</v>
      </c>
      <c r="D1054" s="300">
        <v>2603.06</v>
      </c>
      <c r="E1054" s="350">
        <f t="shared" si="34"/>
        <v>2110.8200000000002</v>
      </c>
      <c r="F1054" s="298" t="s">
        <v>3693</v>
      </c>
      <c r="G1054" s="301">
        <f t="shared" si="35"/>
        <v>2193.77</v>
      </c>
    </row>
    <row r="1055" spans="1:7" x14ac:dyDescent="0.25">
      <c r="A1055" s="297">
        <v>41334</v>
      </c>
      <c r="B1055" s="298" t="s">
        <v>3740</v>
      </c>
      <c r="C1055" s="299" t="s">
        <v>2871</v>
      </c>
      <c r="D1055" s="300">
        <v>3282.97</v>
      </c>
      <c r="E1055" s="350">
        <f t="shared" si="34"/>
        <v>2662.16</v>
      </c>
      <c r="F1055" s="298" t="s">
        <v>3693</v>
      </c>
      <c r="G1055" s="301">
        <f t="shared" si="35"/>
        <v>2766.78</v>
      </c>
    </row>
    <row r="1056" spans="1:7" x14ac:dyDescent="0.25">
      <c r="A1056" s="297">
        <v>42683</v>
      </c>
      <c r="B1056" s="298" t="s">
        <v>3743</v>
      </c>
      <c r="C1056" s="299" t="s">
        <v>2871</v>
      </c>
      <c r="D1056" s="300">
        <v>2472.34</v>
      </c>
      <c r="E1056" s="350">
        <f t="shared" si="34"/>
        <v>2004.82</v>
      </c>
      <c r="F1056" s="298" t="s">
        <v>3693</v>
      </c>
      <c r="G1056" s="301">
        <f t="shared" si="35"/>
        <v>2083.61</v>
      </c>
    </row>
    <row r="1057" spans="1:7" x14ac:dyDescent="0.25">
      <c r="A1057" s="297">
        <v>42684</v>
      </c>
      <c r="B1057" s="298" t="s">
        <v>3745</v>
      </c>
      <c r="C1057" s="299" t="s">
        <v>2871</v>
      </c>
      <c r="D1057" s="300">
        <v>3823.63</v>
      </c>
      <c r="E1057" s="350">
        <f t="shared" si="34"/>
        <v>3100.58</v>
      </c>
      <c r="F1057" s="298" t="s">
        <v>3693</v>
      </c>
      <c r="G1057" s="301">
        <f t="shared" si="35"/>
        <v>3222.43</v>
      </c>
    </row>
    <row r="1058" spans="1:7" x14ac:dyDescent="0.25">
      <c r="A1058" s="297">
        <v>42685</v>
      </c>
      <c r="B1058" s="298" t="s">
        <v>3747</v>
      </c>
      <c r="C1058" s="299" t="s">
        <v>2871</v>
      </c>
      <c r="D1058" s="300">
        <v>4751.8999999999996</v>
      </c>
      <c r="E1058" s="350">
        <f t="shared" si="34"/>
        <v>3853.31</v>
      </c>
      <c r="F1058" s="298" t="s">
        <v>3693</v>
      </c>
      <c r="G1058" s="301">
        <f t="shared" si="35"/>
        <v>4004.74</v>
      </c>
    </row>
    <row r="1059" spans="1:7" x14ac:dyDescent="0.25">
      <c r="A1059" s="297">
        <v>42686</v>
      </c>
      <c r="B1059" s="298" t="s">
        <v>3749</v>
      </c>
      <c r="C1059" s="299" t="s">
        <v>2871</v>
      </c>
      <c r="D1059" s="300">
        <v>5640.37</v>
      </c>
      <c r="E1059" s="350">
        <f t="shared" si="34"/>
        <v>4573.7700000000004</v>
      </c>
      <c r="F1059" s="298" t="s">
        <v>3693</v>
      </c>
      <c r="G1059" s="301">
        <f t="shared" si="35"/>
        <v>4753.51</v>
      </c>
    </row>
    <row r="1060" spans="1:7" x14ac:dyDescent="0.25">
      <c r="A1060" s="297">
        <v>41162</v>
      </c>
      <c r="B1060" s="298" t="s">
        <v>4232</v>
      </c>
      <c r="C1060" s="299" t="s">
        <v>2871</v>
      </c>
      <c r="D1060" s="300">
        <v>2622.06</v>
      </c>
      <c r="E1060" s="350">
        <f t="shared" si="34"/>
        <v>2126.23</v>
      </c>
      <c r="F1060" s="298" t="s">
        <v>98</v>
      </c>
      <c r="G1060" s="301">
        <f t="shared" si="35"/>
        <v>2209.79</v>
      </c>
    </row>
    <row r="1061" spans="1:7" x14ac:dyDescent="0.25">
      <c r="A1061" s="297">
        <v>41163</v>
      </c>
      <c r="B1061" s="298" t="s">
        <v>3750</v>
      </c>
      <c r="C1061" s="299" t="s">
        <v>2871</v>
      </c>
      <c r="D1061" s="300">
        <v>3139.14</v>
      </c>
      <c r="E1061" s="350">
        <f t="shared" si="34"/>
        <v>2545.5300000000002</v>
      </c>
      <c r="F1061" s="298" t="s">
        <v>98</v>
      </c>
      <c r="G1061" s="301">
        <f t="shared" si="35"/>
        <v>2645.57</v>
      </c>
    </row>
    <row r="1062" spans="1:7" x14ac:dyDescent="0.25">
      <c r="A1062" s="297">
        <v>41164</v>
      </c>
      <c r="B1062" s="298" t="s">
        <v>3751</v>
      </c>
      <c r="C1062" s="299" t="s">
        <v>2871</v>
      </c>
      <c r="D1062" s="300">
        <v>3825.46</v>
      </c>
      <c r="E1062" s="350">
        <f t="shared" si="34"/>
        <v>3102.06</v>
      </c>
      <c r="F1062" s="298" t="s">
        <v>98</v>
      </c>
      <c r="G1062" s="301">
        <f t="shared" si="35"/>
        <v>3223.97</v>
      </c>
    </row>
    <row r="1063" spans="1:7" x14ac:dyDescent="0.25">
      <c r="A1063" s="297">
        <v>41165</v>
      </c>
      <c r="B1063" s="298" t="s">
        <v>3752</v>
      </c>
      <c r="C1063" s="299" t="s">
        <v>2871</v>
      </c>
      <c r="D1063" s="300">
        <v>4268.95</v>
      </c>
      <c r="E1063" s="350">
        <f t="shared" si="34"/>
        <v>3461.69</v>
      </c>
      <c r="F1063" s="298" t="s">
        <v>98</v>
      </c>
      <c r="G1063" s="301">
        <f t="shared" si="35"/>
        <v>3597.73</v>
      </c>
    </row>
    <row r="1064" spans="1:7" x14ac:dyDescent="0.25">
      <c r="A1064" s="297">
        <v>41166</v>
      </c>
      <c r="B1064" s="298" t="s">
        <v>3753</v>
      </c>
      <c r="C1064" s="299" t="s">
        <v>2871</v>
      </c>
      <c r="D1064" s="300">
        <v>5229.3999999999996</v>
      </c>
      <c r="E1064" s="350">
        <f t="shared" si="34"/>
        <v>4240.5200000000004</v>
      </c>
      <c r="F1064" s="298" t="s">
        <v>98</v>
      </c>
      <c r="G1064" s="301">
        <f t="shared" si="35"/>
        <v>4407.16</v>
      </c>
    </row>
    <row r="1065" spans="1:7" x14ac:dyDescent="0.25">
      <c r="A1065" s="297">
        <v>42687</v>
      </c>
      <c r="B1065" s="298" t="s">
        <v>3755</v>
      </c>
      <c r="C1065" s="299" t="s">
        <v>2871</v>
      </c>
      <c r="D1065" s="300">
        <v>1659.02</v>
      </c>
      <c r="E1065" s="350">
        <f t="shared" si="34"/>
        <v>1345.3</v>
      </c>
      <c r="F1065" s="298" t="s">
        <v>98</v>
      </c>
      <c r="G1065" s="301">
        <f t="shared" si="35"/>
        <v>1398.17</v>
      </c>
    </row>
    <row r="1066" spans="1:7" x14ac:dyDescent="0.25">
      <c r="A1066" s="297">
        <v>42688</v>
      </c>
      <c r="B1066" s="298" t="s">
        <v>3757</v>
      </c>
      <c r="C1066" s="299" t="s">
        <v>2871</v>
      </c>
      <c r="D1066" s="300">
        <v>2094.88</v>
      </c>
      <c r="E1066" s="350">
        <f t="shared" si="34"/>
        <v>1698.74</v>
      </c>
      <c r="F1066" s="298" t="s">
        <v>98</v>
      </c>
      <c r="G1066" s="301">
        <f t="shared" si="35"/>
        <v>1765.5</v>
      </c>
    </row>
    <row r="1067" spans="1:7" x14ac:dyDescent="0.25">
      <c r="A1067" s="297">
        <v>42689</v>
      </c>
      <c r="B1067" s="298" t="s">
        <v>3759</v>
      </c>
      <c r="C1067" s="299" t="s">
        <v>2871</v>
      </c>
      <c r="D1067" s="300">
        <v>2631.3</v>
      </c>
      <c r="E1067" s="350">
        <f t="shared" si="34"/>
        <v>2133.7199999999998</v>
      </c>
      <c r="F1067" s="298" t="s">
        <v>98</v>
      </c>
      <c r="G1067" s="301">
        <f t="shared" si="35"/>
        <v>2217.5700000000002</v>
      </c>
    </row>
    <row r="1068" spans="1:7" x14ac:dyDescent="0.25">
      <c r="A1068" s="297">
        <v>42690</v>
      </c>
      <c r="B1068" s="298" t="s">
        <v>3761</v>
      </c>
      <c r="C1068" s="299" t="s">
        <v>2871</v>
      </c>
      <c r="D1068" s="300">
        <v>4200.53</v>
      </c>
      <c r="E1068" s="350">
        <f t="shared" si="34"/>
        <v>3406.21</v>
      </c>
      <c r="F1068" s="298" t="s">
        <v>98</v>
      </c>
      <c r="G1068" s="301">
        <f t="shared" si="35"/>
        <v>3540.07</v>
      </c>
    </row>
    <row r="1069" spans="1:7" x14ac:dyDescent="0.25">
      <c r="A1069" s="297">
        <v>42691</v>
      </c>
      <c r="B1069" s="298" t="s">
        <v>3523</v>
      </c>
      <c r="C1069" s="299" t="s">
        <v>2871</v>
      </c>
      <c r="D1069" s="300">
        <v>9960.74</v>
      </c>
      <c r="E1069" s="350">
        <f t="shared" si="34"/>
        <v>8077.15</v>
      </c>
      <c r="F1069" s="298" t="s">
        <v>3693</v>
      </c>
      <c r="G1069" s="301">
        <f t="shared" si="35"/>
        <v>8394.56</v>
      </c>
    </row>
    <row r="1070" spans="1:7" x14ac:dyDescent="0.25">
      <c r="A1070" s="297">
        <v>42693</v>
      </c>
      <c r="B1070" s="298" t="s">
        <v>3524</v>
      </c>
      <c r="C1070" s="299" t="s">
        <v>82</v>
      </c>
      <c r="D1070" s="300">
        <v>4517.26</v>
      </c>
      <c r="E1070" s="350">
        <f t="shared" si="34"/>
        <v>3663.04</v>
      </c>
      <c r="F1070" s="298" t="s">
        <v>98</v>
      </c>
      <c r="G1070" s="301">
        <f t="shared" si="35"/>
        <v>3806.99</v>
      </c>
    </row>
    <row r="1071" spans="1:7" x14ac:dyDescent="0.25">
      <c r="A1071" s="297">
        <v>42692</v>
      </c>
      <c r="B1071" s="298" t="s">
        <v>3525</v>
      </c>
      <c r="C1071" s="299" t="s">
        <v>2871</v>
      </c>
      <c r="D1071" s="300">
        <v>819.52</v>
      </c>
      <c r="E1071" s="350">
        <f t="shared" si="34"/>
        <v>664.55</v>
      </c>
      <c r="F1071" s="298" t="s">
        <v>98</v>
      </c>
      <c r="G1071" s="301">
        <f t="shared" si="35"/>
        <v>690.67</v>
      </c>
    </row>
    <row r="1072" spans="1:7" x14ac:dyDescent="0.25">
      <c r="A1072" s="297">
        <v>41085</v>
      </c>
      <c r="B1072" s="298" t="s">
        <v>3762</v>
      </c>
      <c r="C1072" s="299" t="s">
        <v>2871</v>
      </c>
      <c r="D1072" s="300">
        <v>1745.73</v>
      </c>
      <c r="E1072" s="350">
        <f t="shared" si="34"/>
        <v>1415.61</v>
      </c>
      <c r="F1072" s="298" t="s">
        <v>98</v>
      </c>
      <c r="G1072" s="301">
        <f t="shared" si="35"/>
        <v>1471.24</v>
      </c>
    </row>
    <row r="1073" spans="1:7" x14ac:dyDescent="0.25">
      <c r="A1073" s="297">
        <v>42694</v>
      </c>
      <c r="B1073" s="298" t="s">
        <v>3763</v>
      </c>
      <c r="C1073" s="299" t="s">
        <v>2871</v>
      </c>
      <c r="D1073" s="300">
        <v>852.27</v>
      </c>
      <c r="E1073" s="350">
        <f t="shared" si="34"/>
        <v>691.11</v>
      </c>
      <c r="F1073" s="298" t="s">
        <v>3693</v>
      </c>
      <c r="G1073" s="301">
        <f t="shared" si="35"/>
        <v>718.27</v>
      </c>
    </row>
    <row r="1074" spans="1:7" x14ac:dyDescent="0.25">
      <c r="A1074" s="297">
        <v>41241</v>
      </c>
      <c r="B1074" s="298" t="s">
        <v>288</v>
      </c>
      <c r="C1074" s="299" t="s">
        <v>2871</v>
      </c>
      <c r="D1074" s="300">
        <v>1561.25</v>
      </c>
      <c r="E1074" s="350">
        <f t="shared" si="34"/>
        <v>1266.02</v>
      </c>
      <c r="F1074" s="298" t="s">
        <v>3693</v>
      </c>
      <c r="G1074" s="301">
        <f t="shared" si="35"/>
        <v>1315.78</v>
      </c>
    </row>
    <row r="1075" spans="1:7" x14ac:dyDescent="0.25">
      <c r="A1075" s="297">
        <v>42697</v>
      </c>
      <c r="B1075" s="298" t="s">
        <v>3526</v>
      </c>
      <c r="C1075" s="299" t="s">
        <v>82</v>
      </c>
      <c r="D1075" s="300">
        <v>742.37</v>
      </c>
      <c r="E1075" s="350">
        <f t="shared" si="34"/>
        <v>601.99</v>
      </c>
      <c r="F1075" s="298" t="s">
        <v>3693</v>
      </c>
      <c r="G1075" s="301">
        <f t="shared" si="35"/>
        <v>625.65</v>
      </c>
    </row>
    <row r="1076" spans="1:7" x14ac:dyDescent="0.25">
      <c r="A1076" s="297">
        <v>42698</v>
      </c>
      <c r="B1076" s="298" t="s">
        <v>4231</v>
      </c>
      <c r="C1076" s="299" t="s">
        <v>82</v>
      </c>
      <c r="D1076" s="300">
        <v>230.79</v>
      </c>
      <c r="E1076" s="350">
        <f t="shared" si="34"/>
        <v>187.15</v>
      </c>
      <c r="F1076" s="298" t="s">
        <v>3693</v>
      </c>
      <c r="G1076" s="301">
        <f t="shared" si="35"/>
        <v>194.51</v>
      </c>
    </row>
    <row r="1077" spans="1:7" x14ac:dyDescent="0.25">
      <c r="A1077" s="297">
        <v>42699</v>
      </c>
      <c r="B1077" s="298" t="s">
        <v>3765</v>
      </c>
      <c r="C1077" s="299" t="s">
        <v>82</v>
      </c>
      <c r="D1077" s="300">
        <v>296.79000000000002</v>
      </c>
      <c r="E1077" s="350">
        <f t="shared" si="34"/>
        <v>240.67</v>
      </c>
      <c r="F1077" s="298" t="s">
        <v>98</v>
      </c>
      <c r="G1077" s="301">
        <f t="shared" si="35"/>
        <v>250.13</v>
      </c>
    </row>
    <row r="1078" spans="1:7" x14ac:dyDescent="0.25">
      <c r="A1078" s="297">
        <v>42700</v>
      </c>
      <c r="B1078" s="298" t="s">
        <v>3766</v>
      </c>
      <c r="C1078" s="299" t="s">
        <v>82</v>
      </c>
      <c r="D1078" s="300">
        <v>209.84</v>
      </c>
      <c r="E1078" s="350">
        <f t="shared" si="34"/>
        <v>170.16</v>
      </c>
      <c r="F1078" s="298" t="s">
        <v>3693</v>
      </c>
      <c r="G1078" s="301">
        <f t="shared" si="35"/>
        <v>176.85</v>
      </c>
    </row>
    <row r="1079" spans="1:7" x14ac:dyDescent="0.25">
      <c r="A1079" s="297">
        <v>42701</v>
      </c>
      <c r="B1079" s="298" t="s">
        <v>3779</v>
      </c>
      <c r="C1079" s="299" t="s">
        <v>2884</v>
      </c>
      <c r="D1079" s="300">
        <v>53.61</v>
      </c>
      <c r="E1079" s="350">
        <f t="shared" si="34"/>
        <v>43.48</v>
      </c>
      <c r="F1079" s="298" t="s">
        <v>98</v>
      </c>
      <c r="G1079" s="301">
        <f t="shared" si="35"/>
        <v>45.19</v>
      </c>
    </row>
    <row r="1080" spans="1:7" x14ac:dyDescent="0.25">
      <c r="A1080" s="297">
        <v>42703</v>
      </c>
      <c r="B1080" s="302" t="s">
        <v>4230</v>
      </c>
      <c r="C1080" s="299" t="s">
        <v>2884</v>
      </c>
      <c r="D1080" s="300">
        <v>128.33000000000001</v>
      </c>
      <c r="E1080" s="350">
        <f t="shared" si="34"/>
        <v>104.07</v>
      </c>
      <c r="F1080" s="298" t="s">
        <v>98</v>
      </c>
      <c r="G1080" s="301">
        <f t="shared" si="35"/>
        <v>108.16</v>
      </c>
    </row>
    <row r="1081" spans="1:7" x14ac:dyDescent="0.25">
      <c r="A1081" s="297">
        <v>42704</v>
      </c>
      <c r="B1081" s="298" t="s">
        <v>3527</v>
      </c>
      <c r="C1081" s="299" t="s">
        <v>2884</v>
      </c>
      <c r="D1081" s="300">
        <v>7.28</v>
      </c>
      <c r="E1081" s="350">
        <f t="shared" si="34"/>
        <v>5.91</v>
      </c>
      <c r="F1081" s="298" t="s">
        <v>98</v>
      </c>
      <c r="G1081" s="301">
        <f t="shared" si="35"/>
        <v>6.15</v>
      </c>
    </row>
    <row r="1082" spans="1:7" x14ac:dyDescent="0.25">
      <c r="A1082" s="297">
        <v>42705</v>
      </c>
      <c r="B1082" s="298" t="s">
        <v>3528</v>
      </c>
      <c r="C1082" s="299" t="s">
        <v>2884</v>
      </c>
      <c r="D1082" s="300">
        <v>12.24</v>
      </c>
      <c r="E1082" s="350">
        <f t="shared" si="34"/>
        <v>9.93</v>
      </c>
      <c r="F1082" s="298" t="s">
        <v>98</v>
      </c>
      <c r="G1082" s="301">
        <f t="shared" si="35"/>
        <v>10.33</v>
      </c>
    </row>
    <row r="1083" spans="1:7" x14ac:dyDescent="0.25">
      <c r="A1083" s="297">
        <v>42706</v>
      </c>
      <c r="B1083" s="298" t="s">
        <v>4229</v>
      </c>
      <c r="C1083" s="299" t="s">
        <v>76</v>
      </c>
      <c r="D1083" s="300">
        <v>7.26</v>
      </c>
      <c r="E1083" s="350">
        <f t="shared" si="34"/>
        <v>5.89</v>
      </c>
      <c r="F1083" s="298" t="s">
        <v>98</v>
      </c>
      <c r="G1083" s="301">
        <f t="shared" si="35"/>
        <v>6.13</v>
      </c>
    </row>
    <row r="1084" spans="1:7" x14ac:dyDescent="0.25">
      <c r="A1084" s="297">
        <v>42707</v>
      </c>
      <c r="B1084" s="298" t="s">
        <v>3529</v>
      </c>
      <c r="C1084" s="299" t="s">
        <v>76</v>
      </c>
      <c r="D1084" s="300">
        <v>87.42</v>
      </c>
      <c r="E1084" s="350">
        <f t="shared" si="34"/>
        <v>70.89</v>
      </c>
      <c r="F1084" s="298" t="s">
        <v>3693</v>
      </c>
      <c r="G1084" s="301">
        <f t="shared" si="35"/>
        <v>73.680000000000007</v>
      </c>
    </row>
    <row r="1085" spans="1:7" x14ac:dyDescent="0.25">
      <c r="A1085" s="297">
        <v>42708</v>
      </c>
      <c r="B1085" s="298" t="s">
        <v>3530</v>
      </c>
      <c r="C1085" s="299" t="s">
        <v>76</v>
      </c>
      <c r="D1085" s="300">
        <v>120.26</v>
      </c>
      <c r="E1085" s="350">
        <f t="shared" si="34"/>
        <v>97.52</v>
      </c>
      <c r="F1085" s="298" t="s">
        <v>3693</v>
      </c>
      <c r="G1085" s="301">
        <f t="shared" si="35"/>
        <v>101.36</v>
      </c>
    </row>
    <row r="1086" spans="1:7" x14ac:dyDescent="0.25">
      <c r="A1086" s="297">
        <v>42709</v>
      </c>
      <c r="B1086" s="298" t="s">
        <v>3531</v>
      </c>
      <c r="C1086" s="299" t="s">
        <v>76</v>
      </c>
      <c r="D1086" s="300">
        <v>120.85</v>
      </c>
      <c r="E1086" s="350">
        <f t="shared" si="34"/>
        <v>98</v>
      </c>
      <c r="F1086" s="298" t="s">
        <v>3693</v>
      </c>
      <c r="G1086" s="301">
        <f t="shared" si="35"/>
        <v>101.86</v>
      </c>
    </row>
    <row r="1087" spans="1:7" x14ac:dyDescent="0.25">
      <c r="A1087" s="297">
        <v>42710</v>
      </c>
      <c r="B1087" s="298" t="s">
        <v>3532</v>
      </c>
      <c r="C1087" s="299" t="s">
        <v>76</v>
      </c>
      <c r="D1087" s="300">
        <v>114.04</v>
      </c>
      <c r="E1087" s="350">
        <f t="shared" si="34"/>
        <v>92.48</v>
      </c>
      <c r="F1087" s="298" t="s">
        <v>3693</v>
      </c>
      <c r="G1087" s="301">
        <f t="shared" si="35"/>
        <v>96.12</v>
      </c>
    </row>
    <row r="1088" spans="1:7" x14ac:dyDescent="0.25">
      <c r="A1088" s="297">
        <v>42711</v>
      </c>
      <c r="B1088" s="298" t="s">
        <v>3533</v>
      </c>
      <c r="C1088" s="299" t="s">
        <v>82</v>
      </c>
      <c r="D1088" s="300">
        <v>540.55999999999995</v>
      </c>
      <c r="E1088" s="350">
        <f t="shared" si="34"/>
        <v>438.34</v>
      </c>
      <c r="F1088" s="298" t="s">
        <v>3693</v>
      </c>
      <c r="G1088" s="301">
        <f t="shared" si="35"/>
        <v>455.57</v>
      </c>
    </row>
    <row r="1089" spans="1:7" x14ac:dyDescent="0.25">
      <c r="A1089" s="297">
        <v>42712</v>
      </c>
      <c r="B1089" s="298" t="s">
        <v>3534</v>
      </c>
      <c r="C1089" s="299" t="s">
        <v>76</v>
      </c>
      <c r="D1089" s="300">
        <v>1641.38</v>
      </c>
      <c r="E1089" s="350">
        <f t="shared" ref="E1089:E1152" si="36">ROUNDUP(D1089/(1+$L$2),2)</f>
        <v>1331</v>
      </c>
      <c r="F1089" s="298" t="s">
        <v>98</v>
      </c>
      <c r="G1089" s="301">
        <f t="shared" si="35"/>
        <v>1383.31</v>
      </c>
    </row>
    <row r="1090" spans="1:7" x14ac:dyDescent="0.25">
      <c r="A1090" s="297">
        <v>42714</v>
      </c>
      <c r="B1090" s="298" t="s">
        <v>3535</v>
      </c>
      <c r="C1090" s="299" t="s">
        <v>76</v>
      </c>
      <c r="D1090" s="300">
        <v>561.16</v>
      </c>
      <c r="E1090" s="350">
        <f t="shared" si="36"/>
        <v>455.05</v>
      </c>
      <c r="F1090" s="298" t="s">
        <v>3693</v>
      </c>
      <c r="G1090" s="301">
        <f t="shared" si="35"/>
        <v>472.94</v>
      </c>
    </row>
    <row r="1091" spans="1:7" x14ac:dyDescent="0.25">
      <c r="A1091" s="297">
        <v>42717</v>
      </c>
      <c r="B1091" s="298" t="s">
        <v>3789</v>
      </c>
      <c r="C1091" s="299" t="s">
        <v>76</v>
      </c>
      <c r="D1091" s="300">
        <v>747.26</v>
      </c>
      <c r="E1091" s="350">
        <f t="shared" si="36"/>
        <v>605.96</v>
      </c>
      <c r="F1091" s="298" t="s">
        <v>3693</v>
      </c>
      <c r="G1091" s="301">
        <f t="shared" si="35"/>
        <v>629.78</v>
      </c>
    </row>
    <row r="1092" spans="1:7" x14ac:dyDescent="0.25">
      <c r="A1092" s="297">
        <v>42716</v>
      </c>
      <c r="B1092" s="298" t="s">
        <v>3791</v>
      </c>
      <c r="C1092" s="299" t="s">
        <v>76</v>
      </c>
      <c r="D1092" s="300">
        <v>740.93</v>
      </c>
      <c r="E1092" s="350">
        <f t="shared" si="36"/>
        <v>600.82000000000005</v>
      </c>
      <c r="F1092" s="298" t="s">
        <v>3693</v>
      </c>
      <c r="G1092" s="301">
        <f t="shared" si="35"/>
        <v>624.44000000000005</v>
      </c>
    </row>
    <row r="1093" spans="1:7" x14ac:dyDescent="0.25">
      <c r="A1093" s="297">
        <v>42719</v>
      </c>
      <c r="B1093" s="298" t="s">
        <v>3793</v>
      </c>
      <c r="C1093" s="299" t="s">
        <v>76</v>
      </c>
      <c r="D1093" s="300">
        <v>773.62</v>
      </c>
      <c r="E1093" s="350">
        <f t="shared" si="36"/>
        <v>627.33000000000004</v>
      </c>
      <c r="F1093" s="298" t="s">
        <v>3693</v>
      </c>
      <c r="G1093" s="301">
        <f t="shared" si="35"/>
        <v>651.99</v>
      </c>
    </row>
    <row r="1094" spans="1:7" x14ac:dyDescent="0.25">
      <c r="A1094" s="297">
        <v>42718</v>
      </c>
      <c r="B1094" s="298" t="s">
        <v>3795</v>
      </c>
      <c r="C1094" s="299" t="s">
        <v>76</v>
      </c>
      <c r="D1094" s="300">
        <v>766.53</v>
      </c>
      <c r="E1094" s="350">
        <f t="shared" si="36"/>
        <v>621.58000000000004</v>
      </c>
      <c r="F1094" s="298" t="s">
        <v>3693</v>
      </c>
      <c r="G1094" s="301">
        <f t="shared" si="35"/>
        <v>646.01</v>
      </c>
    </row>
    <row r="1095" spans="1:7" x14ac:dyDescent="0.25">
      <c r="A1095" s="297">
        <v>42722</v>
      </c>
      <c r="B1095" s="298" t="s">
        <v>4228</v>
      </c>
      <c r="C1095" s="299" t="s">
        <v>76</v>
      </c>
      <c r="D1095" s="300">
        <v>980.38</v>
      </c>
      <c r="E1095" s="350">
        <f t="shared" si="36"/>
        <v>794.99</v>
      </c>
      <c r="F1095" s="298" t="s">
        <v>3693</v>
      </c>
      <c r="G1095" s="301">
        <f t="shared" si="35"/>
        <v>826.24</v>
      </c>
    </row>
    <row r="1096" spans="1:7" x14ac:dyDescent="0.25">
      <c r="A1096" s="297">
        <v>42721</v>
      </c>
      <c r="B1096" s="298" t="s">
        <v>3799</v>
      </c>
      <c r="C1096" s="299" t="s">
        <v>76</v>
      </c>
      <c r="D1096" s="300">
        <v>797.95</v>
      </c>
      <c r="E1096" s="350">
        <f t="shared" si="36"/>
        <v>647.05999999999995</v>
      </c>
      <c r="F1096" s="298" t="s">
        <v>3693</v>
      </c>
      <c r="G1096" s="301">
        <f t="shared" ref="G1096:G1145" si="37">ROUNDUP(E1096*$H$2,2)</f>
        <v>672.49</v>
      </c>
    </row>
    <row r="1097" spans="1:7" x14ac:dyDescent="0.25">
      <c r="A1097" s="297">
        <v>42720</v>
      </c>
      <c r="B1097" s="298" t="s">
        <v>3800</v>
      </c>
      <c r="C1097" s="299" t="s">
        <v>76</v>
      </c>
      <c r="D1097" s="300">
        <v>790.14</v>
      </c>
      <c r="E1097" s="350">
        <f t="shared" si="36"/>
        <v>640.73</v>
      </c>
      <c r="F1097" s="298" t="s">
        <v>3693</v>
      </c>
      <c r="G1097" s="301">
        <f t="shared" si="37"/>
        <v>665.91</v>
      </c>
    </row>
    <row r="1098" spans="1:7" x14ac:dyDescent="0.25">
      <c r="A1098" s="297">
        <v>42723</v>
      </c>
      <c r="B1098" s="298" t="s">
        <v>4227</v>
      </c>
      <c r="C1098" s="299" t="s">
        <v>76</v>
      </c>
      <c r="D1098" s="300">
        <v>929.84</v>
      </c>
      <c r="E1098" s="350">
        <f t="shared" si="36"/>
        <v>754.01</v>
      </c>
      <c r="F1098" s="298" t="s">
        <v>3693</v>
      </c>
      <c r="G1098" s="301">
        <f t="shared" si="37"/>
        <v>783.64</v>
      </c>
    </row>
    <row r="1099" spans="1:7" x14ac:dyDescent="0.25">
      <c r="A1099" s="297">
        <v>42724</v>
      </c>
      <c r="B1099" s="298" t="s">
        <v>3804</v>
      </c>
      <c r="C1099" s="299" t="s">
        <v>76</v>
      </c>
      <c r="D1099" s="300">
        <v>1923.1</v>
      </c>
      <c r="E1099" s="350">
        <f t="shared" si="36"/>
        <v>1559.44</v>
      </c>
      <c r="F1099" s="298" t="s">
        <v>3693</v>
      </c>
      <c r="G1099" s="301">
        <f t="shared" si="37"/>
        <v>1620.73</v>
      </c>
    </row>
    <row r="1100" spans="1:7" x14ac:dyDescent="0.25">
      <c r="A1100" s="297">
        <v>42726</v>
      </c>
      <c r="B1100" s="298" t="s">
        <v>3536</v>
      </c>
      <c r="C1100" s="299" t="s">
        <v>82</v>
      </c>
      <c r="D1100" s="300">
        <v>474.07</v>
      </c>
      <c r="E1100" s="350">
        <f t="shared" si="36"/>
        <v>384.43</v>
      </c>
      <c r="F1100" s="298" t="s">
        <v>3693</v>
      </c>
      <c r="G1100" s="301">
        <f t="shared" si="37"/>
        <v>399.54</v>
      </c>
    </row>
    <row r="1101" spans="1:7" x14ac:dyDescent="0.25">
      <c r="A1101" s="297">
        <v>42727</v>
      </c>
      <c r="B1101" s="298" t="s">
        <v>3537</v>
      </c>
      <c r="C1101" s="299" t="s">
        <v>82</v>
      </c>
      <c r="D1101" s="300">
        <v>512.08000000000004</v>
      </c>
      <c r="E1101" s="350">
        <f t="shared" si="36"/>
        <v>415.25</v>
      </c>
      <c r="F1101" s="298" t="s">
        <v>3693</v>
      </c>
      <c r="G1101" s="301">
        <f t="shared" si="37"/>
        <v>431.57</v>
      </c>
    </row>
    <row r="1102" spans="1:7" x14ac:dyDescent="0.25">
      <c r="A1102" s="297">
        <v>42728</v>
      </c>
      <c r="B1102" s="298" t="s">
        <v>3538</v>
      </c>
      <c r="C1102" s="299" t="s">
        <v>82</v>
      </c>
      <c r="D1102" s="300">
        <v>480.34</v>
      </c>
      <c r="E1102" s="350">
        <f t="shared" si="36"/>
        <v>389.51</v>
      </c>
      <c r="F1102" s="298" t="s">
        <v>3693</v>
      </c>
      <c r="G1102" s="301">
        <f t="shared" si="37"/>
        <v>404.82</v>
      </c>
    </row>
    <row r="1103" spans="1:7" x14ac:dyDescent="0.25">
      <c r="A1103" s="297">
        <v>42729</v>
      </c>
      <c r="B1103" s="298" t="s">
        <v>3539</v>
      </c>
      <c r="C1103" s="299" t="s">
        <v>82</v>
      </c>
      <c r="D1103" s="300">
        <v>467.83</v>
      </c>
      <c r="E1103" s="350">
        <f t="shared" si="36"/>
        <v>379.37</v>
      </c>
      <c r="F1103" s="298" t="s">
        <v>3693</v>
      </c>
      <c r="G1103" s="301">
        <f t="shared" si="37"/>
        <v>394.28</v>
      </c>
    </row>
    <row r="1104" spans="1:7" x14ac:dyDescent="0.25">
      <c r="A1104" s="297">
        <v>42730</v>
      </c>
      <c r="B1104" s="298" t="s">
        <v>3540</v>
      </c>
      <c r="C1104" s="299" t="s">
        <v>82</v>
      </c>
      <c r="D1104" s="300">
        <v>1016.66</v>
      </c>
      <c r="E1104" s="350">
        <f t="shared" si="36"/>
        <v>824.41</v>
      </c>
      <c r="F1104" s="298" t="s">
        <v>3693</v>
      </c>
      <c r="G1104" s="301">
        <f t="shared" si="37"/>
        <v>856.81</v>
      </c>
    </row>
    <row r="1105" spans="1:7" x14ac:dyDescent="0.25">
      <c r="A1105" s="297">
        <v>42731</v>
      </c>
      <c r="B1105" s="298" t="s">
        <v>3541</v>
      </c>
      <c r="C1105" s="299" t="s">
        <v>82</v>
      </c>
      <c r="D1105" s="300">
        <v>1004.5</v>
      </c>
      <c r="E1105" s="350">
        <f t="shared" si="36"/>
        <v>814.55</v>
      </c>
      <c r="F1105" s="298" t="s">
        <v>3693</v>
      </c>
      <c r="G1105" s="301">
        <f t="shared" si="37"/>
        <v>846.56</v>
      </c>
    </row>
    <row r="1106" spans="1:7" x14ac:dyDescent="0.25">
      <c r="A1106" s="297">
        <v>42732</v>
      </c>
      <c r="B1106" s="298" t="s">
        <v>3542</v>
      </c>
      <c r="C1106" s="299" t="s">
        <v>82</v>
      </c>
      <c r="D1106" s="300">
        <v>1038.0899999999999</v>
      </c>
      <c r="E1106" s="350">
        <f t="shared" si="36"/>
        <v>841.79</v>
      </c>
      <c r="F1106" s="298" t="s">
        <v>3693</v>
      </c>
      <c r="G1106" s="301">
        <f t="shared" si="37"/>
        <v>874.87</v>
      </c>
    </row>
    <row r="1107" spans="1:7" x14ac:dyDescent="0.25">
      <c r="A1107" s="297">
        <v>42733</v>
      </c>
      <c r="B1107" s="298" t="s">
        <v>3543</v>
      </c>
      <c r="C1107" s="299" t="s">
        <v>82</v>
      </c>
      <c r="D1107" s="300">
        <v>989.06</v>
      </c>
      <c r="E1107" s="350">
        <f t="shared" si="36"/>
        <v>802.03</v>
      </c>
      <c r="F1107" s="298" t="s">
        <v>3693</v>
      </c>
      <c r="G1107" s="301">
        <f t="shared" si="37"/>
        <v>833.55</v>
      </c>
    </row>
    <row r="1108" spans="1:7" x14ac:dyDescent="0.25">
      <c r="A1108" s="297">
        <v>42734</v>
      </c>
      <c r="B1108" s="298" t="s">
        <v>3544</v>
      </c>
      <c r="C1108" s="299" t="s">
        <v>82</v>
      </c>
      <c r="D1108" s="300">
        <v>1181.3</v>
      </c>
      <c r="E1108" s="350">
        <f t="shared" si="36"/>
        <v>957.92</v>
      </c>
      <c r="F1108" s="298" t="s">
        <v>3693</v>
      </c>
      <c r="G1108" s="301">
        <f t="shared" si="37"/>
        <v>995.57</v>
      </c>
    </row>
    <row r="1109" spans="1:7" x14ac:dyDescent="0.25">
      <c r="A1109" s="297">
        <v>42735</v>
      </c>
      <c r="B1109" s="298" t="s">
        <v>3545</v>
      </c>
      <c r="C1109" s="299" t="s">
        <v>82</v>
      </c>
      <c r="D1109" s="300">
        <v>1078.82</v>
      </c>
      <c r="E1109" s="350">
        <f t="shared" si="36"/>
        <v>874.82</v>
      </c>
      <c r="F1109" s="298" t="s">
        <v>3693</v>
      </c>
      <c r="G1109" s="301">
        <f t="shared" si="37"/>
        <v>909.2</v>
      </c>
    </row>
    <row r="1110" spans="1:7" x14ac:dyDescent="0.25">
      <c r="A1110" s="297">
        <v>42736</v>
      </c>
      <c r="B1110" s="298" t="s">
        <v>3546</v>
      </c>
      <c r="C1110" s="299" t="s">
        <v>82</v>
      </c>
      <c r="D1110" s="300">
        <v>1258.57</v>
      </c>
      <c r="E1110" s="350">
        <f t="shared" si="36"/>
        <v>1020.58</v>
      </c>
      <c r="F1110" s="298" t="s">
        <v>3693</v>
      </c>
      <c r="G1110" s="301">
        <f t="shared" si="37"/>
        <v>1060.69</v>
      </c>
    </row>
    <row r="1111" spans="1:7" x14ac:dyDescent="0.25">
      <c r="A1111" s="297">
        <v>42737</v>
      </c>
      <c r="B1111" s="298" t="s">
        <v>3547</v>
      </c>
      <c r="C1111" s="299" t="s">
        <v>82</v>
      </c>
      <c r="D1111" s="300">
        <v>1224.27</v>
      </c>
      <c r="E1111" s="350">
        <f t="shared" si="36"/>
        <v>992.76</v>
      </c>
      <c r="F1111" s="298" t="s">
        <v>3693</v>
      </c>
      <c r="G1111" s="301">
        <f t="shared" si="37"/>
        <v>1031.78</v>
      </c>
    </row>
    <row r="1112" spans="1:7" x14ac:dyDescent="0.25">
      <c r="A1112" s="297">
        <v>42738</v>
      </c>
      <c r="B1112" s="298" t="s">
        <v>3548</v>
      </c>
      <c r="C1112" s="299" t="s">
        <v>82</v>
      </c>
      <c r="D1112" s="300">
        <v>1420.86</v>
      </c>
      <c r="E1112" s="350">
        <f t="shared" si="36"/>
        <v>1152.18</v>
      </c>
      <c r="F1112" s="298" t="s">
        <v>3693</v>
      </c>
      <c r="G1112" s="301">
        <f t="shared" si="37"/>
        <v>1197.46</v>
      </c>
    </row>
    <row r="1113" spans="1:7" x14ac:dyDescent="0.25">
      <c r="A1113" s="297">
        <v>42739</v>
      </c>
      <c r="B1113" s="298" t="s">
        <v>3549</v>
      </c>
      <c r="C1113" s="299" t="s">
        <v>82</v>
      </c>
      <c r="D1113" s="300">
        <v>1609.38</v>
      </c>
      <c r="E1113" s="350">
        <f t="shared" si="36"/>
        <v>1305.05</v>
      </c>
      <c r="F1113" s="298" t="s">
        <v>3693</v>
      </c>
      <c r="G1113" s="301">
        <f t="shared" si="37"/>
        <v>1356.34</v>
      </c>
    </row>
    <row r="1114" spans="1:7" x14ac:dyDescent="0.25">
      <c r="A1114" s="297">
        <v>42740</v>
      </c>
      <c r="B1114" s="298" t="s">
        <v>3550</v>
      </c>
      <c r="C1114" s="299" t="s">
        <v>82</v>
      </c>
      <c r="D1114" s="300">
        <v>1761.31</v>
      </c>
      <c r="E1114" s="350">
        <f t="shared" si="36"/>
        <v>1428.25</v>
      </c>
      <c r="F1114" s="298" t="s">
        <v>3693</v>
      </c>
      <c r="G1114" s="301">
        <f t="shared" si="37"/>
        <v>1484.38</v>
      </c>
    </row>
    <row r="1115" spans="1:7" x14ac:dyDescent="0.25">
      <c r="A1115" s="297">
        <v>42741</v>
      </c>
      <c r="B1115" s="298" t="s">
        <v>3551</v>
      </c>
      <c r="C1115" s="299" t="s">
        <v>82</v>
      </c>
      <c r="D1115" s="300">
        <v>1686.61</v>
      </c>
      <c r="E1115" s="350">
        <f t="shared" si="36"/>
        <v>1367.67</v>
      </c>
      <c r="F1115" s="298" t="s">
        <v>3693</v>
      </c>
      <c r="G1115" s="301">
        <f t="shared" si="37"/>
        <v>1421.42</v>
      </c>
    </row>
    <row r="1116" spans="1:7" x14ac:dyDescent="0.25">
      <c r="A1116" s="297">
        <v>42742</v>
      </c>
      <c r="B1116" s="298" t="s">
        <v>3552</v>
      </c>
      <c r="C1116" s="299" t="s">
        <v>82</v>
      </c>
      <c r="D1116" s="300">
        <v>2087.94</v>
      </c>
      <c r="E1116" s="350">
        <f t="shared" si="36"/>
        <v>1693.11</v>
      </c>
      <c r="F1116" s="298" t="s">
        <v>3693</v>
      </c>
      <c r="G1116" s="301">
        <f t="shared" si="37"/>
        <v>1759.65</v>
      </c>
    </row>
    <row r="1117" spans="1:7" x14ac:dyDescent="0.25">
      <c r="A1117" s="297">
        <v>42743</v>
      </c>
      <c r="B1117" s="298" t="s">
        <v>3553</v>
      </c>
      <c r="C1117" s="299" t="s">
        <v>82</v>
      </c>
      <c r="D1117" s="300">
        <v>2221.9699999999998</v>
      </c>
      <c r="E1117" s="350">
        <f t="shared" si="36"/>
        <v>1801.8</v>
      </c>
      <c r="F1117" s="298" t="s">
        <v>3693</v>
      </c>
      <c r="G1117" s="301">
        <f t="shared" si="37"/>
        <v>1872.61</v>
      </c>
    </row>
    <row r="1118" spans="1:7" x14ac:dyDescent="0.25">
      <c r="A1118" s="297">
        <v>42744</v>
      </c>
      <c r="B1118" s="298" t="s">
        <v>3554</v>
      </c>
      <c r="C1118" s="299" t="s">
        <v>82</v>
      </c>
      <c r="D1118" s="300">
        <v>2203.48</v>
      </c>
      <c r="E1118" s="350">
        <f t="shared" si="36"/>
        <v>1786.8</v>
      </c>
      <c r="F1118" s="298" t="s">
        <v>3693</v>
      </c>
      <c r="G1118" s="301">
        <f t="shared" si="37"/>
        <v>1857.02</v>
      </c>
    </row>
    <row r="1119" spans="1:7" x14ac:dyDescent="0.25">
      <c r="A1119" s="297">
        <v>42745</v>
      </c>
      <c r="B1119" s="298" t="s">
        <v>3555</v>
      </c>
      <c r="C1119" s="299" t="s">
        <v>82</v>
      </c>
      <c r="D1119" s="300">
        <v>2218.52</v>
      </c>
      <c r="E1119" s="350">
        <f t="shared" si="36"/>
        <v>1799</v>
      </c>
      <c r="F1119" s="298" t="s">
        <v>3693</v>
      </c>
      <c r="G1119" s="301">
        <f t="shared" si="37"/>
        <v>1869.7</v>
      </c>
    </row>
    <row r="1120" spans="1:7" x14ac:dyDescent="0.25">
      <c r="A1120" s="297">
        <v>42746</v>
      </c>
      <c r="B1120" s="298" t="s">
        <v>3556</v>
      </c>
      <c r="C1120" s="299" t="s">
        <v>82</v>
      </c>
      <c r="D1120" s="300">
        <v>2301.7600000000002</v>
      </c>
      <c r="E1120" s="350">
        <f t="shared" si="36"/>
        <v>1866.5</v>
      </c>
      <c r="F1120" s="298" t="s">
        <v>3693</v>
      </c>
      <c r="G1120" s="301">
        <f t="shared" si="37"/>
        <v>1939.85</v>
      </c>
    </row>
    <row r="1121" spans="1:7" x14ac:dyDescent="0.25">
      <c r="A1121" s="297">
        <v>42747</v>
      </c>
      <c r="B1121" s="298" t="s">
        <v>3557</v>
      </c>
      <c r="C1121" s="299" t="s">
        <v>82</v>
      </c>
      <c r="D1121" s="300">
        <v>2998.25</v>
      </c>
      <c r="E1121" s="350">
        <f t="shared" si="36"/>
        <v>2431.2800000000002</v>
      </c>
      <c r="F1121" s="298" t="s">
        <v>3693</v>
      </c>
      <c r="G1121" s="301">
        <f t="shared" si="37"/>
        <v>2526.83</v>
      </c>
    </row>
    <row r="1122" spans="1:7" x14ac:dyDescent="0.25">
      <c r="A1122" s="297">
        <v>42748</v>
      </c>
      <c r="B1122" s="298" t="s">
        <v>4226</v>
      </c>
      <c r="C1122" s="299" t="s">
        <v>82</v>
      </c>
      <c r="D1122" s="300">
        <v>108.64</v>
      </c>
      <c r="E1122" s="350">
        <f t="shared" si="36"/>
        <v>88.1</v>
      </c>
      <c r="F1122" s="298" t="s">
        <v>3693</v>
      </c>
      <c r="G1122" s="301">
        <f t="shared" si="37"/>
        <v>91.57</v>
      </c>
    </row>
    <row r="1123" spans="1:7" x14ac:dyDescent="0.25">
      <c r="A1123" s="297">
        <v>42749</v>
      </c>
      <c r="B1123" s="298" t="s">
        <v>4225</v>
      </c>
      <c r="C1123" s="299" t="s">
        <v>82</v>
      </c>
      <c r="D1123" s="300">
        <v>114.97</v>
      </c>
      <c r="E1123" s="350">
        <f t="shared" si="36"/>
        <v>93.23</v>
      </c>
      <c r="F1123" s="298" t="s">
        <v>3693</v>
      </c>
      <c r="G1123" s="301">
        <f t="shared" si="37"/>
        <v>96.9</v>
      </c>
    </row>
    <row r="1124" spans="1:7" x14ac:dyDescent="0.25">
      <c r="A1124" s="297">
        <v>42750</v>
      </c>
      <c r="B1124" s="298" t="s">
        <v>4224</v>
      </c>
      <c r="C1124" s="299" t="s">
        <v>82</v>
      </c>
      <c r="D1124" s="300">
        <v>139.78</v>
      </c>
      <c r="E1124" s="350">
        <f t="shared" si="36"/>
        <v>113.35</v>
      </c>
      <c r="F1124" s="298" t="s">
        <v>3693</v>
      </c>
      <c r="G1124" s="301">
        <f t="shared" si="37"/>
        <v>117.81</v>
      </c>
    </row>
    <row r="1125" spans="1:7" x14ac:dyDescent="0.25">
      <c r="A1125" s="297">
        <v>42751</v>
      </c>
      <c r="B1125" s="298" t="s">
        <v>4223</v>
      </c>
      <c r="C1125" s="299" t="s">
        <v>82</v>
      </c>
      <c r="D1125" s="300">
        <v>147.63</v>
      </c>
      <c r="E1125" s="350">
        <f t="shared" si="36"/>
        <v>119.72</v>
      </c>
      <c r="F1125" s="298" t="s">
        <v>3693</v>
      </c>
      <c r="G1125" s="301">
        <f t="shared" si="37"/>
        <v>124.43</v>
      </c>
    </row>
    <row r="1126" spans="1:7" x14ac:dyDescent="0.25">
      <c r="A1126" s="297">
        <v>42752</v>
      </c>
      <c r="B1126" s="298" t="s">
        <v>4222</v>
      </c>
      <c r="C1126" s="299" t="s">
        <v>82</v>
      </c>
      <c r="D1126" s="300">
        <v>196.54</v>
      </c>
      <c r="E1126" s="350">
        <f t="shared" si="36"/>
        <v>159.38</v>
      </c>
      <c r="F1126" s="298" t="s">
        <v>3693</v>
      </c>
      <c r="G1126" s="301">
        <f t="shared" si="37"/>
        <v>165.65</v>
      </c>
    </row>
    <row r="1127" spans="1:7" x14ac:dyDescent="0.25">
      <c r="A1127" s="297">
        <v>42753</v>
      </c>
      <c r="B1127" s="298" t="s">
        <v>4221</v>
      </c>
      <c r="C1127" s="299" t="s">
        <v>82</v>
      </c>
      <c r="D1127" s="300">
        <v>197.45</v>
      </c>
      <c r="E1127" s="350">
        <f t="shared" si="36"/>
        <v>160.12</v>
      </c>
      <c r="F1127" s="298" t="s">
        <v>3693</v>
      </c>
      <c r="G1127" s="301">
        <f t="shared" si="37"/>
        <v>166.42</v>
      </c>
    </row>
    <row r="1128" spans="1:7" x14ac:dyDescent="0.25">
      <c r="A1128" s="297">
        <v>42754</v>
      </c>
      <c r="B1128" s="298" t="s">
        <v>4220</v>
      </c>
      <c r="C1128" s="299" t="s">
        <v>82</v>
      </c>
      <c r="D1128" s="300">
        <v>309.86</v>
      </c>
      <c r="E1128" s="350">
        <f t="shared" si="36"/>
        <v>251.27</v>
      </c>
      <c r="F1128" s="298" t="s">
        <v>3693</v>
      </c>
      <c r="G1128" s="301">
        <f t="shared" si="37"/>
        <v>261.14999999999998</v>
      </c>
    </row>
    <row r="1129" spans="1:7" x14ac:dyDescent="0.25">
      <c r="A1129" s="297">
        <v>42755</v>
      </c>
      <c r="B1129" s="298" t="s">
        <v>4219</v>
      </c>
      <c r="C1129" s="299" t="s">
        <v>82</v>
      </c>
      <c r="D1129" s="300">
        <v>317.36</v>
      </c>
      <c r="E1129" s="350">
        <f t="shared" si="36"/>
        <v>257.35000000000002</v>
      </c>
      <c r="F1129" s="298" t="s">
        <v>3693</v>
      </c>
      <c r="G1129" s="301">
        <f t="shared" si="37"/>
        <v>267.47000000000003</v>
      </c>
    </row>
    <row r="1130" spans="1:7" x14ac:dyDescent="0.25">
      <c r="A1130" s="297">
        <v>42756</v>
      </c>
      <c r="B1130" s="298" t="s">
        <v>3558</v>
      </c>
      <c r="C1130" s="299" t="s">
        <v>82</v>
      </c>
      <c r="D1130" s="300">
        <v>177.29</v>
      </c>
      <c r="E1130" s="350">
        <f t="shared" si="36"/>
        <v>143.77000000000001</v>
      </c>
      <c r="F1130" s="298" t="s">
        <v>3693</v>
      </c>
      <c r="G1130" s="301">
        <f t="shared" si="37"/>
        <v>149.41999999999999</v>
      </c>
    </row>
    <row r="1131" spans="1:7" x14ac:dyDescent="0.25">
      <c r="A1131" s="297">
        <v>42757</v>
      </c>
      <c r="B1131" s="298" t="s">
        <v>3559</v>
      </c>
      <c r="C1131" s="299" t="s">
        <v>82</v>
      </c>
      <c r="D1131" s="300">
        <v>228.43</v>
      </c>
      <c r="E1131" s="350">
        <f t="shared" si="36"/>
        <v>185.24</v>
      </c>
      <c r="F1131" s="298" t="s">
        <v>3693</v>
      </c>
      <c r="G1131" s="301">
        <f t="shared" si="37"/>
        <v>192.52</v>
      </c>
    </row>
    <row r="1132" spans="1:7" x14ac:dyDescent="0.25">
      <c r="A1132" s="297">
        <v>42759</v>
      </c>
      <c r="B1132" s="298" t="s">
        <v>3560</v>
      </c>
      <c r="C1132" s="299" t="s">
        <v>82</v>
      </c>
      <c r="D1132" s="300">
        <v>233.35</v>
      </c>
      <c r="E1132" s="350">
        <f t="shared" si="36"/>
        <v>189.23</v>
      </c>
      <c r="F1132" s="298" t="s">
        <v>3693</v>
      </c>
      <c r="G1132" s="301">
        <f t="shared" si="37"/>
        <v>196.67</v>
      </c>
    </row>
    <row r="1133" spans="1:7" x14ac:dyDescent="0.25">
      <c r="A1133" s="297">
        <v>42760</v>
      </c>
      <c r="B1133" s="298" t="s">
        <v>3561</v>
      </c>
      <c r="C1133" s="299" t="s">
        <v>82</v>
      </c>
      <c r="D1133" s="300">
        <v>366.8</v>
      </c>
      <c r="E1133" s="350">
        <f t="shared" si="36"/>
        <v>297.44</v>
      </c>
      <c r="F1133" s="298" t="s">
        <v>3693</v>
      </c>
      <c r="G1133" s="301">
        <f t="shared" si="37"/>
        <v>309.13</v>
      </c>
    </row>
    <row r="1134" spans="1:7" x14ac:dyDescent="0.25">
      <c r="A1134" s="297">
        <v>42761</v>
      </c>
      <c r="B1134" s="298" t="s">
        <v>3562</v>
      </c>
      <c r="C1134" s="299" t="s">
        <v>82</v>
      </c>
      <c r="D1134" s="300">
        <v>385.8</v>
      </c>
      <c r="E1134" s="350">
        <f t="shared" si="36"/>
        <v>312.85000000000002</v>
      </c>
      <c r="F1134" s="298" t="s">
        <v>3693</v>
      </c>
      <c r="G1134" s="301">
        <f t="shared" si="37"/>
        <v>325.14999999999998</v>
      </c>
    </row>
    <row r="1135" spans="1:7" x14ac:dyDescent="0.25">
      <c r="A1135" s="297">
        <v>42762</v>
      </c>
      <c r="B1135" s="298" t="s">
        <v>3563</v>
      </c>
      <c r="C1135" s="299" t="s">
        <v>82</v>
      </c>
      <c r="D1135" s="300">
        <v>369.93</v>
      </c>
      <c r="E1135" s="350">
        <f t="shared" si="36"/>
        <v>299.98</v>
      </c>
      <c r="F1135" s="298" t="s">
        <v>3693</v>
      </c>
      <c r="G1135" s="301">
        <f t="shared" si="37"/>
        <v>311.77</v>
      </c>
    </row>
    <row r="1136" spans="1:7" x14ac:dyDescent="0.25">
      <c r="A1136" s="297">
        <v>42763</v>
      </c>
      <c r="B1136" s="298" t="s">
        <v>3564</v>
      </c>
      <c r="C1136" s="299" t="s">
        <v>82</v>
      </c>
      <c r="D1136" s="300">
        <v>363.68</v>
      </c>
      <c r="E1136" s="350">
        <f t="shared" si="36"/>
        <v>294.91000000000003</v>
      </c>
      <c r="F1136" s="298" t="s">
        <v>3693</v>
      </c>
      <c r="G1136" s="301">
        <f t="shared" si="37"/>
        <v>306.5</v>
      </c>
    </row>
    <row r="1137" spans="1:7" x14ac:dyDescent="0.25">
      <c r="A1137" s="297">
        <v>42764</v>
      </c>
      <c r="B1137" s="298" t="s">
        <v>3565</v>
      </c>
      <c r="C1137" s="299" t="s">
        <v>82</v>
      </c>
      <c r="D1137" s="300">
        <v>749.92</v>
      </c>
      <c r="E1137" s="350">
        <f t="shared" si="36"/>
        <v>608.11</v>
      </c>
      <c r="F1137" s="298" t="s">
        <v>3693</v>
      </c>
      <c r="G1137" s="301">
        <f t="shared" si="37"/>
        <v>632.01</v>
      </c>
    </row>
    <row r="1138" spans="1:7" x14ac:dyDescent="0.25">
      <c r="A1138" s="297">
        <v>42765</v>
      </c>
      <c r="B1138" s="298" t="s">
        <v>3566</v>
      </c>
      <c r="C1138" s="299" t="s">
        <v>82</v>
      </c>
      <c r="D1138" s="300">
        <v>743.84</v>
      </c>
      <c r="E1138" s="350">
        <f t="shared" si="36"/>
        <v>603.17999999999995</v>
      </c>
      <c r="F1138" s="298" t="s">
        <v>3693</v>
      </c>
      <c r="G1138" s="301">
        <f t="shared" si="37"/>
        <v>626.89</v>
      </c>
    </row>
    <row r="1139" spans="1:7" x14ac:dyDescent="0.25">
      <c r="A1139" s="297">
        <v>42766</v>
      </c>
      <c r="B1139" s="298" t="s">
        <v>3567</v>
      </c>
      <c r="C1139" s="299" t="s">
        <v>82</v>
      </c>
      <c r="D1139" s="300">
        <v>760.63</v>
      </c>
      <c r="E1139" s="350">
        <f t="shared" si="36"/>
        <v>616.79999999999995</v>
      </c>
      <c r="F1139" s="298" t="s">
        <v>3693</v>
      </c>
      <c r="G1139" s="301">
        <f t="shared" si="37"/>
        <v>641.04</v>
      </c>
    </row>
    <row r="1140" spans="1:7" x14ac:dyDescent="0.25">
      <c r="A1140" s="297">
        <v>42767</v>
      </c>
      <c r="B1140" s="298" t="s">
        <v>3568</v>
      </c>
      <c r="C1140" s="299" t="s">
        <v>82</v>
      </c>
      <c r="D1140" s="300">
        <v>736.12</v>
      </c>
      <c r="E1140" s="350">
        <f t="shared" si="36"/>
        <v>596.91999999999996</v>
      </c>
      <c r="F1140" s="298" t="s">
        <v>3693</v>
      </c>
      <c r="G1140" s="301">
        <f t="shared" si="37"/>
        <v>620.38</v>
      </c>
    </row>
    <row r="1141" spans="1:7" x14ac:dyDescent="0.25">
      <c r="A1141" s="297">
        <v>42768</v>
      </c>
      <c r="B1141" s="298" t="s">
        <v>3569</v>
      </c>
      <c r="C1141" s="299" t="s">
        <v>82</v>
      </c>
      <c r="D1141" s="300">
        <v>942.01</v>
      </c>
      <c r="E1141" s="350">
        <f t="shared" si="36"/>
        <v>763.88</v>
      </c>
      <c r="F1141" s="298" t="s">
        <v>3693</v>
      </c>
      <c r="G1141" s="301">
        <f t="shared" si="37"/>
        <v>793.9</v>
      </c>
    </row>
    <row r="1142" spans="1:7" x14ac:dyDescent="0.25">
      <c r="A1142" s="297">
        <v>42769</v>
      </c>
      <c r="B1142" s="298" t="s">
        <v>3570</v>
      </c>
      <c r="C1142" s="299" t="s">
        <v>82</v>
      </c>
      <c r="D1142" s="300">
        <v>931.2</v>
      </c>
      <c r="E1142" s="350">
        <f t="shared" si="36"/>
        <v>755.11</v>
      </c>
      <c r="F1142" s="298" t="s">
        <v>3693</v>
      </c>
      <c r="G1142" s="301">
        <f t="shared" si="37"/>
        <v>784.79</v>
      </c>
    </row>
    <row r="1143" spans="1:7" x14ac:dyDescent="0.25">
      <c r="A1143" s="297">
        <v>42770</v>
      </c>
      <c r="B1143" s="298" t="s">
        <v>3571</v>
      </c>
      <c r="C1143" s="299" t="s">
        <v>82</v>
      </c>
      <c r="D1143" s="300">
        <v>980.65</v>
      </c>
      <c r="E1143" s="350">
        <f t="shared" si="36"/>
        <v>795.21</v>
      </c>
      <c r="F1143" s="298" t="s">
        <v>3693</v>
      </c>
      <c r="G1143" s="301">
        <f t="shared" si="37"/>
        <v>826.46</v>
      </c>
    </row>
    <row r="1144" spans="1:7" x14ac:dyDescent="0.25">
      <c r="A1144" s="297">
        <v>42771</v>
      </c>
      <c r="B1144" s="298" t="s">
        <v>3572</v>
      </c>
      <c r="C1144" s="299" t="s">
        <v>82</v>
      </c>
      <c r="D1144" s="300">
        <v>963.49</v>
      </c>
      <c r="E1144" s="350">
        <f t="shared" si="36"/>
        <v>781.3</v>
      </c>
      <c r="F1144" s="298" t="s">
        <v>3693</v>
      </c>
      <c r="G1144" s="301">
        <f t="shared" si="37"/>
        <v>812.01</v>
      </c>
    </row>
    <row r="1145" spans="1:7" x14ac:dyDescent="0.25">
      <c r="A1145" s="297">
        <v>42772</v>
      </c>
      <c r="B1145" s="298" t="s">
        <v>3573</v>
      </c>
      <c r="C1145" s="299" t="s">
        <v>82</v>
      </c>
      <c r="D1145" s="300">
        <v>1317.2</v>
      </c>
      <c r="E1145" s="350">
        <f t="shared" si="36"/>
        <v>1068.1199999999999</v>
      </c>
      <c r="F1145" s="298" t="s">
        <v>3693</v>
      </c>
      <c r="G1145" s="301">
        <f t="shared" si="37"/>
        <v>1110.0999999999999</v>
      </c>
    </row>
    <row r="1146" spans="1:7" x14ac:dyDescent="0.25">
      <c r="A1146" s="297">
        <v>42773</v>
      </c>
      <c r="B1146" s="298" t="s">
        <v>3574</v>
      </c>
      <c r="C1146" s="299" t="s">
        <v>82</v>
      </c>
      <c r="D1146" s="300">
        <v>1263.8900000000001</v>
      </c>
      <c r="E1146" s="350">
        <f t="shared" si="36"/>
        <v>1024.8900000000001</v>
      </c>
      <c r="F1146" s="298" t="s">
        <v>3693</v>
      </c>
      <c r="G1146" s="301">
        <f t="shared" ref="G1146:G1206" si="38">ROUNDUP(E1146*$H$2,2)</f>
        <v>1065.17</v>
      </c>
    </row>
    <row r="1147" spans="1:7" x14ac:dyDescent="0.25">
      <c r="A1147" s="297">
        <v>42774</v>
      </c>
      <c r="B1147" s="298" t="s">
        <v>3575</v>
      </c>
      <c r="C1147" s="299" t="s">
        <v>82</v>
      </c>
      <c r="D1147" s="300">
        <v>1339.85</v>
      </c>
      <c r="E1147" s="350">
        <f t="shared" si="36"/>
        <v>1086.49</v>
      </c>
      <c r="F1147" s="298" t="s">
        <v>3693</v>
      </c>
      <c r="G1147" s="301">
        <f t="shared" si="38"/>
        <v>1129.19</v>
      </c>
    </row>
    <row r="1148" spans="1:7" x14ac:dyDescent="0.25">
      <c r="A1148" s="297">
        <v>42775</v>
      </c>
      <c r="B1148" s="298" t="s">
        <v>3576</v>
      </c>
      <c r="C1148" s="299" t="s">
        <v>82</v>
      </c>
      <c r="D1148" s="300">
        <v>1302.5</v>
      </c>
      <c r="E1148" s="350">
        <f t="shared" si="36"/>
        <v>1056.2</v>
      </c>
      <c r="F1148" s="298" t="s">
        <v>3693</v>
      </c>
      <c r="G1148" s="301">
        <f t="shared" si="38"/>
        <v>1097.71</v>
      </c>
    </row>
    <row r="1149" spans="1:7" x14ac:dyDescent="0.25">
      <c r="A1149" s="297">
        <v>42776</v>
      </c>
      <c r="B1149" s="298" t="s">
        <v>3577</v>
      </c>
      <c r="C1149" s="299" t="s">
        <v>82</v>
      </c>
      <c r="D1149" s="300">
        <v>239.3</v>
      </c>
      <c r="E1149" s="350">
        <f t="shared" si="36"/>
        <v>194.05</v>
      </c>
      <c r="F1149" s="298" t="s">
        <v>3693</v>
      </c>
      <c r="G1149" s="301">
        <f t="shared" si="38"/>
        <v>201.68</v>
      </c>
    </row>
    <row r="1150" spans="1:7" x14ac:dyDescent="0.25">
      <c r="A1150" s="297">
        <v>42777</v>
      </c>
      <c r="B1150" s="298" t="s">
        <v>3578</v>
      </c>
      <c r="C1150" s="299" t="s">
        <v>82</v>
      </c>
      <c r="D1150" s="300">
        <v>258.3</v>
      </c>
      <c r="E1150" s="350">
        <f t="shared" si="36"/>
        <v>209.46</v>
      </c>
      <c r="F1150" s="298" t="s">
        <v>3693</v>
      </c>
      <c r="G1150" s="301">
        <f t="shared" si="38"/>
        <v>217.7</v>
      </c>
    </row>
    <row r="1151" spans="1:7" x14ac:dyDescent="0.25">
      <c r="A1151" s="297">
        <v>42778</v>
      </c>
      <c r="B1151" s="298" t="s">
        <v>3579</v>
      </c>
      <c r="C1151" s="299" t="s">
        <v>82</v>
      </c>
      <c r="D1151" s="300">
        <v>242.43</v>
      </c>
      <c r="E1151" s="350">
        <f t="shared" si="36"/>
        <v>196.59</v>
      </c>
      <c r="F1151" s="298" t="s">
        <v>3693</v>
      </c>
      <c r="G1151" s="301">
        <f t="shared" si="38"/>
        <v>204.32</v>
      </c>
    </row>
    <row r="1152" spans="1:7" x14ac:dyDescent="0.25">
      <c r="A1152" s="297">
        <v>42779</v>
      </c>
      <c r="B1152" s="298" t="s">
        <v>3580</v>
      </c>
      <c r="C1152" s="299" t="s">
        <v>82</v>
      </c>
      <c r="D1152" s="300">
        <v>236.18</v>
      </c>
      <c r="E1152" s="350">
        <f t="shared" si="36"/>
        <v>191.52</v>
      </c>
      <c r="F1152" s="298" t="s">
        <v>3693</v>
      </c>
      <c r="G1152" s="301">
        <f t="shared" si="38"/>
        <v>199.05</v>
      </c>
    </row>
    <row r="1153" spans="1:7" x14ac:dyDescent="0.25">
      <c r="A1153" s="297">
        <v>42780</v>
      </c>
      <c r="B1153" s="298" t="s">
        <v>3581</v>
      </c>
      <c r="C1153" s="299" t="s">
        <v>82</v>
      </c>
      <c r="D1153" s="300">
        <v>569.65</v>
      </c>
      <c r="E1153" s="350">
        <f t="shared" ref="E1153:E1216" si="39">ROUNDUP(D1153/(1+$L$2),2)</f>
        <v>461.93</v>
      </c>
      <c r="F1153" s="298" t="s">
        <v>3693</v>
      </c>
      <c r="G1153" s="301">
        <f t="shared" si="38"/>
        <v>480.09</v>
      </c>
    </row>
    <row r="1154" spans="1:7" x14ac:dyDescent="0.25">
      <c r="A1154" s="297">
        <v>42781</v>
      </c>
      <c r="B1154" s="298" t="s">
        <v>3582</v>
      </c>
      <c r="C1154" s="299" t="s">
        <v>82</v>
      </c>
      <c r="D1154" s="300">
        <v>563.57000000000005</v>
      </c>
      <c r="E1154" s="350">
        <f t="shared" si="39"/>
        <v>457</v>
      </c>
      <c r="F1154" s="298" t="s">
        <v>3693</v>
      </c>
      <c r="G1154" s="301">
        <f t="shared" si="38"/>
        <v>474.96</v>
      </c>
    </row>
    <row r="1155" spans="1:7" x14ac:dyDescent="0.25">
      <c r="A1155" s="297">
        <v>42782</v>
      </c>
      <c r="B1155" s="298" t="s">
        <v>3583</v>
      </c>
      <c r="C1155" s="299" t="s">
        <v>82</v>
      </c>
      <c r="D1155" s="300">
        <v>580.36</v>
      </c>
      <c r="E1155" s="350">
        <f t="shared" si="39"/>
        <v>470.62</v>
      </c>
      <c r="F1155" s="298" t="s">
        <v>3693</v>
      </c>
      <c r="G1155" s="301">
        <f t="shared" si="38"/>
        <v>489.12</v>
      </c>
    </row>
    <row r="1156" spans="1:7" x14ac:dyDescent="0.25">
      <c r="A1156" s="297">
        <v>42783</v>
      </c>
      <c r="B1156" s="298" t="s">
        <v>3584</v>
      </c>
      <c r="C1156" s="299" t="s">
        <v>82</v>
      </c>
      <c r="D1156" s="300">
        <v>555.85</v>
      </c>
      <c r="E1156" s="350">
        <f t="shared" si="39"/>
        <v>450.74</v>
      </c>
      <c r="F1156" s="298" t="s">
        <v>3693</v>
      </c>
      <c r="G1156" s="301">
        <f t="shared" si="38"/>
        <v>468.46</v>
      </c>
    </row>
    <row r="1157" spans="1:7" x14ac:dyDescent="0.25">
      <c r="A1157" s="297">
        <v>42784</v>
      </c>
      <c r="B1157" s="298" t="s">
        <v>3585</v>
      </c>
      <c r="C1157" s="299" t="s">
        <v>82</v>
      </c>
      <c r="D1157" s="300">
        <v>650.72</v>
      </c>
      <c r="E1157" s="350">
        <f t="shared" si="39"/>
        <v>527.66999999999996</v>
      </c>
      <c r="F1157" s="298" t="s">
        <v>3693</v>
      </c>
      <c r="G1157" s="301">
        <f t="shared" si="38"/>
        <v>548.41</v>
      </c>
    </row>
    <row r="1158" spans="1:7" x14ac:dyDescent="0.25">
      <c r="A1158" s="297">
        <v>42785</v>
      </c>
      <c r="B1158" s="298" t="s">
        <v>3586</v>
      </c>
      <c r="C1158" s="299" t="s">
        <v>82</v>
      </c>
      <c r="D1158" s="300">
        <v>639.9</v>
      </c>
      <c r="E1158" s="350">
        <f t="shared" si="39"/>
        <v>518.9</v>
      </c>
      <c r="F1158" s="298" t="s">
        <v>3693</v>
      </c>
      <c r="G1158" s="301">
        <f t="shared" si="38"/>
        <v>539.29999999999995</v>
      </c>
    </row>
    <row r="1159" spans="1:7" x14ac:dyDescent="0.25">
      <c r="A1159" s="297">
        <v>42786</v>
      </c>
      <c r="B1159" s="298" t="s">
        <v>3587</v>
      </c>
      <c r="C1159" s="299" t="s">
        <v>82</v>
      </c>
      <c r="D1159" s="300">
        <v>689.35</v>
      </c>
      <c r="E1159" s="350">
        <f t="shared" si="39"/>
        <v>559</v>
      </c>
      <c r="F1159" s="298" t="s">
        <v>3693</v>
      </c>
      <c r="G1159" s="301">
        <f t="shared" si="38"/>
        <v>580.97</v>
      </c>
    </row>
    <row r="1160" spans="1:7" x14ac:dyDescent="0.25">
      <c r="A1160" s="297">
        <v>42787</v>
      </c>
      <c r="B1160" s="298" t="s">
        <v>3588</v>
      </c>
      <c r="C1160" s="299" t="s">
        <v>82</v>
      </c>
      <c r="D1160" s="300">
        <v>672.2</v>
      </c>
      <c r="E1160" s="350">
        <f t="shared" si="39"/>
        <v>545.09</v>
      </c>
      <c r="F1160" s="298" t="s">
        <v>3693</v>
      </c>
      <c r="G1160" s="301">
        <f t="shared" si="38"/>
        <v>566.52</v>
      </c>
    </row>
    <row r="1161" spans="1:7" x14ac:dyDescent="0.25">
      <c r="A1161" s="297">
        <v>42788</v>
      </c>
      <c r="B1161" s="298" t="s">
        <v>3589</v>
      </c>
      <c r="C1161" s="299" t="s">
        <v>82</v>
      </c>
      <c r="D1161" s="300">
        <v>770.5</v>
      </c>
      <c r="E1161" s="350">
        <f t="shared" si="39"/>
        <v>624.79999999999995</v>
      </c>
      <c r="F1161" s="298" t="s">
        <v>3693</v>
      </c>
      <c r="G1161" s="301">
        <f t="shared" si="38"/>
        <v>649.36</v>
      </c>
    </row>
    <row r="1162" spans="1:7" x14ac:dyDescent="0.25">
      <c r="A1162" s="297">
        <v>42789</v>
      </c>
      <c r="B1162" s="298" t="s">
        <v>3590</v>
      </c>
      <c r="C1162" s="299" t="s">
        <v>82</v>
      </c>
      <c r="D1162" s="300">
        <v>922.59</v>
      </c>
      <c r="E1162" s="350">
        <f t="shared" si="39"/>
        <v>748.13</v>
      </c>
      <c r="F1162" s="298" t="s">
        <v>3693</v>
      </c>
      <c r="G1162" s="301">
        <f t="shared" si="38"/>
        <v>777.53</v>
      </c>
    </row>
    <row r="1163" spans="1:7" x14ac:dyDescent="0.25">
      <c r="A1163" s="297">
        <v>42790</v>
      </c>
      <c r="B1163" s="298" t="s">
        <v>3591</v>
      </c>
      <c r="C1163" s="299" t="s">
        <v>82</v>
      </c>
      <c r="D1163" s="300">
        <v>869.28</v>
      </c>
      <c r="E1163" s="350">
        <f t="shared" si="39"/>
        <v>704.9</v>
      </c>
      <c r="F1163" s="298" t="s">
        <v>3693</v>
      </c>
      <c r="G1163" s="301">
        <f t="shared" si="38"/>
        <v>732.61</v>
      </c>
    </row>
    <row r="1164" spans="1:7" x14ac:dyDescent="0.25">
      <c r="A1164" s="297">
        <v>42791</v>
      </c>
      <c r="B1164" s="298" t="s">
        <v>3592</v>
      </c>
      <c r="C1164" s="299" t="s">
        <v>82</v>
      </c>
      <c r="D1164" s="300">
        <v>945.24</v>
      </c>
      <c r="E1164" s="350">
        <f t="shared" si="39"/>
        <v>766.5</v>
      </c>
      <c r="F1164" s="298" t="s">
        <v>3693</v>
      </c>
      <c r="G1164" s="301">
        <f t="shared" si="38"/>
        <v>796.63</v>
      </c>
    </row>
    <row r="1165" spans="1:7" x14ac:dyDescent="0.25">
      <c r="A1165" s="297">
        <v>42792</v>
      </c>
      <c r="B1165" s="298" t="s">
        <v>3593</v>
      </c>
      <c r="C1165" s="299" t="s">
        <v>82</v>
      </c>
      <c r="D1165" s="300">
        <v>907.89</v>
      </c>
      <c r="E1165" s="350">
        <f t="shared" si="39"/>
        <v>736.21</v>
      </c>
      <c r="F1165" s="298" t="s">
        <v>3693</v>
      </c>
      <c r="G1165" s="301">
        <f t="shared" si="38"/>
        <v>765.15</v>
      </c>
    </row>
    <row r="1166" spans="1:7" x14ac:dyDescent="0.25">
      <c r="A1166" s="297">
        <v>42793</v>
      </c>
      <c r="B1166" s="298" t="s">
        <v>3594</v>
      </c>
      <c r="C1166" s="299" t="s">
        <v>82</v>
      </c>
      <c r="D1166" s="300">
        <v>1108.56</v>
      </c>
      <c r="E1166" s="350">
        <f t="shared" si="39"/>
        <v>898.93</v>
      </c>
      <c r="F1166" s="298" t="s">
        <v>3693</v>
      </c>
      <c r="G1166" s="301">
        <f t="shared" si="38"/>
        <v>934.26</v>
      </c>
    </row>
    <row r="1167" spans="1:7" x14ac:dyDescent="0.25">
      <c r="A1167" s="297">
        <v>42794</v>
      </c>
      <c r="B1167" s="298" t="s">
        <v>3595</v>
      </c>
      <c r="C1167" s="299" t="s">
        <v>82</v>
      </c>
      <c r="D1167" s="300">
        <v>1171.05</v>
      </c>
      <c r="E1167" s="350">
        <f t="shared" si="39"/>
        <v>949.61</v>
      </c>
      <c r="F1167" s="298" t="s">
        <v>3693</v>
      </c>
      <c r="G1167" s="301">
        <f t="shared" si="38"/>
        <v>986.93</v>
      </c>
    </row>
    <row r="1168" spans="1:7" x14ac:dyDescent="0.25">
      <c r="A1168" s="297">
        <v>42758</v>
      </c>
      <c r="B1168" s="298" t="s">
        <v>3596</v>
      </c>
      <c r="C1168" s="299" t="s">
        <v>82</v>
      </c>
      <c r="D1168" s="300">
        <v>1161.81</v>
      </c>
      <c r="E1168" s="350">
        <f t="shared" si="39"/>
        <v>942.11</v>
      </c>
      <c r="F1168" s="298" t="s">
        <v>3693</v>
      </c>
      <c r="G1168" s="301">
        <f t="shared" si="38"/>
        <v>979.14</v>
      </c>
    </row>
    <row r="1169" spans="1:7" x14ac:dyDescent="0.25">
      <c r="A1169" s="297">
        <v>42795</v>
      </c>
      <c r="B1169" s="298" t="s">
        <v>3597</v>
      </c>
      <c r="C1169" s="299" t="s">
        <v>82</v>
      </c>
      <c r="D1169" s="300">
        <v>1169.33</v>
      </c>
      <c r="E1169" s="350">
        <f t="shared" si="39"/>
        <v>948.21</v>
      </c>
      <c r="F1169" s="298" t="s">
        <v>3693</v>
      </c>
      <c r="G1169" s="301">
        <f t="shared" si="38"/>
        <v>985.48</v>
      </c>
    </row>
    <row r="1170" spans="1:7" x14ac:dyDescent="0.25">
      <c r="A1170" s="297">
        <v>42796</v>
      </c>
      <c r="B1170" s="298" t="s">
        <v>3598</v>
      </c>
      <c r="C1170" s="299" t="s">
        <v>82</v>
      </c>
      <c r="D1170" s="300">
        <v>1210.95</v>
      </c>
      <c r="E1170" s="350">
        <f t="shared" si="39"/>
        <v>981.96</v>
      </c>
      <c r="F1170" s="298" t="s">
        <v>3693</v>
      </c>
      <c r="G1170" s="301">
        <f t="shared" si="38"/>
        <v>1020.55</v>
      </c>
    </row>
    <row r="1171" spans="1:7" x14ac:dyDescent="0.25">
      <c r="A1171" s="297">
        <v>42797</v>
      </c>
      <c r="B1171" s="298" t="s">
        <v>3599</v>
      </c>
      <c r="C1171" s="299" t="s">
        <v>82</v>
      </c>
      <c r="D1171" s="300">
        <v>1559.19</v>
      </c>
      <c r="E1171" s="350">
        <f t="shared" si="39"/>
        <v>1264.3499999999999</v>
      </c>
      <c r="F1171" s="298" t="s">
        <v>3693</v>
      </c>
      <c r="G1171" s="301">
        <f t="shared" si="38"/>
        <v>1314.04</v>
      </c>
    </row>
    <row r="1172" spans="1:7" x14ac:dyDescent="0.25">
      <c r="A1172" s="297">
        <v>42798</v>
      </c>
      <c r="B1172" s="298" t="s">
        <v>3600</v>
      </c>
      <c r="C1172" s="299" t="s">
        <v>82</v>
      </c>
      <c r="D1172" s="300">
        <v>713.4</v>
      </c>
      <c r="E1172" s="350">
        <f t="shared" si="39"/>
        <v>578.5</v>
      </c>
      <c r="F1172" s="298" t="s">
        <v>3693</v>
      </c>
      <c r="G1172" s="301">
        <f t="shared" si="38"/>
        <v>601.24</v>
      </c>
    </row>
    <row r="1173" spans="1:7" x14ac:dyDescent="0.25">
      <c r="A1173" s="297">
        <v>42799</v>
      </c>
      <c r="B1173" s="298" t="s">
        <v>3601</v>
      </c>
      <c r="C1173" s="299" t="s">
        <v>82</v>
      </c>
      <c r="D1173" s="300">
        <v>770.41</v>
      </c>
      <c r="E1173" s="350">
        <f t="shared" si="39"/>
        <v>624.73</v>
      </c>
      <c r="F1173" s="298" t="s">
        <v>3693</v>
      </c>
      <c r="G1173" s="301">
        <f t="shared" si="38"/>
        <v>649.28</v>
      </c>
    </row>
    <row r="1174" spans="1:7" x14ac:dyDescent="0.25">
      <c r="A1174" s="297">
        <v>42800</v>
      </c>
      <c r="B1174" s="298" t="s">
        <v>3602</v>
      </c>
      <c r="C1174" s="299" t="s">
        <v>82</v>
      </c>
      <c r="D1174" s="300">
        <v>722.8</v>
      </c>
      <c r="E1174" s="350">
        <f t="shared" si="39"/>
        <v>586.12</v>
      </c>
      <c r="F1174" s="298" t="s">
        <v>3693</v>
      </c>
      <c r="G1174" s="301">
        <f t="shared" si="38"/>
        <v>609.16</v>
      </c>
    </row>
    <row r="1175" spans="1:7" x14ac:dyDescent="0.25">
      <c r="A1175" s="297">
        <v>42801</v>
      </c>
      <c r="B1175" s="298" t="s">
        <v>3603</v>
      </c>
      <c r="C1175" s="299" t="s">
        <v>82</v>
      </c>
      <c r="D1175" s="300">
        <v>704.04</v>
      </c>
      <c r="E1175" s="350">
        <f t="shared" si="39"/>
        <v>570.91</v>
      </c>
      <c r="F1175" s="298" t="s">
        <v>3693</v>
      </c>
      <c r="G1175" s="301">
        <f t="shared" si="38"/>
        <v>593.35</v>
      </c>
    </row>
    <row r="1176" spans="1:7" x14ac:dyDescent="0.25">
      <c r="A1176" s="297">
        <v>42802</v>
      </c>
      <c r="B1176" s="298" t="s">
        <v>3604</v>
      </c>
      <c r="C1176" s="299" t="s">
        <v>82</v>
      </c>
      <c r="D1176" s="300">
        <v>1468.65</v>
      </c>
      <c r="E1176" s="350">
        <f t="shared" si="39"/>
        <v>1190.93</v>
      </c>
      <c r="F1176" s="298" t="s">
        <v>3693</v>
      </c>
      <c r="G1176" s="301">
        <f t="shared" si="38"/>
        <v>1237.73</v>
      </c>
    </row>
    <row r="1177" spans="1:7" x14ac:dyDescent="0.25">
      <c r="A1177" s="297">
        <v>42803</v>
      </c>
      <c r="B1177" s="298" t="s">
        <v>3605</v>
      </c>
      <c r="C1177" s="299" t="s">
        <v>82</v>
      </c>
      <c r="D1177" s="300">
        <v>1450.41</v>
      </c>
      <c r="E1177" s="350">
        <f t="shared" si="39"/>
        <v>1176.1400000000001</v>
      </c>
      <c r="F1177" s="298" t="s">
        <v>3693</v>
      </c>
      <c r="G1177" s="301">
        <f t="shared" si="38"/>
        <v>1222.3599999999999</v>
      </c>
    </row>
    <row r="1178" spans="1:7" x14ac:dyDescent="0.25">
      <c r="A1178" s="297">
        <v>42804</v>
      </c>
      <c r="B1178" s="298" t="s">
        <v>3606</v>
      </c>
      <c r="C1178" s="299" t="s">
        <v>82</v>
      </c>
      <c r="D1178" s="300">
        <v>1500.8</v>
      </c>
      <c r="E1178" s="350">
        <f t="shared" si="39"/>
        <v>1217</v>
      </c>
      <c r="F1178" s="298" t="s">
        <v>3693</v>
      </c>
      <c r="G1178" s="301">
        <f t="shared" si="38"/>
        <v>1264.83</v>
      </c>
    </row>
    <row r="1179" spans="1:7" x14ac:dyDescent="0.25">
      <c r="A1179" s="297">
        <v>42805</v>
      </c>
      <c r="B1179" s="298" t="s">
        <v>3607</v>
      </c>
      <c r="C1179" s="299" t="s">
        <v>82</v>
      </c>
      <c r="D1179" s="300">
        <v>1427.25</v>
      </c>
      <c r="E1179" s="350">
        <f t="shared" si="39"/>
        <v>1157.3599999999999</v>
      </c>
      <c r="F1179" s="298" t="s">
        <v>3693</v>
      </c>
      <c r="G1179" s="301">
        <f t="shared" si="38"/>
        <v>1202.8499999999999</v>
      </c>
    </row>
    <row r="1180" spans="1:7" x14ac:dyDescent="0.25">
      <c r="A1180" s="297">
        <v>42806</v>
      </c>
      <c r="B1180" s="298" t="s">
        <v>3608</v>
      </c>
      <c r="C1180" s="299" t="s">
        <v>82</v>
      </c>
      <c r="D1180" s="300">
        <v>1711.86</v>
      </c>
      <c r="E1180" s="350">
        <f t="shared" si="39"/>
        <v>1388.15</v>
      </c>
      <c r="F1180" s="298" t="s">
        <v>3693</v>
      </c>
      <c r="G1180" s="301">
        <f t="shared" si="38"/>
        <v>1442.7</v>
      </c>
    </row>
    <row r="1181" spans="1:7" x14ac:dyDescent="0.25">
      <c r="A1181" s="297">
        <v>42807</v>
      </c>
      <c r="B1181" s="298" t="s">
        <v>3609</v>
      </c>
      <c r="C1181" s="299" t="s">
        <v>82</v>
      </c>
      <c r="D1181" s="300">
        <v>1679.42</v>
      </c>
      <c r="E1181" s="350">
        <f t="shared" si="39"/>
        <v>1361.84</v>
      </c>
      <c r="F1181" s="298" t="s">
        <v>3693</v>
      </c>
      <c r="G1181" s="301">
        <f t="shared" si="38"/>
        <v>1415.36</v>
      </c>
    </row>
    <row r="1182" spans="1:7" x14ac:dyDescent="0.25">
      <c r="A1182" s="297">
        <v>42808</v>
      </c>
      <c r="B1182" s="298" t="s">
        <v>3610</v>
      </c>
      <c r="C1182" s="299" t="s">
        <v>82</v>
      </c>
      <c r="D1182" s="300">
        <v>1827.77</v>
      </c>
      <c r="E1182" s="350">
        <f t="shared" si="39"/>
        <v>1482.14</v>
      </c>
      <c r="F1182" s="298" t="s">
        <v>3693</v>
      </c>
      <c r="G1182" s="301">
        <f t="shared" si="38"/>
        <v>1540.39</v>
      </c>
    </row>
    <row r="1183" spans="1:7" x14ac:dyDescent="0.25">
      <c r="A1183" s="297">
        <v>42809</v>
      </c>
      <c r="B1183" s="298" t="s">
        <v>3611</v>
      </c>
      <c r="C1183" s="299" t="s">
        <v>82</v>
      </c>
      <c r="D1183" s="300">
        <v>1776.31</v>
      </c>
      <c r="E1183" s="350">
        <f t="shared" si="39"/>
        <v>1440.41</v>
      </c>
      <c r="F1183" s="298" t="s">
        <v>3693</v>
      </c>
      <c r="G1183" s="301">
        <f t="shared" si="38"/>
        <v>1497.02</v>
      </c>
    </row>
    <row r="1184" spans="1:7" x14ac:dyDescent="0.25">
      <c r="A1184" s="297">
        <v>42810</v>
      </c>
      <c r="B1184" s="298" t="s">
        <v>3612</v>
      </c>
      <c r="C1184" s="299" t="s">
        <v>82</v>
      </c>
      <c r="D1184" s="300">
        <v>2071.1999999999998</v>
      </c>
      <c r="E1184" s="350">
        <f t="shared" si="39"/>
        <v>1679.54</v>
      </c>
      <c r="F1184" s="298" t="s">
        <v>3693</v>
      </c>
      <c r="G1184" s="301">
        <f t="shared" si="38"/>
        <v>1745.55</v>
      </c>
    </row>
    <row r="1185" spans="1:7" x14ac:dyDescent="0.25">
      <c r="A1185" s="297">
        <v>42811</v>
      </c>
      <c r="B1185" s="298" t="s">
        <v>3613</v>
      </c>
      <c r="C1185" s="299" t="s">
        <v>82</v>
      </c>
      <c r="D1185" s="300">
        <v>2527.54</v>
      </c>
      <c r="E1185" s="350">
        <f t="shared" si="39"/>
        <v>2049.58</v>
      </c>
      <c r="F1185" s="298" t="s">
        <v>3693</v>
      </c>
      <c r="G1185" s="301">
        <f t="shared" si="38"/>
        <v>2130.13</v>
      </c>
    </row>
    <row r="1186" spans="1:7" x14ac:dyDescent="0.25">
      <c r="A1186" s="297">
        <v>42812</v>
      </c>
      <c r="B1186" s="298" t="s">
        <v>3614</v>
      </c>
      <c r="C1186" s="299" t="s">
        <v>82</v>
      </c>
      <c r="D1186" s="300">
        <v>2367.6</v>
      </c>
      <c r="E1186" s="350">
        <f t="shared" si="39"/>
        <v>1919.89</v>
      </c>
      <c r="F1186" s="298" t="s">
        <v>3693</v>
      </c>
      <c r="G1186" s="301">
        <f t="shared" si="38"/>
        <v>1995.34</v>
      </c>
    </row>
    <row r="1187" spans="1:7" x14ac:dyDescent="0.25">
      <c r="A1187" s="297">
        <v>42813</v>
      </c>
      <c r="B1187" s="298" t="s">
        <v>3615</v>
      </c>
      <c r="C1187" s="299" t="s">
        <v>82</v>
      </c>
      <c r="D1187" s="300">
        <v>2595.5</v>
      </c>
      <c r="E1187" s="350">
        <f t="shared" si="39"/>
        <v>2104.69</v>
      </c>
      <c r="F1187" s="298" t="s">
        <v>3693</v>
      </c>
      <c r="G1187" s="301">
        <f t="shared" si="38"/>
        <v>2187.4</v>
      </c>
    </row>
    <row r="1188" spans="1:7" x14ac:dyDescent="0.25">
      <c r="A1188" s="297">
        <v>42814</v>
      </c>
      <c r="B1188" s="298" t="s">
        <v>3616</v>
      </c>
      <c r="C1188" s="299" t="s">
        <v>82</v>
      </c>
      <c r="D1188" s="300">
        <v>2483.44</v>
      </c>
      <c r="E1188" s="350">
        <f t="shared" si="39"/>
        <v>2013.82</v>
      </c>
      <c r="F1188" s="298" t="s">
        <v>3693</v>
      </c>
      <c r="G1188" s="301">
        <f t="shared" si="38"/>
        <v>2092.96</v>
      </c>
    </row>
    <row r="1189" spans="1:7" x14ac:dyDescent="0.25">
      <c r="A1189" s="297">
        <v>42815</v>
      </c>
      <c r="B1189" s="298" t="s">
        <v>3617</v>
      </c>
      <c r="C1189" s="299" t="s">
        <v>82</v>
      </c>
      <c r="D1189" s="300">
        <v>3085.44</v>
      </c>
      <c r="E1189" s="350">
        <f t="shared" si="39"/>
        <v>2501.98</v>
      </c>
      <c r="F1189" s="298" t="s">
        <v>3693</v>
      </c>
      <c r="G1189" s="301">
        <f t="shared" si="38"/>
        <v>2600.3000000000002</v>
      </c>
    </row>
    <row r="1190" spans="1:7" x14ac:dyDescent="0.25">
      <c r="A1190" s="297">
        <v>42816</v>
      </c>
      <c r="B1190" s="298" t="s">
        <v>3618</v>
      </c>
      <c r="C1190" s="299" t="s">
        <v>82</v>
      </c>
      <c r="D1190" s="300">
        <v>3272.91</v>
      </c>
      <c r="E1190" s="350">
        <f t="shared" si="39"/>
        <v>2654</v>
      </c>
      <c r="F1190" s="298" t="s">
        <v>3693</v>
      </c>
      <c r="G1190" s="301">
        <f t="shared" si="38"/>
        <v>2758.3</v>
      </c>
    </row>
    <row r="1191" spans="1:7" x14ac:dyDescent="0.25">
      <c r="A1191" s="297">
        <v>42817</v>
      </c>
      <c r="B1191" s="298" t="s">
        <v>3619</v>
      </c>
      <c r="C1191" s="299" t="s">
        <v>82</v>
      </c>
      <c r="D1191" s="300">
        <v>3245.16</v>
      </c>
      <c r="E1191" s="350">
        <f t="shared" si="39"/>
        <v>2631.5</v>
      </c>
      <c r="F1191" s="298" t="s">
        <v>3693</v>
      </c>
      <c r="G1191" s="301">
        <f t="shared" si="38"/>
        <v>2734.91</v>
      </c>
    </row>
    <row r="1192" spans="1:7" x14ac:dyDescent="0.25">
      <c r="A1192" s="297">
        <v>42818</v>
      </c>
      <c r="B1192" s="298" t="s">
        <v>3620</v>
      </c>
      <c r="C1192" s="299" t="s">
        <v>82</v>
      </c>
      <c r="D1192" s="300">
        <v>3267.73</v>
      </c>
      <c r="E1192" s="350">
        <f t="shared" si="39"/>
        <v>2649.8</v>
      </c>
      <c r="F1192" s="298" t="s">
        <v>3693</v>
      </c>
      <c r="G1192" s="301">
        <f t="shared" si="38"/>
        <v>2753.93</v>
      </c>
    </row>
    <row r="1193" spans="1:7" x14ac:dyDescent="0.25">
      <c r="A1193" s="297">
        <v>42819</v>
      </c>
      <c r="B1193" s="298" t="s">
        <v>3621</v>
      </c>
      <c r="C1193" s="299" t="s">
        <v>82</v>
      </c>
      <c r="D1193" s="300">
        <v>3392.59</v>
      </c>
      <c r="E1193" s="350">
        <f t="shared" si="39"/>
        <v>2751.05</v>
      </c>
      <c r="F1193" s="298" t="s">
        <v>3693</v>
      </c>
      <c r="G1193" s="301">
        <f t="shared" si="38"/>
        <v>2859.16</v>
      </c>
    </row>
    <row r="1194" spans="1:7" x14ac:dyDescent="0.25">
      <c r="A1194" s="297">
        <v>42820</v>
      </c>
      <c r="B1194" s="298" t="s">
        <v>3622</v>
      </c>
      <c r="C1194" s="299" t="s">
        <v>82</v>
      </c>
      <c r="D1194" s="300">
        <v>4437.32</v>
      </c>
      <c r="E1194" s="350">
        <f t="shared" si="39"/>
        <v>3598.22</v>
      </c>
      <c r="F1194" s="298" t="s">
        <v>3693</v>
      </c>
      <c r="G1194" s="301">
        <f t="shared" si="38"/>
        <v>3739.62</v>
      </c>
    </row>
    <row r="1195" spans="1:7" x14ac:dyDescent="0.25">
      <c r="A1195" s="297">
        <v>41321</v>
      </c>
      <c r="B1195" s="298" t="s">
        <v>3623</v>
      </c>
      <c r="C1195" s="299" t="s">
        <v>82</v>
      </c>
      <c r="D1195" s="300">
        <v>7398.52</v>
      </c>
      <c r="E1195" s="350">
        <f t="shared" si="39"/>
        <v>5999.45</v>
      </c>
      <c r="F1195" s="298" t="s">
        <v>98</v>
      </c>
      <c r="G1195" s="301">
        <f t="shared" si="38"/>
        <v>6235.21</v>
      </c>
    </row>
    <row r="1196" spans="1:7" x14ac:dyDescent="0.25">
      <c r="A1196" s="297">
        <v>42821</v>
      </c>
      <c r="B1196" s="298" t="s">
        <v>3808</v>
      </c>
      <c r="C1196" s="299" t="s">
        <v>82</v>
      </c>
      <c r="D1196" s="300">
        <v>5741.56</v>
      </c>
      <c r="E1196" s="350">
        <f t="shared" si="39"/>
        <v>4655.83</v>
      </c>
      <c r="F1196" s="298" t="s">
        <v>98</v>
      </c>
      <c r="G1196" s="301">
        <f t="shared" si="38"/>
        <v>4838.79</v>
      </c>
    </row>
    <row r="1197" spans="1:7" x14ac:dyDescent="0.25">
      <c r="A1197" s="297">
        <v>42822</v>
      </c>
      <c r="B1197" s="298" t="s">
        <v>3809</v>
      </c>
      <c r="C1197" s="299" t="s">
        <v>82</v>
      </c>
      <c r="D1197" s="300">
        <v>6139.15</v>
      </c>
      <c r="E1197" s="350">
        <f t="shared" si="39"/>
        <v>4978.2299999999996</v>
      </c>
      <c r="F1197" s="298" t="s">
        <v>98</v>
      </c>
      <c r="G1197" s="301">
        <f t="shared" si="38"/>
        <v>5173.8599999999997</v>
      </c>
    </row>
    <row r="1198" spans="1:7" x14ac:dyDescent="0.25">
      <c r="A1198" s="297">
        <v>42823</v>
      </c>
      <c r="B1198" s="298" t="s">
        <v>3811</v>
      </c>
      <c r="C1198" s="299" t="s">
        <v>82</v>
      </c>
      <c r="D1198" s="300">
        <v>8971.36</v>
      </c>
      <c r="E1198" s="350">
        <f t="shared" si="39"/>
        <v>7274.87</v>
      </c>
      <c r="F1198" s="298" t="s">
        <v>98</v>
      </c>
      <c r="G1198" s="301">
        <f t="shared" si="38"/>
        <v>7560.75</v>
      </c>
    </row>
    <row r="1199" spans="1:7" x14ac:dyDescent="0.25">
      <c r="A1199" s="297">
        <v>42824</v>
      </c>
      <c r="B1199" s="298" t="s">
        <v>3813</v>
      </c>
      <c r="C1199" s="299" t="s">
        <v>82</v>
      </c>
      <c r="D1199" s="300">
        <v>8422.92</v>
      </c>
      <c r="E1199" s="350">
        <f t="shared" si="39"/>
        <v>6830.14</v>
      </c>
      <c r="F1199" s="298" t="s">
        <v>98</v>
      </c>
      <c r="G1199" s="301">
        <f t="shared" si="38"/>
        <v>7098.55</v>
      </c>
    </row>
    <row r="1200" spans="1:7" x14ac:dyDescent="0.25">
      <c r="A1200" s="297">
        <v>42825</v>
      </c>
      <c r="B1200" s="298" t="s">
        <v>3814</v>
      </c>
      <c r="C1200" s="299" t="s">
        <v>82</v>
      </c>
      <c r="D1200" s="300">
        <v>9723.23</v>
      </c>
      <c r="E1200" s="350">
        <f t="shared" si="39"/>
        <v>7884.56</v>
      </c>
      <c r="F1200" s="298" t="s">
        <v>98</v>
      </c>
      <c r="G1200" s="301">
        <f t="shared" si="38"/>
        <v>8194.4</v>
      </c>
    </row>
    <row r="1201" spans="1:7" x14ac:dyDescent="0.25">
      <c r="A1201" s="297">
        <v>40600</v>
      </c>
      <c r="B1201" s="298" t="s">
        <v>3624</v>
      </c>
      <c r="C1201" s="299" t="s">
        <v>82</v>
      </c>
      <c r="D1201" s="300">
        <v>13152.8</v>
      </c>
      <c r="E1201" s="350">
        <f t="shared" si="39"/>
        <v>10665.59</v>
      </c>
      <c r="F1201" s="298" t="s">
        <v>98</v>
      </c>
      <c r="G1201" s="301">
        <f t="shared" si="38"/>
        <v>11084.72</v>
      </c>
    </row>
    <row r="1202" spans="1:7" x14ac:dyDescent="0.25">
      <c r="A1202" s="297">
        <v>42827</v>
      </c>
      <c r="B1202" s="298" t="s">
        <v>3815</v>
      </c>
      <c r="C1202" s="299" t="s">
        <v>82</v>
      </c>
      <c r="D1202" s="300">
        <v>14178.98</v>
      </c>
      <c r="E1202" s="350">
        <f t="shared" si="39"/>
        <v>11497.72</v>
      </c>
      <c r="F1202" s="298" t="s">
        <v>98</v>
      </c>
      <c r="G1202" s="301">
        <f t="shared" si="38"/>
        <v>11949.55</v>
      </c>
    </row>
    <row r="1203" spans="1:7" x14ac:dyDescent="0.25">
      <c r="A1203" s="297">
        <v>42826</v>
      </c>
      <c r="B1203" s="298" t="s">
        <v>3817</v>
      </c>
      <c r="C1203" s="299" t="s">
        <v>82</v>
      </c>
      <c r="D1203" s="300">
        <v>11787.83</v>
      </c>
      <c r="E1203" s="350">
        <f t="shared" si="39"/>
        <v>9558.74</v>
      </c>
      <c r="F1203" s="298" t="s">
        <v>98</v>
      </c>
      <c r="G1203" s="301">
        <f t="shared" si="38"/>
        <v>9934.3700000000008</v>
      </c>
    </row>
    <row r="1204" spans="1:7" x14ac:dyDescent="0.25">
      <c r="A1204" s="297">
        <v>42828</v>
      </c>
      <c r="B1204" s="298" t="s">
        <v>3818</v>
      </c>
      <c r="C1204" s="299" t="s">
        <v>82</v>
      </c>
      <c r="D1204" s="300">
        <v>12893.94</v>
      </c>
      <c r="E1204" s="350">
        <f t="shared" si="39"/>
        <v>10455.68</v>
      </c>
      <c r="F1204" s="298" t="s">
        <v>98</v>
      </c>
      <c r="G1204" s="301">
        <f t="shared" si="38"/>
        <v>10866.56</v>
      </c>
    </row>
    <row r="1205" spans="1:7" x14ac:dyDescent="0.25">
      <c r="A1205" s="297">
        <v>42830</v>
      </c>
      <c r="B1205" s="298" t="s">
        <v>3819</v>
      </c>
      <c r="C1205" s="299" t="s">
        <v>82</v>
      </c>
      <c r="D1205" s="300">
        <v>12838.25</v>
      </c>
      <c r="E1205" s="350">
        <f t="shared" si="39"/>
        <v>10410.52</v>
      </c>
      <c r="F1205" s="298" t="s">
        <v>98</v>
      </c>
      <c r="G1205" s="301">
        <f t="shared" si="38"/>
        <v>10819.62</v>
      </c>
    </row>
    <row r="1206" spans="1:7" x14ac:dyDescent="0.25">
      <c r="A1206" s="297">
        <v>42829</v>
      </c>
      <c r="B1206" s="298" t="s">
        <v>3821</v>
      </c>
      <c r="C1206" s="299" t="s">
        <v>82</v>
      </c>
      <c r="D1206" s="300">
        <v>11475.75</v>
      </c>
      <c r="E1206" s="350">
        <f t="shared" si="39"/>
        <v>9305.67</v>
      </c>
      <c r="F1206" s="298" t="s">
        <v>98</v>
      </c>
      <c r="G1206" s="301">
        <f t="shared" si="38"/>
        <v>9671.36</v>
      </c>
    </row>
    <row r="1207" spans="1:7" x14ac:dyDescent="0.25">
      <c r="A1207" s="297">
        <v>42831</v>
      </c>
      <c r="B1207" s="298" t="s">
        <v>3822</v>
      </c>
      <c r="C1207" s="299" t="s">
        <v>82</v>
      </c>
      <c r="D1207" s="300">
        <v>13678.42</v>
      </c>
      <c r="E1207" s="350">
        <f t="shared" si="39"/>
        <v>11091.81</v>
      </c>
      <c r="F1207" s="298" t="s">
        <v>98</v>
      </c>
      <c r="G1207" s="301">
        <f t="shared" ref="G1207:G1264" si="40">ROUNDUP(E1207*$H$2,2)</f>
        <v>11527.68</v>
      </c>
    </row>
    <row r="1208" spans="1:7" x14ac:dyDescent="0.25">
      <c r="A1208" s="297">
        <v>42832</v>
      </c>
      <c r="B1208" s="298" t="s">
        <v>3823</v>
      </c>
      <c r="C1208" s="299" t="s">
        <v>82</v>
      </c>
      <c r="D1208" s="300">
        <v>15188.73</v>
      </c>
      <c r="E1208" s="350">
        <f t="shared" si="39"/>
        <v>12316.52</v>
      </c>
      <c r="F1208" s="298" t="s">
        <v>98</v>
      </c>
      <c r="G1208" s="301">
        <f t="shared" si="40"/>
        <v>12800.52</v>
      </c>
    </row>
    <row r="1209" spans="1:7" x14ac:dyDescent="0.25">
      <c r="A1209" s="297">
        <v>42834</v>
      </c>
      <c r="B1209" s="298" t="s">
        <v>3825</v>
      </c>
      <c r="C1209" s="299" t="s">
        <v>82</v>
      </c>
      <c r="D1209" s="300">
        <v>15990.3</v>
      </c>
      <c r="E1209" s="350">
        <f t="shared" si="39"/>
        <v>12966.51</v>
      </c>
      <c r="F1209" s="298" t="s">
        <v>98</v>
      </c>
      <c r="G1209" s="301">
        <f t="shared" si="40"/>
        <v>13476.05</v>
      </c>
    </row>
    <row r="1210" spans="1:7" x14ac:dyDescent="0.25">
      <c r="A1210" s="297">
        <v>42833</v>
      </c>
      <c r="B1210" s="298" t="s">
        <v>3826</v>
      </c>
      <c r="C1210" s="299" t="s">
        <v>82</v>
      </c>
      <c r="D1210" s="300">
        <v>14983.14</v>
      </c>
      <c r="E1210" s="350">
        <f t="shared" si="39"/>
        <v>12149.81</v>
      </c>
      <c r="F1210" s="298" t="s">
        <v>98</v>
      </c>
      <c r="G1210" s="301">
        <f t="shared" si="40"/>
        <v>12627.26</v>
      </c>
    </row>
    <row r="1211" spans="1:7" x14ac:dyDescent="0.25">
      <c r="A1211" s="297">
        <v>42835</v>
      </c>
      <c r="B1211" s="298" t="s">
        <v>3828</v>
      </c>
      <c r="C1211" s="299" t="s">
        <v>82</v>
      </c>
      <c r="D1211" s="300">
        <v>3523.84</v>
      </c>
      <c r="E1211" s="350">
        <f t="shared" si="39"/>
        <v>2857.48</v>
      </c>
      <c r="F1211" s="298" t="s">
        <v>98</v>
      </c>
      <c r="G1211" s="301">
        <f t="shared" si="40"/>
        <v>2969.77</v>
      </c>
    </row>
    <row r="1212" spans="1:7" x14ac:dyDescent="0.25">
      <c r="A1212" s="297">
        <v>42836</v>
      </c>
      <c r="B1212" s="298" t="s">
        <v>3830</v>
      </c>
      <c r="C1212" s="299" t="s">
        <v>82</v>
      </c>
      <c r="D1212" s="300">
        <v>3822.03</v>
      </c>
      <c r="E1212" s="350">
        <f t="shared" si="39"/>
        <v>3099.28</v>
      </c>
      <c r="F1212" s="298" t="s">
        <v>98</v>
      </c>
      <c r="G1212" s="301">
        <f t="shared" si="40"/>
        <v>3221.08</v>
      </c>
    </row>
    <row r="1213" spans="1:7" x14ac:dyDescent="0.25">
      <c r="A1213" s="297">
        <v>42837</v>
      </c>
      <c r="B1213" s="298" t="s">
        <v>3832</v>
      </c>
      <c r="C1213" s="299" t="s">
        <v>82</v>
      </c>
      <c r="D1213" s="300">
        <v>6388.81</v>
      </c>
      <c r="E1213" s="350">
        <f t="shared" si="39"/>
        <v>5180.68</v>
      </c>
      <c r="F1213" s="298" t="s">
        <v>98</v>
      </c>
      <c r="G1213" s="301">
        <f t="shared" si="40"/>
        <v>5384.27</v>
      </c>
    </row>
    <row r="1214" spans="1:7" x14ac:dyDescent="0.25">
      <c r="A1214" s="297">
        <v>42838</v>
      </c>
      <c r="B1214" s="298" t="s">
        <v>3834</v>
      </c>
      <c r="C1214" s="299" t="s">
        <v>82</v>
      </c>
      <c r="D1214" s="300">
        <v>5080.05</v>
      </c>
      <c r="E1214" s="350">
        <f t="shared" si="39"/>
        <v>4119.41</v>
      </c>
      <c r="F1214" s="298" t="s">
        <v>98</v>
      </c>
      <c r="G1214" s="301">
        <f t="shared" si="40"/>
        <v>4281.29</v>
      </c>
    </row>
    <row r="1215" spans="1:7" x14ac:dyDescent="0.25">
      <c r="A1215" s="297">
        <v>42839</v>
      </c>
      <c r="B1215" s="298" t="s">
        <v>3835</v>
      </c>
      <c r="C1215" s="299" t="s">
        <v>82</v>
      </c>
      <c r="D1215" s="300">
        <v>5693.04</v>
      </c>
      <c r="E1215" s="350">
        <f t="shared" si="39"/>
        <v>4616.4799999999996</v>
      </c>
      <c r="F1215" s="298" t="s">
        <v>98</v>
      </c>
      <c r="G1215" s="301">
        <f t="shared" si="40"/>
        <v>4797.8999999999996</v>
      </c>
    </row>
    <row r="1216" spans="1:7" x14ac:dyDescent="0.25">
      <c r="A1216" s="297">
        <v>42840</v>
      </c>
      <c r="B1216" s="298" t="s">
        <v>3836</v>
      </c>
      <c r="C1216" s="299" t="s">
        <v>82</v>
      </c>
      <c r="D1216" s="300">
        <v>7304.83</v>
      </c>
      <c r="E1216" s="350">
        <f t="shared" si="39"/>
        <v>5923.48</v>
      </c>
      <c r="F1216" s="298" t="s">
        <v>98</v>
      </c>
      <c r="G1216" s="301">
        <f t="shared" si="40"/>
        <v>6156.26</v>
      </c>
    </row>
    <row r="1217" spans="1:7" x14ac:dyDescent="0.25">
      <c r="A1217" s="297">
        <v>42841</v>
      </c>
      <c r="B1217" s="298" t="s">
        <v>3837</v>
      </c>
      <c r="C1217" s="299" t="s">
        <v>82</v>
      </c>
      <c r="D1217" s="300">
        <v>9403.7000000000007</v>
      </c>
      <c r="E1217" s="350">
        <f t="shared" ref="E1217:E1280" si="41">ROUNDUP(D1217/(1+$L$2),2)</f>
        <v>7625.45</v>
      </c>
      <c r="F1217" s="298" t="s">
        <v>98</v>
      </c>
      <c r="G1217" s="301">
        <f t="shared" si="40"/>
        <v>7925.11</v>
      </c>
    </row>
    <row r="1218" spans="1:7" x14ac:dyDescent="0.25">
      <c r="A1218" s="297">
        <v>40585</v>
      </c>
      <c r="B1218" s="298" t="s">
        <v>3838</v>
      </c>
      <c r="C1218" s="299" t="s">
        <v>82</v>
      </c>
      <c r="D1218" s="300">
        <v>8296.43</v>
      </c>
      <c r="E1218" s="350">
        <f t="shared" si="41"/>
        <v>6727.57</v>
      </c>
      <c r="F1218" s="298" t="s">
        <v>98</v>
      </c>
      <c r="G1218" s="301">
        <f t="shared" si="40"/>
        <v>6991.94</v>
      </c>
    </row>
    <row r="1219" spans="1:7" x14ac:dyDescent="0.25">
      <c r="A1219" s="297">
        <v>42843</v>
      </c>
      <c r="B1219" s="298" t="s">
        <v>3841</v>
      </c>
      <c r="C1219" s="299" t="s">
        <v>82</v>
      </c>
      <c r="D1219" s="300">
        <v>8233.7099999999991</v>
      </c>
      <c r="E1219" s="350">
        <f t="shared" si="41"/>
        <v>6676.71</v>
      </c>
      <c r="F1219" s="298" t="s">
        <v>98</v>
      </c>
      <c r="G1219" s="301">
        <f t="shared" si="40"/>
        <v>6939.09</v>
      </c>
    </row>
    <row r="1220" spans="1:7" x14ac:dyDescent="0.25">
      <c r="A1220" s="297">
        <v>42844</v>
      </c>
      <c r="B1220" s="298" t="s">
        <v>3842</v>
      </c>
      <c r="C1220" s="299" t="s">
        <v>82</v>
      </c>
      <c r="D1220" s="300">
        <v>9111.4599999999991</v>
      </c>
      <c r="E1220" s="350">
        <f t="shared" si="41"/>
        <v>7388.47</v>
      </c>
      <c r="F1220" s="298" t="s">
        <v>98</v>
      </c>
      <c r="G1220" s="301">
        <f t="shared" si="40"/>
        <v>7678.82</v>
      </c>
    </row>
    <row r="1221" spans="1:7" x14ac:dyDescent="0.25">
      <c r="A1221" s="297">
        <v>42845</v>
      </c>
      <c r="B1221" s="298" t="s">
        <v>3843</v>
      </c>
      <c r="C1221" s="299" t="s">
        <v>82</v>
      </c>
      <c r="D1221" s="300">
        <v>11227.29</v>
      </c>
      <c r="E1221" s="350">
        <f t="shared" si="41"/>
        <v>9104.2000000000007</v>
      </c>
      <c r="F1221" s="298" t="s">
        <v>98</v>
      </c>
      <c r="G1221" s="301">
        <f t="shared" si="40"/>
        <v>9461.9699999999993</v>
      </c>
    </row>
    <row r="1222" spans="1:7" x14ac:dyDescent="0.25">
      <c r="A1222" s="297">
        <v>41179</v>
      </c>
      <c r="B1222" s="298" t="s">
        <v>3625</v>
      </c>
      <c r="C1222" s="299" t="s">
        <v>82</v>
      </c>
      <c r="D1222" s="300">
        <v>9336</v>
      </c>
      <c r="E1222" s="350">
        <f t="shared" si="41"/>
        <v>7570.55</v>
      </c>
      <c r="F1222" s="298" t="s">
        <v>98</v>
      </c>
      <c r="G1222" s="301">
        <f t="shared" si="40"/>
        <v>7868.05</v>
      </c>
    </row>
    <row r="1223" spans="1:7" x14ac:dyDescent="0.25">
      <c r="A1223" s="297">
        <v>42842</v>
      </c>
      <c r="B1223" s="298" t="s">
        <v>3845</v>
      </c>
      <c r="C1223" s="299" t="s">
        <v>82</v>
      </c>
      <c r="D1223" s="300">
        <v>9812.9500000000007</v>
      </c>
      <c r="E1223" s="350">
        <f t="shared" si="41"/>
        <v>7957.31</v>
      </c>
      <c r="F1223" s="298" t="s">
        <v>98</v>
      </c>
      <c r="G1223" s="301">
        <f t="shared" si="40"/>
        <v>8270.01</v>
      </c>
    </row>
    <row r="1224" spans="1:7" x14ac:dyDescent="0.25">
      <c r="A1224" s="297">
        <v>42848</v>
      </c>
      <c r="B1224" s="298" t="s">
        <v>3846</v>
      </c>
      <c r="C1224" s="299" t="s">
        <v>82</v>
      </c>
      <c r="D1224" s="300">
        <v>11412.98</v>
      </c>
      <c r="E1224" s="350">
        <f t="shared" si="41"/>
        <v>9254.77</v>
      </c>
      <c r="F1224" s="298" t="s">
        <v>98</v>
      </c>
      <c r="G1224" s="301">
        <f t="shared" si="40"/>
        <v>9618.4599999999991</v>
      </c>
    </row>
    <row r="1225" spans="1:7" x14ac:dyDescent="0.25">
      <c r="A1225" s="297">
        <v>42849</v>
      </c>
      <c r="B1225" s="298" t="s">
        <v>3848</v>
      </c>
      <c r="C1225" s="299" t="s">
        <v>82</v>
      </c>
      <c r="D1225" s="300">
        <v>8060.82</v>
      </c>
      <c r="E1225" s="350">
        <f t="shared" si="41"/>
        <v>6536.51</v>
      </c>
      <c r="F1225" s="298" t="s">
        <v>98</v>
      </c>
      <c r="G1225" s="301">
        <f t="shared" si="40"/>
        <v>6793.38</v>
      </c>
    </row>
    <row r="1226" spans="1:7" x14ac:dyDescent="0.25">
      <c r="A1226" s="297">
        <v>42850</v>
      </c>
      <c r="B1226" s="298" t="s">
        <v>3849</v>
      </c>
      <c r="C1226" s="299" t="s">
        <v>82</v>
      </c>
      <c r="D1226" s="300">
        <v>8796.35</v>
      </c>
      <c r="E1226" s="350">
        <f t="shared" si="41"/>
        <v>7132.95</v>
      </c>
      <c r="F1226" s="298" t="s">
        <v>98</v>
      </c>
      <c r="G1226" s="301">
        <f t="shared" si="40"/>
        <v>7413.25</v>
      </c>
    </row>
    <row r="1227" spans="1:7" x14ac:dyDescent="0.25">
      <c r="A1227" s="297">
        <v>42851</v>
      </c>
      <c r="B1227" s="298" t="s">
        <v>3851</v>
      </c>
      <c r="C1227" s="299" t="s">
        <v>82</v>
      </c>
      <c r="D1227" s="300">
        <v>12007.49</v>
      </c>
      <c r="E1227" s="350">
        <f t="shared" si="41"/>
        <v>9736.86</v>
      </c>
      <c r="F1227" s="298" t="s">
        <v>98</v>
      </c>
      <c r="G1227" s="301">
        <f t="shared" si="40"/>
        <v>10119.49</v>
      </c>
    </row>
    <row r="1228" spans="1:7" x14ac:dyDescent="0.25">
      <c r="A1228" s="297">
        <v>42852</v>
      </c>
      <c r="B1228" s="298" t="s">
        <v>3852</v>
      </c>
      <c r="C1228" s="299" t="s">
        <v>82</v>
      </c>
      <c r="D1228" s="300">
        <v>13331.23</v>
      </c>
      <c r="E1228" s="350">
        <f t="shared" si="41"/>
        <v>10810.28</v>
      </c>
      <c r="F1228" s="298" t="s">
        <v>98</v>
      </c>
      <c r="G1228" s="301">
        <f t="shared" si="40"/>
        <v>11235.09</v>
      </c>
    </row>
    <row r="1229" spans="1:7" x14ac:dyDescent="0.25">
      <c r="A1229" s="297">
        <v>42853</v>
      </c>
      <c r="B1229" s="298" t="s">
        <v>3854</v>
      </c>
      <c r="C1229" s="299" t="s">
        <v>82</v>
      </c>
      <c r="D1229" s="300">
        <v>17360.060000000001</v>
      </c>
      <c r="E1229" s="350">
        <f t="shared" si="41"/>
        <v>14077.25</v>
      </c>
      <c r="F1229" s="298" t="s">
        <v>98</v>
      </c>
      <c r="G1229" s="301">
        <f t="shared" si="40"/>
        <v>14630.44</v>
      </c>
    </row>
    <row r="1230" spans="1:7" x14ac:dyDescent="0.25">
      <c r="A1230" s="297">
        <v>42854</v>
      </c>
      <c r="B1230" s="298" t="s">
        <v>3855</v>
      </c>
      <c r="C1230" s="299" t="s">
        <v>82</v>
      </c>
      <c r="D1230" s="300">
        <v>19951.7</v>
      </c>
      <c r="E1230" s="350">
        <f t="shared" si="41"/>
        <v>16178.81</v>
      </c>
      <c r="F1230" s="298" t="s">
        <v>98</v>
      </c>
      <c r="G1230" s="301">
        <f t="shared" si="40"/>
        <v>16814.59</v>
      </c>
    </row>
    <row r="1231" spans="1:7" x14ac:dyDescent="0.25">
      <c r="A1231" s="297">
        <v>42855</v>
      </c>
      <c r="B1231" s="298" t="s">
        <v>3857</v>
      </c>
      <c r="C1231" s="299" t="s">
        <v>82</v>
      </c>
      <c r="D1231" s="300">
        <v>15711.96</v>
      </c>
      <c r="E1231" s="350">
        <f t="shared" si="41"/>
        <v>12740.81</v>
      </c>
      <c r="F1231" s="298" t="s">
        <v>98</v>
      </c>
      <c r="G1231" s="301">
        <f t="shared" si="40"/>
        <v>13241.48</v>
      </c>
    </row>
    <row r="1232" spans="1:7" x14ac:dyDescent="0.25">
      <c r="A1232" s="297">
        <v>42856</v>
      </c>
      <c r="B1232" s="298" t="s">
        <v>3858</v>
      </c>
      <c r="C1232" s="299" t="s">
        <v>82</v>
      </c>
      <c r="D1232" s="300">
        <v>17664.23</v>
      </c>
      <c r="E1232" s="350">
        <f t="shared" si="41"/>
        <v>14323.9</v>
      </c>
      <c r="F1232" s="298" t="s">
        <v>98</v>
      </c>
      <c r="G1232" s="301">
        <f t="shared" si="40"/>
        <v>14886.78</v>
      </c>
    </row>
    <row r="1233" spans="1:7" x14ac:dyDescent="0.25">
      <c r="A1233" s="297">
        <v>42858</v>
      </c>
      <c r="B1233" s="298" t="s">
        <v>3860</v>
      </c>
      <c r="C1233" s="299" t="s">
        <v>82</v>
      </c>
      <c r="D1233" s="300">
        <v>19410.7</v>
      </c>
      <c r="E1233" s="350">
        <f t="shared" si="41"/>
        <v>15740.11</v>
      </c>
      <c r="F1233" s="298" t="s">
        <v>98</v>
      </c>
      <c r="G1233" s="301">
        <f t="shared" si="40"/>
        <v>16358.65</v>
      </c>
    </row>
    <row r="1234" spans="1:7" x14ac:dyDescent="0.25">
      <c r="A1234" s="297">
        <v>42857</v>
      </c>
      <c r="B1234" s="298" t="s">
        <v>3861</v>
      </c>
      <c r="C1234" s="299" t="s">
        <v>82</v>
      </c>
      <c r="D1234" s="300">
        <v>19410.7</v>
      </c>
      <c r="E1234" s="350">
        <f t="shared" si="41"/>
        <v>15740.11</v>
      </c>
      <c r="F1234" s="298" t="s">
        <v>98</v>
      </c>
      <c r="G1234" s="301">
        <f t="shared" si="40"/>
        <v>16358.65</v>
      </c>
    </row>
    <row r="1235" spans="1:7" x14ac:dyDescent="0.25">
      <c r="A1235" s="297">
        <v>42859</v>
      </c>
      <c r="B1235" s="298" t="s">
        <v>3862</v>
      </c>
      <c r="C1235" s="299" t="s">
        <v>82</v>
      </c>
      <c r="D1235" s="300">
        <v>22308.83</v>
      </c>
      <c r="E1235" s="350">
        <f t="shared" si="41"/>
        <v>18090.2</v>
      </c>
      <c r="F1235" s="298" t="s">
        <v>98</v>
      </c>
      <c r="G1235" s="301">
        <f t="shared" si="40"/>
        <v>18801.09</v>
      </c>
    </row>
    <row r="1236" spans="1:7" x14ac:dyDescent="0.25">
      <c r="A1236" s="297">
        <v>42860</v>
      </c>
      <c r="B1236" s="298" t="s">
        <v>3864</v>
      </c>
      <c r="C1236" s="299" t="s">
        <v>82</v>
      </c>
      <c r="D1236" s="300">
        <v>20599.39</v>
      </c>
      <c r="E1236" s="350">
        <f t="shared" si="41"/>
        <v>16704.02</v>
      </c>
      <c r="F1236" s="298" t="s">
        <v>98</v>
      </c>
      <c r="G1236" s="301">
        <f t="shared" si="40"/>
        <v>17360.43</v>
      </c>
    </row>
    <row r="1237" spans="1:7" x14ac:dyDescent="0.25">
      <c r="A1237" s="297">
        <v>42861</v>
      </c>
      <c r="B1237" s="298" t="s">
        <v>3865</v>
      </c>
      <c r="C1237" s="299" t="s">
        <v>82</v>
      </c>
      <c r="D1237" s="300">
        <v>23296.880000000001</v>
      </c>
      <c r="E1237" s="350">
        <f t="shared" si="41"/>
        <v>18891.41</v>
      </c>
      <c r="F1237" s="298" t="s">
        <v>98</v>
      </c>
      <c r="G1237" s="301">
        <f t="shared" si="40"/>
        <v>19633.78</v>
      </c>
    </row>
    <row r="1238" spans="1:7" x14ac:dyDescent="0.25">
      <c r="A1238" s="297">
        <v>42862</v>
      </c>
      <c r="B1238" s="298" t="s">
        <v>3868</v>
      </c>
      <c r="C1238" s="299" t="s">
        <v>76</v>
      </c>
      <c r="D1238" s="300">
        <v>21.76</v>
      </c>
      <c r="E1238" s="350">
        <f t="shared" si="41"/>
        <v>17.649999999999999</v>
      </c>
      <c r="F1238" s="298" t="s">
        <v>98</v>
      </c>
      <c r="G1238" s="301">
        <f t="shared" si="40"/>
        <v>18.350000000000001</v>
      </c>
    </row>
    <row r="1239" spans="1:7" x14ac:dyDescent="0.25">
      <c r="A1239" s="297">
        <v>42863</v>
      </c>
      <c r="B1239" s="298" t="s">
        <v>3870</v>
      </c>
      <c r="C1239" s="299" t="s">
        <v>76</v>
      </c>
      <c r="D1239" s="300">
        <v>43.53</v>
      </c>
      <c r="E1239" s="350">
        <f t="shared" si="41"/>
        <v>35.299999999999997</v>
      </c>
      <c r="F1239" s="298" t="s">
        <v>98</v>
      </c>
      <c r="G1239" s="301">
        <f t="shared" si="40"/>
        <v>36.69</v>
      </c>
    </row>
    <row r="1240" spans="1:7" x14ac:dyDescent="0.25">
      <c r="A1240" s="297">
        <v>42864</v>
      </c>
      <c r="B1240" s="298" t="s">
        <v>3871</v>
      </c>
      <c r="C1240" s="299" t="s">
        <v>76</v>
      </c>
      <c r="D1240" s="300">
        <v>174.21</v>
      </c>
      <c r="E1240" s="350">
        <f t="shared" si="41"/>
        <v>141.27000000000001</v>
      </c>
      <c r="F1240" s="298" t="s">
        <v>98</v>
      </c>
      <c r="G1240" s="301">
        <f t="shared" si="40"/>
        <v>146.83000000000001</v>
      </c>
    </row>
    <row r="1241" spans="1:7" x14ac:dyDescent="0.25">
      <c r="A1241" s="297">
        <v>42865</v>
      </c>
      <c r="B1241" s="298" t="s">
        <v>4218</v>
      </c>
      <c r="C1241" s="299" t="s">
        <v>82</v>
      </c>
      <c r="D1241" s="300">
        <v>26.95</v>
      </c>
      <c r="E1241" s="350">
        <f t="shared" si="41"/>
        <v>21.86</v>
      </c>
      <c r="F1241" s="298" t="s">
        <v>98</v>
      </c>
      <c r="G1241" s="301">
        <f t="shared" si="40"/>
        <v>22.72</v>
      </c>
    </row>
    <row r="1242" spans="1:7" x14ac:dyDescent="0.25">
      <c r="A1242" s="297">
        <v>42867</v>
      </c>
      <c r="B1242" s="298" t="s">
        <v>3877</v>
      </c>
      <c r="C1242" s="299" t="s">
        <v>76</v>
      </c>
      <c r="D1242" s="300">
        <v>244.98</v>
      </c>
      <c r="E1242" s="350">
        <f t="shared" si="41"/>
        <v>198.66</v>
      </c>
      <c r="F1242" s="298" t="s">
        <v>98</v>
      </c>
      <c r="G1242" s="301">
        <f t="shared" si="40"/>
        <v>206.47</v>
      </c>
    </row>
    <row r="1243" spans="1:7" x14ac:dyDescent="0.25">
      <c r="A1243" s="297">
        <v>42868</v>
      </c>
      <c r="B1243" s="298" t="s">
        <v>3626</v>
      </c>
      <c r="C1243" s="299" t="s">
        <v>76</v>
      </c>
      <c r="D1243" s="300">
        <v>361.56</v>
      </c>
      <c r="E1243" s="350">
        <f t="shared" si="41"/>
        <v>293.19</v>
      </c>
      <c r="F1243" s="298" t="s">
        <v>98</v>
      </c>
      <c r="G1243" s="301">
        <f t="shared" si="40"/>
        <v>304.72000000000003</v>
      </c>
    </row>
    <row r="1244" spans="1:7" x14ac:dyDescent="0.25">
      <c r="A1244" s="297">
        <v>42869</v>
      </c>
      <c r="B1244" s="298" t="s">
        <v>3627</v>
      </c>
      <c r="C1244" s="299" t="s">
        <v>76</v>
      </c>
      <c r="D1244" s="300">
        <v>319.02</v>
      </c>
      <c r="E1244" s="350">
        <f t="shared" si="41"/>
        <v>258.7</v>
      </c>
      <c r="F1244" s="298" t="s">
        <v>98</v>
      </c>
      <c r="G1244" s="301">
        <f t="shared" si="40"/>
        <v>268.87</v>
      </c>
    </row>
    <row r="1245" spans="1:7" x14ac:dyDescent="0.25">
      <c r="A1245" s="297">
        <v>42870</v>
      </c>
      <c r="B1245" s="298" t="s">
        <v>3628</v>
      </c>
      <c r="C1245" s="299" t="s">
        <v>76</v>
      </c>
      <c r="D1245" s="300">
        <v>238.13</v>
      </c>
      <c r="E1245" s="350">
        <f t="shared" si="41"/>
        <v>193.1</v>
      </c>
      <c r="F1245" s="298" t="s">
        <v>98</v>
      </c>
      <c r="G1245" s="301">
        <f t="shared" si="40"/>
        <v>200.69</v>
      </c>
    </row>
    <row r="1246" spans="1:7" x14ac:dyDescent="0.25">
      <c r="A1246" s="297">
        <v>42880</v>
      </c>
      <c r="B1246" s="298" t="s">
        <v>3878</v>
      </c>
      <c r="C1246" s="299" t="s">
        <v>2871</v>
      </c>
      <c r="D1246" s="300">
        <v>816.36</v>
      </c>
      <c r="E1246" s="350">
        <f t="shared" si="41"/>
        <v>661.99</v>
      </c>
      <c r="F1246" s="298" t="s">
        <v>98</v>
      </c>
      <c r="G1246" s="301">
        <f t="shared" si="40"/>
        <v>688.01</v>
      </c>
    </row>
    <row r="1247" spans="1:7" x14ac:dyDescent="0.25">
      <c r="A1247" s="297">
        <v>42883</v>
      </c>
      <c r="B1247" s="298" t="s">
        <v>3879</v>
      </c>
      <c r="C1247" s="299" t="s">
        <v>82</v>
      </c>
      <c r="D1247" s="300">
        <v>47.25</v>
      </c>
      <c r="E1247" s="350">
        <f t="shared" si="41"/>
        <v>38.32</v>
      </c>
      <c r="F1247" s="298" t="s">
        <v>3693</v>
      </c>
      <c r="G1247" s="301">
        <f t="shared" si="40"/>
        <v>39.83</v>
      </c>
    </row>
    <row r="1248" spans="1:7" x14ac:dyDescent="0.25">
      <c r="A1248" s="297">
        <v>42899</v>
      </c>
      <c r="B1248" s="298" t="s">
        <v>4217</v>
      </c>
      <c r="C1248" s="299" t="s">
        <v>82</v>
      </c>
      <c r="D1248" s="300">
        <v>77.13</v>
      </c>
      <c r="E1248" s="350">
        <f t="shared" si="41"/>
        <v>62.55</v>
      </c>
      <c r="F1248" s="298" t="s">
        <v>3693</v>
      </c>
      <c r="G1248" s="301">
        <f t="shared" si="40"/>
        <v>65.010000000000005</v>
      </c>
    </row>
    <row r="1249" spans="1:7" x14ac:dyDescent="0.25">
      <c r="A1249" s="297">
        <v>42901</v>
      </c>
      <c r="B1249" s="298" t="s">
        <v>3892</v>
      </c>
      <c r="C1249" s="299" t="s">
        <v>82</v>
      </c>
      <c r="D1249" s="300">
        <v>42</v>
      </c>
      <c r="E1249" s="350">
        <f t="shared" si="41"/>
        <v>34.06</v>
      </c>
      <c r="F1249" s="298" t="s">
        <v>98</v>
      </c>
      <c r="G1249" s="301">
        <f t="shared" si="40"/>
        <v>35.4</v>
      </c>
    </row>
    <row r="1250" spans="1:7" x14ac:dyDescent="0.25">
      <c r="A1250" s="297">
        <v>42900</v>
      </c>
      <c r="B1250" s="298" t="s">
        <v>3894</v>
      </c>
      <c r="C1250" s="299" t="s">
        <v>82</v>
      </c>
      <c r="D1250" s="300">
        <v>39.03</v>
      </c>
      <c r="E1250" s="350">
        <f t="shared" si="41"/>
        <v>31.65</v>
      </c>
      <c r="F1250" s="298" t="s">
        <v>98</v>
      </c>
      <c r="G1250" s="301">
        <f t="shared" si="40"/>
        <v>32.9</v>
      </c>
    </row>
    <row r="1251" spans="1:7" x14ac:dyDescent="0.25">
      <c r="A1251" s="297">
        <v>41185</v>
      </c>
      <c r="B1251" s="298" t="s">
        <v>3895</v>
      </c>
      <c r="C1251" s="299" t="s">
        <v>82</v>
      </c>
      <c r="D1251" s="300">
        <v>13.07</v>
      </c>
      <c r="E1251" s="350">
        <f t="shared" si="41"/>
        <v>10.6</v>
      </c>
      <c r="F1251" s="298" t="s">
        <v>3693</v>
      </c>
      <c r="G1251" s="301">
        <f t="shared" si="40"/>
        <v>11.02</v>
      </c>
    </row>
    <row r="1252" spans="1:7" x14ac:dyDescent="0.25">
      <c r="A1252" s="297">
        <v>42903</v>
      </c>
      <c r="B1252" s="298" t="s">
        <v>3896</v>
      </c>
      <c r="C1252" s="299" t="s">
        <v>82</v>
      </c>
      <c r="D1252" s="300">
        <v>148.02000000000001</v>
      </c>
      <c r="E1252" s="350">
        <f t="shared" si="41"/>
        <v>120.03</v>
      </c>
      <c r="F1252" s="298" t="s">
        <v>3693</v>
      </c>
      <c r="G1252" s="301">
        <f t="shared" si="40"/>
        <v>124.75</v>
      </c>
    </row>
    <row r="1253" spans="1:7" x14ac:dyDescent="0.25">
      <c r="A1253" s="297">
        <v>42904</v>
      </c>
      <c r="B1253" s="298" t="s">
        <v>3897</v>
      </c>
      <c r="C1253" s="299" t="s">
        <v>82</v>
      </c>
      <c r="D1253" s="300">
        <v>109.4</v>
      </c>
      <c r="E1253" s="350">
        <f t="shared" si="41"/>
        <v>88.72</v>
      </c>
      <c r="F1253" s="298" t="s">
        <v>3693</v>
      </c>
      <c r="G1253" s="301">
        <f t="shared" si="40"/>
        <v>92.21</v>
      </c>
    </row>
    <row r="1254" spans="1:7" x14ac:dyDescent="0.25">
      <c r="A1254" s="297">
        <v>42902</v>
      </c>
      <c r="B1254" s="298" t="s">
        <v>4216</v>
      </c>
      <c r="C1254" s="299" t="s">
        <v>82</v>
      </c>
      <c r="D1254" s="300">
        <v>115.82</v>
      </c>
      <c r="E1254" s="350">
        <f t="shared" si="41"/>
        <v>93.92</v>
      </c>
      <c r="F1254" s="298" t="s">
        <v>98</v>
      </c>
      <c r="G1254" s="301">
        <f t="shared" si="40"/>
        <v>97.62</v>
      </c>
    </row>
    <row r="1255" spans="1:7" x14ac:dyDescent="0.25">
      <c r="A1255" s="297">
        <v>42905</v>
      </c>
      <c r="B1255" s="298" t="s">
        <v>3629</v>
      </c>
      <c r="C1255" s="299" t="s">
        <v>82</v>
      </c>
      <c r="D1255" s="300">
        <v>36.409999999999997</v>
      </c>
      <c r="E1255" s="350">
        <f t="shared" si="41"/>
        <v>29.53</v>
      </c>
      <c r="F1255" s="298" t="s">
        <v>98</v>
      </c>
      <c r="G1255" s="301">
        <f t="shared" si="40"/>
        <v>30.7</v>
      </c>
    </row>
    <row r="1256" spans="1:7" x14ac:dyDescent="0.25">
      <c r="A1256" s="297">
        <v>43120</v>
      </c>
      <c r="B1256" s="298" t="s">
        <v>3900</v>
      </c>
      <c r="C1256" s="299" t="s">
        <v>82</v>
      </c>
      <c r="D1256" s="300">
        <v>118.35</v>
      </c>
      <c r="E1256" s="350">
        <f t="shared" si="41"/>
        <v>95.97</v>
      </c>
      <c r="F1256" s="298" t="s">
        <v>3693</v>
      </c>
      <c r="G1256" s="301">
        <f t="shared" si="40"/>
        <v>99.75</v>
      </c>
    </row>
    <row r="1257" spans="1:7" x14ac:dyDescent="0.25">
      <c r="A1257" s="297">
        <v>42906</v>
      </c>
      <c r="B1257" s="298" t="s">
        <v>3630</v>
      </c>
      <c r="C1257" s="299" t="s">
        <v>82</v>
      </c>
      <c r="D1257" s="300">
        <v>124.72</v>
      </c>
      <c r="E1257" s="350">
        <f t="shared" si="41"/>
        <v>101.14</v>
      </c>
      <c r="F1257" s="298" t="s">
        <v>3693</v>
      </c>
      <c r="G1257" s="301">
        <f t="shared" si="40"/>
        <v>105.12</v>
      </c>
    </row>
    <row r="1258" spans="1:7" x14ac:dyDescent="0.25">
      <c r="A1258" s="297">
        <v>42907</v>
      </c>
      <c r="B1258" s="298" t="s">
        <v>3631</v>
      </c>
      <c r="C1258" s="299" t="s">
        <v>82</v>
      </c>
      <c r="D1258" s="300">
        <v>134.97999999999999</v>
      </c>
      <c r="E1258" s="350">
        <f t="shared" si="41"/>
        <v>109.46</v>
      </c>
      <c r="F1258" s="298" t="s">
        <v>3693</v>
      </c>
      <c r="G1258" s="301">
        <f t="shared" si="40"/>
        <v>113.77</v>
      </c>
    </row>
    <row r="1259" spans="1:7" x14ac:dyDescent="0.25">
      <c r="A1259" s="297">
        <v>42908</v>
      </c>
      <c r="B1259" s="298" t="s">
        <v>3902</v>
      </c>
      <c r="C1259" s="299" t="s">
        <v>82</v>
      </c>
      <c r="D1259" s="300">
        <v>120.93</v>
      </c>
      <c r="E1259" s="350">
        <f t="shared" si="41"/>
        <v>98.07</v>
      </c>
      <c r="F1259" s="298" t="s">
        <v>3693</v>
      </c>
      <c r="G1259" s="301">
        <f t="shared" si="40"/>
        <v>101.93</v>
      </c>
    </row>
    <row r="1260" spans="1:7" x14ac:dyDescent="0.25">
      <c r="A1260" s="297">
        <v>43122</v>
      </c>
      <c r="B1260" s="302" t="s">
        <v>4215</v>
      </c>
      <c r="C1260" s="299" t="s">
        <v>82</v>
      </c>
      <c r="D1260" s="300">
        <v>123.41</v>
      </c>
      <c r="E1260" s="350">
        <f t="shared" si="41"/>
        <v>100.08</v>
      </c>
      <c r="F1260" s="298" t="s">
        <v>3693</v>
      </c>
      <c r="G1260" s="301">
        <f t="shared" si="40"/>
        <v>104.02</v>
      </c>
    </row>
    <row r="1261" spans="1:7" x14ac:dyDescent="0.25">
      <c r="A1261" s="297">
        <v>42913</v>
      </c>
      <c r="B1261" s="298" t="s">
        <v>3905</v>
      </c>
      <c r="C1261" s="299" t="s">
        <v>82</v>
      </c>
      <c r="D1261" s="300">
        <v>149.51</v>
      </c>
      <c r="E1261" s="350">
        <f t="shared" si="41"/>
        <v>121.24</v>
      </c>
      <c r="F1261" s="298" t="s">
        <v>3693</v>
      </c>
      <c r="G1261" s="301">
        <f t="shared" si="40"/>
        <v>126.01</v>
      </c>
    </row>
    <row r="1262" spans="1:7" x14ac:dyDescent="0.25">
      <c r="A1262" s="297">
        <v>42910</v>
      </c>
      <c r="B1262" s="298" t="s">
        <v>3908</v>
      </c>
      <c r="C1262" s="299" t="s">
        <v>82</v>
      </c>
      <c r="D1262" s="300">
        <v>271.74</v>
      </c>
      <c r="E1262" s="350">
        <f t="shared" si="41"/>
        <v>220.36</v>
      </c>
      <c r="F1262" s="298" t="s">
        <v>3693</v>
      </c>
      <c r="G1262" s="301">
        <f t="shared" si="40"/>
        <v>229.02</v>
      </c>
    </row>
    <row r="1263" spans="1:7" x14ac:dyDescent="0.25">
      <c r="A1263" s="297">
        <v>42909</v>
      </c>
      <c r="B1263" s="298" t="s">
        <v>3909</v>
      </c>
      <c r="C1263" s="299" t="s">
        <v>82</v>
      </c>
      <c r="D1263" s="300">
        <v>172.72</v>
      </c>
      <c r="E1263" s="350">
        <f t="shared" si="41"/>
        <v>140.06</v>
      </c>
      <c r="F1263" s="298" t="s">
        <v>3693</v>
      </c>
      <c r="G1263" s="301">
        <f t="shared" si="40"/>
        <v>145.57</v>
      </c>
    </row>
    <row r="1264" spans="1:7" x14ac:dyDescent="0.25">
      <c r="A1264" s="297">
        <v>42911</v>
      </c>
      <c r="B1264" s="298" t="s">
        <v>4214</v>
      </c>
      <c r="C1264" s="299" t="s">
        <v>82</v>
      </c>
      <c r="D1264" s="300">
        <v>142.34</v>
      </c>
      <c r="E1264" s="350">
        <f t="shared" si="41"/>
        <v>115.43</v>
      </c>
      <c r="F1264" s="298" t="s">
        <v>3693</v>
      </c>
      <c r="G1264" s="301">
        <f t="shared" si="40"/>
        <v>119.97</v>
      </c>
    </row>
    <row r="1265" spans="1:7" x14ac:dyDescent="0.25">
      <c r="A1265" s="297">
        <v>42912</v>
      </c>
      <c r="B1265" s="298" t="s">
        <v>3911</v>
      </c>
      <c r="C1265" s="299" t="s">
        <v>82</v>
      </c>
      <c r="D1265" s="300">
        <v>139.25</v>
      </c>
      <c r="E1265" s="350">
        <f t="shared" si="41"/>
        <v>112.92</v>
      </c>
      <c r="F1265" s="298" t="s">
        <v>3693</v>
      </c>
      <c r="G1265" s="301">
        <f t="shared" ref="G1265:G1313" si="42">ROUNDUP(E1265*$H$2,2)</f>
        <v>117.36</v>
      </c>
    </row>
    <row r="1266" spans="1:7" x14ac:dyDescent="0.25">
      <c r="A1266" s="297">
        <v>42915</v>
      </c>
      <c r="B1266" s="298" t="s">
        <v>3632</v>
      </c>
      <c r="C1266" s="299" t="s">
        <v>82</v>
      </c>
      <c r="D1266" s="300">
        <v>158.30000000000001</v>
      </c>
      <c r="E1266" s="350">
        <f t="shared" si="41"/>
        <v>128.37</v>
      </c>
      <c r="F1266" s="298" t="s">
        <v>3693</v>
      </c>
      <c r="G1266" s="301">
        <f t="shared" si="42"/>
        <v>133.41999999999999</v>
      </c>
    </row>
    <row r="1267" spans="1:7" x14ac:dyDescent="0.25">
      <c r="A1267" s="297">
        <v>42914</v>
      </c>
      <c r="B1267" s="298" t="s">
        <v>3912</v>
      </c>
      <c r="C1267" s="299" t="s">
        <v>82</v>
      </c>
      <c r="D1267" s="300">
        <v>121.84</v>
      </c>
      <c r="E1267" s="350">
        <f t="shared" si="41"/>
        <v>98.8</v>
      </c>
      <c r="F1267" s="298" t="s">
        <v>3693</v>
      </c>
      <c r="G1267" s="301">
        <f t="shared" si="42"/>
        <v>102.69</v>
      </c>
    </row>
    <row r="1268" spans="1:7" x14ac:dyDescent="0.25">
      <c r="A1268" s="297">
        <v>42917</v>
      </c>
      <c r="B1268" s="298" t="s">
        <v>3914</v>
      </c>
      <c r="C1268" s="299" t="s">
        <v>82</v>
      </c>
      <c r="D1268" s="300">
        <v>977.29</v>
      </c>
      <c r="E1268" s="350">
        <f t="shared" si="41"/>
        <v>792.49</v>
      </c>
      <c r="F1268" s="298" t="s">
        <v>98</v>
      </c>
      <c r="G1268" s="301">
        <f t="shared" si="42"/>
        <v>823.64</v>
      </c>
    </row>
    <row r="1269" spans="1:7" x14ac:dyDescent="0.25">
      <c r="A1269" s="297">
        <v>42918</v>
      </c>
      <c r="B1269" s="298" t="s">
        <v>4213</v>
      </c>
      <c r="C1269" s="299" t="s">
        <v>82</v>
      </c>
      <c r="D1269" s="300">
        <v>1263.06</v>
      </c>
      <c r="E1269" s="350">
        <f t="shared" si="41"/>
        <v>1024.22</v>
      </c>
      <c r="F1269" s="298" t="s">
        <v>98</v>
      </c>
      <c r="G1269" s="301">
        <f t="shared" si="42"/>
        <v>1064.47</v>
      </c>
    </row>
    <row r="1270" spans="1:7" x14ac:dyDescent="0.25">
      <c r="A1270" s="297">
        <v>42916</v>
      </c>
      <c r="B1270" s="298" t="s">
        <v>3915</v>
      </c>
      <c r="C1270" s="299" t="s">
        <v>82</v>
      </c>
      <c r="D1270" s="300">
        <v>729.3</v>
      </c>
      <c r="E1270" s="350">
        <f t="shared" si="41"/>
        <v>591.39</v>
      </c>
      <c r="F1270" s="298" t="s">
        <v>98</v>
      </c>
      <c r="G1270" s="301">
        <f t="shared" si="42"/>
        <v>614.63</v>
      </c>
    </row>
    <row r="1271" spans="1:7" x14ac:dyDescent="0.25">
      <c r="A1271" s="297">
        <v>42919</v>
      </c>
      <c r="B1271" s="298" t="s">
        <v>3917</v>
      </c>
      <c r="C1271" s="299" t="s">
        <v>82</v>
      </c>
      <c r="D1271" s="300">
        <v>95.4</v>
      </c>
      <c r="E1271" s="350">
        <f t="shared" si="41"/>
        <v>77.36</v>
      </c>
      <c r="F1271" s="298" t="s">
        <v>3693</v>
      </c>
      <c r="G1271" s="301">
        <f t="shared" si="42"/>
        <v>80.400000000000006</v>
      </c>
    </row>
    <row r="1272" spans="1:7" x14ac:dyDescent="0.25">
      <c r="A1272" s="297">
        <v>42920</v>
      </c>
      <c r="B1272" s="298" t="s">
        <v>3919</v>
      </c>
      <c r="C1272" s="299" t="s">
        <v>82</v>
      </c>
      <c r="D1272" s="300">
        <v>738.61</v>
      </c>
      <c r="E1272" s="350">
        <f t="shared" si="41"/>
        <v>598.94000000000005</v>
      </c>
      <c r="F1272" s="298" t="s">
        <v>98</v>
      </c>
      <c r="G1272" s="301">
        <f t="shared" si="42"/>
        <v>622.48</v>
      </c>
    </row>
    <row r="1273" spans="1:7" x14ac:dyDescent="0.25">
      <c r="A1273" s="297">
        <v>42921</v>
      </c>
      <c r="B1273" s="298" t="s">
        <v>3920</v>
      </c>
      <c r="C1273" s="299" t="s">
        <v>82</v>
      </c>
      <c r="D1273" s="300">
        <v>216.31</v>
      </c>
      <c r="E1273" s="350">
        <f t="shared" si="41"/>
        <v>175.41</v>
      </c>
      <c r="F1273" s="298" t="s">
        <v>98</v>
      </c>
      <c r="G1273" s="301">
        <f t="shared" si="42"/>
        <v>182.31</v>
      </c>
    </row>
    <row r="1274" spans="1:7" x14ac:dyDescent="0.25">
      <c r="A1274" s="297">
        <v>42922</v>
      </c>
      <c r="B1274" s="298" t="s">
        <v>3633</v>
      </c>
      <c r="C1274" s="299" t="s">
        <v>82</v>
      </c>
      <c r="D1274" s="300">
        <v>35.229999999999997</v>
      </c>
      <c r="E1274" s="350">
        <f t="shared" si="41"/>
        <v>28.57</v>
      </c>
      <c r="F1274" s="298" t="s">
        <v>98</v>
      </c>
      <c r="G1274" s="301">
        <f t="shared" si="42"/>
        <v>29.7</v>
      </c>
    </row>
    <row r="1275" spans="1:7" x14ac:dyDescent="0.25">
      <c r="A1275" s="297">
        <v>42923</v>
      </c>
      <c r="B1275" s="298" t="s">
        <v>3922</v>
      </c>
      <c r="C1275" s="299" t="s">
        <v>82</v>
      </c>
      <c r="D1275" s="300">
        <v>39.049999999999997</v>
      </c>
      <c r="E1275" s="350">
        <f t="shared" si="41"/>
        <v>31.67</v>
      </c>
      <c r="F1275" s="298" t="s">
        <v>98</v>
      </c>
      <c r="G1275" s="301">
        <f t="shared" si="42"/>
        <v>32.92</v>
      </c>
    </row>
    <row r="1276" spans="1:7" x14ac:dyDescent="0.25">
      <c r="A1276" s="297">
        <v>42924</v>
      </c>
      <c r="B1276" s="298" t="s">
        <v>3634</v>
      </c>
      <c r="C1276" s="299" t="s">
        <v>82</v>
      </c>
      <c r="D1276" s="300">
        <v>23.72</v>
      </c>
      <c r="E1276" s="350">
        <f t="shared" si="41"/>
        <v>19.239999999999998</v>
      </c>
      <c r="F1276" s="298" t="s">
        <v>98</v>
      </c>
      <c r="G1276" s="301">
        <f t="shared" si="42"/>
        <v>20</v>
      </c>
    </row>
    <row r="1277" spans="1:7" x14ac:dyDescent="0.25">
      <c r="A1277" s="297">
        <v>42925</v>
      </c>
      <c r="B1277" s="298" t="s">
        <v>3923</v>
      </c>
      <c r="C1277" s="299" t="s">
        <v>82</v>
      </c>
      <c r="D1277" s="300">
        <v>9.5500000000000007</v>
      </c>
      <c r="E1277" s="350">
        <f t="shared" si="41"/>
        <v>7.75</v>
      </c>
      <c r="F1277" s="298" t="s">
        <v>98</v>
      </c>
      <c r="G1277" s="301">
        <f t="shared" si="42"/>
        <v>8.06</v>
      </c>
    </row>
    <row r="1278" spans="1:7" x14ac:dyDescent="0.25">
      <c r="A1278" s="297">
        <v>42926</v>
      </c>
      <c r="B1278" s="298" t="s">
        <v>3924</v>
      </c>
      <c r="C1278" s="299" t="s">
        <v>82</v>
      </c>
      <c r="D1278" s="300">
        <v>11.16</v>
      </c>
      <c r="E1278" s="350">
        <f t="shared" si="41"/>
        <v>9.0500000000000007</v>
      </c>
      <c r="F1278" s="298" t="s">
        <v>98</v>
      </c>
      <c r="G1278" s="301">
        <f t="shared" si="42"/>
        <v>9.41</v>
      </c>
    </row>
    <row r="1279" spans="1:7" x14ac:dyDescent="0.25">
      <c r="A1279" s="297">
        <v>42927</v>
      </c>
      <c r="B1279" s="298" t="s">
        <v>3925</v>
      </c>
      <c r="C1279" s="299" t="s">
        <v>82</v>
      </c>
      <c r="D1279" s="300">
        <v>13.01</v>
      </c>
      <c r="E1279" s="350">
        <f t="shared" si="41"/>
        <v>10.55</v>
      </c>
      <c r="F1279" s="298" t="s">
        <v>98</v>
      </c>
      <c r="G1279" s="301">
        <f t="shared" si="42"/>
        <v>10.97</v>
      </c>
    </row>
    <row r="1280" spans="1:7" x14ac:dyDescent="0.25">
      <c r="A1280" s="297">
        <v>42928</v>
      </c>
      <c r="B1280" s="298" t="s">
        <v>3926</v>
      </c>
      <c r="C1280" s="299" t="s">
        <v>82</v>
      </c>
      <c r="D1280" s="300">
        <v>19.47</v>
      </c>
      <c r="E1280" s="350">
        <f t="shared" si="41"/>
        <v>15.79</v>
      </c>
      <c r="F1280" s="298" t="s">
        <v>98</v>
      </c>
      <c r="G1280" s="301">
        <f t="shared" si="42"/>
        <v>16.420000000000002</v>
      </c>
    </row>
    <row r="1281" spans="1:7" x14ac:dyDescent="0.25">
      <c r="A1281" s="297">
        <v>42942</v>
      </c>
      <c r="B1281" s="298" t="s">
        <v>4212</v>
      </c>
      <c r="C1281" s="299" t="s">
        <v>82</v>
      </c>
      <c r="D1281" s="300">
        <v>97.11</v>
      </c>
      <c r="E1281" s="350">
        <f t="shared" ref="E1281:E1344" si="43">ROUNDUP(D1281/(1+$L$2),2)</f>
        <v>78.75</v>
      </c>
      <c r="F1281" s="298" t="s">
        <v>98</v>
      </c>
      <c r="G1281" s="301">
        <f t="shared" si="42"/>
        <v>81.849999999999994</v>
      </c>
    </row>
    <row r="1282" spans="1:7" x14ac:dyDescent="0.25">
      <c r="A1282" s="297">
        <v>42944</v>
      </c>
      <c r="B1282" s="298" t="s">
        <v>3954</v>
      </c>
      <c r="C1282" s="299" t="s">
        <v>76</v>
      </c>
      <c r="D1282" s="300">
        <v>82.77</v>
      </c>
      <c r="E1282" s="350">
        <f t="shared" si="43"/>
        <v>67.12</v>
      </c>
      <c r="F1282" s="298" t="s">
        <v>98</v>
      </c>
      <c r="G1282" s="301">
        <f t="shared" si="42"/>
        <v>69.760000000000005</v>
      </c>
    </row>
    <row r="1283" spans="1:7" x14ac:dyDescent="0.25">
      <c r="A1283" s="297">
        <v>42943</v>
      </c>
      <c r="B1283" s="298" t="s">
        <v>3956</v>
      </c>
      <c r="C1283" s="299" t="s">
        <v>76</v>
      </c>
      <c r="D1283" s="300">
        <v>77.92</v>
      </c>
      <c r="E1283" s="350">
        <f t="shared" si="43"/>
        <v>63.19</v>
      </c>
      <c r="F1283" s="298" t="s">
        <v>98</v>
      </c>
      <c r="G1283" s="301">
        <f t="shared" si="42"/>
        <v>65.680000000000007</v>
      </c>
    </row>
    <row r="1284" spans="1:7" x14ac:dyDescent="0.25">
      <c r="A1284" s="297">
        <v>42946</v>
      </c>
      <c r="B1284" s="298" t="s">
        <v>3958</v>
      </c>
      <c r="C1284" s="299" t="s">
        <v>76</v>
      </c>
      <c r="D1284" s="300">
        <v>116.75</v>
      </c>
      <c r="E1284" s="350">
        <f t="shared" si="43"/>
        <v>94.68</v>
      </c>
      <c r="F1284" s="298" t="s">
        <v>98</v>
      </c>
      <c r="G1284" s="301">
        <f t="shared" si="42"/>
        <v>98.41</v>
      </c>
    </row>
    <row r="1285" spans="1:7" x14ac:dyDescent="0.25">
      <c r="A1285" s="297">
        <v>42945</v>
      </c>
      <c r="B1285" s="298" t="s">
        <v>3960</v>
      </c>
      <c r="C1285" s="299" t="s">
        <v>76</v>
      </c>
      <c r="D1285" s="300">
        <v>114.87</v>
      </c>
      <c r="E1285" s="350">
        <f t="shared" si="43"/>
        <v>93.15</v>
      </c>
      <c r="F1285" s="298" t="s">
        <v>98</v>
      </c>
      <c r="G1285" s="301">
        <f t="shared" si="42"/>
        <v>96.82</v>
      </c>
    </row>
    <row r="1286" spans="1:7" x14ac:dyDescent="0.25">
      <c r="A1286" s="297">
        <v>42948</v>
      </c>
      <c r="B1286" s="298" t="s">
        <v>3962</v>
      </c>
      <c r="C1286" s="299" t="s">
        <v>76</v>
      </c>
      <c r="D1286" s="300">
        <v>167.71</v>
      </c>
      <c r="E1286" s="350">
        <f t="shared" si="43"/>
        <v>136</v>
      </c>
      <c r="F1286" s="298" t="s">
        <v>98</v>
      </c>
      <c r="G1286" s="301">
        <f t="shared" si="42"/>
        <v>141.35</v>
      </c>
    </row>
    <row r="1287" spans="1:7" x14ac:dyDescent="0.25">
      <c r="A1287" s="297">
        <v>42947</v>
      </c>
      <c r="B1287" s="298" t="s">
        <v>3964</v>
      </c>
      <c r="C1287" s="299" t="s">
        <v>76</v>
      </c>
      <c r="D1287" s="300">
        <v>170.25</v>
      </c>
      <c r="E1287" s="350">
        <f t="shared" si="43"/>
        <v>138.06</v>
      </c>
      <c r="F1287" s="298" t="s">
        <v>98</v>
      </c>
      <c r="G1287" s="301">
        <f t="shared" si="42"/>
        <v>143.49</v>
      </c>
    </row>
    <row r="1288" spans="1:7" x14ac:dyDescent="0.25">
      <c r="A1288" s="297">
        <v>42949</v>
      </c>
      <c r="B1288" s="298" t="s">
        <v>3965</v>
      </c>
      <c r="C1288" s="299" t="s">
        <v>76</v>
      </c>
      <c r="D1288" s="300">
        <v>172.72</v>
      </c>
      <c r="E1288" s="350">
        <f t="shared" si="43"/>
        <v>140.06</v>
      </c>
      <c r="F1288" s="298" t="s">
        <v>98</v>
      </c>
      <c r="G1288" s="301">
        <f t="shared" si="42"/>
        <v>145.57</v>
      </c>
    </row>
    <row r="1289" spans="1:7" x14ac:dyDescent="0.25">
      <c r="A1289" s="297">
        <v>42950</v>
      </c>
      <c r="B1289" s="298" t="s">
        <v>3967</v>
      </c>
      <c r="C1289" s="299" t="s">
        <v>76</v>
      </c>
      <c r="D1289" s="300">
        <v>175.69</v>
      </c>
      <c r="E1289" s="350">
        <f t="shared" si="43"/>
        <v>142.47</v>
      </c>
      <c r="F1289" s="298" t="s">
        <v>98</v>
      </c>
      <c r="G1289" s="301">
        <f t="shared" si="42"/>
        <v>148.07</v>
      </c>
    </row>
    <row r="1290" spans="1:7" x14ac:dyDescent="0.25">
      <c r="A1290" s="297">
        <v>42951</v>
      </c>
      <c r="B1290" s="298" t="s">
        <v>3969</v>
      </c>
      <c r="C1290" s="299" t="s">
        <v>76</v>
      </c>
      <c r="D1290" s="300">
        <v>212.24</v>
      </c>
      <c r="E1290" s="350">
        <f t="shared" si="43"/>
        <v>172.11</v>
      </c>
      <c r="F1290" s="298" t="s">
        <v>98</v>
      </c>
      <c r="G1290" s="301">
        <f t="shared" si="42"/>
        <v>178.88</v>
      </c>
    </row>
    <row r="1291" spans="1:7" x14ac:dyDescent="0.25">
      <c r="A1291" s="297">
        <v>42952</v>
      </c>
      <c r="B1291" s="298" t="s">
        <v>3971</v>
      </c>
      <c r="C1291" s="299" t="s">
        <v>76</v>
      </c>
      <c r="D1291" s="300">
        <v>218.65</v>
      </c>
      <c r="E1291" s="350">
        <f t="shared" si="43"/>
        <v>177.31</v>
      </c>
      <c r="F1291" s="298" t="s">
        <v>98</v>
      </c>
      <c r="G1291" s="301">
        <f t="shared" si="42"/>
        <v>184.28</v>
      </c>
    </row>
    <row r="1292" spans="1:7" x14ac:dyDescent="0.25">
      <c r="A1292" s="297">
        <v>42953</v>
      </c>
      <c r="B1292" s="298" t="s">
        <v>3973</v>
      </c>
      <c r="C1292" s="299" t="s">
        <v>76</v>
      </c>
      <c r="D1292" s="300">
        <v>368.35</v>
      </c>
      <c r="E1292" s="350">
        <f t="shared" si="43"/>
        <v>298.7</v>
      </c>
      <c r="F1292" s="298" t="s">
        <v>98</v>
      </c>
      <c r="G1292" s="301">
        <f t="shared" si="42"/>
        <v>310.44</v>
      </c>
    </row>
    <row r="1293" spans="1:7" x14ac:dyDescent="0.25">
      <c r="A1293" s="297">
        <v>42954</v>
      </c>
      <c r="B1293" s="298" t="s">
        <v>3975</v>
      </c>
      <c r="C1293" s="299" t="s">
        <v>76</v>
      </c>
      <c r="D1293" s="300">
        <v>388.34</v>
      </c>
      <c r="E1293" s="350">
        <f t="shared" si="43"/>
        <v>314.91000000000003</v>
      </c>
      <c r="F1293" s="298" t="s">
        <v>98</v>
      </c>
      <c r="G1293" s="301">
        <f t="shared" si="42"/>
        <v>327.29000000000002</v>
      </c>
    </row>
    <row r="1294" spans="1:7" x14ac:dyDescent="0.25">
      <c r="A1294" s="297">
        <v>42955</v>
      </c>
      <c r="B1294" s="298" t="s">
        <v>3978</v>
      </c>
      <c r="C1294" s="299" t="s">
        <v>76</v>
      </c>
      <c r="D1294" s="300">
        <v>314.23</v>
      </c>
      <c r="E1294" s="350">
        <f t="shared" si="43"/>
        <v>254.81</v>
      </c>
      <c r="F1294" s="298" t="s">
        <v>98</v>
      </c>
      <c r="G1294" s="301">
        <f t="shared" si="42"/>
        <v>264.83</v>
      </c>
    </row>
    <row r="1295" spans="1:7" x14ac:dyDescent="0.25">
      <c r="A1295" s="297">
        <v>42956</v>
      </c>
      <c r="B1295" s="302" t="s">
        <v>3980</v>
      </c>
      <c r="C1295" s="299" t="s">
        <v>76</v>
      </c>
      <c r="D1295" s="300">
        <v>114.87</v>
      </c>
      <c r="E1295" s="350">
        <f t="shared" si="43"/>
        <v>93.15</v>
      </c>
      <c r="F1295" s="298" t="s">
        <v>98</v>
      </c>
      <c r="G1295" s="301">
        <f t="shared" si="42"/>
        <v>96.82</v>
      </c>
    </row>
    <row r="1296" spans="1:7" x14ac:dyDescent="0.25">
      <c r="A1296" s="297">
        <v>42957</v>
      </c>
      <c r="B1296" s="298" t="s">
        <v>4204</v>
      </c>
      <c r="C1296" s="299" t="s">
        <v>76</v>
      </c>
      <c r="D1296" s="300">
        <v>261.51</v>
      </c>
      <c r="E1296" s="350">
        <f t="shared" si="43"/>
        <v>212.06</v>
      </c>
      <c r="F1296" s="298" t="s">
        <v>98</v>
      </c>
      <c r="G1296" s="301">
        <f t="shared" si="42"/>
        <v>220.4</v>
      </c>
    </row>
    <row r="1297" spans="1:7" x14ac:dyDescent="0.25">
      <c r="A1297" s="297">
        <v>42958</v>
      </c>
      <c r="B1297" s="298" t="s">
        <v>3982</v>
      </c>
      <c r="C1297" s="299" t="s">
        <v>76</v>
      </c>
      <c r="D1297" s="300">
        <v>281.57</v>
      </c>
      <c r="E1297" s="350">
        <f t="shared" si="43"/>
        <v>228.33</v>
      </c>
      <c r="F1297" s="298" t="s">
        <v>3693</v>
      </c>
      <c r="G1297" s="301">
        <f t="shared" si="42"/>
        <v>237.31</v>
      </c>
    </row>
    <row r="1298" spans="1:7" x14ac:dyDescent="0.25">
      <c r="A1298" s="297">
        <v>42959</v>
      </c>
      <c r="B1298" s="298" t="s">
        <v>3983</v>
      </c>
      <c r="C1298" s="299" t="s">
        <v>76</v>
      </c>
      <c r="D1298" s="300">
        <v>284.35000000000002</v>
      </c>
      <c r="E1298" s="350">
        <f t="shared" si="43"/>
        <v>230.58</v>
      </c>
      <c r="F1298" s="298" t="s">
        <v>3693</v>
      </c>
      <c r="G1298" s="301">
        <f t="shared" si="42"/>
        <v>239.65</v>
      </c>
    </row>
    <row r="1299" spans="1:7" x14ac:dyDescent="0.25">
      <c r="A1299" s="297">
        <v>42961</v>
      </c>
      <c r="B1299" s="298" t="s">
        <v>4205</v>
      </c>
      <c r="C1299" s="299" t="s">
        <v>76</v>
      </c>
      <c r="D1299" s="300">
        <v>27.48</v>
      </c>
      <c r="E1299" s="350">
        <f t="shared" si="43"/>
        <v>22.29</v>
      </c>
      <c r="F1299" s="298" t="s">
        <v>98</v>
      </c>
      <c r="G1299" s="301">
        <f t="shared" si="42"/>
        <v>23.17</v>
      </c>
    </row>
    <row r="1300" spans="1:7" x14ac:dyDescent="0.25">
      <c r="A1300" s="297">
        <v>42962</v>
      </c>
      <c r="B1300" s="298" t="s">
        <v>4205</v>
      </c>
      <c r="C1300" s="299" t="s">
        <v>76</v>
      </c>
      <c r="D1300" s="300">
        <v>27.48</v>
      </c>
      <c r="E1300" s="350">
        <f t="shared" si="43"/>
        <v>22.29</v>
      </c>
      <c r="F1300" s="298" t="s">
        <v>98</v>
      </c>
      <c r="G1300" s="301">
        <f t="shared" si="42"/>
        <v>23.17</v>
      </c>
    </row>
    <row r="1301" spans="1:7" x14ac:dyDescent="0.25">
      <c r="A1301" s="297">
        <v>42960</v>
      </c>
      <c r="B1301" s="298" t="s">
        <v>3986</v>
      </c>
      <c r="C1301" s="299" t="s">
        <v>76</v>
      </c>
      <c r="D1301" s="300">
        <v>18.059999999999999</v>
      </c>
      <c r="E1301" s="350">
        <f t="shared" si="43"/>
        <v>14.65</v>
      </c>
      <c r="F1301" s="298" t="s">
        <v>98</v>
      </c>
      <c r="G1301" s="301">
        <f t="shared" si="42"/>
        <v>15.23</v>
      </c>
    </row>
    <row r="1302" spans="1:7" x14ac:dyDescent="0.25">
      <c r="A1302" s="297">
        <v>42964</v>
      </c>
      <c r="B1302" s="298" t="s">
        <v>4206</v>
      </c>
      <c r="C1302" s="299" t="s">
        <v>76</v>
      </c>
      <c r="D1302" s="300">
        <v>29.14</v>
      </c>
      <c r="E1302" s="350">
        <f t="shared" si="43"/>
        <v>23.63</v>
      </c>
      <c r="F1302" s="298" t="s">
        <v>98</v>
      </c>
      <c r="G1302" s="301">
        <f t="shared" si="42"/>
        <v>24.56</v>
      </c>
    </row>
    <row r="1303" spans="1:7" x14ac:dyDescent="0.25">
      <c r="A1303" s="297">
        <v>42963</v>
      </c>
      <c r="B1303" s="298" t="s">
        <v>3989</v>
      </c>
      <c r="C1303" s="299" t="s">
        <v>76</v>
      </c>
      <c r="D1303" s="300">
        <v>19.63</v>
      </c>
      <c r="E1303" s="350">
        <f t="shared" si="43"/>
        <v>15.92</v>
      </c>
      <c r="F1303" s="298" t="s">
        <v>98</v>
      </c>
      <c r="G1303" s="301">
        <f t="shared" si="42"/>
        <v>16.55</v>
      </c>
    </row>
    <row r="1304" spans="1:7" x14ac:dyDescent="0.25">
      <c r="A1304" s="297">
        <v>42966</v>
      </c>
      <c r="B1304" s="298" t="s">
        <v>4207</v>
      </c>
      <c r="C1304" s="299" t="s">
        <v>76</v>
      </c>
      <c r="D1304" s="300">
        <v>32.32</v>
      </c>
      <c r="E1304" s="350">
        <f t="shared" si="43"/>
        <v>26.21</v>
      </c>
      <c r="F1304" s="298" t="s">
        <v>98</v>
      </c>
      <c r="G1304" s="301">
        <f t="shared" si="42"/>
        <v>27.24</v>
      </c>
    </row>
    <row r="1305" spans="1:7" x14ac:dyDescent="0.25">
      <c r="A1305" s="297">
        <v>42965</v>
      </c>
      <c r="B1305" s="298" t="s">
        <v>3992</v>
      </c>
      <c r="C1305" s="299" t="s">
        <v>76</v>
      </c>
      <c r="D1305" s="300">
        <v>22.78</v>
      </c>
      <c r="E1305" s="350">
        <f t="shared" si="43"/>
        <v>18.48</v>
      </c>
      <c r="F1305" s="298" t="s">
        <v>98</v>
      </c>
      <c r="G1305" s="301">
        <f t="shared" si="42"/>
        <v>19.21</v>
      </c>
    </row>
    <row r="1306" spans="1:7" x14ac:dyDescent="0.25">
      <c r="A1306" s="297">
        <v>42968</v>
      </c>
      <c r="B1306" s="298" t="s">
        <v>4208</v>
      </c>
      <c r="C1306" s="299" t="s">
        <v>76</v>
      </c>
      <c r="D1306" s="300">
        <v>41.17</v>
      </c>
      <c r="E1306" s="350">
        <f t="shared" si="43"/>
        <v>33.39</v>
      </c>
      <c r="F1306" s="298" t="s">
        <v>98</v>
      </c>
      <c r="G1306" s="301">
        <f t="shared" si="42"/>
        <v>34.71</v>
      </c>
    </row>
    <row r="1307" spans="1:7" x14ac:dyDescent="0.25">
      <c r="A1307" s="297">
        <v>42967</v>
      </c>
      <c r="B1307" s="298" t="s">
        <v>3995</v>
      </c>
      <c r="C1307" s="299" t="s">
        <v>76</v>
      </c>
      <c r="D1307" s="300">
        <v>32.840000000000003</v>
      </c>
      <c r="E1307" s="350">
        <f t="shared" si="43"/>
        <v>26.63</v>
      </c>
      <c r="F1307" s="298" t="s">
        <v>98</v>
      </c>
      <c r="G1307" s="301">
        <f t="shared" si="42"/>
        <v>27.68</v>
      </c>
    </row>
    <row r="1308" spans="1:7" x14ac:dyDescent="0.25">
      <c r="A1308" s="297">
        <v>42970</v>
      </c>
      <c r="B1308" s="298" t="s">
        <v>4209</v>
      </c>
      <c r="C1308" s="299" t="s">
        <v>76</v>
      </c>
      <c r="D1308" s="300">
        <v>47.2</v>
      </c>
      <c r="E1308" s="350">
        <f t="shared" si="43"/>
        <v>38.28</v>
      </c>
      <c r="F1308" s="298" t="s">
        <v>98</v>
      </c>
      <c r="G1308" s="301">
        <f t="shared" si="42"/>
        <v>39.79</v>
      </c>
    </row>
    <row r="1309" spans="1:7" x14ac:dyDescent="0.25">
      <c r="A1309" s="297">
        <v>42969</v>
      </c>
      <c r="B1309" s="298" t="s">
        <v>3998</v>
      </c>
      <c r="C1309" s="299" t="s">
        <v>76</v>
      </c>
      <c r="D1309" s="300">
        <v>39.270000000000003</v>
      </c>
      <c r="E1309" s="350">
        <f t="shared" si="43"/>
        <v>31.85</v>
      </c>
      <c r="F1309" s="298" t="s">
        <v>98</v>
      </c>
      <c r="G1309" s="301">
        <f t="shared" si="42"/>
        <v>33.11</v>
      </c>
    </row>
    <row r="1310" spans="1:7" x14ac:dyDescent="0.25">
      <c r="A1310" s="297">
        <v>42973</v>
      </c>
      <c r="B1310" s="298" t="s">
        <v>4210</v>
      </c>
      <c r="C1310" s="299" t="s">
        <v>76</v>
      </c>
      <c r="D1310" s="300">
        <v>56.23</v>
      </c>
      <c r="E1310" s="350">
        <f t="shared" si="43"/>
        <v>45.6</v>
      </c>
      <c r="F1310" s="298" t="s">
        <v>98</v>
      </c>
      <c r="G1310" s="301">
        <f t="shared" si="42"/>
        <v>47.4</v>
      </c>
    </row>
    <row r="1311" spans="1:7" x14ac:dyDescent="0.25">
      <c r="A1311" s="297">
        <v>42979</v>
      </c>
      <c r="B1311" s="298" t="s">
        <v>4211</v>
      </c>
      <c r="C1311" s="299" t="s">
        <v>76</v>
      </c>
      <c r="D1311" s="300">
        <v>56.23</v>
      </c>
      <c r="E1311" s="350">
        <f t="shared" si="43"/>
        <v>45.6</v>
      </c>
      <c r="F1311" s="298" t="s">
        <v>98</v>
      </c>
      <c r="G1311" s="301">
        <f t="shared" si="42"/>
        <v>47.4</v>
      </c>
    </row>
    <row r="1312" spans="1:7" x14ac:dyDescent="0.25">
      <c r="A1312" s="297">
        <v>42971</v>
      </c>
      <c r="B1312" s="298" t="s">
        <v>4001</v>
      </c>
      <c r="C1312" s="299" t="s">
        <v>76</v>
      </c>
      <c r="D1312" s="300">
        <v>49.15</v>
      </c>
      <c r="E1312" s="350">
        <f t="shared" si="43"/>
        <v>39.86</v>
      </c>
      <c r="F1312" s="298" t="s">
        <v>98</v>
      </c>
      <c r="G1312" s="301">
        <f t="shared" si="42"/>
        <v>41.43</v>
      </c>
    </row>
    <row r="1313" spans="1:7" x14ac:dyDescent="0.25">
      <c r="A1313" s="297">
        <v>42981</v>
      </c>
      <c r="B1313" s="298" t="s">
        <v>4203</v>
      </c>
      <c r="C1313" s="299" t="s">
        <v>2884</v>
      </c>
      <c r="D1313" s="300">
        <v>287.75</v>
      </c>
      <c r="E1313" s="350">
        <f t="shared" si="43"/>
        <v>233.34</v>
      </c>
      <c r="F1313" s="298" t="s">
        <v>3693</v>
      </c>
      <c r="G1313" s="301">
        <f t="shared" si="42"/>
        <v>242.51</v>
      </c>
    </row>
    <row r="1314" spans="1:7" x14ac:dyDescent="0.25">
      <c r="A1314" s="297">
        <v>42982</v>
      </c>
      <c r="B1314" s="302" t="s">
        <v>4202</v>
      </c>
      <c r="C1314" s="299" t="s">
        <v>76</v>
      </c>
      <c r="D1314" s="300">
        <v>201.33</v>
      </c>
      <c r="E1314" s="350">
        <f t="shared" si="43"/>
        <v>163.26</v>
      </c>
      <c r="F1314" s="298" t="s">
        <v>3693</v>
      </c>
      <c r="G1314" s="301">
        <f t="shared" ref="G1314:G1369" si="44">ROUNDUP(E1314*$H$2,2)</f>
        <v>169.68</v>
      </c>
    </row>
    <row r="1315" spans="1:7" x14ac:dyDescent="0.25">
      <c r="A1315" s="297">
        <v>42987</v>
      </c>
      <c r="B1315" s="298" t="s">
        <v>4019</v>
      </c>
      <c r="C1315" s="299" t="s">
        <v>2884</v>
      </c>
      <c r="D1315" s="300">
        <v>106.05</v>
      </c>
      <c r="E1315" s="350">
        <f t="shared" si="43"/>
        <v>86</v>
      </c>
      <c r="F1315" s="298" t="s">
        <v>3693</v>
      </c>
      <c r="G1315" s="301">
        <f t="shared" si="44"/>
        <v>89.38</v>
      </c>
    </row>
    <row r="1316" spans="1:7" x14ac:dyDescent="0.25">
      <c r="A1316" s="297">
        <v>42988</v>
      </c>
      <c r="B1316" s="298" t="s">
        <v>4021</v>
      </c>
      <c r="C1316" s="299" t="s">
        <v>2884</v>
      </c>
      <c r="D1316" s="300">
        <v>92.4</v>
      </c>
      <c r="E1316" s="350">
        <f t="shared" si="43"/>
        <v>74.930000000000007</v>
      </c>
      <c r="F1316" s="298" t="s">
        <v>3693</v>
      </c>
      <c r="G1316" s="301">
        <f t="shared" si="44"/>
        <v>77.88</v>
      </c>
    </row>
    <row r="1317" spans="1:7" x14ac:dyDescent="0.25">
      <c r="A1317" s="297">
        <v>42989</v>
      </c>
      <c r="B1317" s="298" t="s">
        <v>3635</v>
      </c>
      <c r="C1317" s="299" t="s">
        <v>2884</v>
      </c>
      <c r="D1317" s="300">
        <v>12.87</v>
      </c>
      <c r="E1317" s="350">
        <f t="shared" si="43"/>
        <v>10.44</v>
      </c>
      <c r="F1317" s="298" t="s">
        <v>98</v>
      </c>
      <c r="G1317" s="301">
        <f t="shared" si="44"/>
        <v>10.86</v>
      </c>
    </row>
    <row r="1318" spans="1:7" x14ac:dyDescent="0.25">
      <c r="A1318" s="297">
        <v>42991</v>
      </c>
      <c r="B1318" s="298" t="s">
        <v>4024</v>
      </c>
      <c r="C1318" s="299" t="s">
        <v>2884</v>
      </c>
      <c r="D1318" s="300">
        <v>134.63999999999999</v>
      </c>
      <c r="E1318" s="350">
        <f t="shared" si="43"/>
        <v>109.18</v>
      </c>
      <c r="F1318" s="298" t="s">
        <v>3693</v>
      </c>
      <c r="G1318" s="301">
        <f t="shared" si="44"/>
        <v>113.48</v>
      </c>
    </row>
    <row r="1319" spans="1:7" x14ac:dyDescent="0.25">
      <c r="A1319" s="297">
        <v>42992</v>
      </c>
      <c r="B1319" s="298" t="s">
        <v>4026</v>
      </c>
      <c r="C1319" s="299" t="s">
        <v>2884</v>
      </c>
      <c r="D1319" s="300">
        <v>114.47</v>
      </c>
      <c r="E1319" s="350">
        <f t="shared" si="43"/>
        <v>92.83</v>
      </c>
      <c r="F1319" s="298" t="s">
        <v>3693</v>
      </c>
      <c r="G1319" s="301">
        <f t="shared" si="44"/>
        <v>96.48</v>
      </c>
    </row>
    <row r="1320" spans="1:7" x14ac:dyDescent="0.25">
      <c r="A1320" s="297">
        <v>42993</v>
      </c>
      <c r="B1320" s="298" t="s">
        <v>4028</v>
      </c>
      <c r="C1320" s="299" t="s">
        <v>2884</v>
      </c>
      <c r="D1320" s="300">
        <v>97.28</v>
      </c>
      <c r="E1320" s="350">
        <f t="shared" si="43"/>
        <v>78.89</v>
      </c>
      <c r="F1320" s="298" t="s">
        <v>3693</v>
      </c>
      <c r="G1320" s="301">
        <f t="shared" si="44"/>
        <v>82</v>
      </c>
    </row>
    <row r="1321" spans="1:7" x14ac:dyDescent="0.25">
      <c r="A1321" s="297">
        <v>42994</v>
      </c>
      <c r="B1321" s="298" t="s">
        <v>4031</v>
      </c>
      <c r="C1321" s="299" t="s">
        <v>2884</v>
      </c>
      <c r="D1321" s="300">
        <v>192.58</v>
      </c>
      <c r="E1321" s="350">
        <f t="shared" si="43"/>
        <v>156.16999999999999</v>
      </c>
      <c r="F1321" s="298" t="s">
        <v>3693</v>
      </c>
      <c r="G1321" s="301">
        <f t="shared" si="44"/>
        <v>162.31</v>
      </c>
    </row>
    <row r="1322" spans="1:7" x14ac:dyDescent="0.25">
      <c r="A1322" s="297">
        <v>43070</v>
      </c>
      <c r="B1322" s="298" t="s">
        <v>4046</v>
      </c>
      <c r="C1322" s="299" t="s">
        <v>2884</v>
      </c>
      <c r="D1322" s="300">
        <v>302.82</v>
      </c>
      <c r="E1322" s="350">
        <f t="shared" si="43"/>
        <v>245.56</v>
      </c>
      <c r="F1322" s="298" t="s">
        <v>98</v>
      </c>
      <c r="G1322" s="301">
        <f t="shared" si="44"/>
        <v>255.21</v>
      </c>
    </row>
    <row r="1323" spans="1:7" x14ac:dyDescent="0.25">
      <c r="A1323" s="297">
        <v>42996</v>
      </c>
      <c r="B1323" s="298" t="s">
        <v>3636</v>
      </c>
      <c r="C1323" s="299" t="s">
        <v>76</v>
      </c>
      <c r="D1323" s="300">
        <v>570.9</v>
      </c>
      <c r="E1323" s="350">
        <f t="shared" si="43"/>
        <v>462.95</v>
      </c>
      <c r="F1323" s="298" t="s">
        <v>3693</v>
      </c>
      <c r="G1323" s="301">
        <f t="shared" si="44"/>
        <v>481.15</v>
      </c>
    </row>
    <row r="1324" spans="1:7" x14ac:dyDescent="0.25">
      <c r="A1324" s="297">
        <v>43012</v>
      </c>
      <c r="B1324" s="298" t="s">
        <v>3637</v>
      </c>
      <c r="C1324" s="299" t="s">
        <v>2884</v>
      </c>
      <c r="D1324" s="300">
        <v>14.14</v>
      </c>
      <c r="E1324" s="350">
        <f t="shared" si="43"/>
        <v>11.47</v>
      </c>
      <c r="F1324" s="298" t="s">
        <v>98</v>
      </c>
      <c r="G1324" s="301">
        <f t="shared" si="44"/>
        <v>11.93</v>
      </c>
    </row>
    <row r="1325" spans="1:7" x14ac:dyDescent="0.25">
      <c r="A1325" s="297">
        <v>43011</v>
      </c>
      <c r="B1325" s="298" t="s">
        <v>3638</v>
      </c>
      <c r="C1325" s="299" t="s">
        <v>2884</v>
      </c>
      <c r="D1325" s="300">
        <v>9.93</v>
      </c>
      <c r="E1325" s="350">
        <f t="shared" si="43"/>
        <v>8.06</v>
      </c>
      <c r="F1325" s="298" t="s">
        <v>98</v>
      </c>
      <c r="G1325" s="301">
        <f t="shared" si="44"/>
        <v>8.3800000000000008</v>
      </c>
    </row>
    <row r="1326" spans="1:7" x14ac:dyDescent="0.25">
      <c r="A1326" s="297">
        <v>43003</v>
      </c>
      <c r="B1326" s="298" t="s">
        <v>3639</v>
      </c>
      <c r="C1326" s="299" t="s">
        <v>76</v>
      </c>
      <c r="D1326" s="300">
        <v>158.19999999999999</v>
      </c>
      <c r="E1326" s="350">
        <f t="shared" si="43"/>
        <v>128.29</v>
      </c>
      <c r="F1326" s="298" t="s">
        <v>3693</v>
      </c>
      <c r="G1326" s="301">
        <f t="shared" si="44"/>
        <v>133.34</v>
      </c>
    </row>
    <row r="1327" spans="1:7" x14ac:dyDescent="0.25">
      <c r="A1327" s="297">
        <v>43004</v>
      </c>
      <c r="B1327" s="298" t="s">
        <v>3640</v>
      </c>
      <c r="C1327" s="299" t="s">
        <v>2884</v>
      </c>
      <c r="D1327" s="300">
        <v>47.3</v>
      </c>
      <c r="E1327" s="350">
        <f t="shared" si="43"/>
        <v>38.36</v>
      </c>
      <c r="F1327" s="298" t="s">
        <v>98</v>
      </c>
      <c r="G1327" s="301">
        <f t="shared" si="44"/>
        <v>39.869999999999997</v>
      </c>
    </row>
    <row r="1328" spans="1:7" x14ac:dyDescent="0.25">
      <c r="A1328" s="297">
        <v>43005</v>
      </c>
      <c r="B1328" s="298" t="s">
        <v>3641</v>
      </c>
      <c r="C1328" s="299" t="s">
        <v>82</v>
      </c>
      <c r="D1328" s="300">
        <v>42.37</v>
      </c>
      <c r="E1328" s="350">
        <f t="shared" si="43"/>
        <v>34.36</v>
      </c>
      <c r="F1328" s="298" t="s">
        <v>98</v>
      </c>
      <c r="G1328" s="301">
        <f t="shared" si="44"/>
        <v>35.72</v>
      </c>
    </row>
    <row r="1329" spans="1:7" x14ac:dyDescent="0.25">
      <c r="A1329" s="297">
        <v>43006</v>
      </c>
      <c r="B1329" s="298" t="s">
        <v>3642</v>
      </c>
      <c r="C1329" s="299" t="s">
        <v>82</v>
      </c>
      <c r="D1329" s="300">
        <v>68.47</v>
      </c>
      <c r="E1329" s="350">
        <f t="shared" si="43"/>
        <v>55.53</v>
      </c>
      <c r="F1329" s="298" t="s">
        <v>98</v>
      </c>
      <c r="G1329" s="301">
        <f t="shared" si="44"/>
        <v>57.72</v>
      </c>
    </row>
    <row r="1330" spans="1:7" x14ac:dyDescent="0.25">
      <c r="A1330" s="297">
        <v>43007</v>
      </c>
      <c r="B1330" s="298" t="s">
        <v>3643</v>
      </c>
      <c r="C1330" s="299" t="s">
        <v>82</v>
      </c>
      <c r="D1330" s="300">
        <v>22.3</v>
      </c>
      <c r="E1330" s="350">
        <f t="shared" si="43"/>
        <v>18.09</v>
      </c>
      <c r="F1330" s="298" t="s">
        <v>98</v>
      </c>
      <c r="G1330" s="301">
        <f t="shared" si="44"/>
        <v>18.809999999999999</v>
      </c>
    </row>
    <row r="1331" spans="1:7" x14ac:dyDescent="0.25">
      <c r="A1331" s="297">
        <v>43008</v>
      </c>
      <c r="B1331" s="298" t="s">
        <v>3644</v>
      </c>
      <c r="C1331" s="299" t="s">
        <v>82</v>
      </c>
      <c r="D1331" s="300">
        <v>62.43</v>
      </c>
      <c r="E1331" s="350">
        <f t="shared" si="43"/>
        <v>50.63</v>
      </c>
      <c r="F1331" s="298" t="s">
        <v>98</v>
      </c>
      <c r="G1331" s="301">
        <f t="shared" si="44"/>
        <v>52.62</v>
      </c>
    </row>
    <row r="1332" spans="1:7" x14ac:dyDescent="0.25">
      <c r="A1332" s="297">
        <v>43009</v>
      </c>
      <c r="B1332" s="298" t="s">
        <v>3645</v>
      </c>
      <c r="C1332" s="299" t="s">
        <v>2884</v>
      </c>
      <c r="D1332" s="300">
        <v>122.12</v>
      </c>
      <c r="E1332" s="350">
        <f t="shared" si="43"/>
        <v>99.03</v>
      </c>
      <c r="F1332" s="298" t="s">
        <v>98</v>
      </c>
      <c r="G1332" s="301">
        <f t="shared" si="44"/>
        <v>102.93</v>
      </c>
    </row>
    <row r="1333" spans="1:7" x14ac:dyDescent="0.25">
      <c r="A1333" s="297">
        <v>43018</v>
      </c>
      <c r="B1333" s="298" t="s">
        <v>3646</v>
      </c>
      <c r="C1333" s="299" t="s">
        <v>82</v>
      </c>
      <c r="D1333" s="300">
        <v>72.319999999999993</v>
      </c>
      <c r="E1333" s="350">
        <f t="shared" si="43"/>
        <v>58.65</v>
      </c>
      <c r="F1333" s="298" t="s">
        <v>3693</v>
      </c>
      <c r="G1333" s="301">
        <f t="shared" si="44"/>
        <v>60.96</v>
      </c>
    </row>
    <row r="1334" spans="1:7" x14ac:dyDescent="0.25">
      <c r="A1334" s="297">
        <v>43026</v>
      </c>
      <c r="B1334" s="302" t="s">
        <v>4201</v>
      </c>
      <c r="C1334" s="299" t="s">
        <v>82</v>
      </c>
      <c r="D1334" s="300">
        <v>28.75</v>
      </c>
      <c r="E1334" s="350">
        <f t="shared" si="43"/>
        <v>23.32</v>
      </c>
      <c r="F1334" s="298" t="s">
        <v>98</v>
      </c>
      <c r="G1334" s="301">
        <f t="shared" si="44"/>
        <v>24.24</v>
      </c>
    </row>
    <row r="1335" spans="1:7" x14ac:dyDescent="0.25">
      <c r="A1335" s="297">
        <v>43033</v>
      </c>
      <c r="B1335" s="298" t="s">
        <v>3647</v>
      </c>
      <c r="C1335" s="299" t="s">
        <v>2871</v>
      </c>
      <c r="D1335" s="300">
        <v>1271.08</v>
      </c>
      <c r="E1335" s="350">
        <f t="shared" si="43"/>
        <v>1030.72</v>
      </c>
      <c r="F1335" s="298" t="s">
        <v>3693</v>
      </c>
      <c r="G1335" s="301">
        <f t="shared" si="44"/>
        <v>1071.23</v>
      </c>
    </row>
    <row r="1336" spans="1:7" x14ac:dyDescent="0.25">
      <c r="A1336" s="297">
        <v>43037</v>
      </c>
      <c r="B1336" s="298" t="s">
        <v>3648</v>
      </c>
      <c r="C1336" s="299" t="s">
        <v>76</v>
      </c>
      <c r="D1336" s="300">
        <v>90.27</v>
      </c>
      <c r="E1336" s="350">
        <f t="shared" si="43"/>
        <v>73.2</v>
      </c>
      <c r="F1336" s="298" t="s">
        <v>98</v>
      </c>
      <c r="G1336" s="301">
        <f t="shared" si="44"/>
        <v>76.08</v>
      </c>
    </row>
    <row r="1337" spans="1:7" x14ac:dyDescent="0.25">
      <c r="A1337" s="297">
        <v>43038</v>
      </c>
      <c r="B1337" s="298" t="s">
        <v>4081</v>
      </c>
      <c r="C1337" s="299" t="s">
        <v>2871</v>
      </c>
      <c r="D1337" s="300">
        <v>128.56</v>
      </c>
      <c r="E1337" s="350">
        <f t="shared" si="43"/>
        <v>104.25</v>
      </c>
      <c r="F1337" s="298" t="s">
        <v>3693</v>
      </c>
      <c r="G1337" s="301">
        <f t="shared" si="44"/>
        <v>108.35</v>
      </c>
    </row>
    <row r="1338" spans="1:7" x14ac:dyDescent="0.25">
      <c r="A1338" s="297">
        <v>43039</v>
      </c>
      <c r="B1338" s="298" t="s">
        <v>3649</v>
      </c>
      <c r="C1338" s="299" t="s">
        <v>2884</v>
      </c>
      <c r="D1338" s="300">
        <v>6.06</v>
      </c>
      <c r="E1338" s="350">
        <f t="shared" si="43"/>
        <v>4.92</v>
      </c>
      <c r="F1338" s="298" t="s">
        <v>98</v>
      </c>
      <c r="G1338" s="301">
        <f t="shared" si="44"/>
        <v>5.12</v>
      </c>
    </row>
    <row r="1339" spans="1:7" x14ac:dyDescent="0.25">
      <c r="A1339" s="297">
        <v>43040</v>
      </c>
      <c r="B1339" s="298" t="s">
        <v>4200</v>
      </c>
      <c r="C1339" s="299" t="s">
        <v>2884</v>
      </c>
      <c r="D1339" s="300">
        <v>73.84</v>
      </c>
      <c r="E1339" s="350">
        <f t="shared" si="43"/>
        <v>59.88</v>
      </c>
      <c r="F1339" s="298" t="s">
        <v>98</v>
      </c>
      <c r="G1339" s="301">
        <f t="shared" si="44"/>
        <v>62.24</v>
      </c>
    </row>
    <row r="1340" spans="1:7" x14ac:dyDescent="0.25">
      <c r="A1340" s="297">
        <v>43042</v>
      </c>
      <c r="B1340" s="298" t="s">
        <v>4083</v>
      </c>
      <c r="C1340" s="299" t="s">
        <v>2884</v>
      </c>
      <c r="D1340" s="300">
        <v>4.88</v>
      </c>
      <c r="E1340" s="350">
        <f t="shared" si="43"/>
        <v>3.96</v>
      </c>
      <c r="F1340" s="298" t="s">
        <v>98</v>
      </c>
      <c r="G1340" s="301">
        <f t="shared" si="44"/>
        <v>4.12</v>
      </c>
    </row>
    <row r="1341" spans="1:7" x14ac:dyDescent="0.25">
      <c r="A1341" s="297">
        <v>43043</v>
      </c>
      <c r="B1341" s="298" t="s">
        <v>4085</v>
      </c>
      <c r="C1341" s="299" t="s">
        <v>2871</v>
      </c>
      <c r="D1341" s="300">
        <v>3293.08</v>
      </c>
      <c r="E1341" s="350">
        <f t="shared" si="43"/>
        <v>2670.36</v>
      </c>
      <c r="F1341" s="298" t="s">
        <v>98</v>
      </c>
      <c r="G1341" s="301">
        <f t="shared" si="44"/>
        <v>2775.3</v>
      </c>
    </row>
    <row r="1342" spans="1:7" x14ac:dyDescent="0.25">
      <c r="A1342" s="297">
        <v>43044</v>
      </c>
      <c r="B1342" s="298" t="s">
        <v>4087</v>
      </c>
      <c r="C1342" s="299" t="s">
        <v>2871</v>
      </c>
      <c r="D1342" s="300">
        <v>3810.16</v>
      </c>
      <c r="E1342" s="350">
        <f t="shared" si="43"/>
        <v>3089.66</v>
      </c>
      <c r="F1342" s="298" t="s">
        <v>98</v>
      </c>
      <c r="G1342" s="301">
        <f t="shared" si="44"/>
        <v>3211.08</v>
      </c>
    </row>
    <row r="1343" spans="1:7" x14ac:dyDescent="0.25">
      <c r="A1343" s="297">
        <v>41169</v>
      </c>
      <c r="B1343" s="298" t="s">
        <v>4089</v>
      </c>
      <c r="C1343" s="299" t="s">
        <v>2871</v>
      </c>
      <c r="D1343" s="300">
        <v>4496.4799999999996</v>
      </c>
      <c r="E1343" s="350">
        <f t="shared" si="43"/>
        <v>3646.19</v>
      </c>
      <c r="F1343" s="298" t="s">
        <v>98</v>
      </c>
      <c r="G1343" s="301">
        <f t="shared" si="44"/>
        <v>3789.48</v>
      </c>
    </row>
    <row r="1344" spans="1:7" x14ac:dyDescent="0.25">
      <c r="A1344" s="297">
        <v>41170</v>
      </c>
      <c r="B1344" s="298" t="s">
        <v>4090</v>
      </c>
      <c r="C1344" s="299" t="s">
        <v>2871</v>
      </c>
      <c r="D1344" s="300">
        <v>4939.97</v>
      </c>
      <c r="E1344" s="350">
        <f t="shared" si="43"/>
        <v>4005.82</v>
      </c>
      <c r="F1344" s="298" t="s">
        <v>98</v>
      </c>
      <c r="G1344" s="301">
        <f t="shared" si="44"/>
        <v>4163.24</v>
      </c>
    </row>
    <row r="1345" spans="1:7" x14ac:dyDescent="0.25">
      <c r="A1345" s="297">
        <v>41171</v>
      </c>
      <c r="B1345" s="298" t="s">
        <v>4091</v>
      </c>
      <c r="C1345" s="299" t="s">
        <v>2871</v>
      </c>
      <c r="D1345" s="300">
        <v>5888.12</v>
      </c>
      <c r="E1345" s="350">
        <f t="shared" ref="E1345:E1408" si="45">ROUNDUP(D1345/(1+$L$2),2)</f>
        <v>4774.67</v>
      </c>
      <c r="F1345" s="298" t="s">
        <v>98</v>
      </c>
      <c r="G1345" s="301">
        <f t="shared" si="44"/>
        <v>4962.3</v>
      </c>
    </row>
    <row r="1346" spans="1:7" x14ac:dyDescent="0.25">
      <c r="A1346" s="297">
        <v>43046</v>
      </c>
      <c r="B1346" s="298" t="s">
        <v>4092</v>
      </c>
      <c r="C1346" s="299" t="s">
        <v>2871</v>
      </c>
      <c r="D1346" s="300">
        <v>1952.08</v>
      </c>
      <c r="E1346" s="350">
        <f t="shared" si="45"/>
        <v>1582.94</v>
      </c>
      <c r="F1346" s="298" t="s">
        <v>98</v>
      </c>
      <c r="G1346" s="301">
        <f t="shared" si="44"/>
        <v>1645.15</v>
      </c>
    </row>
    <row r="1347" spans="1:7" x14ac:dyDescent="0.25">
      <c r="A1347" s="297">
        <v>43047</v>
      </c>
      <c r="B1347" s="298" t="s">
        <v>4093</v>
      </c>
      <c r="C1347" s="299" t="s">
        <v>2871</v>
      </c>
      <c r="D1347" s="300">
        <v>2513.91</v>
      </c>
      <c r="E1347" s="350">
        <f t="shared" si="45"/>
        <v>2038.53</v>
      </c>
      <c r="F1347" s="298" t="s">
        <v>98</v>
      </c>
      <c r="G1347" s="301">
        <f t="shared" si="44"/>
        <v>2118.64</v>
      </c>
    </row>
    <row r="1348" spans="1:7" x14ac:dyDescent="0.25">
      <c r="A1348" s="297">
        <v>43048</v>
      </c>
      <c r="B1348" s="298" t="s">
        <v>4094</v>
      </c>
      <c r="C1348" s="299" t="s">
        <v>2871</v>
      </c>
      <c r="D1348" s="300">
        <v>3093.56</v>
      </c>
      <c r="E1348" s="350">
        <f t="shared" si="45"/>
        <v>2508.5700000000002</v>
      </c>
      <c r="F1348" s="298" t="s">
        <v>98</v>
      </c>
      <c r="G1348" s="301">
        <f t="shared" si="44"/>
        <v>2607.15</v>
      </c>
    </row>
    <row r="1349" spans="1:7" x14ac:dyDescent="0.25">
      <c r="A1349" s="297">
        <v>43050</v>
      </c>
      <c r="B1349" s="298" t="s">
        <v>4096</v>
      </c>
      <c r="C1349" s="299" t="s">
        <v>2871</v>
      </c>
      <c r="D1349" s="300">
        <v>4654.34</v>
      </c>
      <c r="E1349" s="350">
        <f t="shared" si="45"/>
        <v>3774.2</v>
      </c>
      <c r="F1349" s="298" t="s">
        <v>3693</v>
      </c>
      <c r="G1349" s="301">
        <f t="shared" si="44"/>
        <v>3922.52</v>
      </c>
    </row>
    <row r="1350" spans="1:7" x14ac:dyDescent="0.25">
      <c r="A1350" s="297">
        <v>43051</v>
      </c>
      <c r="B1350" s="298" t="s">
        <v>4098</v>
      </c>
      <c r="C1350" s="299" t="s">
        <v>2871</v>
      </c>
      <c r="D1350" s="300">
        <v>5138.3599999999997</v>
      </c>
      <c r="E1350" s="350">
        <f t="shared" si="45"/>
        <v>4166.6899999999996</v>
      </c>
      <c r="F1350" s="298" t="s">
        <v>3693</v>
      </c>
      <c r="G1350" s="301">
        <f t="shared" si="44"/>
        <v>4330.43</v>
      </c>
    </row>
    <row r="1351" spans="1:7" x14ac:dyDescent="0.25">
      <c r="A1351" s="297">
        <v>43052</v>
      </c>
      <c r="B1351" s="298" t="s">
        <v>4100</v>
      </c>
      <c r="C1351" s="299" t="s">
        <v>2871</v>
      </c>
      <c r="D1351" s="300">
        <v>5622.39</v>
      </c>
      <c r="E1351" s="350">
        <f t="shared" si="45"/>
        <v>4559.1899999999996</v>
      </c>
      <c r="F1351" s="298" t="s">
        <v>3693</v>
      </c>
      <c r="G1351" s="301">
        <f t="shared" si="44"/>
        <v>4738.3599999999997</v>
      </c>
    </row>
    <row r="1352" spans="1:7" x14ac:dyDescent="0.25">
      <c r="A1352" s="297">
        <v>43053</v>
      </c>
      <c r="B1352" s="298" t="s">
        <v>4102</v>
      </c>
      <c r="C1352" s="299" t="s">
        <v>2871</v>
      </c>
      <c r="D1352" s="300">
        <v>6106.41</v>
      </c>
      <c r="E1352" s="350">
        <f t="shared" si="45"/>
        <v>4951.68</v>
      </c>
      <c r="F1352" s="298" t="s">
        <v>3693</v>
      </c>
      <c r="G1352" s="301">
        <f t="shared" si="44"/>
        <v>5146.2700000000004</v>
      </c>
    </row>
    <row r="1353" spans="1:7" x14ac:dyDescent="0.25">
      <c r="A1353" s="297">
        <v>43054</v>
      </c>
      <c r="B1353" s="298" t="s">
        <v>4199</v>
      </c>
      <c r="C1353" s="299" t="s">
        <v>2884</v>
      </c>
      <c r="D1353" s="300">
        <v>12.87</v>
      </c>
      <c r="E1353" s="350">
        <f t="shared" si="45"/>
        <v>10.44</v>
      </c>
      <c r="F1353" s="298" t="s">
        <v>98</v>
      </c>
      <c r="G1353" s="301">
        <f t="shared" si="44"/>
        <v>10.86</v>
      </c>
    </row>
    <row r="1354" spans="1:7" x14ac:dyDescent="0.25">
      <c r="A1354" s="297">
        <v>43055</v>
      </c>
      <c r="B1354" s="298" t="s">
        <v>3650</v>
      </c>
      <c r="C1354" s="299" t="s">
        <v>2884</v>
      </c>
      <c r="D1354" s="300">
        <v>10.33</v>
      </c>
      <c r="E1354" s="350">
        <f t="shared" si="45"/>
        <v>8.3800000000000008</v>
      </c>
      <c r="F1354" s="298" t="s">
        <v>98</v>
      </c>
      <c r="G1354" s="301">
        <f t="shared" si="44"/>
        <v>8.7100000000000009</v>
      </c>
    </row>
    <row r="1355" spans="1:7" x14ac:dyDescent="0.25">
      <c r="A1355" s="297">
        <v>43056</v>
      </c>
      <c r="B1355" s="298" t="s">
        <v>291</v>
      </c>
      <c r="C1355" s="299" t="s">
        <v>76</v>
      </c>
      <c r="D1355" s="300">
        <v>69.84</v>
      </c>
      <c r="E1355" s="350">
        <f t="shared" si="45"/>
        <v>56.64</v>
      </c>
      <c r="F1355" s="298" t="s">
        <v>3693</v>
      </c>
      <c r="G1355" s="301">
        <f t="shared" si="44"/>
        <v>58.87</v>
      </c>
    </row>
    <row r="1356" spans="1:7" x14ac:dyDescent="0.25">
      <c r="A1356" s="297">
        <v>43058</v>
      </c>
      <c r="B1356" s="298" t="s">
        <v>4108</v>
      </c>
      <c r="C1356" s="299" t="s">
        <v>76</v>
      </c>
      <c r="D1356" s="300">
        <v>118.95</v>
      </c>
      <c r="E1356" s="350">
        <f t="shared" si="45"/>
        <v>96.46</v>
      </c>
      <c r="F1356" s="298" t="s">
        <v>98</v>
      </c>
      <c r="G1356" s="301">
        <f t="shared" si="44"/>
        <v>100.26</v>
      </c>
    </row>
    <row r="1357" spans="1:7" x14ac:dyDescent="0.25">
      <c r="A1357" s="297">
        <v>43057</v>
      </c>
      <c r="B1357" s="298" t="s">
        <v>3651</v>
      </c>
      <c r="C1357" s="299" t="s">
        <v>76</v>
      </c>
      <c r="D1357" s="300">
        <v>82.03</v>
      </c>
      <c r="E1357" s="350">
        <f t="shared" si="45"/>
        <v>66.52</v>
      </c>
      <c r="F1357" s="298" t="s">
        <v>98</v>
      </c>
      <c r="G1357" s="301">
        <f t="shared" si="44"/>
        <v>69.14</v>
      </c>
    </row>
    <row r="1358" spans="1:7" x14ac:dyDescent="0.25">
      <c r="A1358" s="297">
        <v>43059</v>
      </c>
      <c r="B1358" s="298" t="s">
        <v>4109</v>
      </c>
      <c r="C1358" s="299" t="s">
        <v>76</v>
      </c>
      <c r="D1358" s="300">
        <v>51.97</v>
      </c>
      <c r="E1358" s="350">
        <f t="shared" si="45"/>
        <v>42.15</v>
      </c>
      <c r="F1358" s="298" t="s">
        <v>98</v>
      </c>
      <c r="G1358" s="301">
        <f t="shared" si="44"/>
        <v>43.81</v>
      </c>
    </row>
    <row r="1359" spans="1:7" x14ac:dyDescent="0.25">
      <c r="A1359" s="297">
        <v>43060</v>
      </c>
      <c r="B1359" s="298" t="s">
        <v>4113</v>
      </c>
      <c r="C1359" s="299" t="s">
        <v>2871</v>
      </c>
      <c r="D1359" s="300">
        <v>1088.75</v>
      </c>
      <c r="E1359" s="350">
        <f t="shared" si="45"/>
        <v>882.87</v>
      </c>
      <c r="F1359" s="298" t="s">
        <v>3693</v>
      </c>
      <c r="G1359" s="301">
        <f t="shared" si="44"/>
        <v>917.57</v>
      </c>
    </row>
    <row r="1360" spans="1:7" x14ac:dyDescent="0.25">
      <c r="A1360" s="297">
        <v>43064</v>
      </c>
      <c r="B1360" s="298" t="s">
        <v>4117</v>
      </c>
      <c r="C1360" s="299" t="s">
        <v>82</v>
      </c>
      <c r="D1360" s="300">
        <v>24.18</v>
      </c>
      <c r="E1360" s="350">
        <f t="shared" si="45"/>
        <v>19.61</v>
      </c>
      <c r="F1360" s="298" t="s">
        <v>98</v>
      </c>
      <c r="G1360" s="301">
        <f t="shared" si="44"/>
        <v>20.39</v>
      </c>
    </row>
    <row r="1361" spans="1:7" x14ac:dyDescent="0.25">
      <c r="A1361" s="297">
        <v>43065</v>
      </c>
      <c r="B1361" s="298" t="s">
        <v>4118</v>
      </c>
      <c r="C1361" s="299" t="s">
        <v>82</v>
      </c>
      <c r="D1361" s="300">
        <v>28.4</v>
      </c>
      <c r="E1361" s="350">
        <f t="shared" si="45"/>
        <v>23.03</v>
      </c>
      <c r="F1361" s="298" t="s">
        <v>98</v>
      </c>
      <c r="G1361" s="301">
        <f t="shared" si="44"/>
        <v>23.94</v>
      </c>
    </row>
    <row r="1362" spans="1:7" x14ac:dyDescent="0.25">
      <c r="A1362" s="297">
        <v>43066</v>
      </c>
      <c r="B1362" s="298" t="s">
        <v>4119</v>
      </c>
      <c r="C1362" s="299" t="s">
        <v>82</v>
      </c>
      <c r="D1362" s="300">
        <v>35.71</v>
      </c>
      <c r="E1362" s="350">
        <f t="shared" si="45"/>
        <v>28.96</v>
      </c>
      <c r="F1362" s="298" t="s">
        <v>98</v>
      </c>
      <c r="G1362" s="301">
        <f t="shared" si="44"/>
        <v>30.1</v>
      </c>
    </row>
    <row r="1363" spans="1:7" x14ac:dyDescent="0.25">
      <c r="A1363" s="297">
        <v>43067</v>
      </c>
      <c r="B1363" s="298" t="s">
        <v>4120</v>
      </c>
      <c r="C1363" s="299" t="s">
        <v>82</v>
      </c>
      <c r="D1363" s="300">
        <v>110.55</v>
      </c>
      <c r="E1363" s="350">
        <f t="shared" si="45"/>
        <v>89.65</v>
      </c>
      <c r="F1363" s="298" t="s">
        <v>98</v>
      </c>
      <c r="G1363" s="301">
        <f t="shared" si="44"/>
        <v>93.18</v>
      </c>
    </row>
    <row r="1364" spans="1:7" x14ac:dyDescent="0.25">
      <c r="A1364" s="297">
        <v>43063</v>
      </c>
      <c r="B1364" s="298" t="s">
        <v>4198</v>
      </c>
      <c r="C1364" s="299" t="s">
        <v>82</v>
      </c>
      <c r="D1364" s="300">
        <v>154.11000000000001</v>
      </c>
      <c r="E1364" s="350">
        <f t="shared" si="45"/>
        <v>124.97</v>
      </c>
      <c r="F1364" s="298" t="s">
        <v>98</v>
      </c>
      <c r="G1364" s="301">
        <f t="shared" si="44"/>
        <v>129.88999999999999</v>
      </c>
    </row>
    <row r="1365" spans="1:7" x14ac:dyDescent="0.25">
      <c r="A1365" s="297">
        <v>43068</v>
      </c>
      <c r="B1365" s="298" t="s">
        <v>4121</v>
      </c>
      <c r="C1365" s="299" t="s">
        <v>82</v>
      </c>
      <c r="D1365" s="300">
        <v>95.77</v>
      </c>
      <c r="E1365" s="350">
        <f t="shared" si="45"/>
        <v>77.66</v>
      </c>
      <c r="F1365" s="298" t="s">
        <v>98</v>
      </c>
      <c r="G1365" s="301">
        <f t="shared" si="44"/>
        <v>80.72</v>
      </c>
    </row>
    <row r="1366" spans="1:7" x14ac:dyDescent="0.25">
      <c r="A1366" s="297">
        <v>43069</v>
      </c>
      <c r="B1366" s="298" t="s">
        <v>3652</v>
      </c>
      <c r="C1366" s="299" t="s">
        <v>82</v>
      </c>
      <c r="D1366" s="300">
        <v>177.82</v>
      </c>
      <c r="E1366" s="350">
        <f t="shared" si="45"/>
        <v>144.19999999999999</v>
      </c>
      <c r="F1366" s="298" t="s">
        <v>3693</v>
      </c>
      <c r="G1366" s="301">
        <f t="shared" si="44"/>
        <v>149.87</v>
      </c>
    </row>
    <row r="1367" spans="1:7" x14ac:dyDescent="0.25">
      <c r="A1367" s="297">
        <v>43071</v>
      </c>
      <c r="B1367" s="298" t="s">
        <v>4197</v>
      </c>
      <c r="C1367" s="299" t="s">
        <v>76</v>
      </c>
      <c r="D1367" s="300">
        <v>369.79</v>
      </c>
      <c r="E1367" s="350">
        <f t="shared" si="45"/>
        <v>299.87</v>
      </c>
      <c r="F1367" s="298" t="s">
        <v>3693</v>
      </c>
      <c r="G1367" s="301">
        <f t="shared" si="44"/>
        <v>311.66000000000003</v>
      </c>
    </row>
    <row r="1368" spans="1:7" x14ac:dyDescent="0.25">
      <c r="A1368" s="297">
        <v>43078</v>
      </c>
      <c r="B1368" s="298" t="s">
        <v>3653</v>
      </c>
      <c r="C1368" s="299" t="s">
        <v>82</v>
      </c>
      <c r="D1368" s="300">
        <v>101.38</v>
      </c>
      <c r="E1368" s="350">
        <f t="shared" si="45"/>
        <v>82.21</v>
      </c>
      <c r="F1368" s="298" t="s">
        <v>98</v>
      </c>
      <c r="G1368" s="301">
        <f t="shared" si="44"/>
        <v>85.45</v>
      </c>
    </row>
    <row r="1369" spans="1:7" x14ac:dyDescent="0.25">
      <c r="A1369" s="297">
        <v>43079</v>
      </c>
      <c r="B1369" s="298" t="s">
        <v>3654</v>
      </c>
      <c r="C1369" s="299" t="s">
        <v>82</v>
      </c>
      <c r="D1369" s="300">
        <v>105.83</v>
      </c>
      <c r="E1369" s="350">
        <f t="shared" si="45"/>
        <v>85.82</v>
      </c>
      <c r="F1369" s="298" t="s">
        <v>98</v>
      </c>
      <c r="G1369" s="301">
        <f t="shared" si="44"/>
        <v>89.2</v>
      </c>
    </row>
    <row r="1370" spans="1:7" x14ac:dyDescent="0.25">
      <c r="A1370" s="297">
        <v>43080</v>
      </c>
      <c r="B1370" s="298" t="s">
        <v>4133</v>
      </c>
      <c r="C1370" s="299" t="s">
        <v>82</v>
      </c>
      <c r="D1370" s="300">
        <v>94.03</v>
      </c>
      <c r="E1370" s="350">
        <f t="shared" si="45"/>
        <v>76.25</v>
      </c>
      <c r="F1370" s="298" t="s">
        <v>3693</v>
      </c>
      <c r="G1370" s="301">
        <f t="shared" ref="G1370:G1420" si="46">ROUNDUP(E1370*$H$2,2)</f>
        <v>79.25</v>
      </c>
    </row>
    <row r="1371" spans="1:7" x14ac:dyDescent="0.25">
      <c r="A1371" s="297">
        <v>43081</v>
      </c>
      <c r="B1371" s="298" t="s">
        <v>4134</v>
      </c>
      <c r="C1371" s="299" t="s">
        <v>82</v>
      </c>
      <c r="D1371" s="300">
        <v>121.11</v>
      </c>
      <c r="E1371" s="350">
        <f t="shared" si="45"/>
        <v>98.21</v>
      </c>
      <c r="F1371" s="298" t="s">
        <v>98</v>
      </c>
      <c r="G1371" s="301">
        <f t="shared" si="46"/>
        <v>102.07</v>
      </c>
    </row>
    <row r="1372" spans="1:7" x14ac:dyDescent="0.25">
      <c r="A1372" s="297">
        <v>43085</v>
      </c>
      <c r="B1372" s="298" t="s">
        <v>4135</v>
      </c>
      <c r="C1372" s="299" t="s">
        <v>82</v>
      </c>
      <c r="D1372" s="300">
        <v>227.61</v>
      </c>
      <c r="E1372" s="350">
        <f t="shared" si="45"/>
        <v>184.57</v>
      </c>
      <c r="F1372" s="298" t="s">
        <v>98</v>
      </c>
      <c r="G1372" s="301">
        <f t="shared" si="46"/>
        <v>191.83</v>
      </c>
    </row>
    <row r="1373" spans="1:7" x14ac:dyDescent="0.25">
      <c r="A1373" s="297">
        <v>43083</v>
      </c>
      <c r="B1373" s="298" t="s">
        <v>4196</v>
      </c>
      <c r="C1373" s="299" t="s">
        <v>82</v>
      </c>
      <c r="D1373" s="300">
        <v>100.25</v>
      </c>
      <c r="E1373" s="350">
        <f t="shared" si="45"/>
        <v>81.3</v>
      </c>
      <c r="F1373" s="298" t="s">
        <v>98</v>
      </c>
      <c r="G1373" s="301">
        <f t="shared" si="46"/>
        <v>84.5</v>
      </c>
    </row>
    <row r="1374" spans="1:7" x14ac:dyDescent="0.25">
      <c r="A1374" s="297">
        <v>43084</v>
      </c>
      <c r="B1374" s="298" t="s">
        <v>4195</v>
      </c>
      <c r="C1374" s="299" t="s">
        <v>82</v>
      </c>
      <c r="D1374" s="300">
        <v>75.650000000000006</v>
      </c>
      <c r="E1374" s="350">
        <f t="shared" si="45"/>
        <v>61.35</v>
      </c>
      <c r="F1374" s="298" t="s">
        <v>98</v>
      </c>
      <c r="G1374" s="301">
        <f t="shared" si="46"/>
        <v>63.77</v>
      </c>
    </row>
    <row r="1375" spans="1:7" x14ac:dyDescent="0.25">
      <c r="A1375" s="297">
        <v>43086</v>
      </c>
      <c r="B1375" s="298" t="s">
        <v>4149</v>
      </c>
      <c r="C1375" s="299" t="s">
        <v>2871</v>
      </c>
      <c r="D1375" s="300">
        <v>245.41</v>
      </c>
      <c r="E1375" s="350">
        <f t="shared" si="45"/>
        <v>199.01</v>
      </c>
      <c r="F1375" s="298" t="s">
        <v>3693</v>
      </c>
      <c r="G1375" s="301">
        <f t="shared" si="46"/>
        <v>206.84</v>
      </c>
    </row>
    <row r="1376" spans="1:7" x14ac:dyDescent="0.25">
      <c r="A1376" s="297">
        <v>43087</v>
      </c>
      <c r="B1376" s="298" t="s">
        <v>4150</v>
      </c>
      <c r="C1376" s="299" t="s">
        <v>2871</v>
      </c>
      <c r="D1376" s="300">
        <v>667.37</v>
      </c>
      <c r="E1376" s="350">
        <f t="shared" si="45"/>
        <v>541.16999999999996</v>
      </c>
      <c r="F1376" s="298" t="s">
        <v>3693</v>
      </c>
      <c r="G1376" s="301">
        <f t="shared" si="46"/>
        <v>562.44000000000005</v>
      </c>
    </row>
    <row r="1377" spans="1:7" x14ac:dyDescent="0.25">
      <c r="A1377" s="297">
        <v>43089</v>
      </c>
      <c r="B1377" s="298" t="s">
        <v>3655</v>
      </c>
      <c r="C1377" s="299" t="s">
        <v>2884</v>
      </c>
      <c r="D1377" s="300">
        <v>55.54</v>
      </c>
      <c r="E1377" s="350">
        <f t="shared" si="45"/>
        <v>45.04</v>
      </c>
      <c r="F1377" s="298" t="s">
        <v>98</v>
      </c>
      <c r="G1377" s="301">
        <f t="shared" si="46"/>
        <v>46.81</v>
      </c>
    </row>
    <row r="1378" spans="1:7" x14ac:dyDescent="0.25">
      <c r="A1378" s="297">
        <v>43090</v>
      </c>
      <c r="B1378" s="298" t="s">
        <v>3656</v>
      </c>
      <c r="C1378" s="299" t="s">
        <v>2884</v>
      </c>
      <c r="D1378" s="300">
        <v>59.39</v>
      </c>
      <c r="E1378" s="350">
        <f t="shared" si="45"/>
        <v>48.16</v>
      </c>
      <c r="F1378" s="298" t="s">
        <v>98</v>
      </c>
      <c r="G1378" s="301">
        <f t="shared" si="46"/>
        <v>50.06</v>
      </c>
    </row>
    <row r="1379" spans="1:7" x14ac:dyDescent="0.25">
      <c r="A1379" s="297">
        <v>43088</v>
      </c>
      <c r="B1379" s="298" t="s">
        <v>4156</v>
      </c>
      <c r="C1379" s="299" t="s">
        <v>82</v>
      </c>
      <c r="D1379" s="300">
        <v>25.31</v>
      </c>
      <c r="E1379" s="350">
        <f t="shared" si="45"/>
        <v>20.53</v>
      </c>
      <c r="F1379" s="298" t="s">
        <v>3693</v>
      </c>
      <c r="G1379" s="301">
        <f t="shared" si="46"/>
        <v>21.34</v>
      </c>
    </row>
    <row r="1380" spans="1:7" x14ac:dyDescent="0.25">
      <c r="A1380" s="297">
        <v>43091</v>
      </c>
      <c r="B1380" s="298" t="s">
        <v>3657</v>
      </c>
      <c r="C1380" s="299" t="s">
        <v>2871</v>
      </c>
      <c r="D1380" s="300">
        <v>451.98</v>
      </c>
      <c r="E1380" s="350">
        <f t="shared" si="45"/>
        <v>366.51</v>
      </c>
      <c r="F1380" s="298" t="s">
        <v>3693</v>
      </c>
      <c r="G1380" s="301">
        <f t="shared" si="46"/>
        <v>380.92</v>
      </c>
    </row>
    <row r="1381" spans="1:7" x14ac:dyDescent="0.25">
      <c r="A1381" s="297">
        <v>43092</v>
      </c>
      <c r="B1381" s="298" t="s">
        <v>4194</v>
      </c>
      <c r="C1381" s="299" t="s">
        <v>3292</v>
      </c>
      <c r="D1381" s="300">
        <v>29.3</v>
      </c>
      <c r="E1381" s="350">
        <f t="shared" si="45"/>
        <v>23.76</v>
      </c>
      <c r="F1381" s="298" t="s">
        <v>98</v>
      </c>
      <c r="G1381" s="301">
        <f t="shared" si="46"/>
        <v>24.7</v>
      </c>
    </row>
    <row r="1382" spans="1:7" x14ac:dyDescent="0.25">
      <c r="A1382" s="297">
        <v>43093</v>
      </c>
      <c r="B1382" s="298" t="s">
        <v>4193</v>
      </c>
      <c r="C1382" s="299" t="s">
        <v>3292</v>
      </c>
      <c r="D1382" s="300">
        <v>39.630000000000003</v>
      </c>
      <c r="E1382" s="350">
        <f t="shared" si="45"/>
        <v>32.14</v>
      </c>
      <c r="F1382" s="298" t="s">
        <v>98</v>
      </c>
      <c r="G1382" s="301">
        <f t="shared" si="46"/>
        <v>33.409999999999997</v>
      </c>
    </row>
    <row r="1383" spans="1:7" x14ac:dyDescent="0.25">
      <c r="A1383" s="297">
        <v>43094</v>
      </c>
      <c r="B1383" s="298" t="s">
        <v>4192</v>
      </c>
      <c r="C1383" s="299" t="s">
        <v>82</v>
      </c>
      <c r="D1383" s="300">
        <v>374</v>
      </c>
      <c r="E1383" s="350">
        <f t="shared" si="45"/>
        <v>303.27999999999997</v>
      </c>
      <c r="F1383" s="298" t="s">
        <v>3693</v>
      </c>
      <c r="G1383" s="301">
        <f t="shared" si="46"/>
        <v>315.2</v>
      </c>
    </row>
    <row r="1384" spans="1:7" x14ac:dyDescent="0.25">
      <c r="A1384" s="297">
        <v>43095</v>
      </c>
      <c r="B1384" s="298" t="s">
        <v>3658</v>
      </c>
      <c r="C1384" s="299" t="s">
        <v>82</v>
      </c>
      <c r="D1384" s="300">
        <v>575.64</v>
      </c>
      <c r="E1384" s="350">
        <f t="shared" si="45"/>
        <v>466.79</v>
      </c>
      <c r="F1384" s="298" t="s">
        <v>3693</v>
      </c>
      <c r="G1384" s="301">
        <f t="shared" si="46"/>
        <v>485.14</v>
      </c>
    </row>
    <row r="1385" spans="1:7" x14ac:dyDescent="0.25">
      <c r="A1385" s="297">
        <v>43096</v>
      </c>
      <c r="B1385" s="298" t="s">
        <v>3659</v>
      </c>
      <c r="C1385" s="299" t="s">
        <v>82</v>
      </c>
      <c r="D1385" s="300">
        <v>810.98</v>
      </c>
      <c r="E1385" s="350">
        <f t="shared" si="45"/>
        <v>657.63</v>
      </c>
      <c r="F1385" s="298" t="s">
        <v>98</v>
      </c>
      <c r="G1385" s="301">
        <f t="shared" si="46"/>
        <v>683.48</v>
      </c>
    </row>
    <row r="1386" spans="1:7" x14ac:dyDescent="0.25">
      <c r="A1386" s="297">
        <v>43098</v>
      </c>
      <c r="B1386" s="298" t="s">
        <v>4172</v>
      </c>
      <c r="C1386" s="299" t="s">
        <v>82</v>
      </c>
      <c r="D1386" s="300">
        <v>31.29</v>
      </c>
      <c r="E1386" s="350">
        <f t="shared" si="45"/>
        <v>25.38</v>
      </c>
      <c r="F1386" s="298" t="s">
        <v>98</v>
      </c>
      <c r="G1386" s="301">
        <f t="shared" si="46"/>
        <v>26.38</v>
      </c>
    </row>
    <row r="1387" spans="1:7" x14ac:dyDescent="0.25">
      <c r="A1387" s="297">
        <v>43097</v>
      </c>
      <c r="B1387" s="298" t="s">
        <v>4173</v>
      </c>
      <c r="C1387" s="299" t="s">
        <v>82</v>
      </c>
      <c r="D1387" s="300">
        <v>78.86</v>
      </c>
      <c r="E1387" s="350">
        <f t="shared" si="45"/>
        <v>63.95</v>
      </c>
      <c r="F1387" s="298" t="s">
        <v>98</v>
      </c>
      <c r="G1387" s="301">
        <f t="shared" si="46"/>
        <v>66.47</v>
      </c>
    </row>
    <row r="1388" spans="1:7" x14ac:dyDescent="0.25">
      <c r="A1388" s="297">
        <v>43100</v>
      </c>
      <c r="B1388" s="302" t="s">
        <v>3660</v>
      </c>
      <c r="C1388" s="299" t="s">
        <v>82</v>
      </c>
      <c r="D1388" s="300">
        <v>63.84</v>
      </c>
      <c r="E1388" s="350">
        <f t="shared" si="45"/>
        <v>51.77</v>
      </c>
      <c r="F1388" s="298" t="s">
        <v>98</v>
      </c>
      <c r="G1388" s="301">
        <f t="shared" si="46"/>
        <v>53.81</v>
      </c>
    </row>
    <row r="1389" spans="1:7" x14ac:dyDescent="0.25">
      <c r="A1389" s="297">
        <v>43101</v>
      </c>
      <c r="B1389" s="298" t="s">
        <v>4174</v>
      </c>
      <c r="C1389" s="299" t="s">
        <v>82</v>
      </c>
      <c r="D1389" s="300">
        <v>11.65</v>
      </c>
      <c r="E1389" s="350">
        <f t="shared" si="45"/>
        <v>9.4499999999999993</v>
      </c>
      <c r="F1389" s="298" t="s">
        <v>98</v>
      </c>
      <c r="G1389" s="301">
        <f t="shared" si="46"/>
        <v>9.83</v>
      </c>
    </row>
    <row r="1390" spans="1:7" x14ac:dyDescent="0.25">
      <c r="A1390" s="297">
        <v>43102</v>
      </c>
      <c r="B1390" s="298" t="s">
        <v>3661</v>
      </c>
      <c r="C1390" s="299" t="s">
        <v>82</v>
      </c>
      <c r="D1390" s="300">
        <v>11.07</v>
      </c>
      <c r="E1390" s="350">
        <f t="shared" si="45"/>
        <v>8.98</v>
      </c>
      <c r="F1390" s="298" t="s">
        <v>98</v>
      </c>
      <c r="G1390" s="301">
        <f t="shared" si="46"/>
        <v>9.34</v>
      </c>
    </row>
    <row r="1391" spans="1:7" x14ac:dyDescent="0.25">
      <c r="A1391" s="297">
        <v>42614</v>
      </c>
      <c r="B1391" s="298" t="s">
        <v>4175</v>
      </c>
      <c r="C1391" s="299" t="s">
        <v>82</v>
      </c>
      <c r="D1391" s="300">
        <v>255.55</v>
      </c>
      <c r="E1391" s="350">
        <f t="shared" si="45"/>
        <v>207.23</v>
      </c>
      <c r="F1391" s="298" t="s">
        <v>3693</v>
      </c>
      <c r="G1391" s="301">
        <f t="shared" si="46"/>
        <v>215.38</v>
      </c>
    </row>
    <row r="1392" spans="1:7" x14ac:dyDescent="0.25">
      <c r="A1392" s="297">
        <v>43104</v>
      </c>
      <c r="B1392" s="298" t="s">
        <v>4191</v>
      </c>
      <c r="C1392" s="299" t="s">
        <v>82</v>
      </c>
      <c r="D1392" s="300">
        <v>20.309999999999999</v>
      </c>
      <c r="E1392" s="350">
        <f t="shared" si="45"/>
        <v>16.47</v>
      </c>
      <c r="F1392" s="298" t="s">
        <v>98</v>
      </c>
      <c r="G1392" s="301">
        <f t="shared" si="46"/>
        <v>17.12</v>
      </c>
    </row>
    <row r="1393" spans="1:7" x14ac:dyDescent="0.25">
      <c r="A1393" s="297">
        <v>43105</v>
      </c>
      <c r="B1393" s="298" t="s">
        <v>3662</v>
      </c>
      <c r="C1393" s="299" t="s">
        <v>76</v>
      </c>
      <c r="D1393" s="300">
        <v>410.91</v>
      </c>
      <c r="E1393" s="350">
        <f t="shared" si="45"/>
        <v>333.21</v>
      </c>
      <c r="F1393" s="298" t="s">
        <v>3693</v>
      </c>
      <c r="G1393" s="301">
        <f t="shared" si="46"/>
        <v>346.31</v>
      </c>
    </row>
    <row r="1394" spans="1:7" x14ac:dyDescent="0.25">
      <c r="A1394" s="297">
        <v>43106</v>
      </c>
      <c r="B1394" s="298" t="s">
        <v>3663</v>
      </c>
      <c r="C1394" s="299" t="s">
        <v>76</v>
      </c>
      <c r="D1394" s="300">
        <v>214.63</v>
      </c>
      <c r="E1394" s="350">
        <f t="shared" si="45"/>
        <v>174.05</v>
      </c>
      <c r="F1394" s="298" t="s">
        <v>3693</v>
      </c>
      <c r="G1394" s="301">
        <f t="shared" si="46"/>
        <v>180.89</v>
      </c>
    </row>
    <row r="1395" spans="1:7" x14ac:dyDescent="0.25">
      <c r="A1395" s="297">
        <v>43111</v>
      </c>
      <c r="B1395" s="298" t="s">
        <v>3664</v>
      </c>
      <c r="C1395" s="299" t="s">
        <v>82</v>
      </c>
      <c r="D1395" s="300">
        <v>4.5</v>
      </c>
      <c r="E1395" s="350">
        <f t="shared" si="45"/>
        <v>3.65</v>
      </c>
      <c r="F1395" s="298" t="s">
        <v>98</v>
      </c>
      <c r="G1395" s="301">
        <f t="shared" si="46"/>
        <v>3.8</v>
      </c>
    </row>
    <row r="1396" spans="1:7" x14ac:dyDescent="0.25">
      <c r="A1396" s="297">
        <v>41578</v>
      </c>
      <c r="B1396" s="298" t="s">
        <v>3665</v>
      </c>
      <c r="C1396" s="299" t="s">
        <v>3228</v>
      </c>
      <c r="D1396" s="300">
        <v>970.93</v>
      </c>
      <c r="E1396" s="350">
        <f t="shared" si="45"/>
        <v>787.33</v>
      </c>
      <c r="F1396" s="298" t="s">
        <v>98</v>
      </c>
      <c r="G1396" s="301">
        <f t="shared" si="46"/>
        <v>818.27</v>
      </c>
    </row>
    <row r="1397" spans="1:7" x14ac:dyDescent="0.25">
      <c r="A1397" s="297">
        <v>42511</v>
      </c>
      <c r="B1397" s="298" t="s">
        <v>3666</v>
      </c>
      <c r="C1397" s="299" t="s">
        <v>3228</v>
      </c>
      <c r="D1397" s="300">
        <v>886.67</v>
      </c>
      <c r="E1397" s="350">
        <f t="shared" si="45"/>
        <v>719</v>
      </c>
      <c r="F1397" s="298" t="s">
        <v>98</v>
      </c>
      <c r="G1397" s="301">
        <f t="shared" si="46"/>
        <v>747.26</v>
      </c>
    </row>
    <row r="1398" spans="1:7" x14ac:dyDescent="0.25">
      <c r="A1398" s="297">
        <v>41579</v>
      </c>
      <c r="B1398" s="298" t="s">
        <v>3667</v>
      </c>
      <c r="C1398" s="299" t="s">
        <v>3228</v>
      </c>
      <c r="D1398" s="300">
        <v>652.36</v>
      </c>
      <c r="E1398" s="350">
        <f t="shared" si="45"/>
        <v>529</v>
      </c>
      <c r="F1398" s="298" t="s">
        <v>98</v>
      </c>
      <c r="G1398" s="301">
        <f t="shared" si="46"/>
        <v>549.79</v>
      </c>
    </row>
    <row r="1399" spans="1:7" x14ac:dyDescent="0.25">
      <c r="A1399" s="297">
        <v>41494</v>
      </c>
      <c r="B1399" s="298" t="s">
        <v>3668</v>
      </c>
      <c r="C1399" s="299" t="s">
        <v>3228</v>
      </c>
      <c r="D1399" s="300">
        <v>1145.6400000000001</v>
      </c>
      <c r="E1399" s="350">
        <f t="shared" si="45"/>
        <v>929</v>
      </c>
      <c r="F1399" s="298" t="s">
        <v>98</v>
      </c>
      <c r="G1399" s="301">
        <f t="shared" si="46"/>
        <v>965.51</v>
      </c>
    </row>
    <row r="1400" spans="1:7" x14ac:dyDescent="0.25">
      <c r="A1400" s="297">
        <v>41678</v>
      </c>
      <c r="B1400" s="298" t="s">
        <v>3701</v>
      </c>
      <c r="C1400" s="299" t="s">
        <v>3228</v>
      </c>
      <c r="D1400" s="300">
        <v>886.67</v>
      </c>
      <c r="E1400" s="350">
        <f t="shared" si="45"/>
        <v>719</v>
      </c>
      <c r="F1400" s="298" t="s">
        <v>98</v>
      </c>
      <c r="G1400" s="301">
        <f t="shared" si="46"/>
        <v>747.26</v>
      </c>
    </row>
    <row r="1401" spans="1:7" x14ac:dyDescent="0.25">
      <c r="A1401" s="297">
        <v>41455</v>
      </c>
      <c r="B1401" s="298" t="s">
        <v>4190</v>
      </c>
      <c r="C1401" s="299" t="s">
        <v>3228</v>
      </c>
      <c r="D1401" s="300">
        <v>1881.48</v>
      </c>
      <c r="E1401" s="350">
        <f t="shared" si="45"/>
        <v>1525.69</v>
      </c>
      <c r="F1401" s="298" t="s">
        <v>98</v>
      </c>
      <c r="G1401" s="301">
        <f t="shared" si="46"/>
        <v>1585.65</v>
      </c>
    </row>
    <row r="1402" spans="1:7" x14ac:dyDescent="0.25">
      <c r="A1402" s="297">
        <v>41456</v>
      </c>
      <c r="B1402" s="298" t="s">
        <v>4189</v>
      </c>
      <c r="C1402" s="299" t="s">
        <v>3228</v>
      </c>
      <c r="D1402" s="300">
        <v>2919.53</v>
      </c>
      <c r="E1402" s="350">
        <f t="shared" si="45"/>
        <v>2367.4499999999998</v>
      </c>
      <c r="F1402" s="298" t="s">
        <v>98</v>
      </c>
      <c r="G1402" s="301">
        <f t="shared" si="46"/>
        <v>2460.4899999999998</v>
      </c>
    </row>
    <row r="1403" spans="1:7" x14ac:dyDescent="0.25">
      <c r="A1403" s="297">
        <v>41580</v>
      </c>
      <c r="B1403" s="298" t="s">
        <v>3702</v>
      </c>
      <c r="C1403" s="299" t="s">
        <v>3228</v>
      </c>
      <c r="D1403" s="300">
        <v>1044.82</v>
      </c>
      <c r="E1403" s="350">
        <f t="shared" si="45"/>
        <v>847.25</v>
      </c>
      <c r="F1403" s="298" t="s">
        <v>98</v>
      </c>
      <c r="G1403" s="301">
        <f t="shared" si="46"/>
        <v>880.55</v>
      </c>
    </row>
    <row r="1404" spans="1:7" x14ac:dyDescent="0.25">
      <c r="A1404" s="297">
        <v>41454</v>
      </c>
      <c r="B1404" s="298" t="s">
        <v>3669</v>
      </c>
      <c r="C1404" s="299" t="s">
        <v>3228</v>
      </c>
      <c r="D1404" s="300">
        <v>664.38</v>
      </c>
      <c r="E1404" s="350">
        <f t="shared" si="45"/>
        <v>538.75</v>
      </c>
      <c r="F1404" s="298" t="s">
        <v>98</v>
      </c>
      <c r="G1404" s="301">
        <f t="shared" si="46"/>
        <v>559.92999999999995</v>
      </c>
    </row>
    <row r="1405" spans="1:7" x14ac:dyDescent="0.25">
      <c r="A1405" s="297">
        <v>41498</v>
      </c>
      <c r="B1405" s="298" t="s">
        <v>3670</v>
      </c>
      <c r="C1405" s="299" t="s">
        <v>2884</v>
      </c>
      <c r="D1405" s="300">
        <v>869.24</v>
      </c>
      <c r="E1405" s="350">
        <f t="shared" si="45"/>
        <v>704.87</v>
      </c>
      <c r="F1405" s="298" t="s">
        <v>98</v>
      </c>
      <c r="G1405" s="301">
        <f t="shared" si="46"/>
        <v>732.57</v>
      </c>
    </row>
    <row r="1406" spans="1:7" x14ac:dyDescent="0.25">
      <c r="A1406" s="297">
        <v>41531</v>
      </c>
      <c r="B1406" s="298" t="s">
        <v>3671</v>
      </c>
      <c r="C1406" s="299" t="s">
        <v>2884</v>
      </c>
      <c r="D1406" s="300">
        <v>605.20000000000005</v>
      </c>
      <c r="E1406" s="350">
        <f t="shared" si="45"/>
        <v>490.76</v>
      </c>
      <c r="F1406" s="298" t="s">
        <v>98</v>
      </c>
      <c r="G1406" s="301">
        <f t="shared" si="46"/>
        <v>510.05</v>
      </c>
    </row>
    <row r="1407" spans="1:7" x14ac:dyDescent="0.25">
      <c r="A1407" s="297">
        <v>41557</v>
      </c>
      <c r="B1407" s="298" t="s">
        <v>3672</v>
      </c>
      <c r="C1407" s="299" t="s">
        <v>82</v>
      </c>
      <c r="D1407" s="300">
        <v>207.74</v>
      </c>
      <c r="E1407" s="350">
        <f t="shared" si="45"/>
        <v>168.46</v>
      </c>
      <c r="F1407" s="298" t="s">
        <v>98</v>
      </c>
      <c r="G1407" s="301">
        <f t="shared" si="46"/>
        <v>175.08</v>
      </c>
    </row>
    <row r="1408" spans="1:7" x14ac:dyDescent="0.25">
      <c r="A1408" s="297">
        <v>41506</v>
      </c>
      <c r="B1408" s="298" t="s">
        <v>3673</v>
      </c>
      <c r="C1408" s="299" t="s">
        <v>2884</v>
      </c>
      <c r="D1408" s="300">
        <v>57.91</v>
      </c>
      <c r="E1408" s="350">
        <f t="shared" si="45"/>
        <v>46.96</v>
      </c>
      <c r="F1408" s="298" t="s">
        <v>98</v>
      </c>
      <c r="G1408" s="301">
        <f t="shared" si="46"/>
        <v>48.81</v>
      </c>
    </row>
    <row r="1409" spans="1:7" x14ac:dyDescent="0.25">
      <c r="A1409" s="297">
        <v>41505</v>
      </c>
      <c r="B1409" s="298" t="s">
        <v>3674</v>
      </c>
      <c r="C1409" s="299" t="s">
        <v>2884</v>
      </c>
      <c r="D1409" s="300">
        <v>142.06</v>
      </c>
      <c r="E1409" s="350">
        <f t="shared" ref="E1409:E1428" si="47">ROUNDUP(D1409/(1+$L$2),2)</f>
        <v>115.2</v>
      </c>
      <c r="F1409" s="298" t="s">
        <v>98</v>
      </c>
      <c r="G1409" s="301">
        <f t="shared" si="46"/>
        <v>119.73</v>
      </c>
    </row>
    <row r="1410" spans="1:7" x14ac:dyDescent="0.25">
      <c r="A1410" s="297">
        <v>41528</v>
      </c>
      <c r="B1410" s="298" t="s">
        <v>4188</v>
      </c>
      <c r="C1410" s="299" t="s">
        <v>2884</v>
      </c>
      <c r="D1410" s="300">
        <v>302.61</v>
      </c>
      <c r="E1410" s="350">
        <f t="shared" si="47"/>
        <v>245.39</v>
      </c>
      <c r="F1410" s="298" t="s">
        <v>98</v>
      </c>
      <c r="G1410" s="301">
        <f t="shared" si="46"/>
        <v>255.04</v>
      </c>
    </row>
    <row r="1411" spans="1:7" x14ac:dyDescent="0.25">
      <c r="A1411" s="297">
        <v>41546</v>
      </c>
      <c r="B1411" s="298" t="s">
        <v>3675</v>
      </c>
      <c r="C1411" s="299" t="s">
        <v>170</v>
      </c>
      <c r="D1411" s="300">
        <v>305.61</v>
      </c>
      <c r="E1411" s="350">
        <f t="shared" si="47"/>
        <v>247.82</v>
      </c>
      <c r="F1411" s="298" t="s">
        <v>98</v>
      </c>
      <c r="G1411" s="301">
        <f t="shared" si="46"/>
        <v>257.56</v>
      </c>
    </row>
    <row r="1412" spans="1:7" x14ac:dyDescent="0.25">
      <c r="A1412" s="297">
        <v>41545</v>
      </c>
      <c r="B1412" s="298" t="s">
        <v>3676</v>
      </c>
      <c r="C1412" s="299" t="s">
        <v>170</v>
      </c>
      <c r="D1412" s="300">
        <v>257.38</v>
      </c>
      <c r="E1412" s="350">
        <f t="shared" si="47"/>
        <v>208.71</v>
      </c>
      <c r="F1412" s="298" t="s">
        <v>98</v>
      </c>
      <c r="G1412" s="301">
        <f t="shared" si="46"/>
        <v>216.92</v>
      </c>
    </row>
    <row r="1413" spans="1:7" x14ac:dyDescent="0.25">
      <c r="A1413" s="297">
        <v>41547</v>
      </c>
      <c r="B1413" s="298" t="s">
        <v>3677</v>
      </c>
      <c r="C1413" s="299" t="s">
        <v>170</v>
      </c>
      <c r="D1413" s="300">
        <v>250.62</v>
      </c>
      <c r="E1413" s="350">
        <f t="shared" si="47"/>
        <v>203.23</v>
      </c>
      <c r="F1413" s="298" t="s">
        <v>98</v>
      </c>
      <c r="G1413" s="301">
        <f t="shared" si="46"/>
        <v>211.22</v>
      </c>
    </row>
    <row r="1414" spans="1:7" x14ac:dyDescent="0.25">
      <c r="A1414" s="297">
        <v>41497</v>
      </c>
      <c r="B1414" s="298" t="s">
        <v>3678</v>
      </c>
      <c r="C1414" s="299" t="s">
        <v>2871</v>
      </c>
      <c r="D1414" s="300">
        <v>3914.52</v>
      </c>
      <c r="E1414" s="350">
        <f t="shared" si="47"/>
        <v>3174.28</v>
      </c>
      <c r="F1414" s="298" t="s">
        <v>98</v>
      </c>
      <c r="G1414" s="301">
        <f t="shared" si="46"/>
        <v>3299.02</v>
      </c>
    </row>
    <row r="1415" spans="1:7" x14ac:dyDescent="0.25">
      <c r="A1415" s="297">
        <v>41495</v>
      </c>
      <c r="B1415" s="298" t="s">
        <v>3679</v>
      </c>
      <c r="C1415" s="299" t="s">
        <v>2871</v>
      </c>
      <c r="D1415" s="300">
        <v>1277.18</v>
      </c>
      <c r="E1415" s="350">
        <f t="shared" si="47"/>
        <v>1035.67</v>
      </c>
      <c r="F1415" s="298" t="s">
        <v>98</v>
      </c>
      <c r="G1415" s="301">
        <f t="shared" si="46"/>
        <v>1076.3699999999999</v>
      </c>
    </row>
    <row r="1416" spans="1:7" x14ac:dyDescent="0.25">
      <c r="A1416" s="297">
        <v>41496</v>
      </c>
      <c r="B1416" s="298" t="s">
        <v>3680</v>
      </c>
      <c r="C1416" s="299" t="s">
        <v>2871</v>
      </c>
      <c r="D1416" s="300">
        <v>1565.8</v>
      </c>
      <c r="E1416" s="350">
        <f t="shared" si="47"/>
        <v>1269.71</v>
      </c>
      <c r="F1416" s="298" t="s">
        <v>98</v>
      </c>
      <c r="G1416" s="301">
        <f t="shared" si="46"/>
        <v>1319.61</v>
      </c>
    </row>
    <row r="1417" spans="1:7" x14ac:dyDescent="0.25">
      <c r="A1417" s="297">
        <v>41544</v>
      </c>
      <c r="B1417" s="298" t="s">
        <v>4063</v>
      </c>
      <c r="C1417" s="299" t="s">
        <v>170</v>
      </c>
      <c r="D1417" s="300">
        <v>504.95</v>
      </c>
      <c r="E1417" s="350">
        <f t="shared" si="47"/>
        <v>409.47</v>
      </c>
      <c r="F1417" s="298" t="s">
        <v>98</v>
      </c>
      <c r="G1417" s="301">
        <f t="shared" si="46"/>
        <v>425.57</v>
      </c>
    </row>
    <row r="1418" spans="1:7" x14ac:dyDescent="0.25">
      <c r="A1418" s="297">
        <v>41500</v>
      </c>
      <c r="B1418" s="298" t="s">
        <v>3681</v>
      </c>
      <c r="C1418" s="299" t="s">
        <v>2884</v>
      </c>
      <c r="D1418" s="300">
        <v>353.21</v>
      </c>
      <c r="E1418" s="350">
        <f t="shared" si="47"/>
        <v>286.42</v>
      </c>
      <c r="F1418" s="298" t="s">
        <v>98</v>
      </c>
      <c r="G1418" s="301">
        <f t="shared" si="46"/>
        <v>297.68</v>
      </c>
    </row>
    <row r="1419" spans="1:7" x14ac:dyDescent="0.25">
      <c r="A1419" s="297">
        <v>41501</v>
      </c>
      <c r="B1419" s="298" t="s">
        <v>4115</v>
      </c>
      <c r="C1419" s="299" t="s">
        <v>82</v>
      </c>
      <c r="D1419" s="300">
        <v>52.13</v>
      </c>
      <c r="E1419" s="350">
        <f t="shared" si="47"/>
        <v>42.28</v>
      </c>
      <c r="F1419" s="298" t="s">
        <v>98</v>
      </c>
      <c r="G1419" s="301">
        <f t="shared" si="46"/>
        <v>43.95</v>
      </c>
    </row>
    <row r="1420" spans="1:7" x14ac:dyDescent="0.25">
      <c r="A1420" s="297">
        <v>41499</v>
      </c>
      <c r="B1420" s="298" t="s">
        <v>3682</v>
      </c>
      <c r="C1420" s="299" t="s">
        <v>82</v>
      </c>
      <c r="D1420" s="300">
        <v>418.96</v>
      </c>
      <c r="E1420" s="350">
        <f t="shared" si="47"/>
        <v>339.74</v>
      </c>
      <c r="F1420" s="298" t="s">
        <v>98</v>
      </c>
      <c r="G1420" s="301">
        <f t="shared" si="46"/>
        <v>353.1</v>
      </c>
    </row>
    <row r="1421" spans="1:7" x14ac:dyDescent="0.25">
      <c r="A1421" s="297">
        <v>41503</v>
      </c>
      <c r="B1421" s="298" t="s">
        <v>4116</v>
      </c>
      <c r="C1421" s="299" t="s">
        <v>82</v>
      </c>
      <c r="D1421" s="300">
        <v>752.78</v>
      </c>
      <c r="E1421" s="350">
        <f t="shared" si="47"/>
        <v>610.42999999999995</v>
      </c>
      <c r="F1421" s="298" t="s">
        <v>98</v>
      </c>
      <c r="G1421" s="301">
        <f t="shared" ref="G1421:G1428" si="48">ROUNDUP(E1421*$H$2,2)</f>
        <v>634.41999999999996</v>
      </c>
    </row>
    <row r="1422" spans="1:7" x14ac:dyDescent="0.25">
      <c r="A1422" s="297">
        <v>41530</v>
      </c>
      <c r="B1422" s="298" t="s">
        <v>4391</v>
      </c>
      <c r="C1422" s="299" t="s">
        <v>2884</v>
      </c>
      <c r="D1422" s="300">
        <v>486.89</v>
      </c>
      <c r="E1422" s="350">
        <f t="shared" si="47"/>
        <v>394.82</v>
      </c>
      <c r="F1422" s="298" t="s">
        <v>98</v>
      </c>
      <c r="G1422" s="301">
        <f t="shared" si="48"/>
        <v>410.34</v>
      </c>
    </row>
    <row r="1423" spans="1:7" x14ac:dyDescent="0.25">
      <c r="A1423" s="297">
        <v>41527</v>
      </c>
      <c r="B1423" s="298" t="s">
        <v>4126</v>
      </c>
      <c r="C1423" s="299" t="s">
        <v>2871</v>
      </c>
      <c r="D1423" s="300">
        <v>4202.5200000000004</v>
      </c>
      <c r="E1423" s="350">
        <f t="shared" si="47"/>
        <v>3407.82</v>
      </c>
      <c r="F1423" s="298" t="s">
        <v>98</v>
      </c>
      <c r="G1423" s="301">
        <f t="shared" si="48"/>
        <v>3541.74</v>
      </c>
    </row>
    <row r="1424" spans="1:7" x14ac:dyDescent="0.25">
      <c r="A1424" s="297">
        <v>41529</v>
      </c>
      <c r="B1424" s="302" t="s">
        <v>4392</v>
      </c>
      <c r="C1424" s="299" t="s">
        <v>2871</v>
      </c>
      <c r="D1424" s="300">
        <v>30449.919999999998</v>
      </c>
      <c r="E1424" s="350">
        <f t="shared" si="47"/>
        <v>24691.8</v>
      </c>
      <c r="F1424" s="298" t="s">
        <v>98</v>
      </c>
      <c r="G1424" s="301">
        <f t="shared" si="48"/>
        <v>25662.11</v>
      </c>
    </row>
    <row r="1425" spans="1:10" x14ac:dyDescent="0.25">
      <c r="A1425" s="297">
        <v>41555</v>
      </c>
      <c r="B1425" s="298" t="s">
        <v>3683</v>
      </c>
      <c r="C1425" s="299" t="s">
        <v>2871</v>
      </c>
      <c r="D1425" s="300">
        <v>7926.72</v>
      </c>
      <c r="E1425" s="350">
        <f t="shared" si="47"/>
        <v>6427.77</v>
      </c>
      <c r="F1425" s="298" t="s">
        <v>98</v>
      </c>
      <c r="G1425" s="301">
        <f t="shared" si="48"/>
        <v>6680.36</v>
      </c>
    </row>
    <row r="1426" spans="1:10" x14ac:dyDescent="0.25">
      <c r="A1426" s="297">
        <v>100883</v>
      </c>
      <c r="B1426" s="298" t="s">
        <v>4152</v>
      </c>
      <c r="C1426" s="299" t="s">
        <v>82</v>
      </c>
      <c r="D1426" s="300">
        <v>255.99</v>
      </c>
      <c r="E1426" s="350">
        <f t="shared" si="47"/>
        <v>207.59</v>
      </c>
      <c r="F1426" s="298" t="s">
        <v>98</v>
      </c>
      <c r="G1426" s="301">
        <f t="shared" si="48"/>
        <v>215.75</v>
      </c>
    </row>
    <row r="1427" spans="1:10" x14ac:dyDescent="0.25">
      <c r="A1427" s="297">
        <v>100882</v>
      </c>
      <c r="B1427" s="298" t="s">
        <v>4153</v>
      </c>
      <c r="C1427" s="299" t="s">
        <v>82</v>
      </c>
      <c r="D1427" s="300">
        <v>221.29</v>
      </c>
      <c r="E1427" s="350">
        <f t="shared" si="47"/>
        <v>179.45</v>
      </c>
      <c r="F1427" s="298" t="s">
        <v>98</v>
      </c>
      <c r="G1427" s="301">
        <f t="shared" si="48"/>
        <v>186.51</v>
      </c>
    </row>
    <row r="1428" spans="1:10" x14ac:dyDescent="0.25">
      <c r="A1428" s="297">
        <v>100390</v>
      </c>
      <c r="B1428" s="298" t="s">
        <v>3698</v>
      </c>
      <c r="C1428" s="299" t="s">
        <v>3699</v>
      </c>
      <c r="D1428" s="300">
        <v>0</v>
      </c>
      <c r="E1428" s="350">
        <f t="shared" si="47"/>
        <v>0</v>
      </c>
      <c r="F1428" s="298" t="s">
        <v>98</v>
      </c>
      <c r="G1428" s="301">
        <f t="shared" si="48"/>
        <v>0</v>
      </c>
    </row>
    <row r="1429" spans="1:10" x14ac:dyDescent="0.25">
      <c r="A1429" s="298">
        <v>60020</v>
      </c>
      <c r="B1429" s="298" t="s">
        <v>24891</v>
      </c>
      <c r="C1429" s="299" t="s">
        <v>284</v>
      </c>
      <c r="D1429" s="298"/>
      <c r="E1429" s="351">
        <f>((1.0392965*1.029)*2) + ((1.0392965*1.157)*1.5) + (1.929*1.0392965)</f>
        <v>5.9473742212499996</v>
      </c>
      <c r="F1429" s="298"/>
      <c r="G1429" s="301">
        <f>E1429</f>
        <v>5.95</v>
      </c>
    </row>
    <row r="1430" spans="1:10" x14ac:dyDescent="0.25">
      <c r="A1430" s="298">
        <v>60019</v>
      </c>
      <c r="B1430" s="298" t="s">
        <v>4390</v>
      </c>
      <c r="C1430" s="299" t="s">
        <v>284</v>
      </c>
      <c r="D1430" s="298"/>
      <c r="E1430" s="351">
        <f>((1.0392965*1.147)*0)+((1.0392965*1.268)*3)+(1.0392965*2.013)</f>
        <v>6.0455877405000003</v>
      </c>
      <c r="F1430" s="298"/>
      <c r="G1430" s="301">
        <f>E1430</f>
        <v>6.05</v>
      </c>
    </row>
    <row r="1431" spans="1:10" x14ac:dyDescent="0.25">
      <c r="A1431" s="298">
        <v>60021</v>
      </c>
      <c r="B1431" s="298" t="s">
        <v>24892</v>
      </c>
      <c r="C1431" s="454" t="s">
        <v>284</v>
      </c>
      <c r="D1431" s="298"/>
      <c r="E1431" s="351">
        <f>((1.0392965*0.889)*4)+((1.0392965*0.987)*4)+(1.0392965*1.852)</f>
        <v>9.7236580539999995</v>
      </c>
      <c r="F1431" s="298"/>
      <c r="G1431" s="301">
        <f>E1431</f>
        <v>9.7200000000000006</v>
      </c>
      <c r="J1431" s="220"/>
    </row>
    <row r="1432" spans="1:10" x14ac:dyDescent="0.25">
      <c r="A1432" s="1218">
        <v>60022</v>
      </c>
      <c r="B1432" s="298" t="s">
        <v>25682</v>
      </c>
      <c r="C1432" s="1217" t="s">
        <v>284</v>
      </c>
      <c r="D1432" s="298"/>
      <c r="E1432" s="351">
        <f>((1.0392965*0.791)*10)+((1.0392965*0.838)*2.5)+(1.0392965*1.78)</f>
        <v>12.248109252500001</v>
      </c>
      <c r="F1432" s="298"/>
      <c r="G1432" s="301">
        <f>E1432</f>
        <v>12.25</v>
      </c>
    </row>
  </sheetData>
  <mergeCells count="11">
    <mergeCell ref="A619:A620"/>
    <mergeCell ref="C619:C620"/>
    <mergeCell ref="A621:A622"/>
    <mergeCell ref="C621:C622"/>
    <mergeCell ref="L10:O13"/>
    <mergeCell ref="A615:A616"/>
    <mergeCell ref="C615:C616"/>
    <mergeCell ref="A617:A618"/>
    <mergeCell ref="C617:C618"/>
    <mergeCell ref="A611:A612"/>
    <mergeCell ref="C611:C612"/>
  </mergeCells>
  <pageMargins left="0.511811024" right="0.511811024" top="0.78740157499999996" bottom="0.78740157499999996" header="0.31496062000000002" footer="0.31496062000000002"/>
  <pageSetup paperSize="9"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0005E-CC8B-4A73-B68B-51CD4EB36AA0}">
  <sheetPr>
    <tabColor rgb="FFFF0000"/>
    <pageSetUpPr fitToPage="1"/>
  </sheetPr>
  <dimension ref="B1:R1568"/>
  <sheetViews>
    <sheetView topLeftCell="A1546" zoomScaleNormal="100" workbookViewId="0">
      <selection activeCell="F1563" sqref="F1563"/>
    </sheetView>
  </sheetViews>
  <sheetFormatPr defaultColWidth="8" defaultRowHeight="14.25" x14ac:dyDescent="0.25"/>
  <cols>
    <col min="1" max="1" width="4.28515625" style="390" customWidth="1"/>
    <col min="2" max="2" width="16.5703125" style="390" bestFit="1" customWidth="1"/>
    <col min="3" max="3" width="11.28515625" style="390" customWidth="1"/>
    <col min="4" max="4" width="13.5703125" style="390" customWidth="1"/>
    <col min="5" max="5" width="23" style="390" customWidth="1"/>
    <col min="6" max="9" width="11.85546875" style="390" customWidth="1"/>
    <col min="10" max="10" width="12.42578125" style="390" customWidth="1"/>
    <col min="11" max="11" width="13.140625" style="390" bestFit="1" customWidth="1"/>
    <col min="12" max="12" width="11.85546875" style="390" customWidth="1"/>
    <col min="13" max="13" width="22.7109375" style="390" customWidth="1"/>
    <col min="14" max="14" width="16.85546875" style="426" customWidth="1"/>
    <col min="15" max="16" width="8" style="390"/>
    <col min="17" max="17" width="9.7109375" style="390" bestFit="1" customWidth="1"/>
    <col min="18" max="18" width="10.28515625" style="390" hidden="1" customWidth="1"/>
    <col min="19" max="16384" width="8" style="390"/>
  </cols>
  <sheetData>
    <row r="1" spans="2:17" ht="39.75" customHeight="1" x14ac:dyDescent="0.25">
      <c r="B1" s="1479" t="s">
        <v>24909</v>
      </c>
      <c r="C1" s="1480"/>
      <c r="D1" s="1481"/>
      <c r="E1" s="1482" t="s">
        <v>24669</v>
      </c>
      <c r="F1" s="1482"/>
      <c r="G1" s="1482"/>
      <c r="H1" s="1482"/>
      <c r="I1" s="1482"/>
      <c r="J1" s="1482"/>
      <c r="K1" s="1482"/>
      <c r="L1" s="1498"/>
      <c r="M1" s="1499"/>
      <c r="N1" s="1484"/>
    </row>
    <row r="2" spans="2:17" ht="15" customHeight="1" x14ac:dyDescent="0.25">
      <c r="B2" s="391" t="s">
        <v>24670</v>
      </c>
      <c r="C2" s="439" t="s">
        <v>24780</v>
      </c>
      <c r="D2" s="430"/>
      <c r="E2" s="430"/>
      <c r="F2" s="430"/>
      <c r="G2" s="430"/>
      <c r="H2" s="430"/>
      <c r="I2" s="430"/>
      <c r="J2" s="430"/>
      <c r="K2" s="430"/>
      <c r="L2" s="430"/>
      <c r="M2" s="430"/>
      <c r="N2" s="431"/>
    </row>
    <row r="3" spans="2:17" ht="15" customHeight="1" x14ac:dyDescent="0.25">
      <c r="B3" s="391" t="s">
        <v>24671</v>
      </c>
      <c r="C3" s="432" t="s">
        <v>7</v>
      </c>
      <c r="D3" s="432"/>
      <c r="E3" s="432"/>
      <c r="F3" s="432"/>
      <c r="G3" s="432"/>
      <c r="H3" s="432"/>
      <c r="I3" s="432"/>
      <c r="J3" s="432"/>
      <c r="K3" s="432"/>
      <c r="L3" s="432"/>
      <c r="M3" s="432"/>
      <c r="N3" s="433"/>
    </row>
    <row r="4" spans="2:17" ht="15" customHeight="1" thickBot="1" x14ac:dyDescent="0.3">
      <c r="B4" s="391" t="s">
        <v>24672</v>
      </c>
      <c r="C4" s="1489">
        <v>44501</v>
      </c>
      <c r="D4" s="1490"/>
      <c r="E4" s="1490"/>
      <c r="F4" s="1490"/>
      <c r="G4" s="1490"/>
      <c r="H4" s="1490"/>
      <c r="I4" s="1490"/>
      <c r="J4" s="1490"/>
      <c r="K4" s="1490"/>
      <c r="L4" s="1490"/>
      <c r="M4" s="1490"/>
      <c r="N4" s="1491"/>
    </row>
    <row r="5" spans="2:17" ht="30" customHeight="1" x14ac:dyDescent="0.25">
      <c r="B5" s="392" t="s">
        <v>0</v>
      </c>
      <c r="C5" s="393" t="s">
        <v>24673</v>
      </c>
      <c r="D5" s="1465" t="s">
        <v>24674</v>
      </c>
      <c r="E5" s="1465"/>
      <c r="F5" s="1465"/>
      <c r="G5" s="1466"/>
      <c r="H5" s="394" t="s">
        <v>111</v>
      </c>
      <c r="I5" s="394" t="s">
        <v>24675</v>
      </c>
      <c r="J5" s="394" t="s">
        <v>24676</v>
      </c>
      <c r="K5" s="394" t="s">
        <v>24677</v>
      </c>
      <c r="L5" s="441"/>
      <c r="M5" s="394" t="s">
        <v>24678</v>
      </c>
      <c r="N5" s="395" t="s">
        <v>24679</v>
      </c>
    </row>
    <row r="6" spans="2:17" ht="15" customHeight="1" x14ac:dyDescent="0.25">
      <c r="B6" s="396"/>
      <c r="C6" s="397"/>
      <c r="D6" s="1494"/>
      <c r="E6" s="1494"/>
      <c r="F6" s="1494"/>
      <c r="G6" s="1495"/>
      <c r="H6" s="398"/>
      <c r="I6" s="398"/>
      <c r="J6" s="398"/>
      <c r="K6" s="398"/>
      <c r="L6" s="442"/>
      <c r="M6" s="398"/>
      <c r="N6" s="399"/>
    </row>
    <row r="7" spans="2:17" ht="15" customHeight="1" thickBot="1" x14ac:dyDescent="0.3">
      <c r="B7" s="400"/>
      <c r="C7" s="401"/>
      <c r="D7" s="401"/>
      <c r="E7" s="401"/>
      <c r="F7" s="402"/>
      <c r="G7" s="402"/>
      <c r="H7" s="402"/>
      <c r="I7" s="402"/>
      <c r="J7" s="402"/>
      <c r="K7" s="402"/>
      <c r="L7" s="444"/>
      <c r="M7" s="436" t="s">
        <v>24680</v>
      </c>
      <c r="N7" s="403">
        <f>SUM(N6:N6)</f>
        <v>0</v>
      </c>
    </row>
    <row r="8" spans="2:17" ht="15" customHeight="1" thickBot="1" x14ac:dyDescent="0.3">
      <c r="B8" s="437"/>
      <c r="C8" s="438"/>
      <c r="D8" s="438"/>
      <c r="E8" s="438"/>
      <c r="F8" s="438"/>
      <c r="G8" s="438"/>
      <c r="H8" s="438"/>
      <c r="I8" s="438"/>
      <c r="J8" s="438"/>
      <c r="K8" s="438"/>
      <c r="L8" s="445"/>
      <c r="M8" s="438"/>
      <c r="N8" s="404"/>
    </row>
    <row r="9" spans="2:17" ht="45" x14ac:dyDescent="0.25">
      <c r="B9" s="392" t="s">
        <v>0</v>
      </c>
      <c r="C9" s="393" t="s">
        <v>24673</v>
      </c>
      <c r="D9" s="1465" t="s">
        <v>24681</v>
      </c>
      <c r="E9" s="1465"/>
      <c r="F9" s="1465"/>
      <c r="G9" s="1465"/>
      <c r="H9" s="1466"/>
      <c r="I9" s="394" t="s">
        <v>3686</v>
      </c>
      <c r="J9" s="394" t="s">
        <v>24682</v>
      </c>
      <c r="K9" s="441" t="s">
        <v>24861</v>
      </c>
      <c r="L9" s="441" t="s">
        <v>24862</v>
      </c>
      <c r="M9" s="394" t="s">
        <v>24683</v>
      </c>
      <c r="N9" s="395" t="s">
        <v>24679</v>
      </c>
      <c r="Q9" s="440"/>
    </row>
    <row r="10" spans="2:17" ht="15" customHeight="1" x14ac:dyDescent="0.25">
      <c r="B10" s="405">
        <v>10146</v>
      </c>
      <c r="C10" s="435" t="s">
        <v>4389</v>
      </c>
      <c r="D10" s="1463" t="s">
        <v>24753</v>
      </c>
      <c r="E10" s="1463"/>
      <c r="F10" s="1463"/>
      <c r="G10" s="1463"/>
      <c r="H10" s="1464"/>
      <c r="I10" s="398" t="s">
        <v>75</v>
      </c>
      <c r="J10" s="406">
        <v>1.5727</v>
      </c>
      <c r="K10" s="427">
        <v>5.46</v>
      </c>
      <c r="L10" s="427">
        <f>K10*(1+J10)</f>
        <v>14.05</v>
      </c>
      <c r="M10" s="407">
        <v>1</v>
      </c>
      <c r="N10" s="399">
        <f>M10*L10</f>
        <v>14.05</v>
      </c>
    </row>
    <row r="11" spans="2:17" ht="15" customHeight="1" thickBot="1" x14ac:dyDescent="0.3">
      <c r="B11" s="400"/>
      <c r="C11" s="401"/>
      <c r="D11" s="401"/>
      <c r="E11" s="401"/>
      <c r="F11" s="402"/>
      <c r="G11" s="402"/>
      <c r="H11" s="402"/>
      <c r="I11" s="402"/>
      <c r="J11" s="402"/>
      <c r="K11" s="402"/>
      <c r="L11" s="444"/>
      <c r="M11" s="436" t="s">
        <v>24684</v>
      </c>
      <c r="N11" s="403">
        <f>SUM(N10:N10)</f>
        <v>14.05</v>
      </c>
    </row>
    <row r="12" spans="2:17" ht="15" customHeight="1" thickBot="1" x14ac:dyDescent="0.3">
      <c r="B12" s="437"/>
      <c r="C12" s="438"/>
      <c r="D12" s="438"/>
      <c r="E12" s="438"/>
      <c r="F12" s="438"/>
      <c r="G12" s="438"/>
      <c r="H12" s="438"/>
      <c r="I12" s="408"/>
      <c r="J12" s="408"/>
      <c r="K12" s="438"/>
      <c r="L12" s="445"/>
      <c r="M12" s="438"/>
      <c r="N12" s="404"/>
    </row>
    <row r="13" spans="2:17" ht="30" customHeight="1" x14ac:dyDescent="0.25">
      <c r="B13" s="392" t="s">
        <v>0</v>
      </c>
      <c r="C13" s="393" t="s">
        <v>24673</v>
      </c>
      <c r="D13" s="1465" t="s">
        <v>24685</v>
      </c>
      <c r="E13" s="1465"/>
      <c r="F13" s="1465"/>
      <c r="G13" s="1465"/>
      <c r="H13" s="1466"/>
      <c r="I13" s="394" t="s">
        <v>2858</v>
      </c>
      <c r="J13" s="394" t="s">
        <v>24686</v>
      </c>
      <c r="K13" s="394" t="s">
        <v>24687</v>
      </c>
      <c r="L13" s="441"/>
      <c r="M13" s="394" t="s">
        <v>24688</v>
      </c>
      <c r="N13" s="395" t="s">
        <v>24689</v>
      </c>
    </row>
    <row r="14" spans="2:17" ht="15" customHeight="1" x14ac:dyDescent="0.25">
      <c r="B14" s="405"/>
      <c r="C14" s="435"/>
      <c r="D14" s="1463"/>
      <c r="E14" s="1463"/>
      <c r="F14" s="1463"/>
      <c r="G14" s="1463"/>
      <c r="H14" s="1464"/>
      <c r="I14" s="398"/>
      <c r="J14" s="398"/>
      <c r="K14" s="398"/>
      <c r="L14" s="442"/>
      <c r="M14" s="398"/>
      <c r="N14" s="399"/>
    </row>
    <row r="15" spans="2:17" ht="15" customHeight="1" x14ac:dyDescent="0.25">
      <c r="B15" s="437"/>
      <c r="C15" s="438"/>
      <c r="D15" s="438"/>
      <c r="E15" s="438"/>
      <c r="F15" s="408"/>
      <c r="G15" s="408"/>
      <c r="H15" s="408"/>
      <c r="I15" s="408"/>
      <c r="J15" s="408"/>
      <c r="K15" s="408"/>
      <c r="L15" s="448"/>
      <c r="M15" s="409" t="s">
        <v>24690</v>
      </c>
      <c r="N15" s="410">
        <f>SUM(N14:N14)</f>
        <v>0</v>
      </c>
    </row>
    <row r="16" spans="2:17" ht="15" customHeight="1" x14ac:dyDescent="0.25">
      <c r="B16" s="437"/>
      <c r="C16" s="438"/>
      <c r="D16" s="438"/>
      <c r="E16" s="438"/>
      <c r="F16" s="438"/>
      <c r="G16" s="438"/>
      <c r="H16" s="438"/>
      <c r="I16" s="438"/>
      <c r="J16" s="438"/>
      <c r="K16" s="438"/>
      <c r="L16" s="445"/>
      <c r="M16" s="438"/>
      <c r="N16" s="404"/>
    </row>
    <row r="17" spans="2:18" ht="15" customHeight="1" x14ac:dyDescent="0.25">
      <c r="B17" s="437"/>
      <c r="C17" s="438"/>
      <c r="D17" s="438"/>
      <c r="E17" s="438"/>
      <c r="F17" s="408"/>
      <c r="G17" s="408"/>
      <c r="H17" s="408"/>
      <c r="I17" s="411"/>
      <c r="J17" s="411"/>
      <c r="K17" s="411"/>
      <c r="L17" s="449"/>
      <c r="M17" s="409" t="s">
        <v>24691</v>
      </c>
      <c r="N17" s="412">
        <f>N7+N11+N15</f>
        <v>14.05</v>
      </c>
    </row>
    <row r="18" spans="2:18" ht="15" customHeight="1" x14ac:dyDescent="0.25">
      <c r="B18" s="437"/>
      <c r="C18" s="438"/>
      <c r="D18" s="438"/>
      <c r="E18" s="438"/>
      <c r="F18" s="408"/>
      <c r="G18" s="408"/>
      <c r="H18" s="408"/>
      <c r="I18" s="408"/>
      <c r="J18" s="413"/>
      <c r="K18" s="413"/>
      <c r="L18" s="450"/>
      <c r="M18" s="414" t="s">
        <v>24692</v>
      </c>
      <c r="N18" s="412">
        <v>1</v>
      </c>
      <c r="R18" s="434">
        <v>0.28489999999999999</v>
      </c>
    </row>
    <row r="19" spans="2:18" ht="15" customHeight="1" thickBot="1" x14ac:dyDescent="0.3">
      <c r="B19" s="400"/>
      <c r="C19" s="401"/>
      <c r="D19" s="401"/>
      <c r="E19" s="401"/>
      <c r="F19" s="402"/>
      <c r="G19" s="402"/>
      <c r="H19" s="402"/>
      <c r="I19" s="402"/>
      <c r="J19" s="402"/>
      <c r="K19" s="402"/>
      <c r="L19" s="444"/>
      <c r="M19" s="436" t="s">
        <v>24693</v>
      </c>
      <c r="N19" s="415">
        <f>TRUNC(N17/N18,2)</f>
        <v>14.05</v>
      </c>
    </row>
    <row r="20" spans="2:18" ht="15" customHeight="1" thickBot="1" x14ac:dyDescent="0.3">
      <c r="B20" s="437"/>
      <c r="C20" s="438"/>
      <c r="D20" s="438"/>
      <c r="E20" s="438"/>
      <c r="F20" s="438"/>
      <c r="G20" s="438"/>
      <c r="H20" s="438"/>
      <c r="I20" s="438"/>
      <c r="J20" s="438"/>
      <c r="K20" s="438"/>
      <c r="L20" s="445"/>
      <c r="M20" s="438"/>
      <c r="N20" s="404"/>
    </row>
    <row r="21" spans="2:18" ht="30" x14ac:dyDescent="0.25">
      <c r="B21" s="392" t="s">
        <v>0</v>
      </c>
      <c r="C21" s="393" t="s">
        <v>24673</v>
      </c>
      <c r="D21" s="1465" t="s">
        <v>24694</v>
      </c>
      <c r="E21" s="1465"/>
      <c r="F21" s="1465"/>
      <c r="G21" s="1465"/>
      <c r="H21" s="1465"/>
      <c r="I21" s="1466"/>
      <c r="J21" s="394" t="s">
        <v>3686</v>
      </c>
      <c r="K21" s="394" t="s">
        <v>24695</v>
      </c>
      <c r="L21" s="441"/>
      <c r="M21" s="394" t="s">
        <v>24683</v>
      </c>
      <c r="N21" s="395" t="s">
        <v>24689</v>
      </c>
    </row>
    <row r="22" spans="2:18" ht="28.5" customHeight="1" x14ac:dyDescent="0.25">
      <c r="B22" s="396"/>
      <c r="C22" s="435" t="s">
        <v>24708</v>
      </c>
      <c r="D22" s="1494" t="s">
        <v>24781</v>
      </c>
      <c r="E22" s="1494"/>
      <c r="F22" s="1494"/>
      <c r="G22" s="1494"/>
      <c r="H22" s="1494"/>
      <c r="I22" s="1495"/>
      <c r="J22" s="398" t="s">
        <v>7</v>
      </c>
      <c r="K22" s="427">
        <f>'MAPA DE COT. - Orla'!H4</f>
        <v>0.2</v>
      </c>
      <c r="L22" s="427"/>
      <c r="M22" s="407">
        <v>1</v>
      </c>
      <c r="N22" s="399">
        <f>K22*M22</f>
        <v>0.2</v>
      </c>
    </row>
    <row r="23" spans="2:18" ht="15" customHeight="1" x14ac:dyDescent="0.25">
      <c r="B23" s="396"/>
      <c r="C23" s="397"/>
      <c r="D23" s="1494"/>
      <c r="E23" s="1494"/>
      <c r="F23" s="1494"/>
      <c r="G23" s="1494"/>
      <c r="H23" s="1494"/>
      <c r="I23" s="1495"/>
      <c r="J23" s="398"/>
      <c r="K23" s="398"/>
      <c r="L23" s="442"/>
      <c r="M23" s="407"/>
      <c r="N23" s="399"/>
    </row>
    <row r="24" spans="2:18" ht="15" customHeight="1" thickBot="1" x14ac:dyDescent="0.3">
      <c r="B24" s="400"/>
      <c r="C24" s="401"/>
      <c r="D24" s="401"/>
      <c r="E24" s="401"/>
      <c r="F24" s="402"/>
      <c r="G24" s="402"/>
      <c r="H24" s="402"/>
      <c r="I24" s="402"/>
      <c r="J24" s="402"/>
      <c r="K24" s="402"/>
      <c r="L24" s="444"/>
      <c r="M24" s="436" t="s">
        <v>24696</v>
      </c>
      <c r="N24" s="403">
        <f>SUM(N22:N23)</f>
        <v>0.2</v>
      </c>
    </row>
    <row r="25" spans="2:18" ht="15" customHeight="1" thickBot="1" x14ac:dyDescent="0.3">
      <c r="B25" s="437"/>
      <c r="C25" s="438"/>
      <c r="D25" s="438"/>
      <c r="E25" s="438"/>
      <c r="F25" s="438"/>
      <c r="G25" s="438"/>
      <c r="H25" s="438"/>
      <c r="I25" s="438"/>
      <c r="J25" s="438"/>
      <c r="K25" s="438"/>
      <c r="L25" s="445"/>
      <c r="M25" s="438"/>
      <c r="N25" s="404"/>
    </row>
    <row r="26" spans="2:18" ht="30" x14ac:dyDescent="0.25">
      <c r="B26" s="392" t="s">
        <v>0</v>
      </c>
      <c r="C26" s="394" t="s">
        <v>24673</v>
      </c>
      <c r="D26" s="1465" t="s">
        <v>24697</v>
      </c>
      <c r="E26" s="1465"/>
      <c r="F26" s="1465"/>
      <c r="G26" s="1465"/>
      <c r="H26" s="1465"/>
      <c r="I26" s="1466"/>
      <c r="J26" s="394" t="s">
        <v>3686</v>
      </c>
      <c r="K26" s="394" t="s">
        <v>24695</v>
      </c>
      <c r="L26" s="441"/>
      <c r="M26" s="394" t="s">
        <v>24683</v>
      </c>
      <c r="N26" s="395" t="s">
        <v>24689</v>
      </c>
    </row>
    <row r="27" spans="2:18" ht="60" customHeight="1" x14ac:dyDescent="0.25">
      <c r="B27" s="416"/>
      <c r="C27" s="417"/>
      <c r="D27" s="1469"/>
      <c r="E27" s="1463"/>
      <c r="F27" s="1463"/>
      <c r="G27" s="1463"/>
      <c r="H27" s="1463"/>
      <c r="I27" s="1464"/>
      <c r="J27" s="418"/>
      <c r="K27" s="418"/>
      <c r="L27" s="451"/>
      <c r="M27" s="419"/>
      <c r="N27" s="420"/>
    </row>
    <row r="28" spans="2:18" ht="15" customHeight="1" thickBot="1" x14ac:dyDescent="0.3">
      <c r="B28" s="400"/>
      <c r="C28" s="401"/>
      <c r="D28" s="401"/>
      <c r="E28" s="401"/>
      <c r="F28" s="402"/>
      <c r="G28" s="402"/>
      <c r="H28" s="402"/>
      <c r="I28" s="402"/>
      <c r="J28" s="402"/>
      <c r="K28" s="402"/>
      <c r="L28" s="444"/>
      <c r="M28" s="436" t="s">
        <v>24698</v>
      </c>
      <c r="N28" s="403">
        <f>SUM(N27:N27)</f>
        <v>0</v>
      </c>
    </row>
    <row r="29" spans="2:18" ht="15" customHeight="1" thickBot="1" x14ac:dyDescent="0.3">
      <c r="B29" s="437"/>
      <c r="C29" s="438"/>
      <c r="D29" s="438"/>
      <c r="E29" s="438"/>
      <c r="F29" s="438"/>
      <c r="G29" s="438"/>
      <c r="H29" s="438"/>
      <c r="I29" s="438"/>
      <c r="J29" s="438"/>
      <c r="K29" s="438"/>
      <c r="L29" s="445"/>
      <c r="M29" s="438"/>
      <c r="N29" s="404"/>
    </row>
    <row r="30" spans="2:18" ht="30" customHeight="1" x14ac:dyDescent="0.25">
      <c r="B30" s="392" t="s">
        <v>0</v>
      </c>
      <c r="C30" s="394" t="s">
        <v>24673</v>
      </c>
      <c r="D30" s="1465" t="s">
        <v>24699</v>
      </c>
      <c r="E30" s="1465"/>
      <c r="F30" s="1465"/>
      <c r="G30" s="1466"/>
      <c r="H30" s="394" t="s">
        <v>3686</v>
      </c>
      <c r="I30" s="394" t="s">
        <v>24700</v>
      </c>
      <c r="J30" s="394" t="s">
        <v>24701</v>
      </c>
      <c r="K30" s="394" t="s">
        <v>24695</v>
      </c>
      <c r="L30" s="441"/>
      <c r="M30" s="394" t="s">
        <v>24683</v>
      </c>
      <c r="N30" s="395" t="s">
        <v>24689</v>
      </c>
    </row>
    <row r="31" spans="2:18" ht="15" customHeight="1" x14ac:dyDescent="0.25">
      <c r="B31" s="405"/>
      <c r="C31" s="435"/>
      <c r="D31" s="1494"/>
      <c r="E31" s="1494"/>
      <c r="F31" s="1494"/>
      <c r="G31" s="1494"/>
      <c r="H31" s="398"/>
      <c r="I31" s="398"/>
      <c r="J31" s="398"/>
      <c r="K31" s="398"/>
      <c r="L31" s="442"/>
      <c r="M31" s="407"/>
      <c r="N31" s="399"/>
    </row>
    <row r="32" spans="2:18" ht="15" customHeight="1" x14ac:dyDescent="0.25">
      <c r="B32" s="405"/>
      <c r="C32" s="435"/>
      <c r="D32" s="1494"/>
      <c r="E32" s="1494"/>
      <c r="F32" s="1494"/>
      <c r="G32" s="1494"/>
      <c r="H32" s="398"/>
      <c r="I32" s="398"/>
      <c r="J32" s="398"/>
      <c r="K32" s="398"/>
      <c r="L32" s="442"/>
      <c r="M32" s="407"/>
      <c r="N32" s="399"/>
    </row>
    <row r="33" spans="2:14" ht="15" customHeight="1" x14ac:dyDescent="0.25">
      <c r="B33" s="405"/>
      <c r="C33" s="435"/>
      <c r="D33" s="1494"/>
      <c r="E33" s="1494"/>
      <c r="F33" s="1494"/>
      <c r="G33" s="1494"/>
      <c r="H33" s="398"/>
      <c r="I33" s="398"/>
      <c r="J33" s="398"/>
      <c r="K33" s="398"/>
      <c r="L33" s="442"/>
      <c r="M33" s="407"/>
      <c r="N33" s="399"/>
    </row>
    <row r="34" spans="2:14" ht="15" customHeight="1" x14ac:dyDescent="0.25">
      <c r="B34" s="437"/>
      <c r="C34" s="438"/>
      <c r="D34" s="438"/>
      <c r="E34" s="438"/>
      <c r="F34" s="408"/>
      <c r="G34" s="408"/>
      <c r="H34" s="408"/>
      <c r="I34" s="408"/>
      <c r="J34" s="408"/>
      <c r="K34" s="408"/>
      <c r="L34" s="448"/>
      <c r="M34" s="409" t="s">
        <v>24702</v>
      </c>
      <c r="N34" s="410">
        <f>SUM(N31:N33)</f>
        <v>0</v>
      </c>
    </row>
    <row r="35" spans="2:14" ht="15" customHeight="1" x14ac:dyDescent="0.25">
      <c r="B35" s="437"/>
      <c r="C35" s="438"/>
      <c r="D35" s="438"/>
      <c r="E35" s="438"/>
      <c r="F35" s="438"/>
      <c r="G35" s="438"/>
      <c r="H35" s="438"/>
      <c r="I35" s="438"/>
      <c r="J35" s="438"/>
      <c r="K35" s="438"/>
      <c r="L35" s="445"/>
      <c r="M35" s="438"/>
      <c r="N35" s="404"/>
    </row>
    <row r="36" spans="2:14" ht="15" customHeight="1" x14ac:dyDescent="0.25">
      <c r="B36" s="421"/>
      <c r="C36" s="422"/>
      <c r="D36" s="422"/>
      <c r="E36" s="422"/>
      <c r="F36" s="423"/>
      <c r="G36" s="423"/>
      <c r="H36" s="423"/>
      <c r="I36" s="423"/>
      <c r="J36" s="423"/>
      <c r="K36" s="423"/>
      <c r="L36" s="452"/>
      <c r="M36" s="424" t="s">
        <v>24703</v>
      </c>
      <c r="N36" s="412">
        <f>N19+N24+N28+N34</f>
        <v>14.25</v>
      </c>
    </row>
    <row r="37" spans="2:14" ht="15" customHeight="1" x14ac:dyDescent="0.25">
      <c r="B37" s="437"/>
      <c r="C37" s="438"/>
      <c r="D37" s="438"/>
      <c r="E37" s="438"/>
      <c r="F37" s="408"/>
      <c r="G37" s="408"/>
      <c r="H37" s="408"/>
      <c r="I37" s="408"/>
      <c r="J37" s="408"/>
      <c r="K37" s="408"/>
      <c r="L37" s="448"/>
      <c r="M37" s="752">
        <f>'Planilha - Orla'!I3</f>
        <v>0.28220000000000001</v>
      </c>
      <c r="N37" s="412">
        <f>N36*M37</f>
        <v>4.0199999999999996</v>
      </c>
    </row>
    <row r="38" spans="2:14" ht="15" customHeight="1" thickBot="1" x14ac:dyDescent="0.3">
      <c r="B38" s="1472" t="s">
        <v>24704</v>
      </c>
      <c r="C38" s="1473"/>
      <c r="D38" s="1473"/>
      <c r="E38" s="1473"/>
      <c r="F38" s="1473"/>
      <c r="G38" s="1473"/>
      <c r="H38" s="1473"/>
      <c r="I38" s="1473"/>
      <c r="J38" s="1473"/>
      <c r="K38" s="1473"/>
      <c r="L38" s="1473"/>
      <c r="M38" s="1474"/>
      <c r="N38" s="415">
        <f>N36+N37</f>
        <v>18.27</v>
      </c>
    </row>
    <row r="40" spans="2:14" ht="15" thickBot="1" x14ac:dyDescent="0.3"/>
    <row r="41" spans="2:14" ht="42.75" customHeight="1" x14ac:dyDescent="0.25">
      <c r="B41" s="1479" t="s">
        <v>24916</v>
      </c>
      <c r="C41" s="1480"/>
      <c r="D41" s="1481"/>
      <c r="E41" s="1482" t="s">
        <v>24669</v>
      </c>
      <c r="F41" s="1482"/>
      <c r="G41" s="1482"/>
      <c r="H41" s="1482"/>
      <c r="I41" s="1482"/>
      <c r="J41" s="1482"/>
      <c r="K41" s="1482"/>
      <c r="L41" s="453"/>
      <c r="M41" s="1483"/>
      <c r="N41" s="1484"/>
    </row>
    <row r="42" spans="2:14" ht="15" x14ac:dyDescent="0.25">
      <c r="B42" s="391" t="s">
        <v>24670</v>
      </c>
      <c r="C42" s="459" t="s">
        <v>295</v>
      </c>
      <c r="D42" s="430"/>
      <c r="E42" s="430"/>
      <c r="F42" s="430"/>
      <c r="G42" s="430"/>
      <c r="H42" s="430"/>
      <c r="I42" s="430"/>
      <c r="J42" s="430"/>
      <c r="K42" s="430"/>
      <c r="L42" s="430"/>
      <c r="M42" s="430"/>
      <c r="N42" s="431"/>
    </row>
    <row r="43" spans="2:14" ht="15" x14ac:dyDescent="0.25">
      <c r="B43" s="391" t="s">
        <v>24671</v>
      </c>
      <c r="C43" s="432" t="s">
        <v>24755</v>
      </c>
      <c r="D43" s="432"/>
      <c r="E43" s="432"/>
      <c r="F43" s="432"/>
      <c r="G43" s="432"/>
      <c r="H43" s="432"/>
      <c r="I43" s="432"/>
      <c r="J43" s="432"/>
      <c r="K43" s="432"/>
      <c r="L43" s="432"/>
      <c r="M43" s="432"/>
      <c r="N43" s="433"/>
    </row>
    <row r="44" spans="2:14" ht="15.75" thickBot="1" x14ac:dyDescent="0.3">
      <c r="B44" s="391" t="s">
        <v>24672</v>
      </c>
      <c r="C44" s="1489">
        <v>44501</v>
      </c>
      <c r="D44" s="1490"/>
      <c r="E44" s="1490"/>
      <c r="F44" s="1490"/>
      <c r="G44" s="1490"/>
      <c r="H44" s="1490"/>
      <c r="I44" s="1490"/>
      <c r="J44" s="1490"/>
      <c r="K44" s="1490"/>
      <c r="L44" s="1490"/>
      <c r="M44" s="1490"/>
      <c r="N44" s="1491"/>
    </row>
    <row r="45" spans="2:14" ht="30" x14ac:dyDescent="0.25">
      <c r="B45" s="392" t="s">
        <v>0</v>
      </c>
      <c r="C45" s="393" t="s">
        <v>24673</v>
      </c>
      <c r="D45" s="1465" t="s">
        <v>24674</v>
      </c>
      <c r="E45" s="1465"/>
      <c r="F45" s="1465"/>
      <c r="G45" s="1466"/>
      <c r="H45" s="441" t="s">
        <v>111</v>
      </c>
      <c r="I45" s="441" t="s">
        <v>24675</v>
      </c>
      <c r="J45" s="441" t="s">
        <v>24676</v>
      </c>
      <c r="K45" s="1467" t="s">
        <v>24677</v>
      </c>
      <c r="L45" s="1468"/>
      <c r="M45" s="441" t="s">
        <v>24678</v>
      </c>
      <c r="N45" s="395" t="s">
        <v>24679</v>
      </c>
    </row>
    <row r="46" spans="2:14" ht="15" x14ac:dyDescent="0.25">
      <c r="B46" s="446">
        <v>86030</v>
      </c>
      <c r="C46" s="458" t="s">
        <v>4389</v>
      </c>
      <c r="D46" s="1463" t="s">
        <v>24752</v>
      </c>
      <c r="E46" s="1463"/>
      <c r="F46" s="1463"/>
      <c r="G46" s="1464"/>
      <c r="H46" s="447"/>
      <c r="I46" s="447">
        <v>1.5</v>
      </c>
      <c r="J46" s="442"/>
      <c r="K46" s="1492">
        <v>106.84</v>
      </c>
      <c r="L46" s="1493"/>
      <c r="M46" s="427">
        <v>0</v>
      </c>
      <c r="N46" s="443">
        <f>K46*I46</f>
        <v>160.26</v>
      </c>
    </row>
    <row r="47" spans="2:14" ht="15" x14ac:dyDescent="0.25">
      <c r="B47" s="396"/>
      <c r="C47" s="397"/>
      <c r="D47" s="1494"/>
      <c r="E47" s="1494"/>
      <c r="F47" s="1494"/>
      <c r="G47" s="1495"/>
      <c r="H47" s="442"/>
      <c r="I47" s="442"/>
      <c r="J47" s="442"/>
      <c r="K47" s="442"/>
      <c r="L47" s="442"/>
      <c r="M47" s="442"/>
      <c r="N47" s="443"/>
    </row>
    <row r="48" spans="2:14" ht="15.75" thickBot="1" x14ac:dyDescent="0.3">
      <c r="B48" s="400"/>
      <c r="C48" s="401"/>
      <c r="D48" s="401"/>
      <c r="E48" s="401"/>
      <c r="F48" s="444"/>
      <c r="G48" s="444"/>
      <c r="H48" s="444"/>
      <c r="I48" s="444"/>
      <c r="J48" s="444"/>
      <c r="K48" s="444"/>
      <c r="L48" s="444"/>
      <c r="M48" s="455" t="s">
        <v>24680</v>
      </c>
      <c r="N48" s="403">
        <f>SUM(N46:N47)</f>
        <v>160.26</v>
      </c>
    </row>
    <row r="49" spans="2:14" ht="15.75" thickBot="1" x14ac:dyDescent="0.3">
      <c r="B49" s="456"/>
      <c r="C49" s="457"/>
      <c r="D49" s="457"/>
      <c r="E49" s="457"/>
      <c r="F49" s="457"/>
      <c r="G49" s="457"/>
      <c r="H49" s="457"/>
      <c r="I49" s="457"/>
      <c r="J49" s="457"/>
      <c r="K49" s="457"/>
      <c r="L49" s="457"/>
      <c r="M49" s="457"/>
      <c r="N49" s="404"/>
    </row>
    <row r="50" spans="2:14" ht="45" x14ac:dyDescent="0.25">
      <c r="B50" s="392" t="s">
        <v>0</v>
      </c>
      <c r="C50" s="393" t="s">
        <v>24673</v>
      </c>
      <c r="D50" s="1465" t="s">
        <v>24681</v>
      </c>
      <c r="E50" s="1465"/>
      <c r="F50" s="1465"/>
      <c r="G50" s="1465"/>
      <c r="H50" s="1466"/>
      <c r="I50" s="441" t="s">
        <v>3686</v>
      </c>
      <c r="J50" s="441" t="s">
        <v>24682</v>
      </c>
      <c r="K50" s="441" t="s">
        <v>24861</v>
      </c>
      <c r="L50" s="441" t="s">
        <v>24862</v>
      </c>
      <c r="M50" s="441" t="s">
        <v>24683</v>
      </c>
      <c r="N50" s="395" t="s">
        <v>24679</v>
      </c>
    </row>
    <row r="51" spans="2:14" ht="15" x14ac:dyDescent="0.25">
      <c r="B51" s="446">
        <v>10146</v>
      </c>
      <c r="C51" s="458" t="s">
        <v>4389</v>
      </c>
      <c r="D51" s="1463" t="s">
        <v>24753</v>
      </c>
      <c r="E51" s="1463"/>
      <c r="F51" s="1463"/>
      <c r="G51" s="1463"/>
      <c r="H51" s="1464"/>
      <c r="I51" s="442" t="s">
        <v>75</v>
      </c>
      <c r="J51" s="406">
        <v>1.5727</v>
      </c>
      <c r="K51" s="427">
        <v>5.46</v>
      </c>
      <c r="L51" s="427">
        <f>K51*(1+J51)</f>
        <v>14.05</v>
      </c>
      <c r="M51" s="447">
        <v>1.5</v>
      </c>
      <c r="N51" s="443">
        <f>L51*M51</f>
        <v>21.08</v>
      </c>
    </row>
    <row r="52" spans="2:14" ht="15.75" thickBot="1" x14ac:dyDescent="0.3">
      <c r="B52" s="400"/>
      <c r="C52" s="401"/>
      <c r="D52" s="401"/>
      <c r="E52" s="401"/>
      <c r="F52" s="444"/>
      <c r="G52" s="444"/>
      <c r="H52" s="444"/>
      <c r="I52" s="444"/>
      <c r="J52" s="444"/>
      <c r="K52" s="444"/>
      <c r="L52" s="444"/>
      <c r="M52" s="455" t="s">
        <v>24684</v>
      </c>
      <c r="N52" s="403">
        <f>SUM(N51:N51)</f>
        <v>21.08</v>
      </c>
    </row>
    <row r="53" spans="2:14" ht="15.75" thickBot="1" x14ac:dyDescent="0.3">
      <c r="B53" s="456"/>
      <c r="C53" s="457"/>
      <c r="D53" s="457"/>
      <c r="E53" s="457"/>
      <c r="F53" s="457"/>
      <c r="G53" s="457"/>
      <c r="H53" s="457"/>
      <c r="I53" s="448"/>
      <c r="J53" s="448"/>
      <c r="K53" s="457"/>
      <c r="L53" s="457"/>
      <c r="M53" s="457"/>
      <c r="N53" s="404"/>
    </row>
    <row r="54" spans="2:14" ht="30" x14ac:dyDescent="0.25">
      <c r="B54" s="392" t="s">
        <v>0</v>
      </c>
      <c r="C54" s="393" t="s">
        <v>24673</v>
      </c>
      <c r="D54" s="1465" t="s">
        <v>24685</v>
      </c>
      <c r="E54" s="1465"/>
      <c r="F54" s="1465"/>
      <c r="G54" s="1465"/>
      <c r="H54" s="1466"/>
      <c r="I54" s="441" t="s">
        <v>2858</v>
      </c>
      <c r="J54" s="441" t="s">
        <v>24686</v>
      </c>
      <c r="K54" s="441" t="s">
        <v>24687</v>
      </c>
      <c r="L54" s="441"/>
      <c r="M54" s="441" t="s">
        <v>24688</v>
      </c>
      <c r="N54" s="395" t="s">
        <v>24689</v>
      </c>
    </row>
    <row r="55" spans="2:14" ht="15" x14ac:dyDescent="0.25">
      <c r="B55" s="446"/>
      <c r="C55" s="458"/>
      <c r="D55" s="1463"/>
      <c r="E55" s="1463"/>
      <c r="F55" s="1463"/>
      <c r="G55" s="1463"/>
      <c r="H55" s="1464"/>
      <c r="I55" s="442"/>
      <c r="J55" s="442"/>
      <c r="K55" s="442"/>
      <c r="L55" s="442"/>
      <c r="M55" s="442"/>
      <c r="N55" s="443"/>
    </row>
    <row r="56" spans="2:14" ht="15" x14ac:dyDescent="0.25">
      <c r="B56" s="456"/>
      <c r="C56" s="457"/>
      <c r="D56" s="457"/>
      <c r="E56" s="457"/>
      <c r="F56" s="448"/>
      <c r="G56" s="448"/>
      <c r="H56" s="448"/>
      <c r="I56" s="448"/>
      <c r="J56" s="448"/>
      <c r="K56" s="448"/>
      <c r="L56" s="448"/>
      <c r="M56" s="409" t="s">
        <v>24690</v>
      </c>
      <c r="N56" s="410">
        <f>SUM(N55:N55)</f>
        <v>0</v>
      </c>
    </row>
    <row r="57" spans="2:14" ht="15" x14ac:dyDescent="0.25">
      <c r="B57" s="456"/>
      <c r="C57" s="457"/>
      <c r="D57" s="457"/>
      <c r="E57" s="457"/>
      <c r="F57" s="457"/>
      <c r="G57" s="457"/>
      <c r="H57" s="457"/>
      <c r="I57" s="457"/>
      <c r="J57" s="457"/>
      <c r="K57" s="457"/>
      <c r="L57" s="457"/>
      <c r="M57" s="457"/>
      <c r="N57" s="404"/>
    </row>
    <row r="58" spans="2:14" ht="15" x14ac:dyDescent="0.25">
      <c r="B58" s="456"/>
      <c r="C58" s="457"/>
      <c r="D58" s="457"/>
      <c r="E58" s="457"/>
      <c r="F58" s="448"/>
      <c r="G58" s="448"/>
      <c r="H58" s="448"/>
      <c r="I58" s="449"/>
      <c r="J58" s="449"/>
      <c r="K58" s="449"/>
      <c r="L58" s="449"/>
      <c r="M58" s="409" t="s">
        <v>24691</v>
      </c>
      <c r="N58" s="412">
        <f>N48+N52+N56</f>
        <v>181.34</v>
      </c>
    </row>
    <row r="59" spans="2:14" ht="15" x14ac:dyDescent="0.25">
      <c r="B59" s="456"/>
      <c r="C59" s="457"/>
      <c r="D59" s="457"/>
      <c r="E59" s="457"/>
      <c r="F59" s="448"/>
      <c r="G59" s="448"/>
      <c r="H59" s="448"/>
      <c r="I59" s="448"/>
      <c r="J59" s="450"/>
      <c r="K59" s="450"/>
      <c r="L59" s="450"/>
      <c r="M59" s="414" t="s">
        <v>24692</v>
      </c>
      <c r="N59" s="412">
        <v>1</v>
      </c>
    </row>
    <row r="60" spans="2:14" ht="15.75" thickBot="1" x14ac:dyDescent="0.3">
      <c r="B60" s="400"/>
      <c r="C60" s="401"/>
      <c r="D60" s="401"/>
      <c r="E60" s="401"/>
      <c r="F60" s="444"/>
      <c r="G60" s="444"/>
      <c r="H60" s="444"/>
      <c r="I60" s="444"/>
      <c r="J60" s="444"/>
      <c r="K60" s="444"/>
      <c r="L60" s="444"/>
      <c r="M60" s="455" t="s">
        <v>24693</v>
      </c>
      <c r="N60" s="415">
        <f>TRUNC(N58/N59,2)</f>
        <v>181.34</v>
      </c>
    </row>
    <row r="61" spans="2:14" ht="15.75" thickBot="1" x14ac:dyDescent="0.3">
      <c r="B61" s="456"/>
      <c r="C61" s="457"/>
      <c r="D61" s="457"/>
      <c r="E61" s="457"/>
      <c r="F61" s="457"/>
      <c r="G61" s="457"/>
      <c r="H61" s="457"/>
      <c r="I61" s="457"/>
      <c r="J61" s="457"/>
      <c r="K61" s="457"/>
      <c r="L61" s="457"/>
      <c r="M61" s="457"/>
      <c r="N61" s="404"/>
    </row>
    <row r="62" spans="2:14" ht="30" x14ac:dyDescent="0.25">
      <c r="B62" s="392" t="s">
        <v>0</v>
      </c>
      <c r="C62" s="393" t="s">
        <v>24673</v>
      </c>
      <c r="D62" s="1465" t="s">
        <v>24694</v>
      </c>
      <c r="E62" s="1465"/>
      <c r="F62" s="1465"/>
      <c r="G62" s="1465"/>
      <c r="H62" s="1465"/>
      <c r="I62" s="1466"/>
      <c r="J62" s="441" t="s">
        <v>3686</v>
      </c>
      <c r="K62" s="441" t="s">
        <v>24695</v>
      </c>
      <c r="L62" s="441"/>
      <c r="M62" s="441" t="s">
        <v>24683</v>
      </c>
      <c r="N62" s="395" t="s">
        <v>24689</v>
      </c>
    </row>
    <row r="63" spans="2:14" ht="15" x14ac:dyDescent="0.25">
      <c r="B63" s="396"/>
      <c r="C63" s="397"/>
      <c r="D63" s="1494"/>
      <c r="E63" s="1494"/>
      <c r="F63" s="1494"/>
      <c r="G63" s="1494"/>
      <c r="H63" s="1494"/>
      <c r="I63" s="1495"/>
      <c r="J63" s="442"/>
      <c r="K63" s="442"/>
      <c r="L63" s="442"/>
      <c r="M63" s="447"/>
      <c r="N63" s="443"/>
    </row>
    <row r="64" spans="2:14" ht="15.75" thickBot="1" x14ac:dyDescent="0.3">
      <c r="B64" s="400"/>
      <c r="C64" s="401"/>
      <c r="D64" s="401"/>
      <c r="E64" s="401"/>
      <c r="F64" s="444"/>
      <c r="G64" s="444"/>
      <c r="H64" s="444"/>
      <c r="I64" s="444"/>
      <c r="J64" s="444"/>
      <c r="K64" s="444"/>
      <c r="L64" s="444"/>
      <c r="M64" s="455" t="s">
        <v>24696</v>
      </c>
      <c r="N64" s="403">
        <f>SUM(N63:N63)</f>
        <v>0</v>
      </c>
    </row>
    <row r="65" spans="2:14" ht="15.75" thickBot="1" x14ac:dyDescent="0.3">
      <c r="B65" s="456"/>
      <c r="C65" s="457"/>
      <c r="D65" s="457"/>
      <c r="E65" s="457"/>
      <c r="F65" s="457"/>
      <c r="G65" s="457"/>
      <c r="H65" s="457"/>
      <c r="I65" s="457"/>
      <c r="J65" s="457"/>
      <c r="K65" s="457"/>
      <c r="L65" s="457"/>
      <c r="M65" s="457"/>
      <c r="N65" s="404"/>
    </row>
    <row r="66" spans="2:14" ht="30" x14ac:dyDescent="0.25">
      <c r="B66" s="392" t="s">
        <v>0</v>
      </c>
      <c r="C66" s="441" t="s">
        <v>24673</v>
      </c>
      <c r="D66" s="1465" t="s">
        <v>24697</v>
      </c>
      <c r="E66" s="1465"/>
      <c r="F66" s="1465"/>
      <c r="G66" s="1465"/>
      <c r="H66" s="1465"/>
      <c r="I66" s="1466"/>
      <c r="J66" s="441" t="s">
        <v>3686</v>
      </c>
      <c r="K66" s="441" t="s">
        <v>24695</v>
      </c>
      <c r="L66" s="441"/>
      <c r="M66" s="441" t="s">
        <v>24683</v>
      </c>
      <c r="N66" s="395" t="s">
        <v>24689</v>
      </c>
    </row>
    <row r="67" spans="2:14" ht="15" x14ac:dyDescent="0.25">
      <c r="B67" s="416"/>
      <c r="C67" s="417"/>
      <c r="D67" s="1469"/>
      <c r="E67" s="1463"/>
      <c r="F67" s="1463"/>
      <c r="G67" s="1463"/>
      <c r="H67" s="1463"/>
      <c r="I67" s="1464"/>
      <c r="J67" s="451"/>
      <c r="K67" s="451"/>
      <c r="L67" s="451"/>
      <c r="M67" s="419"/>
      <c r="N67" s="420"/>
    </row>
    <row r="68" spans="2:14" ht="15.75" thickBot="1" x14ac:dyDescent="0.3">
      <c r="B68" s="400"/>
      <c r="C68" s="401"/>
      <c r="D68" s="401"/>
      <c r="E68" s="401"/>
      <c r="F68" s="444"/>
      <c r="G68" s="444"/>
      <c r="H68" s="444"/>
      <c r="I68" s="444"/>
      <c r="J68" s="444"/>
      <c r="K68" s="444"/>
      <c r="L68" s="444"/>
      <c r="M68" s="455" t="s">
        <v>24698</v>
      </c>
      <c r="N68" s="403">
        <f>SUM(N67:N67)</f>
        <v>0</v>
      </c>
    </row>
    <row r="69" spans="2:14" ht="15.75" thickBot="1" x14ac:dyDescent="0.3">
      <c r="B69" s="456"/>
      <c r="C69" s="457"/>
      <c r="D69" s="457"/>
      <c r="E69" s="457"/>
      <c r="F69" s="457"/>
      <c r="G69" s="457"/>
      <c r="H69" s="457"/>
      <c r="I69" s="457"/>
      <c r="J69" s="457"/>
      <c r="K69" s="457"/>
      <c r="L69" s="457"/>
      <c r="M69" s="457"/>
      <c r="N69" s="404"/>
    </row>
    <row r="70" spans="2:14" ht="30" x14ac:dyDescent="0.25">
      <c r="B70" s="392" t="s">
        <v>0</v>
      </c>
      <c r="C70" s="441" t="s">
        <v>24673</v>
      </c>
      <c r="D70" s="1465" t="s">
        <v>24699</v>
      </c>
      <c r="E70" s="1465"/>
      <c r="F70" s="1465"/>
      <c r="G70" s="1466"/>
      <c r="H70" s="441" t="s">
        <v>3686</v>
      </c>
      <c r="I70" s="441" t="s">
        <v>24700</v>
      </c>
      <c r="J70" s="441" t="s">
        <v>24701</v>
      </c>
      <c r="K70" s="441" t="s">
        <v>24695</v>
      </c>
      <c r="L70" s="441"/>
      <c r="M70" s="441" t="s">
        <v>24683</v>
      </c>
      <c r="N70" s="395" t="s">
        <v>24689</v>
      </c>
    </row>
    <row r="71" spans="2:14" ht="15" x14ac:dyDescent="0.25">
      <c r="B71" s="446"/>
      <c r="C71" s="458"/>
      <c r="D71" s="1494"/>
      <c r="E71" s="1494"/>
      <c r="F71" s="1494"/>
      <c r="G71" s="1494"/>
      <c r="H71" s="442"/>
      <c r="I71" s="442"/>
      <c r="J71" s="442"/>
      <c r="K71" s="442"/>
      <c r="L71" s="442"/>
      <c r="M71" s="447"/>
      <c r="N71" s="443"/>
    </row>
    <row r="72" spans="2:14" ht="15" x14ac:dyDescent="0.25">
      <c r="B72" s="446"/>
      <c r="C72" s="458"/>
      <c r="D72" s="1494"/>
      <c r="E72" s="1494"/>
      <c r="F72" s="1494"/>
      <c r="G72" s="1494"/>
      <c r="H72" s="442"/>
      <c r="I72" s="442"/>
      <c r="J72" s="442"/>
      <c r="K72" s="442"/>
      <c r="L72" s="442"/>
      <c r="M72" s="447"/>
      <c r="N72" s="443"/>
    </row>
    <row r="73" spans="2:14" ht="15" x14ac:dyDescent="0.25">
      <c r="B73" s="446"/>
      <c r="C73" s="458"/>
      <c r="D73" s="1494"/>
      <c r="E73" s="1494"/>
      <c r="F73" s="1494"/>
      <c r="G73" s="1494"/>
      <c r="H73" s="442"/>
      <c r="I73" s="442"/>
      <c r="J73" s="442"/>
      <c r="K73" s="442"/>
      <c r="L73" s="442"/>
      <c r="M73" s="447"/>
      <c r="N73" s="443"/>
    </row>
    <row r="74" spans="2:14" ht="15" x14ac:dyDescent="0.25">
      <c r="B74" s="456"/>
      <c r="C74" s="457"/>
      <c r="D74" s="457"/>
      <c r="E74" s="457"/>
      <c r="F74" s="448"/>
      <c r="G74" s="448"/>
      <c r="H74" s="448"/>
      <c r="I74" s="448"/>
      <c r="J74" s="448"/>
      <c r="K74" s="448"/>
      <c r="L74" s="448"/>
      <c r="M74" s="409" t="s">
        <v>24702</v>
      </c>
      <c r="N74" s="410">
        <f>SUM(N71:N73)</f>
        <v>0</v>
      </c>
    </row>
    <row r="75" spans="2:14" ht="15" x14ac:dyDescent="0.25">
      <c r="B75" s="456"/>
      <c r="C75" s="457"/>
      <c r="D75" s="457"/>
      <c r="E75" s="457"/>
      <c r="F75" s="457"/>
      <c r="G75" s="457"/>
      <c r="H75" s="457"/>
      <c r="I75" s="457"/>
      <c r="J75" s="457"/>
      <c r="K75" s="457"/>
      <c r="L75" s="457"/>
      <c r="M75" s="457"/>
      <c r="N75" s="404"/>
    </row>
    <row r="76" spans="2:14" ht="15" x14ac:dyDescent="0.25">
      <c r="B76" s="421"/>
      <c r="C76" s="422"/>
      <c r="D76" s="422"/>
      <c r="E76" s="422"/>
      <c r="F76" s="452"/>
      <c r="G76" s="452"/>
      <c r="H76" s="452"/>
      <c r="I76" s="452"/>
      <c r="J76" s="452"/>
      <c r="K76" s="452"/>
      <c r="L76" s="452"/>
      <c r="M76" s="424" t="s">
        <v>24703</v>
      </c>
      <c r="N76" s="412">
        <f>N60+N64+N68+N74</f>
        <v>181.34</v>
      </c>
    </row>
    <row r="77" spans="2:14" ht="15" x14ac:dyDescent="0.25">
      <c r="B77" s="456"/>
      <c r="C77" s="457"/>
      <c r="D77" s="457"/>
      <c r="E77" s="457"/>
      <c r="F77" s="448"/>
      <c r="G77" s="448"/>
      <c r="H77" s="448"/>
      <c r="I77" s="448"/>
      <c r="J77" s="448"/>
      <c r="K77" s="448"/>
      <c r="L77" s="448"/>
      <c r="M77" s="752">
        <f>'Planilha - Orla'!I3</f>
        <v>0.28220000000000001</v>
      </c>
      <c r="N77" s="412">
        <f>N76*M77</f>
        <v>51.17</v>
      </c>
    </row>
    <row r="78" spans="2:14" ht="15.75" thickBot="1" x14ac:dyDescent="0.3">
      <c r="B78" s="1472" t="s">
        <v>24704</v>
      </c>
      <c r="C78" s="1473"/>
      <c r="D78" s="1473"/>
      <c r="E78" s="1473"/>
      <c r="F78" s="1473"/>
      <c r="G78" s="1473"/>
      <c r="H78" s="1473"/>
      <c r="I78" s="1473"/>
      <c r="J78" s="1473"/>
      <c r="K78" s="1473"/>
      <c r="L78" s="1473"/>
      <c r="M78" s="1474"/>
      <c r="N78" s="415">
        <f>N76+N77</f>
        <v>232.51</v>
      </c>
    </row>
    <row r="80" spans="2:14" ht="15" thickBot="1" x14ac:dyDescent="0.3"/>
    <row r="81" spans="2:14" ht="38.25" customHeight="1" x14ac:dyDescent="0.25">
      <c r="B81" s="1479" t="s">
        <v>24917</v>
      </c>
      <c r="C81" s="1480"/>
      <c r="D81" s="1481"/>
      <c r="E81" s="1482" t="s">
        <v>24669</v>
      </c>
      <c r="F81" s="1482"/>
      <c r="G81" s="1482"/>
      <c r="H81" s="1482"/>
      <c r="I81" s="1482"/>
      <c r="J81" s="1482"/>
      <c r="K81" s="1482"/>
      <c r="L81" s="453"/>
      <c r="M81" s="1483"/>
      <c r="N81" s="1484"/>
    </row>
    <row r="82" spans="2:14" ht="15" x14ac:dyDescent="0.25">
      <c r="B82" s="391" t="s">
        <v>24670</v>
      </c>
      <c r="C82" s="1518" t="s">
        <v>24772</v>
      </c>
      <c r="D82" s="1518"/>
      <c r="E82" s="1518"/>
      <c r="F82" s="1518"/>
      <c r="G82" s="1518"/>
      <c r="H82" s="1518"/>
      <c r="I82" s="1518"/>
      <c r="J82" s="1518"/>
      <c r="K82" s="1518"/>
      <c r="L82" s="1518"/>
      <c r="M82" s="1518"/>
      <c r="N82" s="1519"/>
    </row>
    <row r="83" spans="2:14" ht="15" x14ac:dyDescent="0.25">
      <c r="B83" s="391" t="s">
        <v>24671</v>
      </c>
      <c r="C83" s="1487" t="s">
        <v>24755</v>
      </c>
      <c r="D83" s="1487"/>
      <c r="E83" s="1487"/>
      <c r="F83" s="1487"/>
      <c r="G83" s="1487"/>
      <c r="H83" s="1487"/>
      <c r="I83" s="1487"/>
      <c r="J83" s="1487"/>
      <c r="K83" s="1487"/>
      <c r="L83" s="1487"/>
      <c r="M83" s="1487"/>
      <c r="N83" s="1488"/>
    </row>
    <row r="84" spans="2:14" ht="15.75" thickBot="1" x14ac:dyDescent="0.3">
      <c r="B84" s="391" t="s">
        <v>24672</v>
      </c>
      <c r="C84" s="1489">
        <v>44501</v>
      </c>
      <c r="D84" s="1490"/>
      <c r="E84" s="1490"/>
      <c r="F84" s="1490"/>
      <c r="G84" s="1490"/>
      <c r="H84" s="1490"/>
      <c r="I84" s="1490"/>
      <c r="J84" s="1490"/>
      <c r="K84" s="1490"/>
      <c r="L84" s="1490"/>
      <c r="M84" s="1490"/>
      <c r="N84" s="1491"/>
    </row>
    <row r="85" spans="2:14" ht="30" x14ac:dyDescent="0.25">
      <c r="B85" s="392" t="s">
        <v>0</v>
      </c>
      <c r="C85" s="393" t="s">
        <v>24673</v>
      </c>
      <c r="D85" s="1465" t="s">
        <v>24674</v>
      </c>
      <c r="E85" s="1465"/>
      <c r="F85" s="1465"/>
      <c r="G85" s="1466"/>
      <c r="H85" s="441" t="s">
        <v>111</v>
      </c>
      <c r="I85" s="441" t="s">
        <v>24675</v>
      </c>
      <c r="J85" s="441" t="s">
        <v>24676</v>
      </c>
      <c r="K85" s="441" t="s">
        <v>24677</v>
      </c>
      <c r="L85" s="441"/>
      <c r="M85" s="441" t="s">
        <v>24678</v>
      </c>
      <c r="N85" s="395" t="s">
        <v>24679</v>
      </c>
    </row>
    <row r="86" spans="2:14" ht="15" x14ac:dyDescent="0.25">
      <c r="B86" s="446"/>
      <c r="C86" s="397"/>
      <c r="D86" s="1494"/>
      <c r="E86" s="1494"/>
      <c r="F86" s="1494"/>
      <c r="G86" s="1495"/>
      <c r="H86" s="442"/>
      <c r="I86" s="442"/>
      <c r="J86" s="442"/>
      <c r="K86" s="442"/>
      <c r="L86" s="442"/>
      <c r="M86" s="442"/>
      <c r="N86" s="443"/>
    </row>
    <row r="87" spans="2:14" ht="15.75" thickBot="1" x14ac:dyDescent="0.3">
      <c r="B87" s="400"/>
      <c r="C87" s="401"/>
      <c r="D87" s="401"/>
      <c r="E87" s="401"/>
      <c r="F87" s="444"/>
      <c r="G87" s="444"/>
      <c r="H87" s="444"/>
      <c r="I87" s="444"/>
      <c r="J87" s="444"/>
      <c r="K87" s="444"/>
      <c r="L87" s="444"/>
      <c r="M87" s="455" t="s">
        <v>24680</v>
      </c>
      <c r="N87" s="403">
        <f>SUM(N86:N86)</f>
        <v>0</v>
      </c>
    </row>
    <row r="88" spans="2:14" ht="15.75" thickBot="1" x14ac:dyDescent="0.3">
      <c r="B88" s="456"/>
      <c r="C88" s="457"/>
      <c r="D88" s="457"/>
      <c r="E88" s="457"/>
      <c r="F88" s="457"/>
      <c r="G88" s="457"/>
      <c r="H88" s="457"/>
      <c r="I88" s="457"/>
      <c r="J88" s="457"/>
      <c r="K88" s="457"/>
      <c r="L88" s="457"/>
      <c r="M88" s="457"/>
      <c r="N88" s="404"/>
    </row>
    <row r="89" spans="2:14" ht="45" x14ac:dyDescent="0.25">
      <c r="B89" s="392" t="s">
        <v>0</v>
      </c>
      <c r="C89" s="393" t="s">
        <v>24673</v>
      </c>
      <c r="D89" s="1465" t="s">
        <v>24681</v>
      </c>
      <c r="E89" s="1465"/>
      <c r="F89" s="1465"/>
      <c r="G89" s="1465"/>
      <c r="H89" s="1466"/>
      <c r="I89" s="441" t="s">
        <v>3686</v>
      </c>
      <c r="J89" s="441" t="s">
        <v>24682</v>
      </c>
      <c r="K89" s="441" t="s">
        <v>24861</v>
      </c>
      <c r="L89" s="441" t="s">
        <v>24862</v>
      </c>
      <c r="M89" s="441" t="s">
        <v>24683</v>
      </c>
      <c r="N89" s="395" t="s">
        <v>24679</v>
      </c>
    </row>
    <row r="90" spans="2:14" ht="15" x14ac:dyDescent="0.25">
      <c r="B90" s="446">
        <v>20065</v>
      </c>
      <c r="C90" s="458" t="s">
        <v>4389</v>
      </c>
      <c r="D90" s="1463" t="s">
        <v>24773</v>
      </c>
      <c r="E90" s="1463"/>
      <c r="F90" s="1463"/>
      <c r="G90" s="1463"/>
      <c r="H90" s="1464"/>
      <c r="I90" s="442" t="s">
        <v>75</v>
      </c>
      <c r="J90" s="406">
        <v>1.5727</v>
      </c>
      <c r="K90" s="427">
        <v>29.07</v>
      </c>
      <c r="L90" s="427">
        <f>K90*(1+J90)</f>
        <v>74.790000000000006</v>
      </c>
      <c r="M90" s="447">
        <v>0.6</v>
      </c>
      <c r="N90" s="443">
        <f>L90*M90</f>
        <v>44.87</v>
      </c>
    </row>
    <row r="91" spans="2:14" ht="15" x14ac:dyDescent="0.25">
      <c r="B91" s="446">
        <v>10139</v>
      </c>
      <c r="C91" s="458" t="s">
        <v>4389</v>
      </c>
      <c r="D91" s="1463" t="s">
        <v>24774</v>
      </c>
      <c r="E91" s="1463"/>
      <c r="F91" s="1463"/>
      <c r="G91" s="1463"/>
      <c r="H91" s="1464"/>
      <c r="I91" s="442" t="s">
        <v>75</v>
      </c>
      <c r="J91" s="406">
        <v>1.5727</v>
      </c>
      <c r="K91" s="427">
        <v>7.43</v>
      </c>
      <c r="L91" s="427">
        <f t="shared" ref="L91:L92" si="0">K91*(1+J91)</f>
        <v>19.12</v>
      </c>
      <c r="M91" s="447">
        <v>1</v>
      </c>
      <c r="N91" s="443">
        <f t="shared" ref="N91:N92" si="1">L91*M91</f>
        <v>19.12</v>
      </c>
    </row>
    <row r="92" spans="2:14" ht="15" x14ac:dyDescent="0.25">
      <c r="B92" s="446">
        <v>10146</v>
      </c>
      <c r="C92" s="458" t="s">
        <v>4389</v>
      </c>
      <c r="D92" s="1463" t="s">
        <v>24710</v>
      </c>
      <c r="E92" s="1463"/>
      <c r="F92" s="1463"/>
      <c r="G92" s="1463"/>
      <c r="H92" s="1464"/>
      <c r="I92" s="442" t="s">
        <v>75</v>
      </c>
      <c r="J92" s="406">
        <v>1.5727</v>
      </c>
      <c r="K92" s="427">
        <v>5.46</v>
      </c>
      <c r="L92" s="427">
        <f t="shared" si="0"/>
        <v>14.05</v>
      </c>
      <c r="M92" s="447">
        <v>6</v>
      </c>
      <c r="N92" s="443">
        <f t="shared" si="1"/>
        <v>84.3</v>
      </c>
    </row>
    <row r="93" spans="2:14" ht="15.75" thickBot="1" x14ac:dyDescent="0.3">
      <c r="B93" s="400"/>
      <c r="C93" s="401"/>
      <c r="D93" s="401"/>
      <c r="E93" s="401"/>
      <c r="F93" s="444"/>
      <c r="G93" s="444"/>
      <c r="H93" s="444"/>
      <c r="I93" s="444"/>
      <c r="J93" s="444"/>
      <c r="K93" s="444"/>
      <c r="L93" s="444"/>
      <c r="M93" s="455" t="s">
        <v>24684</v>
      </c>
      <c r="N93" s="403">
        <f>SUM(N90:N92)</f>
        <v>148.29</v>
      </c>
    </row>
    <row r="94" spans="2:14" ht="15.75" thickBot="1" x14ac:dyDescent="0.3">
      <c r="B94" s="456"/>
      <c r="C94" s="457"/>
      <c r="D94" s="457"/>
      <c r="E94" s="457"/>
      <c r="F94" s="457"/>
      <c r="G94" s="457"/>
      <c r="H94" s="457"/>
      <c r="I94" s="448"/>
      <c r="J94" s="448"/>
      <c r="K94" s="457"/>
      <c r="L94" s="457"/>
      <c r="M94" s="457"/>
      <c r="N94" s="404"/>
    </row>
    <row r="95" spans="2:14" ht="30" x14ac:dyDescent="0.25">
      <c r="B95" s="392" t="s">
        <v>0</v>
      </c>
      <c r="C95" s="393" t="s">
        <v>24673</v>
      </c>
      <c r="D95" s="1465" t="s">
        <v>24685</v>
      </c>
      <c r="E95" s="1465"/>
      <c r="F95" s="1465"/>
      <c r="G95" s="1465"/>
      <c r="H95" s="1466"/>
      <c r="I95" s="441" t="s">
        <v>2858</v>
      </c>
      <c r="J95" s="441" t="s">
        <v>24686</v>
      </c>
      <c r="K95" s="441" t="s">
        <v>24687</v>
      </c>
      <c r="L95" s="441"/>
      <c r="M95" s="441" t="s">
        <v>24688</v>
      </c>
      <c r="N95" s="395" t="s">
        <v>24689</v>
      </c>
    </row>
    <row r="96" spans="2:14" ht="15" x14ac:dyDescent="0.25">
      <c r="B96" s="446"/>
      <c r="C96" s="458"/>
      <c r="D96" s="1463"/>
      <c r="E96" s="1463"/>
      <c r="F96" s="1463"/>
      <c r="G96" s="1463"/>
      <c r="H96" s="1464"/>
      <c r="I96" s="442"/>
      <c r="J96" s="442"/>
      <c r="K96" s="442"/>
      <c r="L96" s="442"/>
      <c r="M96" s="442"/>
      <c r="N96" s="443"/>
    </row>
    <row r="97" spans="2:14" ht="15" x14ac:dyDescent="0.25">
      <c r="B97" s="456"/>
      <c r="C97" s="457"/>
      <c r="D97" s="457"/>
      <c r="E97" s="457"/>
      <c r="F97" s="448"/>
      <c r="G97" s="448"/>
      <c r="H97" s="448"/>
      <c r="I97" s="448"/>
      <c r="J97" s="448"/>
      <c r="K97" s="448"/>
      <c r="L97" s="448"/>
      <c r="M97" s="409" t="s">
        <v>24690</v>
      </c>
      <c r="N97" s="410">
        <f>SUM(N96:N96)</f>
        <v>0</v>
      </c>
    </row>
    <row r="98" spans="2:14" ht="15" x14ac:dyDescent="0.25">
      <c r="B98" s="456"/>
      <c r="C98" s="457"/>
      <c r="D98" s="457"/>
      <c r="E98" s="457"/>
      <c r="F98" s="457"/>
      <c r="G98" s="457"/>
      <c r="H98" s="457"/>
      <c r="I98" s="457"/>
      <c r="J98" s="457"/>
      <c r="K98" s="457"/>
      <c r="L98" s="457"/>
      <c r="M98" s="457"/>
      <c r="N98" s="404"/>
    </row>
    <row r="99" spans="2:14" ht="15" x14ac:dyDescent="0.25">
      <c r="B99" s="456"/>
      <c r="C99" s="457"/>
      <c r="D99" s="457"/>
      <c r="E99" s="457"/>
      <c r="F99" s="448"/>
      <c r="G99" s="448"/>
      <c r="H99" s="448"/>
      <c r="I99" s="449"/>
      <c r="J99" s="449"/>
      <c r="K99" s="449"/>
      <c r="L99" s="449"/>
      <c r="M99" s="409" t="s">
        <v>24691</v>
      </c>
      <c r="N99" s="412">
        <f>N87+N93+N97</f>
        <v>148.29</v>
      </c>
    </row>
    <row r="100" spans="2:14" ht="15" x14ac:dyDescent="0.25">
      <c r="B100" s="456"/>
      <c r="C100" s="457"/>
      <c r="D100" s="457"/>
      <c r="E100" s="457"/>
      <c r="F100" s="448"/>
      <c r="G100" s="448"/>
      <c r="H100" s="448"/>
      <c r="I100" s="448"/>
      <c r="J100" s="450"/>
      <c r="K100" s="450"/>
      <c r="L100" s="450"/>
      <c r="M100" s="414" t="s">
        <v>24692</v>
      </c>
      <c r="N100" s="412">
        <v>1</v>
      </c>
    </row>
    <row r="101" spans="2:14" ht="15.75" thickBot="1" x14ac:dyDescent="0.3">
      <c r="B101" s="400"/>
      <c r="C101" s="401"/>
      <c r="D101" s="401"/>
      <c r="E101" s="401"/>
      <c r="F101" s="444"/>
      <c r="G101" s="444"/>
      <c r="H101" s="444"/>
      <c r="I101" s="444"/>
      <c r="J101" s="444"/>
      <c r="K101" s="444"/>
      <c r="L101" s="444"/>
      <c r="M101" s="455" t="s">
        <v>24693</v>
      </c>
      <c r="N101" s="415">
        <f>TRUNC(N99/N100,2)</f>
        <v>148.29</v>
      </c>
    </row>
    <row r="102" spans="2:14" ht="15.75" thickBot="1" x14ac:dyDescent="0.3">
      <c r="B102" s="456"/>
      <c r="C102" s="457"/>
      <c r="D102" s="457"/>
      <c r="E102" s="457"/>
      <c r="F102" s="457"/>
      <c r="G102" s="457"/>
      <c r="H102" s="457"/>
      <c r="I102" s="457"/>
      <c r="J102" s="457"/>
      <c r="K102" s="457"/>
      <c r="L102" s="457"/>
      <c r="M102" s="457"/>
      <c r="N102" s="404"/>
    </row>
    <row r="103" spans="2:14" ht="30" x14ac:dyDescent="0.25">
      <c r="B103" s="392" t="s">
        <v>0</v>
      </c>
      <c r="C103" s="393" t="s">
        <v>24673</v>
      </c>
      <c r="D103" s="1465" t="s">
        <v>24694</v>
      </c>
      <c r="E103" s="1465"/>
      <c r="F103" s="1465"/>
      <c r="G103" s="1465"/>
      <c r="H103" s="1465"/>
      <c r="I103" s="1466"/>
      <c r="J103" s="441" t="s">
        <v>3686</v>
      </c>
      <c r="K103" s="441" t="s">
        <v>24695</v>
      </c>
      <c r="L103" s="441"/>
      <c r="M103" s="441" t="s">
        <v>24683</v>
      </c>
      <c r="N103" s="395" t="s">
        <v>24689</v>
      </c>
    </row>
    <row r="104" spans="2:14" ht="15" x14ac:dyDescent="0.25">
      <c r="B104" s="446"/>
      <c r="C104" s="458"/>
      <c r="D104" s="1463"/>
      <c r="E104" s="1463"/>
      <c r="F104" s="1463"/>
      <c r="G104" s="1463"/>
      <c r="H104" s="1463"/>
      <c r="I104" s="1464"/>
      <c r="J104" s="442"/>
      <c r="K104" s="442"/>
      <c r="L104" s="442"/>
      <c r="M104" s="447"/>
      <c r="N104" s="443"/>
    </row>
    <row r="105" spans="2:14" ht="15.75" thickBot="1" x14ac:dyDescent="0.3">
      <c r="B105" s="400"/>
      <c r="C105" s="401"/>
      <c r="D105" s="401"/>
      <c r="E105" s="401"/>
      <c r="F105" s="444"/>
      <c r="G105" s="444"/>
      <c r="H105" s="444"/>
      <c r="I105" s="444"/>
      <c r="J105" s="444"/>
      <c r="K105" s="444"/>
      <c r="L105" s="444"/>
      <c r="M105" s="455" t="s">
        <v>24696</v>
      </c>
      <c r="N105" s="403">
        <f>SUM(N104:N104)</f>
        <v>0</v>
      </c>
    </row>
    <row r="106" spans="2:14" ht="15.75" thickBot="1" x14ac:dyDescent="0.3">
      <c r="B106" s="456"/>
      <c r="C106" s="457"/>
      <c r="D106" s="457"/>
      <c r="E106" s="457"/>
      <c r="F106" s="457"/>
      <c r="G106" s="457"/>
      <c r="H106" s="457"/>
      <c r="I106" s="457"/>
      <c r="J106" s="457"/>
      <c r="K106" s="457"/>
      <c r="L106" s="457"/>
      <c r="M106" s="457"/>
      <c r="N106" s="404"/>
    </row>
    <row r="107" spans="2:14" ht="30" x14ac:dyDescent="0.25">
      <c r="B107" s="392" t="s">
        <v>0</v>
      </c>
      <c r="C107" s="441" t="s">
        <v>24673</v>
      </c>
      <c r="D107" s="1465" t="s">
        <v>24697</v>
      </c>
      <c r="E107" s="1465"/>
      <c r="F107" s="1465"/>
      <c r="G107" s="1465"/>
      <c r="H107" s="1465"/>
      <c r="I107" s="1466"/>
      <c r="J107" s="441" t="s">
        <v>3686</v>
      </c>
      <c r="K107" s="441" t="s">
        <v>24695</v>
      </c>
      <c r="L107" s="441"/>
      <c r="M107" s="441" t="s">
        <v>24683</v>
      </c>
      <c r="N107" s="395" t="s">
        <v>24689</v>
      </c>
    </row>
    <row r="108" spans="2:14" ht="15" x14ac:dyDescent="0.25">
      <c r="B108" s="416"/>
      <c r="C108" s="417"/>
      <c r="D108" s="1463"/>
      <c r="E108" s="1463"/>
      <c r="F108" s="1463"/>
      <c r="G108" s="1463"/>
      <c r="H108" s="1463"/>
      <c r="I108" s="1464"/>
      <c r="J108" s="451"/>
      <c r="K108" s="451"/>
      <c r="L108" s="451"/>
      <c r="M108" s="419"/>
      <c r="N108" s="420"/>
    </row>
    <row r="109" spans="2:14" ht="15.75" thickBot="1" x14ac:dyDescent="0.3">
      <c r="B109" s="400"/>
      <c r="C109" s="401"/>
      <c r="D109" s="401"/>
      <c r="E109" s="401"/>
      <c r="F109" s="444"/>
      <c r="G109" s="444"/>
      <c r="H109" s="444"/>
      <c r="I109" s="444"/>
      <c r="J109" s="444"/>
      <c r="K109" s="444"/>
      <c r="L109" s="444"/>
      <c r="M109" s="455" t="s">
        <v>24698</v>
      </c>
      <c r="N109" s="403">
        <f>SUM(N108:N108)</f>
        <v>0</v>
      </c>
    </row>
    <row r="110" spans="2:14" ht="15.75" thickBot="1" x14ac:dyDescent="0.3">
      <c r="B110" s="456"/>
      <c r="C110" s="457"/>
      <c r="D110" s="457"/>
      <c r="E110" s="457"/>
      <c r="F110" s="457"/>
      <c r="G110" s="457"/>
      <c r="H110" s="457"/>
      <c r="I110" s="457"/>
      <c r="J110" s="457"/>
      <c r="K110" s="457"/>
      <c r="L110" s="457"/>
      <c r="M110" s="457"/>
      <c r="N110" s="404"/>
    </row>
    <row r="111" spans="2:14" ht="30" x14ac:dyDescent="0.25">
      <c r="B111" s="392" t="s">
        <v>0</v>
      </c>
      <c r="C111" s="441" t="s">
        <v>24673</v>
      </c>
      <c r="D111" s="1465" t="s">
        <v>24699</v>
      </c>
      <c r="E111" s="1465"/>
      <c r="F111" s="1465"/>
      <c r="G111" s="1466"/>
      <c r="H111" s="441" t="s">
        <v>3686</v>
      </c>
      <c r="I111" s="441" t="s">
        <v>24700</v>
      </c>
      <c r="J111" s="441" t="s">
        <v>24701</v>
      </c>
      <c r="K111" s="441" t="s">
        <v>24695</v>
      </c>
      <c r="L111" s="441"/>
      <c r="M111" s="441" t="s">
        <v>24683</v>
      </c>
      <c r="N111" s="395" t="s">
        <v>24689</v>
      </c>
    </row>
    <row r="112" spans="2:14" ht="15" x14ac:dyDescent="0.25">
      <c r="B112" s="446"/>
      <c r="C112" s="458"/>
      <c r="D112" s="1494"/>
      <c r="E112" s="1494"/>
      <c r="F112" s="1494"/>
      <c r="G112" s="1494"/>
      <c r="H112" s="442"/>
      <c r="I112" s="442"/>
      <c r="J112" s="442"/>
      <c r="K112" s="442"/>
      <c r="L112" s="442"/>
      <c r="M112" s="447"/>
      <c r="N112" s="443"/>
    </row>
    <row r="113" spans="2:14" ht="15" x14ac:dyDescent="0.25">
      <c r="B113" s="456"/>
      <c r="C113" s="457"/>
      <c r="D113" s="457"/>
      <c r="E113" s="457"/>
      <c r="F113" s="448"/>
      <c r="G113" s="448"/>
      <c r="H113" s="448"/>
      <c r="I113" s="448"/>
      <c r="J113" s="448"/>
      <c r="K113" s="448"/>
      <c r="L113" s="448"/>
      <c r="M113" s="409" t="s">
        <v>24702</v>
      </c>
      <c r="N113" s="410">
        <f>SUM(N112:N112)</f>
        <v>0</v>
      </c>
    </row>
    <row r="114" spans="2:14" ht="15" x14ac:dyDescent="0.25">
      <c r="B114" s="456"/>
      <c r="C114" s="457"/>
      <c r="D114" s="457"/>
      <c r="E114" s="457"/>
      <c r="F114" s="457"/>
      <c r="G114" s="457"/>
      <c r="H114" s="457"/>
      <c r="I114" s="457"/>
      <c r="J114" s="457"/>
      <c r="K114" s="457"/>
      <c r="L114" s="457"/>
      <c r="M114" s="457"/>
      <c r="N114" s="404"/>
    </row>
    <row r="115" spans="2:14" ht="15" x14ac:dyDescent="0.25">
      <c r="B115" s="421"/>
      <c r="C115" s="422"/>
      <c r="D115" s="422"/>
      <c r="E115" s="422"/>
      <c r="F115" s="452"/>
      <c r="G115" s="452"/>
      <c r="H115" s="452"/>
      <c r="I115" s="452"/>
      <c r="J115" s="452"/>
      <c r="K115" s="452"/>
      <c r="L115" s="452"/>
      <c r="M115" s="424" t="s">
        <v>24703</v>
      </c>
      <c r="N115" s="412">
        <f>N101+N105+N109+N113</f>
        <v>148.29</v>
      </c>
    </row>
    <row r="116" spans="2:14" ht="15" x14ac:dyDescent="0.25">
      <c r="B116" s="456"/>
      <c r="C116" s="457"/>
      <c r="D116" s="457"/>
      <c r="E116" s="457"/>
      <c r="F116" s="448"/>
      <c r="G116" s="448"/>
      <c r="H116" s="448"/>
      <c r="I116" s="448"/>
      <c r="J116" s="448"/>
      <c r="K116" s="448"/>
      <c r="L116" s="448"/>
      <c r="M116" s="752">
        <f>'Planilha - Orla'!I3</f>
        <v>0.28220000000000001</v>
      </c>
      <c r="N116" s="412">
        <f>N115*M116</f>
        <v>41.85</v>
      </c>
    </row>
    <row r="117" spans="2:14" ht="15.75" thickBot="1" x14ac:dyDescent="0.3">
      <c r="B117" s="1472" t="s">
        <v>24704</v>
      </c>
      <c r="C117" s="1473"/>
      <c r="D117" s="1473"/>
      <c r="E117" s="1473"/>
      <c r="F117" s="1473"/>
      <c r="G117" s="1473"/>
      <c r="H117" s="1473"/>
      <c r="I117" s="1473"/>
      <c r="J117" s="1473"/>
      <c r="K117" s="1473"/>
      <c r="L117" s="1473"/>
      <c r="M117" s="1474"/>
      <c r="N117" s="415">
        <f>N115+N116</f>
        <v>190.14</v>
      </c>
    </row>
    <row r="119" spans="2:14" ht="15" thickBot="1" x14ac:dyDescent="0.3"/>
    <row r="120" spans="2:14" ht="39.75" customHeight="1" x14ac:dyDescent="0.25">
      <c r="B120" s="1479" t="s">
        <v>24726</v>
      </c>
      <c r="C120" s="1480"/>
      <c r="D120" s="1481"/>
      <c r="E120" s="1482" t="s">
        <v>24669</v>
      </c>
      <c r="F120" s="1482"/>
      <c r="G120" s="1482"/>
      <c r="H120" s="1482"/>
      <c r="I120" s="1482"/>
      <c r="J120" s="1482"/>
      <c r="K120" s="1482"/>
      <c r="L120" s="453"/>
      <c r="M120" s="1483"/>
      <c r="N120" s="1484"/>
    </row>
    <row r="121" spans="2:14" ht="15" x14ac:dyDescent="0.25">
      <c r="B121" s="391" t="s">
        <v>24670</v>
      </c>
      <c r="C121" s="1518" t="s">
        <v>24785</v>
      </c>
      <c r="D121" s="1518"/>
      <c r="E121" s="1518"/>
      <c r="F121" s="1518"/>
      <c r="G121" s="1518"/>
      <c r="H121" s="1518"/>
      <c r="I121" s="1518"/>
      <c r="J121" s="1518"/>
      <c r="K121" s="1518"/>
      <c r="L121" s="1518"/>
      <c r="M121" s="1518"/>
      <c r="N121" s="1519"/>
    </row>
    <row r="122" spans="2:14" ht="15" x14ac:dyDescent="0.25">
      <c r="B122" s="391" t="s">
        <v>24671</v>
      </c>
      <c r="C122" s="1487" t="s">
        <v>7</v>
      </c>
      <c r="D122" s="1487"/>
      <c r="E122" s="1487"/>
      <c r="F122" s="1487"/>
      <c r="G122" s="1487"/>
      <c r="H122" s="1487"/>
      <c r="I122" s="1487"/>
      <c r="J122" s="1487"/>
      <c r="K122" s="1487"/>
      <c r="L122" s="1487"/>
      <c r="M122" s="1487"/>
      <c r="N122" s="1488"/>
    </row>
    <row r="123" spans="2:14" ht="15.75" thickBot="1" x14ac:dyDescent="0.3">
      <c r="B123" s="391" t="s">
        <v>24672</v>
      </c>
      <c r="C123" s="1489">
        <v>44501</v>
      </c>
      <c r="D123" s="1490"/>
      <c r="E123" s="1490"/>
      <c r="F123" s="1490"/>
      <c r="G123" s="1490"/>
      <c r="H123" s="1490"/>
      <c r="I123" s="1490"/>
      <c r="J123" s="1490"/>
      <c r="K123" s="1490"/>
      <c r="L123" s="1490"/>
      <c r="M123" s="1490"/>
      <c r="N123" s="1491"/>
    </row>
    <row r="124" spans="2:14" ht="30" x14ac:dyDescent="0.25">
      <c r="B124" s="392" t="s">
        <v>0</v>
      </c>
      <c r="C124" s="393" t="s">
        <v>24673</v>
      </c>
      <c r="D124" s="1465" t="s">
        <v>24674</v>
      </c>
      <c r="E124" s="1465"/>
      <c r="F124" s="1465"/>
      <c r="G124" s="1466"/>
      <c r="H124" s="441" t="s">
        <v>111</v>
      </c>
      <c r="I124" s="441" t="s">
        <v>24675</v>
      </c>
      <c r="J124" s="441" t="s">
        <v>24676</v>
      </c>
      <c r="K124" s="1467" t="s">
        <v>24677</v>
      </c>
      <c r="L124" s="1468"/>
      <c r="M124" s="441" t="s">
        <v>24678</v>
      </c>
      <c r="N124" s="395" t="s">
        <v>24679</v>
      </c>
    </row>
    <row r="125" spans="2:14" ht="15" x14ac:dyDescent="0.25">
      <c r="B125" s="446">
        <v>86030</v>
      </c>
      <c r="C125" s="458" t="s">
        <v>4379</v>
      </c>
      <c r="D125" s="1463" t="s">
        <v>24786</v>
      </c>
      <c r="E125" s="1463"/>
      <c r="F125" s="1463"/>
      <c r="G125" s="1464"/>
      <c r="H125" s="447"/>
      <c r="I125" s="447">
        <v>3.2000000000000001E-2</v>
      </c>
      <c r="J125" s="442"/>
      <c r="K125" s="1492">
        <v>106.84</v>
      </c>
      <c r="L125" s="1493"/>
      <c r="M125" s="427"/>
      <c r="N125" s="443">
        <f>K125*I125</f>
        <v>3.42</v>
      </c>
    </row>
    <row r="126" spans="2:14" ht="15" x14ac:dyDescent="0.25">
      <c r="B126" s="446"/>
      <c r="C126" s="397"/>
      <c r="D126" s="1494"/>
      <c r="E126" s="1494"/>
      <c r="F126" s="1494"/>
      <c r="G126" s="1495"/>
      <c r="H126" s="442"/>
      <c r="I126" s="442"/>
      <c r="J126" s="442"/>
      <c r="K126" s="442"/>
      <c r="L126" s="442"/>
      <c r="M126" s="442"/>
      <c r="N126" s="443"/>
    </row>
    <row r="127" spans="2:14" ht="15.75" thickBot="1" x14ac:dyDescent="0.3">
      <c r="B127" s="400"/>
      <c r="C127" s="401"/>
      <c r="D127" s="401"/>
      <c r="E127" s="401"/>
      <c r="F127" s="444"/>
      <c r="G127" s="444"/>
      <c r="H127" s="444"/>
      <c r="I127" s="444"/>
      <c r="J127" s="444"/>
      <c r="K127" s="444"/>
      <c r="L127" s="444"/>
      <c r="M127" s="455" t="s">
        <v>24680</v>
      </c>
      <c r="N127" s="403">
        <f>SUM(N125:N126)</f>
        <v>3.42</v>
      </c>
    </row>
    <row r="128" spans="2:14" ht="15.75" thickBot="1" x14ac:dyDescent="0.3">
      <c r="B128" s="456"/>
      <c r="C128" s="457"/>
      <c r="D128" s="457"/>
      <c r="E128" s="457"/>
      <c r="F128" s="457"/>
      <c r="G128" s="457"/>
      <c r="H128" s="457"/>
      <c r="I128" s="457"/>
      <c r="J128" s="457"/>
      <c r="K128" s="457"/>
      <c r="L128" s="457"/>
      <c r="M128" s="457"/>
      <c r="N128" s="404"/>
    </row>
    <row r="129" spans="2:14" ht="45" x14ac:dyDescent="0.25">
      <c r="B129" s="392" t="s">
        <v>0</v>
      </c>
      <c r="C129" s="393" t="s">
        <v>24673</v>
      </c>
      <c r="D129" s="1465" t="s">
        <v>24681</v>
      </c>
      <c r="E129" s="1465"/>
      <c r="F129" s="1465"/>
      <c r="G129" s="1465"/>
      <c r="H129" s="1466"/>
      <c r="I129" s="441" t="s">
        <v>3686</v>
      </c>
      <c r="J129" s="441" t="s">
        <v>24682</v>
      </c>
      <c r="K129" s="441" t="s">
        <v>24861</v>
      </c>
      <c r="L129" s="441" t="s">
        <v>24862</v>
      </c>
      <c r="M129" s="441" t="s">
        <v>24683</v>
      </c>
      <c r="N129" s="395" t="s">
        <v>24679</v>
      </c>
    </row>
    <row r="130" spans="2:14" ht="15" x14ac:dyDescent="0.25">
      <c r="B130" s="446">
        <v>10118</v>
      </c>
      <c r="C130" s="458" t="s">
        <v>4389</v>
      </c>
      <c r="D130" s="1463" t="s">
        <v>24784</v>
      </c>
      <c r="E130" s="1463"/>
      <c r="F130" s="1463"/>
      <c r="G130" s="1463"/>
      <c r="H130" s="1464"/>
      <c r="I130" s="442" t="s">
        <v>75</v>
      </c>
      <c r="J130" s="406">
        <v>1.5727</v>
      </c>
      <c r="K130" s="427">
        <v>7.43</v>
      </c>
      <c r="L130" s="427">
        <f>K130*(1+J130)</f>
        <v>19.12</v>
      </c>
      <c r="M130" s="447">
        <v>0.69288000000000005</v>
      </c>
      <c r="N130" s="443">
        <f>L130*M130</f>
        <v>13.25</v>
      </c>
    </row>
    <row r="131" spans="2:14" ht="15" x14ac:dyDescent="0.25">
      <c r="B131" s="446">
        <v>10139</v>
      </c>
      <c r="C131" s="458" t="s">
        <v>4389</v>
      </c>
      <c r="D131" s="1463" t="s">
        <v>24774</v>
      </c>
      <c r="E131" s="1463"/>
      <c r="F131" s="1463"/>
      <c r="G131" s="1463"/>
      <c r="H131" s="1464"/>
      <c r="I131" s="442" t="s">
        <v>75</v>
      </c>
      <c r="J131" s="406">
        <v>1.5727</v>
      </c>
      <c r="K131" s="427">
        <v>7.43</v>
      </c>
      <c r="L131" s="427">
        <f t="shared" ref="L131:L132" si="2">K131*(1+J131)</f>
        <v>19.12</v>
      </c>
      <c r="M131" s="447">
        <v>0.35699999999999998</v>
      </c>
      <c r="N131" s="443">
        <f t="shared" ref="N131:N132" si="3">L131*M131</f>
        <v>6.83</v>
      </c>
    </row>
    <row r="132" spans="2:14" ht="15" x14ac:dyDescent="0.25">
      <c r="B132" s="446">
        <v>10146</v>
      </c>
      <c r="C132" s="458" t="s">
        <v>4389</v>
      </c>
      <c r="D132" s="1463" t="s">
        <v>24710</v>
      </c>
      <c r="E132" s="1463"/>
      <c r="F132" s="1463"/>
      <c r="G132" s="1463"/>
      <c r="H132" s="1464"/>
      <c r="I132" s="442" t="s">
        <v>75</v>
      </c>
      <c r="J132" s="406">
        <v>1.5727</v>
      </c>
      <c r="K132" s="427">
        <v>5.46</v>
      </c>
      <c r="L132" s="427">
        <f t="shared" si="2"/>
        <v>14.05</v>
      </c>
      <c r="M132" s="447">
        <v>6.92652</v>
      </c>
      <c r="N132" s="443">
        <f t="shared" si="3"/>
        <v>97.32</v>
      </c>
    </row>
    <row r="133" spans="2:14" ht="15.75" thickBot="1" x14ac:dyDescent="0.3">
      <c r="B133" s="400"/>
      <c r="C133" s="401"/>
      <c r="D133" s="401"/>
      <c r="E133" s="401"/>
      <c r="F133" s="444"/>
      <c r="G133" s="444"/>
      <c r="H133" s="444"/>
      <c r="I133" s="444"/>
      <c r="J133" s="444"/>
      <c r="K133" s="444"/>
      <c r="L133" s="444"/>
      <c r="M133" s="455" t="s">
        <v>24684</v>
      </c>
      <c r="N133" s="403">
        <f>SUM(N130:N132)</f>
        <v>117.4</v>
      </c>
    </row>
    <row r="134" spans="2:14" ht="15.75" thickBot="1" x14ac:dyDescent="0.3">
      <c r="B134" s="456"/>
      <c r="C134" s="457"/>
      <c r="D134" s="457"/>
      <c r="E134" s="457"/>
      <c r="F134" s="457"/>
      <c r="G134" s="457"/>
      <c r="H134" s="457"/>
      <c r="I134" s="448"/>
      <c r="J134" s="448"/>
      <c r="K134" s="457"/>
      <c r="L134" s="457"/>
      <c r="M134" s="457"/>
      <c r="N134" s="404"/>
    </row>
    <row r="135" spans="2:14" ht="30" x14ac:dyDescent="0.25">
      <c r="B135" s="392" t="s">
        <v>0</v>
      </c>
      <c r="C135" s="393" t="s">
        <v>24673</v>
      </c>
      <c r="D135" s="1465" t="s">
        <v>24685</v>
      </c>
      <c r="E135" s="1465"/>
      <c r="F135" s="1465"/>
      <c r="G135" s="1465"/>
      <c r="H135" s="1466"/>
      <c r="I135" s="441" t="s">
        <v>2858</v>
      </c>
      <c r="J135" s="441" t="s">
        <v>24686</v>
      </c>
      <c r="K135" s="441" t="s">
        <v>24687</v>
      </c>
      <c r="L135" s="441"/>
      <c r="M135" s="441" t="s">
        <v>24688</v>
      </c>
      <c r="N135" s="395" t="s">
        <v>24689</v>
      </c>
    </row>
    <row r="136" spans="2:14" ht="15" x14ac:dyDescent="0.25">
      <c r="B136" s="446"/>
      <c r="C136" s="458"/>
      <c r="D136" s="1463"/>
      <c r="E136" s="1463"/>
      <c r="F136" s="1463"/>
      <c r="G136" s="1463"/>
      <c r="H136" s="1464"/>
      <c r="I136" s="442"/>
      <c r="J136" s="442"/>
      <c r="K136" s="442"/>
      <c r="L136" s="442"/>
      <c r="M136" s="442"/>
      <c r="N136" s="443"/>
    </row>
    <row r="137" spans="2:14" ht="15" x14ac:dyDescent="0.25">
      <c r="B137" s="456"/>
      <c r="C137" s="457"/>
      <c r="D137" s="457"/>
      <c r="E137" s="457"/>
      <c r="F137" s="448"/>
      <c r="G137" s="448"/>
      <c r="H137" s="448"/>
      <c r="I137" s="448"/>
      <c r="J137" s="448"/>
      <c r="K137" s="448"/>
      <c r="L137" s="448"/>
      <c r="M137" s="409" t="s">
        <v>24690</v>
      </c>
      <c r="N137" s="410">
        <f>SUM(N136:N136)</f>
        <v>0</v>
      </c>
    </row>
    <row r="138" spans="2:14" ht="15" x14ac:dyDescent="0.25">
      <c r="B138" s="456"/>
      <c r="C138" s="457"/>
      <c r="D138" s="457"/>
      <c r="E138" s="457"/>
      <c r="F138" s="457"/>
      <c r="G138" s="457"/>
      <c r="H138" s="457"/>
      <c r="I138" s="457"/>
      <c r="J138" s="457"/>
      <c r="K138" s="457"/>
      <c r="L138" s="457"/>
      <c r="M138" s="457"/>
      <c r="N138" s="404"/>
    </row>
    <row r="139" spans="2:14" ht="15" x14ac:dyDescent="0.25">
      <c r="B139" s="456"/>
      <c r="C139" s="457"/>
      <c r="D139" s="457"/>
      <c r="E139" s="457"/>
      <c r="F139" s="448"/>
      <c r="G139" s="448"/>
      <c r="H139" s="448"/>
      <c r="I139" s="449"/>
      <c r="J139" s="449"/>
      <c r="K139" s="449"/>
      <c r="L139" s="449"/>
      <c r="M139" s="409" t="s">
        <v>24691</v>
      </c>
      <c r="N139" s="412">
        <f>N127+N133+N137</f>
        <v>120.82</v>
      </c>
    </row>
    <row r="140" spans="2:14" ht="15" x14ac:dyDescent="0.25">
      <c r="B140" s="456"/>
      <c r="C140" s="457"/>
      <c r="D140" s="457"/>
      <c r="E140" s="457"/>
      <c r="F140" s="448"/>
      <c r="G140" s="448"/>
      <c r="H140" s="448"/>
      <c r="I140" s="448"/>
      <c r="J140" s="450"/>
      <c r="K140" s="450"/>
      <c r="L140" s="450"/>
      <c r="M140" s="414" t="s">
        <v>24692</v>
      </c>
      <c r="N140" s="412">
        <v>1</v>
      </c>
    </row>
    <row r="141" spans="2:14" ht="15.75" thickBot="1" x14ac:dyDescent="0.3">
      <c r="B141" s="400"/>
      <c r="C141" s="401"/>
      <c r="D141" s="401"/>
      <c r="E141" s="401"/>
      <c r="F141" s="444"/>
      <c r="G141" s="444"/>
      <c r="H141" s="444"/>
      <c r="I141" s="444"/>
      <c r="J141" s="444"/>
      <c r="K141" s="444"/>
      <c r="L141" s="444"/>
      <c r="M141" s="455" t="s">
        <v>24693</v>
      </c>
      <c r="N141" s="415">
        <f>TRUNC(N139/N140,2)</f>
        <v>120.82</v>
      </c>
    </row>
    <row r="142" spans="2:14" ht="15.75" thickBot="1" x14ac:dyDescent="0.3">
      <c r="B142" s="456"/>
      <c r="C142" s="457"/>
      <c r="D142" s="457"/>
      <c r="E142" s="457"/>
      <c r="F142" s="457"/>
      <c r="G142" s="457"/>
      <c r="H142" s="457"/>
      <c r="I142" s="457"/>
      <c r="J142" s="457"/>
      <c r="K142" s="457"/>
      <c r="L142" s="457"/>
      <c r="M142" s="457"/>
      <c r="N142" s="404"/>
    </row>
    <row r="143" spans="2:14" ht="30" x14ac:dyDescent="0.25">
      <c r="B143" s="392" t="s">
        <v>0</v>
      </c>
      <c r="C143" s="393" t="s">
        <v>24673</v>
      </c>
      <c r="D143" s="1465" t="s">
        <v>24694</v>
      </c>
      <c r="E143" s="1465"/>
      <c r="F143" s="1465"/>
      <c r="G143" s="1465"/>
      <c r="H143" s="1465"/>
      <c r="I143" s="1466"/>
      <c r="J143" s="441" t="s">
        <v>3686</v>
      </c>
      <c r="K143" s="441" t="s">
        <v>24695</v>
      </c>
      <c r="L143" s="441"/>
      <c r="M143" s="441" t="s">
        <v>24683</v>
      </c>
      <c r="N143" s="395" t="s">
        <v>24689</v>
      </c>
    </row>
    <row r="144" spans="2:14" ht="15" x14ac:dyDescent="0.25">
      <c r="B144" s="446"/>
      <c r="C144" s="458"/>
      <c r="D144" s="1463"/>
      <c r="E144" s="1463"/>
      <c r="F144" s="1463"/>
      <c r="G144" s="1463"/>
      <c r="H144" s="1463"/>
      <c r="I144" s="1464"/>
      <c r="J144" s="442"/>
      <c r="K144" s="442"/>
      <c r="L144" s="442"/>
      <c r="M144" s="447"/>
      <c r="N144" s="443"/>
    </row>
    <row r="145" spans="2:14" ht="15.75" thickBot="1" x14ac:dyDescent="0.3">
      <c r="B145" s="400"/>
      <c r="C145" s="401"/>
      <c r="D145" s="401"/>
      <c r="E145" s="401"/>
      <c r="F145" s="444"/>
      <c r="G145" s="444"/>
      <c r="H145" s="444"/>
      <c r="I145" s="444"/>
      <c r="J145" s="444"/>
      <c r="K145" s="444"/>
      <c r="L145" s="444"/>
      <c r="M145" s="455" t="s">
        <v>24696</v>
      </c>
      <c r="N145" s="403">
        <f>SUM(N144:N144)</f>
        <v>0</v>
      </c>
    </row>
    <row r="146" spans="2:14" ht="15.75" thickBot="1" x14ac:dyDescent="0.3">
      <c r="B146" s="456"/>
      <c r="C146" s="457"/>
      <c r="D146" s="457"/>
      <c r="E146" s="457"/>
      <c r="F146" s="457"/>
      <c r="G146" s="457"/>
      <c r="H146" s="457"/>
      <c r="I146" s="457"/>
      <c r="J146" s="457"/>
      <c r="K146" s="457"/>
      <c r="L146" s="457"/>
      <c r="M146" s="457"/>
      <c r="N146" s="404"/>
    </row>
    <row r="147" spans="2:14" ht="30" x14ac:dyDescent="0.25">
      <c r="B147" s="392" t="s">
        <v>0</v>
      </c>
      <c r="C147" s="441" t="s">
        <v>24673</v>
      </c>
      <c r="D147" s="1465" t="s">
        <v>24697</v>
      </c>
      <c r="E147" s="1465"/>
      <c r="F147" s="1465"/>
      <c r="G147" s="1465"/>
      <c r="H147" s="1465"/>
      <c r="I147" s="1466"/>
      <c r="J147" s="441" t="s">
        <v>3686</v>
      </c>
      <c r="K147" s="441" t="s">
        <v>24695</v>
      </c>
      <c r="L147" s="441"/>
      <c r="M147" s="441" t="s">
        <v>24683</v>
      </c>
      <c r="N147" s="395" t="s">
        <v>24689</v>
      </c>
    </row>
    <row r="148" spans="2:14" ht="15" x14ac:dyDescent="0.25">
      <c r="B148" s="416"/>
      <c r="C148" s="417"/>
      <c r="D148" s="1463"/>
      <c r="E148" s="1463"/>
      <c r="F148" s="1463"/>
      <c r="G148" s="1463"/>
      <c r="H148" s="1463"/>
      <c r="I148" s="1464"/>
      <c r="J148" s="451"/>
      <c r="K148" s="451"/>
      <c r="L148" s="451"/>
      <c r="M148" s="419"/>
      <c r="N148" s="420"/>
    </row>
    <row r="149" spans="2:14" ht="15.75" thickBot="1" x14ac:dyDescent="0.3">
      <c r="B149" s="400"/>
      <c r="C149" s="401"/>
      <c r="D149" s="401"/>
      <c r="E149" s="401"/>
      <c r="F149" s="444"/>
      <c r="G149" s="444"/>
      <c r="H149" s="444"/>
      <c r="I149" s="444"/>
      <c r="J149" s="444"/>
      <c r="K149" s="444"/>
      <c r="L149" s="444"/>
      <c r="M149" s="455" t="s">
        <v>24698</v>
      </c>
      <c r="N149" s="403">
        <f>SUM(N148:N148)</f>
        <v>0</v>
      </c>
    </row>
    <row r="150" spans="2:14" ht="15.75" thickBot="1" x14ac:dyDescent="0.3">
      <c r="B150" s="456"/>
      <c r="C150" s="457"/>
      <c r="D150" s="457"/>
      <c r="E150" s="457"/>
      <c r="F150" s="457"/>
      <c r="G150" s="457"/>
      <c r="H150" s="457"/>
      <c r="I150" s="457"/>
      <c r="J150" s="457"/>
      <c r="K150" s="457"/>
      <c r="L150" s="457"/>
      <c r="M150" s="457"/>
      <c r="N150" s="404"/>
    </row>
    <row r="151" spans="2:14" ht="30" x14ac:dyDescent="0.25">
      <c r="B151" s="392" t="s">
        <v>0</v>
      </c>
      <c r="C151" s="441" t="s">
        <v>24673</v>
      </c>
      <c r="D151" s="1465" t="s">
        <v>24699</v>
      </c>
      <c r="E151" s="1465"/>
      <c r="F151" s="1465"/>
      <c r="G151" s="1466"/>
      <c r="H151" s="441" t="s">
        <v>3686</v>
      </c>
      <c r="I151" s="441" t="s">
        <v>24700</v>
      </c>
      <c r="J151" s="441" t="s">
        <v>24701</v>
      </c>
      <c r="K151" s="441" t="s">
        <v>24695</v>
      </c>
      <c r="L151" s="441"/>
      <c r="M151" s="441" t="s">
        <v>24683</v>
      </c>
      <c r="N151" s="395" t="s">
        <v>24689</v>
      </c>
    </row>
    <row r="152" spans="2:14" ht="15" x14ac:dyDescent="0.25">
      <c r="B152" s="446"/>
      <c r="C152" s="458"/>
      <c r="D152" s="1494"/>
      <c r="E152" s="1494"/>
      <c r="F152" s="1494"/>
      <c r="G152" s="1494"/>
      <c r="H152" s="442"/>
      <c r="I152" s="442"/>
      <c r="J152" s="442"/>
      <c r="K152" s="442"/>
      <c r="L152" s="442"/>
      <c r="M152" s="447"/>
      <c r="N152" s="443"/>
    </row>
    <row r="153" spans="2:14" ht="15" x14ac:dyDescent="0.25">
      <c r="B153" s="456"/>
      <c r="C153" s="457"/>
      <c r="D153" s="457"/>
      <c r="E153" s="457"/>
      <c r="F153" s="448"/>
      <c r="G153" s="448"/>
      <c r="H153" s="448"/>
      <c r="I153" s="448"/>
      <c r="J153" s="448"/>
      <c r="K153" s="448"/>
      <c r="L153" s="448"/>
      <c r="M153" s="409" t="s">
        <v>24702</v>
      </c>
      <c r="N153" s="410">
        <f>SUM(N152:N152)</f>
        <v>0</v>
      </c>
    </row>
    <row r="154" spans="2:14" ht="15" x14ac:dyDescent="0.25">
      <c r="B154" s="456"/>
      <c r="C154" s="457"/>
      <c r="D154" s="457"/>
      <c r="E154" s="457"/>
      <c r="F154" s="457"/>
      <c r="G154" s="457"/>
      <c r="H154" s="457"/>
      <c r="I154" s="457"/>
      <c r="J154" s="457"/>
      <c r="K154" s="457"/>
      <c r="L154" s="457"/>
      <c r="M154" s="457"/>
      <c r="N154" s="404"/>
    </row>
    <row r="155" spans="2:14" ht="15" x14ac:dyDescent="0.25">
      <c r="B155" s="421"/>
      <c r="C155" s="422"/>
      <c r="D155" s="422"/>
      <c r="E155" s="422"/>
      <c r="F155" s="452"/>
      <c r="G155" s="452"/>
      <c r="H155" s="452"/>
      <c r="I155" s="452"/>
      <c r="J155" s="452"/>
      <c r="K155" s="452"/>
      <c r="L155" s="452"/>
      <c r="M155" s="424" t="s">
        <v>24703</v>
      </c>
      <c r="N155" s="412">
        <f>N141+N145+N149+N153</f>
        <v>120.82</v>
      </c>
    </row>
    <row r="156" spans="2:14" ht="15" x14ac:dyDescent="0.25">
      <c r="B156" s="456"/>
      <c r="C156" s="457"/>
      <c r="D156" s="457"/>
      <c r="E156" s="457"/>
      <c r="F156" s="448"/>
      <c r="G156" s="448"/>
      <c r="H156" s="448"/>
      <c r="I156" s="448"/>
      <c r="J156" s="448"/>
      <c r="K156" s="448"/>
      <c r="L156" s="448"/>
      <c r="M156" s="752">
        <f>'Planilha - Orla'!I3</f>
        <v>0.28220000000000001</v>
      </c>
      <c r="N156" s="412">
        <f>N155*M156</f>
        <v>34.1</v>
      </c>
    </row>
    <row r="157" spans="2:14" ht="15.75" thickBot="1" x14ac:dyDescent="0.3">
      <c r="B157" s="1472" t="s">
        <v>24704</v>
      </c>
      <c r="C157" s="1473"/>
      <c r="D157" s="1473"/>
      <c r="E157" s="1473"/>
      <c r="F157" s="1473"/>
      <c r="G157" s="1473"/>
      <c r="H157" s="1473"/>
      <c r="I157" s="1473"/>
      <c r="J157" s="1473"/>
      <c r="K157" s="1473"/>
      <c r="L157" s="1473"/>
      <c r="M157" s="1474"/>
      <c r="N157" s="415">
        <f>N155+N156</f>
        <v>154.91999999999999</v>
      </c>
    </row>
    <row r="159" spans="2:14" ht="15" thickBot="1" x14ac:dyDescent="0.3"/>
    <row r="160" spans="2:14" ht="38.25" customHeight="1" x14ac:dyDescent="0.25">
      <c r="B160" s="1479" t="s">
        <v>24727</v>
      </c>
      <c r="C160" s="1480"/>
      <c r="D160" s="1481"/>
      <c r="E160" s="1482" t="s">
        <v>24669</v>
      </c>
      <c r="F160" s="1482"/>
      <c r="G160" s="1482"/>
      <c r="H160" s="1482"/>
      <c r="I160" s="1482"/>
      <c r="J160" s="1482"/>
      <c r="K160" s="1482"/>
      <c r="L160" s="453"/>
      <c r="M160" s="1483"/>
      <c r="N160" s="1484"/>
    </row>
    <row r="161" spans="2:14" ht="15" x14ac:dyDescent="0.25">
      <c r="B161" s="391" t="s">
        <v>24670</v>
      </c>
      <c r="C161" s="1518" t="s">
        <v>24937</v>
      </c>
      <c r="D161" s="1518"/>
      <c r="E161" s="1518"/>
      <c r="F161" s="1518"/>
      <c r="G161" s="1518"/>
      <c r="H161" s="1518"/>
      <c r="I161" s="1518"/>
      <c r="J161" s="1518"/>
      <c r="K161" s="1518"/>
      <c r="L161" s="1518"/>
      <c r="M161" s="1518"/>
      <c r="N161" s="1519"/>
    </row>
    <row r="162" spans="2:14" ht="15" x14ac:dyDescent="0.25">
      <c r="B162" s="391" t="s">
        <v>24671</v>
      </c>
      <c r="C162" s="1487" t="s">
        <v>6</v>
      </c>
      <c r="D162" s="1487"/>
      <c r="E162" s="1487"/>
      <c r="F162" s="1487"/>
      <c r="G162" s="1487"/>
      <c r="H162" s="1487"/>
      <c r="I162" s="1487"/>
      <c r="J162" s="1487"/>
      <c r="K162" s="1487"/>
      <c r="L162" s="1487"/>
      <c r="M162" s="1487"/>
      <c r="N162" s="1488"/>
    </row>
    <row r="163" spans="2:14" ht="15.75" thickBot="1" x14ac:dyDescent="0.3">
      <c r="B163" s="391" t="s">
        <v>24672</v>
      </c>
      <c r="C163" s="1489">
        <v>44501</v>
      </c>
      <c r="D163" s="1490"/>
      <c r="E163" s="1490"/>
      <c r="F163" s="1490"/>
      <c r="G163" s="1490"/>
      <c r="H163" s="1490"/>
      <c r="I163" s="1490"/>
      <c r="J163" s="1490"/>
      <c r="K163" s="1490"/>
      <c r="L163" s="1490"/>
      <c r="M163" s="1490"/>
      <c r="N163" s="1491"/>
    </row>
    <row r="164" spans="2:14" ht="30" x14ac:dyDescent="0.25">
      <c r="B164" s="392" t="s">
        <v>0</v>
      </c>
      <c r="C164" s="393" t="s">
        <v>24673</v>
      </c>
      <c r="D164" s="1465" t="s">
        <v>24674</v>
      </c>
      <c r="E164" s="1465"/>
      <c r="F164" s="1465"/>
      <c r="G164" s="1466"/>
      <c r="H164" s="441" t="s">
        <v>111</v>
      </c>
      <c r="I164" s="441" t="s">
        <v>24675</v>
      </c>
      <c r="J164" s="441" t="s">
        <v>24676</v>
      </c>
      <c r="K164" s="1467" t="s">
        <v>24677</v>
      </c>
      <c r="L164" s="1468"/>
      <c r="M164" s="441" t="s">
        <v>24678</v>
      </c>
      <c r="N164" s="395" t="s">
        <v>24679</v>
      </c>
    </row>
    <row r="165" spans="2:14" ht="29.25" customHeight="1" x14ac:dyDescent="0.25">
      <c r="B165" s="446">
        <v>5631</v>
      </c>
      <c r="C165" s="458" t="s">
        <v>24706</v>
      </c>
      <c r="D165" s="1463" t="s">
        <v>24765</v>
      </c>
      <c r="E165" s="1463"/>
      <c r="F165" s="1463"/>
      <c r="G165" s="1464"/>
      <c r="H165" s="447"/>
      <c r="I165" s="447">
        <v>1</v>
      </c>
      <c r="J165" s="442"/>
      <c r="K165" s="1492">
        <v>198.05</v>
      </c>
      <c r="L165" s="1493"/>
      <c r="M165" s="427">
        <v>0</v>
      </c>
      <c r="N165" s="443">
        <f>K165*I165</f>
        <v>198.05</v>
      </c>
    </row>
    <row r="166" spans="2:14" ht="28.5" customHeight="1" x14ac:dyDescent="0.25">
      <c r="B166" s="446">
        <v>5632</v>
      </c>
      <c r="C166" s="1269" t="s">
        <v>24706</v>
      </c>
      <c r="D166" s="1463" t="s">
        <v>25754</v>
      </c>
      <c r="E166" s="1463"/>
      <c r="F166" s="1463"/>
      <c r="G166" s="1464"/>
      <c r="H166" s="447"/>
      <c r="I166" s="442"/>
      <c r="J166" s="447">
        <v>0.3</v>
      </c>
      <c r="K166" s="1461"/>
      <c r="L166" s="1462"/>
      <c r="M166" s="427">
        <v>84.15</v>
      </c>
      <c r="N166" s="443">
        <f>J166*M166</f>
        <v>25.25</v>
      </c>
    </row>
    <row r="167" spans="2:14" ht="15" x14ac:dyDescent="0.25">
      <c r="B167" s="446"/>
      <c r="C167" s="397"/>
      <c r="D167" s="1494"/>
      <c r="E167" s="1494"/>
      <c r="F167" s="1494"/>
      <c r="G167" s="1495"/>
      <c r="H167" s="442"/>
      <c r="I167" s="442"/>
      <c r="J167" s="442"/>
      <c r="K167" s="1461"/>
      <c r="L167" s="1462"/>
      <c r="M167" s="442"/>
      <c r="N167" s="443"/>
    </row>
    <row r="168" spans="2:14" ht="15.75" thickBot="1" x14ac:dyDescent="0.3">
      <c r="B168" s="400"/>
      <c r="C168" s="401"/>
      <c r="D168" s="401"/>
      <c r="E168" s="401"/>
      <c r="F168" s="444"/>
      <c r="G168" s="444"/>
      <c r="H168" s="444"/>
      <c r="I168" s="444"/>
      <c r="J168" s="444"/>
      <c r="K168" s="444"/>
      <c r="L168" s="444"/>
      <c r="M168" s="455" t="s">
        <v>24680</v>
      </c>
      <c r="N168" s="403">
        <f>SUM(N165:N166)</f>
        <v>223.3</v>
      </c>
    </row>
    <row r="169" spans="2:14" ht="15.75" thickBot="1" x14ac:dyDescent="0.3">
      <c r="B169" s="456"/>
      <c r="C169" s="457"/>
      <c r="D169" s="457"/>
      <c r="E169" s="457"/>
      <c r="F169" s="457"/>
      <c r="G169" s="457"/>
      <c r="H169" s="457"/>
      <c r="I169" s="457"/>
      <c r="J169" s="457"/>
      <c r="K169" s="457"/>
      <c r="L169" s="457"/>
      <c r="M169" s="457"/>
      <c r="N169" s="404"/>
    </row>
    <row r="170" spans="2:14" ht="45" x14ac:dyDescent="0.25">
      <c r="B170" s="392" t="s">
        <v>0</v>
      </c>
      <c r="C170" s="393" t="s">
        <v>24673</v>
      </c>
      <c r="D170" s="1465" t="s">
        <v>24681</v>
      </c>
      <c r="E170" s="1465"/>
      <c r="F170" s="1465"/>
      <c r="G170" s="1465"/>
      <c r="H170" s="1466"/>
      <c r="I170" s="441" t="s">
        <v>3686</v>
      </c>
      <c r="J170" s="441" t="s">
        <v>24682</v>
      </c>
      <c r="K170" s="441" t="s">
        <v>24861</v>
      </c>
      <c r="L170" s="441" t="s">
        <v>24862</v>
      </c>
      <c r="M170" s="441" t="s">
        <v>24683</v>
      </c>
      <c r="N170" s="395" t="s">
        <v>24679</v>
      </c>
    </row>
    <row r="171" spans="2:14" ht="15" x14ac:dyDescent="0.25">
      <c r="B171" s="446">
        <v>10146</v>
      </c>
      <c r="C171" s="458" t="s">
        <v>4389</v>
      </c>
      <c r="D171" s="1463" t="s">
        <v>24710</v>
      </c>
      <c r="E171" s="1463"/>
      <c r="F171" s="1463"/>
      <c r="G171" s="1463"/>
      <c r="H171" s="1464"/>
      <c r="I171" s="442" t="s">
        <v>75</v>
      </c>
      <c r="J171" s="406">
        <v>1.5727</v>
      </c>
      <c r="K171" s="427">
        <v>5.46</v>
      </c>
      <c r="L171" s="427">
        <f>K171+(1*J171)</f>
        <v>7.03</v>
      </c>
      <c r="M171" s="447">
        <v>2</v>
      </c>
      <c r="N171" s="443">
        <f>M171*K171</f>
        <v>10.92</v>
      </c>
    </row>
    <row r="172" spans="2:14" ht="15.75" thickBot="1" x14ac:dyDescent="0.3">
      <c r="B172" s="400"/>
      <c r="C172" s="401"/>
      <c r="D172" s="401"/>
      <c r="E172" s="401"/>
      <c r="F172" s="444"/>
      <c r="G172" s="444"/>
      <c r="H172" s="444"/>
      <c r="I172" s="444"/>
      <c r="J172" s="444"/>
      <c r="K172" s="444"/>
      <c r="L172" s="444"/>
      <c r="M172" s="455" t="s">
        <v>24684</v>
      </c>
      <c r="N172" s="403">
        <f>SUM(N171:N171)</f>
        <v>10.92</v>
      </c>
    </row>
    <row r="173" spans="2:14" ht="15.75" thickBot="1" x14ac:dyDescent="0.3">
      <c r="B173" s="456"/>
      <c r="C173" s="457"/>
      <c r="D173" s="457"/>
      <c r="E173" s="457"/>
      <c r="F173" s="457"/>
      <c r="G173" s="457"/>
      <c r="H173" s="457"/>
      <c r="I173" s="448"/>
      <c r="J173" s="448"/>
      <c r="K173" s="457"/>
      <c r="L173" s="457"/>
      <c r="M173" s="457"/>
      <c r="N173" s="404"/>
    </row>
    <row r="174" spans="2:14" ht="30" x14ac:dyDescent="0.25">
      <c r="B174" s="392" t="s">
        <v>0</v>
      </c>
      <c r="C174" s="393" t="s">
        <v>24673</v>
      </c>
      <c r="D174" s="1465" t="s">
        <v>24685</v>
      </c>
      <c r="E174" s="1465"/>
      <c r="F174" s="1465"/>
      <c r="G174" s="1465"/>
      <c r="H174" s="1466"/>
      <c r="I174" s="441" t="s">
        <v>2858</v>
      </c>
      <c r="J174" s="441" t="s">
        <v>24686</v>
      </c>
      <c r="K174" s="441" t="s">
        <v>24687</v>
      </c>
      <c r="L174" s="441"/>
      <c r="M174" s="441" t="s">
        <v>24688</v>
      </c>
      <c r="N174" s="395" t="s">
        <v>24689</v>
      </c>
    </row>
    <row r="175" spans="2:14" ht="15" x14ac:dyDescent="0.25">
      <c r="B175" s="446"/>
      <c r="C175" s="458"/>
      <c r="D175" s="1463"/>
      <c r="E175" s="1463"/>
      <c r="F175" s="1463"/>
      <c r="G175" s="1463"/>
      <c r="H175" s="1464"/>
      <c r="I175" s="442"/>
      <c r="J175" s="442"/>
      <c r="K175" s="442"/>
      <c r="L175" s="442"/>
      <c r="M175" s="442"/>
      <c r="N175" s="443"/>
    </row>
    <row r="176" spans="2:14" ht="15" x14ac:dyDescent="0.25">
      <c r="B176" s="456"/>
      <c r="C176" s="457"/>
      <c r="D176" s="457"/>
      <c r="E176" s="457"/>
      <c r="F176" s="448"/>
      <c r="G176" s="448"/>
      <c r="H176" s="448"/>
      <c r="I176" s="448"/>
      <c r="J176" s="448"/>
      <c r="K176" s="448"/>
      <c r="L176" s="448"/>
      <c r="M176" s="409" t="s">
        <v>24690</v>
      </c>
      <c r="N176" s="410">
        <f>SUM(N175:N175)</f>
        <v>0</v>
      </c>
    </row>
    <row r="177" spans="2:14" ht="15" x14ac:dyDescent="0.25">
      <c r="B177" s="456"/>
      <c r="C177" s="457"/>
      <c r="D177" s="457"/>
      <c r="E177" s="457"/>
      <c r="F177" s="457"/>
      <c r="G177" s="457"/>
      <c r="H177" s="457"/>
      <c r="I177" s="457"/>
      <c r="J177" s="457"/>
      <c r="K177" s="457"/>
      <c r="L177" s="457"/>
      <c r="M177" s="457"/>
      <c r="N177" s="404"/>
    </row>
    <row r="178" spans="2:14" ht="15" x14ac:dyDescent="0.25">
      <c r="B178" s="456"/>
      <c r="C178" s="457"/>
      <c r="D178" s="457"/>
      <c r="E178" s="457"/>
      <c r="F178" s="448"/>
      <c r="G178" s="448"/>
      <c r="H178" s="448"/>
      <c r="I178" s="449"/>
      <c r="J178" s="449"/>
      <c r="K178" s="449"/>
      <c r="L178" s="449"/>
      <c r="M178" s="409" t="s">
        <v>24691</v>
      </c>
      <c r="N178" s="412">
        <f>N168+N172+N176</f>
        <v>234.22</v>
      </c>
    </row>
    <row r="179" spans="2:14" ht="15" x14ac:dyDescent="0.25">
      <c r="B179" s="456"/>
      <c r="C179" s="457"/>
      <c r="D179" s="457"/>
      <c r="E179" s="457"/>
      <c r="F179" s="448"/>
      <c r="G179" s="448"/>
      <c r="H179" s="448"/>
      <c r="I179" s="448"/>
      <c r="J179" s="450"/>
      <c r="K179" s="450"/>
      <c r="L179" s="450"/>
      <c r="M179" s="414" t="s">
        <v>24692</v>
      </c>
      <c r="N179" s="412">
        <v>1</v>
      </c>
    </row>
    <row r="180" spans="2:14" ht="15.75" thickBot="1" x14ac:dyDescent="0.3">
      <c r="B180" s="400"/>
      <c r="C180" s="401"/>
      <c r="D180" s="401"/>
      <c r="E180" s="401"/>
      <c r="F180" s="444"/>
      <c r="G180" s="444"/>
      <c r="H180" s="444"/>
      <c r="I180" s="444"/>
      <c r="J180" s="444"/>
      <c r="K180" s="444"/>
      <c r="L180" s="444"/>
      <c r="M180" s="455" t="s">
        <v>24693</v>
      </c>
      <c r="N180" s="415">
        <f>TRUNC(N178/N179,2)</f>
        <v>234.22</v>
      </c>
    </row>
    <row r="181" spans="2:14" ht="15.75" thickBot="1" x14ac:dyDescent="0.3">
      <c r="B181" s="456"/>
      <c r="C181" s="457"/>
      <c r="D181" s="457"/>
      <c r="E181" s="457"/>
      <c r="F181" s="457"/>
      <c r="G181" s="457"/>
      <c r="H181" s="457"/>
      <c r="I181" s="457"/>
      <c r="J181" s="457"/>
      <c r="K181" s="457"/>
      <c r="L181" s="457"/>
      <c r="M181" s="457"/>
      <c r="N181" s="404"/>
    </row>
    <row r="182" spans="2:14" ht="30" x14ac:dyDescent="0.25">
      <c r="B182" s="392" t="s">
        <v>0</v>
      </c>
      <c r="C182" s="393" t="s">
        <v>24673</v>
      </c>
      <c r="D182" s="1465" t="s">
        <v>24694</v>
      </c>
      <c r="E182" s="1465"/>
      <c r="F182" s="1465"/>
      <c r="G182" s="1465"/>
      <c r="H182" s="1465"/>
      <c r="I182" s="1466"/>
      <c r="J182" s="441" t="s">
        <v>3686</v>
      </c>
      <c r="K182" s="441" t="s">
        <v>24695</v>
      </c>
      <c r="L182" s="441"/>
      <c r="M182" s="441" t="s">
        <v>24683</v>
      </c>
      <c r="N182" s="395" t="s">
        <v>24689</v>
      </c>
    </row>
    <row r="183" spans="2:14" ht="15" x14ac:dyDescent="0.25">
      <c r="B183" s="446"/>
      <c r="C183" s="458"/>
      <c r="D183" s="1463"/>
      <c r="E183" s="1463"/>
      <c r="F183" s="1463"/>
      <c r="G183" s="1463"/>
      <c r="H183" s="1463"/>
      <c r="I183" s="1464"/>
      <c r="J183" s="442"/>
      <c r="K183" s="442"/>
      <c r="L183" s="442"/>
      <c r="M183" s="447"/>
      <c r="N183" s="443"/>
    </row>
    <row r="184" spans="2:14" ht="15.75" thickBot="1" x14ac:dyDescent="0.3">
      <c r="B184" s="400"/>
      <c r="C184" s="401"/>
      <c r="D184" s="401"/>
      <c r="E184" s="401"/>
      <c r="F184" s="444"/>
      <c r="G184" s="444"/>
      <c r="H184" s="444"/>
      <c r="I184" s="444"/>
      <c r="J184" s="444"/>
      <c r="K184" s="444"/>
      <c r="L184" s="444"/>
      <c r="M184" s="455" t="s">
        <v>24696</v>
      </c>
      <c r="N184" s="403">
        <f>SUM(N183:N183)</f>
        <v>0</v>
      </c>
    </row>
    <row r="185" spans="2:14" ht="15.75" thickBot="1" x14ac:dyDescent="0.3">
      <c r="B185" s="456"/>
      <c r="C185" s="457"/>
      <c r="D185" s="457"/>
      <c r="E185" s="457"/>
      <c r="F185" s="457"/>
      <c r="G185" s="457"/>
      <c r="H185" s="457"/>
      <c r="I185" s="457"/>
      <c r="J185" s="457"/>
      <c r="K185" s="457"/>
      <c r="L185" s="457"/>
      <c r="M185" s="457"/>
      <c r="N185" s="404"/>
    </row>
    <row r="186" spans="2:14" ht="30" x14ac:dyDescent="0.25">
      <c r="B186" s="392" t="s">
        <v>0</v>
      </c>
      <c r="C186" s="441" t="s">
        <v>24673</v>
      </c>
      <c r="D186" s="1465" t="s">
        <v>24697</v>
      </c>
      <c r="E186" s="1465"/>
      <c r="F186" s="1465"/>
      <c r="G186" s="1465"/>
      <c r="H186" s="1465"/>
      <c r="I186" s="1466"/>
      <c r="J186" s="441" t="s">
        <v>3686</v>
      </c>
      <c r="K186" s="441" t="s">
        <v>24695</v>
      </c>
      <c r="L186" s="441"/>
      <c r="M186" s="441" t="s">
        <v>24683</v>
      </c>
      <c r="N186" s="395" t="s">
        <v>24689</v>
      </c>
    </row>
    <row r="187" spans="2:14" ht="15" x14ac:dyDescent="0.25">
      <c r="B187" s="416"/>
      <c r="C187" s="417"/>
      <c r="D187" s="1463"/>
      <c r="E187" s="1463"/>
      <c r="F187" s="1463"/>
      <c r="G187" s="1463"/>
      <c r="H187" s="1463"/>
      <c r="I187" s="1464"/>
      <c r="J187" s="451"/>
      <c r="K187" s="451"/>
      <c r="L187" s="451"/>
      <c r="M187" s="419"/>
      <c r="N187" s="420"/>
    </row>
    <row r="188" spans="2:14" ht="15.75" thickBot="1" x14ac:dyDescent="0.3">
      <c r="B188" s="400"/>
      <c r="C188" s="401"/>
      <c r="D188" s="401"/>
      <c r="E188" s="401"/>
      <c r="F188" s="444"/>
      <c r="G188" s="444"/>
      <c r="H188" s="444"/>
      <c r="I188" s="444"/>
      <c r="J188" s="444"/>
      <c r="K188" s="444"/>
      <c r="L188" s="444"/>
      <c r="M188" s="455" t="s">
        <v>24698</v>
      </c>
      <c r="N188" s="403">
        <f>SUM(N187:N187)</f>
        <v>0</v>
      </c>
    </row>
    <row r="189" spans="2:14" ht="15.75" thickBot="1" x14ac:dyDescent="0.3">
      <c r="B189" s="456"/>
      <c r="C189" s="457"/>
      <c r="D189" s="457"/>
      <c r="E189" s="457"/>
      <c r="F189" s="457"/>
      <c r="G189" s="457"/>
      <c r="H189" s="457"/>
      <c r="I189" s="457"/>
      <c r="J189" s="457"/>
      <c r="K189" s="457"/>
      <c r="L189" s="457"/>
      <c r="M189" s="457"/>
      <c r="N189" s="404"/>
    </row>
    <row r="190" spans="2:14" ht="30" x14ac:dyDescent="0.25">
      <c r="B190" s="392" t="s">
        <v>0</v>
      </c>
      <c r="C190" s="441" t="s">
        <v>24673</v>
      </c>
      <c r="D190" s="1465" t="s">
        <v>24699</v>
      </c>
      <c r="E190" s="1465"/>
      <c r="F190" s="1465"/>
      <c r="G190" s="1466"/>
      <c r="H190" s="441" t="s">
        <v>3686</v>
      </c>
      <c r="I190" s="441" t="s">
        <v>24700</v>
      </c>
      <c r="J190" s="441" t="s">
        <v>24701</v>
      </c>
      <c r="K190" s="441" t="s">
        <v>24695</v>
      </c>
      <c r="L190" s="441"/>
      <c r="M190" s="441" t="s">
        <v>24683</v>
      </c>
      <c r="N190" s="395" t="s">
        <v>24689</v>
      </c>
    </row>
    <row r="191" spans="2:14" ht="15" x14ac:dyDescent="0.25">
      <c r="B191" s="446"/>
      <c r="C191" s="458"/>
      <c r="D191" s="1494"/>
      <c r="E191" s="1494"/>
      <c r="F191" s="1494"/>
      <c r="G191" s="1494"/>
      <c r="H191" s="442"/>
      <c r="I191" s="442"/>
      <c r="J191" s="442"/>
      <c r="K191" s="442"/>
      <c r="L191" s="442"/>
      <c r="M191" s="447"/>
      <c r="N191" s="443"/>
    </row>
    <row r="192" spans="2:14" ht="15" x14ac:dyDescent="0.25">
      <c r="B192" s="456"/>
      <c r="C192" s="457"/>
      <c r="D192" s="457"/>
      <c r="E192" s="457"/>
      <c r="F192" s="448"/>
      <c r="G192" s="448"/>
      <c r="H192" s="448"/>
      <c r="I192" s="448"/>
      <c r="J192" s="448"/>
      <c r="K192" s="448"/>
      <c r="L192" s="448"/>
      <c r="M192" s="409" t="s">
        <v>24702</v>
      </c>
      <c r="N192" s="410">
        <f>SUM(N191:N191)</f>
        <v>0</v>
      </c>
    </row>
    <row r="193" spans="2:14" ht="15" x14ac:dyDescent="0.25">
      <c r="B193" s="456"/>
      <c r="C193" s="457"/>
      <c r="D193" s="457"/>
      <c r="E193" s="457"/>
      <c r="F193" s="457"/>
      <c r="G193" s="457"/>
      <c r="H193" s="457"/>
      <c r="I193" s="457"/>
      <c r="J193" s="457"/>
      <c r="K193" s="457"/>
      <c r="L193" s="457"/>
      <c r="M193" s="457"/>
      <c r="N193" s="404"/>
    </row>
    <row r="194" spans="2:14" ht="15" x14ac:dyDescent="0.25">
      <c r="B194" s="421"/>
      <c r="C194" s="422"/>
      <c r="D194" s="422"/>
      <c r="E194" s="422"/>
      <c r="F194" s="452"/>
      <c r="G194" s="452"/>
      <c r="H194" s="452"/>
      <c r="I194" s="452"/>
      <c r="J194" s="452"/>
      <c r="K194" s="452"/>
      <c r="L194" s="452"/>
      <c r="M194" s="424" t="s">
        <v>24703</v>
      </c>
      <c r="N194" s="412">
        <f>N180+N184+N188+N192</f>
        <v>234.22</v>
      </c>
    </row>
    <row r="195" spans="2:14" ht="15" x14ac:dyDescent="0.25">
      <c r="B195" s="456"/>
      <c r="C195" s="457"/>
      <c r="D195" s="457"/>
      <c r="E195" s="457"/>
      <c r="F195" s="448"/>
      <c r="G195" s="448"/>
      <c r="H195" s="448"/>
      <c r="I195" s="448"/>
      <c r="J195" s="448"/>
      <c r="K195" s="448"/>
      <c r="L195" s="448"/>
      <c r="M195" s="752">
        <f>'Planilha - Orla'!I3</f>
        <v>0.28220000000000001</v>
      </c>
      <c r="N195" s="412">
        <f>N194*M195</f>
        <v>66.099999999999994</v>
      </c>
    </row>
    <row r="196" spans="2:14" ht="15.75" thickBot="1" x14ac:dyDescent="0.3">
      <c r="B196" s="1472" t="s">
        <v>24704</v>
      </c>
      <c r="C196" s="1473"/>
      <c r="D196" s="1473"/>
      <c r="E196" s="1473"/>
      <c r="F196" s="1473"/>
      <c r="G196" s="1473"/>
      <c r="H196" s="1473"/>
      <c r="I196" s="1473"/>
      <c r="J196" s="1473"/>
      <c r="K196" s="1473"/>
      <c r="L196" s="1473"/>
      <c r="M196" s="1474"/>
      <c r="N196" s="415">
        <f>N194+N195</f>
        <v>300.32</v>
      </c>
    </row>
    <row r="198" spans="2:14" ht="15" thickBot="1" x14ac:dyDescent="0.3"/>
    <row r="199" spans="2:14" ht="42.75" customHeight="1" x14ac:dyDescent="0.25">
      <c r="B199" s="1479" t="s">
        <v>24728</v>
      </c>
      <c r="C199" s="1480"/>
      <c r="D199" s="1481"/>
      <c r="E199" s="1482" t="s">
        <v>24669</v>
      </c>
      <c r="F199" s="1482"/>
      <c r="G199" s="1482"/>
      <c r="H199" s="1482"/>
      <c r="I199" s="1482"/>
      <c r="J199" s="1482"/>
      <c r="K199" s="1482"/>
      <c r="L199" s="453"/>
      <c r="M199" s="1483"/>
      <c r="N199" s="1484"/>
    </row>
    <row r="200" spans="2:14" ht="15" x14ac:dyDescent="0.25">
      <c r="B200" s="391" t="s">
        <v>24670</v>
      </c>
      <c r="C200" s="1485" t="s">
        <v>24890</v>
      </c>
      <c r="D200" s="1485"/>
      <c r="E200" s="1485"/>
      <c r="F200" s="1485"/>
      <c r="G200" s="1485"/>
      <c r="H200" s="1485"/>
      <c r="I200" s="1485"/>
      <c r="J200" s="1485"/>
      <c r="K200" s="1485"/>
      <c r="L200" s="1485"/>
      <c r="M200" s="1485"/>
      <c r="N200" s="1486"/>
    </row>
    <row r="201" spans="2:14" ht="15" x14ac:dyDescent="0.25">
      <c r="B201" s="391" t="s">
        <v>24671</v>
      </c>
      <c r="C201" s="1487" t="s">
        <v>6</v>
      </c>
      <c r="D201" s="1487"/>
      <c r="E201" s="1487"/>
      <c r="F201" s="1487"/>
      <c r="G201" s="1487"/>
      <c r="H201" s="1487"/>
      <c r="I201" s="1487"/>
      <c r="J201" s="1487"/>
      <c r="K201" s="1487"/>
      <c r="L201" s="1487"/>
      <c r="M201" s="1487"/>
      <c r="N201" s="1488"/>
    </row>
    <row r="202" spans="2:14" ht="15.75" thickBot="1" x14ac:dyDescent="0.3">
      <c r="B202" s="391" t="s">
        <v>24672</v>
      </c>
      <c r="C202" s="1489">
        <v>44501</v>
      </c>
      <c r="D202" s="1490"/>
      <c r="E202" s="1490"/>
      <c r="F202" s="1490"/>
      <c r="G202" s="1490"/>
      <c r="H202" s="1490"/>
      <c r="I202" s="1490"/>
      <c r="J202" s="1490"/>
      <c r="K202" s="1490"/>
      <c r="L202" s="1490"/>
      <c r="M202" s="1490"/>
      <c r="N202" s="1491"/>
    </row>
    <row r="203" spans="2:14" ht="30" x14ac:dyDescent="0.25">
      <c r="B203" s="392" t="s">
        <v>0</v>
      </c>
      <c r="C203" s="393" t="s">
        <v>24673</v>
      </c>
      <c r="D203" s="1465" t="s">
        <v>24674</v>
      </c>
      <c r="E203" s="1465"/>
      <c r="F203" s="1465"/>
      <c r="G203" s="1466"/>
      <c r="H203" s="441" t="s">
        <v>111</v>
      </c>
      <c r="I203" s="441" t="s">
        <v>24675</v>
      </c>
      <c r="J203" s="441" t="s">
        <v>24676</v>
      </c>
      <c r="K203" s="1467" t="s">
        <v>24677</v>
      </c>
      <c r="L203" s="1468"/>
      <c r="M203" s="441" t="s">
        <v>24678</v>
      </c>
      <c r="N203" s="395" t="s">
        <v>24679</v>
      </c>
    </row>
    <row r="204" spans="2:14" ht="65.25" customHeight="1" x14ac:dyDescent="0.25">
      <c r="B204" s="446">
        <v>5901</v>
      </c>
      <c r="C204" s="458" t="s">
        <v>24706</v>
      </c>
      <c r="D204" s="1463" t="s">
        <v>24711</v>
      </c>
      <c r="E204" s="1463"/>
      <c r="F204" s="1463"/>
      <c r="G204" s="1464"/>
      <c r="H204" s="447"/>
      <c r="I204" s="447">
        <v>4.0000000000000001E-3</v>
      </c>
      <c r="J204" s="442"/>
      <c r="K204" s="1492">
        <v>250.22</v>
      </c>
      <c r="L204" s="1493"/>
      <c r="M204" s="427"/>
      <c r="N204" s="443">
        <f>I204*K204</f>
        <v>1</v>
      </c>
    </row>
    <row r="205" spans="2:14" ht="66.75" customHeight="1" x14ac:dyDescent="0.25">
      <c r="B205" s="446">
        <v>5903</v>
      </c>
      <c r="C205" s="458" t="s">
        <v>24706</v>
      </c>
      <c r="D205" s="1463" t="s">
        <v>24712</v>
      </c>
      <c r="E205" s="1463"/>
      <c r="F205" s="1463"/>
      <c r="G205" s="1464"/>
      <c r="H205" s="447"/>
      <c r="I205" s="442"/>
      <c r="J205" s="447">
        <v>0.03</v>
      </c>
      <c r="K205" s="1492"/>
      <c r="L205" s="1493"/>
      <c r="M205" s="427">
        <v>49.85</v>
      </c>
      <c r="N205" s="443">
        <f>J205*M205</f>
        <v>1.5</v>
      </c>
    </row>
    <row r="206" spans="2:14" ht="45" customHeight="1" x14ac:dyDescent="0.25">
      <c r="B206" s="446">
        <v>5932</v>
      </c>
      <c r="C206" s="458" t="s">
        <v>24706</v>
      </c>
      <c r="D206" s="1463" t="s">
        <v>24716</v>
      </c>
      <c r="E206" s="1463"/>
      <c r="F206" s="1463"/>
      <c r="G206" s="1464"/>
      <c r="H206" s="447"/>
      <c r="I206" s="447">
        <v>6.0000000000000001E-3</v>
      </c>
      <c r="J206" s="442"/>
      <c r="K206" s="1492">
        <v>217.94</v>
      </c>
      <c r="L206" s="1493"/>
      <c r="M206" s="427"/>
      <c r="N206" s="443">
        <f>I206*K206</f>
        <v>1.31</v>
      </c>
    </row>
    <row r="207" spans="2:14" ht="38.25" customHeight="1" x14ac:dyDescent="0.25">
      <c r="B207" s="446">
        <v>5934</v>
      </c>
      <c r="C207" s="458" t="s">
        <v>24706</v>
      </c>
      <c r="D207" s="1463" t="s">
        <v>24718</v>
      </c>
      <c r="E207" s="1463"/>
      <c r="F207" s="1463"/>
      <c r="G207" s="1464"/>
      <c r="H207" s="447"/>
      <c r="I207" s="442"/>
      <c r="J207" s="447">
        <v>2.7E-2</v>
      </c>
      <c r="K207" s="1492"/>
      <c r="L207" s="1493"/>
      <c r="M207" s="427">
        <v>80.88</v>
      </c>
      <c r="N207" s="443">
        <f>J207*M207</f>
        <v>2.1800000000000002</v>
      </c>
    </row>
    <row r="208" spans="2:14" ht="44.25" customHeight="1" x14ac:dyDescent="0.25">
      <c r="B208" s="446">
        <v>73436</v>
      </c>
      <c r="C208" s="458" t="s">
        <v>24706</v>
      </c>
      <c r="D208" s="1463" t="s">
        <v>24776</v>
      </c>
      <c r="E208" s="1463"/>
      <c r="F208" s="1463"/>
      <c r="G208" s="1464"/>
      <c r="H208" s="447"/>
      <c r="I208" s="447">
        <v>0.01</v>
      </c>
      <c r="J208" s="442"/>
      <c r="K208" s="1492">
        <v>186.22</v>
      </c>
      <c r="L208" s="1493"/>
      <c r="M208" s="427"/>
      <c r="N208" s="443">
        <f>I208*K208</f>
        <v>1.86</v>
      </c>
    </row>
    <row r="209" spans="2:14" ht="45" customHeight="1" x14ac:dyDescent="0.25">
      <c r="B209" s="446">
        <v>93244</v>
      </c>
      <c r="C209" s="458" t="s">
        <v>24706</v>
      </c>
      <c r="D209" s="1463" t="s">
        <v>24777</v>
      </c>
      <c r="E209" s="1463"/>
      <c r="F209" s="1463"/>
      <c r="G209" s="1464"/>
      <c r="H209" s="447"/>
      <c r="I209" s="442"/>
      <c r="J209" s="447">
        <v>2.3E-2</v>
      </c>
      <c r="K209" s="1492"/>
      <c r="L209" s="1493"/>
      <c r="M209" s="427">
        <v>55.75</v>
      </c>
      <c r="N209" s="443">
        <f>J209*M209</f>
        <v>1.28</v>
      </c>
    </row>
    <row r="210" spans="2:14" ht="15" x14ac:dyDescent="0.25">
      <c r="B210" s="446"/>
      <c r="C210" s="397"/>
      <c r="D210" s="1494"/>
      <c r="E210" s="1494"/>
      <c r="F210" s="1494"/>
      <c r="G210" s="1495"/>
      <c r="H210" s="442"/>
      <c r="I210" s="442"/>
      <c r="J210" s="442"/>
      <c r="K210" s="1461"/>
      <c r="L210" s="1462"/>
      <c r="M210" s="442"/>
      <c r="N210" s="443"/>
    </row>
    <row r="211" spans="2:14" ht="15.75" thickBot="1" x14ac:dyDescent="0.3">
      <c r="B211" s="400"/>
      <c r="C211" s="401"/>
      <c r="D211" s="401"/>
      <c r="E211" s="401"/>
      <c r="F211" s="444"/>
      <c r="G211" s="444"/>
      <c r="H211" s="444"/>
      <c r="I211" s="444"/>
      <c r="J211" s="444"/>
      <c r="K211" s="444"/>
      <c r="L211" s="444"/>
      <c r="M211" s="455" t="s">
        <v>24680</v>
      </c>
      <c r="N211" s="403">
        <f>SUM(N204:N210)</f>
        <v>9.1300000000000008</v>
      </c>
    </row>
    <row r="212" spans="2:14" ht="15.75" thickBot="1" x14ac:dyDescent="0.3">
      <c r="B212" s="456"/>
      <c r="C212" s="457"/>
      <c r="D212" s="457"/>
      <c r="E212" s="457"/>
      <c r="F212" s="457"/>
      <c r="G212" s="457"/>
      <c r="H212" s="457"/>
      <c r="I212" s="457"/>
      <c r="J212" s="457"/>
      <c r="K212" s="457"/>
      <c r="L212" s="457"/>
      <c r="M212" s="457"/>
      <c r="N212" s="404"/>
    </row>
    <row r="213" spans="2:14" ht="45" x14ac:dyDescent="0.25">
      <c r="B213" s="392" t="s">
        <v>0</v>
      </c>
      <c r="C213" s="393" t="s">
        <v>24673</v>
      </c>
      <c r="D213" s="1465" t="s">
        <v>24681</v>
      </c>
      <c r="E213" s="1465"/>
      <c r="F213" s="1465"/>
      <c r="G213" s="1465"/>
      <c r="H213" s="1466"/>
      <c r="I213" s="441" t="s">
        <v>3686</v>
      </c>
      <c r="J213" s="441" t="s">
        <v>24682</v>
      </c>
      <c r="K213" s="441" t="s">
        <v>24861</v>
      </c>
      <c r="L213" s="441" t="s">
        <v>24862</v>
      </c>
      <c r="M213" s="441" t="s">
        <v>24683</v>
      </c>
      <c r="N213" s="395" t="s">
        <v>24679</v>
      </c>
    </row>
    <row r="214" spans="2:14" ht="15" x14ac:dyDescent="0.25">
      <c r="B214" s="446">
        <v>10146</v>
      </c>
      <c r="C214" s="458" t="s">
        <v>4389</v>
      </c>
      <c r="D214" s="1463" t="s">
        <v>24710</v>
      </c>
      <c r="E214" s="1463"/>
      <c r="F214" s="1463"/>
      <c r="G214" s="1463"/>
      <c r="H214" s="1464"/>
      <c r="I214" s="442" t="s">
        <v>75</v>
      </c>
      <c r="J214" s="406">
        <v>1.5727</v>
      </c>
      <c r="K214" s="427">
        <v>5.46</v>
      </c>
      <c r="L214" s="427">
        <f>K214*(1+J214)</f>
        <v>14.05</v>
      </c>
      <c r="M214" s="447">
        <v>3.3000000000000002E-2</v>
      </c>
      <c r="N214" s="443">
        <f>L214*M214</f>
        <v>0.46</v>
      </c>
    </row>
    <row r="215" spans="2:14" ht="15.75" thickBot="1" x14ac:dyDescent="0.3">
      <c r="B215" s="400"/>
      <c r="C215" s="401"/>
      <c r="D215" s="401"/>
      <c r="E215" s="401"/>
      <c r="F215" s="444"/>
      <c r="G215" s="444"/>
      <c r="H215" s="444"/>
      <c r="I215" s="444"/>
      <c r="J215" s="444"/>
      <c r="K215" s="444"/>
      <c r="L215" s="444"/>
      <c r="M215" s="455" t="s">
        <v>24684</v>
      </c>
      <c r="N215" s="403">
        <f>SUM(N214:N214)</f>
        <v>0.46</v>
      </c>
    </row>
    <row r="216" spans="2:14" ht="15.75" thickBot="1" x14ac:dyDescent="0.3">
      <c r="B216" s="456"/>
      <c r="C216" s="457"/>
      <c r="D216" s="457"/>
      <c r="E216" s="457"/>
      <c r="F216" s="457"/>
      <c r="G216" s="457"/>
      <c r="H216" s="457"/>
      <c r="I216" s="448"/>
      <c r="J216" s="448"/>
      <c r="K216" s="457"/>
      <c r="L216" s="457"/>
      <c r="M216" s="457"/>
      <c r="N216" s="404"/>
    </row>
    <row r="217" spans="2:14" ht="30" x14ac:dyDescent="0.25">
      <c r="B217" s="392" t="s">
        <v>0</v>
      </c>
      <c r="C217" s="393" t="s">
        <v>24673</v>
      </c>
      <c r="D217" s="1465" t="s">
        <v>24685</v>
      </c>
      <c r="E217" s="1465"/>
      <c r="F217" s="1465"/>
      <c r="G217" s="1465"/>
      <c r="H217" s="1466"/>
      <c r="I217" s="441" t="s">
        <v>2858</v>
      </c>
      <c r="J217" s="441" t="s">
        <v>24686</v>
      </c>
      <c r="K217" s="441" t="s">
        <v>24687</v>
      </c>
      <c r="L217" s="441"/>
      <c r="M217" s="441" t="s">
        <v>24688</v>
      </c>
      <c r="N217" s="395" t="s">
        <v>24689</v>
      </c>
    </row>
    <row r="218" spans="2:14" ht="15" x14ac:dyDescent="0.25">
      <c r="B218" s="446"/>
      <c r="C218" s="458"/>
      <c r="D218" s="1463"/>
      <c r="E218" s="1463"/>
      <c r="F218" s="1463"/>
      <c r="G218" s="1463"/>
      <c r="H218" s="1464"/>
      <c r="I218" s="442"/>
      <c r="J218" s="442"/>
      <c r="K218" s="442"/>
      <c r="L218" s="442"/>
      <c r="M218" s="442"/>
      <c r="N218" s="443"/>
    </row>
    <row r="219" spans="2:14" ht="15" x14ac:dyDescent="0.25">
      <c r="B219" s="456"/>
      <c r="C219" s="457"/>
      <c r="D219" s="457"/>
      <c r="E219" s="457"/>
      <c r="F219" s="448"/>
      <c r="G219" s="448"/>
      <c r="H219" s="448"/>
      <c r="I219" s="448"/>
      <c r="J219" s="448"/>
      <c r="K219" s="448"/>
      <c r="L219" s="448"/>
      <c r="M219" s="409" t="s">
        <v>24690</v>
      </c>
      <c r="N219" s="410">
        <f>SUM(N218:N218)</f>
        <v>0</v>
      </c>
    </row>
    <row r="220" spans="2:14" ht="15" x14ac:dyDescent="0.25">
      <c r="B220" s="456"/>
      <c r="C220" s="457"/>
      <c r="D220" s="457"/>
      <c r="E220" s="457"/>
      <c r="F220" s="457"/>
      <c r="G220" s="457"/>
      <c r="H220" s="457"/>
      <c r="I220" s="457"/>
      <c r="J220" s="457"/>
      <c r="K220" s="457"/>
      <c r="L220" s="457"/>
      <c r="M220" s="457"/>
      <c r="N220" s="404"/>
    </row>
    <row r="221" spans="2:14" ht="15" x14ac:dyDescent="0.25">
      <c r="B221" s="456"/>
      <c r="C221" s="457"/>
      <c r="D221" s="457"/>
      <c r="E221" s="457"/>
      <c r="F221" s="448"/>
      <c r="G221" s="448"/>
      <c r="H221" s="448"/>
      <c r="I221" s="449"/>
      <c r="J221" s="449"/>
      <c r="K221" s="449"/>
      <c r="L221" s="449"/>
      <c r="M221" s="409" t="s">
        <v>24691</v>
      </c>
      <c r="N221" s="412">
        <f>N211+N215+N219</f>
        <v>9.59</v>
      </c>
    </row>
    <row r="222" spans="2:14" ht="15" x14ac:dyDescent="0.25">
      <c r="B222" s="456"/>
      <c r="C222" s="457"/>
      <c r="D222" s="457"/>
      <c r="E222" s="457"/>
      <c r="F222" s="448"/>
      <c r="G222" s="448"/>
      <c r="H222" s="448"/>
      <c r="I222" s="448"/>
      <c r="J222" s="450"/>
      <c r="K222" s="450"/>
      <c r="L222" s="450"/>
      <c r="M222" s="414" t="s">
        <v>24692</v>
      </c>
      <c r="N222" s="412">
        <v>1</v>
      </c>
    </row>
    <row r="223" spans="2:14" ht="15.75" thickBot="1" x14ac:dyDescent="0.3">
      <c r="B223" s="400"/>
      <c r="C223" s="401"/>
      <c r="D223" s="401"/>
      <c r="E223" s="401"/>
      <c r="F223" s="444"/>
      <c r="G223" s="444"/>
      <c r="H223" s="444"/>
      <c r="I223" s="444"/>
      <c r="J223" s="444"/>
      <c r="K223" s="444"/>
      <c r="L223" s="444"/>
      <c r="M223" s="455" t="s">
        <v>24693</v>
      </c>
      <c r="N223" s="415">
        <f>TRUNC(N221/N222,2)</f>
        <v>9.59</v>
      </c>
    </row>
    <row r="224" spans="2:14" ht="15.75" thickBot="1" x14ac:dyDescent="0.3">
      <c r="B224" s="456"/>
      <c r="C224" s="457"/>
      <c r="D224" s="457"/>
      <c r="E224" s="457"/>
      <c r="F224" s="457"/>
      <c r="G224" s="457"/>
      <c r="H224" s="457"/>
      <c r="I224" s="457"/>
      <c r="J224" s="457"/>
      <c r="K224" s="457"/>
      <c r="L224" s="457"/>
      <c r="M224" s="457"/>
      <c r="N224" s="404"/>
    </row>
    <row r="225" spans="2:14" ht="30" x14ac:dyDescent="0.25">
      <c r="B225" s="392" t="s">
        <v>0</v>
      </c>
      <c r="C225" s="393" t="s">
        <v>24673</v>
      </c>
      <c r="D225" s="1465" t="s">
        <v>24694</v>
      </c>
      <c r="E225" s="1465"/>
      <c r="F225" s="1465"/>
      <c r="G225" s="1465"/>
      <c r="H225" s="1465"/>
      <c r="I225" s="1466"/>
      <c r="J225" s="441" t="s">
        <v>3686</v>
      </c>
      <c r="K225" s="441" t="s">
        <v>24695</v>
      </c>
      <c r="L225" s="441"/>
      <c r="M225" s="441" t="s">
        <v>24683</v>
      </c>
      <c r="N225" s="395" t="s">
        <v>24689</v>
      </c>
    </row>
    <row r="226" spans="2:14" ht="15" x14ac:dyDescent="0.25">
      <c r="B226" s="446"/>
      <c r="C226" s="458"/>
      <c r="D226" s="1463"/>
      <c r="E226" s="1463"/>
      <c r="F226" s="1463"/>
      <c r="G226" s="1463"/>
      <c r="H226" s="1463"/>
      <c r="I226" s="1464"/>
      <c r="J226" s="442"/>
      <c r="K226" s="442"/>
      <c r="L226" s="442"/>
      <c r="M226" s="447"/>
      <c r="N226" s="443"/>
    </row>
    <row r="227" spans="2:14" ht="15.75" thickBot="1" x14ac:dyDescent="0.3">
      <c r="B227" s="400"/>
      <c r="C227" s="401"/>
      <c r="D227" s="401"/>
      <c r="E227" s="401"/>
      <c r="F227" s="444"/>
      <c r="G227" s="444"/>
      <c r="H227" s="444"/>
      <c r="I227" s="444"/>
      <c r="J227" s="444"/>
      <c r="K227" s="444"/>
      <c r="L227" s="444"/>
      <c r="M227" s="455" t="s">
        <v>24696</v>
      </c>
      <c r="N227" s="403">
        <f>SUM(N226:N226)</f>
        <v>0</v>
      </c>
    </row>
    <row r="228" spans="2:14" ht="15.75" thickBot="1" x14ac:dyDescent="0.3">
      <c r="B228" s="456"/>
      <c r="C228" s="457"/>
      <c r="D228" s="457"/>
      <c r="E228" s="457"/>
      <c r="F228" s="457"/>
      <c r="G228" s="457"/>
      <c r="H228" s="457"/>
      <c r="I228" s="457"/>
      <c r="J228" s="457"/>
      <c r="K228" s="457"/>
      <c r="L228" s="457"/>
      <c r="M228" s="457"/>
      <c r="N228" s="404"/>
    </row>
    <row r="229" spans="2:14" ht="30" customHeight="1" x14ac:dyDescent="0.25">
      <c r="B229" s="392" t="s">
        <v>0</v>
      </c>
      <c r="C229" s="441" t="s">
        <v>24673</v>
      </c>
      <c r="D229" s="1465" t="s">
        <v>24697</v>
      </c>
      <c r="E229" s="1465"/>
      <c r="F229" s="1465"/>
      <c r="G229" s="1465"/>
      <c r="H229" s="1465"/>
      <c r="I229" s="1466"/>
      <c r="J229" s="441" t="s">
        <v>3686</v>
      </c>
      <c r="K229" s="1467" t="s">
        <v>24695</v>
      </c>
      <c r="L229" s="1468"/>
      <c r="M229" s="441" t="s">
        <v>24683</v>
      </c>
      <c r="N229" s="395" t="s">
        <v>24689</v>
      </c>
    </row>
    <row r="230" spans="2:14" ht="15" x14ac:dyDescent="0.25">
      <c r="B230" s="416">
        <v>42045</v>
      </c>
      <c r="C230" s="417" t="s">
        <v>4389</v>
      </c>
      <c r="D230" s="1463" t="s">
        <v>3710</v>
      </c>
      <c r="E230" s="1463"/>
      <c r="F230" s="1463"/>
      <c r="G230" s="1463"/>
      <c r="H230" s="1463"/>
      <c r="I230" s="1464"/>
      <c r="J230" s="451" t="s">
        <v>6</v>
      </c>
      <c r="K230" s="1496">
        <v>10.4</v>
      </c>
      <c r="L230" s="1497"/>
      <c r="M230" s="419">
        <v>1</v>
      </c>
      <c r="N230" s="420">
        <f>K230*M230</f>
        <v>10.4</v>
      </c>
    </row>
    <row r="231" spans="2:14" ht="15.75" thickBot="1" x14ac:dyDescent="0.3">
      <c r="B231" s="400"/>
      <c r="C231" s="401"/>
      <c r="D231" s="401"/>
      <c r="E231" s="401"/>
      <c r="F231" s="444"/>
      <c r="G231" s="444"/>
      <c r="H231" s="444"/>
      <c r="I231" s="444"/>
      <c r="J231" s="444"/>
      <c r="K231" s="444"/>
      <c r="L231" s="444"/>
      <c r="M231" s="455" t="s">
        <v>24698</v>
      </c>
      <c r="N231" s="403">
        <f>SUM(N230:N230)</f>
        <v>10.4</v>
      </c>
    </row>
    <row r="232" spans="2:14" ht="15.75" thickBot="1" x14ac:dyDescent="0.3">
      <c r="B232" s="456"/>
      <c r="C232" s="457"/>
      <c r="D232" s="457"/>
      <c r="E232" s="457"/>
      <c r="F232" s="457"/>
      <c r="G232" s="457"/>
      <c r="H232" s="457"/>
      <c r="I232" s="457"/>
      <c r="J232" s="457"/>
      <c r="K232" s="457"/>
      <c r="L232" s="457"/>
      <c r="M232" s="457"/>
      <c r="N232" s="404"/>
    </row>
    <row r="233" spans="2:14" ht="30" x14ac:dyDescent="0.25">
      <c r="B233" s="392" t="s">
        <v>0</v>
      </c>
      <c r="C233" s="441" t="s">
        <v>24673</v>
      </c>
      <c r="D233" s="1465" t="s">
        <v>24699</v>
      </c>
      <c r="E233" s="1465"/>
      <c r="F233" s="1465"/>
      <c r="G233" s="1466"/>
      <c r="H233" s="441" t="s">
        <v>3686</v>
      </c>
      <c r="I233" s="441" t="s">
        <v>24700</v>
      </c>
      <c r="J233" s="441" t="s">
        <v>24701</v>
      </c>
      <c r="K233" s="441" t="s">
        <v>24695</v>
      </c>
      <c r="L233" s="441"/>
      <c r="M233" s="441" t="s">
        <v>24683</v>
      </c>
      <c r="N233" s="395" t="s">
        <v>24689</v>
      </c>
    </row>
    <row r="234" spans="2:14" ht="15" x14ac:dyDescent="0.25">
      <c r="B234" s="446"/>
      <c r="C234" s="458"/>
      <c r="D234" s="1494"/>
      <c r="E234" s="1494"/>
      <c r="F234" s="1494"/>
      <c r="G234" s="1494"/>
      <c r="H234" s="442"/>
      <c r="I234" s="442"/>
      <c r="J234" s="442"/>
      <c r="K234" s="442"/>
      <c r="L234" s="442"/>
      <c r="M234" s="447"/>
      <c r="N234" s="443"/>
    </row>
    <row r="235" spans="2:14" ht="15" x14ac:dyDescent="0.25">
      <c r="B235" s="456"/>
      <c r="C235" s="457"/>
      <c r="D235" s="457"/>
      <c r="E235" s="457"/>
      <c r="F235" s="448"/>
      <c r="G235" s="448"/>
      <c r="H235" s="448"/>
      <c r="I235" s="448"/>
      <c r="J235" s="448"/>
      <c r="K235" s="448"/>
      <c r="L235" s="448"/>
      <c r="M235" s="409" t="s">
        <v>24702</v>
      </c>
      <c r="N235" s="410">
        <f>SUM(N234:N234)</f>
        <v>0</v>
      </c>
    </row>
    <row r="236" spans="2:14" ht="15" x14ac:dyDescent="0.25">
      <c r="B236" s="456"/>
      <c r="C236" s="457"/>
      <c r="D236" s="457"/>
      <c r="E236" s="457"/>
      <c r="F236" s="457"/>
      <c r="G236" s="457"/>
      <c r="H236" s="457"/>
      <c r="I236" s="457"/>
      <c r="J236" s="457"/>
      <c r="K236" s="457"/>
      <c r="L236" s="457"/>
      <c r="M236" s="457"/>
      <c r="N236" s="404"/>
    </row>
    <row r="237" spans="2:14" ht="15" x14ac:dyDescent="0.25">
      <c r="B237" s="421"/>
      <c r="C237" s="422"/>
      <c r="D237" s="422"/>
      <c r="E237" s="422"/>
      <c r="F237" s="452"/>
      <c r="G237" s="452"/>
      <c r="H237" s="452"/>
      <c r="I237" s="452"/>
      <c r="J237" s="452"/>
      <c r="K237" s="452"/>
      <c r="L237" s="452"/>
      <c r="M237" s="424" t="s">
        <v>24703</v>
      </c>
      <c r="N237" s="412">
        <f>N223+N227+N231+N235</f>
        <v>19.989999999999998</v>
      </c>
    </row>
    <row r="238" spans="2:14" ht="15" x14ac:dyDescent="0.25">
      <c r="B238" s="456"/>
      <c r="C238" s="457"/>
      <c r="D238" s="457"/>
      <c r="E238" s="457"/>
      <c r="F238" s="448"/>
      <c r="G238" s="448"/>
      <c r="H238" s="448"/>
      <c r="I238" s="448"/>
      <c r="J238" s="448"/>
      <c r="K238" s="448"/>
      <c r="L238" s="448"/>
      <c r="M238" s="752">
        <f>'Planilha - Orla'!I3</f>
        <v>0.28220000000000001</v>
      </c>
      <c r="N238" s="412">
        <f>N237*M238</f>
        <v>5.64</v>
      </c>
    </row>
    <row r="239" spans="2:14" ht="15.75" thickBot="1" x14ac:dyDescent="0.3">
      <c r="B239" s="1472" t="s">
        <v>24704</v>
      </c>
      <c r="C239" s="1473"/>
      <c r="D239" s="1473"/>
      <c r="E239" s="1473"/>
      <c r="F239" s="1473"/>
      <c r="G239" s="1473"/>
      <c r="H239" s="1473"/>
      <c r="I239" s="1473"/>
      <c r="J239" s="1473"/>
      <c r="K239" s="1473"/>
      <c r="L239" s="1473"/>
      <c r="M239" s="1474"/>
      <c r="N239" s="415">
        <f>N237+N238</f>
        <v>25.63</v>
      </c>
    </row>
    <row r="241" spans="2:14" ht="15" thickBot="1" x14ac:dyDescent="0.3"/>
    <row r="242" spans="2:14" ht="45.75" customHeight="1" x14ac:dyDescent="0.25">
      <c r="B242" s="1479" t="s">
        <v>24731</v>
      </c>
      <c r="C242" s="1480"/>
      <c r="D242" s="1481"/>
      <c r="E242" s="1482" t="s">
        <v>24669</v>
      </c>
      <c r="F242" s="1482"/>
      <c r="G242" s="1482"/>
      <c r="H242" s="1482"/>
      <c r="I242" s="1482"/>
      <c r="J242" s="1482"/>
      <c r="K242" s="1482"/>
      <c r="L242" s="453"/>
      <c r="M242" s="1483"/>
      <c r="N242" s="1484"/>
    </row>
    <row r="243" spans="2:14" ht="15" x14ac:dyDescent="0.25">
      <c r="B243" s="391" t="s">
        <v>24670</v>
      </c>
      <c r="C243" s="459" t="s">
        <v>24705</v>
      </c>
      <c r="D243" s="459"/>
      <c r="E243" s="459"/>
      <c r="F243" s="459"/>
      <c r="G243" s="459"/>
      <c r="H243" s="459"/>
      <c r="I243" s="459"/>
      <c r="J243" s="459"/>
      <c r="K243" s="459"/>
      <c r="L243" s="459"/>
      <c r="M243" s="459"/>
      <c r="N243" s="460"/>
    </row>
    <row r="244" spans="2:14" ht="15" x14ac:dyDescent="0.25">
      <c r="B244" s="391" t="s">
        <v>24671</v>
      </c>
      <c r="C244" s="1487" t="s">
        <v>5</v>
      </c>
      <c r="D244" s="1487"/>
      <c r="E244" s="1487"/>
      <c r="F244" s="1487"/>
      <c r="G244" s="1487"/>
      <c r="H244" s="1487"/>
      <c r="I244" s="1487"/>
      <c r="J244" s="1487"/>
      <c r="K244" s="1487"/>
      <c r="L244" s="1487"/>
      <c r="M244" s="1487"/>
      <c r="N244" s="1488"/>
    </row>
    <row r="245" spans="2:14" ht="15.75" thickBot="1" x14ac:dyDescent="0.3">
      <c r="B245" s="391" t="s">
        <v>24672</v>
      </c>
      <c r="C245" s="1489">
        <v>44501</v>
      </c>
      <c r="D245" s="1490"/>
      <c r="E245" s="1490"/>
      <c r="F245" s="1490"/>
      <c r="G245" s="1490"/>
      <c r="H245" s="1490"/>
      <c r="I245" s="1490"/>
      <c r="J245" s="1490"/>
      <c r="K245" s="1490"/>
      <c r="L245" s="1490"/>
      <c r="M245" s="1490"/>
      <c r="N245" s="1491"/>
    </row>
    <row r="246" spans="2:14" ht="30" x14ac:dyDescent="0.25">
      <c r="B246" s="392" t="s">
        <v>0</v>
      </c>
      <c r="C246" s="393" t="s">
        <v>24673</v>
      </c>
      <c r="D246" s="1465" t="s">
        <v>24674</v>
      </c>
      <c r="E246" s="1465"/>
      <c r="F246" s="1465"/>
      <c r="G246" s="1466"/>
      <c r="H246" s="441" t="s">
        <v>111</v>
      </c>
      <c r="I246" s="441" t="s">
        <v>24675</v>
      </c>
      <c r="J246" s="441" t="s">
        <v>24676</v>
      </c>
      <c r="K246" s="1467" t="s">
        <v>24677</v>
      </c>
      <c r="L246" s="1468"/>
      <c r="M246" s="441" t="s">
        <v>24678</v>
      </c>
      <c r="N246" s="395" t="s">
        <v>24679</v>
      </c>
    </row>
    <row r="247" spans="2:14" ht="57.75" customHeight="1" x14ac:dyDescent="0.25">
      <c r="B247" s="446">
        <v>6259</v>
      </c>
      <c r="C247" s="458" t="s">
        <v>24706</v>
      </c>
      <c r="D247" s="1463" t="s">
        <v>25755</v>
      </c>
      <c r="E247" s="1463"/>
      <c r="F247" s="1463"/>
      <c r="G247" s="1464"/>
      <c r="H247" s="447"/>
      <c r="I247" s="447">
        <v>1.4E-2</v>
      </c>
      <c r="J247" s="442"/>
      <c r="K247" s="1492">
        <v>207.54</v>
      </c>
      <c r="L247" s="1493"/>
      <c r="M247" s="427"/>
      <c r="N247" s="443">
        <f>I247*K247</f>
        <v>2.91</v>
      </c>
    </row>
    <row r="248" spans="2:14" ht="48.75" customHeight="1" x14ac:dyDescent="0.25">
      <c r="B248" s="446">
        <v>6260</v>
      </c>
      <c r="C248" s="1269" t="s">
        <v>24706</v>
      </c>
      <c r="D248" s="1463" t="s">
        <v>25756</v>
      </c>
      <c r="E248" s="1463"/>
      <c r="F248" s="1463"/>
      <c r="G248" s="1464"/>
      <c r="H248" s="447"/>
      <c r="I248" s="442"/>
      <c r="J248" s="447">
        <v>7.0000000000000001E-3</v>
      </c>
      <c r="K248" s="1492"/>
      <c r="L248" s="1493"/>
      <c r="M248" s="427">
        <v>44.39</v>
      </c>
      <c r="N248" s="443">
        <f>J248*M248</f>
        <v>0.31</v>
      </c>
    </row>
    <row r="249" spans="2:14" ht="15" x14ac:dyDescent="0.25">
      <c r="B249" s="396"/>
      <c r="C249" s="397"/>
      <c r="D249" s="1494"/>
      <c r="E249" s="1494"/>
      <c r="F249" s="1494"/>
      <c r="G249" s="1495"/>
      <c r="H249" s="442"/>
      <c r="I249" s="442"/>
      <c r="J249" s="442"/>
      <c r="K249" s="442"/>
      <c r="L249" s="442"/>
      <c r="M249" s="442"/>
      <c r="N249" s="443"/>
    </row>
    <row r="250" spans="2:14" ht="15.75" thickBot="1" x14ac:dyDescent="0.3">
      <c r="B250" s="400"/>
      <c r="C250" s="401"/>
      <c r="D250" s="401"/>
      <c r="E250" s="401"/>
      <c r="F250" s="444"/>
      <c r="G250" s="444"/>
      <c r="H250" s="444"/>
      <c r="I250" s="444"/>
      <c r="J250" s="444"/>
      <c r="K250" s="444"/>
      <c r="L250" s="444"/>
      <c r="M250" s="455" t="s">
        <v>24680</v>
      </c>
      <c r="N250" s="403">
        <f>SUM(N247:N249)</f>
        <v>3.22</v>
      </c>
    </row>
    <row r="251" spans="2:14" ht="15.75" thickBot="1" x14ac:dyDescent="0.3">
      <c r="B251" s="456"/>
      <c r="C251" s="457"/>
      <c r="D251" s="457"/>
      <c r="E251" s="457"/>
      <c r="F251" s="457"/>
      <c r="G251" s="457"/>
      <c r="H251" s="457"/>
      <c r="I251" s="457"/>
      <c r="J251" s="457"/>
      <c r="K251" s="457"/>
      <c r="L251" s="457"/>
      <c r="M251" s="457"/>
      <c r="N251" s="404"/>
    </row>
    <row r="252" spans="2:14" ht="45" x14ac:dyDescent="0.25">
      <c r="B252" s="392" t="s">
        <v>0</v>
      </c>
      <c r="C252" s="393" t="s">
        <v>24673</v>
      </c>
      <c r="D252" s="1465" t="s">
        <v>24681</v>
      </c>
      <c r="E252" s="1465"/>
      <c r="F252" s="1465"/>
      <c r="G252" s="1465"/>
      <c r="H252" s="1466"/>
      <c r="I252" s="441" t="s">
        <v>3686</v>
      </c>
      <c r="J252" s="441" t="s">
        <v>24682</v>
      </c>
      <c r="K252" s="441" t="s">
        <v>24861</v>
      </c>
      <c r="L252" s="441" t="s">
        <v>24862</v>
      </c>
      <c r="M252" s="441" t="s">
        <v>24683</v>
      </c>
      <c r="N252" s="395" t="s">
        <v>24679</v>
      </c>
    </row>
    <row r="253" spans="2:14" ht="15" x14ac:dyDescent="0.25">
      <c r="B253" s="446">
        <v>4093</v>
      </c>
      <c r="C253" s="458" t="s">
        <v>24706</v>
      </c>
      <c r="D253" s="1463" t="s">
        <v>24707</v>
      </c>
      <c r="E253" s="1463"/>
      <c r="F253" s="1463"/>
      <c r="G253" s="1463"/>
      <c r="H253" s="1464"/>
      <c r="I253" s="442" t="s">
        <v>75</v>
      </c>
      <c r="J253" s="406">
        <v>1.5727</v>
      </c>
      <c r="K253" s="427">
        <v>0.02</v>
      </c>
      <c r="L253" s="427">
        <f>K253*(1+J253)</f>
        <v>0.05</v>
      </c>
      <c r="M253" s="447">
        <v>0.8</v>
      </c>
      <c r="N253" s="443">
        <f>L253*M253</f>
        <v>0.04</v>
      </c>
    </row>
    <row r="254" spans="2:14" ht="15.75" thickBot="1" x14ac:dyDescent="0.3">
      <c r="B254" s="400"/>
      <c r="C254" s="401"/>
      <c r="D254" s="401"/>
      <c r="E254" s="401"/>
      <c r="F254" s="444"/>
      <c r="G254" s="444"/>
      <c r="H254" s="444"/>
      <c r="I254" s="444"/>
      <c r="J254" s="444"/>
      <c r="K254" s="444"/>
      <c r="L254" s="444"/>
      <c r="M254" s="455" t="s">
        <v>24684</v>
      </c>
      <c r="N254" s="403">
        <f>SUM(N253:N253)</f>
        <v>0.04</v>
      </c>
    </row>
    <row r="255" spans="2:14" ht="15.75" thickBot="1" x14ac:dyDescent="0.3">
      <c r="B255" s="456"/>
      <c r="C255" s="457"/>
      <c r="D255" s="457"/>
      <c r="E255" s="457"/>
      <c r="F255" s="457"/>
      <c r="G255" s="457"/>
      <c r="H255" s="457"/>
      <c r="I255" s="448"/>
      <c r="J255" s="448"/>
      <c r="K255" s="457"/>
      <c r="L255" s="457"/>
      <c r="M255" s="457"/>
      <c r="N255" s="404"/>
    </row>
    <row r="256" spans="2:14" ht="30" x14ac:dyDescent="0.25">
      <c r="B256" s="392" t="s">
        <v>0</v>
      </c>
      <c r="C256" s="393" t="s">
        <v>24673</v>
      </c>
      <c r="D256" s="1465" t="s">
        <v>24685</v>
      </c>
      <c r="E256" s="1465"/>
      <c r="F256" s="1465"/>
      <c r="G256" s="1465"/>
      <c r="H256" s="1466"/>
      <c r="I256" s="441" t="s">
        <v>2858</v>
      </c>
      <c r="J256" s="441" t="s">
        <v>24686</v>
      </c>
      <c r="K256" s="441" t="s">
        <v>24687</v>
      </c>
      <c r="L256" s="441"/>
      <c r="M256" s="441" t="s">
        <v>24688</v>
      </c>
      <c r="N256" s="395" t="s">
        <v>24689</v>
      </c>
    </row>
    <row r="257" spans="2:14" ht="15" x14ac:dyDescent="0.25">
      <c r="B257" s="446"/>
      <c r="C257" s="458"/>
      <c r="D257" s="1463"/>
      <c r="E257" s="1463"/>
      <c r="F257" s="1463"/>
      <c r="G257" s="1463"/>
      <c r="H257" s="1464"/>
      <c r="I257" s="442"/>
      <c r="J257" s="442"/>
      <c r="K257" s="442"/>
      <c r="L257" s="442"/>
      <c r="M257" s="442"/>
      <c r="N257" s="443"/>
    </row>
    <row r="258" spans="2:14" ht="15" x14ac:dyDescent="0.25">
      <c r="B258" s="456"/>
      <c r="C258" s="457"/>
      <c r="D258" s="457"/>
      <c r="E258" s="457"/>
      <c r="F258" s="448"/>
      <c r="G258" s="448"/>
      <c r="H258" s="448"/>
      <c r="I258" s="448"/>
      <c r="J258" s="448"/>
      <c r="K258" s="448"/>
      <c r="L258" s="448"/>
      <c r="M258" s="409" t="s">
        <v>24690</v>
      </c>
      <c r="N258" s="410">
        <f>SUM(N257:N257)</f>
        <v>0</v>
      </c>
    </row>
    <row r="259" spans="2:14" ht="15" x14ac:dyDescent="0.25">
      <c r="B259" s="456"/>
      <c r="C259" s="457"/>
      <c r="D259" s="457"/>
      <c r="E259" s="457"/>
      <c r="F259" s="457"/>
      <c r="G259" s="457"/>
      <c r="H259" s="457"/>
      <c r="I259" s="457"/>
      <c r="J259" s="457"/>
      <c r="K259" s="457"/>
      <c r="L259" s="457"/>
      <c r="M259" s="457"/>
      <c r="N259" s="404"/>
    </row>
    <row r="260" spans="2:14" ht="15" x14ac:dyDescent="0.25">
      <c r="B260" s="456"/>
      <c r="C260" s="457"/>
      <c r="D260" s="457"/>
      <c r="E260" s="457"/>
      <c r="F260" s="448"/>
      <c r="G260" s="448"/>
      <c r="H260" s="448"/>
      <c r="I260" s="449"/>
      <c r="J260" s="449"/>
      <c r="K260" s="449"/>
      <c r="L260" s="449"/>
      <c r="M260" s="409" t="s">
        <v>24691</v>
      </c>
      <c r="N260" s="412">
        <f>N250+N254+N258</f>
        <v>3.26</v>
      </c>
    </row>
    <row r="261" spans="2:14" ht="15" x14ac:dyDescent="0.25">
      <c r="B261" s="456"/>
      <c r="C261" s="457"/>
      <c r="D261" s="457"/>
      <c r="E261" s="457"/>
      <c r="F261" s="448"/>
      <c r="G261" s="448"/>
      <c r="H261" s="448"/>
      <c r="I261" s="448"/>
      <c r="J261" s="450"/>
      <c r="K261" s="450"/>
      <c r="L261" s="450"/>
      <c r="M261" s="414" t="s">
        <v>24692</v>
      </c>
      <c r="N261" s="412">
        <v>1</v>
      </c>
    </row>
    <row r="262" spans="2:14" ht="15.75" thickBot="1" x14ac:dyDescent="0.3">
      <c r="B262" s="400"/>
      <c r="C262" s="401"/>
      <c r="D262" s="401"/>
      <c r="E262" s="401"/>
      <c r="F262" s="444"/>
      <c r="G262" s="444"/>
      <c r="H262" s="444"/>
      <c r="I262" s="444"/>
      <c r="J262" s="444"/>
      <c r="K262" s="444"/>
      <c r="L262" s="444"/>
      <c r="M262" s="455" t="s">
        <v>24693</v>
      </c>
      <c r="N262" s="415">
        <f>TRUNC(N260/N261,2)</f>
        <v>3.26</v>
      </c>
    </row>
    <row r="263" spans="2:14" ht="15.75" thickBot="1" x14ac:dyDescent="0.3">
      <c r="B263" s="456"/>
      <c r="C263" s="457"/>
      <c r="D263" s="457"/>
      <c r="E263" s="457"/>
      <c r="F263" s="457"/>
      <c r="G263" s="457"/>
      <c r="H263" s="457"/>
      <c r="I263" s="457"/>
      <c r="J263" s="457"/>
      <c r="K263" s="457"/>
      <c r="L263" s="457"/>
      <c r="M263" s="457"/>
      <c r="N263" s="404"/>
    </row>
    <row r="264" spans="2:14" ht="30" x14ac:dyDescent="0.25">
      <c r="B264" s="392" t="s">
        <v>0</v>
      </c>
      <c r="C264" s="393" t="s">
        <v>24673</v>
      </c>
      <c r="D264" s="1465" t="s">
        <v>24694</v>
      </c>
      <c r="E264" s="1465"/>
      <c r="F264" s="1465"/>
      <c r="G264" s="1465"/>
      <c r="H264" s="1465"/>
      <c r="I264" s="1466"/>
      <c r="J264" s="441" t="s">
        <v>3686</v>
      </c>
      <c r="K264" s="441" t="s">
        <v>24695</v>
      </c>
      <c r="L264" s="441"/>
      <c r="M264" s="441" t="s">
        <v>24683</v>
      </c>
      <c r="N264" s="395" t="s">
        <v>24689</v>
      </c>
    </row>
    <row r="265" spans="2:14" ht="30" x14ac:dyDescent="0.25">
      <c r="B265" s="446"/>
      <c r="C265" s="458" t="s">
        <v>24708</v>
      </c>
      <c r="D265" s="1463" t="s">
        <v>24631</v>
      </c>
      <c r="E265" s="1463"/>
      <c r="F265" s="1463"/>
      <c r="G265" s="1463"/>
      <c r="H265" s="1463"/>
      <c r="I265" s="1464"/>
      <c r="J265" s="442" t="s">
        <v>4438</v>
      </c>
      <c r="K265" s="442">
        <v>22</v>
      </c>
      <c r="L265" s="442"/>
      <c r="M265" s="447">
        <v>1.5</v>
      </c>
      <c r="N265" s="443">
        <f>M265*K265</f>
        <v>33</v>
      </c>
    </row>
    <row r="266" spans="2:14" ht="15" x14ac:dyDescent="0.25">
      <c r="B266" s="396"/>
      <c r="C266" s="397"/>
      <c r="D266" s="1494"/>
      <c r="E266" s="1494"/>
      <c r="F266" s="1494"/>
      <c r="G266" s="1494"/>
      <c r="H266" s="1494"/>
      <c r="I266" s="1495"/>
      <c r="J266" s="442"/>
      <c r="K266" s="442"/>
      <c r="L266" s="442"/>
      <c r="M266" s="447"/>
      <c r="N266" s="443"/>
    </row>
    <row r="267" spans="2:14" ht="15.75" thickBot="1" x14ac:dyDescent="0.3">
      <c r="B267" s="400"/>
      <c r="C267" s="401"/>
      <c r="D267" s="401"/>
      <c r="E267" s="401"/>
      <c r="F267" s="444"/>
      <c r="G267" s="444"/>
      <c r="H267" s="444"/>
      <c r="I267" s="444"/>
      <c r="J267" s="444"/>
      <c r="K267" s="444"/>
      <c r="L267" s="444"/>
      <c r="M267" s="455" t="s">
        <v>24696</v>
      </c>
      <c r="N267" s="403">
        <f>SUM(N265:N266)</f>
        <v>33</v>
      </c>
    </row>
    <row r="268" spans="2:14" ht="15.75" thickBot="1" x14ac:dyDescent="0.3">
      <c r="B268" s="456"/>
      <c r="C268" s="457"/>
      <c r="D268" s="457"/>
      <c r="E268" s="457"/>
      <c r="F268" s="457"/>
      <c r="G268" s="457"/>
      <c r="H268" s="457"/>
      <c r="I268" s="457"/>
      <c r="J268" s="457"/>
      <c r="K268" s="457"/>
      <c r="L268" s="457"/>
      <c r="M268" s="457"/>
      <c r="N268" s="404"/>
    </row>
    <row r="269" spans="2:14" ht="30" x14ac:dyDescent="0.25">
      <c r="B269" s="392" t="s">
        <v>0</v>
      </c>
      <c r="C269" s="441" t="s">
        <v>24673</v>
      </c>
      <c r="D269" s="1465" t="s">
        <v>24697</v>
      </c>
      <c r="E269" s="1465"/>
      <c r="F269" s="1465"/>
      <c r="G269" s="1465"/>
      <c r="H269" s="1465"/>
      <c r="I269" s="1466"/>
      <c r="J269" s="441" t="s">
        <v>3686</v>
      </c>
      <c r="K269" s="441" t="s">
        <v>24695</v>
      </c>
      <c r="L269" s="441"/>
      <c r="M269" s="441" t="s">
        <v>24683</v>
      </c>
      <c r="N269" s="395" t="s">
        <v>24689</v>
      </c>
    </row>
    <row r="270" spans="2:14" ht="15" x14ac:dyDescent="0.25">
      <c r="B270" s="416"/>
      <c r="C270" s="417"/>
      <c r="D270" s="1469"/>
      <c r="E270" s="1463"/>
      <c r="F270" s="1463"/>
      <c r="G270" s="1463"/>
      <c r="H270" s="1463"/>
      <c r="I270" s="1464"/>
      <c r="J270" s="451"/>
      <c r="K270" s="451"/>
      <c r="L270" s="451"/>
      <c r="M270" s="419"/>
      <c r="N270" s="420"/>
    </row>
    <row r="271" spans="2:14" ht="15.75" thickBot="1" x14ac:dyDescent="0.3">
      <c r="B271" s="400"/>
      <c r="C271" s="401"/>
      <c r="D271" s="401"/>
      <c r="E271" s="401"/>
      <c r="F271" s="444"/>
      <c r="G271" s="444"/>
      <c r="H271" s="444"/>
      <c r="I271" s="444"/>
      <c r="J271" s="444"/>
      <c r="K271" s="444"/>
      <c r="L271" s="444"/>
      <c r="M271" s="455" t="s">
        <v>24698</v>
      </c>
      <c r="N271" s="403">
        <f>SUM(N270:N270)</f>
        <v>0</v>
      </c>
    </row>
    <row r="272" spans="2:14" ht="15.75" thickBot="1" x14ac:dyDescent="0.3">
      <c r="B272" s="456"/>
      <c r="C272" s="457"/>
      <c r="D272" s="457"/>
      <c r="E272" s="457"/>
      <c r="F272" s="457"/>
      <c r="G272" s="457"/>
      <c r="H272" s="457"/>
      <c r="I272" s="457"/>
      <c r="J272" s="457"/>
      <c r="K272" s="457"/>
      <c r="L272" s="457"/>
      <c r="M272" s="457"/>
      <c r="N272" s="404"/>
    </row>
    <row r="273" spans="2:14" ht="30" x14ac:dyDescent="0.25">
      <c r="B273" s="392" t="s">
        <v>0</v>
      </c>
      <c r="C273" s="441" t="s">
        <v>24673</v>
      </c>
      <c r="D273" s="1465" t="s">
        <v>24699</v>
      </c>
      <c r="E273" s="1465"/>
      <c r="F273" s="1465"/>
      <c r="G273" s="1466"/>
      <c r="H273" s="441" t="s">
        <v>3686</v>
      </c>
      <c r="I273" s="441" t="s">
        <v>24700</v>
      </c>
      <c r="J273" s="441" t="s">
        <v>24701</v>
      </c>
      <c r="K273" s="441" t="s">
        <v>24695</v>
      </c>
      <c r="L273" s="441"/>
      <c r="M273" s="441" t="s">
        <v>24683</v>
      </c>
      <c r="N273" s="395" t="s">
        <v>24689</v>
      </c>
    </row>
    <row r="274" spans="2:14" ht="15" x14ac:dyDescent="0.25">
      <c r="B274" s="446"/>
      <c r="C274" s="458"/>
      <c r="D274" s="1494"/>
      <c r="E274" s="1494"/>
      <c r="F274" s="1494"/>
      <c r="G274" s="1494"/>
      <c r="H274" s="442"/>
      <c r="I274" s="442"/>
      <c r="J274" s="442"/>
      <c r="K274" s="442"/>
      <c r="L274" s="442"/>
      <c r="M274" s="447"/>
      <c r="N274" s="443"/>
    </row>
    <row r="275" spans="2:14" ht="15" x14ac:dyDescent="0.25">
      <c r="B275" s="446"/>
      <c r="C275" s="458"/>
      <c r="D275" s="1494"/>
      <c r="E275" s="1494"/>
      <c r="F275" s="1494"/>
      <c r="G275" s="1494"/>
      <c r="H275" s="442"/>
      <c r="I275" s="442"/>
      <c r="J275" s="442"/>
      <c r="K275" s="442"/>
      <c r="L275" s="442"/>
      <c r="M275" s="447"/>
      <c r="N275" s="443"/>
    </row>
    <row r="276" spans="2:14" ht="15" x14ac:dyDescent="0.25">
      <c r="B276" s="446"/>
      <c r="C276" s="458"/>
      <c r="D276" s="1494"/>
      <c r="E276" s="1494"/>
      <c r="F276" s="1494"/>
      <c r="G276" s="1494"/>
      <c r="H276" s="442"/>
      <c r="I276" s="442"/>
      <c r="J276" s="442"/>
      <c r="K276" s="442"/>
      <c r="L276" s="442"/>
      <c r="M276" s="447"/>
      <c r="N276" s="443"/>
    </row>
    <row r="277" spans="2:14" ht="15" x14ac:dyDescent="0.25">
      <c r="B277" s="456"/>
      <c r="C277" s="457"/>
      <c r="D277" s="457"/>
      <c r="E277" s="457"/>
      <c r="F277" s="448"/>
      <c r="G277" s="448"/>
      <c r="H277" s="448"/>
      <c r="I277" s="448"/>
      <c r="J277" s="448"/>
      <c r="K277" s="448"/>
      <c r="L277" s="448"/>
      <c r="M277" s="409" t="s">
        <v>24702</v>
      </c>
      <c r="N277" s="410">
        <f>SUM(N274:N276)</f>
        <v>0</v>
      </c>
    </row>
    <row r="278" spans="2:14" ht="15" x14ac:dyDescent="0.25">
      <c r="B278" s="456"/>
      <c r="C278" s="457"/>
      <c r="D278" s="457"/>
      <c r="E278" s="457"/>
      <c r="F278" s="457"/>
      <c r="G278" s="457"/>
      <c r="H278" s="457"/>
      <c r="I278" s="457"/>
      <c r="J278" s="457"/>
      <c r="K278" s="457"/>
      <c r="L278" s="457"/>
      <c r="M278" s="457"/>
      <c r="N278" s="404"/>
    </row>
    <row r="279" spans="2:14" ht="15" x14ac:dyDescent="0.25">
      <c r="B279" s="421"/>
      <c r="C279" s="422"/>
      <c r="D279" s="422"/>
      <c r="E279" s="422"/>
      <c r="F279" s="452"/>
      <c r="G279" s="452"/>
      <c r="H279" s="452"/>
      <c r="I279" s="452"/>
      <c r="J279" s="452"/>
      <c r="K279" s="452"/>
      <c r="L279" s="452"/>
      <c r="M279" s="424" t="s">
        <v>24703</v>
      </c>
      <c r="N279" s="412">
        <f>N262+N267+N271+N277</f>
        <v>36.26</v>
      </c>
    </row>
    <row r="280" spans="2:14" ht="15" x14ac:dyDescent="0.25">
      <c r="B280" s="456"/>
      <c r="C280" s="457"/>
      <c r="D280" s="457"/>
      <c r="E280" s="457"/>
      <c r="F280" s="448"/>
      <c r="G280" s="448"/>
      <c r="H280" s="448"/>
      <c r="I280" s="448"/>
      <c r="J280" s="448"/>
      <c r="K280" s="448"/>
      <c r="L280" s="448"/>
      <c r="M280" s="425">
        <f>'Planilha - Orla'!I3</f>
        <v>0.28000000000000003</v>
      </c>
      <c r="N280" s="412">
        <f>N279*M280</f>
        <v>10.15</v>
      </c>
    </row>
    <row r="281" spans="2:14" ht="15.75" thickBot="1" x14ac:dyDescent="0.3">
      <c r="B281" s="1472" t="s">
        <v>24704</v>
      </c>
      <c r="C281" s="1473"/>
      <c r="D281" s="1473"/>
      <c r="E281" s="1473"/>
      <c r="F281" s="1473"/>
      <c r="G281" s="1473"/>
      <c r="H281" s="1473"/>
      <c r="I281" s="1473"/>
      <c r="J281" s="1473"/>
      <c r="K281" s="1473"/>
      <c r="L281" s="1473"/>
      <c r="M281" s="1474"/>
      <c r="N281" s="415">
        <f>N279+N280</f>
        <v>46.41</v>
      </c>
    </row>
    <row r="283" spans="2:14" ht="15" thickBot="1" x14ac:dyDescent="0.3"/>
    <row r="284" spans="2:14" ht="40.5" customHeight="1" x14ac:dyDescent="0.25">
      <c r="B284" s="1479" t="s">
        <v>24748</v>
      </c>
      <c r="C284" s="1480"/>
      <c r="D284" s="1481"/>
      <c r="E284" s="1482" t="s">
        <v>24669</v>
      </c>
      <c r="F284" s="1482"/>
      <c r="G284" s="1482"/>
      <c r="H284" s="1482"/>
      <c r="I284" s="1482"/>
      <c r="J284" s="1482"/>
      <c r="K284" s="1482"/>
      <c r="L284" s="453"/>
      <c r="M284" s="1483"/>
      <c r="N284" s="1484"/>
    </row>
    <row r="285" spans="2:14" ht="15" x14ac:dyDescent="0.25">
      <c r="B285" s="391" t="s">
        <v>24670</v>
      </c>
      <c r="C285" s="1485" t="s">
        <v>24709</v>
      </c>
      <c r="D285" s="1485"/>
      <c r="E285" s="1485"/>
      <c r="F285" s="1485"/>
      <c r="G285" s="1485"/>
      <c r="H285" s="1485"/>
      <c r="I285" s="1485"/>
      <c r="J285" s="1485"/>
      <c r="K285" s="1485"/>
      <c r="L285" s="1485"/>
      <c r="M285" s="1485"/>
      <c r="N285" s="1486"/>
    </row>
    <row r="286" spans="2:14" ht="15" x14ac:dyDescent="0.25">
      <c r="B286" s="391" t="s">
        <v>24671</v>
      </c>
      <c r="C286" s="1487" t="s">
        <v>6</v>
      </c>
      <c r="D286" s="1487"/>
      <c r="E286" s="1487"/>
      <c r="F286" s="1487"/>
      <c r="G286" s="1487"/>
      <c r="H286" s="1487"/>
      <c r="I286" s="1487"/>
      <c r="J286" s="1487"/>
      <c r="K286" s="1487"/>
      <c r="L286" s="1487"/>
      <c r="M286" s="1487"/>
      <c r="N286" s="1488"/>
    </row>
    <row r="287" spans="2:14" ht="15.75" thickBot="1" x14ac:dyDescent="0.3">
      <c r="B287" s="391" t="s">
        <v>24672</v>
      </c>
      <c r="C287" s="1489">
        <v>44501</v>
      </c>
      <c r="D287" s="1490"/>
      <c r="E287" s="1490"/>
      <c r="F287" s="1490"/>
      <c r="G287" s="1490"/>
      <c r="H287" s="1490"/>
      <c r="I287" s="1490"/>
      <c r="J287" s="1490"/>
      <c r="K287" s="1490"/>
      <c r="L287" s="1490"/>
      <c r="M287" s="1490"/>
      <c r="N287" s="1491"/>
    </row>
    <row r="288" spans="2:14" ht="30" x14ac:dyDescent="0.25">
      <c r="B288" s="392" t="s">
        <v>0</v>
      </c>
      <c r="C288" s="393" t="s">
        <v>24673</v>
      </c>
      <c r="D288" s="1465" t="s">
        <v>24674</v>
      </c>
      <c r="E288" s="1465"/>
      <c r="F288" s="1465"/>
      <c r="G288" s="1466"/>
      <c r="H288" s="441" t="s">
        <v>111</v>
      </c>
      <c r="I288" s="441" t="s">
        <v>24675</v>
      </c>
      <c r="J288" s="441" t="s">
        <v>24676</v>
      </c>
      <c r="K288" s="1467" t="s">
        <v>24677</v>
      </c>
      <c r="L288" s="1468"/>
      <c r="M288" s="441" t="s">
        <v>24678</v>
      </c>
      <c r="N288" s="395" t="s">
        <v>24679</v>
      </c>
    </row>
    <row r="289" spans="2:14" ht="69" customHeight="1" x14ac:dyDescent="0.25">
      <c r="B289" s="446">
        <v>5901</v>
      </c>
      <c r="C289" s="458" t="s">
        <v>24706</v>
      </c>
      <c r="D289" s="1463" t="s">
        <v>24711</v>
      </c>
      <c r="E289" s="1463"/>
      <c r="F289" s="1463"/>
      <c r="G289" s="1464"/>
      <c r="H289" s="447"/>
      <c r="I289" s="447">
        <v>4.1999999999999997E-3</v>
      </c>
      <c r="J289" s="442"/>
      <c r="K289" s="1492">
        <v>257.69</v>
      </c>
      <c r="L289" s="1493"/>
      <c r="M289" s="427"/>
      <c r="N289" s="443">
        <f>I289*K289</f>
        <v>1.08</v>
      </c>
    </row>
    <row r="290" spans="2:14" ht="63.75" customHeight="1" x14ac:dyDescent="0.25">
      <c r="B290" s="446">
        <v>5903</v>
      </c>
      <c r="C290" s="458" t="s">
        <v>24706</v>
      </c>
      <c r="D290" s="1463" t="s">
        <v>24712</v>
      </c>
      <c r="E290" s="1463"/>
      <c r="F290" s="1463"/>
      <c r="G290" s="1464"/>
      <c r="H290" s="447"/>
      <c r="I290" s="442"/>
      <c r="J290" s="447">
        <v>4.58E-2</v>
      </c>
      <c r="K290" s="1492"/>
      <c r="L290" s="1493"/>
      <c r="M290" s="427">
        <v>54.86</v>
      </c>
      <c r="N290" s="443">
        <f>J290*M290</f>
        <v>2.5099999999999998</v>
      </c>
    </row>
    <row r="291" spans="2:14" ht="39" customHeight="1" x14ac:dyDescent="0.25">
      <c r="B291" s="446">
        <v>5921</v>
      </c>
      <c r="C291" s="458" t="s">
        <v>24706</v>
      </c>
      <c r="D291" s="1463" t="s">
        <v>24713</v>
      </c>
      <c r="E291" s="1463"/>
      <c r="F291" s="1463"/>
      <c r="G291" s="1464"/>
      <c r="H291" s="447"/>
      <c r="I291" s="447">
        <v>8.3000000000000001E-3</v>
      </c>
      <c r="J291" s="442"/>
      <c r="K291" s="1492">
        <v>5.83</v>
      </c>
      <c r="L291" s="1493"/>
      <c r="M291" s="427"/>
      <c r="N291" s="443">
        <f>I291*K291</f>
        <v>0.05</v>
      </c>
    </row>
    <row r="292" spans="2:14" ht="39.75" customHeight="1" x14ac:dyDescent="0.25">
      <c r="B292" s="446">
        <v>5923</v>
      </c>
      <c r="C292" s="458" t="s">
        <v>24706</v>
      </c>
      <c r="D292" s="1463" t="s">
        <v>24714</v>
      </c>
      <c r="E292" s="1463"/>
      <c r="F292" s="1463"/>
      <c r="G292" s="1464"/>
      <c r="H292" s="447"/>
      <c r="I292" s="442"/>
      <c r="J292" s="447">
        <v>4.1700000000000001E-2</v>
      </c>
      <c r="K292" s="1492"/>
      <c r="L292" s="1493"/>
      <c r="M292" s="427">
        <v>3.62</v>
      </c>
      <c r="N292" s="443">
        <f>J292*M292</f>
        <v>0.15</v>
      </c>
    </row>
    <row r="293" spans="2:14" ht="38.25" customHeight="1" x14ac:dyDescent="0.25">
      <c r="B293" s="446">
        <v>5932</v>
      </c>
      <c r="C293" s="458" t="s">
        <v>24706</v>
      </c>
      <c r="D293" s="1463" t="s">
        <v>24716</v>
      </c>
      <c r="E293" s="1463"/>
      <c r="F293" s="1463"/>
      <c r="G293" s="1464"/>
      <c r="H293" s="447"/>
      <c r="I293" s="447">
        <v>7.7000000000000002E-3</v>
      </c>
      <c r="J293" s="442"/>
      <c r="K293" s="1492">
        <v>217.89</v>
      </c>
      <c r="L293" s="1493"/>
      <c r="M293" s="427"/>
      <c r="N293" s="443">
        <f>I293*K293</f>
        <v>1.68</v>
      </c>
    </row>
    <row r="294" spans="2:14" ht="34.5" customHeight="1" x14ac:dyDescent="0.25">
      <c r="B294" s="446">
        <v>5934</v>
      </c>
      <c r="C294" s="458" t="s">
        <v>24706</v>
      </c>
      <c r="D294" s="1463" t="s">
        <v>24718</v>
      </c>
      <c r="E294" s="1463"/>
      <c r="F294" s="1463"/>
      <c r="G294" s="1464"/>
      <c r="H294" s="447"/>
      <c r="I294" s="442"/>
      <c r="J294" s="447">
        <v>4.24E-2</v>
      </c>
      <c r="K294" s="1492"/>
      <c r="L294" s="1493"/>
      <c r="M294" s="427">
        <v>80.86</v>
      </c>
      <c r="N294" s="443">
        <f>J294*M294</f>
        <v>3.43</v>
      </c>
    </row>
    <row r="295" spans="2:14" ht="44.25" customHeight="1" x14ac:dyDescent="0.25">
      <c r="B295" s="446">
        <v>73436</v>
      </c>
      <c r="C295" s="458" t="s">
        <v>24706</v>
      </c>
      <c r="D295" s="1463" t="s">
        <v>24719</v>
      </c>
      <c r="E295" s="1463"/>
      <c r="F295" s="1463"/>
      <c r="G295" s="1464"/>
      <c r="H295" s="447"/>
      <c r="I295" s="447">
        <v>1.46E-2</v>
      </c>
      <c r="J295" s="442"/>
      <c r="K295" s="1492">
        <v>187.75</v>
      </c>
      <c r="L295" s="1493"/>
      <c r="M295" s="427"/>
      <c r="N295" s="443">
        <f>I295*K295</f>
        <v>2.74</v>
      </c>
    </row>
    <row r="296" spans="2:14" ht="48.75" customHeight="1" x14ac:dyDescent="0.25">
      <c r="B296" s="446">
        <v>93244</v>
      </c>
      <c r="C296" s="458" t="s">
        <v>24706</v>
      </c>
      <c r="D296" s="1463" t="s">
        <v>24720</v>
      </c>
      <c r="E296" s="1463"/>
      <c r="F296" s="1463"/>
      <c r="G296" s="1464"/>
      <c r="H296" s="447"/>
      <c r="I296" s="442"/>
      <c r="J296" s="447">
        <v>3.5400000000000001E-2</v>
      </c>
      <c r="K296" s="1492"/>
      <c r="L296" s="1493"/>
      <c r="M296" s="427">
        <v>56.48</v>
      </c>
      <c r="N296" s="443">
        <f>J296*M296</f>
        <v>2</v>
      </c>
    </row>
    <row r="297" spans="2:14" ht="33.75" customHeight="1" x14ac:dyDescent="0.25">
      <c r="B297" s="446">
        <v>89035</v>
      </c>
      <c r="C297" s="458" t="s">
        <v>24706</v>
      </c>
      <c r="D297" s="1463" t="s">
        <v>24721</v>
      </c>
      <c r="E297" s="1463"/>
      <c r="F297" s="1463"/>
      <c r="G297" s="1464"/>
      <c r="H297" s="447"/>
      <c r="I297" s="447">
        <v>8.3000000000000001E-3</v>
      </c>
      <c r="J297" s="442"/>
      <c r="K297" s="1492">
        <v>114.82</v>
      </c>
      <c r="L297" s="1493"/>
      <c r="M297" s="427"/>
      <c r="N297" s="443">
        <f>I297*K297</f>
        <v>0.95</v>
      </c>
    </row>
    <row r="298" spans="2:14" ht="31.5" customHeight="1" x14ac:dyDescent="0.25">
      <c r="B298" s="446">
        <v>89036</v>
      </c>
      <c r="C298" s="458" t="s">
        <v>24706</v>
      </c>
      <c r="D298" s="1463" t="s">
        <v>24722</v>
      </c>
      <c r="E298" s="1463"/>
      <c r="F298" s="1463"/>
      <c r="G298" s="1464"/>
      <c r="H298" s="447"/>
      <c r="I298" s="442"/>
      <c r="J298" s="447">
        <v>4.1700000000000001E-2</v>
      </c>
      <c r="K298" s="1492"/>
      <c r="L298" s="1493"/>
      <c r="M298" s="427">
        <v>44.18</v>
      </c>
      <c r="N298" s="443">
        <f>J298*M298</f>
        <v>1.84</v>
      </c>
    </row>
    <row r="299" spans="2:14" ht="43.5" customHeight="1" x14ac:dyDescent="0.25">
      <c r="B299" s="446">
        <v>96463</v>
      </c>
      <c r="C299" s="458" t="s">
        <v>24706</v>
      </c>
      <c r="D299" s="1463" t="s">
        <v>24724</v>
      </c>
      <c r="E299" s="1463"/>
      <c r="F299" s="1463"/>
      <c r="G299" s="1464"/>
      <c r="H299" s="447"/>
      <c r="I299" s="447">
        <v>3.8E-3</v>
      </c>
      <c r="J299" s="442"/>
      <c r="K299" s="1492">
        <v>190.52</v>
      </c>
      <c r="L299" s="1493"/>
      <c r="M299" s="427"/>
      <c r="N299" s="443">
        <f>I299*K299</f>
        <v>0.72</v>
      </c>
    </row>
    <row r="300" spans="2:14" ht="45" customHeight="1" x14ac:dyDescent="0.25">
      <c r="B300" s="446">
        <v>96464</v>
      </c>
      <c r="C300" s="458" t="s">
        <v>24706</v>
      </c>
      <c r="D300" s="1463" t="s">
        <v>24725</v>
      </c>
      <c r="E300" s="1463"/>
      <c r="F300" s="1463"/>
      <c r="G300" s="1464"/>
      <c r="H300" s="447"/>
      <c r="I300" s="442"/>
      <c r="J300" s="447">
        <v>4.6199999999999998E-2</v>
      </c>
      <c r="K300" s="1492"/>
      <c r="L300" s="1493"/>
      <c r="M300" s="427">
        <v>76.650000000000006</v>
      </c>
      <c r="N300" s="443">
        <f>J300*M300</f>
        <v>3.54</v>
      </c>
    </row>
    <row r="301" spans="2:14" ht="15" x14ac:dyDescent="0.25">
      <c r="B301" s="446"/>
      <c r="C301" s="397"/>
      <c r="D301" s="1494"/>
      <c r="E301" s="1494"/>
      <c r="F301" s="1494"/>
      <c r="G301" s="1495"/>
      <c r="H301" s="442"/>
      <c r="I301" s="442"/>
      <c r="J301" s="442"/>
      <c r="K301" s="442"/>
      <c r="L301" s="442"/>
      <c r="M301" s="442"/>
      <c r="N301" s="443"/>
    </row>
    <row r="302" spans="2:14" ht="15.75" thickBot="1" x14ac:dyDescent="0.3">
      <c r="B302" s="400"/>
      <c r="C302" s="401"/>
      <c r="D302" s="401"/>
      <c r="E302" s="401"/>
      <c r="F302" s="444"/>
      <c r="G302" s="444"/>
      <c r="H302" s="444"/>
      <c r="I302" s="444"/>
      <c r="J302" s="444"/>
      <c r="K302" s="444"/>
      <c r="L302" s="444"/>
      <c r="M302" s="455" t="s">
        <v>24680</v>
      </c>
      <c r="N302" s="403">
        <f>SUM(N289:N300)</f>
        <v>20.69</v>
      </c>
    </row>
    <row r="303" spans="2:14" ht="15.75" thickBot="1" x14ac:dyDescent="0.3">
      <c r="B303" s="456"/>
      <c r="C303" s="457"/>
      <c r="D303" s="457"/>
      <c r="E303" s="457"/>
      <c r="F303" s="457"/>
      <c r="G303" s="457"/>
      <c r="H303" s="457"/>
      <c r="I303" s="457"/>
      <c r="J303" s="457"/>
      <c r="K303" s="457"/>
      <c r="L303" s="457"/>
      <c r="M303" s="457"/>
      <c r="N303" s="404"/>
    </row>
    <row r="304" spans="2:14" ht="45" x14ac:dyDescent="0.25">
      <c r="B304" s="392" t="s">
        <v>0</v>
      </c>
      <c r="C304" s="393" t="s">
        <v>24673</v>
      </c>
      <c r="D304" s="1465" t="s">
        <v>24681</v>
      </c>
      <c r="E304" s="1465"/>
      <c r="F304" s="1465"/>
      <c r="G304" s="1465"/>
      <c r="H304" s="1466"/>
      <c r="I304" s="441" t="s">
        <v>3686</v>
      </c>
      <c r="J304" s="441" t="s">
        <v>24682</v>
      </c>
      <c r="K304" s="441" t="s">
        <v>24861</v>
      </c>
      <c r="L304" s="441" t="s">
        <v>24862</v>
      </c>
      <c r="M304" s="441" t="s">
        <v>24683</v>
      </c>
      <c r="N304" s="395" t="s">
        <v>24679</v>
      </c>
    </row>
    <row r="305" spans="2:14" ht="15" x14ac:dyDescent="0.25">
      <c r="B305" s="446">
        <v>10146</v>
      </c>
      <c r="C305" s="458" t="s">
        <v>4389</v>
      </c>
      <c r="D305" s="1463" t="s">
        <v>24710</v>
      </c>
      <c r="E305" s="1463"/>
      <c r="F305" s="1463"/>
      <c r="G305" s="1463"/>
      <c r="H305" s="1464"/>
      <c r="I305" s="442" t="s">
        <v>75</v>
      </c>
      <c r="J305" s="406">
        <v>1.5727</v>
      </c>
      <c r="K305" s="427">
        <v>5.46</v>
      </c>
      <c r="L305" s="427">
        <f>K305*(1+J305)</f>
        <v>14.05</v>
      </c>
      <c r="M305" s="447">
        <v>0.2</v>
      </c>
      <c r="N305" s="443">
        <f>L305*M305</f>
        <v>2.81</v>
      </c>
    </row>
    <row r="306" spans="2:14" ht="15.75" thickBot="1" x14ac:dyDescent="0.3">
      <c r="B306" s="400"/>
      <c r="C306" s="401"/>
      <c r="D306" s="401"/>
      <c r="E306" s="401"/>
      <c r="F306" s="444"/>
      <c r="G306" s="444"/>
      <c r="H306" s="444"/>
      <c r="I306" s="444"/>
      <c r="J306" s="444"/>
      <c r="K306" s="444"/>
      <c r="L306" s="444"/>
      <c r="M306" s="455" t="s">
        <v>24684</v>
      </c>
      <c r="N306" s="403">
        <f>SUM(N305:N305)</f>
        <v>2.81</v>
      </c>
    </row>
    <row r="307" spans="2:14" ht="15.75" thickBot="1" x14ac:dyDescent="0.3">
      <c r="B307" s="456"/>
      <c r="C307" s="457"/>
      <c r="D307" s="457"/>
      <c r="E307" s="457"/>
      <c r="F307" s="457"/>
      <c r="G307" s="457"/>
      <c r="H307" s="457"/>
      <c r="I307" s="448"/>
      <c r="J307" s="448"/>
      <c r="K307" s="457"/>
      <c r="L307" s="457"/>
      <c r="M307" s="457"/>
      <c r="N307" s="404"/>
    </row>
    <row r="308" spans="2:14" ht="30" x14ac:dyDescent="0.25">
      <c r="B308" s="392" t="s">
        <v>0</v>
      </c>
      <c r="C308" s="393" t="s">
        <v>24673</v>
      </c>
      <c r="D308" s="1465" t="s">
        <v>24685</v>
      </c>
      <c r="E308" s="1465"/>
      <c r="F308" s="1465"/>
      <c r="G308" s="1465"/>
      <c r="H308" s="1466"/>
      <c r="I308" s="441" t="s">
        <v>2858</v>
      </c>
      <c r="J308" s="441" t="s">
        <v>24686</v>
      </c>
      <c r="K308" s="441" t="s">
        <v>24687</v>
      </c>
      <c r="L308" s="441"/>
      <c r="M308" s="441" t="s">
        <v>24688</v>
      </c>
      <c r="N308" s="395" t="s">
        <v>24689</v>
      </c>
    </row>
    <row r="309" spans="2:14" ht="15" x14ac:dyDescent="0.25">
      <c r="B309" s="446"/>
      <c r="C309" s="458"/>
      <c r="D309" s="1463"/>
      <c r="E309" s="1463"/>
      <c r="F309" s="1463"/>
      <c r="G309" s="1463"/>
      <c r="H309" s="1464"/>
      <c r="I309" s="442"/>
      <c r="J309" s="442"/>
      <c r="K309" s="442"/>
      <c r="L309" s="442"/>
      <c r="M309" s="442"/>
      <c r="N309" s="443"/>
    </row>
    <row r="310" spans="2:14" ht="15" x14ac:dyDescent="0.25">
      <c r="B310" s="456"/>
      <c r="C310" s="457"/>
      <c r="D310" s="457"/>
      <c r="E310" s="457"/>
      <c r="F310" s="448"/>
      <c r="G310" s="448"/>
      <c r="H310" s="448"/>
      <c r="I310" s="448"/>
      <c r="J310" s="448"/>
      <c r="K310" s="448"/>
      <c r="L310" s="448"/>
      <c r="M310" s="409" t="s">
        <v>24690</v>
      </c>
      <c r="N310" s="410">
        <f>SUM(N309:N309)</f>
        <v>0</v>
      </c>
    </row>
    <row r="311" spans="2:14" ht="15" x14ac:dyDescent="0.25">
      <c r="B311" s="456"/>
      <c r="C311" s="457"/>
      <c r="D311" s="457"/>
      <c r="E311" s="457"/>
      <c r="F311" s="457"/>
      <c r="G311" s="457"/>
      <c r="H311" s="457"/>
      <c r="I311" s="457"/>
      <c r="J311" s="457"/>
      <c r="K311" s="457"/>
      <c r="L311" s="457"/>
      <c r="M311" s="457"/>
      <c r="N311" s="404"/>
    </row>
    <row r="312" spans="2:14" ht="15" x14ac:dyDescent="0.25">
      <c r="B312" s="456"/>
      <c r="C312" s="457"/>
      <c r="D312" s="457"/>
      <c r="E312" s="457"/>
      <c r="F312" s="448"/>
      <c r="G312" s="448"/>
      <c r="H312" s="448"/>
      <c r="I312" s="449"/>
      <c r="J312" s="449"/>
      <c r="K312" s="449"/>
      <c r="L312" s="449"/>
      <c r="M312" s="409" t="s">
        <v>24691</v>
      </c>
      <c r="N312" s="412">
        <f>N302+N306+N310</f>
        <v>23.5</v>
      </c>
    </row>
    <row r="313" spans="2:14" ht="15" x14ac:dyDescent="0.25">
      <c r="B313" s="456"/>
      <c r="C313" s="457"/>
      <c r="D313" s="457"/>
      <c r="E313" s="457"/>
      <c r="F313" s="448"/>
      <c r="G313" s="448"/>
      <c r="H313" s="448"/>
      <c r="I313" s="448"/>
      <c r="J313" s="450"/>
      <c r="K313" s="450"/>
      <c r="L313" s="450"/>
      <c r="M313" s="414" t="s">
        <v>24692</v>
      </c>
      <c r="N313" s="412">
        <v>1</v>
      </c>
    </row>
    <row r="314" spans="2:14" ht="15.75" thickBot="1" x14ac:dyDescent="0.3">
      <c r="B314" s="400"/>
      <c r="C314" s="401"/>
      <c r="D314" s="401"/>
      <c r="E314" s="401"/>
      <c r="F314" s="444"/>
      <c r="G314" s="444"/>
      <c r="H314" s="444"/>
      <c r="I314" s="444"/>
      <c r="J314" s="444"/>
      <c r="K314" s="444"/>
      <c r="L314" s="444"/>
      <c r="M314" s="455" t="s">
        <v>24693</v>
      </c>
      <c r="N314" s="415">
        <f>TRUNC(N312/N313,2)</f>
        <v>23.5</v>
      </c>
    </row>
    <row r="315" spans="2:14" ht="15.75" thickBot="1" x14ac:dyDescent="0.3">
      <c r="B315" s="456"/>
      <c r="C315" s="457"/>
      <c r="D315" s="457"/>
      <c r="E315" s="457"/>
      <c r="F315" s="457"/>
      <c r="G315" s="457"/>
      <c r="H315" s="457"/>
      <c r="I315" s="457"/>
      <c r="J315" s="457"/>
      <c r="K315" s="457"/>
      <c r="L315" s="457"/>
      <c r="M315" s="457"/>
      <c r="N315" s="404"/>
    </row>
    <row r="316" spans="2:14" ht="30" x14ac:dyDescent="0.25">
      <c r="B316" s="392" t="s">
        <v>0</v>
      </c>
      <c r="C316" s="393" t="s">
        <v>24673</v>
      </c>
      <c r="D316" s="1465" t="s">
        <v>24694</v>
      </c>
      <c r="E316" s="1465"/>
      <c r="F316" s="1465"/>
      <c r="G316" s="1465"/>
      <c r="H316" s="1465"/>
      <c r="I316" s="1466"/>
      <c r="J316" s="441" t="s">
        <v>3686</v>
      </c>
      <c r="K316" s="441" t="s">
        <v>24695</v>
      </c>
      <c r="L316" s="441"/>
      <c r="M316" s="441" t="s">
        <v>24683</v>
      </c>
      <c r="N316" s="395" t="s">
        <v>24689</v>
      </c>
    </row>
    <row r="317" spans="2:14" ht="15" x14ac:dyDescent="0.25">
      <c r="B317" s="446"/>
      <c r="C317" s="458"/>
      <c r="D317" s="1463"/>
      <c r="E317" s="1463"/>
      <c r="F317" s="1463"/>
      <c r="G317" s="1463"/>
      <c r="H317" s="1463"/>
      <c r="I317" s="1464"/>
      <c r="J317" s="442"/>
      <c r="K317" s="442"/>
      <c r="L317" s="442"/>
      <c r="M317" s="447"/>
      <c r="N317" s="443"/>
    </row>
    <row r="318" spans="2:14" ht="15.75" thickBot="1" x14ac:dyDescent="0.3">
      <c r="B318" s="400"/>
      <c r="C318" s="401"/>
      <c r="D318" s="401"/>
      <c r="E318" s="401"/>
      <c r="F318" s="444"/>
      <c r="G318" s="444"/>
      <c r="H318" s="444"/>
      <c r="I318" s="444"/>
      <c r="J318" s="444"/>
      <c r="K318" s="444"/>
      <c r="L318" s="444"/>
      <c r="M318" s="455" t="s">
        <v>24696</v>
      </c>
      <c r="N318" s="403">
        <f>SUM(N317:N317)</f>
        <v>0</v>
      </c>
    </row>
    <row r="319" spans="2:14" ht="15.75" thickBot="1" x14ac:dyDescent="0.3">
      <c r="B319" s="456"/>
      <c r="C319" s="457"/>
      <c r="D319" s="457"/>
      <c r="E319" s="457"/>
      <c r="F319" s="457"/>
      <c r="G319" s="457"/>
      <c r="H319" s="457"/>
      <c r="I319" s="457"/>
      <c r="J319" s="457"/>
      <c r="K319" s="457"/>
      <c r="L319" s="457"/>
      <c r="M319" s="457"/>
      <c r="N319" s="404"/>
    </row>
    <row r="320" spans="2:14" ht="30" x14ac:dyDescent="0.25">
      <c r="B320" s="392" t="s">
        <v>0</v>
      </c>
      <c r="C320" s="441" t="s">
        <v>24673</v>
      </c>
      <c r="D320" s="1465" t="s">
        <v>24697</v>
      </c>
      <c r="E320" s="1465"/>
      <c r="F320" s="1465"/>
      <c r="G320" s="1465"/>
      <c r="H320" s="1465"/>
      <c r="I320" s="1466"/>
      <c r="J320" s="441" t="s">
        <v>3686</v>
      </c>
      <c r="K320" s="441" t="s">
        <v>24695</v>
      </c>
      <c r="L320" s="441"/>
      <c r="M320" s="441" t="s">
        <v>24683</v>
      </c>
      <c r="N320" s="395" t="s">
        <v>24689</v>
      </c>
    </row>
    <row r="321" spans="2:14" ht="15" x14ac:dyDescent="0.25">
      <c r="B321" s="416"/>
      <c r="C321" s="417"/>
      <c r="D321" s="1463"/>
      <c r="E321" s="1463"/>
      <c r="F321" s="1463"/>
      <c r="G321" s="1463"/>
      <c r="H321" s="1463"/>
      <c r="I321" s="1464"/>
      <c r="J321" s="451"/>
      <c r="K321" s="451"/>
      <c r="L321" s="451"/>
      <c r="M321" s="419"/>
      <c r="N321" s="420"/>
    </row>
    <row r="322" spans="2:14" ht="15.75" thickBot="1" x14ac:dyDescent="0.3">
      <c r="B322" s="400"/>
      <c r="C322" s="401"/>
      <c r="D322" s="401"/>
      <c r="E322" s="401"/>
      <c r="F322" s="444"/>
      <c r="G322" s="444"/>
      <c r="H322" s="444"/>
      <c r="I322" s="444"/>
      <c r="J322" s="444"/>
      <c r="K322" s="444"/>
      <c r="L322" s="444"/>
      <c r="M322" s="455" t="s">
        <v>24698</v>
      </c>
      <c r="N322" s="403">
        <f>SUM(N321:N321)</f>
        <v>0</v>
      </c>
    </row>
    <row r="323" spans="2:14" ht="15.75" thickBot="1" x14ac:dyDescent="0.3">
      <c r="B323" s="456"/>
      <c r="C323" s="457"/>
      <c r="D323" s="457"/>
      <c r="E323" s="457"/>
      <c r="F323" s="457"/>
      <c r="G323" s="457"/>
      <c r="H323" s="457"/>
      <c r="I323" s="457"/>
      <c r="J323" s="457"/>
      <c r="K323" s="457"/>
      <c r="L323" s="457"/>
      <c r="M323" s="457"/>
      <c r="N323" s="404"/>
    </row>
    <row r="324" spans="2:14" ht="30" x14ac:dyDescent="0.25">
      <c r="B324" s="392" t="s">
        <v>0</v>
      </c>
      <c r="C324" s="441" t="s">
        <v>24673</v>
      </c>
      <c r="D324" s="1465" t="s">
        <v>24699</v>
      </c>
      <c r="E324" s="1465"/>
      <c r="F324" s="1465"/>
      <c r="G324" s="1466"/>
      <c r="H324" s="441" t="s">
        <v>3686</v>
      </c>
      <c r="I324" s="441" t="s">
        <v>24700</v>
      </c>
      <c r="J324" s="441" t="s">
        <v>24701</v>
      </c>
      <c r="K324" s="441" t="s">
        <v>24695</v>
      </c>
      <c r="L324" s="441"/>
      <c r="M324" s="441" t="s">
        <v>24683</v>
      </c>
      <c r="N324" s="395" t="s">
        <v>24689</v>
      </c>
    </row>
    <row r="325" spans="2:14" ht="15" x14ac:dyDescent="0.25">
      <c r="B325" s="446"/>
      <c r="C325" s="458"/>
      <c r="D325" s="1494"/>
      <c r="E325" s="1494"/>
      <c r="F325" s="1494"/>
      <c r="G325" s="1494"/>
      <c r="H325" s="442"/>
      <c r="I325" s="442"/>
      <c r="J325" s="442"/>
      <c r="K325" s="442"/>
      <c r="L325" s="442"/>
      <c r="M325" s="447"/>
      <c r="N325" s="443"/>
    </row>
    <row r="326" spans="2:14" ht="15" x14ac:dyDescent="0.25">
      <c r="B326" s="456"/>
      <c r="C326" s="457"/>
      <c r="D326" s="457"/>
      <c r="E326" s="457"/>
      <c r="F326" s="448"/>
      <c r="G326" s="448"/>
      <c r="H326" s="448"/>
      <c r="I326" s="448"/>
      <c r="J326" s="448"/>
      <c r="K326" s="448"/>
      <c r="L326" s="448"/>
      <c r="M326" s="409" t="s">
        <v>24702</v>
      </c>
      <c r="N326" s="410">
        <f>SUM(N325:N325)</f>
        <v>0</v>
      </c>
    </row>
    <row r="327" spans="2:14" ht="15" x14ac:dyDescent="0.25">
      <c r="B327" s="456"/>
      <c r="C327" s="457"/>
      <c r="D327" s="457"/>
      <c r="E327" s="457"/>
      <c r="F327" s="457"/>
      <c r="G327" s="457"/>
      <c r="H327" s="457"/>
      <c r="I327" s="457"/>
      <c r="J327" s="457"/>
      <c r="K327" s="457"/>
      <c r="L327" s="457"/>
      <c r="M327" s="457"/>
      <c r="N327" s="404"/>
    </row>
    <row r="328" spans="2:14" ht="15" x14ac:dyDescent="0.25">
      <c r="B328" s="421"/>
      <c r="C328" s="422"/>
      <c r="D328" s="422"/>
      <c r="E328" s="422"/>
      <c r="F328" s="452"/>
      <c r="G328" s="452"/>
      <c r="H328" s="452"/>
      <c r="I328" s="452"/>
      <c r="J328" s="452"/>
      <c r="K328" s="452"/>
      <c r="L328" s="452"/>
      <c r="M328" s="424" t="s">
        <v>24703</v>
      </c>
      <c r="N328" s="412">
        <f>N314+N318+N322+N326</f>
        <v>23.5</v>
      </c>
    </row>
    <row r="329" spans="2:14" ht="15" x14ac:dyDescent="0.25">
      <c r="B329" s="456"/>
      <c r="C329" s="457"/>
      <c r="D329" s="457"/>
      <c r="E329" s="457"/>
      <c r="F329" s="448"/>
      <c r="G329" s="448"/>
      <c r="H329" s="448"/>
      <c r="I329" s="448"/>
      <c r="J329" s="448"/>
      <c r="K329" s="448"/>
      <c r="L329" s="448"/>
      <c r="M329" s="752">
        <f>'Planilha - Orla'!I3</f>
        <v>0.28220000000000001</v>
      </c>
      <c r="N329" s="412">
        <f>N328*M329</f>
        <v>6.63</v>
      </c>
    </row>
    <row r="330" spans="2:14" ht="15.75" thickBot="1" x14ac:dyDescent="0.3">
      <c r="B330" s="1472" t="s">
        <v>24704</v>
      </c>
      <c r="C330" s="1473"/>
      <c r="D330" s="1473"/>
      <c r="E330" s="1473"/>
      <c r="F330" s="1473"/>
      <c r="G330" s="1473"/>
      <c r="H330" s="1473"/>
      <c r="I330" s="1473"/>
      <c r="J330" s="1473"/>
      <c r="K330" s="1473"/>
      <c r="L330" s="1473"/>
      <c r="M330" s="1474"/>
      <c r="N330" s="415">
        <f>N328+N329</f>
        <v>30.13</v>
      </c>
    </row>
    <row r="332" spans="2:14" ht="15" thickBot="1" x14ac:dyDescent="0.3"/>
    <row r="333" spans="2:14" ht="42" customHeight="1" x14ac:dyDescent="0.25">
      <c r="B333" s="1479" t="s">
        <v>24754</v>
      </c>
      <c r="C333" s="1480"/>
      <c r="D333" s="1481"/>
      <c r="E333" s="1482" t="s">
        <v>24669</v>
      </c>
      <c r="F333" s="1482"/>
      <c r="G333" s="1482"/>
      <c r="H333" s="1482"/>
      <c r="I333" s="1482"/>
      <c r="J333" s="1482"/>
      <c r="K333" s="1482"/>
      <c r="L333" s="453"/>
      <c r="M333" s="1483"/>
      <c r="N333" s="1484"/>
    </row>
    <row r="334" spans="2:14" ht="15" x14ac:dyDescent="0.25">
      <c r="B334" s="391" t="s">
        <v>24670</v>
      </c>
      <c r="C334" s="1485" t="s">
        <v>24767</v>
      </c>
      <c r="D334" s="1485"/>
      <c r="E334" s="1485"/>
      <c r="F334" s="1485"/>
      <c r="G334" s="1485"/>
      <c r="H334" s="1485"/>
      <c r="I334" s="1485"/>
      <c r="J334" s="1485"/>
      <c r="K334" s="1485"/>
      <c r="L334" s="1485"/>
      <c r="M334" s="1485"/>
      <c r="N334" s="1486"/>
    </row>
    <row r="335" spans="2:14" ht="15" x14ac:dyDescent="0.25">
      <c r="B335" s="391" t="s">
        <v>24671</v>
      </c>
      <c r="C335" s="1487" t="s">
        <v>5</v>
      </c>
      <c r="D335" s="1487"/>
      <c r="E335" s="1487"/>
      <c r="F335" s="1487"/>
      <c r="G335" s="1487"/>
      <c r="H335" s="1487"/>
      <c r="I335" s="1487"/>
      <c r="J335" s="1487"/>
      <c r="K335" s="1487"/>
      <c r="L335" s="1487"/>
      <c r="M335" s="1487"/>
      <c r="N335" s="1488"/>
    </row>
    <row r="336" spans="2:14" ht="15.75" thickBot="1" x14ac:dyDescent="0.3">
      <c r="B336" s="391" t="s">
        <v>24672</v>
      </c>
      <c r="C336" s="1489">
        <v>44501</v>
      </c>
      <c r="D336" s="1490"/>
      <c r="E336" s="1490"/>
      <c r="F336" s="1490"/>
      <c r="G336" s="1490"/>
      <c r="H336" s="1490"/>
      <c r="I336" s="1490"/>
      <c r="J336" s="1490"/>
      <c r="K336" s="1490"/>
      <c r="L336" s="1490"/>
      <c r="M336" s="1490"/>
      <c r="N336" s="1491"/>
    </row>
    <row r="337" spans="2:14" ht="30" x14ac:dyDescent="0.25">
      <c r="B337" s="392" t="s">
        <v>0</v>
      </c>
      <c r="C337" s="393" t="s">
        <v>24673</v>
      </c>
      <c r="D337" s="1465" t="s">
        <v>24674</v>
      </c>
      <c r="E337" s="1465"/>
      <c r="F337" s="1465"/>
      <c r="G337" s="1466"/>
      <c r="H337" s="441" t="s">
        <v>111</v>
      </c>
      <c r="I337" s="441" t="s">
        <v>24675</v>
      </c>
      <c r="J337" s="441" t="s">
        <v>24676</v>
      </c>
      <c r="K337" s="1467" t="s">
        <v>24677</v>
      </c>
      <c r="L337" s="1468"/>
      <c r="M337" s="441" t="s">
        <v>24678</v>
      </c>
      <c r="N337" s="395" t="s">
        <v>24679</v>
      </c>
    </row>
    <row r="338" spans="2:14" ht="45" customHeight="1" x14ac:dyDescent="0.25">
      <c r="B338" s="446">
        <v>95270</v>
      </c>
      <c r="C338" s="458" t="s">
        <v>24706</v>
      </c>
      <c r="D338" s="1463" t="s">
        <v>24732</v>
      </c>
      <c r="E338" s="1463"/>
      <c r="F338" s="1463"/>
      <c r="G338" s="1464"/>
      <c r="H338" s="447"/>
      <c r="I338" s="447">
        <v>1.4500000000000001E-2</v>
      </c>
      <c r="J338" s="442"/>
      <c r="K338" s="1492">
        <v>10.59</v>
      </c>
      <c r="L338" s="1493"/>
      <c r="M338" s="427"/>
      <c r="N338" s="443">
        <f>I338*K338</f>
        <v>0.15</v>
      </c>
    </row>
    <row r="339" spans="2:14" ht="46.5" customHeight="1" x14ac:dyDescent="0.25">
      <c r="B339" s="446">
        <v>95271</v>
      </c>
      <c r="C339" s="458" t="s">
        <v>24706</v>
      </c>
      <c r="D339" s="1463" t="s">
        <v>24733</v>
      </c>
      <c r="E339" s="1463"/>
      <c r="F339" s="1463"/>
      <c r="G339" s="1464"/>
      <c r="H339" s="447"/>
      <c r="I339" s="442"/>
      <c r="J339" s="447">
        <v>2.18E-2</v>
      </c>
      <c r="K339" s="1492"/>
      <c r="L339" s="1493"/>
      <c r="M339" s="427">
        <v>0.47</v>
      </c>
      <c r="N339" s="443">
        <f>J339*M339</f>
        <v>0.01</v>
      </c>
    </row>
    <row r="340" spans="2:14" ht="15" x14ac:dyDescent="0.25">
      <c r="B340" s="446"/>
      <c r="C340" s="397"/>
      <c r="D340" s="1494"/>
      <c r="E340" s="1494"/>
      <c r="F340" s="1494"/>
      <c r="G340" s="1495"/>
      <c r="H340" s="442"/>
      <c r="I340" s="442"/>
      <c r="J340" s="442"/>
      <c r="K340" s="442"/>
      <c r="L340" s="442"/>
      <c r="M340" s="442"/>
      <c r="N340" s="443"/>
    </row>
    <row r="341" spans="2:14" ht="15.75" thickBot="1" x14ac:dyDescent="0.3">
      <c r="B341" s="400"/>
      <c r="C341" s="401"/>
      <c r="D341" s="401"/>
      <c r="E341" s="401"/>
      <c r="F341" s="444"/>
      <c r="G341" s="444"/>
      <c r="H341" s="444"/>
      <c r="I341" s="444"/>
      <c r="J341" s="444"/>
      <c r="K341" s="444"/>
      <c r="L341" s="444"/>
      <c r="M341" s="455" t="s">
        <v>24680</v>
      </c>
      <c r="N341" s="403">
        <f>SUM(N338:N340)</f>
        <v>0.16</v>
      </c>
    </row>
    <row r="342" spans="2:14" ht="15.75" thickBot="1" x14ac:dyDescent="0.3">
      <c r="B342" s="456"/>
      <c r="C342" s="457"/>
      <c r="D342" s="457"/>
      <c r="E342" s="457"/>
      <c r="F342" s="457"/>
      <c r="G342" s="457"/>
      <c r="H342" s="457"/>
      <c r="I342" s="457"/>
      <c r="J342" s="457"/>
      <c r="K342" s="457"/>
      <c r="L342" s="457"/>
      <c r="M342" s="457"/>
      <c r="N342" s="404"/>
    </row>
    <row r="343" spans="2:14" ht="45" x14ac:dyDescent="0.25">
      <c r="B343" s="392" t="s">
        <v>0</v>
      </c>
      <c r="C343" s="393" t="s">
        <v>24673</v>
      </c>
      <c r="D343" s="1465" t="s">
        <v>24681</v>
      </c>
      <c r="E343" s="1465"/>
      <c r="F343" s="1465"/>
      <c r="G343" s="1465"/>
      <c r="H343" s="1466"/>
      <c r="I343" s="441" t="s">
        <v>3686</v>
      </c>
      <c r="J343" s="441" t="s">
        <v>24682</v>
      </c>
      <c r="K343" s="441" t="s">
        <v>24861</v>
      </c>
      <c r="L343" s="441" t="s">
        <v>24862</v>
      </c>
      <c r="M343" s="441" t="s">
        <v>24683</v>
      </c>
      <c r="N343" s="395" t="s">
        <v>24679</v>
      </c>
    </row>
    <row r="344" spans="2:14" ht="15" x14ac:dyDescent="0.25">
      <c r="B344" s="446">
        <v>10139</v>
      </c>
      <c r="C344" s="458" t="s">
        <v>4389</v>
      </c>
      <c r="D344" s="1463" t="s">
        <v>24729</v>
      </c>
      <c r="E344" s="1463"/>
      <c r="F344" s="1463"/>
      <c r="G344" s="1463"/>
      <c r="H344" s="1464"/>
      <c r="I344" s="442" t="s">
        <v>75</v>
      </c>
      <c r="J344" s="406">
        <v>1.5727</v>
      </c>
      <c r="K344" s="427">
        <v>7.43</v>
      </c>
      <c r="L344" s="427">
        <f>K344*(1+J344)</f>
        <v>19.12</v>
      </c>
      <c r="M344" s="447">
        <v>0.1192</v>
      </c>
      <c r="N344" s="443">
        <f>L344*M344</f>
        <v>2.2799999999999998</v>
      </c>
    </row>
    <row r="345" spans="2:14" ht="15" x14ac:dyDescent="0.25">
      <c r="B345" s="446">
        <v>10146</v>
      </c>
      <c r="C345" s="458" t="s">
        <v>4389</v>
      </c>
      <c r="D345" s="1463" t="s">
        <v>24741</v>
      </c>
      <c r="E345" s="1463"/>
      <c r="F345" s="1463"/>
      <c r="G345" s="1463"/>
      <c r="H345" s="1464"/>
      <c r="I345" s="442" t="s">
        <v>75</v>
      </c>
      <c r="J345" s="406">
        <v>1.5727</v>
      </c>
      <c r="K345" s="427">
        <v>5.46</v>
      </c>
      <c r="L345" s="427">
        <f t="shared" ref="L345:L346" si="4">K345*(1+J345)</f>
        <v>14.05</v>
      </c>
      <c r="M345" s="447">
        <v>0.2034</v>
      </c>
      <c r="N345" s="443">
        <f t="shared" ref="N345:N346" si="5">L345*M345</f>
        <v>2.86</v>
      </c>
    </row>
    <row r="346" spans="2:14" ht="15" x14ac:dyDescent="0.25">
      <c r="B346" s="446">
        <v>10111</v>
      </c>
      <c r="C346" s="458" t="s">
        <v>4389</v>
      </c>
      <c r="D346" s="1463" t="s">
        <v>24742</v>
      </c>
      <c r="E346" s="1463"/>
      <c r="F346" s="1463"/>
      <c r="G346" s="1463"/>
      <c r="H346" s="1464"/>
      <c r="I346" s="442" t="s">
        <v>75</v>
      </c>
      <c r="J346" s="406">
        <v>1.5727</v>
      </c>
      <c r="K346" s="427">
        <v>7.43</v>
      </c>
      <c r="L346" s="427">
        <f t="shared" si="4"/>
        <v>19.12</v>
      </c>
      <c r="M346" s="447">
        <v>5.74E-2</v>
      </c>
      <c r="N346" s="443">
        <f t="shared" si="5"/>
        <v>1.1000000000000001</v>
      </c>
    </row>
    <row r="347" spans="2:14" ht="15.75" thickBot="1" x14ac:dyDescent="0.3">
      <c r="B347" s="400"/>
      <c r="C347" s="401"/>
      <c r="D347" s="401"/>
      <c r="E347" s="401"/>
      <c r="F347" s="444"/>
      <c r="G347" s="444"/>
      <c r="H347" s="444"/>
      <c r="I347" s="444"/>
      <c r="J347" s="444"/>
      <c r="K347" s="444"/>
      <c r="L347" s="444"/>
      <c r="M347" s="455" t="s">
        <v>24684</v>
      </c>
      <c r="N347" s="403">
        <f>SUM(N344:N346)</f>
        <v>6.24</v>
      </c>
    </row>
    <row r="348" spans="2:14" ht="15.75" thickBot="1" x14ac:dyDescent="0.3">
      <c r="B348" s="456"/>
      <c r="C348" s="457"/>
      <c r="D348" s="457"/>
      <c r="E348" s="457"/>
      <c r="F348" s="457"/>
      <c r="G348" s="457"/>
      <c r="H348" s="457"/>
      <c r="I348" s="448"/>
      <c r="J348" s="448"/>
      <c r="K348" s="457"/>
      <c r="L348" s="457"/>
      <c r="M348" s="457"/>
      <c r="N348" s="404"/>
    </row>
    <row r="349" spans="2:14" ht="30" x14ac:dyDescent="0.25">
      <c r="B349" s="392" t="s">
        <v>0</v>
      </c>
      <c r="C349" s="393" t="s">
        <v>24673</v>
      </c>
      <c r="D349" s="1465" t="s">
        <v>24685</v>
      </c>
      <c r="E349" s="1465"/>
      <c r="F349" s="1465"/>
      <c r="G349" s="1465"/>
      <c r="H349" s="1466"/>
      <c r="I349" s="441" t="s">
        <v>2858</v>
      </c>
      <c r="J349" s="441" t="s">
        <v>24686</v>
      </c>
      <c r="K349" s="441" t="s">
        <v>24687</v>
      </c>
      <c r="L349" s="441"/>
      <c r="M349" s="441" t="s">
        <v>24688</v>
      </c>
      <c r="N349" s="395" t="s">
        <v>24689</v>
      </c>
    </row>
    <row r="350" spans="2:14" ht="15" x14ac:dyDescent="0.25">
      <c r="B350" s="446"/>
      <c r="C350" s="458"/>
      <c r="D350" s="1463"/>
      <c r="E350" s="1463"/>
      <c r="F350" s="1463"/>
      <c r="G350" s="1463"/>
      <c r="H350" s="1464"/>
      <c r="I350" s="442"/>
      <c r="J350" s="442"/>
      <c r="K350" s="442"/>
      <c r="L350" s="442"/>
      <c r="M350" s="442"/>
      <c r="N350" s="443"/>
    </row>
    <row r="351" spans="2:14" ht="15" x14ac:dyDescent="0.25">
      <c r="B351" s="456"/>
      <c r="C351" s="457"/>
      <c r="D351" s="457"/>
      <c r="E351" s="457"/>
      <c r="F351" s="448"/>
      <c r="G351" s="448"/>
      <c r="H351" s="448"/>
      <c r="I351" s="448"/>
      <c r="J351" s="448"/>
      <c r="K351" s="448"/>
      <c r="L351" s="448"/>
      <c r="M351" s="409" t="s">
        <v>24690</v>
      </c>
      <c r="N351" s="410">
        <f>SUM(N350:N350)</f>
        <v>0</v>
      </c>
    </row>
    <row r="352" spans="2:14" ht="15" x14ac:dyDescent="0.25">
      <c r="B352" s="456"/>
      <c r="C352" s="457"/>
      <c r="D352" s="457"/>
      <c r="E352" s="457"/>
      <c r="F352" s="457"/>
      <c r="G352" s="457"/>
      <c r="H352" s="457"/>
      <c r="I352" s="457"/>
      <c r="J352" s="457"/>
      <c r="K352" s="457"/>
      <c r="L352" s="457"/>
      <c r="M352" s="457"/>
      <c r="N352" s="404"/>
    </row>
    <row r="353" spans="2:14" ht="15" x14ac:dyDescent="0.25">
      <c r="B353" s="456"/>
      <c r="C353" s="457"/>
      <c r="D353" s="457"/>
      <c r="E353" s="457"/>
      <c r="F353" s="448"/>
      <c r="G353" s="448"/>
      <c r="H353" s="448"/>
      <c r="I353" s="449"/>
      <c r="J353" s="449"/>
      <c r="K353" s="449"/>
      <c r="L353" s="449"/>
      <c r="M353" s="409" t="s">
        <v>24691</v>
      </c>
      <c r="N353" s="412">
        <f>N341+N347+N351</f>
        <v>6.4</v>
      </c>
    </row>
    <row r="354" spans="2:14" ht="15" x14ac:dyDescent="0.25">
      <c r="B354" s="456"/>
      <c r="C354" s="457"/>
      <c r="D354" s="457"/>
      <c r="E354" s="457"/>
      <c r="F354" s="448"/>
      <c r="G354" s="448"/>
      <c r="H354" s="448"/>
      <c r="I354" s="448"/>
      <c r="J354" s="450"/>
      <c r="K354" s="450"/>
      <c r="L354" s="450"/>
      <c r="M354" s="414" t="s">
        <v>24692</v>
      </c>
      <c r="N354" s="412">
        <v>1</v>
      </c>
    </row>
    <row r="355" spans="2:14" ht="15.75" thickBot="1" x14ac:dyDescent="0.3">
      <c r="B355" s="400"/>
      <c r="C355" s="401"/>
      <c r="D355" s="401"/>
      <c r="E355" s="401"/>
      <c r="F355" s="444"/>
      <c r="G355" s="444"/>
      <c r="H355" s="444"/>
      <c r="I355" s="444"/>
      <c r="J355" s="444"/>
      <c r="K355" s="444"/>
      <c r="L355" s="444"/>
      <c r="M355" s="455" t="s">
        <v>24693</v>
      </c>
      <c r="N355" s="415">
        <f>TRUNC(N353/N354,2)</f>
        <v>6.4</v>
      </c>
    </row>
    <row r="356" spans="2:14" ht="15.75" thickBot="1" x14ac:dyDescent="0.3">
      <c r="B356" s="456"/>
      <c r="C356" s="457"/>
      <c r="D356" s="457"/>
      <c r="E356" s="457"/>
      <c r="F356" s="457"/>
      <c r="G356" s="457"/>
      <c r="H356" s="457"/>
      <c r="I356" s="457"/>
      <c r="J356" s="457"/>
      <c r="K356" s="457"/>
      <c r="L356" s="457"/>
      <c r="M356" s="457"/>
      <c r="N356" s="404"/>
    </row>
    <row r="357" spans="2:14" ht="30" x14ac:dyDescent="0.25">
      <c r="B357" s="392" t="s">
        <v>0</v>
      </c>
      <c r="C357" s="393" t="s">
        <v>24673</v>
      </c>
      <c r="D357" s="1465" t="s">
        <v>24694</v>
      </c>
      <c r="E357" s="1465"/>
      <c r="F357" s="1465"/>
      <c r="G357" s="1465"/>
      <c r="H357" s="1465"/>
      <c r="I357" s="1466"/>
      <c r="J357" s="441" t="s">
        <v>3686</v>
      </c>
      <c r="K357" s="441" t="s">
        <v>24695</v>
      </c>
      <c r="L357" s="441"/>
      <c r="M357" s="441" t="s">
        <v>24683</v>
      </c>
      <c r="N357" s="395" t="s">
        <v>24689</v>
      </c>
    </row>
    <row r="358" spans="2:14" ht="31.5" customHeight="1" x14ac:dyDescent="0.25">
      <c r="B358" s="446">
        <v>97118</v>
      </c>
      <c r="C358" s="458" t="s">
        <v>24706</v>
      </c>
      <c r="D358" s="1463" t="s">
        <v>24734</v>
      </c>
      <c r="E358" s="1463"/>
      <c r="F358" s="1463"/>
      <c r="G358" s="1463"/>
      <c r="H358" s="1463"/>
      <c r="I358" s="1464"/>
      <c r="J358" s="442" t="s">
        <v>20</v>
      </c>
      <c r="K358" s="427">
        <v>20.13</v>
      </c>
      <c r="L358" s="427"/>
      <c r="M358" s="447">
        <v>0.58389999999999997</v>
      </c>
      <c r="N358" s="443">
        <f>K358*M358</f>
        <v>11.75</v>
      </c>
    </row>
    <row r="359" spans="2:14" ht="30.75" customHeight="1" x14ac:dyDescent="0.25">
      <c r="B359" s="446">
        <v>97120</v>
      </c>
      <c r="C359" s="458" t="s">
        <v>24706</v>
      </c>
      <c r="D359" s="1463" t="s">
        <v>24735</v>
      </c>
      <c r="E359" s="1463"/>
      <c r="F359" s="1463"/>
      <c r="G359" s="1463"/>
      <c r="H359" s="1463"/>
      <c r="I359" s="1464"/>
      <c r="J359" s="442" t="s">
        <v>20</v>
      </c>
      <c r="K359" s="427">
        <v>14.14</v>
      </c>
      <c r="L359" s="427"/>
      <c r="M359" s="447">
        <v>0.33979999999999999</v>
      </c>
      <c r="N359" s="443">
        <f t="shared" ref="N359:N366" si="6">K359*M359</f>
        <v>4.8</v>
      </c>
    </row>
    <row r="360" spans="2:14" ht="15" x14ac:dyDescent="0.25">
      <c r="B360" s="446">
        <v>2692</v>
      </c>
      <c r="C360" s="458" t="s">
        <v>24706</v>
      </c>
      <c r="D360" s="1463" t="s">
        <v>24736</v>
      </c>
      <c r="E360" s="1463"/>
      <c r="F360" s="1463"/>
      <c r="G360" s="1463"/>
      <c r="H360" s="1463"/>
      <c r="I360" s="1464"/>
      <c r="J360" s="442" t="s">
        <v>4438</v>
      </c>
      <c r="K360" s="427">
        <v>5.99</v>
      </c>
      <c r="L360" s="427"/>
      <c r="M360" s="447">
        <v>2E-3</v>
      </c>
      <c r="N360" s="443">
        <f t="shared" si="6"/>
        <v>0.01</v>
      </c>
    </row>
    <row r="361" spans="2:14" ht="15" x14ac:dyDescent="0.25">
      <c r="B361" s="446">
        <v>4517</v>
      </c>
      <c r="C361" s="458" t="s">
        <v>24706</v>
      </c>
      <c r="D361" s="1463" t="s">
        <v>24737</v>
      </c>
      <c r="E361" s="1463"/>
      <c r="F361" s="1463"/>
      <c r="G361" s="1463"/>
      <c r="H361" s="1463"/>
      <c r="I361" s="1464"/>
      <c r="J361" s="442" t="s">
        <v>7</v>
      </c>
      <c r="K361" s="427">
        <v>2.67</v>
      </c>
      <c r="L361" s="427"/>
      <c r="M361" s="447">
        <v>0.16669999999999999</v>
      </c>
      <c r="N361" s="443">
        <f t="shared" si="6"/>
        <v>0.45</v>
      </c>
    </row>
    <row r="362" spans="2:14" ht="15" x14ac:dyDescent="0.25">
      <c r="B362" s="446">
        <v>5069</v>
      </c>
      <c r="C362" s="458" t="s">
        <v>24706</v>
      </c>
      <c r="D362" s="1463" t="s">
        <v>24738</v>
      </c>
      <c r="E362" s="1463"/>
      <c r="F362" s="1463"/>
      <c r="G362" s="1463"/>
      <c r="H362" s="1463"/>
      <c r="I362" s="1464"/>
      <c r="J362" s="442" t="s">
        <v>20</v>
      </c>
      <c r="K362" s="427">
        <v>28.14</v>
      </c>
      <c r="L362" s="427"/>
      <c r="M362" s="447">
        <v>6.7000000000000002E-3</v>
      </c>
      <c r="N362" s="443">
        <f t="shared" si="6"/>
        <v>0.19</v>
      </c>
    </row>
    <row r="363" spans="2:14" ht="33" customHeight="1" x14ac:dyDescent="0.25">
      <c r="B363" s="446">
        <v>6189</v>
      </c>
      <c r="C363" s="458" t="s">
        <v>24706</v>
      </c>
      <c r="D363" s="1463" t="s">
        <v>24739</v>
      </c>
      <c r="E363" s="1463"/>
      <c r="F363" s="1463"/>
      <c r="G363" s="1463"/>
      <c r="H363" s="1463"/>
      <c r="I363" s="1464"/>
      <c r="J363" s="442" t="s">
        <v>7</v>
      </c>
      <c r="K363" s="427">
        <v>28.05</v>
      </c>
      <c r="L363" s="427"/>
      <c r="M363" s="447">
        <v>2.92E-2</v>
      </c>
      <c r="N363" s="443">
        <f t="shared" si="6"/>
        <v>0.82</v>
      </c>
    </row>
    <row r="364" spans="2:14" ht="31.5" customHeight="1" x14ac:dyDescent="0.25">
      <c r="B364" s="446">
        <v>34494</v>
      </c>
      <c r="C364" s="458" t="s">
        <v>24706</v>
      </c>
      <c r="D364" s="1463" t="s">
        <v>25801</v>
      </c>
      <c r="E364" s="1463"/>
      <c r="F364" s="1463"/>
      <c r="G364" s="1463"/>
      <c r="H364" s="1463"/>
      <c r="I364" s="1464"/>
      <c r="J364" s="442" t="s">
        <v>76</v>
      </c>
      <c r="K364" s="427">
        <v>319.8</v>
      </c>
      <c r="L364" s="427"/>
      <c r="M364" s="447">
        <v>0.11</v>
      </c>
      <c r="N364" s="443">
        <f t="shared" si="6"/>
        <v>35.18</v>
      </c>
    </row>
    <row r="365" spans="2:14" ht="15" x14ac:dyDescent="0.25">
      <c r="B365" s="446">
        <v>42409</v>
      </c>
      <c r="C365" s="458" t="s">
        <v>24706</v>
      </c>
      <c r="D365" s="1463" t="s">
        <v>24740</v>
      </c>
      <c r="E365" s="1463"/>
      <c r="F365" s="1463"/>
      <c r="G365" s="1463"/>
      <c r="H365" s="1463"/>
      <c r="I365" s="1464"/>
      <c r="J365" s="442" t="s">
        <v>20</v>
      </c>
      <c r="K365" s="427">
        <v>10.17</v>
      </c>
      <c r="L365" s="427"/>
      <c r="M365" s="447">
        <v>0.4</v>
      </c>
      <c r="N365" s="443">
        <f t="shared" si="6"/>
        <v>4.07</v>
      </c>
    </row>
    <row r="366" spans="2:14" ht="15" x14ac:dyDescent="0.25">
      <c r="B366" s="446">
        <v>34544</v>
      </c>
      <c r="C366" s="458" t="s">
        <v>4379</v>
      </c>
      <c r="D366" s="1463" t="s">
        <v>24770</v>
      </c>
      <c r="E366" s="1463"/>
      <c r="F366" s="1463"/>
      <c r="G366" s="1463"/>
      <c r="H366" s="1463"/>
      <c r="I366" s="1464"/>
      <c r="J366" s="442" t="s">
        <v>20</v>
      </c>
      <c r="K366" s="427">
        <v>37.450000000000003</v>
      </c>
      <c r="L366" s="427"/>
      <c r="M366" s="447">
        <v>0.12</v>
      </c>
      <c r="N366" s="443">
        <f t="shared" si="6"/>
        <v>4.49</v>
      </c>
    </row>
    <row r="367" spans="2:14" ht="15" x14ac:dyDescent="0.25">
      <c r="B367" s="446"/>
      <c r="C367" s="458"/>
      <c r="D367" s="1463"/>
      <c r="E367" s="1463"/>
      <c r="F367" s="1463"/>
      <c r="G367" s="1463"/>
      <c r="H367" s="1463"/>
      <c r="I367" s="1464"/>
      <c r="J367" s="442"/>
      <c r="K367" s="442"/>
      <c r="L367" s="442"/>
      <c r="M367" s="447"/>
      <c r="N367" s="443"/>
    </row>
    <row r="368" spans="2:14" ht="15.75" thickBot="1" x14ac:dyDescent="0.3">
      <c r="B368" s="400"/>
      <c r="C368" s="401"/>
      <c r="D368" s="401"/>
      <c r="E368" s="401"/>
      <c r="F368" s="444"/>
      <c r="G368" s="444"/>
      <c r="H368" s="444"/>
      <c r="I368" s="444"/>
      <c r="J368" s="444"/>
      <c r="K368" s="444"/>
      <c r="L368" s="444"/>
      <c r="M368" s="455" t="s">
        <v>24696</v>
      </c>
      <c r="N368" s="403">
        <f>SUM(N358:N366)</f>
        <v>61.76</v>
      </c>
    </row>
    <row r="369" spans="2:14" ht="15.75" thickBot="1" x14ac:dyDescent="0.3">
      <c r="B369" s="456"/>
      <c r="C369" s="457"/>
      <c r="D369" s="457"/>
      <c r="E369" s="457"/>
      <c r="F369" s="457"/>
      <c r="G369" s="457"/>
      <c r="H369" s="457"/>
      <c r="I369" s="457"/>
      <c r="J369" s="457"/>
      <c r="K369" s="457"/>
      <c r="L369" s="457"/>
      <c r="M369" s="457"/>
      <c r="N369" s="404"/>
    </row>
    <row r="370" spans="2:14" ht="30" x14ac:dyDescent="0.25">
      <c r="B370" s="392" t="s">
        <v>0</v>
      </c>
      <c r="C370" s="441" t="s">
        <v>24673</v>
      </c>
      <c r="D370" s="1465" t="s">
        <v>24697</v>
      </c>
      <c r="E370" s="1465"/>
      <c r="F370" s="1465"/>
      <c r="G370" s="1465"/>
      <c r="H370" s="1465"/>
      <c r="I370" s="1466"/>
      <c r="J370" s="441" t="s">
        <v>3686</v>
      </c>
      <c r="K370" s="441" t="s">
        <v>24695</v>
      </c>
      <c r="L370" s="441"/>
      <c r="M370" s="441" t="s">
        <v>24683</v>
      </c>
      <c r="N370" s="395" t="s">
        <v>24689</v>
      </c>
    </row>
    <row r="371" spans="2:14" ht="15" x14ac:dyDescent="0.25">
      <c r="B371" s="416">
        <v>97089</v>
      </c>
      <c r="C371" s="417" t="s">
        <v>24706</v>
      </c>
      <c r="D371" s="1494" t="s">
        <v>24743</v>
      </c>
      <c r="E371" s="1494"/>
      <c r="F371" s="1494"/>
      <c r="G371" s="1494"/>
      <c r="H371" s="1494"/>
      <c r="I371" s="1495"/>
      <c r="J371" s="451" t="s">
        <v>20</v>
      </c>
      <c r="K371" s="428">
        <v>27.76</v>
      </c>
      <c r="L371" s="428"/>
      <c r="M371" s="429">
        <v>1.8</v>
      </c>
      <c r="N371" s="420">
        <f>K371*M371</f>
        <v>49.97</v>
      </c>
    </row>
    <row r="372" spans="2:14" ht="15" x14ac:dyDescent="0.25">
      <c r="B372" s="416">
        <v>97092</v>
      </c>
      <c r="C372" s="417" t="s">
        <v>24706</v>
      </c>
      <c r="D372" s="1520" t="s">
        <v>24744</v>
      </c>
      <c r="E372" s="1494"/>
      <c r="F372" s="1494"/>
      <c r="G372" s="1494"/>
      <c r="H372" s="1494"/>
      <c r="I372" s="1495"/>
      <c r="J372" s="451" t="s">
        <v>20</v>
      </c>
      <c r="K372" s="428">
        <v>25.79</v>
      </c>
      <c r="L372" s="428"/>
      <c r="M372" s="429">
        <v>3.11</v>
      </c>
      <c r="N372" s="420">
        <f>K372*M372</f>
        <v>80.209999999999994</v>
      </c>
    </row>
    <row r="373" spans="2:14" ht="15" x14ac:dyDescent="0.25">
      <c r="B373" s="416">
        <v>97113</v>
      </c>
      <c r="C373" s="417" t="s">
        <v>24706</v>
      </c>
      <c r="D373" s="1520" t="s">
        <v>24745</v>
      </c>
      <c r="E373" s="1494"/>
      <c r="F373" s="1494"/>
      <c r="G373" s="1494"/>
      <c r="H373" s="1494"/>
      <c r="I373" s="1495"/>
      <c r="J373" s="451" t="s">
        <v>5</v>
      </c>
      <c r="K373" s="428">
        <v>1.76</v>
      </c>
      <c r="L373" s="428"/>
      <c r="M373" s="429">
        <v>1.1279999999999999</v>
      </c>
      <c r="N373" s="420">
        <f>K373*M373</f>
        <v>1.99</v>
      </c>
    </row>
    <row r="374" spans="2:14" ht="15" x14ac:dyDescent="0.25">
      <c r="B374" s="416">
        <v>97115</v>
      </c>
      <c r="C374" s="417" t="s">
        <v>24706</v>
      </c>
      <c r="D374" s="1520" t="s">
        <v>24746</v>
      </c>
      <c r="E374" s="1494"/>
      <c r="F374" s="1494"/>
      <c r="G374" s="1494"/>
      <c r="H374" s="1494"/>
      <c r="I374" s="1495"/>
      <c r="J374" s="451" t="s">
        <v>20</v>
      </c>
      <c r="K374" s="428">
        <v>50.06</v>
      </c>
      <c r="L374" s="428"/>
      <c r="M374" s="429">
        <v>3.32E-2</v>
      </c>
      <c r="N374" s="420">
        <f>K374*M374</f>
        <v>1.66</v>
      </c>
    </row>
    <row r="375" spans="2:14" ht="15" x14ac:dyDescent="0.25">
      <c r="B375" s="416">
        <v>97114</v>
      </c>
      <c r="C375" s="417" t="s">
        <v>24706</v>
      </c>
      <c r="D375" s="1520" t="s">
        <v>24747</v>
      </c>
      <c r="E375" s="1494"/>
      <c r="F375" s="1494"/>
      <c r="G375" s="1494"/>
      <c r="H375" s="1494"/>
      <c r="I375" s="1495"/>
      <c r="J375" s="451" t="s">
        <v>7</v>
      </c>
      <c r="K375" s="428">
        <v>0.48</v>
      </c>
      <c r="L375" s="428"/>
      <c r="M375" s="429">
        <v>9.0899999999999995E-2</v>
      </c>
      <c r="N375" s="420">
        <f>K375*M375</f>
        <v>0.04</v>
      </c>
    </row>
    <row r="376" spans="2:14" ht="15" x14ac:dyDescent="0.25">
      <c r="B376" s="416"/>
      <c r="C376" s="417"/>
      <c r="D376" s="1463"/>
      <c r="E376" s="1463"/>
      <c r="F376" s="1463"/>
      <c r="G376" s="1463"/>
      <c r="H376" s="1463"/>
      <c r="I376" s="1464"/>
      <c r="J376" s="451"/>
      <c r="K376" s="451"/>
      <c r="L376" s="451"/>
      <c r="M376" s="419"/>
      <c r="N376" s="420"/>
    </row>
    <row r="377" spans="2:14" ht="15.75" thickBot="1" x14ac:dyDescent="0.3">
      <c r="B377" s="400"/>
      <c r="C377" s="401"/>
      <c r="D377" s="401"/>
      <c r="E377" s="401"/>
      <c r="F377" s="444"/>
      <c r="G377" s="444"/>
      <c r="H377" s="444"/>
      <c r="I377" s="444"/>
      <c r="J377" s="444"/>
      <c r="K377" s="444"/>
      <c r="L377" s="444"/>
      <c r="M377" s="455" t="s">
        <v>24698</v>
      </c>
      <c r="N377" s="403">
        <f>SUM(N371:N376)</f>
        <v>133.87</v>
      </c>
    </row>
    <row r="378" spans="2:14" ht="15.75" thickBot="1" x14ac:dyDescent="0.3">
      <c r="B378" s="456"/>
      <c r="C378" s="457"/>
      <c r="D378" s="457"/>
      <c r="E378" s="457"/>
      <c r="F378" s="457"/>
      <c r="G378" s="457"/>
      <c r="H378" s="457"/>
      <c r="I378" s="457"/>
      <c r="J378" s="457"/>
      <c r="K378" s="457"/>
      <c r="L378" s="457"/>
      <c r="M378" s="457"/>
      <c r="N378" s="404"/>
    </row>
    <row r="379" spans="2:14" ht="30" x14ac:dyDescent="0.25">
      <c r="B379" s="392" t="s">
        <v>0</v>
      </c>
      <c r="C379" s="441" t="s">
        <v>24673</v>
      </c>
      <c r="D379" s="1465" t="s">
        <v>24699</v>
      </c>
      <c r="E379" s="1465"/>
      <c r="F379" s="1465"/>
      <c r="G379" s="1466"/>
      <c r="H379" s="441" t="s">
        <v>3686</v>
      </c>
      <c r="I379" s="441" t="s">
        <v>24700</v>
      </c>
      <c r="J379" s="441" t="s">
        <v>24701</v>
      </c>
      <c r="K379" s="441" t="s">
        <v>24695</v>
      </c>
      <c r="L379" s="441"/>
      <c r="M379" s="441" t="s">
        <v>24683</v>
      </c>
      <c r="N379" s="395" t="s">
        <v>24689</v>
      </c>
    </row>
    <row r="380" spans="2:14" ht="15" x14ac:dyDescent="0.25">
      <c r="B380" s="446"/>
      <c r="C380" s="458"/>
      <c r="D380" s="1494"/>
      <c r="E380" s="1494"/>
      <c r="F380" s="1494"/>
      <c r="G380" s="1494"/>
      <c r="H380" s="442"/>
      <c r="I380" s="442"/>
      <c r="J380" s="442"/>
      <c r="K380" s="442"/>
      <c r="L380" s="442"/>
      <c r="M380" s="447"/>
      <c r="N380" s="443"/>
    </row>
    <row r="381" spans="2:14" ht="15" x14ac:dyDescent="0.25">
      <c r="B381" s="456"/>
      <c r="C381" s="457"/>
      <c r="D381" s="457"/>
      <c r="E381" s="457"/>
      <c r="F381" s="448"/>
      <c r="G381" s="448"/>
      <c r="H381" s="448"/>
      <c r="I381" s="448"/>
      <c r="J381" s="448"/>
      <c r="K381" s="448"/>
      <c r="L381" s="448"/>
      <c r="M381" s="409" t="s">
        <v>24702</v>
      </c>
      <c r="N381" s="410">
        <f>SUM(N380:N380)</f>
        <v>0</v>
      </c>
    </row>
    <row r="382" spans="2:14" ht="15" x14ac:dyDescent="0.25">
      <c r="B382" s="456"/>
      <c r="C382" s="457"/>
      <c r="D382" s="457"/>
      <c r="E382" s="457"/>
      <c r="F382" s="457"/>
      <c r="G382" s="457"/>
      <c r="H382" s="457"/>
      <c r="I382" s="457"/>
      <c r="J382" s="457"/>
      <c r="K382" s="457"/>
      <c r="L382" s="457"/>
      <c r="M382" s="457"/>
      <c r="N382" s="404"/>
    </row>
    <row r="383" spans="2:14" ht="15" x14ac:dyDescent="0.25">
      <c r="B383" s="421"/>
      <c r="C383" s="422"/>
      <c r="D383" s="422"/>
      <c r="E383" s="422"/>
      <c r="F383" s="452"/>
      <c r="G383" s="452"/>
      <c r="H383" s="452"/>
      <c r="I383" s="452"/>
      <c r="J383" s="452"/>
      <c r="K383" s="452"/>
      <c r="L383" s="452"/>
      <c r="M383" s="424" t="s">
        <v>24703</v>
      </c>
      <c r="N383" s="412">
        <f>N355+N368+N377+N381</f>
        <v>202.03</v>
      </c>
    </row>
    <row r="384" spans="2:14" ht="15" x14ac:dyDescent="0.25">
      <c r="B384" s="456"/>
      <c r="C384" s="457"/>
      <c r="D384" s="457"/>
      <c r="E384" s="457"/>
      <c r="F384" s="448"/>
      <c r="G384" s="448"/>
      <c r="H384" s="448"/>
      <c r="I384" s="448"/>
      <c r="J384" s="448"/>
      <c r="K384" s="448"/>
      <c r="L384" s="448"/>
      <c r="M384" s="752">
        <f>'Planilha - Orla'!I3</f>
        <v>0.28220000000000001</v>
      </c>
      <c r="N384" s="412">
        <f>N383*M384</f>
        <v>57.01</v>
      </c>
    </row>
    <row r="385" spans="2:14" ht="15.75" thickBot="1" x14ac:dyDescent="0.3">
      <c r="B385" s="1472" t="s">
        <v>24704</v>
      </c>
      <c r="C385" s="1473"/>
      <c r="D385" s="1473"/>
      <c r="E385" s="1473"/>
      <c r="F385" s="1473"/>
      <c r="G385" s="1473"/>
      <c r="H385" s="1473"/>
      <c r="I385" s="1473"/>
      <c r="J385" s="1473"/>
      <c r="K385" s="1473"/>
      <c r="L385" s="1473"/>
      <c r="M385" s="1474"/>
      <c r="N385" s="415">
        <f>N383+N384</f>
        <v>259.04000000000002</v>
      </c>
    </row>
    <row r="387" spans="2:14" ht="15" thickBot="1" x14ac:dyDescent="0.3"/>
    <row r="388" spans="2:14" ht="45" customHeight="1" x14ac:dyDescent="0.25">
      <c r="B388" s="1479" t="s">
        <v>24766</v>
      </c>
      <c r="C388" s="1480"/>
      <c r="D388" s="1481"/>
      <c r="E388" s="1482" t="s">
        <v>24669</v>
      </c>
      <c r="F388" s="1482"/>
      <c r="G388" s="1482"/>
      <c r="H388" s="1482"/>
      <c r="I388" s="1482"/>
      <c r="J388" s="1482"/>
      <c r="K388" s="1482"/>
      <c r="L388" s="453"/>
      <c r="M388" s="1483"/>
      <c r="N388" s="1484"/>
    </row>
    <row r="389" spans="2:14" ht="15" x14ac:dyDescent="0.25">
      <c r="B389" s="391" t="s">
        <v>24670</v>
      </c>
      <c r="C389" s="1485" t="s">
        <v>24639</v>
      </c>
      <c r="D389" s="1485"/>
      <c r="E389" s="1485"/>
      <c r="F389" s="1485"/>
      <c r="G389" s="1485"/>
      <c r="H389" s="1485"/>
      <c r="I389" s="1485"/>
      <c r="J389" s="1485"/>
      <c r="K389" s="1485"/>
      <c r="L389" s="1485"/>
      <c r="M389" s="1485"/>
      <c r="N389" s="1486"/>
    </row>
    <row r="390" spans="2:14" ht="15" x14ac:dyDescent="0.25">
      <c r="B390" s="391" t="s">
        <v>24671</v>
      </c>
      <c r="C390" s="1487" t="s">
        <v>5</v>
      </c>
      <c r="D390" s="1487"/>
      <c r="E390" s="1487"/>
      <c r="F390" s="1487"/>
      <c r="G390" s="1487"/>
      <c r="H390" s="1487"/>
      <c r="I390" s="1487"/>
      <c r="J390" s="1487"/>
      <c r="K390" s="1487"/>
      <c r="L390" s="1487"/>
      <c r="M390" s="1487"/>
      <c r="N390" s="1488"/>
    </row>
    <row r="391" spans="2:14" ht="15.75" thickBot="1" x14ac:dyDescent="0.3">
      <c r="B391" s="391" t="s">
        <v>24672</v>
      </c>
      <c r="C391" s="1489">
        <v>44501</v>
      </c>
      <c r="D391" s="1490"/>
      <c r="E391" s="1490"/>
      <c r="F391" s="1490"/>
      <c r="G391" s="1490"/>
      <c r="H391" s="1490"/>
      <c r="I391" s="1490"/>
      <c r="J391" s="1490"/>
      <c r="K391" s="1490"/>
      <c r="L391" s="1490"/>
      <c r="M391" s="1490"/>
      <c r="N391" s="1491"/>
    </row>
    <row r="392" spans="2:14" ht="30" x14ac:dyDescent="0.25">
      <c r="B392" s="392" t="s">
        <v>0</v>
      </c>
      <c r="C392" s="393" t="s">
        <v>24673</v>
      </c>
      <c r="D392" s="1465" t="s">
        <v>24674</v>
      </c>
      <c r="E392" s="1465"/>
      <c r="F392" s="1465"/>
      <c r="G392" s="1466"/>
      <c r="H392" s="441" t="s">
        <v>111</v>
      </c>
      <c r="I392" s="441" t="s">
        <v>24675</v>
      </c>
      <c r="J392" s="441" t="s">
        <v>24676</v>
      </c>
      <c r="K392" s="1467" t="s">
        <v>24677</v>
      </c>
      <c r="L392" s="1468"/>
      <c r="M392" s="441" t="s">
        <v>24678</v>
      </c>
      <c r="N392" s="395" t="s">
        <v>24679</v>
      </c>
    </row>
    <row r="393" spans="2:14" ht="43.5" customHeight="1" x14ac:dyDescent="0.25">
      <c r="B393" s="446">
        <v>95282</v>
      </c>
      <c r="C393" s="458" t="s">
        <v>24706</v>
      </c>
      <c r="D393" s="1463" t="s">
        <v>25757</v>
      </c>
      <c r="E393" s="1463"/>
      <c r="F393" s="1463"/>
      <c r="G393" s="1464"/>
      <c r="H393" s="447"/>
      <c r="I393" s="447">
        <v>7.0000000000000007E-2</v>
      </c>
      <c r="J393" s="442"/>
      <c r="K393" s="1492">
        <v>10.57</v>
      </c>
      <c r="L393" s="1493"/>
      <c r="M393" s="427"/>
      <c r="N393" s="443">
        <f>I393*K393</f>
        <v>0.74</v>
      </c>
    </row>
    <row r="394" spans="2:14" ht="43.5" customHeight="1" x14ac:dyDescent="0.25">
      <c r="B394" s="446">
        <v>95283</v>
      </c>
      <c r="C394" s="1269" t="s">
        <v>24706</v>
      </c>
      <c r="D394" s="1463" t="s">
        <v>25758</v>
      </c>
      <c r="E394" s="1463"/>
      <c r="F394" s="1463"/>
      <c r="G394" s="1464"/>
      <c r="H394" s="447"/>
      <c r="I394" s="442"/>
      <c r="J394" s="447">
        <v>0.01</v>
      </c>
      <c r="K394" s="1492"/>
      <c r="L394" s="1493"/>
      <c r="M394" s="427">
        <v>0.51</v>
      </c>
      <c r="N394" s="443">
        <f>J394*M394</f>
        <v>0.01</v>
      </c>
    </row>
    <row r="395" spans="2:14" ht="15" x14ac:dyDescent="0.25">
      <c r="B395" s="446"/>
      <c r="C395" s="397"/>
      <c r="D395" s="1494"/>
      <c r="E395" s="1494"/>
      <c r="F395" s="1494"/>
      <c r="G395" s="1495"/>
      <c r="H395" s="442"/>
      <c r="I395" s="442"/>
      <c r="J395" s="442"/>
      <c r="K395" s="442"/>
      <c r="L395" s="442"/>
      <c r="M395" s="442"/>
      <c r="N395" s="443"/>
    </row>
    <row r="396" spans="2:14" ht="15.75" thickBot="1" x14ac:dyDescent="0.3">
      <c r="B396" s="400"/>
      <c r="C396" s="401"/>
      <c r="D396" s="401"/>
      <c r="E396" s="401"/>
      <c r="F396" s="444"/>
      <c r="G396" s="444"/>
      <c r="H396" s="444"/>
      <c r="I396" s="444"/>
      <c r="J396" s="444"/>
      <c r="K396" s="444"/>
      <c r="L396" s="444"/>
      <c r="M396" s="455" t="s">
        <v>24680</v>
      </c>
      <c r="N396" s="403">
        <f>SUM(N393:N395)</f>
        <v>0.75</v>
      </c>
    </row>
    <row r="397" spans="2:14" ht="15.75" thickBot="1" x14ac:dyDescent="0.3">
      <c r="B397" s="456"/>
      <c r="C397" s="457"/>
      <c r="D397" s="457"/>
      <c r="E397" s="457"/>
      <c r="F397" s="457"/>
      <c r="G397" s="457"/>
      <c r="H397" s="457"/>
      <c r="I397" s="457"/>
      <c r="J397" s="457"/>
      <c r="K397" s="457"/>
      <c r="L397" s="457"/>
      <c r="M397" s="457"/>
      <c r="N397" s="404"/>
    </row>
    <row r="398" spans="2:14" ht="45" x14ac:dyDescent="0.25">
      <c r="B398" s="392" t="s">
        <v>0</v>
      </c>
      <c r="C398" s="393" t="s">
        <v>24673</v>
      </c>
      <c r="D398" s="1465" t="s">
        <v>24681</v>
      </c>
      <c r="E398" s="1465"/>
      <c r="F398" s="1465"/>
      <c r="G398" s="1465"/>
      <c r="H398" s="1466"/>
      <c r="I398" s="441" t="s">
        <v>3686</v>
      </c>
      <c r="J398" s="441" t="s">
        <v>24682</v>
      </c>
      <c r="K398" s="441" t="s">
        <v>24861</v>
      </c>
      <c r="L398" s="441" t="s">
        <v>24862</v>
      </c>
      <c r="M398" s="441" t="s">
        <v>24683</v>
      </c>
      <c r="N398" s="395" t="s">
        <v>24679</v>
      </c>
    </row>
    <row r="399" spans="2:14" ht="15" x14ac:dyDescent="0.25">
      <c r="B399" s="446">
        <v>10139</v>
      </c>
      <c r="C399" s="458" t="s">
        <v>4389</v>
      </c>
      <c r="D399" s="1463" t="s">
        <v>24729</v>
      </c>
      <c r="E399" s="1463"/>
      <c r="F399" s="1463"/>
      <c r="G399" s="1463"/>
      <c r="H399" s="1464"/>
      <c r="I399" s="442" t="s">
        <v>75</v>
      </c>
      <c r="J399" s="406">
        <v>1.5727</v>
      </c>
      <c r="K399" s="427">
        <v>7.43</v>
      </c>
      <c r="L399" s="427">
        <f>K399*(1+J399)</f>
        <v>19.12</v>
      </c>
      <c r="M399" s="447">
        <v>8.7999999999999995E-2</v>
      </c>
      <c r="N399" s="443">
        <f>L399*M399</f>
        <v>1.68</v>
      </c>
    </row>
    <row r="400" spans="2:14" ht="15.75" thickBot="1" x14ac:dyDescent="0.3">
      <c r="B400" s="400"/>
      <c r="C400" s="401"/>
      <c r="D400" s="401"/>
      <c r="E400" s="401"/>
      <c r="F400" s="444"/>
      <c r="G400" s="444"/>
      <c r="H400" s="444"/>
      <c r="I400" s="444"/>
      <c r="J400" s="444"/>
      <c r="K400" s="444"/>
      <c r="L400" s="444"/>
      <c r="M400" s="455" t="s">
        <v>24684</v>
      </c>
      <c r="N400" s="403">
        <f>SUM(N399:N399)</f>
        <v>1.68</v>
      </c>
    </row>
    <row r="401" spans="2:14" ht="15.75" thickBot="1" x14ac:dyDescent="0.3">
      <c r="B401" s="456"/>
      <c r="C401" s="457"/>
      <c r="D401" s="457"/>
      <c r="E401" s="457"/>
      <c r="F401" s="457"/>
      <c r="G401" s="457"/>
      <c r="H401" s="457"/>
      <c r="I401" s="448"/>
      <c r="J401" s="448"/>
      <c r="K401" s="457"/>
      <c r="L401" s="457"/>
      <c r="M401" s="457"/>
      <c r="N401" s="404"/>
    </row>
    <row r="402" spans="2:14" ht="30" x14ac:dyDescent="0.25">
      <c r="B402" s="392" t="s">
        <v>0</v>
      </c>
      <c r="C402" s="393" t="s">
        <v>24673</v>
      </c>
      <c r="D402" s="1465" t="s">
        <v>24685</v>
      </c>
      <c r="E402" s="1465"/>
      <c r="F402" s="1465"/>
      <c r="G402" s="1465"/>
      <c r="H402" s="1466"/>
      <c r="I402" s="441" t="s">
        <v>2858</v>
      </c>
      <c r="J402" s="441" t="s">
        <v>24686</v>
      </c>
      <c r="K402" s="441" t="s">
        <v>24687</v>
      </c>
      <c r="L402" s="441"/>
      <c r="M402" s="441" t="s">
        <v>24688</v>
      </c>
      <c r="N402" s="395" t="s">
        <v>24689</v>
      </c>
    </row>
    <row r="403" spans="2:14" ht="15" x14ac:dyDescent="0.25">
      <c r="B403" s="446"/>
      <c r="C403" s="458"/>
      <c r="D403" s="1463"/>
      <c r="E403" s="1463"/>
      <c r="F403" s="1463"/>
      <c r="G403" s="1463"/>
      <c r="H403" s="1464"/>
      <c r="I403" s="442"/>
      <c r="J403" s="442"/>
      <c r="K403" s="442"/>
      <c r="L403" s="442"/>
      <c r="M403" s="442"/>
      <c r="N403" s="443"/>
    </row>
    <row r="404" spans="2:14" ht="15" x14ac:dyDescent="0.25">
      <c r="B404" s="456"/>
      <c r="C404" s="457"/>
      <c r="D404" s="457"/>
      <c r="E404" s="457"/>
      <c r="F404" s="448"/>
      <c r="G404" s="448"/>
      <c r="H404" s="448"/>
      <c r="I404" s="448"/>
      <c r="J404" s="448"/>
      <c r="K404" s="448"/>
      <c r="L404" s="448"/>
      <c r="M404" s="409" t="s">
        <v>24690</v>
      </c>
      <c r="N404" s="410">
        <f>SUM(N403:N403)</f>
        <v>0</v>
      </c>
    </row>
    <row r="405" spans="2:14" ht="15" x14ac:dyDescent="0.25">
      <c r="B405" s="456"/>
      <c r="C405" s="457"/>
      <c r="D405" s="457"/>
      <c r="E405" s="457"/>
      <c r="F405" s="457"/>
      <c r="G405" s="457"/>
      <c r="H405" s="457"/>
      <c r="I405" s="457"/>
      <c r="J405" s="457"/>
      <c r="K405" s="457"/>
      <c r="L405" s="457"/>
      <c r="M405" s="457"/>
      <c r="N405" s="404"/>
    </row>
    <row r="406" spans="2:14" ht="15" x14ac:dyDescent="0.25">
      <c r="B406" s="456"/>
      <c r="C406" s="457"/>
      <c r="D406" s="457"/>
      <c r="E406" s="457"/>
      <c r="F406" s="448"/>
      <c r="G406" s="448"/>
      <c r="H406" s="448"/>
      <c r="I406" s="449"/>
      <c r="J406" s="449"/>
      <c r="K406" s="449"/>
      <c r="L406" s="449"/>
      <c r="M406" s="409" t="s">
        <v>24691</v>
      </c>
      <c r="N406" s="412">
        <f>N396+N400+N404</f>
        <v>2.4300000000000002</v>
      </c>
    </row>
    <row r="407" spans="2:14" ht="15" x14ac:dyDescent="0.25">
      <c r="B407" s="456"/>
      <c r="C407" s="457"/>
      <c r="D407" s="457"/>
      <c r="E407" s="457"/>
      <c r="F407" s="448"/>
      <c r="G407" s="448"/>
      <c r="H407" s="448"/>
      <c r="I407" s="448"/>
      <c r="J407" s="450"/>
      <c r="K407" s="450"/>
      <c r="L407" s="450"/>
      <c r="M407" s="414" t="s">
        <v>24692</v>
      </c>
      <c r="N407" s="412">
        <v>1</v>
      </c>
    </row>
    <row r="408" spans="2:14" ht="15.75" thickBot="1" x14ac:dyDescent="0.3">
      <c r="B408" s="400"/>
      <c r="C408" s="401"/>
      <c r="D408" s="401"/>
      <c r="E408" s="401"/>
      <c r="F408" s="444"/>
      <c r="G408" s="444"/>
      <c r="H408" s="444"/>
      <c r="I408" s="444"/>
      <c r="J408" s="444"/>
      <c r="K408" s="444"/>
      <c r="L408" s="444"/>
      <c r="M408" s="455" t="s">
        <v>24693</v>
      </c>
      <c r="N408" s="415">
        <f>TRUNC(N406/N407,2)</f>
        <v>2.4300000000000002</v>
      </c>
    </row>
    <row r="409" spans="2:14" ht="15.75" thickBot="1" x14ac:dyDescent="0.3">
      <c r="B409" s="456"/>
      <c r="C409" s="457"/>
      <c r="D409" s="457"/>
      <c r="E409" s="457"/>
      <c r="F409" s="457"/>
      <c r="G409" s="457"/>
      <c r="H409" s="457"/>
      <c r="I409" s="457"/>
      <c r="J409" s="457"/>
      <c r="K409" s="457"/>
      <c r="L409" s="457"/>
      <c r="M409" s="457"/>
      <c r="N409" s="404"/>
    </row>
    <row r="410" spans="2:14" ht="30" x14ac:dyDescent="0.25">
      <c r="B410" s="392" t="s">
        <v>0</v>
      </c>
      <c r="C410" s="393" t="s">
        <v>24673</v>
      </c>
      <c r="D410" s="1465" t="s">
        <v>24694</v>
      </c>
      <c r="E410" s="1465"/>
      <c r="F410" s="1465"/>
      <c r="G410" s="1465"/>
      <c r="H410" s="1465"/>
      <c r="I410" s="1466"/>
      <c r="J410" s="441" t="s">
        <v>3686</v>
      </c>
      <c r="K410" s="441" t="s">
        <v>24695</v>
      </c>
      <c r="L410" s="441"/>
      <c r="M410" s="441" t="s">
        <v>24683</v>
      </c>
      <c r="N410" s="395" t="s">
        <v>24689</v>
      </c>
    </row>
    <row r="411" spans="2:14" ht="15" x14ac:dyDescent="0.25">
      <c r="B411" s="446">
        <v>43146</v>
      </c>
      <c r="C411" s="458" t="s">
        <v>24706</v>
      </c>
      <c r="D411" s="1463" t="s">
        <v>24730</v>
      </c>
      <c r="E411" s="1463"/>
      <c r="F411" s="1463"/>
      <c r="G411" s="1463"/>
      <c r="H411" s="1463"/>
      <c r="I411" s="1464"/>
      <c r="J411" s="442" t="s">
        <v>20</v>
      </c>
      <c r="K411" s="427">
        <v>7.68</v>
      </c>
      <c r="L411" s="427"/>
      <c r="M411" s="447">
        <v>4</v>
      </c>
      <c r="N411" s="443">
        <f>K411*M411</f>
        <v>30.72</v>
      </c>
    </row>
    <row r="412" spans="2:14" ht="15" x14ac:dyDescent="0.25">
      <c r="B412" s="446"/>
      <c r="C412" s="458"/>
      <c r="D412" s="1463"/>
      <c r="E412" s="1463"/>
      <c r="F412" s="1463"/>
      <c r="G412" s="1463"/>
      <c r="H412" s="1463"/>
      <c r="I412" s="1464"/>
      <c r="J412" s="442"/>
      <c r="K412" s="442"/>
      <c r="L412" s="442"/>
      <c r="M412" s="447"/>
      <c r="N412" s="443"/>
    </row>
    <row r="413" spans="2:14" ht="15.75" thickBot="1" x14ac:dyDescent="0.3">
      <c r="B413" s="400"/>
      <c r="C413" s="401"/>
      <c r="D413" s="401"/>
      <c r="E413" s="401"/>
      <c r="F413" s="444"/>
      <c r="G413" s="444"/>
      <c r="H413" s="444"/>
      <c r="I413" s="444"/>
      <c r="J413" s="444"/>
      <c r="K413" s="444"/>
      <c r="L413" s="444"/>
      <c r="M413" s="455" t="s">
        <v>24696</v>
      </c>
      <c r="N413" s="403">
        <f>SUM(N411:N411)</f>
        <v>30.72</v>
      </c>
    </row>
    <row r="414" spans="2:14" ht="15.75" thickBot="1" x14ac:dyDescent="0.3">
      <c r="B414" s="456"/>
      <c r="C414" s="457"/>
      <c r="D414" s="457"/>
      <c r="E414" s="457"/>
      <c r="F414" s="457"/>
      <c r="G414" s="457"/>
      <c r="H414" s="457"/>
      <c r="I414" s="457"/>
      <c r="J414" s="457"/>
      <c r="K414" s="457"/>
      <c r="L414" s="457"/>
      <c r="M414" s="457"/>
      <c r="N414" s="404"/>
    </row>
    <row r="415" spans="2:14" ht="30" x14ac:dyDescent="0.25">
      <c r="B415" s="392" t="s">
        <v>0</v>
      </c>
      <c r="C415" s="441" t="s">
        <v>24673</v>
      </c>
      <c r="D415" s="1465" t="s">
        <v>24697</v>
      </c>
      <c r="E415" s="1465"/>
      <c r="F415" s="1465"/>
      <c r="G415" s="1465"/>
      <c r="H415" s="1465"/>
      <c r="I415" s="1466"/>
      <c r="J415" s="441" t="s">
        <v>3686</v>
      </c>
      <c r="K415" s="441" t="s">
        <v>24695</v>
      </c>
      <c r="L415" s="441"/>
      <c r="M415" s="441" t="s">
        <v>24683</v>
      </c>
      <c r="N415" s="395" t="s">
        <v>24689</v>
      </c>
    </row>
    <row r="416" spans="2:14" ht="15" x14ac:dyDescent="0.25">
      <c r="B416" s="416"/>
      <c r="C416" s="417"/>
      <c r="D416" s="1463"/>
      <c r="E416" s="1463"/>
      <c r="F416" s="1463"/>
      <c r="G416" s="1463"/>
      <c r="H416" s="1463"/>
      <c r="I416" s="1464"/>
      <c r="J416" s="451"/>
      <c r="K416" s="451"/>
      <c r="L416" s="451"/>
      <c r="M416" s="419"/>
      <c r="N416" s="420"/>
    </row>
    <row r="417" spans="2:14" ht="15.75" thickBot="1" x14ac:dyDescent="0.3">
      <c r="B417" s="400"/>
      <c r="C417" s="401"/>
      <c r="D417" s="401"/>
      <c r="E417" s="401"/>
      <c r="F417" s="444"/>
      <c r="G417" s="444"/>
      <c r="H417" s="444"/>
      <c r="I417" s="444"/>
      <c r="J417" s="444"/>
      <c r="K417" s="444"/>
      <c r="L417" s="444"/>
      <c r="M417" s="455" t="s">
        <v>24698</v>
      </c>
      <c r="N417" s="403">
        <f>SUM(N416:N416)</f>
        <v>0</v>
      </c>
    </row>
    <row r="418" spans="2:14" ht="15.75" thickBot="1" x14ac:dyDescent="0.3">
      <c r="B418" s="456"/>
      <c r="C418" s="457"/>
      <c r="D418" s="457"/>
      <c r="E418" s="457"/>
      <c r="F418" s="457"/>
      <c r="G418" s="457"/>
      <c r="H418" s="457"/>
      <c r="I418" s="457"/>
      <c r="J418" s="457"/>
      <c r="K418" s="457"/>
      <c r="L418" s="457"/>
      <c r="M418" s="457"/>
      <c r="N418" s="404"/>
    </row>
    <row r="419" spans="2:14" ht="30" x14ac:dyDescent="0.25">
      <c r="B419" s="392" t="s">
        <v>0</v>
      </c>
      <c r="C419" s="441" t="s">
        <v>24673</v>
      </c>
      <c r="D419" s="1465" t="s">
        <v>24699</v>
      </c>
      <c r="E419" s="1465"/>
      <c r="F419" s="1465"/>
      <c r="G419" s="1466"/>
      <c r="H419" s="441" t="s">
        <v>3686</v>
      </c>
      <c r="I419" s="441" t="s">
        <v>24700</v>
      </c>
      <c r="J419" s="441" t="s">
        <v>24701</v>
      </c>
      <c r="K419" s="441" t="s">
        <v>24695</v>
      </c>
      <c r="L419" s="441"/>
      <c r="M419" s="441" t="s">
        <v>24683</v>
      </c>
      <c r="N419" s="395" t="s">
        <v>24689</v>
      </c>
    </row>
    <row r="420" spans="2:14" ht="15" x14ac:dyDescent="0.25">
      <c r="B420" s="446"/>
      <c r="C420" s="458"/>
      <c r="D420" s="1494"/>
      <c r="E420" s="1494"/>
      <c r="F420" s="1494"/>
      <c r="G420" s="1494"/>
      <c r="H420" s="442"/>
      <c r="I420" s="442"/>
      <c r="J420" s="442"/>
      <c r="K420" s="442"/>
      <c r="L420" s="442"/>
      <c r="M420" s="447"/>
      <c r="N420" s="443"/>
    </row>
    <row r="421" spans="2:14" ht="15" x14ac:dyDescent="0.25">
      <c r="B421" s="456"/>
      <c r="C421" s="457"/>
      <c r="D421" s="457"/>
      <c r="E421" s="457"/>
      <c r="F421" s="448"/>
      <c r="G421" s="448"/>
      <c r="H421" s="448"/>
      <c r="I421" s="448"/>
      <c r="J421" s="448"/>
      <c r="K421" s="448"/>
      <c r="L421" s="448"/>
      <c r="M421" s="409" t="s">
        <v>24702</v>
      </c>
      <c r="N421" s="410">
        <f>SUM(N420:N420)</f>
        <v>0</v>
      </c>
    </row>
    <row r="422" spans="2:14" ht="15" x14ac:dyDescent="0.25">
      <c r="B422" s="456"/>
      <c r="C422" s="457"/>
      <c r="D422" s="457"/>
      <c r="E422" s="457"/>
      <c r="F422" s="457"/>
      <c r="G422" s="457"/>
      <c r="H422" s="457"/>
      <c r="I422" s="457"/>
      <c r="J422" s="457"/>
      <c r="K422" s="457"/>
      <c r="L422" s="457"/>
      <c r="M422" s="457"/>
      <c r="N422" s="404"/>
    </row>
    <row r="423" spans="2:14" ht="15" x14ac:dyDescent="0.25">
      <c r="B423" s="421"/>
      <c r="C423" s="422"/>
      <c r="D423" s="422"/>
      <c r="E423" s="422"/>
      <c r="F423" s="452"/>
      <c r="G423" s="452"/>
      <c r="H423" s="452"/>
      <c r="I423" s="452"/>
      <c r="J423" s="452"/>
      <c r="K423" s="452"/>
      <c r="L423" s="452"/>
      <c r="M423" s="424" t="s">
        <v>24703</v>
      </c>
      <c r="N423" s="412">
        <f>N408+N413+N417+N421</f>
        <v>33.15</v>
      </c>
    </row>
    <row r="424" spans="2:14" ht="15" x14ac:dyDescent="0.25">
      <c r="B424" s="456"/>
      <c r="C424" s="457"/>
      <c r="D424" s="457"/>
      <c r="E424" s="457"/>
      <c r="F424" s="448"/>
      <c r="G424" s="448"/>
      <c r="H424" s="448"/>
      <c r="I424" s="448"/>
      <c r="J424" s="448"/>
      <c r="K424" s="448"/>
      <c r="L424" s="448"/>
      <c r="M424" s="752">
        <f>'Planilha - Orla'!I3</f>
        <v>0.28220000000000001</v>
      </c>
      <c r="N424" s="412">
        <f>N423*M424</f>
        <v>9.35</v>
      </c>
    </row>
    <row r="425" spans="2:14" ht="15.75" thickBot="1" x14ac:dyDescent="0.3">
      <c r="B425" s="1472" t="s">
        <v>24704</v>
      </c>
      <c r="C425" s="1473"/>
      <c r="D425" s="1473"/>
      <c r="E425" s="1473"/>
      <c r="F425" s="1473"/>
      <c r="G425" s="1473"/>
      <c r="H425" s="1473"/>
      <c r="I425" s="1473"/>
      <c r="J425" s="1473"/>
      <c r="K425" s="1473"/>
      <c r="L425" s="1473"/>
      <c r="M425" s="1474"/>
      <c r="N425" s="415">
        <f>N423+N424</f>
        <v>42.5</v>
      </c>
    </row>
    <row r="427" spans="2:14" ht="15" thickBot="1" x14ac:dyDescent="0.3"/>
    <row r="428" spans="2:14" ht="45.75" customHeight="1" x14ac:dyDescent="0.25">
      <c r="B428" s="1479" t="s">
        <v>24918</v>
      </c>
      <c r="C428" s="1480"/>
      <c r="D428" s="1481"/>
      <c r="E428" s="1482" t="s">
        <v>24669</v>
      </c>
      <c r="F428" s="1482"/>
      <c r="G428" s="1482"/>
      <c r="H428" s="1482"/>
      <c r="I428" s="1482"/>
      <c r="J428" s="1482"/>
      <c r="K428" s="1482"/>
      <c r="L428" s="453"/>
      <c r="M428" s="1483"/>
      <c r="N428" s="1484"/>
    </row>
    <row r="429" spans="2:14" ht="15" x14ac:dyDescent="0.25">
      <c r="B429" s="391" t="s">
        <v>24670</v>
      </c>
      <c r="C429" s="1485" t="s">
        <v>24763</v>
      </c>
      <c r="D429" s="1485"/>
      <c r="E429" s="1485"/>
      <c r="F429" s="1485"/>
      <c r="G429" s="1485"/>
      <c r="H429" s="1485"/>
      <c r="I429" s="1485"/>
      <c r="J429" s="1485"/>
      <c r="K429" s="1485"/>
      <c r="L429" s="1485"/>
      <c r="M429" s="1485"/>
      <c r="N429" s="1486"/>
    </row>
    <row r="430" spans="2:14" ht="15" x14ac:dyDescent="0.25">
      <c r="B430" s="391" t="s">
        <v>24671</v>
      </c>
      <c r="C430" s="1487" t="s">
        <v>7</v>
      </c>
      <c r="D430" s="1487"/>
      <c r="E430" s="1487"/>
      <c r="F430" s="1487"/>
      <c r="G430" s="1487"/>
      <c r="H430" s="1487"/>
      <c r="I430" s="1487"/>
      <c r="J430" s="1487"/>
      <c r="K430" s="1487"/>
      <c r="L430" s="1487"/>
      <c r="M430" s="1487"/>
      <c r="N430" s="1488"/>
    </row>
    <row r="431" spans="2:14" ht="15.75" thickBot="1" x14ac:dyDescent="0.3">
      <c r="B431" s="391" t="s">
        <v>24672</v>
      </c>
      <c r="C431" s="1489">
        <v>44501</v>
      </c>
      <c r="D431" s="1490"/>
      <c r="E431" s="1490"/>
      <c r="F431" s="1490"/>
      <c r="G431" s="1490"/>
      <c r="H431" s="1490"/>
      <c r="I431" s="1490"/>
      <c r="J431" s="1490"/>
      <c r="K431" s="1490"/>
      <c r="L431" s="1490"/>
      <c r="M431" s="1490"/>
      <c r="N431" s="1491"/>
    </row>
    <row r="432" spans="2:14" ht="30" x14ac:dyDescent="0.25">
      <c r="B432" s="392" t="s">
        <v>0</v>
      </c>
      <c r="C432" s="393" t="s">
        <v>24673</v>
      </c>
      <c r="D432" s="1465" t="s">
        <v>24674</v>
      </c>
      <c r="E432" s="1465"/>
      <c r="F432" s="1465"/>
      <c r="G432" s="1466"/>
      <c r="H432" s="441" t="s">
        <v>111</v>
      </c>
      <c r="I432" s="441" t="s">
        <v>24675</v>
      </c>
      <c r="J432" s="441" t="s">
        <v>24676</v>
      </c>
      <c r="K432" s="441" t="s">
        <v>24677</v>
      </c>
      <c r="L432" s="441"/>
      <c r="M432" s="441" t="s">
        <v>24678</v>
      </c>
      <c r="N432" s="395" t="s">
        <v>24679</v>
      </c>
    </row>
    <row r="433" spans="2:14" ht="15" x14ac:dyDescent="0.25">
      <c r="B433" s="446"/>
      <c r="C433" s="397"/>
      <c r="D433" s="1494"/>
      <c r="E433" s="1494"/>
      <c r="F433" s="1494"/>
      <c r="G433" s="1495"/>
      <c r="H433" s="442"/>
      <c r="I433" s="442"/>
      <c r="J433" s="442"/>
      <c r="K433" s="442"/>
      <c r="L433" s="442"/>
      <c r="M433" s="442"/>
      <c r="N433" s="443"/>
    </row>
    <row r="434" spans="2:14" ht="15.75" thickBot="1" x14ac:dyDescent="0.3">
      <c r="B434" s="400"/>
      <c r="C434" s="401"/>
      <c r="D434" s="401"/>
      <c r="E434" s="401"/>
      <c r="F434" s="444"/>
      <c r="G434" s="444"/>
      <c r="H434" s="444"/>
      <c r="I434" s="444"/>
      <c r="J434" s="444"/>
      <c r="K434" s="444"/>
      <c r="L434" s="444"/>
      <c r="M434" s="455" t="s">
        <v>24680</v>
      </c>
      <c r="N434" s="403">
        <f>SUM(N433:N433)</f>
        <v>0</v>
      </c>
    </row>
    <row r="435" spans="2:14" ht="15.75" thickBot="1" x14ac:dyDescent="0.3">
      <c r="B435" s="456"/>
      <c r="C435" s="457"/>
      <c r="D435" s="457"/>
      <c r="E435" s="457"/>
      <c r="F435" s="457"/>
      <c r="G435" s="457"/>
      <c r="H435" s="457"/>
      <c r="I435" s="457"/>
      <c r="J435" s="457"/>
      <c r="K435" s="457"/>
      <c r="L435" s="457"/>
      <c r="M435" s="457"/>
      <c r="N435" s="404"/>
    </row>
    <row r="436" spans="2:14" ht="45" x14ac:dyDescent="0.25">
      <c r="B436" s="392" t="s">
        <v>0</v>
      </c>
      <c r="C436" s="393" t="s">
        <v>24673</v>
      </c>
      <c r="D436" s="1465" t="s">
        <v>24681</v>
      </c>
      <c r="E436" s="1465"/>
      <c r="F436" s="1465"/>
      <c r="G436" s="1465"/>
      <c r="H436" s="1466"/>
      <c r="I436" s="441" t="s">
        <v>3686</v>
      </c>
      <c r="J436" s="441" t="s">
        <v>24682</v>
      </c>
      <c r="K436" s="441" t="s">
        <v>24861</v>
      </c>
      <c r="L436" s="441" t="s">
        <v>24862</v>
      </c>
      <c r="M436" s="441" t="s">
        <v>24683</v>
      </c>
      <c r="N436" s="395" t="s">
        <v>24679</v>
      </c>
    </row>
    <row r="437" spans="2:14" ht="15" x14ac:dyDescent="0.25">
      <c r="B437" s="446">
        <v>4783</v>
      </c>
      <c r="C437" s="458" t="s">
        <v>24706</v>
      </c>
      <c r="D437" s="1463" t="s">
        <v>24749</v>
      </c>
      <c r="E437" s="1463"/>
      <c r="F437" s="1463"/>
      <c r="G437" s="1463"/>
      <c r="H437" s="1464"/>
      <c r="I437" s="442" t="s">
        <v>75</v>
      </c>
      <c r="J437" s="406">
        <v>1.5727</v>
      </c>
      <c r="K437" s="427">
        <v>18.78</v>
      </c>
      <c r="L437" s="427">
        <f>K437*(1+J437)</f>
        <v>48.32</v>
      </c>
      <c r="M437" s="447">
        <v>8.3000000000000004E-2</v>
      </c>
      <c r="N437" s="443">
        <f>L437*M437</f>
        <v>4.01</v>
      </c>
    </row>
    <row r="438" spans="2:14" ht="15" x14ac:dyDescent="0.25">
      <c r="B438" s="446">
        <v>10146</v>
      </c>
      <c r="C438" s="458" t="s">
        <v>4389</v>
      </c>
      <c r="D438" s="1463" t="s">
        <v>24741</v>
      </c>
      <c r="E438" s="1463"/>
      <c r="F438" s="1463"/>
      <c r="G438" s="1463"/>
      <c r="H438" s="1464"/>
      <c r="I438" s="442" t="s">
        <v>75</v>
      </c>
      <c r="J438" s="406">
        <v>1.5727</v>
      </c>
      <c r="K438" s="427">
        <v>5.46</v>
      </c>
      <c r="L438" s="427">
        <f>K438*(1+J438)</f>
        <v>14.05</v>
      </c>
      <c r="M438" s="447">
        <v>3.5000000000000003E-2</v>
      </c>
      <c r="N438" s="443">
        <f>M438*K438</f>
        <v>0.19</v>
      </c>
    </row>
    <row r="439" spans="2:14" ht="15.75" thickBot="1" x14ac:dyDescent="0.3">
      <c r="B439" s="400"/>
      <c r="C439" s="401"/>
      <c r="D439" s="401"/>
      <c r="E439" s="401"/>
      <c r="F439" s="444"/>
      <c r="G439" s="444"/>
      <c r="H439" s="444"/>
      <c r="I439" s="444"/>
      <c r="J439" s="444"/>
      <c r="K439" s="444"/>
      <c r="L439" s="444"/>
      <c r="M439" s="455" t="s">
        <v>24684</v>
      </c>
      <c r="N439" s="403">
        <f>SUM(N437:N438)</f>
        <v>4.2</v>
      </c>
    </row>
    <row r="440" spans="2:14" ht="15.75" thickBot="1" x14ac:dyDescent="0.3">
      <c r="B440" s="456"/>
      <c r="C440" s="457"/>
      <c r="D440" s="457"/>
      <c r="E440" s="457"/>
      <c r="F440" s="457"/>
      <c r="G440" s="457"/>
      <c r="H440" s="457"/>
      <c r="I440" s="448"/>
      <c r="J440" s="448"/>
      <c r="K440" s="457"/>
      <c r="L440" s="457"/>
      <c r="M440" s="457"/>
      <c r="N440" s="404"/>
    </row>
    <row r="441" spans="2:14" ht="30" x14ac:dyDescent="0.25">
      <c r="B441" s="392" t="s">
        <v>0</v>
      </c>
      <c r="C441" s="393" t="s">
        <v>24673</v>
      </c>
      <c r="D441" s="1465" t="s">
        <v>24685</v>
      </c>
      <c r="E441" s="1465"/>
      <c r="F441" s="1465"/>
      <c r="G441" s="1465"/>
      <c r="H441" s="1466"/>
      <c r="I441" s="441" t="s">
        <v>2858</v>
      </c>
      <c r="J441" s="441" t="s">
        <v>24686</v>
      </c>
      <c r="K441" s="441" t="s">
        <v>24687</v>
      </c>
      <c r="L441" s="441"/>
      <c r="M441" s="441" t="s">
        <v>24688</v>
      </c>
      <c r="N441" s="395" t="s">
        <v>24689</v>
      </c>
    </row>
    <row r="442" spans="2:14" ht="15" x14ac:dyDescent="0.25">
      <c r="B442" s="446"/>
      <c r="C442" s="458"/>
      <c r="D442" s="1463"/>
      <c r="E442" s="1463"/>
      <c r="F442" s="1463"/>
      <c r="G442" s="1463"/>
      <c r="H442" s="1464"/>
      <c r="I442" s="442"/>
      <c r="J442" s="442"/>
      <c r="K442" s="442"/>
      <c r="L442" s="442"/>
      <c r="M442" s="442"/>
      <c r="N442" s="443"/>
    </row>
    <row r="443" spans="2:14" ht="15" x14ac:dyDescent="0.25">
      <c r="B443" s="456"/>
      <c r="C443" s="457"/>
      <c r="D443" s="457"/>
      <c r="E443" s="457"/>
      <c r="F443" s="448"/>
      <c r="G443" s="448"/>
      <c r="H443" s="448"/>
      <c r="I443" s="448"/>
      <c r="J443" s="448"/>
      <c r="K443" s="448"/>
      <c r="L443" s="448"/>
      <c r="M443" s="409" t="s">
        <v>24690</v>
      </c>
      <c r="N443" s="410">
        <f>SUM(N442:N442)</f>
        <v>0</v>
      </c>
    </row>
    <row r="444" spans="2:14" ht="15" x14ac:dyDescent="0.25">
      <c r="B444" s="456"/>
      <c r="C444" s="457"/>
      <c r="D444" s="457"/>
      <c r="E444" s="457"/>
      <c r="F444" s="457"/>
      <c r="G444" s="457"/>
      <c r="H444" s="457"/>
      <c r="I444" s="457"/>
      <c r="J444" s="457"/>
      <c r="K444" s="457"/>
      <c r="L444" s="457"/>
      <c r="M444" s="457"/>
      <c r="N444" s="404"/>
    </row>
    <row r="445" spans="2:14" ht="15" x14ac:dyDescent="0.25">
      <c r="B445" s="456"/>
      <c r="C445" s="457"/>
      <c r="D445" s="457"/>
      <c r="E445" s="457"/>
      <c r="F445" s="448"/>
      <c r="G445" s="448"/>
      <c r="H445" s="448"/>
      <c r="I445" s="449"/>
      <c r="J445" s="449"/>
      <c r="K445" s="449"/>
      <c r="L445" s="449"/>
      <c r="M445" s="409" t="s">
        <v>24691</v>
      </c>
      <c r="N445" s="412">
        <f>N434+N439+N443</f>
        <v>4.2</v>
      </c>
    </row>
    <row r="446" spans="2:14" ht="15" x14ac:dyDescent="0.25">
      <c r="B446" s="456"/>
      <c r="C446" s="457"/>
      <c r="D446" s="457"/>
      <c r="E446" s="457"/>
      <c r="F446" s="448"/>
      <c r="G446" s="448"/>
      <c r="H446" s="448"/>
      <c r="I446" s="448"/>
      <c r="J446" s="450"/>
      <c r="K446" s="450"/>
      <c r="L446" s="450"/>
      <c r="M446" s="414" t="s">
        <v>24692</v>
      </c>
      <c r="N446" s="412">
        <v>1</v>
      </c>
    </row>
    <row r="447" spans="2:14" ht="15.75" thickBot="1" x14ac:dyDescent="0.3">
      <c r="B447" s="400"/>
      <c r="C447" s="401"/>
      <c r="D447" s="401"/>
      <c r="E447" s="401"/>
      <c r="F447" s="444"/>
      <c r="G447" s="444"/>
      <c r="H447" s="444"/>
      <c r="I447" s="444"/>
      <c r="J447" s="444"/>
      <c r="K447" s="444"/>
      <c r="L447" s="444"/>
      <c r="M447" s="455" t="s">
        <v>24693</v>
      </c>
      <c r="N447" s="415">
        <f>TRUNC(N445/N446,2)</f>
        <v>4.2</v>
      </c>
    </row>
    <row r="448" spans="2:14" ht="15.75" thickBot="1" x14ac:dyDescent="0.3">
      <c r="B448" s="456"/>
      <c r="C448" s="457"/>
      <c r="D448" s="457"/>
      <c r="E448" s="457"/>
      <c r="F448" s="457"/>
      <c r="G448" s="457"/>
      <c r="H448" s="457"/>
      <c r="I448" s="457"/>
      <c r="J448" s="457"/>
      <c r="K448" s="457"/>
      <c r="L448" s="457"/>
      <c r="M448" s="457"/>
      <c r="N448" s="404"/>
    </row>
    <row r="449" spans="2:14" ht="30" x14ac:dyDescent="0.25">
      <c r="B449" s="392" t="s">
        <v>0</v>
      </c>
      <c r="C449" s="393" t="s">
        <v>24673</v>
      </c>
      <c r="D449" s="1465" t="s">
        <v>24694</v>
      </c>
      <c r="E449" s="1465"/>
      <c r="F449" s="1465"/>
      <c r="G449" s="1465"/>
      <c r="H449" s="1465"/>
      <c r="I449" s="1466"/>
      <c r="J449" s="441" t="s">
        <v>3686</v>
      </c>
      <c r="K449" s="441" t="s">
        <v>24695</v>
      </c>
      <c r="L449" s="441"/>
      <c r="M449" s="441" t="s">
        <v>24683</v>
      </c>
      <c r="N449" s="395" t="s">
        <v>24689</v>
      </c>
    </row>
    <row r="450" spans="2:14" ht="15" x14ac:dyDescent="0.25">
      <c r="B450" s="446">
        <v>7304</v>
      </c>
      <c r="C450" s="458" t="s">
        <v>24706</v>
      </c>
      <c r="D450" s="1494" t="s">
        <v>24764</v>
      </c>
      <c r="E450" s="1494"/>
      <c r="F450" s="1494"/>
      <c r="G450" s="1494"/>
      <c r="H450" s="1494"/>
      <c r="I450" s="1495"/>
      <c r="J450" s="442" t="s">
        <v>4438</v>
      </c>
      <c r="K450" s="427">
        <v>15.02</v>
      </c>
      <c r="L450" s="427"/>
      <c r="M450" s="447">
        <v>4.2999999999999997E-2</v>
      </c>
      <c r="N450" s="443">
        <f>K450*M450</f>
        <v>0.65</v>
      </c>
    </row>
    <row r="451" spans="2:14" ht="15" x14ac:dyDescent="0.25">
      <c r="B451" s="446">
        <v>12815</v>
      </c>
      <c r="C451" s="458" t="s">
        <v>24706</v>
      </c>
      <c r="D451" s="1494" t="s">
        <v>24751</v>
      </c>
      <c r="E451" s="1494"/>
      <c r="F451" s="1494"/>
      <c r="G451" s="1494"/>
      <c r="H451" s="1494"/>
      <c r="I451" s="1495"/>
      <c r="J451" s="442" t="s">
        <v>24750</v>
      </c>
      <c r="K451" s="427">
        <v>8.18</v>
      </c>
      <c r="L451" s="427"/>
      <c r="M451" s="447">
        <v>0.04</v>
      </c>
      <c r="N451" s="443">
        <f>K451*M451</f>
        <v>0.33</v>
      </c>
    </row>
    <row r="452" spans="2:14" ht="15" x14ac:dyDescent="0.25">
      <c r="B452" s="446"/>
      <c r="C452" s="458"/>
      <c r="D452" s="1463"/>
      <c r="E452" s="1463"/>
      <c r="F452" s="1463"/>
      <c r="G452" s="1463"/>
      <c r="H452" s="1463"/>
      <c r="I452" s="1464"/>
      <c r="J452" s="442"/>
      <c r="K452" s="442"/>
      <c r="L452" s="442"/>
      <c r="M452" s="447"/>
      <c r="N452" s="443"/>
    </row>
    <row r="453" spans="2:14" ht="15.75" thickBot="1" x14ac:dyDescent="0.3">
      <c r="B453" s="400"/>
      <c r="C453" s="401"/>
      <c r="D453" s="401"/>
      <c r="E453" s="401"/>
      <c r="F453" s="444"/>
      <c r="G453" s="444"/>
      <c r="H453" s="444"/>
      <c r="I453" s="444"/>
      <c r="J453" s="444"/>
      <c r="K453" s="444"/>
      <c r="L453" s="444"/>
      <c r="M453" s="455" t="s">
        <v>24696</v>
      </c>
      <c r="N453" s="403">
        <f>SUM(N450:N451)</f>
        <v>0.98</v>
      </c>
    </row>
    <row r="454" spans="2:14" ht="15.75" thickBot="1" x14ac:dyDescent="0.3">
      <c r="B454" s="456"/>
      <c r="C454" s="457"/>
      <c r="D454" s="457"/>
      <c r="E454" s="457"/>
      <c r="F454" s="457"/>
      <c r="G454" s="457"/>
      <c r="H454" s="457"/>
      <c r="I454" s="457"/>
      <c r="J454" s="457"/>
      <c r="K454" s="457"/>
      <c r="L454" s="457"/>
      <c r="M454" s="457"/>
      <c r="N454" s="404"/>
    </row>
    <row r="455" spans="2:14" ht="30" x14ac:dyDescent="0.25">
      <c r="B455" s="392" t="s">
        <v>0</v>
      </c>
      <c r="C455" s="441" t="s">
        <v>24673</v>
      </c>
      <c r="D455" s="1465" t="s">
        <v>24697</v>
      </c>
      <c r="E455" s="1465"/>
      <c r="F455" s="1465"/>
      <c r="G455" s="1465"/>
      <c r="H455" s="1465"/>
      <c r="I455" s="1466"/>
      <c r="J455" s="441" t="s">
        <v>3686</v>
      </c>
      <c r="K455" s="441" t="s">
        <v>24695</v>
      </c>
      <c r="L455" s="441"/>
      <c r="M455" s="441" t="s">
        <v>24683</v>
      </c>
      <c r="N455" s="395" t="s">
        <v>24689</v>
      </c>
    </row>
    <row r="456" spans="2:14" ht="15" x14ac:dyDescent="0.25">
      <c r="B456" s="416"/>
      <c r="C456" s="417"/>
      <c r="D456" s="1463"/>
      <c r="E456" s="1463"/>
      <c r="F456" s="1463"/>
      <c r="G456" s="1463"/>
      <c r="H456" s="1463"/>
      <c r="I456" s="1464"/>
      <c r="J456" s="451"/>
      <c r="K456" s="451"/>
      <c r="L456" s="451"/>
      <c r="M456" s="419"/>
      <c r="N456" s="420"/>
    </row>
    <row r="457" spans="2:14" ht="15.75" thickBot="1" x14ac:dyDescent="0.3">
      <c r="B457" s="400"/>
      <c r="C457" s="401"/>
      <c r="D457" s="401"/>
      <c r="E457" s="401"/>
      <c r="F457" s="444"/>
      <c r="G457" s="444"/>
      <c r="H457" s="444"/>
      <c r="I457" s="444"/>
      <c r="J457" s="444"/>
      <c r="K457" s="444"/>
      <c r="L457" s="444"/>
      <c r="M457" s="455" t="s">
        <v>24698</v>
      </c>
      <c r="N457" s="403">
        <f>SUM(N456:N456)</f>
        <v>0</v>
      </c>
    </row>
    <row r="458" spans="2:14" ht="15.75" thickBot="1" x14ac:dyDescent="0.3">
      <c r="B458" s="456"/>
      <c r="C458" s="457"/>
      <c r="D458" s="457"/>
      <c r="E458" s="457"/>
      <c r="F458" s="457"/>
      <c r="G458" s="457"/>
      <c r="H458" s="457"/>
      <c r="I458" s="457"/>
      <c r="J458" s="457"/>
      <c r="K458" s="457"/>
      <c r="L458" s="457"/>
      <c r="M458" s="457"/>
      <c r="N458" s="404"/>
    </row>
    <row r="459" spans="2:14" ht="30" x14ac:dyDescent="0.25">
      <c r="B459" s="392" t="s">
        <v>0</v>
      </c>
      <c r="C459" s="441" t="s">
        <v>24673</v>
      </c>
      <c r="D459" s="1465" t="s">
        <v>24699</v>
      </c>
      <c r="E459" s="1465"/>
      <c r="F459" s="1465"/>
      <c r="G459" s="1466"/>
      <c r="H459" s="441" t="s">
        <v>3686</v>
      </c>
      <c r="I459" s="441" t="s">
        <v>24700</v>
      </c>
      <c r="J459" s="441" t="s">
        <v>24701</v>
      </c>
      <c r="K459" s="441" t="s">
        <v>24695</v>
      </c>
      <c r="L459" s="441"/>
      <c r="M459" s="441" t="s">
        <v>24683</v>
      </c>
      <c r="N459" s="395" t="s">
        <v>24689</v>
      </c>
    </row>
    <row r="460" spans="2:14" ht="15" x14ac:dyDescent="0.25">
      <c r="B460" s="446"/>
      <c r="C460" s="458"/>
      <c r="D460" s="1494"/>
      <c r="E460" s="1494"/>
      <c r="F460" s="1494"/>
      <c r="G460" s="1494"/>
      <c r="H460" s="442"/>
      <c r="I460" s="442"/>
      <c r="J460" s="442"/>
      <c r="K460" s="442"/>
      <c r="L460" s="442"/>
      <c r="M460" s="447"/>
      <c r="N460" s="443"/>
    </row>
    <row r="461" spans="2:14" ht="15" x14ac:dyDescent="0.25">
      <c r="B461" s="456"/>
      <c r="C461" s="457"/>
      <c r="D461" s="457"/>
      <c r="E461" s="457"/>
      <c r="F461" s="448"/>
      <c r="G461" s="448"/>
      <c r="H461" s="448"/>
      <c r="I461" s="448"/>
      <c r="J461" s="448"/>
      <c r="K461" s="448"/>
      <c r="L461" s="448"/>
      <c r="M461" s="409" t="s">
        <v>24702</v>
      </c>
      <c r="N461" s="410">
        <f>SUM(N460:N460)</f>
        <v>0</v>
      </c>
    </row>
    <row r="462" spans="2:14" ht="15" x14ac:dyDescent="0.25">
      <c r="B462" s="456"/>
      <c r="C462" s="457"/>
      <c r="D462" s="457"/>
      <c r="E462" s="457"/>
      <c r="F462" s="457"/>
      <c r="G462" s="457"/>
      <c r="H462" s="457"/>
      <c r="I462" s="457"/>
      <c r="J462" s="457"/>
      <c r="K462" s="457"/>
      <c r="L462" s="457"/>
      <c r="M462" s="457"/>
      <c r="N462" s="404"/>
    </row>
    <row r="463" spans="2:14" ht="15" x14ac:dyDescent="0.25">
      <c r="B463" s="421"/>
      <c r="C463" s="422"/>
      <c r="D463" s="422"/>
      <c r="E463" s="422"/>
      <c r="F463" s="452"/>
      <c r="G463" s="452"/>
      <c r="H463" s="452"/>
      <c r="I463" s="452"/>
      <c r="J463" s="452"/>
      <c r="K463" s="452"/>
      <c r="L463" s="452"/>
      <c r="M463" s="424" t="s">
        <v>24703</v>
      </c>
      <c r="N463" s="412">
        <f>N447+N453+N457+N461</f>
        <v>5.18</v>
      </c>
    </row>
    <row r="464" spans="2:14" ht="15" x14ac:dyDescent="0.25">
      <c r="B464" s="456"/>
      <c r="C464" s="457"/>
      <c r="D464" s="457"/>
      <c r="E464" s="457"/>
      <c r="F464" s="448"/>
      <c r="G464" s="448"/>
      <c r="H464" s="448"/>
      <c r="I464" s="448"/>
      <c r="J464" s="448"/>
      <c r="K464" s="448"/>
      <c r="L464" s="448"/>
      <c r="M464" s="752">
        <f>'Planilha - Orla'!I3</f>
        <v>0.28220000000000001</v>
      </c>
      <c r="N464" s="412">
        <f>N463*M464</f>
        <v>1.46</v>
      </c>
    </row>
    <row r="465" spans="2:14" ht="15.75" thickBot="1" x14ac:dyDescent="0.3">
      <c r="B465" s="1472" t="s">
        <v>24704</v>
      </c>
      <c r="C465" s="1473"/>
      <c r="D465" s="1473"/>
      <c r="E465" s="1473"/>
      <c r="F465" s="1473"/>
      <c r="G465" s="1473"/>
      <c r="H465" s="1473"/>
      <c r="I465" s="1473"/>
      <c r="J465" s="1473"/>
      <c r="K465" s="1473"/>
      <c r="L465" s="1473"/>
      <c r="M465" s="1474"/>
      <c r="N465" s="415">
        <f>N463+N464</f>
        <v>6.64</v>
      </c>
    </row>
    <row r="467" spans="2:14" ht="15" thickBot="1" x14ac:dyDescent="0.3"/>
    <row r="468" spans="2:14" ht="49.5" customHeight="1" x14ac:dyDescent="0.25">
      <c r="B468" s="1479" t="s">
        <v>24775</v>
      </c>
      <c r="C468" s="1480"/>
      <c r="D468" s="1481"/>
      <c r="E468" s="1482" t="s">
        <v>24669</v>
      </c>
      <c r="F468" s="1482"/>
      <c r="G468" s="1482"/>
      <c r="H468" s="1482"/>
      <c r="I468" s="1482"/>
      <c r="J468" s="1482"/>
      <c r="K468" s="1482"/>
      <c r="L468" s="453"/>
      <c r="M468" s="1483"/>
      <c r="N468" s="1484"/>
    </row>
    <row r="469" spans="2:14" ht="15" x14ac:dyDescent="0.25">
      <c r="B469" s="391" t="s">
        <v>24670</v>
      </c>
      <c r="C469" s="1485" t="s">
        <v>24857</v>
      </c>
      <c r="D469" s="1485"/>
      <c r="E469" s="1485"/>
      <c r="F469" s="1485"/>
      <c r="G469" s="1485"/>
      <c r="H469" s="1485"/>
      <c r="I469" s="1485"/>
      <c r="J469" s="1485"/>
      <c r="K469" s="1485"/>
      <c r="L469" s="1485"/>
      <c r="M469" s="1485"/>
      <c r="N469" s="1486"/>
    </row>
    <row r="470" spans="2:14" ht="15" x14ac:dyDescent="0.25">
      <c r="B470" s="391" t="s">
        <v>24671</v>
      </c>
      <c r="C470" s="1487" t="s">
        <v>8</v>
      </c>
      <c r="D470" s="1487"/>
      <c r="E470" s="1487"/>
      <c r="F470" s="1487"/>
      <c r="G470" s="1487"/>
      <c r="H470" s="1487"/>
      <c r="I470" s="1487"/>
      <c r="J470" s="1487"/>
      <c r="K470" s="1487"/>
      <c r="L470" s="1487"/>
      <c r="M470" s="1487"/>
      <c r="N470" s="1488"/>
    </row>
    <row r="471" spans="2:14" ht="15.75" thickBot="1" x14ac:dyDescent="0.3">
      <c r="B471" s="391" t="s">
        <v>24672</v>
      </c>
      <c r="C471" s="1489">
        <v>44501</v>
      </c>
      <c r="D471" s="1490"/>
      <c r="E471" s="1490"/>
      <c r="F471" s="1490"/>
      <c r="G471" s="1490"/>
      <c r="H471" s="1490"/>
      <c r="I471" s="1490"/>
      <c r="J471" s="1490"/>
      <c r="K471" s="1490"/>
      <c r="L471" s="1490"/>
      <c r="M471" s="1490"/>
      <c r="N471" s="1491"/>
    </row>
    <row r="472" spans="2:14" ht="30" x14ac:dyDescent="0.25">
      <c r="B472" s="392" t="s">
        <v>0</v>
      </c>
      <c r="C472" s="393" t="s">
        <v>24673</v>
      </c>
      <c r="D472" s="1465" t="s">
        <v>24674</v>
      </c>
      <c r="E472" s="1465"/>
      <c r="F472" s="1465"/>
      <c r="G472" s="1466"/>
      <c r="H472" s="441" t="s">
        <v>111</v>
      </c>
      <c r="I472" s="441" t="s">
        <v>24675</v>
      </c>
      <c r="J472" s="441" t="s">
        <v>24676</v>
      </c>
      <c r="K472" s="441" t="s">
        <v>24677</v>
      </c>
      <c r="L472" s="441"/>
      <c r="M472" s="441" t="s">
        <v>24678</v>
      </c>
      <c r="N472" s="395" t="s">
        <v>24679</v>
      </c>
    </row>
    <row r="473" spans="2:14" ht="15" x14ac:dyDescent="0.25">
      <c r="B473" s="446"/>
      <c r="C473" s="397"/>
      <c r="D473" s="1494"/>
      <c r="E473" s="1494"/>
      <c r="F473" s="1494"/>
      <c r="G473" s="1495"/>
      <c r="H473" s="442"/>
      <c r="I473" s="442"/>
      <c r="J473" s="442"/>
      <c r="K473" s="442"/>
      <c r="L473" s="442"/>
      <c r="M473" s="442"/>
      <c r="N473" s="443"/>
    </row>
    <row r="474" spans="2:14" ht="15.75" thickBot="1" x14ac:dyDescent="0.3">
      <c r="B474" s="400"/>
      <c r="C474" s="401"/>
      <c r="D474" s="401"/>
      <c r="E474" s="401"/>
      <c r="F474" s="444"/>
      <c r="G474" s="444"/>
      <c r="H474" s="444"/>
      <c r="I474" s="444"/>
      <c r="J474" s="444"/>
      <c r="K474" s="444"/>
      <c r="L474" s="444"/>
      <c r="M474" s="455" t="s">
        <v>24680</v>
      </c>
      <c r="N474" s="403">
        <f>SUM(N473)</f>
        <v>0</v>
      </c>
    </row>
    <row r="475" spans="2:14" ht="15.75" thickBot="1" x14ac:dyDescent="0.3">
      <c r="B475" s="456"/>
      <c r="C475" s="457"/>
      <c r="D475" s="457"/>
      <c r="E475" s="457"/>
      <c r="F475" s="457"/>
      <c r="G475" s="457"/>
      <c r="H475" s="457"/>
      <c r="I475" s="457"/>
      <c r="J475" s="457"/>
      <c r="K475" s="457"/>
      <c r="L475" s="457"/>
      <c r="M475" s="457"/>
      <c r="N475" s="404"/>
    </row>
    <row r="476" spans="2:14" ht="45" x14ac:dyDescent="0.25">
      <c r="B476" s="392" t="s">
        <v>0</v>
      </c>
      <c r="C476" s="393" t="s">
        <v>24673</v>
      </c>
      <c r="D476" s="1465" t="s">
        <v>24681</v>
      </c>
      <c r="E476" s="1465"/>
      <c r="F476" s="1465"/>
      <c r="G476" s="1465"/>
      <c r="H476" s="1466"/>
      <c r="I476" s="441" t="s">
        <v>3686</v>
      </c>
      <c r="J476" s="441" t="s">
        <v>24682</v>
      </c>
      <c r="K476" s="441" t="s">
        <v>24861</v>
      </c>
      <c r="L476" s="441" t="s">
        <v>24862</v>
      </c>
      <c r="M476" s="441" t="s">
        <v>24683</v>
      </c>
      <c r="N476" s="395" t="s">
        <v>24679</v>
      </c>
    </row>
    <row r="477" spans="2:14" ht="15" x14ac:dyDescent="0.25">
      <c r="B477" s="446">
        <v>10139</v>
      </c>
      <c r="C477" s="458" t="s">
        <v>4389</v>
      </c>
      <c r="D477" s="1463" t="s">
        <v>24858</v>
      </c>
      <c r="E477" s="1463"/>
      <c r="F477" s="1463"/>
      <c r="G477" s="1463"/>
      <c r="H477" s="1464"/>
      <c r="I477" s="442" t="s">
        <v>75</v>
      </c>
      <c r="J477" s="406">
        <v>1.5727</v>
      </c>
      <c r="K477" s="427">
        <v>7.43</v>
      </c>
      <c r="L477" s="427">
        <f>K477*(1+J477)</f>
        <v>19.12</v>
      </c>
      <c r="M477" s="447">
        <v>0.3</v>
      </c>
      <c r="N477" s="443">
        <f>L477*M477</f>
        <v>5.74</v>
      </c>
    </row>
    <row r="478" spans="2:14" ht="15" x14ac:dyDescent="0.25">
      <c r="B478" s="446">
        <v>10146</v>
      </c>
      <c r="C478" s="458" t="s">
        <v>4389</v>
      </c>
      <c r="D478" s="1463" t="s">
        <v>24710</v>
      </c>
      <c r="E478" s="1463"/>
      <c r="F478" s="1463"/>
      <c r="G478" s="1463"/>
      <c r="H478" s="1464"/>
      <c r="I478" s="442" t="s">
        <v>75</v>
      </c>
      <c r="J478" s="406">
        <v>1.5727</v>
      </c>
      <c r="K478" s="427">
        <v>5.46</v>
      </c>
      <c r="L478" s="427">
        <f>K478*(1+J478)</f>
        <v>14.05</v>
      </c>
      <c r="M478" s="447">
        <v>1.2</v>
      </c>
      <c r="N478" s="443">
        <f>L478*M478</f>
        <v>16.86</v>
      </c>
    </row>
    <row r="479" spans="2:14" ht="15.75" thickBot="1" x14ac:dyDescent="0.3">
      <c r="B479" s="400"/>
      <c r="C479" s="401"/>
      <c r="D479" s="401"/>
      <c r="E479" s="401"/>
      <c r="F479" s="444"/>
      <c r="G479" s="444"/>
      <c r="H479" s="444"/>
      <c r="I479" s="444"/>
      <c r="J479" s="444"/>
      <c r="K479" s="444"/>
      <c r="L479" s="444"/>
      <c r="M479" s="455" t="s">
        <v>24684</v>
      </c>
      <c r="N479" s="403">
        <f>SUM(N477:N478)</f>
        <v>22.6</v>
      </c>
    </row>
    <row r="480" spans="2:14" ht="15.75" thickBot="1" x14ac:dyDescent="0.3">
      <c r="B480" s="456"/>
      <c r="C480" s="457"/>
      <c r="D480" s="457"/>
      <c r="E480" s="457"/>
      <c r="F480" s="457"/>
      <c r="G480" s="457"/>
      <c r="H480" s="457"/>
      <c r="I480" s="448"/>
      <c r="J480" s="448"/>
      <c r="K480" s="457"/>
      <c r="L480" s="457"/>
      <c r="M480" s="457"/>
      <c r="N480" s="404"/>
    </row>
    <row r="481" spans="2:14" ht="30" x14ac:dyDescent="0.25">
      <c r="B481" s="392" t="s">
        <v>0</v>
      </c>
      <c r="C481" s="393" t="s">
        <v>24673</v>
      </c>
      <c r="D481" s="1465" t="s">
        <v>24685</v>
      </c>
      <c r="E481" s="1465"/>
      <c r="F481" s="1465"/>
      <c r="G481" s="1465"/>
      <c r="H481" s="1466"/>
      <c r="I481" s="441" t="s">
        <v>2858</v>
      </c>
      <c r="J481" s="441" t="s">
        <v>24686</v>
      </c>
      <c r="K481" s="441" t="s">
        <v>24687</v>
      </c>
      <c r="L481" s="441"/>
      <c r="M481" s="441" t="s">
        <v>24688</v>
      </c>
      <c r="N481" s="395" t="s">
        <v>24689</v>
      </c>
    </row>
    <row r="482" spans="2:14" ht="15" x14ac:dyDescent="0.25">
      <c r="B482" s="446"/>
      <c r="C482" s="458"/>
      <c r="D482" s="1463"/>
      <c r="E482" s="1463"/>
      <c r="F482" s="1463"/>
      <c r="G482" s="1463"/>
      <c r="H482" s="1464"/>
      <c r="I482" s="442"/>
      <c r="J482" s="442"/>
      <c r="K482" s="442"/>
      <c r="L482" s="442"/>
      <c r="M482" s="442"/>
      <c r="N482" s="443"/>
    </row>
    <row r="483" spans="2:14" ht="15" x14ac:dyDescent="0.25">
      <c r="B483" s="456"/>
      <c r="C483" s="457"/>
      <c r="D483" s="457"/>
      <c r="E483" s="457"/>
      <c r="F483" s="448"/>
      <c r="G483" s="448"/>
      <c r="H483" s="448"/>
      <c r="I483" s="448"/>
      <c r="J483" s="448"/>
      <c r="K483" s="448"/>
      <c r="L483" s="448"/>
      <c r="M483" s="409" t="s">
        <v>24690</v>
      </c>
      <c r="N483" s="410">
        <f>SUM(N482:N482)</f>
        <v>0</v>
      </c>
    </row>
    <row r="484" spans="2:14" ht="15" x14ac:dyDescent="0.25">
      <c r="B484" s="456"/>
      <c r="C484" s="457"/>
      <c r="D484" s="457"/>
      <c r="E484" s="457"/>
      <c r="F484" s="457"/>
      <c r="G484" s="457"/>
      <c r="H484" s="457"/>
      <c r="I484" s="457"/>
      <c r="J484" s="457"/>
      <c r="K484" s="457"/>
      <c r="L484" s="457"/>
      <c r="M484" s="457"/>
      <c r="N484" s="404"/>
    </row>
    <row r="485" spans="2:14" ht="15" x14ac:dyDescent="0.25">
      <c r="B485" s="456"/>
      <c r="C485" s="457"/>
      <c r="D485" s="457"/>
      <c r="E485" s="457"/>
      <c r="F485" s="448"/>
      <c r="G485" s="448"/>
      <c r="H485" s="448"/>
      <c r="I485" s="449"/>
      <c r="J485" s="449"/>
      <c r="K485" s="449"/>
      <c r="L485" s="449"/>
      <c r="M485" s="409" t="s">
        <v>24691</v>
      </c>
      <c r="N485" s="412">
        <f>N474+N479+N483</f>
        <v>22.6</v>
      </c>
    </row>
    <row r="486" spans="2:14" ht="15" x14ac:dyDescent="0.25">
      <c r="B486" s="456"/>
      <c r="C486" s="457"/>
      <c r="D486" s="457"/>
      <c r="E486" s="457"/>
      <c r="F486" s="448"/>
      <c r="G486" s="448"/>
      <c r="H486" s="448"/>
      <c r="I486" s="448"/>
      <c r="J486" s="450"/>
      <c r="K486" s="450"/>
      <c r="L486" s="450"/>
      <c r="M486" s="414" t="s">
        <v>24692</v>
      </c>
      <c r="N486" s="412">
        <v>1</v>
      </c>
    </row>
    <row r="487" spans="2:14" ht="15.75" thickBot="1" x14ac:dyDescent="0.3">
      <c r="B487" s="400"/>
      <c r="C487" s="401"/>
      <c r="D487" s="401"/>
      <c r="E487" s="401"/>
      <c r="F487" s="444"/>
      <c r="G487" s="444"/>
      <c r="H487" s="444"/>
      <c r="I487" s="444"/>
      <c r="J487" s="444"/>
      <c r="K487" s="444"/>
      <c r="L487" s="444"/>
      <c r="M487" s="455" t="s">
        <v>24693</v>
      </c>
      <c r="N487" s="415">
        <f>TRUNC(N485/N486,2)</f>
        <v>22.6</v>
      </c>
    </row>
    <row r="488" spans="2:14" ht="15.75" thickBot="1" x14ac:dyDescent="0.3">
      <c r="B488" s="456"/>
      <c r="C488" s="457"/>
      <c r="D488" s="457"/>
      <c r="E488" s="457"/>
      <c r="F488" s="457"/>
      <c r="G488" s="457"/>
      <c r="H488" s="457"/>
      <c r="I488" s="457"/>
      <c r="J488" s="457"/>
      <c r="K488" s="457"/>
      <c r="L488" s="457"/>
      <c r="M488" s="457"/>
      <c r="N488" s="404"/>
    </row>
    <row r="489" spans="2:14" ht="30" x14ac:dyDescent="0.25">
      <c r="B489" s="392" t="s">
        <v>0</v>
      </c>
      <c r="C489" s="393" t="s">
        <v>24673</v>
      </c>
      <c r="D489" s="1465" t="s">
        <v>24694</v>
      </c>
      <c r="E489" s="1465"/>
      <c r="F489" s="1465"/>
      <c r="G489" s="1465"/>
      <c r="H489" s="1465"/>
      <c r="I489" s="1466"/>
      <c r="J489" s="441" t="s">
        <v>3686</v>
      </c>
      <c r="K489" s="441" t="s">
        <v>24695</v>
      </c>
      <c r="L489" s="441"/>
      <c r="M489" s="441" t="s">
        <v>24683</v>
      </c>
      <c r="N489" s="395" t="s">
        <v>24689</v>
      </c>
    </row>
    <row r="490" spans="2:14" ht="15" x14ac:dyDescent="0.25">
      <c r="B490" s="446">
        <v>40376</v>
      </c>
      <c r="C490" s="458" t="s">
        <v>4389</v>
      </c>
      <c r="D490" s="1463" t="s">
        <v>3694</v>
      </c>
      <c r="E490" s="1463"/>
      <c r="F490" s="1463"/>
      <c r="G490" s="1463"/>
      <c r="H490" s="1463"/>
      <c r="I490" s="1464"/>
      <c r="J490" s="442" t="s">
        <v>20</v>
      </c>
      <c r="K490" s="427">
        <v>16.12</v>
      </c>
      <c r="L490" s="427"/>
      <c r="M490" s="447">
        <v>21.52</v>
      </c>
      <c r="N490" s="443">
        <f>K490*M490</f>
        <v>346.9</v>
      </c>
    </row>
    <row r="491" spans="2:14" ht="15" x14ac:dyDescent="0.25">
      <c r="B491" s="446">
        <v>40358</v>
      </c>
      <c r="C491" s="458" t="s">
        <v>4389</v>
      </c>
      <c r="D491" s="1463" t="s">
        <v>24859</v>
      </c>
      <c r="E491" s="1463"/>
      <c r="F491" s="1463"/>
      <c r="G491" s="1463"/>
      <c r="H491" s="1463"/>
      <c r="I491" s="1464"/>
      <c r="J491" s="442" t="s">
        <v>6</v>
      </c>
      <c r="K491" s="427">
        <v>527.36</v>
      </c>
      <c r="L491" s="427"/>
      <c r="M491" s="447">
        <v>0.36</v>
      </c>
      <c r="N491" s="443">
        <f t="shared" ref="N491:N492" si="7">K491*M491</f>
        <v>189.85</v>
      </c>
    </row>
    <row r="492" spans="2:14" ht="15" x14ac:dyDescent="0.25">
      <c r="B492" s="446">
        <v>40313</v>
      </c>
      <c r="C492" s="458" t="s">
        <v>4389</v>
      </c>
      <c r="D492" s="1463" t="s">
        <v>24860</v>
      </c>
      <c r="E492" s="1463"/>
      <c r="F492" s="1463"/>
      <c r="G492" s="1463"/>
      <c r="H492" s="1463"/>
      <c r="I492" s="1464"/>
      <c r="J492" s="442" t="s">
        <v>5</v>
      </c>
      <c r="K492" s="427">
        <v>71.38</v>
      </c>
      <c r="L492" s="427"/>
      <c r="M492" s="447">
        <v>5.04</v>
      </c>
      <c r="N492" s="443">
        <f t="shared" si="7"/>
        <v>359.76</v>
      </c>
    </row>
    <row r="493" spans="2:14" ht="15" x14ac:dyDescent="0.25">
      <c r="B493" s="446"/>
      <c r="C493" s="458"/>
      <c r="D493" s="1463"/>
      <c r="E493" s="1463"/>
      <c r="F493" s="1463"/>
      <c r="G493" s="1463"/>
      <c r="H493" s="1463"/>
      <c r="I493" s="1464"/>
      <c r="J493" s="442"/>
      <c r="K493" s="442"/>
      <c r="L493" s="442"/>
      <c r="M493" s="447"/>
      <c r="N493" s="443"/>
    </row>
    <row r="494" spans="2:14" ht="15.75" thickBot="1" x14ac:dyDescent="0.3">
      <c r="B494" s="400"/>
      <c r="C494" s="401"/>
      <c r="D494" s="401"/>
      <c r="E494" s="401"/>
      <c r="F494" s="444"/>
      <c r="G494" s="444"/>
      <c r="H494" s="444"/>
      <c r="I494" s="444"/>
      <c r="J494" s="444"/>
      <c r="K494" s="444"/>
      <c r="L494" s="444"/>
      <c r="M494" s="455" t="s">
        <v>24696</v>
      </c>
      <c r="N494" s="403">
        <f>SUM(N490:N492)</f>
        <v>896.51</v>
      </c>
    </row>
    <row r="495" spans="2:14" ht="15.75" thickBot="1" x14ac:dyDescent="0.3">
      <c r="B495" s="456"/>
      <c r="C495" s="457"/>
      <c r="D495" s="457"/>
      <c r="E495" s="457"/>
      <c r="F495" s="457"/>
      <c r="G495" s="457"/>
      <c r="H495" s="457"/>
      <c r="I495" s="457"/>
      <c r="J495" s="457"/>
      <c r="K495" s="457"/>
      <c r="L495" s="457"/>
      <c r="M495" s="457"/>
      <c r="N495" s="404"/>
    </row>
    <row r="496" spans="2:14" ht="30" x14ac:dyDescent="0.25">
      <c r="B496" s="392" t="s">
        <v>0</v>
      </c>
      <c r="C496" s="441" t="s">
        <v>24673</v>
      </c>
      <c r="D496" s="1465" t="s">
        <v>24697</v>
      </c>
      <c r="E496" s="1465"/>
      <c r="F496" s="1465"/>
      <c r="G496" s="1465"/>
      <c r="H496" s="1465"/>
      <c r="I496" s="1466"/>
      <c r="J496" s="441" t="s">
        <v>3686</v>
      </c>
      <c r="K496" s="441" t="s">
        <v>24695</v>
      </c>
      <c r="L496" s="441"/>
      <c r="M496" s="441" t="s">
        <v>24683</v>
      </c>
      <c r="N496" s="395" t="s">
        <v>24689</v>
      </c>
    </row>
    <row r="497" spans="2:14" ht="15" x14ac:dyDescent="0.25">
      <c r="B497" s="416"/>
      <c r="C497" s="417"/>
      <c r="D497" s="1463"/>
      <c r="E497" s="1463"/>
      <c r="F497" s="1463"/>
      <c r="G497" s="1463"/>
      <c r="H497" s="1463"/>
      <c r="I497" s="1464"/>
      <c r="J497" s="451"/>
      <c r="K497" s="451"/>
      <c r="L497" s="451"/>
      <c r="M497" s="419"/>
      <c r="N497" s="420"/>
    </row>
    <row r="498" spans="2:14" ht="15.75" thickBot="1" x14ac:dyDescent="0.3">
      <c r="B498" s="400"/>
      <c r="C498" s="401"/>
      <c r="D498" s="401"/>
      <c r="E498" s="401"/>
      <c r="F498" s="444"/>
      <c r="G498" s="444"/>
      <c r="H498" s="444"/>
      <c r="I498" s="444"/>
      <c r="J498" s="444"/>
      <c r="K498" s="444"/>
      <c r="L498" s="444"/>
      <c r="M498" s="455" t="s">
        <v>24698</v>
      </c>
      <c r="N498" s="403">
        <f>SUM(N497:N497)</f>
        <v>0</v>
      </c>
    </row>
    <row r="499" spans="2:14" ht="15.75" thickBot="1" x14ac:dyDescent="0.3">
      <c r="B499" s="456"/>
      <c r="C499" s="457"/>
      <c r="D499" s="457"/>
      <c r="E499" s="457"/>
      <c r="F499" s="457"/>
      <c r="G499" s="457"/>
      <c r="H499" s="457"/>
      <c r="I499" s="457"/>
      <c r="J499" s="457"/>
      <c r="K499" s="457"/>
      <c r="L499" s="457"/>
      <c r="M499" s="457"/>
      <c r="N499" s="404"/>
    </row>
    <row r="500" spans="2:14" ht="30" x14ac:dyDescent="0.25">
      <c r="B500" s="392" t="s">
        <v>0</v>
      </c>
      <c r="C500" s="441" t="s">
        <v>24673</v>
      </c>
      <c r="D500" s="1465" t="s">
        <v>24699</v>
      </c>
      <c r="E500" s="1465"/>
      <c r="F500" s="1465"/>
      <c r="G500" s="1466"/>
      <c r="H500" s="441" t="s">
        <v>3686</v>
      </c>
      <c r="I500" s="441" t="s">
        <v>24700</v>
      </c>
      <c r="J500" s="441" t="s">
        <v>24701</v>
      </c>
      <c r="K500" s="441" t="s">
        <v>24695</v>
      </c>
      <c r="L500" s="441"/>
      <c r="M500" s="441" t="s">
        <v>24683</v>
      </c>
      <c r="N500" s="395" t="s">
        <v>24689</v>
      </c>
    </row>
    <row r="501" spans="2:14" ht="15" x14ac:dyDescent="0.25">
      <c r="B501" s="446"/>
      <c r="C501" s="458"/>
      <c r="D501" s="1494"/>
      <c r="E501" s="1494"/>
      <c r="F501" s="1494"/>
      <c r="G501" s="1494"/>
      <c r="H501" s="442"/>
      <c r="I501" s="442"/>
      <c r="J501" s="442"/>
      <c r="K501" s="442"/>
      <c r="L501" s="442"/>
      <c r="M501" s="447"/>
      <c r="N501" s="443"/>
    </row>
    <row r="502" spans="2:14" ht="15" x14ac:dyDescent="0.25">
      <c r="B502" s="456"/>
      <c r="C502" s="457"/>
      <c r="D502" s="457"/>
      <c r="E502" s="457"/>
      <c r="F502" s="448"/>
      <c r="G502" s="448"/>
      <c r="H502" s="448"/>
      <c r="I502" s="448"/>
      <c r="J502" s="448"/>
      <c r="K502" s="448"/>
      <c r="L502" s="448"/>
      <c r="M502" s="409" t="s">
        <v>24702</v>
      </c>
      <c r="N502" s="410">
        <f>SUM(N501:N501)</f>
        <v>0</v>
      </c>
    </row>
    <row r="503" spans="2:14" ht="15" x14ac:dyDescent="0.25">
      <c r="B503" s="456"/>
      <c r="C503" s="457"/>
      <c r="D503" s="457"/>
      <c r="E503" s="457"/>
      <c r="F503" s="457"/>
      <c r="G503" s="457"/>
      <c r="H503" s="457"/>
      <c r="I503" s="457"/>
      <c r="J503" s="457"/>
      <c r="K503" s="457"/>
      <c r="L503" s="457"/>
      <c r="M503" s="457"/>
      <c r="N503" s="404"/>
    </row>
    <row r="504" spans="2:14" ht="15" x14ac:dyDescent="0.25">
      <c r="B504" s="421"/>
      <c r="C504" s="422"/>
      <c r="D504" s="422"/>
      <c r="E504" s="422"/>
      <c r="F504" s="452"/>
      <c r="G504" s="452"/>
      <c r="H504" s="452"/>
      <c r="I504" s="452"/>
      <c r="J504" s="452"/>
      <c r="K504" s="452"/>
      <c r="L504" s="452"/>
      <c r="M504" s="424" t="s">
        <v>24703</v>
      </c>
      <c r="N504" s="412">
        <f>N487+N494+N498+N502</f>
        <v>919.11</v>
      </c>
    </row>
    <row r="505" spans="2:14" ht="15" x14ac:dyDescent="0.25">
      <c r="B505" s="456"/>
      <c r="C505" s="457"/>
      <c r="D505" s="457"/>
      <c r="E505" s="457"/>
      <c r="F505" s="448"/>
      <c r="G505" s="448"/>
      <c r="H505" s="448"/>
      <c r="I505" s="448"/>
      <c r="J505" s="448"/>
      <c r="K505" s="448"/>
      <c r="L505" s="448"/>
      <c r="M505" s="752">
        <f>'Planilha - Orla'!I3</f>
        <v>0.28220000000000001</v>
      </c>
      <c r="N505" s="412">
        <f>N504*M505</f>
        <v>259.37</v>
      </c>
    </row>
    <row r="506" spans="2:14" ht="15.75" thickBot="1" x14ac:dyDescent="0.3">
      <c r="B506" s="1472" t="s">
        <v>24704</v>
      </c>
      <c r="C506" s="1473"/>
      <c r="D506" s="1473"/>
      <c r="E506" s="1473"/>
      <c r="F506" s="1473"/>
      <c r="G506" s="1473"/>
      <c r="H506" s="1473"/>
      <c r="I506" s="1473"/>
      <c r="J506" s="1473"/>
      <c r="K506" s="1473"/>
      <c r="L506" s="1473"/>
      <c r="M506" s="1474"/>
      <c r="N506" s="415">
        <f>N504+N505</f>
        <v>1178.48</v>
      </c>
    </row>
    <row r="508" spans="2:14" ht="15" thickBot="1" x14ac:dyDescent="0.3"/>
    <row r="509" spans="2:14" ht="48.75" customHeight="1" x14ac:dyDescent="0.25">
      <c r="B509" s="1479" t="s">
        <v>24919</v>
      </c>
      <c r="C509" s="1480"/>
      <c r="D509" s="1481"/>
      <c r="E509" s="1482" t="s">
        <v>24669</v>
      </c>
      <c r="F509" s="1482"/>
      <c r="G509" s="1482"/>
      <c r="H509" s="1482"/>
      <c r="I509" s="1482"/>
      <c r="J509" s="1482"/>
      <c r="K509" s="1482"/>
      <c r="L509" s="453"/>
      <c r="M509" s="1483"/>
      <c r="N509" s="1484"/>
    </row>
    <row r="510" spans="2:14" ht="15" x14ac:dyDescent="0.25">
      <c r="B510" s="391" t="s">
        <v>24670</v>
      </c>
      <c r="C510" s="1485" t="s">
        <v>24883</v>
      </c>
      <c r="D510" s="1485"/>
      <c r="E510" s="1485"/>
      <c r="F510" s="1485"/>
      <c r="G510" s="1485"/>
      <c r="H510" s="1485"/>
      <c r="I510" s="1485"/>
      <c r="J510" s="1485"/>
      <c r="K510" s="1485"/>
      <c r="L510" s="1485"/>
      <c r="M510" s="1485"/>
      <c r="N510" s="1486"/>
    </row>
    <row r="511" spans="2:14" ht="15" x14ac:dyDescent="0.25">
      <c r="B511" s="391" t="s">
        <v>24671</v>
      </c>
      <c r="C511" s="1487" t="s">
        <v>8</v>
      </c>
      <c r="D511" s="1487"/>
      <c r="E511" s="1487"/>
      <c r="F511" s="1487"/>
      <c r="G511" s="1487"/>
      <c r="H511" s="1487"/>
      <c r="I511" s="1487"/>
      <c r="J511" s="1487"/>
      <c r="K511" s="1487"/>
      <c r="L511" s="1487"/>
      <c r="M511" s="1487"/>
      <c r="N511" s="1488"/>
    </row>
    <row r="512" spans="2:14" ht="15.75" thickBot="1" x14ac:dyDescent="0.3">
      <c r="B512" s="391" t="s">
        <v>24672</v>
      </c>
      <c r="C512" s="1489">
        <v>44501</v>
      </c>
      <c r="D512" s="1490"/>
      <c r="E512" s="1490"/>
      <c r="F512" s="1490"/>
      <c r="G512" s="1490"/>
      <c r="H512" s="1490"/>
      <c r="I512" s="1490"/>
      <c r="J512" s="1490"/>
      <c r="K512" s="1490"/>
      <c r="L512" s="1490"/>
      <c r="M512" s="1490"/>
      <c r="N512" s="1491"/>
    </row>
    <row r="513" spans="2:14" ht="30" x14ac:dyDescent="0.25">
      <c r="B513" s="392" t="s">
        <v>0</v>
      </c>
      <c r="C513" s="393" t="s">
        <v>24673</v>
      </c>
      <c r="D513" s="1465" t="s">
        <v>24674</v>
      </c>
      <c r="E513" s="1465"/>
      <c r="F513" s="1465"/>
      <c r="G513" s="1466"/>
      <c r="H513" s="441" t="s">
        <v>111</v>
      </c>
      <c r="I513" s="441" t="s">
        <v>24675</v>
      </c>
      <c r="J513" s="441" t="s">
        <v>24676</v>
      </c>
      <c r="K513" s="441" t="s">
        <v>24677</v>
      </c>
      <c r="L513" s="441"/>
      <c r="M513" s="441" t="s">
        <v>24678</v>
      </c>
      <c r="N513" s="395" t="s">
        <v>24679</v>
      </c>
    </row>
    <row r="514" spans="2:14" ht="15" x14ac:dyDescent="0.25">
      <c r="B514" s="446"/>
      <c r="C514" s="397"/>
      <c r="D514" s="1494"/>
      <c r="E514" s="1494"/>
      <c r="F514" s="1494"/>
      <c r="G514" s="1495"/>
      <c r="H514" s="442"/>
      <c r="I514" s="442"/>
      <c r="J514" s="442"/>
      <c r="K514" s="442"/>
      <c r="L514" s="442"/>
      <c r="M514" s="442"/>
      <c r="N514" s="443"/>
    </row>
    <row r="515" spans="2:14" ht="15.75" thickBot="1" x14ac:dyDescent="0.3">
      <c r="B515" s="400"/>
      <c r="C515" s="401"/>
      <c r="D515" s="401"/>
      <c r="E515" s="401"/>
      <c r="F515" s="444"/>
      <c r="G515" s="444"/>
      <c r="H515" s="444"/>
      <c r="I515" s="444"/>
      <c r="J515" s="444"/>
      <c r="K515" s="444"/>
      <c r="L515" s="444"/>
      <c r="M515" s="455" t="s">
        <v>24680</v>
      </c>
      <c r="N515" s="403">
        <f>SUM(N514)</f>
        <v>0</v>
      </c>
    </row>
    <row r="516" spans="2:14" ht="15.75" thickBot="1" x14ac:dyDescent="0.3">
      <c r="B516" s="456"/>
      <c r="C516" s="457"/>
      <c r="D516" s="457"/>
      <c r="E516" s="457"/>
      <c r="F516" s="457"/>
      <c r="G516" s="457"/>
      <c r="H516" s="457"/>
      <c r="I516" s="457"/>
      <c r="J516" s="457"/>
      <c r="K516" s="457"/>
      <c r="L516" s="457"/>
      <c r="M516" s="457"/>
      <c r="N516" s="404"/>
    </row>
    <row r="517" spans="2:14" ht="45" x14ac:dyDescent="0.25">
      <c r="B517" s="392" t="s">
        <v>0</v>
      </c>
      <c r="C517" s="393" t="s">
        <v>24673</v>
      </c>
      <c r="D517" s="1465" t="s">
        <v>24681</v>
      </c>
      <c r="E517" s="1465"/>
      <c r="F517" s="1465"/>
      <c r="G517" s="1465"/>
      <c r="H517" s="1466"/>
      <c r="I517" s="441" t="s">
        <v>3686</v>
      </c>
      <c r="J517" s="441" t="s">
        <v>24682</v>
      </c>
      <c r="K517" s="441" t="s">
        <v>24861</v>
      </c>
      <c r="L517" s="441" t="s">
        <v>24862</v>
      </c>
      <c r="M517" s="441" t="s">
        <v>24683</v>
      </c>
      <c r="N517" s="395" t="s">
        <v>24679</v>
      </c>
    </row>
    <row r="518" spans="2:14" ht="15" x14ac:dyDescent="0.25">
      <c r="B518" s="446">
        <v>10101</v>
      </c>
      <c r="C518" s="458" t="s">
        <v>4389</v>
      </c>
      <c r="D518" s="1463" t="s">
        <v>24788</v>
      </c>
      <c r="E518" s="1463"/>
      <c r="F518" s="1463"/>
      <c r="G518" s="1463"/>
      <c r="H518" s="1464"/>
      <c r="I518" s="442" t="s">
        <v>75</v>
      </c>
      <c r="J518" s="406">
        <v>1.5727</v>
      </c>
      <c r="K518" s="427">
        <v>6.27</v>
      </c>
      <c r="L518" s="427">
        <f>K518*(1+J518)</f>
        <v>16.13</v>
      </c>
      <c r="M518" s="447">
        <v>0.3</v>
      </c>
      <c r="N518" s="443">
        <f>L518*M518</f>
        <v>4.84</v>
      </c>
    </row>
    <row r="519" spans="2:14" ht="15" x14ac:dyDescent="0.25">
      <c r="B519" s="446">
        <v>10115</v>
      </c>
      <c r="C519" s="458" t="s">
        <v>4389</v>
      </c>
      <c r="D519" s="1463" t="s">
        <v>24771</v>
      </c>
      <c r="E519" s="1463"/>
      <c r="F519" s="1463"/>
      <c r="G519" s="1463"/>
      <c r="H519" s="1464"/>
      <c r="I519" s="442" t="s">
        <v>75</v>
      </c>
      <c r="J519" s="406">
        <v>1.5727</v>
      </c>
      <c r="K519" s="427">
        <v>7.43</v>
      </c>
      <c r="L519" s="427">
        <f>K519*(1+J519)</f>
        <v>19.12</v>
      </c>
      <c r="M519" s="447">
        <v>0.3</v>
      </c>
      <c r="N519" s="443">
        <f>L519*M519</f>
        <v>5.74</v>
      </c>
    </row>
    <row r="520" spans="2:14" ht="15.75" thickBot="1" x14ac:dyDescent="0.3">
      <c r="B520" s="400"/>
      <c r="C520" s="401"/>
      <c r="D520" s="401"/>
      <c r="E520" s="401"/>
      <c r="F520" s="444"/>
      <c r="G520" s="444"/>
      <c r="H520" s="444"/>
      <c r="I520" s="444"/>
      <c r="J520" s="444"/>
      <c r="K520" s="444"/>
      <c r="L520" s="444"/>
      <c r="M520" s="455" t="s">
        <v>24684</v>
      </c>
      <c r="N520" s="403">
        <f>SUM(N518:N519)</f>
        <v>10.58</v>
      </c>
    </row>
    <row r="521" spans="2:14" ht="15.75" thickBot="1" x14ac:dyDescent="0.3">
      <c r="B521" s="456"/>
      <c r="C521" s="457"/>
      <c r="D521" s="457"/>
      <c r="E521" s="457"/>
      <c r="F521" s="457"/>
      <c r="G521" s="457"/>
      <c r="H521" s="457"/>
      <c r="I521" s="448"/>
      <c r="J521" s="448"/>
      <c r="K521" s="457"/>
      <c r="L521" s="457"/>
      <c r="M521" s="457"/>
      <c r="N521" s="404"/>
    </row>
    <row r="522" spans="2:14" ht="30" x14ac:dyDescent="0.25">
      <c r="B522" s="392" t="s">
        <v>0</v>
      </c>
      <c r="C522" s="393" t="s">
        <v>24673</v>
      </c>
      <c r="D522" s="1465" t="s">
        <v>24685</v>
      </c>
      <c r="E522" s="1465"/>
      <c r="F522" s="1465"/>
      <c r="G522" s="1465"/>
      <c r="H522" s="1466"/>
      <c r="I522" s="441" t="s">
        <v>2858</v>
      </c>
      <c r="J522" s="441" t="s">
        <v>24686</v>
      </c>
      <c r="K522" s="441" t="s">
        <v>24687</v>
      </c>
      <c r="L522" s="441"/>
      <c r="M522" s="441" t="s">
        <v>24688</v>
      </c>
      <c r="N522" s="395" t="s">
        <v>24689</v>
      </c>
    </row>
    <row r="523" spans="2:14" ht="15" x14ac:dyDescent="0.25">
      <c r="B523" s="446"/>
      <c r="C523" s="458"/>
      <c r="D523" s="1463"/>
      <c r="E523" s="1463"/>
      <c r="F523" s="1463"/>
      <c r="G523" s="1463"/>
      <c r="H523" s="1464"/>
      <c r="I523" s="442"/>
      <c r="J523" s="442"/>
      <c r="K523" s="442"/>
      <c r="L523" s="442"/>
      <c r="M523" s="442"/>
      <c r="N523" s="443"/>
    </row>
    <row r="524" spans="2:14" ht="15" x14ac:dyDescent="0.25">
      <c r="B524" s="456"/>
      <c r="C524" s="457"/>
      <c r="D524" s="457"/>
      <c r="E524" s="457"/>
      <c r="F524" s="448"/>
      <c r="G524" s="448"/>
      <c r="H524" s="448"/>
      <c r="I524" s="448"/>
      <c r="J524" s="448"/>
      <c r="K524" s="448"/>
      <c r="L524" s="448"/>
      <c r="M524" s="409" t="s">
        <v>24690</v>
      </c>
      <c r="N524" s="410">
        <f>SUM(N523:N523)</f>
        <v>0</v>
      </c>
    </row>
    <row r="525" spans="2:14" ht="15" x14ac:dyDescent="0.25">
      <c r="B525" s="456"/>
      <c r="C525" s="457"/>
      <c r="D525" s="457"/>
      <c r="E525" s="457"/>
      <c r="F525" s="457"/>
      <c r="G525" s="457"/>
      <c r="H525" s="457"/>
      <c r="I525" s="457"/>
      <c r="J525" s="457"/>
      <c r="K525" s="457"/>
      <c r="L525" s="457"/>
      <c r="M525" s="457"/>
      <c r="N525" s="404"/>
    </row>
    <row r="526" spans="2:14" ht="15" x14ac:dyDescent="0.25">
      <c r="B526" s="456"/>
      <c r="C526" s="457"/>
      <c r="D526" s="457"/>
      <c r="E526" s="457"/>
      <c r="F526" s="448"/>
      <c r="G526" s="448"/>
      <c r="H526" s="448"/>
      <c r="I526" s="449"/>
      <c r="J526" s="449"/>
      <c r="K526" s="449"/>
      <c r="L526" s="449"/>
      <c r="M526" s="409" t="s">
        <v>24691</v>
      </c>
      <c r="N526" s="412">
        <f>N515+N520+N524</f>
        <v>10.58</v>
      </c>
    </row>
    <row r="527" spans="2:14" ht="15" x14ac:dyDescent="0.25">
      <c r="B527" s="456"/>
      <c r="C527" s="457"/>
      <c r="D527" s="457"/>
      <c r="E527" s="457"/>
      <c r="F527" s="448"/>
      <c r="G527" s="448"/>
      <c r="H527" s="448"/>
      <c r="I527" s="448"/>
      <c r="J527" s="450"/>
      <c r="K527" s="450"/>
      <c r="L527" s="450"/>
      <c r="M527" s="414" t="s">
        <v>24692</v>
      </c>
      <c r="N527" s="412">
        <v>1</v>
      </c>
    </row>
    <row r="528" spans="2:14" ht="15.75" thickBot="1" x14ac:dyDescent="0.3">
      <c r="B528" s="400"/>
      <c r="C528" s="401"/>
      <c r="D528" s="401"/>
      <c r="E528" s="401"/>
      <c r="F528" s="444"/>
      <c r="G528" s="444"/>
      <c r="H528" s="444"/>
      <c r="I528" s="444"/>
      <c r="J528" s="444"/>
      <c r="K528" s="444"/>
      <c r="L528" s="444"/>
      <c r="M528" s="455" t="s">
        <v>24693</v>
      </c>
      <c r="N528" s="415">
        <f>TRUNC(N526/N527,2)</f>
        <v>10.58</v>
      </c>
    </row>
    <row r="529" spans="2:14" ht="15.75" thickBot="1" x14ac:dyDescent="0.3">
      <c r="B529" s="456"/>
      <c r="C529" s="457"/>
      <c r="D529" s="457"/>
      <c r="E529" s="457"/>
      <c r="F529" s="457"/>
      <c r="G529" s="457"/>
      <c r="H529" s="457"/>
      <c r="I529" s="457"/>
      <c r="J529" s="457"/>
      <c r="K529" s="457"/>
      <c r="L529" s="457"/>
      <c r="M529" s="457"/>
      <c r="N529" s="404"/>
    </row>
    <row r="530" spans="2:14" ht="30" x14ac:dyDescent="0.25">
      <c r="B530" s="392" t="s">
        <v>0</v>
      </c>
      <c r="C530" s="393" t="s">
        <v>24673</v>
      </c>
      <c r="D530" s="1465" t="s">
        <v>24694</v>
      </c>
      <c r="E530" s="1465"/>
      <c r="F530" s="1465"/>
      <c r="G530" s="1465"/>
      <c r="H530" s="1465"/>
      <c r="I530" s="1466"/>
      <c r="J530" s="441" t="s">
        <v>3686</v>
      </c>
      <c r="K530" s="441" t="s">
        <v>24695</v>
      </c>
      <c r="L530" s="441"/>
      <c r="M530" s="441" t="s">
        <v>24683</v>
      </c>
      <c r="N530" s="395" t="s">
        <v>24689</v>
      </c>
    </row>
    <row r="531" spans="2:14" ht="30" x14ac:dyDescent="0.25">
      <c r="B531" s="446"/>
      <c r="C531" s="458" t="s">
        <v>24708</v>
      </c>
      <c r="D531" s="1463" t="s">
        <v>24883</v>
      </c>
      <c r="E531" s="1463"/>
      <c r="F531" s="1463"/>
      <c r="G531" s="1463"/>
      <c r="H531" s="1463"/>
      <c r="I531" s="1464"/>
      <c r="J531" s="442" t="s">
        <v>24755</v>
      </c>
      <c r="K531" s="427">
        <f>'MAPA DE COT. - Orla'!H15</f>
        <v>694.69</v>
      </c>
      <c r="L531" s="427"/>
      <c r="M531" s="447">
        <v>1</v>
      </c>
      <c r="N531" s="443">
        <f>K531*M531</f>
        <v>694.69</v>
      </c>
    </row>
    <row r="532" spans="2:14" ht="15" x14ac:dyDescent="0.25">
      <c r="B532" s="446"/>
      <c r="C532" s="458"/>
      <c r="D532" s="1463"/>
      <c r="E532" s="1463"/>
      <c r="F532" s="1463"/>
      <c r="G532" s="1463"/>
      <c r="H532" s="1463"/>
      <c r="I532" s="1464"/>
      <c r="J532" s="442"/>
      <c r="K532" s="442"/>
      <c r="L532" s="442"/>
      <c r="M532" s="447"/>
      <c r="N532" s="443"/>
    </row>
    <row r="533" spans="2:14" ht="15.75" thickBot="1" x14ac:dyDescent="0.3">
      <c r="B533" s="400"/>
      <c r="C533" s="401"/>
      <c r="D533" s="401"/>
      <c r="E533" s="401"/>
      <c r="F533" s="444"/>
      <c r="G533" s="444"/>
      <c r="H533" s="444"/>
      <c r="I533" s="444"/>
      <c r="J533" s="444"/>
      <c r="K533" s="444"/>
      <c r="L533" s="444"/>
      <c r="M533" s="455" t="s">
        <v>24696</v>
      </c>
      <c r="N533" s="403">
        <f>SUM(N531:N531)</f>
        <v>694.69</v>
      </c>
    </row>
    <row r="534" spans="2:14" ht="15.75" thickBot="1" x14ac:dyDescent="0.3">
      <c r="B534" s="456"/>
      <c r="C534" s="457"/>
      <c r="D534" s="457"/>
      <c r="E534" s="457"/>
      <c r="F534" s="457"/>
      <c r="G534" s="457"/>
      <c r="H534" s="457"/>
      <c r="I534" s="457"/>
      <c r="J534" s="457"/>
      <c r="K534" s="457"/>
      <c r="L534" s="457"/>
      <c r="M534" s="457"/>
      <c r="N534" s="404"/>
    </row>
    <row r="535" spans="2:14" ht="30" x14ac:dyDescent="0.25">
      <c r="B535" s="392" t="s">
        <v>0</v>
      </c>
      <c r="C535" s="441" t="s">
        <v>24673</v>
      </c>
      <c r="D535" s="1465" t="s">
        <v>24697</v>
      </c>
      <c r="E535" s="1465"/>
      <c r="F535" s="1465"/>
      <c r="G535" s="1465"/>
      <c r="H535" s="1465"/>
      <c r="I535" s="1466"/>
      <c r="J535" s="441" t="s">
        <v>3686</v>
      </c>
      <c r="K535" s="441" t="s">
        <v>24695</v>
      </c>
      <c r="L535" s="441"/>
      <c r="M535" s="441" t="s">
        <v>24683</v>
      </c>
      <c r="N535" s="395" t="s">
        <v>24689</v>
      </c>
    </row>
    <row r="536" spans="2:14" ht="15" x14ac:dyDescent="0.25">
      <c r="B536" s="416"/>
      <c r="C536" s="417"/>
      <c r="D536" s="1463"/>
      <c r="E536" s="1463"/>
      <c r="F536" s="1463"/>
      <c r="G536" s="1463"/>
      <c r="H536" s="1463"/>
      <c r="I536" s="1464"/>
      <c r="J536" s="451"/>
      <c r="K536" s="451"/>
      <c r="L536" s="451"/>
      <c r="M536" s="419"/>
      <c r="N536" s="420"/>
    </row>
    <row r="537" spans="2:14" ht="15.75" thickBot="1" x14ac:dyDescent="0.3">
      <c r="B537" s="400"/>
      <c r="C537" s="401"/>
      <c r="D537" s="401"/>
      <c r="E537" s="401"/>
      <c r="F537" s="444"/>
      <c r="G537" s="444"/>
      <c r="H537" s="444"/>
      <c r="I537" s="444"/>
      <c r="J537" s="444"/>
      <c r="K537" s="444"/>
      <c r="L537" s="444"/>
      <c r="M537" s="455" t="s">
        <v>24698</v>
      </c>
      <c r="N537" s="403">
        <f>SUM(N536:N536)</f>
        <v>0</v>
      </c>
    </row>
    <row r="538" spans="2:14" ht="15.75" thickBot="1" x14ac:dyDescent="0.3">
      <c r="B538" s="456"/>
      <c r="C538" s="457"/>
      <c r="D538" s="457"/>
      <c r="E538" s="457"/>
      <c r="F538" s="457"/>
      <c r="G538" s="457"/>
      <c r="H538" s="457"/>
      <c r="I538" s="457"/>
      <c r="J538" s="457"/>
      <c r="K538" s="457"/>
      <c r="L538" s="457"/>
      <c r="M538" s="457"/>
      <c r="N538" s="404"/>
    </row>
    <row r="539" spans="2:14" ht="30" x14ac:dyDescent="0.25">
      <c r="B539" s="392" t="s">
        <v>0</v>
      </c>
      <c r="C539" s="441" t="s">
        <v>24673</v>
      </c>
      <c r="D539" s="1465" t="s">
        <v>24699</v>
      </c>
      <c r="E539" s="1465"/>
      <c r="F539" s="1465"/>
      <c r="G539" s="1466"/>
      <c r="H539" s="441" t="s">
        <v>3686</v>
      </c>
      <c r="I539" s="441" t="s">
        <v>24700</v>
      </c>
      <c r="J539" s="441" t="s">
        <v>24701</v>
      </c>
      <c r="K539" s="441" t="s">
        <v>24695</v>
      </c>
      <c r="L539" s="441"/>
      <c r="M539" s="441" t="s">
        <v>24683</v>
      </c>
      <c r="N539" s="395" t="s">
        <v>24689</v>
      </c>
    </row>
    <row r="540" spans="2:14" ht="15" x14ac:dyDescent="0.25">
      <c r="B540" s="446"/>
      <c r="C540" s="458"/>
      <c r="D540" s="1494"/>
      <c r="E540" s="1494"/>
      <c r="F540" s="1494"/>
      <c r="G540" s="1494"/>
      <c r="H540" s="442"/>
      <c r="I540" s="442"/>
      <c r="J540" s="442"/>
      <c r="K540" s="442"/>
      <c r="L540" s="442"/>
      <c r="M540" s="447"/>
      <c r="N540" s="443"/>
    </row>
    <row r="541" spans="2:14" ht="15" x14ac:dyDescent="0.25">
      <c r="B541" s="456"/>
      <c r="C541" s="457"/>
      <c r="D541" s="457"/>
      <c r="E541" s="457"/>
      <c r="F541" s="448"/>
      <c r="G541" s="448"/>
      <c r="H541" s="448"/>
      <c r="I541" s="448"/>
      <c r="J541" s="448"/>
      <c r="K541" s="448"/>
      <c r="L541" s="448"/>
      <c r="M541" s="409" t="s">
        <v>24702</v>
      </c>
      <c r="N541" s="410">
        <f>SUM(N540:N540)</f>
        <v>0</v>
      </c>
    </row>
    <row r="542" spans="2:14" ht="15" x14ac:dyDescent="0.25">
      <c r="B542" s="456"/>
      <c r="C542" s="457"/>
      <c r="D542" s="457"/>
      <c r="E542" s="457"/>
      <c r="F542" s="457"/>
      <c r="G542" s="457"/>
      <c r="H542" s="457"/>
      <c r="I542" s="457"/>
      <c r="J542" s="457"/>
      <c r="K542" s="457"/>
      <c r="L542" s="457"/>
      <c r="M542" s="457"/>
      <c r="N542" s="404"/>
    </row>
    <row r="543" spans="2:14" ht="15" x14ac:dyDescent="0.25">
      <c r="B543" s="421"/>
      <c r="C543" s="422"/>
      <c r="D543" s="422"/>
      <c r="E543" s="422"/>
      <c r="F543" s="452"/>
      <c r="G543" s="452"/>
      <c r="H543" s="452"/>
      <c r="I543" s="452"/>
      <c r="J543" s="452"/>
      <c r="K543" s="452"/>
      <c r="L543" s="452"/>
      <c r="M543" s="424" t="s">
        <v>24703</v>
      </c>
      <c r="N543" s="412">
        <f>N528+N533+N537+N541</f>
        <v>705.27</v>
      </c>
    </row>
    <row r="544" spans="2:14" ht="15" x14ac:dyDescent="0.25">
      <c r="B544" s="456"/>
      <c r="C544" s="457"/>
      <c r="D544" s="457"/>
      <c r="E544" s="457"/>
      <c r="F544" s="448"/>
      <c r="G544" s="448"/>
      <c r="H544" s="448"/>
      <c r="I544" s="448"/>
      <c r="J544" s="448"/>
      <c r="K544" s="448"/>
      <c r="L544" s="448"/>
      <c r="M544" s="752">
        <f>'Planilha - Orla'!I3</f>
        <v>0.28220000000000001</v>
      </c>
      <c r="N544" s="412">
        <f>N543*M544</f>
        <v>199.03</v>
      </c>
    </row>
    <row r="545" spans="2:14" ht="15.75" thickBot="1" x14ac:dyDescent="0.3">
      <c r="B545" s="1472" t="s">
        <v>24704</v>
      </c>
      <c r="C545" s="1473"/>
      <c r="D545" s="1473"/>
      <c r="E545" s="1473"/>
      <c r="F545" s="1473"/>
      <c r="G545" s="1473"/>
      <c r="H545" s="1473"/>
      <c r="I545" s="1473"/>
      <c r="J545" s="1473"/>
      <c r="K545" s="1473"/>
      <c r="L545" s="1473"/>
      <c r="M545" s="1474"/>
      <c r="N545" s="415">
        <f>N543+N544</f>
        <v>904.3</v>
      </c>
    </row>
    <row r="547" spans="2:14" ht="15" thickBot="1" x14ac:dyDescent="0.3"/>
    <row r="548" spans="2:14" ht="46.5" customHeight="1" x14ac:dyDescent="0.25">
      <c r="B548" s="1479" t="s">
        <v>24866</v>
      </c>
      <c r="C548" s="1480"/>
      <c r="D548" s="1481"/>
      <c r="E548" s="1482" t="s">
        <v>24669</v>
      </c>
      <c r="F548" s="1482"/>
      <c r="G548" s="1482"/>
      <c r="H548" s="1482"/>
      <c r="I548" s="1482"/>
      <c r="J548" s="1482"/>
      <c r="K548" s="1482"/>
      <c r="L548" s="453"/>
      <c r="M548" s="1483"/>
      <c r="N548" s="1484"/>
    </row>
    <row r="549" spans="2:14" ht="15" x14ac:dyDescent="0.25">
      <c r="B549" s="391" t="s">
        <v>24670</v>
      </c>
      <c r="C549" s="1485" t="s">
        <v>24854</v>
      </c>
      <c r="D549" s="1485"/>
      <c r="E549" s="1485"/>
      <c r="F549" s="1485"/>
      <c r="G549" s="1485"/>
      <c r="H549" s="1485"/>
      <c r="I549" s="1485"/>
      <c r="J549" s="1485"/>
      <c r="K549" s="1485"/>
      <c r="L549" s="1485"/>
      <c r="M549" s="1485"/>
      <c r="N549" s="1486"/>
    </row>
    <row r="550" spans="2:14" ht="15" x14ac:dyDescent="0.25">
      <c r="B550" s="391" t="s">
        <v>24671</v>
      </c>
      <c r="C550" s="1487" t="s">
        <v>8</v>
      </c>
      <c r="D550" s="1487"/>
      <c r="E550" s="1487"/>
      <c r="F550" s="1487"/>
      <c r="G550" s="1487"/>
      <c r="H550" s="1487"/>
      <c r="I550" s="1487"/>
      <c r="J550" s="1487"/>
      <c r="K550" s="1487"/>
      <c r="L550" s="1487"/>
      <c r="M550" s="1487"/>
      <c r="N550" s="1488"/>
    </row>
    <row r="551" spans="2:14" ht="15.75" thickBot="1" x14ac:dyDescent="0.3">
      <c r="B551" s="391" t="s">
        <v>24672</v>
      </c>
      <c r="C551" s="1489">
        <v>44501</v>
      </c>
      <c r="D551" s="1490"/>
      <c r="E551" s="1490"/>
      <c r="F551" s="1490"/>
      <c r="G551" s="1490"/>
      <c r="H551" s="1490"/>
      <c r="I551" s="1490"/>
      <c r="J551" s="1490"/>
      <c r="K551" s="1490"/>
      <c r="L551" s="1490"/>
      <c r="M551" s="1490"/>
      <c r="N551" s="1491"/>
    </row>
    <row r="552" spans="2:14" ht="30" x14ac:dyDescent="0.25">
      <c r="B552" s="392" t="s">
        <v>0</v>
      </c>
      <c r="C552" s="393" t="s">
        <v>24673</v>
      </c>
      <c r="D552" s="1465" t="s">
        <v>24674</v>
      </c>
      <c r="E552" s="1465"/>
      <c r="F552" s="1465"/>
      <c r="G552" s="1466"/>
      <c r="H552" s="441" t="s">
        <v>111</v>
      </c>
      <c r="I552" s="441" t="s">
        <v>24675</v>
      </c>
      <c r="J552" s="441" t="s">
        <v>24676</v>
      </c>
      <c r="K552" s="441" t="s">
        <v>24677</v>
      </c>
      <c r="L552" s="441"/>
      <c r="M552" s="441" t="s">
        <v>24678</v>
      </c>
      <c r="N552" s="395" t="s">
        <v>24679</v>
      </c>
    </row>
    <row r="553" spans="2:14" ht="15" x14ac:dyDescent="0.25">
      <c r="B553" s="446"/>
      <c r="C553" s="397"/>
      <c r="D553" s="1494"/>
      <c r="E553" s="1494"/>
      <c r="F553" s="1494"/>
      <c r="G553" s="1495"/>
      <c r="H553" s="442"/>
      <c r="I553" s="442"/>
      <c r="J553" s="442"/>
      <c r="K553" s="442"/>
      <c r="L553" s="442"/>
      <c r="M553" s="442"/>
      <c r="N553" s="443"/>
    </row>
    <row r="554" spans="2:14" ht="15.75" thickBot="1" x14ac:dyDescent="0.3">
      <c r="B554" s="400"/>
      <c r="C554" s="401"/>
      <c r="D554" s="401"/>
      <c r="E554" s="401"/>
      <c r="F554" s="444"/>
      <c r="G554" s="444"/>
      <c r="H554" s="444"/>
      <c r="I554" s="444"/>
      <c r="J554" s="444"/>
      <c r="K554" s="444"/>
      <c r="L554" s="444"/>
      <c r="M554" s="455" t="s">
        <v>24680</v>
      </c>
      <c r="N554" s="403">
        <f>SUM(N553)</f>
        <v>0</v>
      </c>
    </row>
    <row r="555" spans="2:14" ht="15.75" thickBot="1" x14ac:dyDescent="0.3">
      <c r="B555" s="456"/>
      <c r="C555" s="457"/>
      <c r="D555" s="457"/>
      <c r="E555" s="457"/>
      <c r="F555" s="457"/>
      <c r="G555" s="457"/>
      <c r="H555" s="457"/>
      <c r="I555" s="457"/>
      <c r="J555" s="457"/>
      <c r="K555" s="457"/>
      <c r="L555" s="457"/>
      <c r="M555" s="457"/>
      <c r="N555" s="404"/>
    </row>
    <row r="556" spans="2:14" ht="45" x14ac:dyDescent="0.25">
      <c r="B556" s="392" t="s">
        <v>0</v>
      </c>
      <c r="C556" s="393" t="s">
        <v>24673</v>
      </c>
      <c r="D556" s="1465" t="s">
        <v>24681</v>
      </c>
      <c r="E556" s="1465"/>
      <c r="F556" s="1465"/>
      <c r="G556" s="1465"/>
      <c r="H556" s="1466"/>
      <c r="I556" s="441" t="s">
        <v>3686</v>
      </c>
      <c r="J556" s="441" t="s">
        <v>24682</v>
      </c>
      <c r="K556" s="441" t="s">
        <v>24861</v>
      </c>
      <c r="L556" s="441" t="s">
        <v>24862</v>
      </c>
      <c r="M556" s="441" t="s">
        <v>24683</v>
      </c>
      <c r="N556" s="395" t="s">
        <v>24679</v>
      </c>
    </row>
    <row r="557" spans="2:14" ht="15" x14ac:dyDescent="0.25">
      <c r="B557" s="446">
        <v>10101</v>
      </c>
      <c r="C557" s="458" t="s">
        <v>4389</v>
      </c>
      <c r="D557" s="1463" t="s">
        <v>24788</v>
      </c>
      <c r="E557" s="1463"/>
      <c r="F557" s="1463"/>
      <c r="G557" s="1463"/>
      <c r="H557" s="1464"/>
      <c r="I557" s="442" t="s">
        <v>75</v>
      </c>
      <c r="J557" s="406">
        <v>1.5727</v>
      </c>
      <c r="K557" s="427">
        <v>6.27</v>
      </c>
      <c r="L557" s="427">
        <f>K557*(1+J557)</f>
        <v>16.13</v>
      </c>
      <c r="M557" s="447">
        <v>1.6799999999999999E-2</v>
      </c>
      <c r="N557" s="443">
        <f>L557*M557</f>
        <v>0.27</v>
      </c>
    </row>
    <row r="558" spans="2:14" ht="15" x14ac:dyDescent="0.25">
      <c r="B558" s="446">
        <v>10115</v>
      </c>
      <c r="C558" s="458" t="s">
        <v>4389</v>
      </c>
      <c r="D558" s="1463" t="s">
        <v>24771</v>
      </c>
      <c r="E558" s="1463"/>
      <c r="F558" s="1463"/>
      <c r="G558" s="1463"/>
      <c r="H558" s="1464"/>
      <c r="I558" s="442" t="s">
        <v>75</v>
      </c>
      <c r="J558" s="406">
        <v>1.5727</v>
      </c>
      <c r="K558" s="427">
        <v>7.43</v>
      </c>
      <c r="L558" s="427">
        <f>K558*(1+J558)</f>
        <v>19.12</v>
      </c>
      <c r="M558" s="447">
        <v>1.6799999999999999E-2</v>
      </c>
      <c r="N558" s="443">
        <f>L558*M558</f>
        <v>0.32</v>
      </c>
    </row>
    <row r="559" spans="2:14" ht="15.75" thickBot="1" x14ac:dyDescent="0.3">
      <c r="B559" s="400"/>
      <c r="C559" s="401"/>
      <c r="D559" s="401"/>
      <c r="E559" s="401"/>
      <c r="F559" s="444"/>
      <c r="G559" s="444"/>
      <c r="H559" s="444"/>
      <c r="I559" s="444"/>
      <c r="J559" s="444"/>
      <c r="K559" s="444"/>
      <c r="L559" s="444"/>
      <c r="M559" s="455" t="s">
        <v>24684</v>
      </c>
      <c r="N559" s="403">
        <f>SUM(N557:N558)</f>
        <v>0.59</v>
      </c>
    </row>
    <row r="560" spans="2:14" ht="15.75" thickBot="1" x14ac:dyDescent="0.3">
      <c r="B560" s="456"/>
      <c r="C560" s="457"/>
      <c r="D560" s="457"/>
      <c r="E560" s="457"/>
      <c r="F560" s="457"/>
      <c r="G560" s="457"/>
      <c r="H560" s="457"/>
      <c r="I560" s="448"/>
      <c r="J560" s="448"/>
      <c r="K560" s="457"/>
      <c r="L560" s="457"/>
      <c r="M560" s="457"/>
      <c r="N560" s="404"/>
    </row>
    <row r="561" spans="2:14" ht="30" x14ac:dyDescent="0.25">
      <c r="B561" s="392" t="s">
        <v>0</v>
      </c>
      <c r="C561" s="393" t="s">
        <v>24673</v>
      </c>
      <c r="D561" s="1465" t="s">
        <v>24685</v>
      </c>
      <c r="E561" s="1465"/>
      <c r="F561" s="1465"/>
      <c r="G561" s="1465"/>
      <c r="H561" s="1466"/>
      <c r="I561" s="441" t="s">
        <v>2858</v>
      </c>
      <c r="J561" s="441" t="s">
        <v>24686</v>
      </c>
      <c r="K561" s="441" t="s">
        <v>24687</v>
      </c>
      <c r="L561" s="441"/>
      <c r="M561" s="441" t="s">
        <v>24688</v>
      </c>
      <c r="N561" s="395" t="s">
        <v>24689</v>
      </c>
    </row>
    <row r="562" spans="2:14" ht="15" x14ac:dyDescent="0.25">
      <c r="B562" s="446"/>
      <c r="C562" s="458"/>
      <c r="D562" s="1463"/>
      <c r="E562" s="1463"/>
      <c r="F562" s="1463"/>
      <c r="G562" s="1463"/>
      <c r="H562" s="1464"/>
      <c r="I562" s="442"/>
      <c r="J562" s="442"/>
      <c r="K562" s="442"/>
      <c r="L562" s="442"/>
      <c r="M562" s="442"/>
      <c r="N562" s="443"/>
    </row>
    <row r="563" spans="2:14" ht="15" x14ac:dyDescent="0.25">
      <c r="B563" s="456"/>
      <c r="C563" s="457"/>
      <c r="D563" s="457"/>
      <c r="E563" s="457"/>
      <c r="F563" s="448"/>
      <c r="G563" s="448"/>
      <c r="H563" s="448"/>
      <c r="I563" s="448"/>
      <c r="J563" s="448"/>
      <c r="K563" s="448"/>
      <c r="L563" s="448"/>
      <c r="M563" s="409" t="s">
        <v>24690</v>
      </c>
      <c r="N563" s="410">
        <f>SUM(N562:N562)</f>
        <v>0</v>
      </c>
    </row>
    <row r="564" spans="2:14" ht="15" x14ac:dyDescent="0.25">
      <c r="B564" s="456"/>
      <c r="C564" s="457"/>
      <c r="D564" s="457"/>
      <c r="E564" s="457"/>
      <c r="F564" s="457"/>
      <c r="G564" s="457"/>
      <c r="H564" s="457"/>
      <c r="I564" s="457"/>
      <c r="J564" s="457"/>
      <c r="K564" s="457"/>
      <c r="L564" s="457"/>
      <c r="M564" s="457"/>
      <c r="N564" s="404"/>
    </row>
    <row r="565" spans="2:14" ht="15" x14ac:dyDescent="0.25">
      <c r="B565" s="456"/>
      <c r="C565" s="457"/>
      <c r="D565" s="457"/>
      <c r="E565" s="457"/>
      <c r="F565" s="448"/>
      <c r="G565" s="448"/>
      <c r="H565" s="448"/>
      <c r="I565" s="449"/>
      <c r="J565" s="449"/>
      <c r="K565" s="449"/>
      <c r="L565" s="449"/>
      <c r="M565" s="409" t="s">
        <v>24691</v>
      </c>
      <c r="N565" s="412">
        <f>N554+N559+N563</f>
        <v>0.59</v>
      </c>
    </row>
    <row r="566" spans="2:14" ht="15" x14ac:dyDescent="0.25">
      <c r="B566" s="456"/>
      <c r="C566" s="457"/>
      <c r="D566" s="457"/>
      <c r="E566" s="457"/>
      <c r="F566" s="448"/>
      <c r="G566" s="448"/>
      <c r="H566" s="448"/>
      <c r="I566" s="448"/>
      <c r="J566" s="450"/>
      <c r="K566" s="450"/>
      <c r="L566" s="450"/>
      <c r="M566" s="414" t="s">
        <v>24692</v>
      </c>
      <c r="N566" s="412">
        <v>1</v>
      </c>
    </row>
    <row r="567" spans="2:14" ht="15.75" thickBot="1" x14ac:dyDescent="0.3">
      <c r="B567" s="400"/>
      <c r="C567" s="401"/>
      <c r="D567" s="401"/>
      <c r="E567" s="401"/>
      <c r="F567" s="444"/>
      <c r="G567" s="444"/>
      <c r="H567" s="444"/>
      <c r="I567" s="444"/>
      <c r="J567" s="444"/>
      <c r="K567" s="444"/>
      <c r="L567" s="444"/>
      <c r="M567" s="455" t="s">
        <v>24693</v>
      </c>
      <c r="N567" s="415">
        <f>TRUNC(N565/N566,2)</f>
        <v>0.59</v>
      </c>
    </row>
    <row r="568" spans="2:14" ht="15.75" thickBot="1" x14ac:dyDescent="0.3">
      <c r="B568" s="456"/>
      <c r="C568" s="457"/>
      <c r="D568" s="457"/>
      <c r="E568" s="457"/>
      <c r="F568" s="457"/>
      <c r="G568" s="457"/>
      <c r="H568" s="457"/>
      <c r="I568" s="457"/>
      <c r="J568" s="457"/>
      <c r="K568" s="457"/>
      <c r="L568" s="457"/>
      <c r="M568" s="457"/>
      <c r="N568" s="404"/>
    </row>
    <row r="569" spans="2:14" ht="30" x14ac:dyDescent="0.25">
      <c r="B569" s="392" t="s">
        <v>0</v>
      </c>
      <c r="C569" s="393" t="s">
        <v>24673</v>
      </c>
      <c r="D569" s="1465" t="s">
        <v>24694</v>
      </c>
      <c r="E569" s="1465"/>
      <c r="F569" s="1465"/>
      <c r="G569" s="1465"/>
      <c r="H569" s="1465"/>
      <c r="I569" s="1466"/>
      <c r="J569" s="441" t="s">
        <v>3686</v>
      </c>
      <c r="K569" s="441" t="s">
        <v>24695</v>
      </c>
      <c r="L569" s="441"/>
      <c r="M569" s="441" t="s">
        <v>24683</v>
      </c>
      <c r="N569" s="395" t="s">
        <v>24689</v>
      </c>
    </row>
    <row r="570" spans="2:14" ht="15" x14ac:dyDescent="0.25">
      <c r="B570" s="446">
        <v>2510</v>
      </c>
      <c r="C570" s="458" t="s">
        <v>24706</v>
      </c>
      <c r="D570" s="1463" t="s">
        <v>24855</v>
      </c>
      <c r="E570" s="1463"/>
      <c r="F570" s="1463"/>
      <c r="G570" s="1463"/>
      <c r="H570" s="1463"/>
      <c r="I570" s="1464"/>
      <c r="J570" s="442" t="s">
        <v>24755</v>
      </c>
      <c r="K570" s="427">
        <v>40.78</v>
      </c>
      <c r="L570" s="427"/>
      <c r="M570" s="447">
        <v>1</v>
      </c>
      <c r="N570" s="443">
        <f>K570*M570</f>
        <v>40.78</v>
      </c>
    </row>
    <row r="571" spans="2:14" ht="15" x14ac:dyDescent="0.25">
      <c r="B571" s="446">
        <v>21127</v>
      </c>
      <c r="C571" s="458" t="s">
        <v>24706</v>
      </c>
      <c r="D571" s="1494" t="s">
        <v>24856</v>
      </c>
      <c r="E571" s="1494"/>
      <c r="F571" s="1494"/>
      <c r="G571" s="1494"/>
      <c r="H571" s="1494"/>
      <c r="I571" s="1495"/>
      <c r="J571" s="442" t="s">
        <v>8</v>
      </c>
      <c r="K571" s="427">
        <v>4.72</v>
      </c>
      <c r="L571" s="427"/>
      <c r="M571" s="447">
        <v>2.1000000000000001E-2</v>
      </c>
      <c r="N571" s="443">
        <f>K571*M571</f>
        <v>0.1</v>
      </c>
    </row>
    <row r="572" spans="2:14" ht="15" x14ac:dyDescent="0.25">
      <c r="B572" s="446"/>
      <c r="C572" s="458"/>
      <c r="D572" s="1463"/>
      <c r="E572" s="1463"/>
      <c r="F572" s="1463"/>
      <c r="G572" s="1463"/>
      <c r="H572" s="1463"/>
      <c r="I572" s="1464"/>
      <c r="J572" s="442"/>
      <c r="K572" s="442"/>
      <c r="L572" s="442"/>
      <c r="M572" s="447"/>
      <c r="N572" s="443"/>
    </row>
    <row r="573" spans="2:14" ht="15.75" thickBot="1" x14ac:dyDescent="0.3">
      <c r="B573" s="400"/>
      <c r="C573" s="401"/>
      <c r="D573" s="401"/>
      <c r="E573" s="401"/>
      <c r="F573" s="444"/>
      <c r="G573" s="444"/>
      <c r="H573" s="444"/>
      <c r="I573" s="444"/>
      <c r="J573" s="444"/>
      <c r="K573" s="444"/>
      <c r="L573" s="444"/>
      <c r="M573" s="455" t="s">
        <v>24696</v>
      </c>
      <c r="N573" s="403">
        <f>SUM(N570:N571)</f>
        <v>40.880000000000003</v>
      </c>
    </row>
    <row r="574" spans="2:14" ht="15.75" thickBot="1" x14ac:dyDescent="0.3">
      <c r="B574" s="456"/>
      <c r="C574" s="457"/>
      <c r="D574" s="457"/>
      <c r="E574" s="457"/>
      <c r="F574" s="457"/>
      <c r="G574" s="457"/>
      <c r="H574" s="457"/>
      <c r="I574" s="457"/>
      <c r="J574" s="457"/>
      <c r="K574" s="457"/>
      <c r="L574" s="457"/>
      <c r="M574" s="457"/>
      <c r="N574" s="404"/>
    </row>
    <row r="575" spans="2:14" ht="30" x14ac:dyDescent="0.25">
      <c r="B575" s="392" t="s">
        <v>0</v>
      </c>
      <c r="C575" s="441" t="s">
        <v>24673</v>
      </c>
      <c r="D575" s="1465" t="s">
        <v>24697</v>
      </c>
      <c r="E575" s="1465"/>
      <c r="F575" s="1465"/>
      <c r="G575" s="1465"/>
      <c r="H575" s="1465"/>
      <c r="I575" s="1466"/>
      <c r="J575" s="441" t="s">
        <v>3686</v>
      </c>
      <c r="K575" s="441" t="s">
        <v>24695</v>
      </c>
      <c r="L575" s="441"/>
      <c r="M575" s="441" t="s">
        <v>24683</v>
      </c>
      <c r="N575" s="395" t="s">
        <v>24689</v>
      </c>
    </row>
    <row r="576" spans="2:14" ht="15" x14ac:dyDescent="0.25">
      <c r="B576" s="416"/>
      <c r="C576" s="417"/>
      <c r="D576" s="1463"/>
      <c r="E576" s="1463"/>
      <c r="F576" s="1463"/>
      <c r="G576" s="1463"/>
      <c r="H576" s="1463"/>
      <c r="I576" s="1464"/>
      <c r="J576" s="451"/>
      <c r="K576" s="451"/>
      <c r="L576" s="451"/>
      <c r="M576" s="419"/>
      <c r="N576" s="420"/>
    </row>
    <row r="577" spans="2:14" ht="15.75" thickBot="1" x14ac:dyDescent="0.3">
      <c r="B577" s="400"/>
      <c r="C577" s="401"/>
      <c r="D577" s="401"/>
      <c r="E577" s="401"/>
      <c r="F577" s="444"/>
      <c r="G577" s="444"/>
      <c r="H577" s="444"/>
      <c r="I577" s="444"/>
      <c r="J577" s="444"/>
      <c r="K577" s="444"/>
      <c r="L577" s="444"/>
      <c r="M577" s="455" t="s">
        <v>24698</v>
      </c>
      <c r="N577" s="403">
        <f>SUM(N576:N576)</f>
        <v>0</v>
      </c>
    </row>
    <row r="578" spans="2:14" ht="15.75" thickBot="1" x14ac:dyDescent="0.3">
      <c r="B578" s="456"/>
      <c r="C578" s="457"/>
      <c r="D578" s="457"/>
      <c r="E578" s="457"/>
      <c r="F578" s="457"/>
      <c r="G578" s="457"/>
      <c r="H578" s="457"/>
      <c r="I578" s="457"/>
      <c r="J578" s="457"/>
      <c r="K578" s="457"/>
      <c r="L578" s="457"/>
      <c r="M578" s="457"/>
      <c r="N578" s="404"/>
    </row>
    <row r="579" spans="2:14" ht="30" x14ac:dyDescent="0.25">
      <c r="B579" s="392" t="s">
        <v>0</v>
      </c>
      <c r="C579" s="441" t="s">
        <v>24673</v>
      </c>
      <c r="D579" s="1465" t="s">
        <v>24699</v>
      </c>
      <c r="E579" s="1465"/>
      <c r="F579" s="1465"/>
      <c r="G579" s="1466"/>
      <c r="H579" s="441" t="s">
        <v>3686</v>
      </c>
      <c r="I579" s="441" t="s">
        <v>24700</v>
      </c>
      <c r="J579" s="441" t="s">
        <v>24701</v>
      </c>
      <c r="K579" s="441" t="s">
        <v>24695</v>
      </c>
      <c r="L579" s="441"/>
      <c r="M579" s="441" t="s">
        <v>24683</v>
      </c>
      <c r="N579" s="395" t="s">
        <v>24689</v>
      </c>
    </row>
    <row r="580" spans="2:14" ht="15" x14ac:dyDescent="0.25">
      <c r="B580" s="446"/>
      <c r="C580" s="458"/>
      <c r="D580" s="1494"/>
      <c r="E580" s="1494"/>
      <c r="F580" s="1494"/>
      <c r="G580" s="1494"/>
      <c r="H580" s="442"/>
      <c r="I580" s="442"/>
      <c r="J580" s="442"/>
      <c r="K580" s="442"/>
      <c r="L580" s="442"/>
      <c r="M580" s="447"/>
      <c r="N580" s="443"/>
    </row>
    <row r="581" spans="2:14" ht="15" x14ac:dyDescent="0.25">
      <c r="B581" s="456"/>
      <c r="C581" s="457"/>
      <c r="D581" s="457"/>
      <c r="E581" s="457"/>
      <c r="F581" s="448"/>
      <c r="G581" s="448"/>
      <c r="H581" s="448"/>
      <c r="I581" s="448"/>
      <c r="J581" s="448"/>
      <c r="K581" s="448"/>
      <c r="L581" s="448"/>
      <c r="M581" s="409" t="s">
        <v>24702</v>
      </c>
      <c r="N581" s="410">
        <f>SUM(N580:N580)</f>
        <v>0</v>
      </c>
    </row>
    <row r="582" spans="2:14" ht="15" x14ac:dyDescent="0.25">
      <c r="B582" s="456"/>
      <c r="C582" s="457"/>
      <c r="D582" s="457"/>
      <c r="E582" s="457"/>
      <c r="F582" s="457"/>
      <c r="G582" s="457"/>
      <c r="H582" s="457"/>
      <c r="I582" s="457"/>
      <c r="J582" s="457"/>
      <c r="K582" s="457"/>
      <c r="L582" s="457"/>
      <c r="M582" s="457"/>
      <c r="N582" s="404"/>
    </row>
    <row r="583" spans="2:14" ht="15" x14ac:dyDescent="0.25">
      <c r="B583" s="421"/>
      <c r="C583" s="422"/>
      <c r="D583" s="422"/>
      <c r="E583" s="422"/>
      <c r="F583" s="452"/>
      <c r="G583" s="452"/>
      <c r="H583" s="452"/>
      <c r="I583" s="452"/>
      <c r="J583" s="452"/>
      <c r="K583" s="452"/>
      <c r="L583" s="452"/>
      <c r="M583" s="424" t="s">
        <v>24703</v>
      </c>
      <c r="N583" s="412">
        <f>N567+N573+N577+N581</f>
        <v>41.47</v>
      </c>
    </row>
    <row r="584" spans="2:14" ht="15" x14ac:dyDescent="0.25">
      <c r="B584" s="456"/>
      <c r="C584" s="457"/>
      <c r="D584" s="457"/>
      <c r="E584" s="457"/>
      <c r="F584" s="448"/>
      <c r="G584" s="448"/>
      <c r="H584" s="448"/>
      <c r="I584" s="448"/>
      <c r="J584" s="448"/>
      <c r="K584" s="448"/>
      <c r="L584" s="448"/>
      <c r="M584" s="752">
        <f>'Planilha - Orla'!I3</f>
        <v>0.28220000000000001</v>
      </c>
      <c r="N584" s="412">
        <f>N583*M584</f>
        <v>11.7</v>
      </c>
    </row>
    <row r="585" spans="2:14" ht="15.75" thickBot="1" x14ac:dyDescent="0.3">
      <c r="B585" s="1472" t="s">
        <v>24704</v>
      </c>
      <c r="C585" s="1473"/>
      <c r="D585" s="1473"/>
      <c r="E585" s="1473"/>
      <c r="F585" s="1473"/>
      <c r="G585" s="1473"/>
      <c r="H585" s="1473"/>
      <c r="I585" s="1473"/>
      <c r="J585" s="1473"/>
      <c r="K585" s="1473"/>
      <c r="L585" s="1473"/>
      <c r="M585" s="1474"/>
      <c r="N585" s="415">
        <f>N583+N584</f>
        <v>53.17</v>
      </c>
    </row>
    <row r="587" spans="2:14" ht="15" thickBot="1" x14ac:dyDescent="0.3"/>
    <row r="588" spans="2:14" ht="45.75" customHeight="1" x14ac:dyDescent="0.25">
      <c r="B588" s="1479" t="s">
        <v>24867</v>
      </c>
      <c r="C588" s="1480"/>
      <c r="D588" s="1481"/>
      <c r="E588" s="1482" t="s">
        <v>24669</v>
      </c>
      <c r="F588" s="1482"/>
      <c r="G588" s="1482"/>
      <c r="H588" s="1482"/>
      <c r="I588" s="1482"/>
      <c r="J588" s="1482"/>
      <c r="K588" s="1482"/>
      <c r="L588" s="453"/>
      <c r="M588" s="1483"/>
      <c r="N588" s="1484"/>
    </row>
    <row r="589" spans="2:14" ht="15" x14ac:dyDescent="0.25">
      <c r="B589" s="391" t="s">
        <v>24670</v>
      </c>
      <c r="C589" s="1485" t="s">
        <v>25662</v>
      </c>
      <c r="D589" s="1485"/>
      <c r="E589" s="1485"/>
      <c r="F589" s="1485"/>
      <c r="G589" s="1485"/>
      <c r="H589" s="1485"/>
      <c r="I589" s="1485"/>
      <c r="J589" s="1485"/>
      <c r="K589" s="1485"/>
      <c r="L589" s="1485"/>
      <c r="M589" s="1485"/>
      <c r="N589" s="1486"/>
    </row>
    <row r="590" spans="2:14" ht="15" x14ac:dyDescent="0.25">
      <c r="B590" s="391" t="s">
        <v>24671</v>
      </c>
      <c r="C590" s="1487" t="s">
        <v>8</v>
      </c>
      <c r="D590" s="1487"/>
      <c r="E590" s="1487"/>
      <c r="F590" s="1487"/>
      <c r="G590" s="1487"/>
      <c r="H590" s="1487"/>
      <c r="I590" s="1487"/>
      <c r="J590" s="1487"/>
      <c r="K590" s="1487"/>
      <c r="L590" s="1487"/>
      <c r="M590" s="1487"/>
      <c r="N590" s="1488"/>
    </row>
    <row r="591" spans="2:14" ht="15.75" thickBot="1" x14ac:dyDescent="0.3">
      <c r="B591" s="391" t="s">
        <v>24672</v>
      </c>
      <c r="C591" s="1489">
        <v>44501</v>
      </c>
      <c r="D591" s="1490"/>
      <c r="E591" s="1490"/>
      <c r="F591" s="1490"/>
      <c r="G591" s="1490"/>
      <c r="H591" s="1490"/>
      <c r="I591" s="1490"/>
      <c r="J591" s="1490"/>
      <c r="K591" s="1490"/>
      <c r="L591" s="1490"/>
      <c r="M591" s="1490"/>
      <c r="N591" s="1491"/>
    </row>
    <row r="592" spans="2:14" ht="30" x14ac:dyDescent="0.25">
      <c r="B592" s="392" t="s">
        <v>0</v>
      </c>
      <c r="C592" s="393" t="s">
        <v>24673</v>
      </c>
      <c r="D592" s="1465" t="s">
        <v>24674</v>
      </c>
      <c r="E592" s="1465"/>
      <c r="F592" s="1465"/>
      <c r="G592" s="1466"/>
      <c r="H592" s="441" t="s">
        <v>111</v>
      </c>
      <c r="I592" s="441" t="s">
        <v>24675</v>
      </c>
      <c r="J592" s="441" t="s">
        <v>24676</v>
      </c>
      <c r="K592" s="441" t="s">
        <v>24677</v>
      </c>
      <c r="L592" s="441"/>
      <c r="M592" s="441" t="s">
        <v>24678</v>
      </c>
      <c r="N592" s="395" t="s">
        <v>24679</v>
      </c>
    </row>
    <row r="593" spans="2:14" ht="15" x14ac:dyDescent="0.25">
      <c r="B593" s="446"/>
      <c r="C593" s="397"/>
      <c r="D593" s="1494"/>
      <c r="E593" s="1494"/>
      <c r="F593" s="1494"/>
      <c r="G593" s="1495"/>
      <c r="H593" s="442"/>
      <c r="I593" s="442"/>
      <c r="J593" s="442"/>
      <c r="K593" s="442"/>
      <c r="L593" s="442"/>
      <c r="M593" s="442"/>
      <c r="N593" s="443"/>
    </row>
    <row r="594" spans="2:14" ht="15.75" thickBot="1" x14ac:dyDescent="0.3">
      <c r="B594" s="400"/>
      <c r="C594" s="401"/>
      <c r="D594" s="401"/>
      <c r="E594" s="401"/>
      <c r="F594" s="444"/>
      <c r="G594" s="444"/>
      <c r="H594" s="444"/>
      <c r="I594" s="444"/>
      <c r="J594" s="444"/>
      <c r="K594" s="444"/>
      <c r="L594" s="444"/>
      <c r="M594" s="455" t="s">
        <v>24680</v>
      </c>
      <c r="N594" s="403">
        <f>SUM(N593)</f>
        <v>0</v>
      </c>
    </row>
    <row r="595" spans="2:14" ht="15.75" thickBot="1" x14ac:dyDescent="0.3">
      <c r="B595" s="456"/>
      <c r="C595" s="457"/>
      <c r="D595" s="457"/>
      <c r="E595" s="457"/>
      <c r="F595" s="457"/>
      <c r="G595" s="457"/>
      <c r="H595" s="457"/>
      <c r="I595" s="457"/>
      <c r="J595" s="457"/>
      <c r="K595" s="457"/>
      <c r="L595" s="457"/>
      <c r="M595" s="457"/>
      <c r="N595" s="404"/>
    </row>
    <row r="596" spans="2:14" ht="45" x14ac:dyDescent="0.25">
      <c r="B596" s="392" t="s">
        <v>0</v>
      </c>
      <c r="C596" s="393" t="s">
        <v>24673</v>
      </c>
      <c r="D596" s="1465" t="s">
        <v>24681</v>
      </c>
      <c r="E596" s="1465"/>
      <c r="F596" s="1465"/>
      <c r="G596" s="1465"/>
      <c r="H596" s="1466"/>
      <c r="I596" s="441" t="s">
        <v>3686</v>
      </c>
      <c r="J596" s="441" t="s">
        <v>24682</v>
      </c>
      <c r="K596" s="441" t="s">
        <v>24861</v>
      </c>
      <c r="L596" s="441" t="s">
        <v>24862</v>
      </c>
      <c r="M596" s="441" t="s">
        <v>24683</v>
      </c>
      <c r="N596" s="395" t="s">
        <v>24679</v>
      </c>
    </row>
    <row r="597" spans="2:14" ht="15" x14ac:dyDescent="0.25">
      <c r="B597" s="446">
        <v>10101</v>
      </c>
      <c r="C597" s="458" t="s">
        <v>4389</v>
      </c>
      <c r="D597" s="1463" t="s">
        <v>24788</v>
      </c>
      <c r="E597" s="1463"/>
      <c r="F597" s="1463"/>
      <c r="G597" s="1463"/>
      <c r="H597" s="1464"/>
      <c r="I597" s="442" t="s">
        <v>75</v>
      </c>
      <c r="J597" s="406">
        <v>1.5727</v>
      </c>
      <c r="K597" s="427">
        <v>6.27</v>
      </c>
      <c r="L597" s="427">
        <f>K597*(1+J597)</f>
        <v>16.13</v>
      </c>
      <c r="M597" s="447">
        <v>0.3</v>
      </c>
      <c r="N597" s="443">
        <f>L597*M597</f>
        <v>4.84</v>
      </c>
    </row>
    <row r="598" spans="2:14" ht="15" x14ac:dyDescent="0.25">
      <c r="B598" s="446">
        <v>10115</v>
      </c>
      <c r="C598" s="458" t="s">
        <v>4389</v>
      </c>
      <c r="D598" s="1463" t="s">
        <v>24771</v>
      </c>
      <c r="E598" s="1463"/>
      <c r="F598" s="1463"/>
      <c r="G598" s="1463"/>
      <c r="H598" s="1464"/>
      <c r="I598" s="442" t="s">
        <v>75</v>
      </c>
      <c r="J598" s="406">
        <v>1.5727</v>
      </c>
      <c r="K598" s="427">
        <v>7.43</v>
      </c>
      <c r="L598" s="427">
        <f>K598*(1+J598)</f>
        <v>19.12</v>
      </c>
      <c r="M598" s="447">
        <v>0.3</v>
      </c>
      <c r="N598" s="443">
        <f>L598*M598</f>
        <v>5.74</v>
      </c>
    </row>
    <row r="599" spans="2:14" ht="15.75" thickBot="1" x14ac:dyDescent="0.3">
      <c r="B599" s="400"/>
      <c r="C599" s="401"/>
      <c r="D599" s="401"/>
      <c r="E599" s="401"/>
      <c r="F599" s="444"/>
      <c r="G599" s="444"/>
      <c r="H599" s="444"/>
      <c r="I599" s="444"/>
      <c r="J599" s="444"/>
      <c r="K599" s="444"/>
      <c r="L599" s="444"/>
      <c r="M599" s="455" t="s">
        <v>24684</v>
      </c>
      <c r="N599" s="403">
        <f>SUM(N597:N598)</f>
        <v>10.58</v>
      </c>
    </row>
    <row r="600" spans="2:14" ht="15.75" thickBot="1" x14ac:dyDescent="0.3">
      <c r="B600" s="456"/>
      <c r="C600" s="457"/>
      <c r="D600" s="457"/>
      <c r="E600" s="457"/>
      <c r="F600" s="457"/>
      <c r="G600" s="457"/>
      <c r="H600" s="457"/>
      <c r="I600" s="448"/>
      <c r="J600" s="448"/>
      <c r="K600" s="457"/>
      <c r="L600" s="457"/>
      <c r="M600" s="457"/>
      <c r="N600" s="404"/>
    </row>
    <row r="601" spans="2:14" ht="30" x14ac:dyDescent="0.25">
      <c r="B601" s="392" t="s">
        <v>0</v>
      </c>
      <c r="C601" s="393" t="s">
        <v>24673</v>
      </c>
      <c r="D601" s="1465" t="s">
        <v>24685</v>
      </c>
      <c r="E601" s="1465"/>
      <c r="F601" s="1465"/>
      <c r="G601" s="1465"/>
      <c r="H601" s="1466"/>
      <c r="I601" s="441" t="s">
        <v>2858</v>
      </c>
      <c r="J601" s="441" t="s">
        <v>24686</v>
      </c>
      <c r="K601" s="441" t="s">
        <v>24687</v>
      </c>
      <c r="L601" s="441"/>
      <c r="M601" s="441" t="s">
        <v>24688</v>
      </c>
      <c r="N601" s="395" t="s">
        <v>24689</v>
      </c>
    </row>
    <row r="602" spans="2:14" ht="15" x14ac:dyDescent="0.25">
      <c r="B602" s="446"/>
      <c r="C602" s="458"/>
      <c r="D602" s="1463"/>
      <c r="E602" s="1463"/>
      <c r="F602" s="1463"/>
      <c r="G602" s="1463"/>
      <c r="H602" s="1464"/>
      <c r="I602" s="442"/>
      <c r="J602" s="442"/>
      <c r="K602" s="442"/>
      <c r="L602" s="442"/>
      <c r="M602" s="442"/>
      <c r="N602" s="443"/>
    </row>
    <row r="603" spans="2:14" ht="15" x14ac:dyDescent="0.25">
      <c r="B603" s="456"/>
      <c r="C603" s="457"/>
      <c r="D603" s="457"/>
      <c r="E603" s="457"/>
      <c r="F603" s="448"/>
      <c r="G603" s="448"/>
      <c r="H603" s="448"/>
      <c r="I603" s="448"/>
      <c r="J603" s="448"/>
      <c r="K603" s="448"/>
      <c r="L603" s="448"/>
      <c r="M603" s="409" t="s">
        <v>24690</v>
      </c>
      <c r="N603" s="410">
        <f>SUM(N602:N602)</f>
        <v>0</v>
      </c>
    </row>
    <row r="604" spans="2:14" ht="15" x14ac:dyDescent="0.25">
      <c r="B604" s="456"/>
      <c r="C604" s="457"/>
      <c r="D604" s="457"/>
      <c r="E604" s="457"/>
      <c r="F604" s="457"/>
      <c r="G604" s="457"/>
      <c r="H604" s="457"/>
      <c r="I604" s="457"/>
      <c r="J604" s="457"/>
      <c r="K604" s="457"/>
      <c r="L604" s="457"/>
      <c r="M604" s="457"/>
      <c r="N604" s="404"/>
    </row>
    <row r="605" spans="2:14" ht="15" x14ac:dyDescent="0.25">
      <c r="B605" s="456"/>
      <c r="C605" s="457"/>
      <c r="D605" s="457"/>
      <c r="E605" s="457"/>
      <c r="F605" s="448"/>
      <c r="G605" s="448"/>
      <c r="H605" s="448"/>
      <c r="I605" s="449"/>
      <c r="J605" s="449"/>
      <c r="K605" s="449"/>
      <c r="L605" s="449"/>
      <c r="M605" s="409" t="s">
        <v>24691</v>
      </c>
      <c r="N605" s="412">
        <f>N594+N599+N603</f>
        <v>10.58</v>
      </c>
    </row>
    <row r="606" spans="2:14" ht="15" x14ac:dyDescent="0.25">
      <c r="B606" s="456"/>
      <c r="C606" s="457"/>
      <c r="D606" s="457"/>
      <c r="E606" s="457"/>
      <c r="F606" s="448"/>
      <c r="G606" s="448"/>
      <c r="H606" s="448"/>
      <c r="I606" s="448"/>
      <c r="J606" s="450"/>
      <c r="K606" s="450"/>
      <c r="L606" s="450"/>
      <c r="M606" s="414" t="s">
        <v>24692</v>
      </c>
      <c r="N606" s="412">
        <v>1</v>
      </c>
    </row>
    <row r="607" spans="2:14" ht="15.75" thickBot="1" x14ac:dyDescent="0.3">
      <c r="B607" s="400"/>
      <c r="C607" s="401"/>
      <c r="D607" s="401"/>
      <c r="E607" s="401"/>
      <c r="F607" s="444"/>
      <c r="G607" s="444"/>
      <c r="H607" s="444"/>
      <c r="I607" s="444"/>
      <c r="J607" s="444"/>
      <c r="K607" s="444"/>
      <c r="L607" s="444"/>
      <c r="M607" s="455" t="s">
        <v>24693</v>
      </c>
      <c r="N607" s="415">
        <f>TRUNC(N605/N606,2)</f>
        <v>10.58</v>
      </c>
    </row>
    <row r="608" spans="2:14" ht="15.75" thickBot="1" x14ac:dyDescent="0.3">
      <c r="B608" s="456"/>
      <c r="C608" s="457"/>
      <c r="D608" s="457"/>
      <c r="E608" s="457"/>
      <c r="F608" s="457"/>
      <c r="G608" s="457"/>
      <c r="H608" s="457"/>
      <c r="I608" s="457"/>
      <c r="J608" s="457"/>
      <c r="K608" s="457"/>
      <c r="L608" s="457"/>
      <c r="M608" s="457"/>
      <c r="N608" s="404"/>
    </row>
    <row r="609" spans="2:14" ht="30" x14ac:dyDescent="0.25">
      <c r="B609" s="392" t="s">
        <v>0</v>
      </c>
      <c r="C609" s="393" t="s">
        <v>24673</v>
      </c>
      <c r="D609" s="1465" t="s">
        <v>24694</v>
      </c>
      <c r="E609" s="1465"/>
      <c r="F609" s="1465"/>
      <c r="G609" s="1465"/>
      <c r="H609" s="1465"/>
      <c r="I609" s="1466"/>
      <c r="J609" s="441" t="s">
        <v>3686</v>
      </c>
      <c r="K609" s="441" t="s">
        <v>24695</v>
      </c>
      <c r="L609" s="441"/>
      <c r="M609" s="441" t="s">
        <v>24683</v>
      </c>
      <c r="N609" s="395" t="s">
        <v>24689</v>
      </c>
    </row>
    <row r="610" spans="2:14" ht="30" x14ac:dyDescent="0.25">
      <c r="B610" s="446"/>
      <c r="C610" s="458" t="s">
        <v>24708</v>
      </c>
      <c r="D610" s="1463" t="s">
        <v>24789</v>
      </c>
      <c r="E610" s="1463"/>
      <c r="F610" s="1463"/>
      <c r="G610" s="1463"/>
      <c r="H610" s="1463"/>
      <c r="I610" s="1464"/>
      <c r="J610" s="442" t="s">
        <v>24755</v>
      </c>
      <c r="K610" s="427">
        <f>'MAPA DE COT. - Orla'!H27</f>
        <v>12.1</v>
      </c>
      <c r="L610" s="427"/>
      <c r="M610" s="447">
        <v>1</v>
      </c>
      <c r="N610" s="443">
        <f>K610*M610</f>
        <v>12.1</v>
      </c>
    </row>
    <row r="611" spans="2:14" ht="15" x14ac:dyDescent="0.25">
      <c r="B611" s="446"/>
      <c r="C611" s="458"/>
      <c r="D611" s="1463"/>
      <c r="E611" s="1463"/>
      <c r="F611" s="1463"/>
      <c r="G611" s="1463"/>
      <c r="H611" s="1463"/>
      <c r="I611" s="1464"/>
      <c r="J611" s="442"/>
      <c r="K611" s="442"/>
      <c r="L611" s="442"/>
      <c r="M611" s="447"/>
      <c r="N611" s="443"/>
    </row>
    <row r="612" spans="2:14" ht="15.75" thickBot="1" x14ac:dyDescent="0.3">
      <c r="B612" s="400"/>
      <c r="C612" s="401"/>
      <c r="D612" s="401"/>
      <c r="E612" s="401"/>
      <c r="F612" s="444"/>
      <c r="G612" s="444"/>
      <c r="H612" s="444"/>
      <c r="I612" s="444"/>
      <c r="J612" s="444"/>
      <c r="K612" s="444"/>
      <c r="L612" s="444"/>
      <c r="M612" s="455" t="s">
        <v>24696</v>
      </c>
      <c r="N612" s="403">
        <f>SUM(N610:N610)</f>
        <v>12.1</v>
      </c>
    </row>
    <row r="613" spans="2:14" ht="15.75" thickBot="1" x14ac:dyDescent="0.3">
      <c r="B613" s="456"/>
      <c r="C613" s="457"/>
      <c r="D613" s="457"/>
      <c r="E613" s="457"/>
      <c r="F613" s="457"/>
      <c r="G613" s="457"/>
      <c r="H613" s="457"/>
      <c r="I613" s="457"/>
      <c r="J613" s="457"/>
      <c r="K613" s="457"/>
      <c r="L613" s="457"/>
      <c r="M613" s="457"/>
      <c r="N613" s="404"/>
    </row>
    <row r="614" spans="2:14" ht="30" x14ac:dyDescent="0.25">
      <c r="B614" s="392" t="s">
        <v>0</v>
      </c>
      <c r="C614" s="441" t="s">
        <v>24673</v>
      </c>
      <c r="D614" s="1465" t="s">
        <v>24697</v>
      </c>
      <c r="E614" s="1465"/>
      <c r="F614" s="1465"/>
      <c r="G614" s="1465"/>
      <c r="H614" s="1465"/>
      <c r="I614" s="1466"/>
      <c r="J614" s="441" t="s">
        <v>3686</v>
      </c>
      <c r="K614" s="441" t="s">
        <v>24695</v>
      </c>
      <c r="L614" s="441"/>
      <c r="M614" s="441" t="s">
        <v>24683</v>
      </c>
      <c r="N614" s="395" t="s">
        <v>24689</v>
      </c>
    </row>
    <row r="615" spans="2:14" ht="15" x14ac:dyDescent="0.25">
      <c r="B615" s="416"/>
      <c r="C615" s="417"/>
      <c r="D615" s="1463"/>
      <c r="E615" s="1463"/>
      <c r="F615" s="1463"/>
      <c r="G615" s="1463"/>
      <c r="H615" s="1463"/>
      <c r="I615" s="1464"/>
      <c r="J615" s="451"/>
      <c r="K615" s="451"/>
      <c r="L615" s="451"/>
      <c r="M615" s="419"/>
      <c r="N615" s="420"/>
    </row>
    <row r="616" spans="2:14" ht="15.75" thickBot="1" x14ac:dyDescent="0.3">
      <c r="B616" s="400"/>
      <c r="C616" s="401"/>
      <c r="D616" s="401"/>
      <c r="E616" s="401"/>
      <c r="F616" s="444"/>
      <c r="G616" s="444"/>
      <c r="H616" s="444"/>
      <c r="I616" s="444"/>
      <c r="J616" s="444"/>
      <c r="K616" s="444"/>
      <c r="L616" s="444"/>
      <c r="M616" s="455" t="s">
        <v>24698</v>
      </c>
      <c r="N616" s="403">
        <f>SUM(N615:N615)</f>
        <v>0</v>
      </c>
    </row>
    <row r="617" spans="2:14" ht="15.75" thickBot="1" x14ac:dyDescent="0.3">
      <c r="B617" s="456"/>
      <c r="C617" s="457"/>
      <c r="D617" s="457"/>
      <c r="E617" s="457"/>
      <c r="F617" s="457"/>
      <c r="G617" s="457"/>
      <c r="H617" s="457"/>
      <c r="I617" s="457"/>
      <c r="J617" s="457"/>
      <c r="K617" s="457"/>
      <c r="L617" s="457"/>
      <c r="M617" s="457"/>
      <c r="N617" s="404"/>
    </row>
    <row r="618" spans="2:14" ht="30" x14ac:dyDescent="0.25">
      <c r="B618" s="392" t="s">
        <v>0</v>
      </c>
      <c r="C618" s="441" t="s">
        <v>24673</v>
      </c>
      <c r="D618" s="1465" t="s">
        <v>24699</v>
      </c>
      <c r="E618" s="1465"/>
      <c r="F618" s="1465"/>
      <c r="G618" s="1466"/>
      <c r="H618" s="441" t="s">
        <v>3686</v>
      </c>
      <c r="I618" s="441" t="s">
        <v>24700</v>
      </c>
      <c r="J618" s="441" t="s">
        <v>24701</v>
      </c>
      <c r="K618" s="441" t="s">
        <v>24695</v>
      </c>
      <c r="L618" s="441"/>
      <c r="M618" s="441" t="s">
        <v>24683</v>
      </c>
      <c r="N618" s="395" t="s">
        <v>24689</v>
      </c>
    </row>
    <row r="619" spans="2:14" ht="15" x14ac:dyDescent="0.25">
      <c r="B619" s="446"/>
      <c r="C619" s="458"/>
      <c r="D619" s="1494"/>
      <c r="E619" s="1494"/>
      <c r="F619" s="1494"/>
      <c r="G619" s="1494"/>
      <c r="H619" s="442"/>
      <c r="I619" s="442"/>
      <c r="J619" s="442"/>
      <c r="K619" s="442"/>
      <c r="L619" s="442"/>
      <c r="M619" s="447"/>
      <c r="N619" s="443"/>
    </row>
    <row r="620" spans="2:14" ht="15" x14ac:dyDescent="0.25">
      <c r="B620" s="456"/>
      <c r="C620" s="457"/>
      <c r="D620" s="457"/>
      <c r="E620" s="457"/>
      <c r="F620" s="448"/>
      <c r="G620" s="448"/>
      <c r="H620" s="448"/>
      <c r="I620" s="448"/>
      <c r="J620" s="448"/>
      <c r="K620" s="448"/>
      <c r="L620" s="448"/>
      <c r="M620" s="409" t="s">
        <v>24702</v>
      </c>
      <c r="N620" s="410">
        <f>SUM(N619:N619)</f>
        <v>0</v>
      </c>
    </row>
    <row r="621" spans="2:14" ht="15" x14ac:dyDescent="0.25">
      <c r="B621" s="456"/>
      <c r="C621" s="457"/>
      <c r="D621" s="457"/>
      <c r="E621" s="457"/>
      <c r="F621" s="457"/>
      <c r="G621" s="457"/>
      <c r="H621" s="457"/>
      <c r="I621" s="457"/>
      <c r="J621" s="457"/>
      <c r="K621" s="457"/>
      <c r="L621" s="457"/>
      <c r="M621" s="457"/>
      <c r="N621" s="404"/>
    </row>
    <row r="622" spans="2:14" ht="15" x14ac:dyDescent="0.25">
      <c r="B622" s="421"/>
      <c r="C622" s="422"/>
      <c r="D622" s="422"/>
      <c r="E622" s="422"/>
      <c r="F622" s="452"/>
      <c r="G622" s="452"/>
      <c r="H622" s="452"/>
      <c r="I622" s="452"/>
      <c r="J622" s="452"/>
      <c r="K622" s="452"/>
      <c r="L622" s="452"/>
      <c r="M622" s="424" t="s">
        <v>24703</v>
      </c>
      <c r="N622" s="412">
        <f>N607+N612+N616+N620</f>
        <v>22.68</v>
      </c>
    </row>
    <row r="623" spans="2:14" ht="15" x14ac:dyDescent="0.25">
      <c r="B623" s="456"/>
      <c r="C623" s="457"/>
      <c r="D623" s="457"/>
      <c r="E623" s="457"/>
      <c r="F623" s="448"/>
      <c r="G623" s="448"/>
      <c r="H623" s="448"/>
      <c r="I623" s="448"/>
      <c r="J623" s="448"/>
      <c r="K623" s="448"/>
      <c r="L623" s="448"/>
      <c r="M623" s="752">
        <f>'Planilha - Orla'!I3</f>
        <v>0.28220000000000001</v>
      </c>
      <c r="N623" s="412">
        <f>N622*M623</f>
        <v>6.4</v>
      </c>
    </row>
    <row r="624" spans="2:14" ht="15.75" thickBot="1" x14ac:dyDescent="0.3">
      <c r="B624" s="1472" t="s">
        <v>24704</v>
      </c>
      <c r="C624" s="1473"/>
      <c r="D624" s="1473"/>
      <c r="E624" s="1473"/>
      <c r="F624" s="1473"/>
      <c r="G624" s="1473"/>
      <c r="H624" s="1473"/>
      <c r="I624" s="1473"/>
      <c r="J624" s="1473"/>
      <c r="K624" s="1473"/>
      <c r="L624" s="1473"/>
      <c r="M624" s="1474"/>
      <c r="N624" s="415">
        <f>N622+N623</f>
        <v>29.08</v>
      </c>
    </row>
    <row r="626" spans="2:14" ht="15" thickBot="1" x14ac:dyDescent="0.3"/>
    <row r="627" spans="2:14" ht="45" customHeight="1" x14ac:dyDescent="0.25">
      <c r="B627" s="1479" t="s">
        <v>24868</v>
      </c>
      <c r="C627" s="1480"/>
      <c r="D627" s="1481"/>
      <c r="E627" s="1482" t="s">
        <v>24669</v>
      </c>
      <c r="F627" s="1482"/>
      <c r="G627" s="1482"/>
      <c r="H627" s="1482"/>
      <c r="I627" s="1482"/>
      <c r="J627" s="1482"/>
      <c r="K627" s="1482"/>
      <c r="L627" s="453"/>
      <c r="M627" s="1483"/>
      <c r="N627" s="1484"/>
    </row>
    <row r="628" spans="2:14" ht="15" x14ac:dyDescent="0.25">
      <c r="B628" s="391" t="s">
        <v>24670</v>
      </c>
      <c r="C628" s="1485" t="s">
        <v>25661</v>
      </c>
      <c r="D628" s="1485"/>
      <c r="E628" s="1485"/>
      <c r="F628" s="1485"/>
      <c r="G628" s="1485"/>
      <c r="H628" s="1485"/>
      <c r="I628" s="1485"/>
      <c r="J628" s="1485"/>
      <c r="K628" s="1485"/>
      <c r="L628" s="1485"/>
      <c r="M628" s="1485"/>
      <c r="N628" s="1486"/>
    </row>
    <row r="629" spans="2:14" ht="15" x14ac:dyDescent="0.25">
      <c r="B629" s="391" t="s">
        <v>24671</v>
      </c>
      <c r="C629" s="1487" t="s">
        <v>8</v>
      </c>
      <c r="D629" s="1487"/>
      <c r="E629" s="1487"/>
      <c r="F629" s="1487"/>
      <c r="G629" s="1487"/>
      <c r="H629" s="1487"/>
      <c r="I629" s="1487"/>
      <c r="J629" s="1487"/>
      <c r="K629" s="1487"/>
      <c r="L629" s="1487"/>
      <c r="M629" s="1487"/>
      <c r="N629" s="1488"/>
    </row>
    <row r="630" spans="2:14" ht="15.75" thickBot="1" x14ac:dyDescent="0.3">
      <c r="B630" s="391" t="s">
        <v>24672</v>
      </c>
      <c r="C630" s="1489">
        <v>44501</v>
      </c>
      <c r="D630" s="1490"/>
      <c r="E630" s="1490"/>
      <c r="F630" s="1490"/>
      <c r="G630" s="1490"/>
      <c r="H630" s="1490"/>
      <c r="I630" s="1490"/>
      <c r="J630" s="1490"/>
      <c r="K630" s="1490"/>
      <c r="L630" s="1490"/>
      <c r="M630" s="1490"/>
      <c r="N630" s="1491"/>
    </row>
    <row r="631" spans="2:14" ht="30" x14ac:dyDescent="0.25">
      <c r="B631" s="392" t="s">
        <v>0</v>
      </c>
      <c r="C631" s="393" t="s">
        <v>24673</v>
      </c>
      <c r="D631" s="1465" t="s">
        <v>24674</v>
      </c>
      <c r="E631" s="1465"/>
      <c r="F631" s="1465"/>
      <c r="G631" s="1466"/>
      <c r="H631" s="441" t="s">
        <v>111</v>
      </c>
      <c r="I631" s="441" t="s">
        <v>24675</v>
      </c>
      <c r="J631" s="441" t="s">
        <v>24676</v>
      </c>
      <c r="K631" s="441" t="s">
        <v>24677</v>
      </c>
      <c r="L631" s="441"/>
      <c r="M631" s="441" t="s">
        <v>24678</v>
      </c>
      <c r="N631" s="395" t="s">
        <v>24679</v>
      </c>
    </row>
    <row r="632" spans="2:14" ht="15" x14ac:dyDescent="0.25">
      <c r="B632" s="446"/>
      <c r="C632" s="397"/>
      <c r="D632" s="1494"/>
      <c r="E632" s="1494"/>
      <c r="F632" s="1494"/>
      <c r="G632" s="1495"/>
      <c r="H632" s="442"/>
      <c r="I632" s="442"/>
      <c r="J632" s="442"/>
      <c r="K632" s="442"/>
      <c r="L632" s="442"/>
      <c r="M632" s="442"/>
      <c r="N632" s="443"/>
    </row>
    <row r="633" spans="2:14" ht="15.75" thickBot="1" x14ac:dyDescent="0.3">
      <c r="B633" s="400"/>
      <c r="C633" s="401"/>
      <c r="D633" s="401"/>
      <c r="E633" s="401"/>
      <c r="F633" s="444"/>
      <c r="G633" s="444"/>
      <c r="H633" s="444"/>
      <c r="I633" s="444"/>
      <c r="J633" s="444"/>
      <c r="K633" s="444"/>
      <c r="L633" s="444"/>
      <c r="M633" s="455" t="s">
        <v>24680</v>
      </c>
      <c r="N633" s="403">
        <f>SUM(N632)</f>
        <v>0</v>
      </c>
    </row>
    <row r="634" spans="2:14" ht="15.75" thickBot="1" x14ac:dyDescent="0.3">
      <c r="B634" s="456"/>
      <c r="C634" s="457"/>
      <c r="D634" s="457"/>
      <c r="E634" s="457"/>
      <c r="F634" s="457"/>
      <c r="G634" s="457"/>
      <c r="H634" s="457"/>
      <c r="I634" s="457"/>
      <c r="J634" s="457"/>
      <c r="K634" s="457"/>
      <c r="L634" s="457"/>
      <c r="M634" s="457"/>
      <c r="N634" s="404"/>
    </row>
    <row r="635" spans="2:14" ht="45" x14ac:dyDescent="0.25">
      <c r="B635" s="392" t="s">
        <v>0</v>
      </c>
      <c r="C635" s="393" t="s">
        <v>24673</v>
      </c>
      <c r="D635" s="1465" t="s">
        <v>24681</v>
      </c>
      <c r="E635" s="1465"/>
      <c r="F635" s="1465"/>
      <c r="G635" s="1465"/>
      <c r="H635" s="1466"/>
      <c r="I635" s="441" t="s">
        <v>3686</v>
      </c>
      <c r="J635" s="441" t="s">
        <v>24682</v>
      </c>
      <c r="K635" s="441" t="s">
        <v>24861</v>
      </c>
      <c r="L635" s="441" t="s">
        <v>24862</v>
      </c>
      <c r="M635" s="441" t="s">
        <v>24683</v>
      </c>
      <c r="N635" s="395" t="s">
        <v>24679</v>
      </c>
    </row>
    <row r="636" spans="2:14" ht="15" x14ac:dyDescent="0.25">
      <c r="B636" s="446">
        <v>10101</v>
      </c>
      <c r="C636" s="458" t="s">
        <v>4389</v>
      </c>
      <c r="D636" s="1463" t="s">
        <v>24788</v>
      </c>
      <c r="E636" s="1463"/>
      <c r="F636" s="1463"/>
      <c r="G636" s="1463"/>
      <c r="H636" s="1464"/>
      <c r="I636" s="442" t="s">
        <v>75</v>
      </c>
      <c r="J636" s="406">
        <v>1.5727</v>
      </c>
      <c r="K636" s="427">
        <v>6.27</v>
      </c>
      <c r="L636" s="427">
        <f>K636*(1+J636)</f>
        <v>16.13</v>
      </c>
      <c r="M636" s="447">
        <v>0.3</v>
      </c>
      <c r="N636" s="443">
        <f>L636*M636</f>
        <v>4.84</v>
      </c>
    </row>
    <row r="637" spans="2:14" ht="15" x14ac:dyDescent="0.25">
      <c r="B637" s="446">
        <v>10115</v>
      </c>
      <c r="C637" s="458" t="s">
        <v>4389</v>
      </c>
      <c r="D637" s="1463" t="s">
        <v>24771</v>
      </c>
      <c r="E637" s="1463"/>
      <c r="F637" s="1463"/>
      <c r="G637" s="1463"/>
      <c r="H637" s="1464"/>
      <c r="I637" s="442" t="s">
        <v>75</v>
      </c>
      <c r="J637" s="406">
        <v>1.5727</v>
      </c>
      <c r="K637" s="427">
        <v>7.43</v>
      </c>
      <c r="L637" s="427">
        <f>K637*(1+J637)</f>
        <v>19.12</v>
      </c>
      <c r="M637" s="447">
        <v>0.3</v>
      </c>
      <c r="N637" s="443">
        <f>L637*M637</f>
        <v>5.74</v>
      </c>
    </row>
    <row r="638" spans="2:14" ht="15.75" thickBot="1" x14ac:dyDescent="0.3">
      <c r="B638" s="400"/>
      <c r="C638" s="401"/>
      <c r="D638" s="401"/>
      <c r="E638" s="401"/>
      <c r="F638" s="444"/>
      <c r="G638" s="444"/>
      <c r="H638" s="444"/>
      <c r="I638" s="444"/>
      <c r="J638" s="444"/>
      <c r="K638" s="444"/>
      <c r="L638" s="444"/>
      <c r="M638" s="455" t="s">
        <v>24684</v>
      </c>
      <c r="N638" s="403">
        <f>SUM(N636:N637)</f>
        <v>10.58</v>
      </c>
    </row>
    <row r="639" spans="2:14" ht="15.75" thickBot="1" x14ac:dyDescent="0.3">
      <c r="B639" s="456"/>
      <c r="C639" s="457"/>
      <c r="D639" s="457"/>
      <c r="E639" s="457"/>
      <c r="F639" s="457"/>
      <c r="G639" s="457"/>
      <c r="H639" s="457"/>
      <c r="I639" s="448"/>
      <c r="J639" s="448"/>
      <c r="K639" s="457"/>
      <c r="L639" s="457"/>
      <c r="M639" s="457"/>
      <c r="N639" s="404"/>
    </row>
    <row r="640" spans="2:14" ht="30" x14ac:dyDescent="0.25">
      <c r="B640" s="392" t="s">
        <v>0</v>
      </c>
      <c r="C640" s="393" t="s">
        <v>24673</v>
      </c>
      <c r="D640" s="1465" t="s">
        <v>24685</v>
      </c>
      <c r="E640" s="1465"/>
      <c r="F640" s="1465"/>
      <c r="G640" s="1465"/>
      <c r="H640" s="1466"/>
      <c r="I640" s="441" t="s">
        <v>2858</v>
      </c>
      <c r="J640" s="441" t="s">
        <v>24686</v>
      </c>
      <c r="K640" s="441" t="s">
        <v>24687</v>
      </c>
      <c r="L640" s="441"/>
      <c r="M640" s="441" t="s">
        <v>24688</v>
      </c>
      <c r="N640" s="395" t="s">
        <v>24689</v>
      </c>
    </row>
    <row r="641" spans="2:14" ht="15" x14ac:dyDescent="0.25">
      <c r="B641" s="446"/>
      <c r="C641" s="458"/>
      <c r="D641" s="1463"/>
      <c r="E641" s="1463"/>
      <c r="F641" s="1463"/>
      <c r="G641" s="1463"/>
      <c r="H641" s="1464"/>
      <c r="I641" s="442"/>
      <c r="J641" s="442"/>
      <c r="K641" s="442"/>
      <c r="L641" s="442"/>
      <c r="M641" s="442"/>
      <c r="N641" s="443"/>
    </row>
    <row r="642" spans="2:14" ht="15" x14ac:dyDescent="0.25">
      <c r="B642" s="456"/>
      <c r="C642" s="457"/>
      <c r="D642" s="457"/>
      <c r="E642" s="457"/>
      <c r="F642" s="448"/>
      <c r="G642" s="448"/>
      <c r="H642" s="448"/>
      <c r="I642" s="448"/>
      <c r="J642" s="448"/>
      <c r="K642" s="448"/>
      <c r="L642" s="448"/>
      <c r="M642" s="409" t="s">
        <v>24690</v>
      </c>
      <c r="N642" s="410">
        <f>SUM(N641:N641)</f>
        <v>0</v>
      </c>
    </row>
    <row r="643" spans="2:14" ht="15" x14ac:dyDescent="0.25">
      <c r="B643" s="456"/>
      <c r="C643" s="457"/>
      <c r="D643" s="457"/>
      <c r="E643" s="457"/>
      <c r="F643" s="457"/>
      <c r="G643" s="457"/>
      <c r="H643" s="457"/>
      <c r="I643" s="457"/>
      <c r="J643" s="457"/>
      <c r="K643" s="457"/>
      <c r="L643" s="457"/>
      <c r="M643" s="457"/>
      <c r="N643" s="404"/>
    </row>
    <row r="644" spans="2:14" ht="15" x14ac:dyDescent="0.25">
      <c r="B644" s="456"/>
      <c r="C644" s="457"/>
      <c r="D644" s="457"/>
      <c r="E644" s="457"/>
      <c r="F644" s="448"/>
      <c r="G644" s="448"/>
      <c r="H644" s="448"/>
      <c r="I644" s="449"/>
      <c r="J644" s="449"/>
      <c r="K644" s="449"/>
      <c r="L644" s="449"/>
      <c r="M644" s="409" t="s">
        <v>24691</v>
      </c>
      <c r="N644" s="412">
        <f>N633+N638+N642</f>
        <v>10.58</v>
      </c>
    </row>
    <row r="645" spans="2:14" ht="15" x14ac:dyDescent="0.25">
      <c r="B645" s="456"/>
      <c r="C645" s="457"/>
      <c r="D645" s="457"/>
      <c r="E645" s="457"/>
      <c r="F645" s="448"/>
      <c r="G645" s="448"/>
      <c r="H645" s="448"/>
      <c r="I645" s="448"/>
      <c r="J645" s="450"/>
      <c r="K645" s="450"/>
      <c r="L645" s="450"/>
      <c r="M645" s="414" t="s">
        <v>24692</v>
      </c>
      <c r="N645" s="412">
        <v>1</v>
      </c>
    </row>
    <row r="646" spans="2:14" ht="15.75" thickBot="1" x14ac:dyDescent="0.3">
      <c r="B646" s="400"/>
      <c r="C646" s="401"/>
      <c r="D646" s="401"/>
      <c r="E646" s="401"/>
      <c r="F646" s="444"/>
      <c r="G646" s="444"/>
      <c r="H646" s="444"/>
      <c r="I646" s="444"/>
      <c r="J646" s="444"/>
      <c r="K646" s="444"/>
      <c r="L646" s="444"/>
      <c r="M646" s="455" t="s">
        <v>24693</v>
      </c>
      <c r="N646" s="415">
        <f>TRUNC(N644/N645,2)</f>
        <v>10.58</v>
      </c>
    </row>
    <row r="647" spans="2:14" ht="15.75" thickBot="1" x14ac:dyDescent="0.3">
      <c r="B647" s="456"/>
      <c r="C647" s="457"/>
      <c r="D647" s="457"/>
      <c r="E647" s="457"/>
      <c r="F647" s="457"/>
      <c r="G647" s="457"/>
      <c r="H647" s="457"/>
      <c r="I647" s="457"/>
      <c r="J647" s="457"/>
      <c r="K647" s="457"/>
      <c r="L647" s="457"/>
      <c r="M647" s="457"/>
      <c r="N647" s="404"/>
    </row>
    <row r="648" spans="2:14" ht="30" x14ac:dyDescent="0.25">
      <c r="B648" s="392" t="s">
        <v>0</v>
      </c>
      <c r="C648" s="393" t="s">
        <v>24673</v>
      </c>
      <c r="D648" s="1465" t="s">
        <v>24694</v>
      </c>
      <c r="E648" s="1465"/>
      <c r="F648" s="1465"/>
      <c r="G648" s="1465"/>
      <c r="H648" s="1465"/>
      <c r="I648" s="1466"/>
      <c r="J648" s="441" t="s">
        <v>3686</v>
      </c>
      <c r="K648" s="441" t="s">
        <v>24695</v>
      </c>
      <c r="L648" s="441"/>
      <c r="M648" s="441" t="s">
        <v>24683</v>
      </c>
      <c r="N648" s="395" t="s">
        <v>24689</v>
      </c>
    </row>
    <row r="649" spans="2:14" ht="30" x14ac:dyDescent="0.25">
      <c r="B649" s="446"/>
      <c r="C649" s="458" t="s">
        <v>24708</v>
      </c>
      <c r="D649" s="1463" t="s">
        <v>24839</v>
      </c>
      <c r="E649" s="1463"/>
      <c r="F649" s="1463"/>
      <c r="G649" s="1463"/>
      <c r="H649" s="1463"/>
      <c r="I649" s="1464"/>
      <c r="J649" s="442" t="s">
        <v>24755</v>
      </c>
      <c r="K649" s="427">
        <f>'MAPA DE COT. - Orla'!H39</f>
        <v>67.12</v>
      </c>
      <c r="L649" s="427"/>
      <c r="M649" s="447">
        <v>1</v>
      </c>
      <c r="N649" s="443">
        <f>K649*M649</f>
        <v>67.12</v>
      </c>
    </row>
    <row r="650" spans="2:14" ht="15" x14ac:dyDescent="0.25">
      <c r="B650" s="446"/>
      <c r="C650" s="458"/>
      <c r="D650" s="1463"/>
      <c r="E650" s="1463"/>
      <c r="F650" s="1463"/>
      <c r="G650" s="1463"/>
      <c r="H650" s="1463"/>
      <c r="I650" s="1464"/>
      <c r="J650" s="442"/>
      <c r="K650" s="442"/>
      <c r="L650" s="442"/>
      <c r="M650" s="447"/>
      <c r="N650" s="443"/>
    </row>
    <row r="651" spans="2:14" ht="15.75" thickBot="1" x14ac:dyDescent="0.3">
      <c r="B651" s="400"/>
      <c r="C651" s="401"/>
      <c r="D651" s="401"/>
      <c r="E651" s="401"/>
      <c r="F651" s="444"/>
      <c r="G651" s="444"/>
      <c r="H651" s="444"/>
      <c r="I651" s="444"/>
      <c r="J651" s="444"/>
      <c r="K651" s="444"/>
      <c r="L651" s="444"/>
      <c r="M651" s="455" t="s">
        <v>24696</v>
      </c>
      <c r="N651" s="403">
        <f>SUM(N649:N649)</f>
        <v>67.12</v>
      </c>
    </row>
    <row r="652" spans="2:14" ht="15.75" thickBot="1" x14ac:dyDescent="0.3">
      <c r="B652" s="456"/>
      <c r="C652" s="457"/>
      <c r="D652" s="457"/>
      <c r="E652" s="457"/>
      <c r="F652" s="457"/>
      <c r="G652" s="457"/>
      <c r="H652" s="457"/>
      <c r="I652" s="457"/>
      <c r="J652" s="457"/>
      <c r="K652" s="457"/>
      <c r="L652" s="457"/>
      <c r="M652" s="457"/>
      <c r="N652" s="404"/>
    </row>
    <row r="653" spans="2:14" ht="30" x14ac:dyDescent="0.25">
      <c r="B653" s="392" t="s">
        <v>0</v>
      </c>
      <c r="C653" s="441" t="s">
        <v>24673</v>
      </c>
      <c r="D653" s="1465" t="s">
        <v>24697</v>
      </c>
      <c r="E653" s="1465"/>
      <c r="F653" s="1465"/>
      <c r="G653" s="1465"/>
      <c r="H653" s="1465"/>
      <c r="I653" s="1466"/>
      <c r="J653" s="441" t="s">
        <v>3686</v>
      </c>
      <c r="K653" s="441" t="s">
        <v>24695</v>
      </c>
      <c r="L653" s="441"/>
      <c r="M653" s="441" t="s">
        <v>24683</v>
      </c>
      <c r="N653" s="395" t="s">
        <v>24689</v>
      </c>
    </row>
    <row r="654" spans="2:14" ht="15" x14ac:dyDescent="0.25">
      <c r="B654" s="416"/>
      <c r="C654" s="417"/>
      <c r="D654" s="1463"/>
      <c r="E654" s="1463"/>
      <c r="F654" s="1463"/>
      <c r="G654" s="1463"/>
      <c r="H654" s="1463"/>
      <c r="I654" s="1464"/>
      <c r="J654" s="451"/>
      <c r="K654" s="451"/>
      <c r="L654" s="451"/>
      <c r="M654" s="419"/>
      <c r="N654" s="420"/>
    </row>
    <row r="655" spans="2:14" ht="15.75" thickBot="1" x14ac:dyDescent="0.3">
      <c r="B655" s="400"/>
      <c r="C655" s="401"/>
      <c r="D655" s="401"/>
      <c r="E655" s="401"/>
      <c r="F655" s="444"/>
      <c r="G655" s="444"/>
      <c r="H655" s="444"/>
      <c r="I655" s="444"/>
      <c r="J655" s="444"/>
      <c r="K655" s="444"/>
      <c r="L655" s="444"/>
      <c r="M655" s="455" t="s">
        <v>24698</v>
      </c>
      <c r="N655" s="403">
        <f>SUM(N654:N654)</f>
        <v>0</v>
      </c>
    </row>
    <row r="656" spans="2:14" ht="15.75" thickBot="1" x14ac:dyDescent="0.3">
      <c r="B656" s="456"/>
      <c r="C656" s="457"/>
      <c r="D656" s="457"/>
      <c r="E656" s="457"/>
      <c r="F656" s="457"/>
      <c r="G656" s="457"/>
      <c r="H656" s="457"/>
      <c r="I656" s="457"/>
      <c r="J656" s="457"/>
      <c r="K656" s="457"/>
      <c r="L656" s="457"/>
      <c r="M656" s="457"/>
      <c r="N656" s="404"/>
    </row>
    <row r="657" spans="2:14" ht="30" x14ac:dyDescent="0.25">
      <c r="B657" s="392" t="s">
        <v>0</v>
      </c>
      <c r="C657" s="441" t="s">
        <v>24673</v>
      </c>
      <c r="D657" s="1465" t="s">
        <v>24699</v>
      </c>
      <c r="E657" s="1465"/>
      <c r="F657" s="1465"/>
      <c r="G657" s="1466"/>
      <c r="H657" s="441" t="s">
        <v>3686</v>
      </c>
      <c r="I657" s="441" t="s">
        <v>24700</v>
      </c>
      <c r="J657" s="441" t="s">
        <v>24701</v>
      </c>
      <c r="K657" s="441" t="s">
        <v>24695</v>
      </c>
      <c r="L657" s="441"/>
      <c r="M657" s="441" t="s">
        <v>24683</v>
      </c>
      <c r="N657" s="395" t="s">
        <v>24689</v>
      </c>
    </row>
    <row r="658" spans="2:14" ht="15" x14ac:dyDescent="0.25">
      <c r="B658" s="446"/>
      <c r="C658" s="458"/>
      <c r="D658" s="1494"/>
      <c r="E658" s="1494"/>
      <c r="F658" s="1494"/>
      <c r="G658" s="1494"/>
      <c r="H658" s="442"/>
      <c r="I658" s="442"/>
      <c r="J658" s="442"/>
      <c r="K658" s="442"/>
      <c r="L658" s="442"/>
      <c r="M658" s="447"/>
      <c r="N658" s="443"/>
    </row>
    <row r="659" spans="2:14" ht="15" x14ac:dyDescent="0.25">
      <c r="B659" s="456"/>
      <c r="C659" s="457"/>
      <c r="D659" s="457"/>
      <c r="E659" s="457"/>
      <c r="F659" s="448"/>
      <c r="G659" s="448"/>
      <c r="H659" s="448"/>
      <c r="I659" s="448"/>
      <c r="J659" s="448"/>
      <c r="K659" s="448"/>
      <c r="L659" s="448"/>
      <c r="M659" s="409" t="s">
        <v>24702</v>
      </c>
      <c r="N659" s="410">
        <f>SUM(N658:N658)</f>
        <v>0</v>
      </c>
    </row>
    <row r="660" spans="2:14" ht="15" x14ac:dyDescent="0.25">
      <c r="B660" s="456"/>
      <c r="C660" s="457"/>
      <c r="D660" s="457"/>
      <c r="E660" s="457"/>
      <c r="F660" s="457"/>
      <c r="G660" s="457"/>
      <c r="H660" s="457"/>
      <c r="I660" s="457"/>
      <c r="J660" s="457"/>
      <c r="K660" s="457"/>
      <c r="L660" s="457"/>
      <c r="M660" s="457"/>
      <c r="N660" s="404"/>
    </row>
    <row r="661" spans="2:14" ht="15" x14ac:dyDescent="0.25">
      <c r="B661" s="421"/>
      <c r="C661" s="422"/>
      <c r="D661" s="422"/>
      <c r="E661" s="422"/>
      <c r="F661" s="452"/>
      <c r="G661" s="452"/>
      <c r="H661" s="452"/>
      <c r="I661" s="452"/>
      <c r="J661" s="452"/>
      <c r="K661" s="452"/>
      <c r="L661" s="452"/>
      <c r="M661" s="424" t="s">
        <v>24703</v>
      </c>
      <c r="N661" s="412">
        <f>N646+N651+N655+N659</f>
        <v>77.7</v>
      </c>
    </row>
    <row r="662" spans="2:14" ht="15" x14ac:dyDescent="0.25">
      <c r="B662" s="456"/>
      <c r="C662" s="457"/>
      <c r="D662" s="457"/>
      <c r="E662" s="457"/>
      <c r="F662" s="448"/>
      <c r="G662" s="448"/>
      <c r="H662" s="448"/>
      <c r="I662" s="448"/>
      <c r="J662" s="448"/>
      <c r="K662" s="448"/>
      <c r="L662" s="448"/>
      <c r="M662" s="752">
        <f>'Planilha - Orla'!I3</f>
        <v>0.28220000000000001</v>
      </c>
      <c r="N662" s="412">
        <f>N661*M662</f>
        <v>21.93</v>
      </c>
    </row>
    <row r="663" spans="2:14" ht="15.75" thickBot="1" x14ac:dyDescent="0.3">
      <c r="B663" s="1472" t="s">
        <v>24704</v>
      </c>
      <c r="C663" s="1473"/>
      <c r="D663" s="1473"/>
      <c r="E663" s="1473"/>
      <c r="F663" s="1473"/>
      <c r="G663" s="1473"/>
      <c r="H663" s="1473"/>
      <c r="I663" s="1473"/>
      <c r="J663" s="1473"/>
      <c r="K663" s="1473"/>
      <c r="L663" s="1473"/>
      <c r="M663" s="1474"/>
      <c r="N663" s="415">
        <f>N661+N662</f>
        <v>99.63</v>
      </c>
    </row>
    <row r="665" spans="2:14" ht="15" thickBot="1" x14ac:dyDescent="0.3"/>
    <row r="666" spans="2:14" ht="45.75" customHeight="1" x14ac:dyDescent="0.25">
      <c r="B666" s="1479" t="s">
        <v>24869</v>
      </c>
      <c r="C666" s="1480"/>
      <c r="D666" s="1481"/>
      <c r="E666" s="1482" t="s">
        <v>24669</v>
      </c>
      <c r="F666" s="1482"/>
      <c r="G666" s="1482"/>
      <c r="H666" s="1482"/>
      <c r="I666" s="1482"/>
      <c r="J666" s="1482"/>
      <c r="K666" s="1482"/>
      <c r="L666" s="453"/>
      <c r="M666" s="1483"/>
      <c r="N666" s="1484"/>
    </row>
    <row r="667" spans="2:14" ht="15" x14ac:dyDescent="0.25">
      <c r="B667" s="391" t="s">
        <v>24670</v>
      </c>
      <c r="C667" s="1485" t="s">
        <v>25660</v>
      </c>
      <c r="D667" s="1485"/>
      <c r="E667" s="1485"/>
      <c r="F667" s="1485"/>
      <c r="G667" s="1485"/>
      <c r="H667" s="1485"/>
      <c r="I667" s="1485"/>
      <c r="J667" s="1485"/>
      <c r="K667" s="1485"/>
      <c r="L667" s="1485"/>
      <c r="M667" s="1485"/>
      <c r="N667" s="1486"/>
    </row>
    <row r="668" spans="2:14" ht="15" x14ac:dyDescent="0.25">
      <c r="B668" s="391" t="s">
        <v>24671</v>
      </c>
      <c r="C668" s="1487" t="s">
        <v>8</v>
      </c>
      <c r="D668" s="1487"/>
      <c r="E668" s="1487"/>
      <c r="F668" s="1487"/>
      <c r="G668" s="1487"/>
      <c r="H668" s="1487"/>
      <c r="I668" s="1487"/>
      <c r="J668" s="1487"/>
      <c r="K668" s="1487"/>
      <c r="L668" s="1487"/>
      <c r="M668" s="1487"/>
      <c r="N668" s="1488"/>
    </row>
    <row r="669" spans="2:14" ht="15.75" thickBot="1" x14ac:dyDescent="0.3">
      <c r="B669" s="391" t="s">
        <v>24672</v>
      </c>
      <c r="C669" s="1489">
        <v>44501</v>
      </c>
      <c r="D669" s="1490"/>
      <c r="E669" s="1490"/>
      <c r="F669" s="1490"/>
      <c r="G669" s="1490"/>
      <c r="H669" s="1490"/>
      <c r="I669" s="1490"/>
      <c r="J669" s="1490"/>
      <c r="K669" s="1490"/>
      <c r="L669" s="1490"/>
      <c r="M669" s="1490"/>
      <c r="N669" s="1491"/>
    </row>
    <row r="670" spans="2:14" ht="30" x14ac:dyDescent="0.25">
      <c r="B670" s="392" t="s">
        <v>0</v>
      </c>
      <c r="C670" s="393" t="s">
        <v>24673</v>
      </c>
      <c r="D670" s="1465" t="s">
        <v>24674</v>
      </c>
      <c r="E670" s="1465"/>
      <c r="F670" s="1465"/>
      <c r="G670" s="1466"/>
      <c r="H670" s="441" t="s">
        <v>111</v>
      </c>
      <c r="I670" s="441" t="s">
        <v>24675</v>
      </c>
      <c r="J670" s="441" t="s">
        <v>24676</v>
      </c>
      <c r="K670" s="441" t="s">
        <v>24677</v>
      </c>
      <c r="L670" s="441"/>
      <c r="M670" s="441" t="s">
        <v>24678</v>
      </c>
      <c r="N670" s="395" t="s">
        <v>24679</v>
      </c>
    </row>
    <row r="671" spans="2:14" ht="15" x14ac:dyDescent="0.25">
      <c r="B671" s="446"/>
      <c r="C671" s="397"/>
      <c r="D671" s="1494"/>
      <c r="E671" s="1494"/>
      <c r="F671" s="1494"/>
      <c r="G671" s="1495"/>
      <c r="H671" s="442"/>
      <c r="I671" s="442"/>
      <c r="J671" s="442"/>
      <c r="K671" s="442"/>
      <c r="L671" s="442"/>
      <c r="M671" s="442"/>
      <c r="N671" s="443"/>
    </row>
    <row r="672" spans="2:14" ht="15.75" thickBot="1" x14ac:dyDescent="0.3">
      <c r="B672" s="400"/>
      <c r="C672" s="401"/>
      <c r="D672" s="401"/>
      <c r="E672" s="401"/>
      <c r="F672" s="444"/>
      <c r="G672" s="444"/>
      <c r="H672" s="444"/>
      <c r="I672" s="444"/>
      <c r="J672" s="444"/>
      <c r="K672" s="444"/>
      <c r="L672" s="444"/>
      <c r="M672" s="455" t="s">
        <v>24680</v>
      </c>
      <c r="N672" s="403">
        <f>SUM(N671)</f>
        <v>0</v>
      </c>
    </row>
    <row r="673" spans="2:14" ht="15.75" thickBot="1" x14ac:dyDescent="0.3">
      <c r="B673" s="456"/>
      <c r="C673" s="457"/>
      <c r="D673" s="457"/>
      <c r="E673" s="457"/>
      <c r="F673" s="457"/>
      <c r="G673" s="457"/>
      <c r="H673" s="457"/>
      <c r="I673" s="457"/>
      <c r="J673" s="457"/>
      <c r="K673" s="457"/>
      <c r="L673" s="457"/>
      <c r="M673" s="457"/>
      <c r="N673" s="404"/>
    </row>
    <row r="674" spans="2:14" ht="45" x14ac:dyDescent="0.25">
      <c r="B674" s="392" t="s">
        <v>0</v>
      </c>
      <c r="C674" s="393" t="s">
        <v>24673</v>
      </c>
      <c r="D674" s="1465" t="s">
        <v>24681</v>
      </c>
      <c r="E674" s="1465"/>
      <c r="F674" s="1465"/>
      <c r="G674" s="1465"/>
      <c r="H674" s="1466"/>
      <c r="I674" s="441" t="s">
        <v>3686</v>
      </c>
      <c r="J674" s="441" t="s">
        <v>24682</v>
      </c>
      <c r="K674" s="441" t="s">
        <v>24861</v>
      </c>
      <c r="L674" s="441" t="s">
        <v>24862</v>
      </c>
      <c r="M674" s="441" t="s">
        <v>24683</v>
      </c>
      <c r="N674" s="395" t="s">
        <v>24679</v>
      </c>
    </row>
    <row r="675" spans="2:14" ht="15" x14ac:dyDescent="0.25">
      <c r="B675" s="446">
        <v>10101</v>
      </c>
      <c r="C675" s="458" t="s">
        <v>4389</v>
      </c>
      <c r="D675" s="1463" t="s">
        <v>24788</v>
      </c>
      <c r="E675" s="1463"/>
      <c r="F675" s="1463"/>
      <c r="G675" s="1463"/>
      <c r="H675" s="1464"/>
      <c r="I675" s="442" t="s">
        <v>75</v>
      </c>
      <c r="J675" s="406">
        <v>1.5727</v>
      </c>
      <c r="K675" s="427">
        <v>6.27</v>
      </c>
      <c r="L675" s="427">
        <f>K675*(1+J675)</f>
        <v>16.13</v>
      </c>
      <c r="M675" s="447">
        <v>0.3</v>
      </c>
      <c r="N675" s="443">
        <f>L675*M675</f>
        <v>4.84</v>
      </c>
    </row>
    <row r="676" spans="2:14" ht="15" x14ac:dyDescent="0.25">
      <c r="B676" s="446">
        <v>10115</v>
      </c>
      <c r="C676" s="458" t="s">
        <v>4389</v>
      </c>
      <c r="D676" s="1463" t="s">
        <v>24771</v>
      </c>
      <c r="E676" s="1463"/>
      <c r="F676" s="1463"/>
      <c r="G676" s="1463"/>
      <c r="H676" s="1464"/>
      <c r="I676" s="442" t="s">
        <v>75</v>
      </c>
      <c r="J676" s="406">
        <v>1.5727</v>
      </c>
      <c r="K676" s="427">
        <v>7.43</v>
      </c>
      <c r="L676" s="427">
        <f>K676*(1+J676)</f>
        <v>19.12</v>
      </c>
      <c r="M676" s="447">
        <v>0.3</v>
      </c>
      <c r="N676" s="443">
        <f>L676*M676</f>
        <v>5.74</v>
      </c>
    </row>
    <row r="677" spans="2:14" ht="15.75" thickBot="1" x14ac:dyDescent="0.3">
      <c r="B677" s="400"/>
      <c r="C677" s="401"/>
      <c r="D677" s="401"/>
      <c r="E677" s="401"/>
      <c r="F677" s="444"/>
      <c r="G677" s="444"/>
      <c r="H677" s="444"/>
      <c r="I677" s="444"/>
      <c r="J677" s="444"/>
      <c r="K677" s="444"/>
      <c r="L677" s="444"/>
      <c r="M677" s="455" t="s">
        <v>24684</v>
      </c>
      <c r="N677" s="403">
        <f>SUM(N675:N676)</f>
        <v>10.58</v>
      </c>
    </row>
    <row r="678" spans="2:14" ht="15.75" thickBot="1" x14ac:dyDescent="0.3">
      <c r="B678" s="456"/>
      <c r="C678" s="457"/>
      <c r="D678" s="457"/>
      <c r="E678" s="457"/>
      <c r="F678" s="457"/>
      <c r="G678" s="457"/>
      <c r="H678" s="457"/>
      <c r="I678" s="448"/>
      <c r="J678" s="448"/>
      <c r="K678" s="457"/>
      <c r="L678" s="457"/>
      <c r="M678" s="457"/>
      <c r="N678" s="404"/>
    </row>
    <row r="679" spans="2:14" ht="30" x14ac:dyDescent="0.25">
      <c r="B679" s="392" t="s">
        <v>0</v>
      </c>
      <c r="C679" s="393" t="s">
        <v>24673</v>
      </c>
      <c r="D679" s="1465" t="s">
        <v>24685</v>
      </c>
      <c r="E679" s="1465"/>
      <c r="F679" s="1465"/>
      <c r="G679" s="1465"/>
      <c r="H679" s="1466"/>
      <c r="I679" s="441" t="s">
        <v>2858</v>
      </c>
      <c r="J679" s="441" t="s">
        <v>24686</v>
      </c>
      <c r="K679" s="441" t="s">
        <v>24687</v>
      </c>
      <c r="L679" s="441"/>
      <c r="M679" s="441" t="s">
        <v>24688</v>
      </c>
      <c r="N679" s="395" t="s">
        <v>24689</v>
      </c>
    </row>
    <row r="680" spans="2:14" ht="15" x14ac:dyDescent="0.25">
      <c r="B680" s="446"/>
      <c r="C680" s="458"/>
      <c r="D680" s="1463"/>
      <c r="E680" s="1463"/>
      <c r="F680" s="1463"/>
      <c r="G680" s="1463"/>
      <c r="H680" s="1464"/>
      <c r="I680" s="442"/>
      <c r="J680" s="442"/>
      <c r="K680" s="442"/>
      <c r="L680" s="442"/>
      <c r="M680" s="442"/>
      <c r="N680" s="443"/>
    </row>
    <row r="681" spans="2:14" ht="15" x14ac:dyDescent="0.25">
      <c r="B681" s="456"/>
      <c r="C681" s="457"/>
      <c r="D681" s="457"/>
      <c r="E681" s="457"/>
      <c r="F681" s="448"/>
      <c r="G681" s="448"/>
      <c r="H681" s="448"/>
      <c r="I681" s="448"/>
      <c r="J681" s="448"/>
      <c r="K681" s="448"/>
      <c r="L681" s="448"/>
      <c r="M681" s="409" t="s">
        <v>24690</v>
      </c>
      <c r="N681" s="410">
        <f>SUM(N680:N680)</f>
        <v>0</v>
      </c>
    </row>
    <row r="682" spans="2:14" ht="15" x14ac:dyDescent="0.25">
      <c r="B682" s="456"/>
      <c r="C682" s="457"/>
      <c r="D682" s="457"/>
      <c r="E682" s="457"/>
      <c r="F682" s="457"/>
      <c r="G682" s="457"/>
      <c r="H682" s="457"/>
      <c r="I682" s="457"/>
      <c r="J682" s="457"/>
      <c r="K682" s="457"/>
      <c r="L682" s="457"/>
      <c r="M682" s="457"/>
      <c r="N682" s="404"/>
    </row>
    <row r="683" spans="2:14" ht="15" x14ac:dyDescent="0.25">
      <c r="B683" s="456"/>
      <c r="C683" s="457"/>
      <c r="D683" s="457"/>
      <c r="E683" s="457"/>
      <c r="F683" s="448"/>
      <c r="G683" s="448"/>
      <c r="H683" s="448"/>
      <c r="I683" s="449"/>
      <c r="J683" s="449"/>
      <c r="K683" s="449"/>
      <c r="L683" s="449"/>
      <c r="M683" s="409" t="s">
        <v>24691</v>
      </c>
      <c r="N683" s="412">
        <f>N672+N677+N681</f>
        <v>10.58</v>
      </c>
    </row>
    <row r="684" spans="2:14" ht="15" x14ac:dyDescent="0.25">
      <c r="B684" s="456"/>
      <c r="C684" s="457"/>
      <c r="D684" s="457"/>
      <c r="E684" s="457"/>
      <c r="F684" s="448"/>
      <c r="G684" s="448"/>
      <c r="H684" s="448"/>
      <c r="I684" s="448"/>
      <c r="J684" s="450"/>
      <c r="K684" s="450"/>
      <c r="L684" s="450"/>
      <c r="M684" s="414" t="s">
        <v>24692</v>
      </c>
      <c r="N684" s="412">
        <v>1</v>
      </c>
    </row>
    <row r="685" spans="2:14" ht="15.75" thickBot="1" x14ac:dyDescent="0.3">
      <c r="B685" s="400"/>
      <c r="C685" s="401"/>
      <c r="D685" s="401"/>
      <c r="E685" s="401"/>
      <c r="F685" s="444"/>
      <c r="G685" s="444"/>
      <c r="H685" s="444"/>
      <c r="I685" s="444"/>
      <c r="J685" s="444"/>
      <c r="K685" s="444"/>
      <c r="L685" s="444"/>
      <c r="M685" s="455" t="s">
        <v>24693</v>
      </c>
      <c r="N685" s="415">
        <f>TRUNC(N683/N684,2)</f>
        <v>10.58</v>
      </c>
    </row>
    <row r="686" spans="2:14" ht="15.75" thickBot="1" x14ac:dyDescent="0.3">
      <c r="B686" s="456"/>
      <c r="C686" s="457"/>
      <c r="D686" s="457"/>
      <c r="E686" s="457"/>
      <c r="F686" s="457"/>
      <c r="G686" s="457"/>
      <c r="H686" s="457"/>
      <c r="I686" s="457"/>
      <c r="J686" s="457"/>
      <c r="K686" s="457"/>
      <c r="L686" s="457"/>
      <c r="M686" s="457"/>
      <c r="N686" s="404"/>
    </row>
    <row r="687" spans="2:14" ht="30" x14ac:dyDescent="0.25">
      <c r="B687" s="392" t="s">
        <v>0</v>
      </c>
      <c r="C687" s="393" t="s">
        <v>24673</v>
      </c>
      <c r="D687" s="1465" t="s">
        <v>24694</v>
      </c>
      <c r="E687" s="1465"/>
      <c r="F687" s="1465"/>
      <c r="G687" s="1465"/>
      <c r="H687" s="1465"/>
      <c r="I687" s="1466"/>
      <c r="J687" s="441" t="s">
        <v>3686</v>
      </c>
      <c r="K687" s="441" t="s">
        <v>24695</v>
      </c>
      <c r="L687" s="441"/>
      <c r="M687" s="441" t="s">
        <v>24683</v>
      </c>
      <c r="N687" s="395" t="s">
        <v>24689</v>
      </c>
    </row>
    <row r="688" spans="2:14" ht="30" x14ac:dyDescent="0.25">
      <c r="B688" s="446"/>
      <c r="C688" s="458" t="s">
        <v>24708</v>
      </c>
      <c r="D688" s="1463" t="s">
        <v>24823</v>
      </c>
      <c r="E688" s="1463"/>
      <c r="F688" s="1463"/>
      <c r="G688" s="1463"/>
      <c r="H688" s="1463"/>
      <c r="I688" s="1464"/>
      <c r="J688" s="442" t="s">
        <v>24755</v>
      </c>
      <c r="K688" s="427">
        <f>'MAPA DE COT. - Orla'!H52</f>
        <v>12.63</v>
      </c>
      <c r="L688" s="427"/>
      <c r="M688" s="447">
        <v>1</v>
      </c>
      <c r="N688" s="443">
        <f>K688*M688</f>
        <v>12.63</v>
      </c>
    </row>
    <row r="689" spans="2:14" ht="15" x14ac:dyDescent="0.25">
      <c r="B689" s="446"/>
      <c r="C689" s="458"/>
      <c r="D689" s="1463"/>
      <c r="E689" s="1463"/>
      <c r="F689" s="1463"/>
      <c r="G689" s="1463"/>
      <c r="H689" s="1463"/>
      <c r="I689" s="1464"/>
      <c r="J689" s="442"/>
      <c r="K689" s="442"/>
      <c r="L689" s="442"/>
      <c r="M689" s="447"/>
      <c r="N689" s="443"/>
    </row>
    <row r="690" spans="2:14" ht="15.75" thickBot="1" x14ac:dyDescent="0.3">
      <c r="B690" s="400"/>
      <c r="C690" s="401"/>
      <c r="D690" s="401"/>
      <c r="E690" s="401"/>
      <c r="F690" s="444"/>
      <c r="G690" s="444"/>
      <c r="H690" s="444"/>
      <c r="I690" s="444"/>
      <c r="J690" s="444"/>
      <c r="K690" s="444"/>
      <c r="L690" s="444"/>
      <c r="M690" s="455" t="s">
        <v>24696</v>
      </c>
      <c r="N690" s="403">
        <f>SUM(N688:N688)</f>
        <v>12.63</v>
      </c>
    </row>
    <row r="691" spans="2:14" ht="15.75" thickBot="1" x14ac:dyDescent="0.3">
      <c r="B691" s="456"/>
      <c r="C691" s="457"/>
      <c r="D691" s="457"/>
      <c r="E691" s="457"/>
      <c r="F691" s="457"/>
      <c r="G691" s="457"/>
      <c r="H691" s="457"/>
      <c r="I691" s="457"/>
      <c r="J691" s="457"/>
      <c r="K691" s="457"/>
      <c r="L691" s="457"/>
      <c r="M691" s="457"/>
      <c r="N691" s="404"/>
    </row>
    <row r="692" spans="2:14" ht="30" x14ac:dyDescent="0.25">
      <c r="B692" s="392" t="s">
        <v>0</v>
      </c>
      <c r="C692" s="441" t="s">
        <v>24673</v>
      </c>
      <c r="D692" s="1465" t="s">
        <v>24697</v>
      </c>
      <c r="E692" s="1465"/>
      <c r="F692" s="1465"/>
      <c r="G692" s="1465"/>
      <c r="H692" s="1465"/>
      <c r="I692" s="1466"/>
      <c r="J692" s="441" t="s">
        <v>3686</v>
      </c>
      <c r="K692" s="441" t="s">
        <v>24695</v>
      </c>
      <c r="L692" s="441"/>
      <c r="M692" s="441" t="s">
        <v>24683</v>
      </c>
      <c r="N692" s="395" t="s">
        <v>24689</v>
      </c>
    </row>
    <row r="693" spans="2:14" ht="15" x14ac:dyDescent="0.25">
      <c r="B693" s="416"/>
      <c r="C693" s="417"/>
      <c r="D693" s="1463"/>
      <c r="E693" s="1463"/>
      <c r="F693" s="1463"/>
      <c r="G693" s="1463"/>
      <c r="H693" s="1463"/>
      <c r="I693" s="1464"/>
      <c r="J693" s="451"/>
      <c r="K693" s="451"/>
      <c r="L693" s="451"/>
      <c r="M693" s="419"/>
      <c r="N693" s="420"/>
    </row>
    <row r="694" spans="2:14" ht="15.75" thickBot="1" x14ac:dyDescent="0.3">
      <c r="B694" s="400"/>
      <c r="C694" s="401"/>
      <c r="D694" s="401"/>
      <c r="E694" s="401"/>
      <c r="F694" s="444"/>
      <c r="G694" s="444"/>
      <c r="H694" s="444"/>
      <c r="I694" s="444"/>
      <c r="J694" s="444"/>
      <c r="K694" s="444"/>
      <c r="L694" s="444"/>
      <c r="M694" s="455" t="s">
        <v>24698</v>
      </c>
      <c r="N694" s="403">
        <f>SUM(N693:N693)</f>
        <v>0</v>
      </c>
    </row>
    <row r="695" spans="2:14" ht="15.75" thickBot="1" x14ac:dyDescent="0.3">
      <c r="B695" s="456"/>
      <c r="C695" s="457"/>
      <c r="D695" s="457"/>
      <c r="E695" s="457"/>
      <c r="F695" s="457"/>
      <c r="G695" s="457"/>
      <c r="H695" s="457"/>
      <c r="I695" s="457"/>
      <c r="J695" s="457"/>
      <c r="K695" s="457"/>
      <c r="L695" s="457"/>
      <c r="M695" s="457"/>
      <c r="N695" s="404"/>
    </row>
    <row r="696" spans="2:14" ht="30" x14ac:dyDescent="0.25">
      <c r="B696" s="392" t="s">
        <v>0</v>
      </c>
      <c r="C696" s="441" t="s">
        <v>24673</v>
      </c>
      <c r="D696" s="1465" t="s">
        <v>24699</v>
      </c>
      <c r="E696" s="1465"/>
      <c r="F696" s="1465"/>
      <c r="G696" s="1466"/>
      <c r="H696" s="441" t="s">
        <v>3686</v>
      </c>
      <c r="I696" s="441" t="s">
        <v>24700</v>
      </c>
      <c r="J696" s="441" t="s">
        <v>24701</v>
      </c>
      <c r="K696" s="441" t="s">
        <v>24695</v>
      </c>
      <c r="L696" s="441"/>
      <c r="M696" s="441" t="s">
        <v>24683</v>
      </c>
      <c r="N696" s="395" t="s">
        <v>24689</v>
      </c>
    </row>
    <row r="697" spans="2:14" ht="15" x14ac:dyDescent="0.25">
      <c r="B697" s="446"/>
      <c r="C697" s="458"/>
      <c r="D697" s="1494"/>
      <c r="E697" s="1494"/>
      <c r="F697" s="1494"/>
      <c r="G697" s="1494"/>
      <c r="H697" s="442"/>
      <c r="I697" s="442"/>
      <c r="J697" s="442"/>
      <c r="K697" s="442"/>
      <c r="L697" s="442"/>
      <c r="M697" s="447"/>
      <c r="N697" s="443"/>
    </row>
    <row r="698" spans="2:14" ht="15" x14ac:dyDescent="0.25">
      <c r="B698" s="456"/>
      <c r="C698" s="457"/>
      <c r="D698" s="457"/>
      <c r="E698" s="457"/>
      <c r="F698" s="448"/>
      <c r="G698" s="448"/>
      <c r="H698" s="448"/>
      <c r="I698" s="448"/>
      <c r="J698" s="448"/>
      <c r="K698" s="448"/>
      <c r="L698" s="448"/>
      <c r="M698" s="409" t="s">
        <v>24702</v>
      </c>
      <c r="N698" s="410">
        <f>SUM(N697:N697)</f>
        <v>0</v>
      </c>
    </row>
    <row r="699" spans="2:14" ht="15" x14ac:dyDescent="0.25">
      <c r="B699" s="456"/>
      <c r="C699" s="457"/>
      <c r="D699" s="457"/>
      <c r="E699" s="457"/>
      <c r="F699" s="457"/>
      <c r="G699" s="457"/>
      <c r="H699" s="457"/>
      <c r="I699" s="457"/>
      <c r="J699" s="457"/>
      <c r="K699" s="457"/>
      <c r="L699" s="457"/>
      <c r="M699" s="457"/>
      <c r="N699" s="404"/>
    </row>
    <row r="700" spans="2:14" ht="15" x14ac:dyDescent="0.25">
      <c r="B700" s="421"/>
      <c r="C700" s="422"/>
      <c r="D700" s="422"/>
      <c r="E700" s="422"/>
      <c r="F700" s="452"/>
      <c r="G700" s="452"/>
      <c r="H700" s="452"/>
      <c r="I700" s="452"/>
      <c r="J700" s="452"/>
      <c r="K700" s="452"/>
      <c r="L700" s="452"/>
      <c r="M700" s="424" t="s">
        <v>24703</v>
      </c>
      <c r="N700" s="412">
        <f>N685+N690+N694+N698</f>
        <v>23.21</v>
      </c>
    </row>
    <row r="701" spans="2:14" ht="15" x14ac:dyDescent="0.25">
      <c r="B701" s="456"/>
      <c r="C701" s="457"/>
      <c r="D701" s="457"/>
      <c r="E701" s="457"/>
      <c r="F701" s="448"/>
      <c r="G701" s="448"/>
      <c r="H701" s="448"/>
      <c r="I701" s="448"/>
      <c r="J701" s="448"/>
      <c r="K701" s="448"/>
      <c r="L701" s="448"/>
      <c r="M701" s="752">
        <f>'Planilha - Orla'!I3</f>
        <v>0.28220000000000001</v>
      </c>
      <c r="N701" s="412">
        <f>N700*M701</f>
        <v>6.55</v>
      </c>
    </row>
    <row r="702" spans="2:14" ht="15.75" thickBot="1" x14ac:dyDescent="0.3">
      <c r="B702" s="1472" t="s">
        <v>24704</v>
      </c>
      <c r="C702" s="1473"/>
      <c r="D702" s="1473"/>
      <c r="E702" s="1473"/>
      <c r="F702" s="1473"/>
      <c r="G702" s="1473"/>
      <c r="H702" s="1473"/>
      <c r="I702" s="1473"/>
      <c r="J702" s="1473"/>
      <c r="K702" s="1473"/>
      <c r="L702" s="1473"/>
      <c r="M702" s="1474"/>
      <c r="N702" s="415">
        <f>N700+N701</f>
        <v>29.76</v>
      </c>
    </row>
    <row r="704" spans="2:14" ht="15" thickBot="1" x14ac:dyDescent="0.3"/>
    <row r="705" spans="2:14" ht="47.25" customHeight="1" x14ac:dyDescent="0.25">
      <c r="B705" s="1479" t="s">
        <v>24870</v>
      </c>
      <c r="C705" s="1480"/>
      <c r="D705" s="1481"/>
      <c r="E705" s="1482" t="s">
        <v>24669</v>
      </c>
      <c r="F705" s="1482"/>
      <c r="G705" s="1482"/>
      <c r="H705" s="1482"/>
      <c r="I705" s="1482"/>
      <c r="J705" s="1482"/>
      <c r="K705" s="1482"/>
      <c r="L705" s="453"/>
      <c r="M705" s="1483"/>
      <c r="N705" s="1484"/>
    </row>
    <row r="706" spans="2:14" ht="15" x14ac:dyDescent="0.25">
      <c r="B706" s="391" t="s">
        <v>24670</v>
      </c>
      <c r="C706" s="1485" t="s">
        <v>25659</v>
      </c>
      <c r="D706" s="1485"/>
      <c r="E706" s="1485"/>
      <c r="F706" s="1485"/>
      <c r="G706" s="1485"/>
      <c r="H706" s="1485"/>
      <c r="I706" s="1485"/>
      <c r="J706" s="1485"/>
      <c r="K706" s="1485"/>
      <c r="L706" s="1485"/>
      <c r="M706" s="1485"/>
      <c r="N706" s="1486"/>
    </row>
    <row r="707" spans="2:14" ht="15" x14ac:dyDescent="0.25">
      <c r="B707" s="391" t="s">
        <v>24671</v>
      </c>
      <c r="C707" s="1487" t="s">
        <v>8</v>
      </c>
      <c r="D707" s="1487"/>
      <c r="E707" s="1487"/>
      <c r="F707" s="1487"/>
      <c r="G707" s="1487"/>
      <c r="H707" s="1487"/>
      <c r="I707" s="1487"/>
      <c r="J707" s="1487"/>
      <c r="K707" s="1487"/>
      <c r="L707" s="1487"/>
      <c r="M707" s="1487"/>
      <c r="N707" s="1488"/>
    </row>
    <row r="708" spans="2:14" ht="15.75" thickBot="1" x14ac:dyDescent="0.3">
      <c r="B708" s="391" t="s">
        <v>24672</v>
      </c>
      <c r="C708" s="1489">
        <v>44501</v>
      </c>
      <c r="D708" s="1490"/>
      <c r="E708" s="1490"/>
      <c r="F708" s="1490"/>
      <c r="G708" s="1490"/>
      <c r="H708" s="1490"/>
      <c r="I708" s="1490"/>
      <c r="J708" s="1490"/>
      <c r="K708" s="1490"/>
      <c r="L708" s="1490"/>
      <c r="M708" s="1490"/>
      <c r="N708" s="1491"/>
    </row>
    <row r="709" spans="2:14" ht="30" x14ac:dyDescent="0.25">
      <c r="B709" s="392" t="s">
        <v>0</v>
      </c>
      <c r="C709" s="393" t="s">
        <v>24673</v>
      </c>
      <c r="D709" s="1465" t="s">
        <v>24674</v>
      </c>
      <c r="E709" s="1465"/>
      <c r="F709" s="1465"/>
      <c r="G709" s="1466"/>
      <c r="H709" s="441" t="s">
        <v>111</v>
      </c>
      <c r="I709" s="441" t="s">
        <v>24675</v>
      </c>
      <c r="J709" s="441" t="s">
        <v>24676</v>
      </c>
      <c r="K709" s="441" t="s">
        <v>24677</v>
      </c>
      <c r="L709" s="441"/>
      <c r="M709" s="441" t="s">
        <v>24678</v>
      </c>
      <c r="N709" s="395" t="s">
        <v>24679</v>
      </c>
    </row>
    <row r="710" spans="2:14" ht="15" x14ac:dyDescent="0.25">
      <c r="B710" s="446"/>
      <c r="C710" s="397"/>
      <c r="D710" s="1494"/>
      <c r="E710" s="1494"/>
      <c r="F710" s="1494"/>
      <c r="G710" s="1495"/>
      <c r="H710" s="442"/>
      <c r="I710" s="442"/>
      <c r="J710" s="442"/>
      <c r="K710" s="442"/>
      <c r="L710" s="442"/>
      <c r="M710" s="442"/>
      <c r="N710" s="443"/>
    </row>
    <row r="711" spans="2:14" ht="15.75" thickBot="1" x14ac:dyDescent="0.3">
      <c r="B711" s="400"/>
      <c r="C711" s="401"/>
      <c r="D711" s="401"/>
      <c r="E711" s="401"/>
      <c r="F711" s="444"/>
      <c r="G711" s="444"/>
      <c r="H711" s="444"/>
      <c r="I711" s="444"/>
      <c r="J711" s="444"/>
      <c r="K711" s="444"/>
      <c r="L711" s="444"/>
      <c r="M711" s="455" t="s">
        <v>24680</v>
      </c>
      <c r="N711" s="403">
        <f>SUM(N710)</f>
        <v>0</v>
      </c>
    </row>
    <row r="712" spans="2:14" ht="15.75" thickBot="1" x14ac:dyDescent="0.3">
      <c r="B712" s="456"/>
      <c r="C712" s="457"/>
      <c r="D712" s="457"/>
      <c r="E712" s="457"/>
      <c r="F712" s="457"/>
      <c r="G712" s="457"/>
      <c r="H712" s="457"/>
      <c r="I712" s="457"/>
      <c r="J712" s="457"/>
      <c r="K712" s="457"/>
      <c r="L712" s="457"/>
      <c r="M712" s="457"/>
      <c r="N712" s="404"/>
    </row>
    <row r="713" spans="2:14" ht="45" x14ac:dyDescent="0.25">
      <c r="B713" s="392" t="s">
        <v>0</v>
      </c>
      <c r="C713" s="393" t="s">
        <v>24673</v>
      </c>
      <c r="D713" s="1465" t="s">
        <v>24681</v>
      </c>
      <c r="E713" s="1465"/>
      <c r="F713" s="1465"/>
      <c r="G713" s="1465"/>
      <c r="H713" s="1466"/>
      <c r="I713" s="441" t="s">
        <v>3686</v>
      </c>
      <c r="J713" s="441" t="s">
        <v>24682</v>
      </c>
      <c r="K713" s="441" t="s">
        <v>24861</v>
      </c>
      <c r="L713" s="441" t="s">
        <v>24862</v>
      </c>
      <c r="M713" s="441" t="s">
        <v>24683</v>
      </c>
      <c r="N713" s="395" t="s">
        <v>24679</v>
      </c>
    </row>
    <row r="714" spans="2:14" ht="15" x14ac:dyDescent="0.25">
      <c r="B714" s="446">
        <v>10101</v>
      </c>
      <c r="C714" s="458" t="s">
        <v>4389</v>
      </c>
      <c r="D714" s="1463" t="s">
        <v>24788</v>
      </c>
      <c r="E714" s="1463"/>
      <c r="F714" s="1463"/>
      <c r="G714" s="1463"/>
      <c r="H714" s="1464"/>
      <c r="I714" s="442" t="s">
        <v>75</v>
      </c>
      <c r="J714" s="406">
        <v>1.5727</v>
      </c>
      <c r="K714" s="427">
        <v>6.27</v>
      </c>
      <c r="L714" s="427">
        <f>K714*(1+J714)</f>
        <v>16.13</v>
      </c>
      <c r="M714" s="447">
        <v>0.3</v>
      </c>
      <c r="N714" s="443">
        <f>M714*L714</f>
        <v>4.84</v>
      </c>
    </row>
    <row r="715" spans="2:14" ht="15" x14ac:dyDescent="0.25">
      <c r="B715" s="446">
        <v>10115</v>
      </c>
      <c r="C715" s="458" t="s">
        <v>4389</v>
      </c>
      <c r="D715" s="1463" t="s">
        <v>24771</v>
      </c>
      <c r="E715" s="1463"/>
      <c r="F715" s="1463"/>
      <c r="G715" s="1463"/>
      <c r="H715" s="1464"/>
      <c r="I715" s="442" t="s">
        <v>75</v>
      </c>
      <c r="J715" s="406">
        <v>1.5727</v>
      </c>
      <c r="K715" s="427">
        <v>7.43</v>
      </c>
      <c r="L715" s="427">
        <f>K715*(1+J715)</f>
        <v>19.12</v>
      </c>
      <c r="M715" s="447">
        <v>0.3</v>
      </c>
      <c r="N715" s="443">
        <f>M715*L715</f>
        <v>5.74</v>
      </c>
    </row>
    <row r="716" spans="2:14" ht="15.75" thickBot="1" x14ac:dyDescent="0.3">
      <c r="B716" s="400"/>
      <c r="C716" s="401"/>
      <c r="D716" s="401"/>
      <c r="E716" s="401"/>
      <c r="F716" s="444"/>
      <c r="G716" s="444"/>
      <c r="H716" s="444"/>
      <c r="I716" s="444"/>
      <c r="J716" s="444"/>
      <c r="K716" s="444"/>
      <c r="L716" s="444"/>
      <c r="M716" s="455" t="s">
        <v>24684</v>
      </c>
      <c r="N716" s="403">
        <f>SUM(N714:N715)</f>
        <v>10.58</v>
      </c>
    </row>
    <row r="717" spans="2:14" ht="15.75" thickBot="1" x14ac:dyDescent="0.3">
      <c r="B717" s="456"/>
      <c r="C717" s="457"/>
      <c r="D717" s="457"/>
      <c r="E717" s="457"/>
      <c r="F717" s="457"/>
      <c r="G717" s="457"/>
      <c r="H717" s="457"/>
      <c r="I717" s="448"/>
      <c r="J717" s="448"/>
      <c r="K717" s="457"/>
      <c r="L717" s="457"/>
      <c r="M717" s="457"/>
      <c r="N717" s="404"/>
    </row>
    <row r="718" spans="2:14" ht="30" x14ac:dyDescent="0.25">
      <c r="B718" s="392" t="s">
        <v>0</v>
      </c>
      <c r="C718" s="393" t="s">
        <v>24673</v>
      </c>
      <c r="D718" s="1465" t="s">
        <v>24685</v>
      </c>
      <c r="E718" s="1465"/>
      <c r="F718" s="1465"/>
      <c r="G718" s="1465"/>
      <c r="H718" s="1466"/>
      <c r="I718" s="441" t="s">
        <v>2858</v>
      </c>
      <c r="J718" s="441" t="s">
        <v>24686</v>
      </c>
      <c r="K718" s="441" t="s">
        <v>24687</v>
      </c>
      <c r="L718" s="441"/>
      <c r="M718" s="441" t="s">
        <v>24688</v>
      </c>
      <c r="N718" s="395" t="s">
        <v>24689</v>
      </c>
    </row>
    <row r="719" spans="2:14" ht="15" x14ac:dyDescent="0.25">
      <c r="B719" s="446"/>
      <c r="C719" s="458"/>
      <c r="D719" s="1463"/>
      <c r="E719" s="1463"/>
      <c r="F719" s="1463"/>
      <c r="G719" s="1463"/>
      <c r="H719" s="1464"/>
      <c r="I719" s="442"/>
      <c r="J719" s="442"/>
      <c r="K719" s="442"/>
      <c r="L719" s="442"/>
      <c r="M719" s="442"/>
      <c r="N719" s="443"/>
    </row>
    <row r="720" spans="2:14" ht="15" x14ac:dyDescent="0.25">
      <c r="B720" s="456"/>
      <c r="C720" s="457"/>
      <c r="D720" s="457"/>
      <c r="E720" s="457"/>
      <c r="F720" s="448"/>
      <c r="G720" s="448"/>
      <c r="H720" s="448"/>
      <c r="I720" s="448"/>
      <c r="J720" s="448"/>
      <c r="K720" s="448"/>
      <c r="L720" s="448"/>
      <c r="M720" s="409" t="s">
        <v>24690</v>
      </c>
      <c r="N720" s="410">
        <f>SUM(N719:N719)</f>
        <v>0</v>
      </c>
    </row>
    <row r="721" spans="2:14" ht="15" x14ac:dyDescent="0.25">
      <c r="B721" s="456"/>
      <c r="C721" s="457"/>
      <c r="D721" s="457"/>
      <c r="E721" s="457"/>
      <c r="F721" s="457"/>
      <c r="G721" s="457"/>
      <c r="H721" s="457"/>
      <c r="I721" s="457"/>
      <c r="J721" s="457"/>
      <c r="K721" s="457"/>
      <c r="L721" s="457"/>
      <c r="M721" s="457"/>
      <c r="N721" s="404"/>
    </row>
    <row r="722" spans="2:14" ht="15" x14ac:dyDescent="0.25">
      <c r="B722" s="456"/>
      <c r="C722" s="457"/>
      <c r="D722" s="457"/>
      <c r="E722" s="457"/>
      <c r="F722" s="448"/>
      <c r="G722" s="448"/>
      <c r="H722" s="448"/>
      <c r="I722" s="449"/>
      <c r="J722" s="449"/>
      <c r="K722" s="449"/>
      <c r="L722" s="449"/>
      <c r="M722" s="409" t="s">
        <v>24691</v>
      </c>
      <c r="N722" s="412">
        <f>N711+N716+N720</f>
        <v>10.58</v>
      </c>
    </row>
    <row r="723" spans="2:14" ht="15" x14ac:dyDescent="0.25">
      <c r="B723" s="456"/>
      <c r="C723" s="457"/>
      <c r="D723" s="457"/>
      <c r="E723" s="457"/>
      <c r="F723" s="448"/>
      <c r="G723" s="448"/>
      <c r="H723" s="448"/>
      <c r="I723" s="448"/>
      <c r="J723" s="450"/>
      <c r="K723" s="450"/>
      <c r="L723" s="450"/>
      <c r="M723" s="414" t="s">
        <v>24692</v>
      </c>
      <c r="N723" s="412">
        <v>1</v>
      </c>
    </row>
    <row r="724" spans="2:14" ht="15.75" thickBot="1" x14ac:dyDescent="0.3">
      <c r="B724" s="400"/>
      <c r="C724" s="401"/>
      <c r="D724" s="401"/>
      <c r="E724" s="401"/>
      <c r="F724" s="444"/>
      <c r="G724" s="444"/>
      <c r="H724" s="444"/>
      <c r="I724" s="444"/>
      <c r="J724" s="444"/>
      <c r="K724" s="444"/>
      <c r="L724" s="444"/>
      <c r="M724" s="455" t="s">
        <v>24693</v>
      </c>
      <c r="N724" s="415">
        <f>TRUNC(N722/N723,2)</f>
        <v>10.58</v>
      </c>
    </row>
    <row r="725" spans="2:14" ht="15.75" thickBot="1" x14ac:dyDescent="0.3">
      <c r="B725" s="456"/>
      <c r="C725" s="457"/>
      <c r="D725" s="457"/>
      <c r="E725" s="457"/>
      <c r="F725" s="457"/>
      <c r="G725" s="457"/>
      <c r="H725" s="457"/>
      <c r="I725" s="457"/>
      <c r="J725" s="457"/>
      <c r="K725" s="457"/>
      <c r="L725" s="457"/>
      <c r="M725" s="457"/>
      <c r="N725" s="404"/>
    </row>
    <row r="726" spans="2:14" ht="30" x14ac:dyDescent="0.25">
      <c r="B726" s="392" t="s">
        <v>0</v>
      </c>
      <c r="C726" s="393" t="s">
        <v>24673</v>
      </c>
      <c r="D726" s="1465" t="s">
        <v>24694</v>
      </c>
      <c r="E726" s="1465"/>
      <c r="F726" s="1465"/>
      <c r="G726" s="1465"/>
      <c r="H726" s="1465"/>
      <c r="I726" s="1466"/>
      <c r="J726" s="441" t="s">
        <v>3686</v>
      </c>
      <c r="K726" s="441" t="s">
        <v>24695</v>
      </c>
      <c r="L726" s="441"/>
      <c r="M726" s="441" t="s">
        <v>24683</v>
      </c>
      <c r="N726" s="395" t="s">
        <v>24689</v>
      </c>
    </row>
    <row r="727" spans="2:14" ht="30" x14ac:dyDescent="0.25">
      <c r="B727" s="446"/>
      <c r="C727" s="458" t="s">
        <v>24708</v>
      </c>
      <c r="D727" s="1463" t="s">
        <v>24830</v>
      </c>
      <c r="E727" s="1463"/>
      <c r="F727" s="1463"/>
      <c r="G727" s="1463"/>
      <c r="H727" s="1463"/>
      <c r="I727" s="1464"/>
      <c r="J727" s="442" t="s">
        <v>24755</v>
      </c>
      <c r="K727" s="427">
        <f>'MAPA DE COT. - Orla'!H65</f>
        <v>9.76</v>
      </c>
      <c r="L727" s="427"/>
      <c r="M727" s="447">
        <v>1</v>
      </c>
      <c r="N727" s="443">
        <f>K727*M727</f>
        <v>9.76</v>
      </c>
    </row>
    <row r="728" spans="2:14" ht="15" x14ac:dyDescent="0.25">
      <c r="B728" s="446"/>
      <c r="C728" s="458"/>
      <c r="D728" s="1463"/>
      <c r="E728" s="1463"/>
      <c r="F728" s="1463"/>
      <c r="G728" s="1463"/>
      <c r="H728" s="1463"/>
      <c r="I728" s="1464"/>
      <c r="J728" s="442"/>
      <c r="K728" s="442"/>
      <c r="L728" s="442"/>
      <c r="M728" s="447"/>
      <c r="N728" s="443"/>
    </row>
    <row r="729" spans="2:14" ht="15.75" thickBot="1" x14ac:dyDescent="0.3">
      <c r="B729" s="400"/>
      <c r="C729" s="401"/>
      <c r="D729" s="401"/>
      <c r="E729" s="401"/>
      <c r="F729" s="444"/>
      <c r="G729" s="444"/>
      <c r="H729" s="444"/>
      <c r="I729" s="444"/>
      <c r="J729" s="444"/>
      <c r="K729" s="444"/>
      <c r="L729" s="444"/>
      <c r="M729" s="455" t="s">
        <v>24696</v>
      </c>
      <c r="N729" s="403">
        <f>SUM(N727:N727)</f>
        <v>9.76</v>
      </c>
    </row>
    <row r="730" spans="2:14" ht="15.75" thickBot="1" x14ac:dyDescent="0.3">
      <c r="B730" s="456"/>
      <c r="C730" s="457"/>
      <c r="D730" s="457"/>
      <c r="E730" s="457"/>
      <c r="F730" s="457"/>
      <c r="G730" s="457"/>
      <c r="H730" s="457"/>
      <c r="I730" s="457"/>
      <c r="J730" s="457"/>
      <c r="K730" s="457"/>
      <c r="L730" s="457"/>
      <c r="M730" s="457"/>
      <c r="N730" s="404"/>
    </row>
    <row r="731" spans="2:14" ht="30" x14ac:dyDescent="0.25">
      <c r="B731" s="392" t="s">
        <v>0</v>
      </c>
      <c r="C731" s="441" t="s">
        <v>24673</v>
      </c>
      <c r="D731" s="1465" t="s">
        <v>24697</v>
      </c>
      <c r="E731" s="1465"/>
      <c r="F731" s="1465"/>
      <c r="G731" s="1465"/>
      <c r="H731" s="1465"/>
      <c r="I731" s="1466"/>
      <c r="J731" s="441" t="s">
        <v>3686</v>
      </c>
      <c r="K731" s="441" t="s">
        <v>24695</v>
      </c>
      <c r="L731" s="441"/>
      <c r="M731" s="441" t="s">
        <v>24683</v>
      </c>
      <c r="N731" s="395" t="s">
        <v>24689</v>
      </c>
    </row>
    <row r="732" spans="2:14" ht="15" x14ac:dyDescent="0.25">
      <c r="B732" s="416"/>
      <c r="C732" s="417"/>
      <c r="D732" s="1463"/>
      <c r="E732" s="1463"/>
      <c r="F732" s="1463"/>
      <c r="G732" s="1463"/>
      <c r="H732" s="1463"/>
      <c r="I732" s="1464"/>
      <c r="J732" s="451"/>
      <c r="K732" s="451"/>
      <c r="L732" s="451"/>
      <c r="M732" s="419"/>
      <c r="N732" s="420"/>
    </row>
    <row r="733" spans="2:14" ht="15.75" thickBot="1" x14ac:dyDescent="0.3">
      <c r="B733" s="400"/>
      <c r="C733" s="401"/>
      <c r="D733" s="401"/>
      <c r="E733" s="401"/>
      <c r="F733" s="444"/>
      <c r="G733" s="444"/>
      <c r="H733" s="444"/>
      <c r="I733" s="444"/>
      <c r="J733" s="444"/>
      <c r="K733" s="444"/>
      <c r="L733" s="444"/>
      <c r="M733" s="455" t="s">
        <v>24698</v>
      </c>
      <c r="N733" s="403">
        <f>SUM(N732:N732)</f>
        <v>0</v>
      </c>
    </row>
    <row r="734" spans="2:14" ht="15.75" thickBot="1" x14ac:dyDescent="0.3">
      <c r="B734" s="456"/>
      <c r="C734" s="457"/>
      <c r="D734" s="457"/>
      <c r="E734" s="457"/>
      <c r="F734" s="457"/>
      <c r="G734" s="457"/>
      <c r="H734" s="457"/>
      <c r="I734" s="457"/>
      <c r="J734" s="457"/>
      <c r="K734" s="457"/>
      <c r="L734" s="457"/>
      <c r="M734" s="457"/>
      <c r="N734" s="404"/>
    </row>
    <row r="735" spans="2:14" ht="30" x14ac:dyDescent="0.25">
      <c r="B735" s="392" t="s">
        <v>0</v>
      </c>
      <c r="C735" s="441" t="s">
        <v>24673</v>
      </c>
      <c r="D735" s="1465" t="s">
        <v>24699</v>
      </c>
      <c r="E735" s="1465"/>
      <c r="F735" s="1465"/>
      <c r="G735" s="1466"/>
      <c r="H735" s="441" t="s">
        <v>3686</v>
      </c>
      <c r="I735" s="441" t="s">
        <v>24700</v>
      </c>
      <c r="J735" s="441" t="s">
        <v>24701</v>
      </c>
      <c r="K735" s="441" t="s">
        <v>24695</v>
      </c>
      <c r="L735" s="441"/>
      <c r="M735" s="441" t="s">
        <v>24683</v>
      </c>
      <c r="N735" s="395" t="s">
        <v>24689</v>
      </c>
    </row>
    <row r="736" spans="2:14" ht="15" x14ac:dyDescent="0.25">
      <c r="B736" s="446"/>
      <c r="C736" s="458"/>
      <c r="D736" s="1494"/>
      <c r="E736" s="1494"/>
      <c r="F736" s="1494"/>
      <c r="G736" s="1494"/>
      <c r="H736" s="442"/>
      <c r="I736" s="442"/>
      <c r="J736" s="442"/>
      <c r="K736" s="442"/>
      <c r="L736" s="442"/>
      <c r="M736" s="447"/>
      <c r="N736" s="443"/>
    </row>
    <row r="737" spans="2:14" ht="15" x14ac:dyDescent="0.25">
      <c r="B737" s="456"/>
      <c r="C737" s="457"/>
      <c r="D737" s="457"/>
      <c r="E737" s="457"/>
      <c r="F737" s="448"/>
      <c r="G737" s="448"/>
      <c r="H737" s="448"/>
      <c r="I737" s="448"/>
      <c r="J737" s="448"/>
      <c r="K737" s="448"/>
      <c r="L737" s="448"/>
      <c r="M737" s="409" t="s">
        <v>24702</v>
      </c>
      <c r="N737" s="410">
        <f>SUM(N736:N736)</f>
        <v>0</v>
      </c>
    </row>
    <row r="738" spans="2:14" ht="15" x14ac:dyDescent="0.25">
      <c r="B738" s="456"/>
      <c r="C738" s="457"/>
      <c r="D738" s="457"/>
      <c r="E738" s="457"/>
      <c r="F738" s="457"/>
      <c r="G738" s="457"/>
      <c r="H738" s="457"/>
      <c r="I738" s="457"/>
      <c r="J738" s="457"/>
      <c r="K738" s="457"/>
      <c r="L738" s="457"/>
      <c r="M738" s="457"/>
      <c r="N738" s="404"/>
    </row>
    <row r="739" spans="2:14" ht="15" x14ac:dyDescent="0.25">
      <c r="B739" s="421"/>
      <c r="C739" s="422"/>
      <c r="D739" s="422"/>
      <c r="E739" s="422"/>
      <c r="F739" s="452"/>
      <c r="G739" s="452"/>
      <c r="H739" s="452"/>
      <c r="I739" s="452"/>
      <c r="J739" s="452"/>
      <c r="K739" s="452"/>
      <c r="L739" s="452"/>
      <c r="M739" s="424" t="s">
        <v>24703</v>
      </c>
      <c r="N739" s="412">
        <f>N724+N729+N733+N737</f>
        <v>20.34</v>
      </c>
    </row>
    <row r="740" spans="2:14" ht="15" x14ac:dyDescent="0.25">
      <c r="B740" s="456"/>
      <c r="C740" s="457"/>
      <c r="D740" s="457"/>
      <c r="E740" s="457"/>
      <c r="F740" s="448"/>
      <c r="G740" s="448"/>
      <c r="H740" s="448"/>
      <c r="I740" s="448"/>
      <c r="J740" s="448"/>
      <c r="K740" s="448"/>
      <c r="L740" s="448"/>
      <c r="M740" s="752">
        <f>'Planilha - Orla'!I3</f>
        <v>0.28220000000000001</v>
      </c>
      <c r="N740" s="412">
        <f>N739*M740</f>
        <v>5.74</v>
      </c>
    </row>
    <row r="741" spans="2:14" ht="15.75" thickBot="1" x14ac:dyDescent="0.3">
      <c r="B741" s="1472" t="s">
        <v>24704</v>
      </c>
      <c r="C741" s="1473"/>
      <c r="D741" s="1473"/>
      <c r="E741" s="1473"/>
      <c r="F741" s="1473"/>
      <c r="G741" s="1473"/>
      <c r="H741" s="1473"/>
      <c r="I741" s="1473"/>
      <c r="J741" s="1473"/>
      <c r="K741" s="1473"/>
      <c r="L741" s="1473"/>
      <c r="M741" s="1474"/>
      <c r="N741" s="415">
        <f>N739+N740</f>
        <v>26.08</v>
      </c>
    </row>
    <row r="743" spans="2:14" ht="15" thickBot="1" x14ac:dyDescent="0.3"/>
    <row r="744" spans="2:14" ht="41.25" customHeight="1" x14ac:dyDescent="0.25">
      <c r="B744" s="1479" t="s">
        <v>24920</v>
      </c>
      <c r="C744" s="1480"/>
      <c r="D744" s="1481"/>
      <c r="E744" s="1482" t="s">
        <v>24669</v>
      </c>
      <c r="F744" s="1482"/>
      <c r="G744" s="1482"/>
      <c r="H744" s="1482"/>
      <c r="I744" s="1482"/>
      <c r="J744" s="1482"/>
      <c r="K744" s="1482"/>
      <c r="L744" s="453"/>
      <c r="M744" s="1483"/>
      <c r="N744" s="1484"/>
    </row>
    <row r="745" spans="2:14" ht="15" x14ac:dyDescent="0.25">
      <c r="B745" s="391" t="s">
        <v>24670</v>
      </c>
      <c r="C745" s="1485" t="s">
        <v>25658</v>
      </c>
      <c r="D745" s="1485"/>
      <c r="E745" s="1485"/>
      <c r="F745" s="1485"/>
      <c r="G745" s="1485"/>
      <c r="H745" s="1485"/>
      <c r="I745" s="1485"/>
      <c r="J745" s="1485"/>
      <c r="K745" s="1485"/>
      <c r="L745" s="1485"/>
      <c r="M745" s="1485"/>
      <c r="N745" s="1486"/>
    </row>
    <row r="746" spans="2:14" ht="15" x14ac:dyDescent="0.25">
      <c r="B746" s="391" t="s">
        <v>24671</v>
      </c>
      <c r="C746" s="1487" t="s">
        <v>8</v>
      </c>
      <c r="D746" s="1487"/>
      <c r="E746" s="1487"/>
      <c r="F746" s="1487"/>
      <c r="G746" s="1487"/>
      <c r="H746" s="1487"/>
      <c r="I746" s="1487"/>
      <c r="J746" s="1487"/>
      <c r="K746" s="1487"/>
      <c r="L746" s="1487"/>
      <c r="M746" s="1487"/>
      <c r="N746" s="1488"/>
    </row>
    <row r="747" spans="2:14" ht="15.75" thickBot="1" x14ac:dyDescent="0.3">
      <c r="B747" s="391" t="s">
        <v>24672</v>
      </c>
      <c r="C747" s="1489">
        <v>44501</v>
      </c>
      <c r="D747" s="1490"/>
      <c r="E747" s="1490"/>
      <c r="F747" s="1490"/>
      <c r="G747" s="1490"/>
      <c r="H747" s="1490"/>
      <c r="I747" s="1490"/>
      <c r="J747" s="1490"/>
      <c r="K747" s="1490"/>
      <c r="L747" s="1490"/>
      <c r="M747" s="1490"/>
      <c r="N747" s="1491"/>
    </row>
    <row r="748" spans="2:14" ht="30" x14ac:dyDescent="0.25">
      <c r="B748" s="392" t="s">
        <v>0</v>
      </c>
      <c r="C748" s="393" t="s">
        <v>24673</v>
      </c>
      <c r="D748" s="1465" t="s">
        <v>24674</v>
      </c>
      <c r="E748" s="1465"/>
      <c r="F748" s="1465"/>
      <c r="G748" s="1466"/>
      <c r="H748" s="441" t="s">
        <v>111</v>
      </c>
      <c r="I748" s="441" t="s">
        <v>24675</v>
      </c>
      <c r="J748" s="441" t="s">
        <v>24676</v>
      </c>
      <c r="K748" s="441" t="s">
        <v>24677</v>
      </c>
      <c r="L748" s="441"/>
      <c r="M748" s="441" t="s">
        <v>24678</v>
      </c>
      <c r="N748" s="395" t="s">
        <v>24679</v>
      </c>
    </row>
    <row r="749" spans="2:14" ht="15" x14ac:dyDescent="0.25">
      <c r="B749" s="446"/>
      <c r="C749" s="397"/>
      <c r="D749" s="1494"/>
      <c r="E749" s="1494"/>
      <c r="F749" s="1494"/>
      <c r="G749" s="1495"/>
      <c r="H749" s="442"/>
      <c r="I749" s="442"/>
      <c r="J749" s="442"/>
      <c r="K749" s="442"/>
      <c r="L749" s="442"/>
      <c r="M749" s="442"/>
      <c r="N749" s="443"/>
    </row>
    <row r="750" spans="2:14" ht="15.75" thickBot="1" x14ac:dyDescent="0.3">
      <c r="B750" s="400"/>
      <c r="C750" s="401"/>
      <c r="D750" s="401"/>
      <c r="E750" s="401"/>
      <c r="F750" s="444"/>
      <c r="G750" s="444"/>
      <c r="H750" s="444"/>
      <c r="I750" s="444"/>
      <c r="J750" s="444"/>
      <c r="K750" s="444"/>
      <c r="L750" s="444"/>
      <c r="M750" s="455" t="s">
        <v>24680</v>
      </c>
      <c r="N750" s="403">
        <f>SUM(N749)</f>
        <v>0</v>
      </c>
    </row>
    <row r="751" spans="2:14" ht="15.75" thickBot="1" x14ac:dyDescent="0.3">
      <c r="B751" s="456"/>
      <c r="C751" s="457"/>
      <c r="D751" s="457"/>
      <c r="E751" s="457"/>
      <c r="F751" s="457"/>
      <c r="G751" s="457"/>
      <c r="H751" s="457"/>
      <c r="I751" s="457"/>
      <c r="J751" s="457"/>
      <c r="K751" s="457"/>
      <c r="L751" s="457"/>
      <c r="M751" s="457"/>
      <c r="N751" s="404"/>
    </row>
    <row r="752" spans="2:14" ht="45" x14ac:dyDescent="0.25">
      <c r="B752" s="392" t="s">
        <v>0</v>
      </c>
      <c r="C752" s="393" t="s">
        <v>24673</v>
      </c>
      <c r="D752" s="1465" t="s">
        <v>24681</v>
      </c>
      <c r="E752" s="1465"/>
      <c r="F752" s="1465"/>
      <c r="G752" s="1465"/>
      <c r="H752" s="1466"/>
      <c r="I752" s="441" t="s">
        <v>3686</v>
      </c>
      <c r="J752" s="441" t="s">
        <v>24682</v>
      </c>
      <c r="K752" s="441" t="s">
        <v>24861</v>
      </c>
      <c r="L752" s="441" t="s">
        <v>24862</v>
      </c>
      <c r="M752" s="441" t="s">
        <v>24683</v>
      </c>
      <c r="N752" s="395" t="s">
        <v>24679</v>
      </c>
    </row>
    <row r="753" spans="2:14" ht="15" x14ac:dyDescent="0.25">
      <c r="B753" s="446">
        <v>10101</v>
      </c>
      <c r="C753" s="458" t="s">
        <v>4389</v>
      </c>
      <c r="D753" s="1463" t="s">
        <v>24788</v>
      </c>
      <c r="E753" s="1463"/>
      <c r="F753" s="1463"/>
      <c r="G753" s="1463"/>
      <c r="H753" s="1464"/>
      <c r="I753" s="442" t="s">
        <v>75</v>
      </c>
      <c r="J753" s="406">
        <v>1.5727</v>
      </c>
      <c r="K753" s="427">
        <v>6.27</v>
      </c>
      <c r="L753" s="427">
        <f>K753*(1+J753)</f>
        <v>16.13</v>
      </c>
      <c r="M753" s="447">
        <v>0.3</v>
      </c>
      <c r="N753" s="443">
        <f>L753*M753</f>
        <v>4.84</v>
      </c>
    </row>
    <row r="754" spans="2:14" ht="15" x14ac:dyDescent="0.25">
      <c r="B754" s="446">
        <v>10115</v>
      </c>
      <c r="C754" s="458" t="s">
        <v>4389</v>
      </c>
      <c r="D754" s="1463" t="s">
        <v>24771</v>
      </c>
      <c r="E754" s="1463"/>
      <c r="F754" s="1463"/>
      <c r="G754" s="1463"/>
      <c r="H754" s="1464"/>
      <c r="I754" s="442" t="s">
        <v>75</v>
      </c>
      <c r="J754" s="406">
        <v>1.5727</v>
      </c>
      <c r="K754" s="427">
        <v>7.43</v>
      </c>
      <c r="L754" s="427">
        <f>K754*(1+J754)</f>
        <v>19.12</v>
      </c>
      <c r="M754" s="447">
        <v>0.3</v>
      </c>
      <c r="N754" s="443">
        <f>L754*M754</f>
        <v>5.74</v>
      </c>
    </row>
    <row r="755" spans="2:14" ht="15.75" thickBot="1" x14ac:dyDescent="0.3">
      <c r="B755" s="400"/>
      <c r="C755" s="401"/>
      <c r="D755" s="401"/>
      <c r="E755" s="401"/>
      <c r="F755" s="444"/>
      <c r="G755" s="444"/>
      <c r="H755" s="444"/>
      <c r="I755" s="444"/>
      <c r="J755" s="444"/>
      <c r="K755" s="444"/>
      <c r="L755" s="444"/>
      <c r="M755" s="455" t="s">
        <v>24684</v>
      </c>
      <c r="N755" s="403">
        <f>SUM(N753:N754)</f>
        <v>10.58</v>
      </c>
    </row>
    <row r="756" spans="2:14" ht="15.75" thickBot="1" x14ac:dyDescent="0.3">
      <c r="B756" s="456"/>
      <c r="C756" s="457"/>
      <c r="D756" s="457"/>
      <c r="E756" s="457"/>
      <c r="F756" s="457"/>
      <c r="G756" s="457"/>
      <c r="H756" s="457"/>
      <c r="I756" s="448"/>
      <c r="J756" s="448"/>
      <c r="K756" s="457"/>
      <c r="L756" s="457"/>
      <c r="M756" s="457"/>
      <c r="N756" s="404"/>
    </row>
    <row r="757" spans="2:14" ht="30" x14ac:dyDescent="0.25">
      <c r="B757" s="392" t="s">
        <v>0</v>
      </c>
      <c r="C757" s="393" t="s">
        <v>24673</v>
      </c>
      <c r="D757" s="1465" t="s">
        <v>24685</v>
      </c>
      <c r="E757" s="1465"/>
      <c r="F757" s="1465"/>
      <c r="G757" s="1465"/>
      <c r="H757" s="1466"/>
      <c r="I757" s="441" t="s">
        <v>2858</v>
      </c>
      <c r="J757" s="441" t="s">
        <v>24686</v>
      </c>
      <c r="K757" s="441" t="s">
        <v>24687</v>
      </c>
      <c r="L757" s="441"/>
      <c r="M757" s="441" t="s">
        <v>24688</v>
      </c>
      <c r="N757" s="395" t="s">
        <v>24689</v>
      </c>
    </row>
    <row r="758" spans="2:14" ht="15" x14ac:dyDescent="0.25">
      <c r="B758" s="446"/>
      <c r="C758" s="458"/>
      <c r="D758" s="1463"/>
      <c r="E758" s="1463"/>
      <c r="F758" s="1463"/>
      <c r="G758" s="1463"/>
      <c r="H758" s="1464"/>
      <c r="I758" s="442"/>
      <c r="J758" s="442"/>
      <c r="K758" s="442"/>
      <c r="L758" s="442"/>
      <c r="M758" s="442"/>
      <c r="N758" s="443"/>
    </row>
    <row r="759" spans="2:14" ht="15" x14ac:dyDescent="0.25">
      <c r="B759" s="456"/>
      <c r="C759" s="457"/>
      <c r="D759" s="457"/>
      <c r="E759" s="457"/>
      <c r="F759" s="448"/>
      <c r="G759" s="448"/>
      <c r="H759" s="448"/>
      <c r="I759" s="448"/>
      <c r="J759" s="448"/>
      <c r="K759" s="448"/>
      <c r="L759" s="448"/>
      <c r="M759" s="409" t="s">
        <v>24690</v>
      </c>
      <c r="N759" s="410">
        <f>SUM(N758:N758)</f>
        <v>0</v>
      </c>
    </row>
    <row r="760" spans="2:14" ht="15" x14ac:dyDescent="0.25">
      <c r="B760" s="456"/>
      <c r="C760" s="457"/>
      <c r="D760" s="457"/>
      <c r="E760" s="457"/>
      <c r="F760" s="457"/>
      <c r="G760" s="457"/>
      <c r="H760" s="457"/>
      <c r="I760" s="457"/>
      <c r="J760" s="457"/>
      <c r="K760" s="457"/>
      <c r="L760" s="457"/>
      <c r="M760" s="457"/>
      <c r="N760" s="404"/>
    </row>
    <row r="761" spans="2:14" ht="15" x14ac:dyDescent="0.25">
      <c r="B761" s="456"/>
      <c r="C761" s="457"/>
      <c r="D761" s="457"/>
      <c r="E761" s="457"/>
      <c r="F761" s="448"/>
      <c r="G761" s="448"/>
      <c r="H761" s="448"/>
      <c r="I761" s="449"/>
      <c r="J761" s="449"/>
      <c r="K761" s="449"/>
      <c r="L761" s="449"/>
      <c r="M761" s="409" t="s">
        <v>24691</v>
      </c>
      <c r="N761" s="412">
        <f>N750+N755+N759</f>
        <v>10.58</v>
      </c>
    </row>
    <row r="762" spans="2:14" ht="15" x14ac:dyDescent="0.25">
      <c r="B762" s="456"/>
      <c r="C762" s="457"/>
      <c r="D762" s="457"/>
      <c r="E762" s="457"/>
      <c r="F762" s="448"/>
      <c r="G762" s="448"/>
      <c r="H762" s="448"/>
      <c r="I762" s="448"/>
      <c r="J762" s="450"/>
      <c r="K762" s="450"/>
      <c r="L762" s="450"/>
      <c r="M762" s="414" t="s">
        <v>24692</v>
      </c>
      <c r="N762" s="412">
        <v>1</v>
      </c>
    </row>
    <row r="763" spans="2:14" ht="15.75" thickBot="1" x14ac:dyDescent="0.3">
      <c r="B763" s="400"/>
      <c r="C763" s="401"/>
      <c r="D763" s="401"/>
      <c r="E763" s="401"/>
      <c r="F763" s="444"/>
      <c r="G763" s="444"/>
      <c r="H763" s="444"/>
      <c r="I763" s="444"/>
      <c r="J763" s="444"/>
      <c r="K763" s="444"/>
      <c r="L763" s="444"/>
      <c r="M763" s="455" t="s">
        <v>24693</v>
      </c>
      <c r="N763" s="415">
        <f>TRUNC(N761/N762,2)</f>
        <v>10.58</v>
      </c>
    </row>
    <row r="764" spans="2:14" ht="15.75" thickBot="1" x14ac:dyDescent="0.3">
      <c r="B764" s="456"/>
      <c r="C764" s="457"/>
      <c r="D764" s="457"/>
      <c r="E764" s="457"/>
      <c r="F764" s="457"/>
      <c r="G764" s="457"/>
      <c r="H764" s="457"/>
      <c r="I764" s="457"/>
      <c r="J764" s="457"/>
      <c r="K764" s="457"/>
      <c r="L764" s="457"/>
      <c r="M764" s="457"/>
      <c r="N764" s="404"/>
    </row>
    <row r="765" spans="2:14" ht="30" x14ac:dyDescent="0.25">
      <c r="B765" s="392" t="s">
        <v>0</v>
      </c>
      <c r="C765" s="393" t="s">
        <v>24673</v>
      </c>
      <c r="D765" s="1465" t="s">
        <v>24694</v>
      </c>
      <c r="E765" s="1465"/>
      <c r="F765" s="1465"/>
      <c r="G765" s="1465"/>
      <c r="H765" s="1465"/>
      <c r="I765" s="1466"/>
      <c r="J765" s="441" t="s">
        <v>3686</v>
      </c>
      <c r="K765" s="441" t="s">
        <v>24695</v>
      </c>
      <c r="L765" s="441"/>
      <c r="M765" s="441" t="s">
        <v>24683</v>
      </c>
      <c r="N765" s="395" t="s">
        <v>24689</v>
      </c>
    </row>
    <row r="766" spans="2:14" ht="30" x14ac:dyDescent="0.25">
      <c r="B766" s="446"/>
      <c r="C766" s="458" t="s">
        <v>24708</v>
      </c>
      <c r="D766" s="1463" t="s">
        <v>24840</v>
      </c>
      <c r="E766" s="1463"/>
      <c r="F766" s="1463"/>
      <c r="G766" s="1463"/>
      <c r="H766" s="1463"/>
      <c r="I766" s="1464"/>
      <c r="J766" s="442" t="s">
        <v>24755</v>
      </c>
      <c r="K766" s="427">
        <f>'MAPA DE COT. - Orla'!H78</f>
        <v>18.23</v>
      </c>
      <c r="L766" s="427"/>
      <c r="M766" s="447">
        <v>1</v>
      </c>
      <c r="N766" s="443">
        <f>K766*M766</f>
        <v>18.23</v>
      </c>
    </row>
    <row r="767" spans="2:14" ht="15" x14ac:dyDescent="0.25">
      <c r="B767" s="446"/>
      <c r="C767" s="458"/>
      <c r="D767" s="1463"/>
      <c r="E767" s="1463"/>
      <c r="F767" s="1463"/>
      <c r="G767" s="1463"/>
      <c r="H767" s="1463"/>
      <c r="I767" s="1464"/>
      <c r="J767" s="442"/>
      <c r="K767" s="442"/>
      <c r="L767" s="442"/>
      <c r="M767" s="447"/>
      <c r="N767" s="443"/>
    </row>
    <row r="768" spans="2:14" ht="15.75" thickBot="1" x14ac:dyDescent="0.3">
      <c r="B768" s="400"/>
      <c r="C768" s="401"/>
      <c r="D768" s="401"/>
      <c r="E768" s="401"/>
      <c r="F768" s="444"/>
      <c r="G768" s="444"/>
      <c r="H768" s="444"/>
      <c r="I768" s="444"/>
      <c r="J768" s="444"/>
      <c r="K768" s="444"/>
      <c r="L768" s="444"/>
      <c r="M768" s="455" t="s">
        <v>24696</v>
      </c>
      <c r="N768" s="403">
        <f>SUM(N766:N766)</f>
        <v>18.23</v>
      </c>
    </row>
    <row r="769" spans="2:14" ht="15.75" thickBot="1" x14ac:dyDescent="0.3">
      <c r="B769" s="456"/>
      <c r="C769" s="457"/>
      <c r="D769" s="457"/>
      <c r="E769" s="457"/>
      <c r="F769" s="457"/>
      <c r="G769" s="457"/>
      <c r="H769" s="457"/>
      <c r="I769" s="457"/>
      <c r="J769" s="457"/>
      <c r="K769" s="457"/>
      <c r="L769" s="457"/>
      <c r="M769" s="457"/>
      <c r="N769" s="404"/>
    </row>
    <row r="770" spans="2:14" ht="30" x14ac:dyDescent="0.25">
      <c r="B770" s="392" t="s">
        <v>0</v>
      </c>
      <c r="C770" s="441" t="s">
        <v>24673</v>
      </c>
      <c r="D770" s="1465" t="s">
        <v>24697</v>
      </c>
      <c r="E770" s="1465"/>
      <c r="F770" s="1465"/>
      <c r="G770" s="1465"/>
      <c r="H770" s="1465"/>
      <c r="I770" s="1466"/>
      <c r="J770" s="441" t="s">
        <v>3686</v>
      </c>
      <c r="K770" s="441" t="s">
        <v>24695</v>
      </c>
      <c r="L770" s="441"/>
      <c r="M770" s="441" t="s">
        <v>24683</v>
      </c>
      <c r="N770" s="395" t="s">
        <v>24689</v>
      </c>
    </row>
    <row r="771" spans="2:14" ht="15" x14ac:dyDescent="0.25">
      <c r="B771" s="416"/>
      <c r="C771" s="417"/>
      <c r="D771" s="1463"/>
      <c r="E771" s="1463"/>
      <c r="F771" s="1463"/>
      <c r="G771" s="1463"/>
      <c r="H771" s="1463"/>
      <c r="I771" s="1464"/>
      <c r="J771" s="451"/>
      <c r="K771" s="451"/>
      <c r="L771" s="451"/>
      <c r="M771" s="419"/>
      <c r="N771" s="420"/>
    </row>
    <row r="772" spans="2:14" ht="15.75" thickBot="1" x14ac:dyDescent="0.3">
      <c r="B772" s="400"/>
      <c r="C772" s="401"/>
      <c r="D772" s="401"/>
      <c r="E772" s="401"/>
      <c r="F772" s="444"/>
      <c r="G772" s="444"/>
      <c r="H772" s="444"/>
      <c r="I772" s="444"/>
      <c r="J772" s="444"/>
      <c r="K772" s="444"/>
      <c r="L772" s="444"/>
      <c r="M772" s="455" t="s">
        <v>24698</v>
      </c>
      <c r="N772" s="403">
        <f>SUM(N771:N771)</f>
        <v>0</v>
      </c>
    </row>
    <row r="773" spans="2:14" ht="15.75" thickBot="1" x14ac:dyDescent="0.3">
      <c r="B773" s="456"/>
      <c r="C773" s="457"/>
      <c r="D773" s="457"/>
      <c r="E773" s="457"/>
      <c r="F773" s="457"/>
      <c r="G773" s="457"/>
      <c r="H773" s="457"/>
      <c r="I773" s="457"/>
      <c r="J773" s="457"/>
      <c r="K773" s="457"/>
      <c r="L773" s="457"/>
      <c r="M773" s="457"/>
      <c r="N773" s="404"/>
    </row>
    <row r="774" spans="2:14" ht="30" x14ac:dyDescent="0.25">
      <c r="B774" s="392" t="s">
        <v>0</v>
      </c>
      <c r="C774" s="441" t="s">
        <v>24673</v>
      </c>
      <c r="D774" s="1465" t="s">
        <v>24699</v>
      </c>
      <c r="E774" s="1465"/>
      <c r="F774" s="1465"/>
      <c r="G774" s="1466"/>
      <c r="H774" s="441" t="s">
        <v>3686</v>
      </c>
      <c r="I774" s="441" t="s">
        <v>24700</v>
      </c>
      <c r="J774" s="441" t="s">
        <v>24701</v>
      </c>
      <c r="K774" s="441" t="s">
        <v>24695</v>
      </c>
      <c r="L774" s="441"/>
      <c r="M774" s="441" t="s">
        <v>24683</v>
      </c>
      <c r="N774" s="395" t="s">
        <v>24689</v>
      </c>
    </row>
    <row r="775" spans="2:14" ht="15" x14ac:dyDescent="0.25">
      <c r="B775" s="446"/>
      <c r="C775" s="458"/>
      <c r="D775" s="1494"/>
      <c r="E775" s="1494"/>
      <c r="F775" s="1494"/>
      <c r="G775" s="1494"/>
      <c r="H775" s="442"/>
      <c r="I775" s="442"/>
      <c r="J775" s="442"/>
      <c r="K775" s="442"/>
      <c r="L775" s="442"/>
      <c r="M775" s="447"/>
      <c r="N775" s="443"/>
    </row>
    <row r="776" spans="2:14" ht="15" x14ac:dyDescent="0.25">
      <c r="B776" s="456"/>
      <c r="C776" s="457"/>
      <c r="D776" s="457"/>
      <c r="E776" s="457"/>
      <c r="F776" s="448"/>
      <c r="G776" s="448"/>
      <c r="H776" s="448"/>
      <c r="I776" s="448"/>
      <c r="J776" s="448"/>
      <c r="K776" s="448"/>
      <c r="L776" s="448"/>
      <c r="M776" s="409" t="s">
        <v>24702</v>
      </c>
      <c r="N776" s="410">
        <f>SUM(N775:N775)</f>
        <v>0</v>
      </c>
    </row>
    <row r="777" spans="2:14" ht="15" x14ac:dyDescent="0.25">
      <c r="B777" s="456"/>
      <c r="C777" s="457"/>
      <c r="D777" s="457"/>
      <c r="E777" s="457"/>
      <c r="F777" s="457"/>
      <c r="G777" s="457"/>
      <c r="H777" s="457"/>
      <c r="I777" s="457"/>
      <c r="J777" s="457"/>
      <c r="K777" s="457"/>
      <c r="L777" s="457"/>
      <c r="M777" s="457"/>
      <c r="N777" s="404"/>
    </row>
    <row r="778" spans="2:14" ht="15" x14ac:dyDescent="0.25">
      <c r="B778" s="421"/>
      <c r="C778" s="422"/>
      <c r="D778" s="422"/>
      <c r="E778" s="422"/>
      <c r="F778" s="452"/>
      <c r="G778" s="452"/>
      <c r="H778" s="452"/>
      <c r="I778" s="452"/>
      <c r="J778" s="452"/>
      <c r="K778" s="452"/>
      <c r="L778" s="452"/>
      <c r="M778" s="424" t="s">
        <v>24703</v>
      </c>
      <c r="N778" s="412">
        <f>N763+N768+N772+N776</f>
        <v>28.81</v>
      </c>
    </row>
    <row r="779" spans="2:14" ht="15" x14ac:dyDescent="0.25">
      <c r="B779" s="456"/>
      <c r="C779" s="457"/>
      <c r="D779" s="457"/>
      <c r="E779" s="457"/>
      <c r="F779" s="448"/>
      <c r="G779" s="448"/>
      <c r="H779" s="448"/>
      <c r="I779" s="448"/>
      <c r="J779" s="448"/>
      <c r="K779" s="448"/>
      <c r="L779" s="448"/>
      <c r="M779" s="752">
        <f>'Planilha - Orla'!I3</f>
        <v>0.28220000000000001</v>
      </c>
      <c r="N779" s="412">
        <f>N778*M779</f>
        <v>8.1300000000000008</v>
      </c>
    </row>
    <row r="780" spans="2:14" ht="15.75" thickBot="1" x14ac:dyDescent="0.3">
      <c r="B780" s="1472" t="s">
        <v>24704</v>
      </c>
      <c r="C780" s="1473"/>
      <c r="D780" s="1473"/>
      <c r="E780" s="1473"/>
      <c r="F780" s="1473"/>
      <c r="G780" s="1473"/>
      <c r="H780" s="1473"/>
      <c r="I780" s="1473"/>
      <c r="J780" s="1473"/>
      <c r="K780" s="1473"/>
      <c r="L780" s="1473"/>
      <c r="M780" s="1474"/>
      <c r="N780" s="415">
        <f>N778+N779</f>
        <v>36.94</v>
      </c>
    </row>
    <row r="782" spans="2:14" ht="15" thickBot="1" x14ac:dyDescent="0.3"/>
    <row r="783" spans="2:14" ht="51" customHeight="1" x14ac:dyDescent="0.25">
      <c r="B783" s="1479" t="s">
        <v>24871</v>
      </c>
      <c r="C783" s="1480"/>
      <c r="D783" s="1481"/>
      <c r="E783" s="1482" t="s">
        <v>24669</v>
      </c>
      <c r="F783" s="1482"/>
      <c r="G783" s="1482"/>
      <c r="H783" s="1482"/>
      <c r="I783" s="1482"/>
      <c r="J783" s="1482"/>
      <c r="K783" s="1482"/>
      <c r="L783" s="453"/>
      <c r="M783" s="1483"/>
      <c r="N783" s="1484"/>
    </row>
    <row r="784" spans="2:14" ht="15" x14ac:dyDescent="0.25">
      <c r="B784" s="391" t="s">
        <v>24670</v>
      </c>
      <c r="C784" s="1485" t="s">
        <v>25657</v>
      </c>
      <c r="D784" s="1485"/>
      <c r="E784" s="1485"/>
      <c r="F784" s="1485"/>
      <c r="G784" s="1485"/>
      <c r="H784" s="1485"/>
      <c r="I784" s="1485"/>
      <c r="J784" s="1485"/>
      <c r="K784" s="1485"/>
      <c r="L784" s="1485"/>
      <c r="M784" s="1485"/>
      <c r="N784" s="1486"/>
    </row>
    <row r="785" spans="2:14" ht="15" x14ac:dyDescent="0.25">
      <c r="B785" s="391" t="s">
        <v>24671</v>
      </c>
      <c r="C785" s="1487" t="s">
        <v>8</v>
      </c>
      <c r="D785" s="1487"/>
      <c r="E785" s="1487"/>
      <c r="F785" s="1487"/>
      <c r="G785" s="1487"/>
      <c r="H785" s="1487"/>
      <c r="I785" s="1487"/>
      <c r="J785" s="1487"/>
      <c r="K785" s="1487"/>
      <c r="L785" s="1487"/>
      <c r="M785" s="1487"/>
      <c r="N785" s="1488"/>
    </row>
    <row r="786" spans="2:14" ht="15.75" thickBot="1" x14ac:dyDescent="0.3">
      <c r="B786" s="391" t="s">
        <v>24672</v>
      </c>
      <c r="C786" s="1489">
        <v>44501</v>
      </c>
      <c r="D786" s="1490"/>
      <c r="E786" s="1490"/>
      <c r="F786" s="1490"/>
      <c r="G786" s="1490"/>
      <c r="H786" s="1490"/>
      <c r="I786" s="1490"/>
      <c r="J786" s="1490"/>
      <c r="K786" s="1490"/>
      <c r="L786" s="1490"/>
      <c r="M786" s="1490"/>
      <c r="N786" s="1491"/>
    </row>
    <row r="787" spans="2:14" ht="30" x14ac:dyDescent="0.25">
      <c r="B787" s="392" t="s">
        <v>0</v>
      </c>
      <c r="C787" s="393" t="s">
        <v>24673</v>
      </c>
      <c r="D787" s="1465" t="s">
        <v>24674</v>
      </c>
      <c r="E787" s="1465"/>
      <c r="F787" s="1465"/>
      <c r="G787" s="1466"/>
      <c r="H787" s="441" t="s">
        <v>111</v>
      </c>
      <c r="I787" s="441" t="s">
        <v>24675</v>
      </c>
      <c r="J787" s="441" t="s">
        <v>24676</v>
      </c>
      <c r="K787" s="441" t="s">
        <v>24677</v>
      </c>
      <c r="L787" s="441"/>
      <c r="M787" s="441" t="s">
        <v>24678</v>
      </c>
      <c r="N787" s="395" t="s">
        <v>24679</v>
      </c>
    </row>
    <row r="788" spans="2:14" ht="15" x14ac:dyDescent="0.25">
      <c r="B788" s="446"/>
      <c r="C788" s="397"/>
      <c r="D788" s="1494"/>
      <c r="E788" s="1494"/>
      <c r="F788" s="1494"/>
      <c r="G788" s="1495"/>
      <c r="H788" s="442"/>
      <c r="I788" s="442"/>
      <c r="J788" s="442"/>
      <c r="K788" s="442"/>
      <c r="L788" s="442"/>
      <c r="M788" s="442"/>
      <c r="N788" s="443"/>
    </row>
    <row r="789" spans="2:14" ht="15.75" thickBot="1" x14ac:dyDescent="0.3">
      <c r="B789" s="400"/>
      <c r="C789" s="401"/>
      <c r="D789" s="401"/>
      <c r="E789" s="401"/>
      <c r="F789" s="444"/>
      <c r="G789" s="444"/>
      <c r="H789" s="444"/>
      <c r="I789" s="444"/>
      <c r="J789" s="444"/>
      <c r="K789" s="444"/>
      <c r="L789" s="444"/>
      <c r="M789" s="455" t="s">
        <v>24680</v>
      </c>
      <c r="N789" s="403">
        <f>SUM(N788)</f>
        <v>0</v>
      </c>
    </row>
    <row r="790" spans="2:14" ht="15.75" thickBot="1" x14ac:dyDescent="0.3">
      <c r="B790" s="456"/>
      <c r="C790" s="457"/>
      <c r="D790" s="457"/>
      <c r="E790" s="457"/>
      <c r="F790" s="457"/>
      <c r="G790" s="457"/>
      <c r="H790" s="457"/>
      <c r="I790" s="457"/>
      <c r="J790" s="457"/>
      <c r="K790" s="457"/>
      <c r="L790" s="457"/>
      <c r="M790" s="457"/>
      <c r="N790" s="404"/>
    </row>
    <row r="791" spans="2:14" ht="45" x14ac:dyDescent="0.25">
      <c r="B791" s="392" t="s">
        <v>0</v>
      </c>
      <c r="C791" s="393" t="s">
        <v>24673</v>
      </c>
      <c r="D791" s="1465" t="s">
        <v>24681</v>
      </c>
      <c r="E791" s="1465"/>
      <c r="F791" s="1465"/>
      <c r="G791" s="1465"/>
      <c r="H791" s="1466"/>
      <c r="I791" s="441" t="s">
        <v>3686</v>
      </c>
      <c r="J791" s="441" t="s">
        <v>24682</v>
      </c>
      <c r="K791" s="441" t="s">
        <v>24861</v>
      </c>
      <c r="L791" s="441" t="s">
        <v>24862</v>
      </c>
      <c r="M791" s="441" t="s">
        <v>24683</v>
      </c>
      <c r="N791" s="395" t="s">
        <v>24679</v>
      </c>
    </row>
    <row r="792" spans="2:14" ht="15" x14ac:dyDescent="0.25">
      <c r="B792" s="446">
        <v>10101</v>
      </c>
      <c r="C792" s="458" t="s">
        <v>4389</v>
      </c>
      <c r="D792" s="1463" t="s">
        <v>24788</v>
      </c>
      <c r="E792" s="1463"/>
      <c r="F792" s="1463"/>
      <c r="G792" s="1463"/>
      <c r="H792" s="1464"/>
      <c r="I792" s="442" t="s">
        <v>75</v>
      </c>
      <c r="J792" s="406">
        <v>1.5727</v>
      </c>
      <c r="K792" s="427">
        <v>6.27</v>
      </c>
      <c r="L792" s="427">
        <f>K792*(1+J792)</f>
        <v>16.13</v>
      </c>
      <c r="M792" s="447">
        <v>0.3</v>
      </c>
      <c r="N792" s="443">
        <f>L792*M792</f>
        <v>4.84</v>
      </c>
    </row>
    <row r="793" spans="2:14" ht="15" x14ac:dyDescent="0.25">
      <c r="B793" s="446">
        <v>10115</v>
      </c>
      <c r="C793" s="458" t="s">
        <v>4389</v>
      </c>
      <c r="D793" s="1463" t="s">
        <v>24771</v>
      </c>
      <c r="E793" s="1463"/>
      <c r="F793" s="1463"/>
      <c r="G793" s="1463"/>
      <c r="H793" s="1464"/>
      <c r="I793" s="442" t="s">
        <v>75</v>
      </c>
      <c r="J793" s="406">
        <v>1.5727</v>
      </c>
      <c r="K793" s="427">
        <v>7.43</v>
      </c>
      <c r="L793" s="427">
        <f>K793*(1+J793)</f>
        <v>19.12</v>
      </c>
      <c r="M793" s="447">
        <v>0.3</v>
      </c>
      <c r="N793" s="443">
        <f>L793*M793</f>
        <v>5.74</v>
      </c>
    </row>
    <row r="794" spans="2:14" ht="15.75" thickBot="1" x14ac:dyDescent="0.3">
      <c r="B794" s="400"/>
      <c r="C794" s="401"/>
      <c r="D794" s="401"/>
      <c r="E794" s="401"/>
      <c r="F794" s="444"/>
      <c r="G794" s="444"/>
      <c r="H794" s="444"/>
      <c r="I794" s="444"/>
      <c r="J794" s="444"/>
      <c r="K794" s="444"/>
      <c r="L794" s="444"/>
      <c r="M794" s="455" t="s">
        <v>24684</v>
      </c>
      <c r="N794" s="403">
        <f>SUM(N792:N793)</f>
        <v>10.58</v>
      </c>
    </row>
    <row r="795" spans="2:14" ht="15.75" thickBot="1" x14ac:dyDescent="0.3">
      <c r="B795" s="456"/>
      <c r="C795" s="457"/>
      <c r="D795" s="457"/>
      <c r="E795" s="457"/>
      <c r="F795" s="457"/>
      <c r="G795" s="457"/>
      <c r="H795" s="457"/>
      <c r="I795" s="448"/>
      <c r="J795" s="448"/>
      <c r="K795" s="457"/>
      <c r="L795" s="457"/>
      <c r="M795" s="457"/>
      <c r="N795" s="404"/>
    </row>
    <row r="796" spans="2:14" ht="30" x14ac:dyDescent="0.25">
      <c r="B796" s="392" t="s">
        <v>0</v>
      </c>
      <c r="C796" s="393" t="s">
        <v>24673</v>
      </c>
      <c r="D796" s="1465" t="s">
        <v>24685</v>
      </c>
      <c r="E796" s="1465"/>
      <c r="F796" s="1465"/>
      <c r="G796" s="1465"/>
      <c r="H796" s="1466"/>
      <c r="I796" s="441" t="s">
        <v>2858</v>
      </c>
      <c r="J796" s="441" t="s">
        <v>24686</v>
      </c>
      <c r="K796" s="441" t="s">
        <v>24687</v>
      </c>
      <c r="L796" s="441"/>
      <c r="M796" s="441" t="s">
        <v>24688</v>
      </c>
      <c r="N796" s="395" t="s">
        <v>24689</v>
      </c>
    </row>
    <row r="797" spans="2:14" ht="15" x14ac:dyDescent="0.25">
      <c r="B797" s="446"/>
      <c r="C797" s="458"/>
      <c r="D797" s="1463"/>
      <c r="E797" s="1463"/>
      <c r="F797" s="1463"/>
      <c r="G797" s="1463"/>
      <c r="H797" s="1464"/>
      <c r="I797" s="442"/>
      <c r="J797" s="442"/>
      <c r="K797" s="442"/>
      <c r="L797" s="442"/>
      <c r="M797" s="442"/>
      <c r="N797" s="443"/>
    </row>
    <row r="798" spans="2:14" ht="15" x14ac:dyDescent="0.25">
      <c r="B798" s="456"/>
      <c r="C798" s="457"/>
      <c r="D798" s="457"/>
      <c r="E798" s="457"/>
      <c r="F798" s="448"/>
      <c r="G798" s="448"/>
      <c r="H798" s="448"/>
      <c r="I798" s="448"/>
      <c r="J798" s="448"/>
      <c r="K798" s="448"/>
      <c r="L798" s="448"/>
      <c r="M798" s="409" t="s">
        <v>24690</v>
      </c>
      <c r="N798" s="410">
        <f>SUM(N797:N797)</f>
        <v>0</v>
      </c>
    </row>
    <row r="799" spans="2:14" ht="15" x14ac:dyDescent="0.25">
      <c r="B799" s="456"/>
      <c r="C799" s="457"/>
      <c r="D799" s="457"/>
      <c r="E799" s="457"/>
      <c r="F799" s="457"/>
      <c r="G799" s="457"/>
      <c r="H799" s="457"/>
      <c r="I799" s="457"/>
      <c r="J799" s="457"/>
      <c r="K799" s="457"/>
      <c r="L799" s="457"/>
      <c r="M799" s="457"/>
      <c r="N799" s="404"/>
    </row>
    <row r="800" spans="2:14" ht="15" x14ac:dyDescent="0.25">
      <c r="B800" s="456"/>
      <c r="C800" s="457"/>
      <c r="D800" s="457"/>
      <c r="E800" s="457"/>
      <c r="F800" s="448"/>
      <c r="G800" s="448"/>
      <c r="H800" s="448"/>
      <c r="I800" s="449"/>
      <c r="J800" s="449"/>
      <c r="K800" s="449"/>
      <c r="L800" s="449"/>
      <c r="M800" s="409" t="s">
        <v>24691</v>
      </c>
      <c r="N800" s="412">
        <f>N789+N794+N798</f>
        <v>10.58</v>
      </c>
    </row>
    <row r="801" spans="2:14" ht="15" x14ac:dyDescent="0.25">
      <c r="B801" s="456"/>
      <c r="C801" s="457"/>
      <c r="D801" s="457"/>
      <c r="E801" s="457"/>
      <c r="F801" s="448"/>
      <c r="G801" s="448"/>
      <c r="H801" s="448"/>
      <c r="I801" s="448"/>
      <c r="J801" s="450"/>
      <c r="K801" s="450"/>
      <c r="L801" s="450"/>
      <c r="M801" s="414" t="s">
        <v>24692</v>
      </c>
      <c r="N801" s="412">
        <v>1</v>
      </c>
    </row>
    <row r="802" spans="2:14" ht="15.75" thickBot="1" x14ac:dyDescent="0.3">
      <c r="B802" s="400"/>
      <c r="C802" s="401"/>
      <c r="D802" s="401"/>
      <c r="E802" s="401"/>
      <c r="F802" s="444"/>
      <c r="G802" s="444"/>
      <c r="H802" s="444"/>
      <c r="I802" s="444"/>
      <c r="J802" s="444"/>
      <c r="K802" s="444"/>
      <c r="L802" s="444"/>
      <c r="M802" s="455" t="s">
        <v>24693</v>
      </c>
      <c r="N802" s="415">
        <f>TRUNC(N800/N801,2)</f>
        <v>10.58</v>
      </c>
    </row>
    <row r="803" spans="2:14" ht="15.75" thickBot="1" x14ac:dyDescent="0.3">
      <c r="B803" s="456"/>
      <c r="C803" s="457"/>
      <c r="D803" s="457"/>
      <c r="E803" s="457"/>
      <c r="F803" s="457"/>
      <c r="G803" s="457"/>
      <c r="H803" s="457"/>
      <c r="I803" s="457"/>
      <c r="J803" s="457"/>
      <c r="K803" s="457"/>
      <c r="L803" s="457"/>
      <c r="M803" s="457"/>
      <c r="N803" s="404"/>
    </row>
    <row r="804" spans="2:14" ht="30" x14ac:dyDescent="0.25">
      <c r="B804" s="392" t="s">
        <v>0</v>
      </c>
      <c r="C804" s="393" t="s">
        <v>24673</v>
      </c>
      <c r="D804" s="1465" t="s">
        <v>24694</v>
      </c>
      <c r="E804" s="1465"/>
      <c r="F804" s="1465"/>
      <c r="G804" s="1465"/>
      <c r="H804" s="1465"/>
      <c r="I804" s="1466"/>
      <c r="J804" s="441" t="s">
        <v>3686</v>
      </c>
      <c r="K804" s="441" t="s">
        <v>24695</v>
      </c>
      <c r="L804" s="441"/>
      <c r="M804" s="441" t="s">
        <v>24683</v>
      </c>
      <c r="N804" s="395" t="s">
        <v>24689</v>
      </c>
    </row>
    <row r="805" spans="2:14" ht="30" x14ac:dyDescent="0.25">
      <c r="B805" s="446"/>
      <c r="C805" s="458" t="s">
        <v>24708</v>
      </c>
      <c r="D805" s="1463" t="s">
        <v>24844</v>
      </c>
      <c r="E805" s="1463"/>
      <c r="F805" s="1463"/>
      <c r="G805" s="1463"/>
      <c r="H805" s="1463"/>
      <c r="I805" s="1464"/>
      <c r="J805" s="442" t="s">
        <v>24755</v>
      </c>
      <c r="K805" s="427">
        <f>'MAPA DE COT. - Orla'!H91</f>
        <v>21.02</v>
      </c>
      <c r="L805" s="427"/>
      <c r="M805" s="447">
        <v>1</v>
      </c>
      <c r="N805" s="443">
        <f>K805*M805</f>
        <v>21.02</v>
      </c>
    </row>
    <row r="806" spans="2:14" ht="15" x14ac:dyDescent="0.25">
      <c r="B806" s="446"/>
      <c r="C806" s="458"/>
      <c r="D806" s="1463"/>
      <c r="E806" s="1463"/>
      <c r="F806" s="1463"/>
      <c r="G806" s="1463"/>
      <c r="H806" s="1463"/>
      <c r="I806" s="1464"/>
      <c r="J806" s="442"/>
      <c r="K806" s="442"/>
      <c r="L806" s="442"/>
      <c r="M806" s="447"/>
      <c r="N806" s="443"/>
    </row>
    <row r="807" spans="2:14" ht="15.75" thickBot="1" x14ac:dyDescent="0.3">
      <c r="B807" s="400"/>
      <c r="C807" s="401"/>
      <c r="D807" s="401"/>
      <c r="E807" s="401"/>
      <c r="F807" s="444"/>
      <c r="G807" s="444"/>
      <c r="H807" s="444"/>
      <c r="I807" s="444"/>
      <c r="J807" s="444"/>
      <c r="K807" s="444"/>
      <c r="L807" s="444"/>
      <c r="M807" s="455" t="s">
        <v>24696</v>
      </c>
      <c r="N807" s="403">
        <f>SUM(N805:N805)</f>
        <v>21.02</v>
      </c>
    </row>
    <row r="808" spans="2:14" ht="15.75" thickBot="1" x14ac:dyDescent="0.3">
      <c r="B808" s="456"/>
      <c r="C808" s="457"/>
      <c r="D808" s="457"/>
      <c r="E808" s="457"/>
      <c r="F808" s="457"/>
      <c r="G808" s="457"/>
      <c r="H808" s="457"/>
      <c r="I808" s="457"/>
      <c r="J808" s="457"/>
      <c r="K808" s="457"/>
      <c r="L808" s="457"/>
      <c r="M808" s="457"/>
      <c r="N808" s="404"/>
    </row>
    <row r="809" spans="2:14" ht="30" x14ac:dyDescent="0.25">
      <c r="B809" s="392" t="s">
        <v>0</v>
      </c>
      <c r="C809" s="441" t="s">
        <v>24673</v>
      </c>
      <c r="D809" s="1465" t="s">
        <v>24697</v>
      </c>
      <c r="E809" s="1465"/>
      <c r="F809" s="1465"/>
      <c r="G809" s="1465"/>
      <c r="H809" s="1465"/>
      <c r="I809" s="1466"/>
      <c r="J809" s="441" t="s">
        <v>3686</v>
      </c>
      <c r="K809" s="441" t="s">
        <v>24695</v>
      </c>
      <c r="L809" s="441"/>
      <c r="M809" s="441" t="s">
        <v>24683</v>
      </c>
      <c r="N809" s="395" t="s">
        <v>24689</v>
      </c>
    </row>
    <row r="810" spans="2:14" ht="15" x14ac:dyDescent="0.25">
      <c r="B810" s="416"/>
      <c r="C810" s="417"/>
      <c r="D810" s="1463"/>
      <c r="E810" s="1463"/>
      <c r="F810" s="1463"/>
      <c r="G810" s="1463"/>
      <c r="H810" s="1463"/>
      <c r="I810" s="1464"/>
      <c r="J810" s="451"/>
      <c r="K810" s="451"/>
      <c r="L810" s="451"/>
      <c r="M810" s="419"/>
      <c r="N810" s="420"/>
    </row>
    <row r="811" spans="2:14" ht="15.75" thickBot="1" x14ac:dyDescent="0.3">
      <c r="B811" s="400"/>
      <c r="C811" s="401"/>
      <c r="D811" s="401"/>
      <c r="E811" s="401"/>
      <c r="F811" s="444"/>
      <c r="G811" s="444"/>
      <c r="H811" s="444"/>
      <c r="I811" s="444"/>
      <c r="J811" s="444"/>
      <c r="K811" s="444"/>
      <c r="L811" s="444"/>
      <c r="M811" s="455" t="s">
        <v>24698</v>
      </c>
      <c r="N811" s="403">
        <f>SUM(N810:N810)</f>
        <v>0</v>
      </c>
    </row>
    <row r="812" spans="2:14" ht="15.75" thickBot="1" x14ac:dyDescent="0.3">
      <c r="B812" s="456"/>
      <c r="C812" s="457"/>
      <c r="D812" s="457"/>
      <c r="E812" s="457"/>
      <c r="F812" s="457"/>
      <c r="G812" s="457"/>
      <c r="H812" s="457"/>
      <c r="I812" s="457"/>
      <c r="J812" s="457"/>
      <c r="K812" s="457"/>
      <c r="L812" s="457"/>
      <c r="M812" s="457"/>
      <c r="N812" s="404"/>
    </row>
    <row r="813" spans="2:14" ht="30" x14ac:dyDescent="0.25">
      <c r="B813" s="392" t="s">
        <v>0</v>
      </c>
      <c r="C813" s="441" t="s">
        <v>24673</v>
      </c>
      <c r="D813" s="1465" t="s">
        <v>24699</v>
      </c>
      <c r="E813" s="1465"/>
      <c r="F813" s="1465"/>
      <c r="G813" s="1466"/>
      <c r="H813" s="441" t="s">
        <v>3686</v>
      </c>
      <c r="I813" s="441" t="s">
        <v>24700</v>
      </c>
      <c r="J813" s="441" t="s">
        <v>24701</v>
      </c>
      <c r="K813" s="441" t="s">
        <v>24695</v>
      </c>
      <c r="L813" s="441"/>
      <c r="M813" s="441" t="s">
        <v>24683</v>
      </c>
      <c r="N813" s="395" t="s">
        <v>24689</v>
      </c>
    </row>
    <row r="814" spans="2:14" ht="15" x14ac:dyDescent="0.25">
      <c r="B814" s="446"/>
      <c r="C814" s="458"/>
      <c r="D814" s="1494"/>
      <c r="E814" s="1494"/>
      <c r="F814" s="1494"/>
      <c r="G814" s="1494"/>
      <c r="H814" s="442"/>
      <c r="I814" s="442"/>
      <c r="J814" s="442"/>
      <c r="K814" s="442"/>
      <c r="L814" s="442"/>
      <c r="M814" s="447"/>
      <c r="N814" s="443"/>
    </row>
    <row r="815" spans="2:14" ht="15" x14ac:dyDescent="0.25">
      <c r="B815" s="456"/>
      <c r="C815" s="457"/>
      <c r="D815" s="457"/>
      <c r="E815" s="457"/>
      <c r="F815" s="448"/>
      <c r="G815" s="448"/>
      <c r="H815" s="448"/>
      <c r="I815" s="448"/>
      <c r="J815" s="448"/>
      <c r="K815" s="448"/>
      <c r="L815" s="448"/>
      <c r="M815" s="409" t="s">
        <v>24702</v>
      </c>
      <c r="N815" s="410">
        <f>SUM(N814:N814)</f>
        <v>0</v>
      </c>
    </row>
    <row r="816" spans="2:14" ht="15" x14ac:dyDescent="0.25">
      <c r="B816" s="456"/>
      <c r="C816" s="457"/>
      <c r="D816" s="457"/>
      <c r="E816" s="457"/>
      <c r="F816" s="457"/>
      <c r="G816" s="457"/>
      <c r="H816" s="457"/>
      <c r="I816" s="457"/>
      <c r="J816" s="457"/>
      <c r="K816" s="457"/>
      <c r="L816" s="457"/>
      <c r="M816" s="457"/>
      <c r="N816" s="404"/>
    </row>
    <row r="817" spans="2:14" ht="15" x14ac:dyDescent="0.25">
      <c r="B817" s="421"/>
      <c r="C817" s="422"/>
      <c r="D817" s="422"/>
      <c r="E817" s="422"/>
      <c r="F817" s="452"/>
      <c r="G817" s="452"/>
      <c r="H817" s="452"/>
      <c r="I817" s="452"/>
      <c r="J817" s="452"/>
      <c r="K817" s="452"/>
      <c r="L817" s="452"/>
      <c r="M817" s="424" t="s">
        <v>24703</v>
      </c>
      <c r="N817" s="412">
        <f>N802+N807+N811+N815</f>
        <v>31.6</v>
      </c>
    </row>
    <row r="818" spans="2:14" ht="15" x14ac:dyDescent="0.25">
      <c r="B818" s="456"/>
      <c r="C818" s="457"/>
      <c r="D818" s="457"/>
      <c r="E818" s="457"/>
      <c r="F818" s="448"/>
      <c r="G818" s="448"/>
      <c r="H818" s="448"/>
      <c r="I818" s="448"/>
      <c r="J818" s="448"/>
      <c r="K818" s="448"/>
      <c r="L818" s="448"/>
      <c r="M818" s="752">
        <f>'Planilha - Orla'!I3</f>
        <v>0.28220000000000001</v>
      </c>
      <c r="N818" s="412">
        <f>N817*M818</f>
        <v>8.92</v>
      </c>
    </row>
    <row r="819" spans="2:14" ht="15.75" thickBot="1" x14ac:dyDescent="0.3">
      <c r="B819" s="1472" t="s">
        <v>24704</v>
      </c>
      <c r="C819" s="1473"/>
      <c r="D819" s="1473"/>
      <c r="E819" s="1473"/>
      <c r="F819" s="1473"/>
      <c r="G819" s="1473"/>
      <c r="H819" s="1473"/>
      <c r="I819" s="1473"/>
      <c r="J819" s="1473"/>
      <c r="K819" s="1473"/>
      <c r="L819" s="1473"/>
      <c r="M819" s="1474"/>
      <c r="N819" s="415">
        <f>N817+N818</f>
        <v>40.520000000000003</v>
      </c>
    </row>
    <row r="821" spans="2:14" ht="15" thickBot="1" x14ac:dyDescent="0.3"/>
    <row r="822" spans="2:14" ht="44.25" customHeight="1" x14ac:dyDescent="0.25">
      <c r="B822" s="1479" t="s">
        <v>24872</v>
      </c>
      <c r="C822" s="1480"/>
      <c r="D822" s="1481"/>
      <c r="E822" s="1482" t="s">
        <v>24669</v>
      </c>
      <c r="F822" s="1482"/>
      <c r="G822" s="1482"/>
      <c r="H822" s="1482"/>
      <c r="I822" s="1482"/>
      <c r="J822" s="1482"/>
      <c r="K822" s="1482"/>
      <c r="L822" s="453"/>
      <c r="M822" s="1483"/>
      <c r="N822" s="1484"/>
    </row>
    <row r="823" spans="2:14" ht="15" x14ac:dyDescent="0.25">
      <c r="B823" s="391" t="s">
        <v>24670</v>
      </c>
      <c r="C823" s="1485" t="s">
        <v>24864</v>
      </c>
      <c r="D823" s="1485"/>
      <c r="E823" s="1485"/>
      <c r="F823" s="1485"/>
      <c r="G823" s="1485"/>
      <c r="H823" s="1485"/>
      <c r="I823" s="1485"/>
      <c r="J823" s="1485"/>
      <c r="K823" s="1485"/>
      <c r="L823" s="1485"/>
      <c r="M823" s="1485"/>
      <c r="N823" s="1486"/>
    </row>
    <row r="824" spans="2:14" ht="15" x14ac:dyDescent="0.25">
      <c r="B824" s="391" t="s">
        <v>24671</v>
      </c>
      <c r="C824" s="1487" t="s">
        <v>8</v>
      </c>
      <c r="D824" s="1487"/>
      <c r="E824" s="1487"/>
      <c r="F824" s="1487"/>
      <c r="G824" s="1487"/>
      <c r="H824" s="1487"/>
      <c r="I824" s="1487"/>
      <c r="J824" s="1487"/>
      <c r="K824" s="1487"/>
      <c r="L824" s="1487"/>
      <c r="M824" s="1487"/>
      <c r="N824" s="1488"/>
    </row>
    <row r="825" spans="2:14" ht="15.75" thickBot="1" x14ac:dyDescent="0.3">
      <c r="B825" s="391" t="s">
        <v>24672</v>
      </c>
      <c r="C825" s="1489">
        <v>44501</v>
      </c>
      <c r="D825" s="1490"/>
      <c r="E825" s="1490"/>
      <c r="F825" s="1490"/>
      <c r="G825" s="1490"/>
      <c r="H825" s="1490"/>
      <c r="I825" s="1490"/>
      <c r="J825" s="1490"/>
      <c r="K825" s="1490"/>
      <c r="L825" s="1490"/>
      <c r="M825" s="1490"/>
      <c r="N825" s="1491"/>
    </row>
    <row r="826" spans="2:14" ht="30" x14ac:dyDescent="0.25">
      <c r="B826" s="392" t="s">
        <v>0</v>
      </c>
      <c r="C826" s="393" t="s">
        <v>24673</v>
      </c>
      <c r="D826" s="1465" t="s">
        <v>24674</v>
      </c>
      <c r="E826" s="1465"/>
      <c r="F826" s="1465"/>
      <c r="G826" s="1466"/>
      <c r="H826" s="441" t="s">
        <v>111</v>
      </c>
      <c r="I826" s="441" t="s">
        <v>24675</v>
      </c>
      <c r="J826" s="441" t="s">
        <v>24676</v>
      </c>
      <c r="K826" s="441" t="s">
        <v>24677</v>
      </c>
      <c r="L826" s="441"/>
      <c r="M826" s="441" t="s">
        <v>24678</v>
      </c>
      <c r="N826" s="395" t="s">
        <v>24679</v>
      </c>
    </row>
    <row r="827" spans="2:14" ht="15" x14ac:dyDescent="0.25">
      <c r="B827" s="446"/>
      <c r="C827" s="397"/>
      <c r="D827" s="1494"/>
      <c r="E827" s="1494"/>
      <c r="F827" s="1494"/>
      <c r="G827" s="1495"/>
      <c r="H827" s="442"/>
      <c r="I827" s="442"/>
      <c r="J827" s="442"/>
      <c r="K827" s="442"/>
      <c r="L827" s="442"/>
      <c r="M827" s="442"/>
      <c r="N827" s="443"/>
    </row>
    <row r="828" spans="2:14" ht="15.75" thickBot="1" x14ac:dyDescent="0.3">
      <c r="B828" s="400"/>
      <c r="C828" s="401"/>
      <c r="D828" s="401"/>
      <c r="E828" s="401"/>
      <c r="F828" s="444"/>
      <c r="G828" s="444"/>
      <c r="H828" s="444"/>
      <c r="I828" s="444"/>
      <c r="J828" s="444"/>
      <c r="K828" s="444"/>
      <c r="L828" s="444"/>
      <c r="M828" s="455" t="s">
        <v>24680</v>
      </c>
      <c r="N828" s="403">
        <f>SUM(N827)</f>
        <v>0</v>
      </c>
    </row>
    <row r="829" spans="2:14" ht="15.75" thickBot="1" x14ac:dyDescent="0.3">
      <c r="B829" s="456"/>
      <c r="C829" s="457"/>
      <c r="D829" s="457"/>
      <c r="E829" s="457"/>
      <c r="F829" s="457"/>
      <c r="G829" s="457"/>
      <c r="H829" s="457"/>
      <c r="I829" s="457"/>
      <c r="J829" s="457"/>
      <c r="K829" s="457"/>
      <c r="L829" s="457"/>
      <c r="M829" s="457"/>
      <c r="N829" s="404"/>
    </row>
    <row r="830" spans="2:14" ht="45" x14ac:dyDescent="0.25">
      <c r="B830" s="392" t="s">
        <v>0</v>
      </c>
      <c r="C830" s="393" t="s">
        <v>24673</v>
      </c>
      <c r="D830" s="1465" t="s">
        <v>24681</v>
      </c>
      <c r="E830" s="1465"/>
      <c r="F830" s="1465"/>
      <c r="G830" s="1465"/>
      <c r="H830" s="1466"/>
      <c r="I830" s="441" t="s">
        <v>3686</v>
      </c>
      <c r="J830" s="441" t="s">
        <v>24682</v>
      </c>
      <c r="K830" s="441" t="s">
        <v>24861</v>
      </c>
      <c r="L830" s="441" t="s">
        <v>24862</v>
      </c>
      <c r="M830" s="441" t="s">
        <v>24683</v>
      </c>
      <c r="N830" s="395" t="s">
        <v>24679</v>
      </c>
    </row>
    <row r="831" spans="2:14" ht="15" x14ac:dyDescent="0.25">
      <c r="B831" s="446">
        <v>10139</v>
      </c>
      <c r="C831" s="458" t="s">
        <v>4389</v>
      </c>
      <c r="D831" s="1463" t="s">
        <v>24774</v>
      </c>
      <c r="E831" s="1463"/>
      <c r="F831" s="1463"/>
      <c r="G831" s="1463"/>
      <c r="H831" s="1464"/>
      <c r="I831" s="442" t="s">
        <v>75</v>
      </c>
      <c r="J831" s="406">
        <v>1.5727</v>
      </c>
      <c r="K831" s="427">
        <v>7.43</v>
      </c>
      <c r="L831" s="427">
        <f>K831*(1+J831)</f>
        <v>19.12</v>
      </c>
      <c r="M831" s="447">
        <v>0.5</v>
      </c>
      <c r="N831" s="443">
        <f>L831*M831</f>
        <v>9.56</v>
      </c>
    </row>
    <row r="832" spans="2:14" ht="15" x14ac:dyDescent="0.25">
      <c r="B832" s="446">
        <v>10146</v>
      </c>
      <c r="C832" s="458" t="s">
        <v>4389</v>
      </c>
      <c r="D832" s="1463" t="s">
        <v>24741</v>
      </c>
      <c r="E832" s="1463"/>
      <c r="F832" s="1463"/>
      <c r="G832" s="1463"/>
      <c r="H832" s="1464"/>
      <c r="I832" s="442" t="s">
        <v>75</v>
      </c>
      <c r="J832" s="406">
        <v>1.5727</v>
      </c>
      <c r="K832" s="427">
        <v>5.46</v>
      </c>
      <c r="L832" s="427">
        <f>K832*(1+J832)</f>
        <v>14.05</v>
      </c>
      <c r="M832" s="447">
        <v>0.5</v>
      </c>
      <c r="N832" s="443">
        <f>L832*M832</f>
        <v>7.03</v>
      </c>
    </row>
    <row r="833" spans="2:14" ht="15.75" thickBot="1" x14ac:dyDescent="0.3">
      <c r="B833" s="400"/>
      <c r="C833" s="401"/>
      <c r="D833" s="401"/>
      <c r="E833" s="401"/>
      <c r="F833" s="444"/>
      <c r="G833" s="444"/>
      <c r="H833" s="444"/>
      <c r="I833" s="444"/>
      <c r="J833" s="444"/>
      <c r="K833" s="444"/>
      <c r="L833" s="444"/>
      <c r="M833" s="455" t="s">
        <v>24684</v>
      </c>
      <c r="N833" s="403">
        <f>SUM(N831:N832)</f>
        <v>16.59</v>
      </c>
    </row>
    <row r="834" spans="2:14" ht="15.75" thickBot="1" x14ac:dyDescent="0.3">
      <c r="B834" s="456"/>
      <c r="C834" s="457"/>
      <c r="D834" s="457"/>
      <c r="E834" s="457"/>
      <c r="F834" s="457"/>
      <c r="G834" s="457"/>
      <c r="H834" s="457"/>
      <c r="I834" s="448"/>
      <c r="J834" s="448"/>
      <c r="K834" s="457"/>
      <c r="L834" s="457"/>
      <c r="M834" s="457"/>
      <c r="N834" s="404"/>
    </row>
    <row r="835" spans="2:14" ht="30" x14ac:dyDescent="0.25">
      <c r="B835" s="392" t="s">
        <v>0</v>
      </c>
      <c r="C835" s="393" t="s">
        <v>24673</v>
      </c>
      <c r="D835" s="1465" t="s">
        <v>24685</v>
      </c>
      <c r="E835" s="1465"/>
      <c r="F835" s="1465"/>
      <c r="G835" s="1465"/>
      <c r="H835" s="1466"/>
      <c r="I835" s="441" t="s">
        <v>2858</v>
      </c>
      <c r="J835" s="441" t="s">
        <v>24686</v>
      </c>
      <c r="K835" s="441" t="s">
        <v>24687</v>
      </c>
      <c r="L835" s="441"/>
      <c r="M835" s="441" t="s">
        <v>24688</v>
      </c>
      <c r="N835" s="395" t="s">
        <v>24689</v>
      </c>
    </row>
    <row r="836" spans="2:14" ht="15" x14ac:dyDescent="0.25">
      <c r="B836" s="446"/>
      <c r="C836" s="458"/>
      <c r="D836" s="1463"/>
      <c r="E836" s="1463"/>
      <c r="F836" s="1463"/>
      <c r="G836" s="1463"/>
      <c r="H836" s="1464"/>
      <c r="I836" s="442"/>
      <c r="J836" s="442"/>
      <c r="K836" s="442"/>
      <c r="L836" s="442"/>
      <c r="M836" s="442"/>
      <c r="N836" s="443"/>
    </row>
    <row r="837" spans="2:14" ht="15" x14ac:dyDescent="0.25">
      <c r="B837" s="456"/>
      <c r="C837" s="457"/>
      <c r="D837" s="457"/>
      <c r="E837" s="457"/>
      <c r="F837" s="448"/>
      <c r="G837" s="448"/>
      <c r="H837" s="448"/>
      <c r="I837" s="448"/>
      <c r="J837" s="448"/>
      <c r="K837" s="448"/>
      <c r="L837" s="448"/>
      <c r="M837" s="409" t="s">
        <v>24690</v>
      </c>
      <c r="N837" s="410">
        <f>SUM(N836:N836)</f>
        <v>0</v>
      </c>
    </row>
    <row r="838" spans="2:14" ht="15" x14ac:dyDescent="0.25">
      <c r="B838" s="456"/>
      <c r="C838" s="457"/>
      <c r="D838" s="457"/>
      <c r="E838" s="457"/>
      <c r="F838" s="457"/>
      <c r="G838" s="457"/>
      <c r="H838" s="457"/>
      <c r="I838" s="457"/>
      <c r="J838" s="457"/>
      <c r="K838" s="457"/>
      <c r="L838" s="457"/>
      <c r="M838" s="457"/>
      <c r="N838" s="404"/>
    </row>
    <row r="839" spans="2:14" ht="15" x14ac:dyDescent="0.25">
      <c r="B839" s="456"/>
      <c r="C839" s="457"/>
      <c r="D839" s="457"/>
      <c r="E839" s="457"/>
      <c r="F839" s="448"/>
      <c r="G839" s="448"/>
      <c r="H839" s="448"/>
      <c r="I839" s="449"/>
      <c r="J839" s="449"/>
      <c r="K839" s="449"/>
      <c r="L839" s="449"/>
      <c r="M839" s="409" t="s">
        <v>24691</v>
      </c>
      <c r="N839" s="412">
        <f>N828+N833+N837</f>
        <v>16.59</v>
      </c>
    </row>
    <row r="840" spans="2:14" ht="15" x14ac:dyDescent="0.25">
      <c r="B840" s="456"/>
      <c r="C840" s="457"/>
      <c r="D840" s="457"/>
      <c r="E840" s="457"/>
      <c r="F840" s="448"/>
      <c r="G840" s="448"/>
      <c r="H840" s="448"/>
      <c r="I840" s="448"/>
      <c r="J840" s="450"/>
      <c r="K840" s="450"/>
      <c r="L840" s="450"/>
      <c r="M840" s="414" t="s">
        <v>24692</v>
      </c>
      <c r="N840" s="412">
        <v>1</v>
      </c>
    </row>
    <row r="841" spans="2:14" ht="15.75" thickBot="1" x14ac:dyDescent="0.3">
      <c r="B841" s="400"/>
      <c r="C841" s="401"/>
      <c r="D841" s="401"/>
      <c r="E841" s="401"/>
      <c r="F841" s="444"/>
      <c r="G841" s="444"/>
      <c r="H841" s="444"/>
      <c r="I841" s="444"/>
      <c r="J841" s="444"/>
      <c r="K841" s="444"/>
      <c r="L841" s="444"/>
      <c r="M841" s="455" t="s">
        <v>24693</v>
      </c>
      <c r="N841" s="415">
        <f>TRUNC(N839/N840,2)</f>
        <v>16.59</v>
      </c>
    </row>
    <row r="842" spans="2:14" ht="15.75" thickBot="1" x14ac:dyDescent="0.3">
      <c r="B842" s="456"/>
      <c r="C842" s="457"/>
      <c r="D842" s="457"/>
      <c r="E842" s="457"/>
      <c r="F842" s="457"/>
      <c r="G842" s="457"/>
      <c r="H842" s="457"/>
      <c r="I842" s="457"/>
      <c r="J842" s="457"/>
      <c r="K842" s="457"/>
      <c r="L842" s="457"/>
      <c r="M842" s="457"/>
      <c r="N842" s="404"/>
    </row>
    <row r="843" spans="2:14" ht="30" x14ac:dyDescent="0.25">
      <c r="B843" s="392" t="s">
        <v>0</v>
      </c>
      <c r="C843" s="393" t="s">
        <v>24673</v>
      </c>
      <c r="D843" s="1465" t="s">
        <v>24694</v>
      </c>
      <c r="E843" s="1465"/>
      <c r="F843" s="1465"/>
      <c r="G843" s="1465"/>
      <c r="H843" s="1465"/>
      <c r="I843" s="1466"/>
      <c r="J843" s="441" t="s">
        <v>3686</v>
      </c>
      <c r="K843" s="441" t="s">
        <v>24695</v>
      </c>
      <c r="L843" s="441"/>
      <c r="M843" s="441" t="s">
        <v>24683</v>
      </c>
      <c r="N843" s="395" t="s">
        <v>24689</v>
      </c>
    </row>
    <row r="844" spans="2:14" ht="15" x14ac:dyDescent="0.25">
      <c r="B844" s="446" t="s">
        <v>474</v>
      </c>
      <c r="C844" s="458" t="s">
        <v>4389</v>
      </c>
      <c r="D844" s="1463" t="s">
        <v>24865</v>
      </c>
      <c r="E844" s="1463"/>
      <c r="F844" s="1463"/>
      <c r="G844" s="1463"/>
      <c r="H844" s="1463"/>
      <c r="I844" s="1464"/>
      <c r="J844" s="442" t="s">
        <v>24755</v>
      </c>
      <c r="K844" s="427">
        <v>485.9</v>
      </c>
      <c r="L844" s="427"/>
      <c r="M844" s="447">
        <v>1</v>
      </c>
      <c r="N844" s="443">
        <f>K844*M844</f>
        <v>485.9</v>
      </c>
    </row>
    <row r="845" spans="2:14" ht="15" x14ac:dyDescent="0.25">
      <c r="B845" s="446"/>
      <c r="C845" s="458"/>
      <c r="D845" s="1463"/>
      <c r="E845" s="1463"/>
      <c r="F845" s="1463"/>
      <c r="G845" s="1463"/>
      <c r="H845" s="1463"/>
      <c r="I845" s="1464"/>
      <c r="J845" s="442"/>
      <c r="K845" s="442"/>
      <c r="L845" s="442"/>
      <c r="M845" s="447"/>
      <c r="N845" s="443"/>
    </row>
    <row r="846" spans="2:14" ht="15.75" thickBot="1" x14ac:dyDescent="0.3">
      <c r="B846" s="400"/>
      <c r="C846" s="401"/>
      <c r="D846" s="401"/>
      <c r="E846" s="401"/>
      <c r="F846" s="444"/>
      <c r="G846" s="444"/>
      <c r="H846" s="444"/>
      <c r="I846" s="444"/>
      <c r="J846" s="444"/>
      <c r="K846" s="444"/>
      <c r="L846" s="444"/>
      <c r="M846" s="455" t="s">
        <v>24696</v>
      </c>
      <c r="N846" s="403">
        <f>SUM(N844:N844)</f>
        <v>485.9</v>
      </c>
    </row>
    <row r="847" spans="2:14" ht="15.75" thickBot="1" x14ac:dyDescent="0.3">
      <c r="B847" s="456"/>
      <c r="C847" s="457"/>
      <c r="D847" s="457"/>
      <c r="E847" s="457"/>
      <c r="F847" s="457"/>
      <c r="G847" s="457"/>
      <c r="H847" s="457"/>
      <c r="I847" s="457"/>
      <c r="J847" s="457"/>
      <c r="K847" s="457"/>
      <c r="L847" s="457"/>
      <c r="M847" s="457"/>
      <c r="N847" s="404"/>
    </row>
    <row r="848" spans="2:14" ht="30" x14ac:dyDescent="0.25">
      <c r="B848" s="392" t="s">
        <v>0</v>
      </c>
      <c r="C848" s="441" t="s">
        <v>24673</v>
      </c>
      <c r="D848" s="1465" t="s">
        <v>24697</v>
      </c>
      <c r="E848" s="1465"/>
      <c r="F848" s="1465"/>
      <c r="G848" s="1465"/>
      <c r="H848" s="1465"/>
      <c r="I848" s="1466"/>
      <c r="J848" s="441" t="s">
        <v>3686</v>
      </c>
      <c r="K848" s="441" t="s">
        <v>24695</v>
      </c>
      <c r="L848" s="441"/>
      <c r="M848" s="441" t="s">
        <v>24683</v>
      </c>
      <c r="N848" s="395" t="s">
        <v>24689</v>
      </c>
    </row>
    <row r="849" spans="2:14" ht="15" x14ac:dyDescent="0.25">
      <c r="B849" s="416"/>
      <c r="C849" s="417"/>
      <c r="D849" s="1463"/>
      <c r="E849" s="1463"/>
      <c r="F849" s="1463"/>
      <c r="G849" s="1463"/>
      <c r="H849" s="1463"/>
      <c r="I849" s="1464"/>
      <c r="J849" s="451"/>
      <c r="K849" s="451"/>
      <c r="L849" s="451"/>
      <c r="M849" s="419"/>
      <c r="N849" s="420"/>
    </row>
    <row r="850" spans="2:14" ht="15.75" thickBot="1" x14ac:dyDescent="0.3">
      <c r="B850" s="400"/>
      <c r="C850" s="401"/>
      <c r="D850" s="401"/>
      <c r="E850" s="401"/>
      <c r="F850" s="444"/>
      <c r="G850" s="444"/>
      <c r="H850" s="444"/>
      <c r="I850" s="444"/>
      <c r="J850" s="444"/>
      <c r="K850" s="444"/>
      <c r="L850" s="444"/>
      <c r="M850" s="455" t="s">
        <v>24698</v>
      </c>
      <c r="N850" s="403">
        <f>SUM(N849:N849)</f>
        <v>0</v>
      </c>
    </row>
    <row r="851" spans="2:14" ht="15.75" thickBot="1" x14ac:dyDescent="0.3">
      <c r="B851" s="456"/>
      <c r="C851" s="457"/>
      <c r="D851" s="457"/>
      <c r="E851" s="457"/>
      <c r="F851" s="457"/>
      <c r="G851" s="457"/>
      <c r="H851" s="457"/>
      <c r="I851" s="457"/>
      <c r="J851" s="457"/>
      <c r="K851" s="457"/>
      <c r="L851" s="457"/>
      <c r="M851" s="457"/>
      <c r="N851" s="404"/>
    </row>
    <row r="852" spans="2:14" ht="30" x14ac:dyDescent="0.25">
      <c r="B852" s="392" t="s">
        <v>0</v>
      </c>
      <c r="C852" s="441" t="s">
        <v>24673</v>
      </c>
      <c r="D852" s="1465" t="s">
        <v>24699</v>
      </c>
      <c r="E852" s="1465"/>
      <c r="F852" s="1465"/>
      <c r="G852" s="1466"/>
      <c r="H852" s="441" t="s">
        <v>3686</v>
      </c>
      <c r="I852" s="441" t="s">
        <v>24700</v>
      </c>
      <c r="J852" s="441" t="s">
        <v>24701</v>
      </c>
      <c r="K852" s="441" t="s">
        <v>24695</v>
      </c>
      <c r="L852" s="441"/>
      <c r="M852" s="441" t="s">
        <v>24683</v>
      </c>
      <c r="N852" s="395" t="s">
        <v>24689</v>
      </c>
    </row>
    <row r="853" spans="2:14" ht="15" x14ac:dyDescent="0.25">
      <c r="B853" s="446"/>
      <c r="C853" s="458"/>
      <c r="D853" s="1494"/>
      <c r="E853" s="1494"/>
      <c r="F853" s="1494"/>
      <c r="G853" s="1494"/>
      <c r="H853" s="442"/>
      <c r="I853" s="442"/>
      <c r="J853" s="442"/>
      <c r="K853" s="442"/>
      <c r="L853" s="442"/>
      <c r="M853" s="447"/>
      <c r="N853" s="443"/>
    </row>
    <row r="854" spans="2:14" ht="15" x14ac:dyDescent="0.25">
      <c r="B854" s="456"/>
      <c r="C854" s="457"/>
      <c r="D854" s="457"/>
      <c r="E854" s="457"/>
      <c r="F854" s="448"/>
      <c r="G854" s="448"/>
      <c r="H854" s="448"/>
      <c r="I854" s="448"/>
      <c r="J854" s="448"/>
      <c r="K854" s="448"/>
      <c r="L854" s="448"/>
      <c r="M854" s="409" t="s">
        <v>24702</v>
      </c>
      <c r="N854" s="410">
        <f>SUM(N853:N853)</f>
        <v>0</v>
      </c>
    </row>
    <row r="855" spans="2:14" ht="15" x14ac:dyDescent="0.25">
      <c r="B855" s="456"/>
      <c r="C855" s="457"/>
      <c r="D855" s="457"/>
      <c r="E855" s="457"/>
      <c r="F855" s="457"/>
      <c r="G855" s="457"/>
      <c r="H855" s="457"/>
      <c r="I855" s="457"/>
      <c r="J855" s="457"/>
      <c r="K855" s="457"/>
      <c r="L855" s="457"/>
      <c r="M855" s="457"/>
      <c r="N855" s="404"/>
    </row>
    <row r="856" spans="2:14" ht="15" x14ac:dyDescent="0.25">
      <c r="B856" s="421"/>
      <c r="C856" s="422"/>
      <c r="D856" s="422"/>
      <c r="E856" s="422"/>
      <c r="F856" s="452"/>
      <c r="G856" s="452"/>
      <c r="H856" s="452"/>
      <c r="I856" s="452"/>
      <c r="J856" s="452"/>
      <c r="K856" s="452"/>
      <c r="L856" s="452"/>
      <c r="M856" s="424" t="s">
        <v>24703</v>
      </c>
      <c r="N856" s="412">
        <f>N841+N846+N850+N854</f>
        <v>502.49</v>
      </c>
    </row>
    <row r="857" spans="2:14" ht="15" x14ac:dyDescent="0.25">
      <c r="B857" s="456"/>
      <c r="C857" s="457"/>
      <c r="D857" s="457"/>
      <c r="E857" s="457"/>
      <c r="F857" s="448"/>
      <c r="G857" s="448"/>
      <c r="H857" s="448"/>
      <c r="I857" s="448"/>
      <c r="J857" s="448"/>
      <c r="K857" s="448"/>
      <c r="L857" s="448"/>
      <c r="M857" s="752">
        <f>'Planilha - Orla'!I3</f>
        <v>0.28220000000000001</v>
      </c>
      <c r="N857" s="412">
        <f>N856*M857</f>
        <v>141.80000000000001</v>
      </c>
    </row>
    <row r="858" spans="2:14" ht="15.75" thickBot="1" x14ac:dyDescent="0.3">
      <c r="B858" s="1472" t="s">
        <v>24704</v>
      </c>
      <c r="C858" s="1473"/>
      <c r="D858" s="1473"/>
      <c r="E858" s="1473"/>
      <c r="F858" s="1473"/>
      <c r="G858" s="1473"/>
      <c r="H858" s="1473"/>
      <c r="I858" s="1473"/>
      <c r="J858" s="1473"/>
      <c r="K858" s="1473"/>
      <c r="L858" s="1473"/>
      <c r="M858" s="1474"/>
      <c r="N858" s="415">
        <f>N856+N857</f>
        <v>644.29</v>
      </c>
    </row>
    <row r="862" spans="2:14" ht="15" thickBot="1" x14ac:dyDescent="0.3"/>
    <row r="863" spans="2:14" ht="42.75" customHeight="1" x14ac:dyDescent="0.25">
      <c r="B863" s="1479" t="s">
        <v>24873</v>
      </c>
      <c r="C863" s="1480"/>
      <c r="D863" s="1481"/>
      <c r="E863" s="1498" t="s">
        <v>24669</v>
      </c>
      <c r="F863" s="1499"/>
      <c r="G863" s="1499"/>
      <c r="H863" s="1499"/>
      <c r="I863" s="1499"/>
      <c r="J863" s="1499"/>
      <c r="K863" s="1509"/>
      <c r="L863" s="453"/>
      <c r="M863" s="1483"/>
      <c r="N863" s="1522"/>
    </row>
    <row r="864" spans="2:14" ht="15" x14ac:dyDescent="0.25">
      <c r="B864" s="391" t="s">
        <v>24670</v>
      </c>
      <c r="C864" s="1485" t="s">
        <v>24982</v>
      </c>
      <c r="D864" s="1485"/>
      <c r="E864" s="1485"/>
      <c r="F864" s="1485"/>
      <c r="G864" s="1485"/>
      <c r="H864" s="1485"/>
      <c r="I864" s="1485"/>
      <c r="J864" s="1485"/>
      <c r="K864" s="1485"/>
      <c r="L864" s="1485"/>
      <c r="M864" s="1485"/>
      <c r="N864" s="1486"/>
    </row>
    <row r="865" spans="2:14" ht="15" x14ac:dyDescent="0.25">
      <c r="B865" s="391" t="s">
        <v>24671</v>
      </c>
      <c r="C865" s="1487" t="s">
        <v>8</v>
      </c>
      <c r="D865" s="1487"/>
      <c r="E865" s="1487"/>
      <c r="F865" s="1487"/>
      <c r="G865" s="1487"/>
      <c r="H865" s="1487"/>
      <c r="I865" s="1487"/>
      <c r="J865" s="1487"/>
      <c r="K865" s="1487"/>
      <c r="L865" s="1487"/>
      <c r="M865" s="1487"/>
      <c r="N865" s="1488"/>
    </row>
    <row r="866" spans="2:14" ht="15.75" thickBot="1" x14ac:dyDescent="0.3">
      <c r="B866" s="391" t="s">
        <v>24672</v>
      </c>
      <c r="C866" s="1489">
        <v>44501</v>
      </c>
      <c r="D866" s="1489"/>
      <c r="E866" s="1489"/>
      <c r="F866" s="1489"/>
      <c r="G866" s="1489"/>
      <c r="H866" s="1489"/>
      <c r="I866" s="1489"/>
      <c r="J866" s="1489"/>
      <c r="K866" s="1489"/>
      <c r="L866" s="1489"/>
      <c r="M866" s="1489"/>
      <c r="N866" s="1521"/>
    </row>
    <row r="867" spans="2:14" ht="30" x14ac:dyDescent="0.25">
      <c r="B867" s="392" t="s">
        <v>0</v>
      </c>
      <c r="C867" s="393" t="s">
        <v>24673</v>
      </c>
      <c r="D867" s="1465" t="s">
        <v>24674</v>
      </c>
      <c r="E867" s="1465"/>
      <c r="F867" s="1465"/>
      <c r="G867" s="1466"/>
      <c r="H867" s="441" t="s">
        <v>111</v>
      </c>
      <c r="I867" s="441" t="s">
        <v>24675</v>
      </c>
      <c r="J867" s="441" t="s">
        <v>24676</v>
      </c>
      <c r="K867" s="441" t="s">
        <v>24677</v>
      </c>
      <c r="L867" s="441"/>
      <c r="M867" s="441" t="s">
        <v>24678</v>
      </c>
      <c r="N867" s="395" t="s">
        <v>24679</v>
      </c>
    </row>
    <row r="868" spans="2:14" ht="15" x14ac:dyDescent="0.25">
      <c r="B868" s="446"/>
      <c r="C868" s="397"/>
      <c r="D868" s="1494"/>
      <c r="E868" s="1494"/>
      <c r="F868" s="1494"/>
      <c r="G868" s="1495"/>
      <c r="H868" s="442"/>
      <c r="I868" s="442"/>
      <c r="J868" s="442"/>
      <c r="K868" s="442"/>
      <c r="L868" s="442"/>
      <c r="M868" s="442"/>
      <c r="N868" s="443"/>
    </row>
    <row r="869" spans="2:14" ht="15.75" thickBot="1" x14ac:dyDescent="0.3">
      <c r="B869" s="400"/>
      <c r="C869" s="401"/>
      <c r="D869" s="401"/>
      <c r="E869" s="401"/>
      <c r="F869" s="444"/>
      <c r="G869" s="444"/>
      <c r="H869" s="444"/>
      <c r="I869" s="444"/>
      <c r="J869" s="444"/>
      <c r="K869" s="444"/>
      <c r="L869" s="444"/>
      <c r="M869" s="455" t="s">
        <v>24680</v>
      </c>
      <c r="N869" s="403">
        <f>SUM(N868)</f>
        <v>0</v>
      </c>
    </row>
    <row r="870" spans="2:14" ht="15.75" thickBot="1" x14ac:dyDescent="0.3">
      <c r="B870" s="456"/>
      <c r="C870" s="457"/>
      <c r="D870" s="457"/>
      <c r="E870" s="457"/>
      <c r="F870" s="457"/>
      <c r="G870" s="457"/>
      <c r="H870" s="457"/>
      <c r="I870" s="457"/>
      <c r="J870" s="457"/>
      <c r="K870" s="457"/>
      <c r="L870" s="457"/>
      <c r="M870" s="457"/>
      <c r="N870" s="404"/>
    </row>
    <row r="871" spans="2:14" ht="45" x14ac:dyDescent="0.25">
      <c r="B871" s="392" t="s">
        <v>0</v>
      </c>
      <c r="C871" s="393" t="s">
        <v>24673</v>
      </c>
      <c r="D871" s="1465" t="s">
        <v>24681</v>
      </c>
      <c r="E871" s="1465"/>
      <c r="F871" s="1465"/>
      <c r="G871" s="1465"/>
      <c r="H871" s="1466"/>
      <c r="I871" s="441" t="s">
        <v>3686</v>
      </c>
      <c r="J871" s="441" t="s">
        <v>24682</v>
      </c>
      <c r="K871" s="441" t="s">
        <v>24861</v>
      </c>
      <c r="L871" s="441" t="s">
        <v>24862</v>
      </c>
      <c r="M871" s="441" t="s">
        <v>24683</v>
      </c>
      <c r="N871" s="395" t="s">
        <v>24679</v>
      </c>
    </row>
    <row r="872" spans="2:14" ht="15" x14ac:dyDescent="0.25">
      <c r="B872" s="446">
        <v>10139</v>
      </c>
      <c r="C872" s="458" t="s">
        <v>4389</v>
      </c>
      <c r="D872" s="1463" t="s">
        <v>24774</v>
      </c>
      <c r="E872" s="1463"/>
      <c r="F872" s="1463"/>
      <c r="G872" s="1463"/>
      <c r="H872" s="1464"/>
      <c r="I872" s="442" t="s">
        <v>75</v>
      </c>
      <c r="J872" s="406">
        <v>1.5727</v>
      </c>
      <c r="K872" s="427">
        <v>7.43</v>
      </c>
      <c r="L872" s="427">
        <f>K872*(1+J872)</f>
        <v>19.12</v>
      </c>
      <c r="M872" s="447">
        <v>0.5</v>
      </c>
      <c r="N872" s="443">
        <f>L872*M872</f>
        <v>9.56</v>
      </c>
    </row>
    <row r="873" spans="2:14" ht="15" x14ac:dyDescent="0.25">
      <c r="B873" s="446">
        <v>10146</v>
      </c>
      <c r="C873" s="458" t="s">
        <v>4389</v>
      </c>
      <c r="D873" s="1463" t="s">
        <v>24741</v>
      </c>
      <c r="E873" s="1463"/>
      <c r="F873" s="1463"/>
      <c r="G873" s="1463"/>
      <c r="H873" s="1464"/>
      <c r="I873" s="442" t="s">
        <v>75</v>
      </c>
      <c r="J873" s="406">
        <v>1.5727</v>
      </c>
      <c r="K873" s="427">
        <v>5.46</v>
      </c>
      <c r="L873" s="427">
        <f>K873*(1+J873)</f>
        <v>14.05</v>
      </c>
      <c r="M873" s="447">
        <v>0.5</v>
      </c>
      <c r="N873" s="443">
        <f>L873*M873</f>
        <v>7.03</v>
      </c>
    </row>
    <row r="874" spans="2:14" ht="15.75" thickBot="1" x14ac:dyDescent="0.3">
      <c r="B874" s="400"/>
      <c r="C874" s="401"/>
      <c r="D874" s="401"/>
      <c r="E874" s="401"/>
      <c r="F874" s="444"/>
      <c r="G874" s="444"/>
      <c r="H874" s="444"/>
      <c r="I874" s="444"/>
      <c r="J874" s="444"/>
      <c r="K874" s="444"/>
      <c r="L874" s="444"/>
      <c r="M874" s="455" t="s">
        <v>24684</v>
      </c>
      <c r="N874" s="403">
        <f>SUM(N872:N873)</f>
        <v>16.59</v>
      </c>
    </row>
    <row r="875" spans="2:14" ht="15.75" thickBot="1" x14ac:dyDescent="0.3">
      <c r="B875" s="456"/>
      <c r="C875" s="457"/>
      <c r="D875" s="457"/>
      <c r="E875" s="457"/>
      <c r="F875" s="457"/>
      <c r="G875" s="457"/>
      <c r="H875" s="457"/>
      <c r="I875" s="448"/>
      <c r="J875" s="448"/>
      <c r="K875" s="457"/>
      <c r="L875" s="457"/>
      <c r="M875" s="457"/>
      <c r="N875" s="404"/>
    </row>
    <row r="876" spans="2:14" ht="30" x14ac:dyDescent="0.25">
      <c r="B876" s="392" t="s">
        <v>0</v>
      </c>
      <c r="C876" s="393" t="s">
        <v>24673</v>
      </c>
      <c r="D876" s="1465" t="s">
        <v>24685</v>
      </c>
      <c r="E876" s="1465"/>
      <c r="F876" s="1465"/>
      <c r="G876" s="1465"/>
      <c r="H876" s="1466"/>
      <c r="I876" s="441" t="s">
        <v>2858</v>
      </c>
      <c r="J876" s="441" t="s">
        <v>24686</v>
      </c>
      <c r="K876" s="441" t="s">
        <v>24687</v>
      </c>
      <c r="L876" s="441"/>
      <c r="M876" s="441" t="s">
        <v>24688</v>
      </c>
      <c r="N876" s="395" t="s">
        <v>24689</v>
      </c>
    </row>
    <row r="877" spans="2:14" ht="15" x14ac:dyDescent="0.25">
      <c r="B877" s="446"/>
      <c r="C877" s="458"/>
      <c r="D877" s="1463"/>
      <c r="E877" s="1463"/>
      <c r="F877" s="1463"/>
      <c r="G877" s="1463"/>
      <c r="H877" s="1464"/>
      <c r="I877" s="442"/>
      <c r="J877" s="442"/>
      <c r="K877" s="442"/>
      <c r="L877" s="442"/>
      <c r="M877" s="442"/>
      <c r="N877" s="443"/>
    </row>
    <row r="878" spans="2:14" ht="15" x14ac:dyDescent="0.25">
      <c r="B878" s="456"/>
      <c r="C878" s="457"/>
      <c r="D878" s="457"/>
      <c r="E878" s="457"/>
      <c r="F878" s="448"/>
      <c r="G878" s="448"/>
      <c r="H878" s="448"/>
      <c r="I878" s="448"/>
      <c r="J878" s="448"/>
      <c r="K878" s="448"/>
      <c r="L878" s="448"/>
      <c r="M878" s="409" t="s">
        <v>24690</v>
      </c>
      <c r="N878" s="410">
        <f>SUM(N877:N877)</f>
        <v>0</v>
      </c>
    </row>
    <row r="879" spans="2:14" ht="15" x14ac:dyDescent="0.25">
      <c r="B879" s="456"/>
      <c r="C879" s="457"/>
      <c r="D879" s="457"/>
      <c r="E879" s="457"/>
      <c r="F879" s="457"/>
      <c r="G879" s="457"/>
      <c r="H879" s="457"/>
      <c r="I879" s="457"/>
      <c r="J879" s="457"/>
      <c r="K879" s="457"/>
      <c r="L879" s="457"/>
      <c r="M879" s="457"/>
      <c r="N879" s="404"/>
    </row>
    <row r="880" spans="2:14" ht="15" x14ac:dyDescent="0.25">
      <c r="B880" s="456"/>
      <c r="C880" s="457"/>
      <c r="D880" s="457"/>
      <c r="E880" s="457"/>
      <c r="F880" s="448"/>
      <c r="G880" s="448"/>
      <c r="H880" s="448"/>
      <c r="I880" s="449"/>
      <c r="J880" s="449"/>
      <c r="K880" s="449"/>
      <c r="L880" s="449"/>
      <c r="M880" s="409" t="s">
        <v>24691</v>
      </c>
      <c r="N880" s="412">
        <f>N869+N874+N878</f>
        <v>16.59</v>
      </c>
    </row>
    <row r="881" spans="2:14" ht="15" x14ac:dyDescent="0.25">
      <c r="B881" s="456"/>
      <c r="C881" s="457"/>
      <c r="D881" s="457"/>
      <c r="E881" s="457"/>
      <c r="F881" s="448"/>
      <c r="G881" s="448"/>
      <c r="H881" s="448"/>
      <c r="I881" s="448"/>
      <c r="J881" s="450"/>
      <c r="K881" s="450"/>
      <c r="L881" s="450"/>
      <c r="M881" s="414" t="s">
        <v>24692</v>
      </c>
      <c r="N881" s="412">
        <v>1</v>
      </c>
    </row>
    <row r="882" spans="2:14" ht="15.75" thickBot="1" x14ac:dyDescent="0.3">
      <c r="B882" s="400"/>
      <c r="C882" s="401"/>
      <c r="D882" s="401"/>
      <c r="E882" s="401"/>
      <c r="F882" s="444"/>
      <c r="G882" s="444"/>
      <c r="H882" s="444"/>
      <c r="I882" s="444"/>
      <c r="J882" s="444"/>
      <c r="K882" s="444"/>
      <c r="L882" s="444"/>
      <c r="M882" s="455" t="s">
        <v>24693</v>
      </c>
      <c r="N882" s="415">
        <f>TRUNC(N880/N881,2)</f>
        <v>16.59</v>
      </c>
    </row>
    <row r="883" spans="2:14" ht="15.75" thickBot="1" x14ac:dyDescent="0.3">
      <c r="B883" s="456"/>
      <c r="C883" s="457"/>
      <c r="D883" s="457"/>
      <c r="E883" s="457"/>
      <c r="F883" s="457"/>
      <c r="G883" s="457"/>
      <c r="H883" s="457"/>
      <c r="I883" s="457"/>
      <c r="J883" s="457"/>
      <c r="K883" s="457"/>
      <c r="L883" s="457"/>
      <c r="M883" s="457"/>
      <c r="N883" s="404"/>
    </row>
    <row r="884" spans="2:14" ht="30" x14ac:dyDescent="0.25">
      <c r="B884" s="392" t="s">
        <v>0</v>
      </c>
      <c r="C884" s="393" t="s">
        <v>24673</v>
      </c>
      <c r="D884" s="1465" t="s">
        <v>24694</v>
      </c>
      <c r="E884" s="1465"/>
      <c r="F884" s="1465"/>
      <c r="G884" s="1465"/>
      <c r="H884" s="1465"/>
      <c r="I884" s="1466"/>
      <c r="J884" s="441" t="s">
        <v>3686</v>
      </c>
      <c r="K884" s="441" t="s">
        <v>24695</v>
      </c>
      <c r="L884" s="441"/>
      <c r="M884" s="441" t="s">
        <v>24683</v>
      </c>
      <c r="N884" s="395" t="s">
        <v>24689</v>
      </c>
    </row>
    <row r="885" spans="2:14" ht="30" x14ac:dyDescent="0.25">
      <c r="B885" s="446" t="s">
        <v>24795</v>
      </c>
      <c r="C885" s="458" t="s">
        <v>24983</v>
      </c>
      <c r="D885" s="1463" t="s">
        <v>24982</v>
      </c>
      <c r="E885" s="1463"/>
      <c r="F885" s="1463"/>
      <c r="G885" s="1463"/>
      <c r="H885" s="1463"/>
      <c r="I885" s="1464"/>
      <c r="J885" s="442" t="s">
        <v>24755</v>
      </c>
      <c r="K885" s="427">
        <f>'MAPA DE COT. - Orla'!H103</f>
        <v>1175</v>
      </c>
      <c r="L885" s="427"/>
      <c r="M885" s="447">
        <v>1</v>
      </c>
      <c r="N885" s="443">
        <f>K885*M885</f>
        <v>1175</v>
      </c>
    </row>
    <row r="886" spans="2:14" ht="15" x14ac:dyDescent="0.25">
      <c r="B886" s="446"/>
      <c r="C886" s="458"/>
      <c r="D886" s="1463"/>
      <c r="E886" s="1463"/>
      <c r="F886" s="1463"/>
      <c r="G886" s="1463"/>
      <c r="H886" s="1463"/>
      <c r="I886" s="1464"/>
      <c r="J886" s="442"/>
      <c r="K886" s="442"/>
      <c r="L886" s="442"/>
      <c r="M886" s="447"/>
      <c r="N886" s="443"/>
    </row>
    <row r="887" spans="2:14" ht="15.75" thickBot="1" x14ac:dyDescent="0.3">
      <c r="B887" s="400"/>
      <c r="C887" s="401"/>
      <c r="D887" s="401"/>
      <c r="E887" s="401"/>
      <c r="F887" s="444"/>
      <c r="G887" s="444"/>
      <c r="H887" s="444"/>
      <c r="I887" s="444"/>
      <c r="J887" s="444"/>
      <c r="K887" s="444"/>
      <c r="L887" s="444"/>
      <c r="M887" s="455" t="s">
        <v>24696</v>
      </c>
      <c r="N887" s="403">
        <f>SUM(N885:N885)</f>
        <v>1175</v>
      </c>
    </row>
    <row r="888" spans="2:14" ht="15.75" thickBot="1" x14ac:dyDescent="0.3">
      <c r="B888" s="456"/>
      <c r="C888" s="457"/>
      <c r="D888" s="457"/>
      <c r="E888" s="457"/>
      <c r="F888" s="457"/>
      <c r="G888" s="457"/>
      <c r="H888" s="457"/>
      <c r="I888" s="457"/>
      <c r="J888" s="457"/>
      <c r="K888" s="457"/>
      <c r="L888" s="457"/>
      <c r="M888" s="457"/>
      <c r="N888" s="404"/>
    </row>
    <row r="889" spans="2:14" ht="30" x14ac:dyDescent="0.25">
      <c r="B889" s="392" t="s">
        <v>0</v>
      </c>
      <c r="C889" s="441" t="s">
        <v>24673</v>
      </c>
      <c r="D889" s="1523" t="s">
        <v>24697</v>
      </c>
      <c r="E889" s="1465"/>
      <c r="F889" s="1465"/>
      <c r="G889" s="1465"/>
      <c r="H889" s="1465"/>
      <c r="I889" s="1466"/>
      <c r="J889" s="441" t="s">
        <v>3686</v>
      </c>
      <c r="K889" s="441" t="s">
        <v>24695</v>
      </c>
      <c r="L889" s="441"/>
      <c r="M889" s="441" t="s">
        <v>24683</v>
      </c>
      <c r="N889" s="395" t="s">
        <v>24689</v>
      </c>
    </row>
    <row r="890" spans="2:14" ht="15" x14ac:dyDescent="0.25">
      <c r="B890" s="416"/>
      <c r="C890" s="417"/>
      <c r="D890" s="1469"/>
      <c r="E890" s="1463"/>
      <c r="F890" s="1463"/>
      <c r="G890" s="1463"/>
      <c r="H890" s="1463"/>
      <c r="I890" s="1464"/>
      <c r="J890" s="451"/>
      <c r="K890" s="451"/>
      <c r="L890" s="451"/>
      <c r="M890" s="419"/>
      <c r="N890" s="420"/>
    </row>
    <row r="891" spans="2:14" ht="15.75" thickBot="1" x14ac:dyDescent="0.3">
      <c r="B891" s="400"/>
      <c r="C891" s="401"/>
      <c r="D891" s="401"/>
      <c r="E891" s="401"/>
      <c r="F891" s="444"/>
      <c r="G891" s="444"/>
      <c r="H891" s="444"/>
      <c r="I891" s="444"/>
      <c r="J891" s="444"/>
      <c r="K891" s="444"/>
      <c r="L891" s="444"/>
      <c r="M891" s="455" t="s">
        <v>24698</v>
      </c>
      <c r="N891" s="403">
        <f>SUM(N890:N890)</f>
        <v>0</v>
      </c>
    </row>
    <row r="892" spans="2:14" ht="15.75" thickBot="1" x14ac:dyDescent="0.3">
      <c r="B892" s="456"/>
      <c r="C892" s="457"/>
      <c r="D892" s="457"/>
      <c r="E892" s="457"/>
      <c r="F892" s="457"/>
      <c r="G892" s="457"/>
      <c r="H892" s="457"/>
      <c r="I892" s="457"/>
      <c r="J892" s="457"/>
      <c r="K892" s="457"/>
      <c r="L892" s="457"/>
      <c r="M892" s="457"/>
      <c r="N892" s="404"/>
    </row>
    <row r="893" spans="2:14" ht="30" x14ac:dyDescent="0.25">
      <c r="B893" s="392" t="s">
        <v>0</v>
      </c>
      <c r="C893" s="441" t="s">
        <v>24673</v>
      </c>
      <c r="D893" s="1523" t="s">
        <v>24699</v>
      </c>
      <c r="E893" s="1465"/>
      <c r="F893" s="1465"/>
      <c r="G893" s="1466"/>
      <c r="H893" s="441" t="s">
        <v>3686</v>
      </c>
      <c r="I893" s="441" t="s">
        <v>24700</v>
      </c>
      <c r="J893" s="441" t="s">
        <v>24701</v>
      </c>
      <c r="K893" s="441" t="s">
        <v>24695</v>
      </c>
      <c r="L893" s="441"/>
      <c r="M893" s="441" t="s">
        <v>24683</v>
      </c>
      <c r="N893" s="395" t="s">
        <v>24689</v>
      </c>
    </row>
    <row r="894" spans="2:14" ht="15" x14ac:dyDescent="0.25">
      <c r="B894" s="446"/>
      <c r="C894" s="458"/>
      <c r="D894" s="1494"/>
      <c r="E894" s="1494"/>
      <c r="F894" s="1494"/>
      <c r="G894" s="1495"/>
      <c r="H894" s="442"/>
      <c r="I894" s="442"/>
      <c r="J894" s="442"/>
      <c r="K894" s="442"/>
      <c r="L894" s="442"/>
      <c r="M894" s="447"/>
      <c r="N894" s="443"/>
    </row>
    <row r="895" spans="2:14" ht="15" x14ac:dyDescent="0.25">
      <c r="B895" s="456"/>
      <c r="C895" s="457"/>
      <c r="D895" s="457"/>
      <c r="E895" s="457"/>
      <c r="F895" s="448"/>
      <c r="G895" s="448"/>
      <c r="H895" s="448"/>
      <c r="I895" s="448"/>
      <c r="J895" s="448"/>
      <c r="K895" s="448"/>
      <c r="L895" s="448"/>
      <c r="M895" s="409" t="s">
        <v>24702</v>
      </c>
      <c r="N895" s="410">
        <f>SUM(N894:N894)</f>
        <v>0</v>
      </c>
    </row>
    <row r="896" spans="2:14" ht="15" x14ac:dyDescent="0.25">
      <c r="B896" s="456"/>
      <c r="C896" s="457"/>
      <c r="D896" s="457"/>
      <c r="E896" s="457"/>
      <c r="F896" s="457"/>
      <c r="G896" s="457"/>
      <c r="H896" s="457"/>
      <c r="I896" s="457"/>
      <c r="J896" s="457"/>
      <c r="K896" s="457"/>
      <c r="L896" s="457"/>
      <c r="M896" s="457"/>
      <c r="N896" s="404"/>
    </row>
    <row r="897" spans="2:14" ht="15" x14ac:dyDescent="0.25">
      <c r="B897" s="421"/>
      <c r="C897" s="422"/>
      <c r="D897" s="422"/>
      <c r="E897" s="422"/>
      <c r="F897" s="452"/>
      <c r="G897" s="452"/>
      <c r="H897" s="452"/>
      <c r="I897" s="452"/>
      <c r="J897" s="452"/>
      <c r="K897" s="452"/>
      <c r="L897" s="452"/>
      <c r="M897" s="424" t="s">
        <v>24703</v>
      </c>
      <c r="N897" s="412">
        <f>N882+N887+N891+N895</f>
        <v>1191.5899999999999</v>
      </c>
    </row>
    <row r="898" spans="2:14" ht="15" x14ac:dyDescent="0.25">
      <c r="B898" s="456"/>
      <c r="C898" s="457"/>
      <c r="D898" s="457"/>
      <c r="E898" s="457"/>
      <c r="F898" s="448"/>
      <c r="G898" s="448"/>
      <c r="H898" s="448"/>
      <c r="I898" s="448"/>
      <c r="J898" s="448"/>
      <c r="K898" s="448"/>
      <c r="L898" s="448"/>
      <c r="M898" s="752">
        <f>'Planilha - Orla'!I3</f>
        <v>0.28220000000000001</v>
      </c>
      <c r="N898" s="412">
        <f>N897*M898</f>
        <v>336.27</v>
      </c>
    </row>
    <row r="899" spans="2:14" ht="15.75" thickBot="1" x14ac:dyDescent="0.3">
      <c r="B899" s="1472" t="s">
        <v>24704</v>
      </c>
      <c r="C899" s="1473"/>
      <c r="D899" s="1473"/>
      <c r="E899" s="1473"/>
      <c r="F899" s="1473"/>
      <c r="G899" s="1473"/>
      <c r="H899" s="1473"/>
      <c r="I899" s="1473"/>
      <c r="J899" s="1473"/>
      <c r="K899" s="1473"/>
      <c r="L899" s="1473"/>
      <c r="M899" s="1474"/>
      <c r="N899" s="415">
        <f>N897+N898</f>
        <v>1527.86</v>
      </c>
    </row>
    <row r="901" spans="2:14" ht="15" thickBot="1" x14ac:dyDescent="0.3"/>
    <row r="902" spans="2:14" ht="42.75" customHeight="1" x14ac:dyDescent="0.25">
      <c r="B902" s="1479" t="s">
        <v>24874</v>
      </c>
      <c r="C902" s="1480"/>
      <c r="D902" s="1481"/>
      <c r="E902" s="1498" t="s">
        <v>24669</v>
      </c>
      <c r="F902" s="1499"/>
      <c r="G902" s="1499"/>
      <c r="H902" s="1499"/>
      <c r="I902" s="1499"/>
      <c r="J902" s="1499"/>
      <c r="K902" s="1509"/>
      <c r="L902" s="453"/>
      <c r="M902" s="1483"/>
      <c r="N902" s="1522"/>
    </row>
    <row r="903" spans="2:14" ht="30.75" customHeight="1" x14ac:dyDescent="0.25">
      <c r="B903" s="391" t="s">
        <v>24670</v>
      </c>
      <c r="C903" s="1485" t="s">
        <v>25052</v>
      </c>
      <c r="D903" s="1485"/>
      <c r="E903" s="1485"/>
      <c r="F903" s="1485"/>
      <c r="G903" s="1485"/>
      <c r="H903" s="1485"/>
      <c r="I903" s="1485"/>
      <c r="J903" s="1485"/>
      <c r="K903" s="1485"/>
      <c r="L903" s="1485"/>
      <c r="M903" s="1485"/>
      <c r="N903" s="1486"/>
    </row>
    <row r="904" spans="2:14" ht="15" x14ac:dyDescent="0.25">
      <c r="B904" s="391" t="s">
        <v>24671</v>
      </c>
      <c r="C904" s="1487" t="s">
        <v>8</v>
      </c>
      <c r="D904" s="1487"/>
      <c r="E904" s="1487"/>
      <c r="F904" s="1487"/>
      <c r="G904" s="1487"/>
      <c r="H904" s="1487"/>
      <c r="I904" s="1487"/>
      <c r="J904" s="1487"/>
      <c r="K904" s="1487"/>
      <c r="L904" s="1487"/>
      <c r="M904" s="1487"/>
      <c r="N904" s="1488"/>
    </row>
    <row r="905" spans="2:14" ht="15.75" thickBot="1" x14ac:dyDescent="0.3">
      <c r="B905" s="391" t="s">
        <v>24672</v>
      </c>
      <c r="C905" s="1489">
        <v>44501</v>
      </c>
      <c r="D905" s="1489"/>
      <c r="E905" s="1489"/>
      <c r="F905" s="1489"/>
      <c r="G905" s="1489"/>
      <c r="H905" s="1489"/>
      <c r="I905" s="1489"/>
      <c r="J905" s="1489"/>
      <c r="K905" s="1489"/>
      <c r="L905" s="1489"/>
      <c r="M905" s="1489"/>
      <c r="N905" s="1521"/>
    </row>
    <row r="906" spans="2:14" ht="30" x14ac:dyDescent="0.25">
      <c r="B906" s="392" t="s">
        <v>0</v>
      </c>
      <c r="C906" s="393" t="s">
        <v>24673</v>
      </c>
      <c r="D906" s="1465" t="s">
        <v>24674</v>
      </c>
      <c r="E906" s="1465"/>
      <c r="F906" s="1465"/>
      <c r="G906" s="1466"/>
      <c r="H906" s="441" t="s">
        <v>111</v>
      </c>
      <c r="I906" s="441" t="s">
        <v>24675</v>
      </c>
      <c r="J906" s="441" t="s">
        <v>24676</v>
      </c>
      <c r="K906" s="1467" t="s">
        <v>24677</v>
      </c>
      <c r="L906" s="1468"/>
      <c r="M906" s="441" t="s">
        <v>24678</v>
      </c>
      <c r="N906" s="395" t="s">
        <v>24679</v>
      </c>
    </row>
    <row r="907" spans="2:14" ht="15" x14ac:dyDescent="0.25">
      <c r="B907" s="446">
        <v>80178</v>
      </c>
      <c r="C907" s="458" t="s">
        <v>4389</v>
      </c>
      <c r="D907" s="1463" t="s">
        <v>24899</v>
      </c>
      <c r="E907" s="1463"/>
      <c r="F907" s="1463"/>
      <c r="G907" s="1464"/>
      <c r="H907" s="447"/>
      <c r="I907" s="447">
        <v>0.1</v>
      </c>
      <c r="J907" s="442"/>
      <c r="K907" s="1461">
        <v>129.35</v>
      </c>
      <c r="L907" s="1462"/>
      <c r="M907" s="427"/>
      <c r="N907" s="443">
        <f>I907*K907</f>
        <v>12.94</v>
      </c>
    </row>
    <row r="908" spans="2:14" ht="15" x14ac:dyDescent="0.25">
      <c r="B908" s="446"/>
      <c r="C908" s="397"/>
      <c r="D908" s="1494"/>
      <c r="E908" s="1494"/>
      <c r="F908" s="1494"/>
      <c r="G908" s="1495"/>
      <c r="H908" s="442"/>
      <c r="I908" s="442"/>
      <c r="J908" s="442"/>
      <c r="K908" s="442"/>
      <c r="L908" s="442"/>
      <c r="M908" s="442"/>
      <c r="N908" s="443"/>
    </row>
    <row r="909" spans="2:14" ht="15.75" thickBot="1" x14ac:dyDescent="0.3">
      <c r="B909" s="400"/>
      <c r="C909" s="401"/>
      <c r="D909" s="401"/>
      <c r="E909" s="401"/>
      <c r="F909" s="444"/>
      <c r="G909" s="444"/>
      <c r="H909" s="444"/>
      <c r="I909" s="444"/>
      <c r="J909" s="444"/>
      <c r="K909" s="444"/>
      <c r="L909" s="444"/>
      <c r="M909" s="455" t="s">
        <v>24680</v>
      </c>
      <c r="N909" s="403">
        <f>SUM(N907:N908)</f>
        <v>12.94</v>
      </c>
    </row>
    <row r="910" spans="2:14" ht="15.75" thickBot="1" x14ac:dyDescent="0.3">
      <c r="B910" s="456"/>
      <c r="C910" s="457"/>
      <c r="D910" s="457"/>
      <c r="E910" s="457"/>
      <c r="F910" s="457"/>
      <c r="G910" s="457"/>
      <c r="H910" s="457"/>
      <c r="I910" s="457"/>
      <c r="J910" s="457"/>
      <c r="K910" s="457"/>
      <c r="L910" s="457"/>
      <c r="M910" s="457"/>
      <c r="N910" s="404"/>
    </row>
    <row r="911" spans="2:14" ht="45" x14ac:dyDescent="0.25">
      <c r="B911" s="392" t="s">
        <v>0</v>
      </c>
      <c r="C911" s="393" t="s">
        <v>24673</v>
      </c>
      <c r="D911" s="1465" t="s">
        <v>24681</v>
      </c>
      <c r="E911" s="1465"/>
      <c r="F911" s="1465"/>
      <c r="G911" s="1465"/>
      <c r="H911" s="1466"/>
      <c r="I911" s="441" t="s">
        <v>3686</v>
      </c>
      <c r="J911" s="441" t="s">
        <v>24682</v>
      </c>
      <c r="K911" s="441" t="s">
        <v>24861</v>
      </c>
      <c r="L911" s="441" t="s">
        <v>24862</v>
      </c>
      <c r="M911" s="441" t="s">
        <v>24683</v>
      </c>
      <c r="N911" s="395" t="s">
        <v>24679</v>
      </c>
    </row>
    <row r="912" spans="2:14" ht="15" x14ac:dyDescent="0.25">
      <c r="B912" s="446">
        <v>10101</v>
      </c>
      <c r="C912" s="458" t="s">
        <v>4389</v>
      </c>
      <c r="D912" s="1463" t="s">
        <v>24788</v>
      </c>
      <c r="E912" s="1463"/>
      <c r="F912" s="1463"/>
      <c r="G912" s="1463"/>
      <c r="H912" s="1464"/>
      <c r="I912" s="442" t="s">
        <v>75</v>
      </c>
      <c r="J912" s="406">
        <v>1.5727</v>
      </c>
      <c r="K912" s="427">
        <v>6.27</v>
      </c>
      <c r="L912" s="427">
        <f>K912*(1+J912)</f>
        <v>16.13</v>
      </c>
      <c r="M912" s="447">
        <v>0.5</v>
      </c>
      <c r="N912" s="443">
        <f>L912*M912</f>
        <v>8.07</v>
      </c>
    </row>
    <row r="913" spans="2:14" ht="15" x14ac:dyDescent="0.25">
      <c r="B913" s="446">
        <v>10146</v>
      </c>
      <c r="C913" s="458" t="s">
        <v>4389</v>
      </c>
      <c r="D913" s="1463" t="s">
        <v>24741</v>
      </c>
      <c r="E913" s="1463"/>
      <c r="F913" s="1463"/>
      <c r="G913" s="1463"/>
      <c r="H913" s="1464"/>
      <c r="I913" s="442" t="s">
        <v>75</v>
      </c>
      <c r="J913" s="406">
        <v>1.5727</v>
      </c>
      <c r="K913" s="427">
        <v>5.46</v>
      </c>
      <c r="L913" s="427">
        <f>K913*(1+J913)</f>
        <v>14.05</v>
      </c>
      <c r="M913" s="447">
        <v>1</v>
      </c>
      <c r="N913" s="443">
        <f>L913*M913</f>
        <v>14.05</v>
      </c>
    </row>
    <row r="914" spans="2:14" ht="15.75" thickBot="1" x14ac:dyDescent="0.3">
      <c r="B914" s="400"/>
      <c r="C914" s="401"/>
      <c r="D914" s="401"/>
      <c r="E914" s="401"/>
      <c r="F914" s="444"/>
      <c r="G914" s="444"/>
      <c r="H914" s="444"/>
      <c r="I914" s="444"/>
      <c r="J914" s="444"/>
      <c r="K914" s="444"/>
      <c r="L914" s="444"/>
      <c r="M914" s="455" t="s">
        <v>24684</v>
      </c>
      <c r="N914" s="403">
        <f>SUM(N912:N913)</f>
        <v>22.12</v>
      </c>
    </row>
    <row r="915" spans="2:14" ht="15.75" thickBot="1" x14ac:dyDescent="0.3">
      <c r="B915" s="456"/>
      <c r="C915" s="457"/>
      <c r="D915" s="457"/>
      <c r="E915" s="457"/>
      <c r="F915" s="457"/>
      <c r="G915" s="457"/>
      <c r="H915" s="457"/>
      <c r="I915" s="448"/>
      <c r="J915" s="448"/>
      <c r="K915" s="457"/>
      <c r="L915" s="457"/>
      <c r="M915" s="457"/>
      <c r="N915" s="404"/>
    </row>
    <row r="916" spans="2:14" ht="30" x14ac:dyDescent="0.25">
      <c r="B916" s="392" t="s">
        <v>0</v>
      </c>
      <c r="C916" s="393" t="s">
        <v>24673</v>
      </c>
      <c r="D916" s="1465" t="s">
        <v>24685</v>
      </c>
      <c r="E916" s="1465"/>
      <c r="F916" s="1465"/>
      <c r="G916" s="1465"/>
      <c r="H916" s="1466"/>
      <c r="I916" s="441" t="s">
        <v>2858</v>
      </c>
      <c r="J916" s="441" t="s">
        <v>24686</v>
      </c>
      <c r="K916" s="441" t="s">
        <v>24687</v>
      </c>
      <c r="L916" s="441"/>
      <c r="M916" s="441" t="s">
        <v>24688</v>
      </c>
      <c r="N916" s="395" t="s">
        <v>24689</v>
      </c>
    </row>
    <row r="917" spans="2:14" ht="15" x14ac:dyDescent="0.25">
      <c r="B917" s="446"/>
      <c r="C917" s="458"/>
      <c r="D917" s="1463"/>
      <c r="E917" s="1463"/>
      <c r="F917" s="1463"/>
      <c r="G917" s="1463"/>
      <c r="H917" s="1464"/>
      <c r="I917" s="442"/>
      <c r="J917" s="442"/>
      <c r="K917" s="442"/>
      <c r="L917" s="442"/>
      <c r="M917" s="442"/>
      <c r="N917" s="443"/>
    </row>
    <row r="918" spans="2:14" ht="15" x14ac:dyDescent="0.25">
      <c r="B918" s="456"/>
      <c r="C918" s="457"/>
      <c r="D918" s="457"/>
      <c r="E918" s="457"/>
      <c r="F918" s="448"/>
      <c r="G918" s="448"/>
      <c r="H918" s="448"/>
      <c r="I918" s="448"/>
      <c r="J918" s="448"/>
      <c r="K918" s="448"/>
      <c r="L918" s="448"/>
      <c r="M918" s="409" t="s">
        <v>24690</v>
      </c>
      <c r="N918" s="410">
        <f>SUM(N917:N917)</f>
        <v>0</v>
      </c>
    </row>
    <row r="919" spans="2:14" ht="15" x14ac:dyDescent="0.25">
      <c r="B919" s="456"/>
      <c r="C919" s="457"/>
      <c r="D919" s="457"/>
      <c r="E919" s="457"/>
      <c r="F919" s="457"/>
      <c r="G919" s="457"/>
      <c r="H919" s="457"/>
      <c r="I919" s="457"/>
      <c r="J919" s="457"/>
      <c r="K919" s="457"/>
      <c r="L919" s="457"/>
      <c r="M919" s="457"/>
      <c r="N919" s="404"/>
    </row>
    <row r="920" spans="2:14" ht="15" x14ac:dyDescent="0.25">
      <c r="B920" s="456"/>
      <c r="C920" s="457"/>
      <c r="D920" s="457"/>
      <c r="E920" s="457"/>
      <c r="F920" s="448"/>
      <c r="G920" s="448"/>
      <c r="H920" s="448"/>
      <c r="I920" s="449"/>
      <c r="J920" s="449"/>
      <c r="K920" s="449"/>
      <c r="L920" s="449"/>
      <c r="M920" s="409" t="s">
        <v>24691</v>
      </c>
      <c r="N920" s="412">
        <f>N909+N914+N918</f>
        <v>35.06</v>
      </c>
    </row>
    <row r="921" spans="2:14" ht="15" x14ac:dyDescent="0.25">
      <c r="B921" s="456"/>
      <c r="C921" s="457"/>
      <c r="D921" s="457"/>
      <c r="E921" s="457"/>
      <c r="F921" s="448"/>
      <c r="G921" s="448"/>
      <c r="H921" s="448"/>
      <c r="I921" s="448"/>
      <c r="J921" s="450"/>
      <c r="K921" s="450"/>
      <c r="L921" s="450"/>
      <c r="M921" s="414" t="s">
        <v>24692</v>
      </c>
      <c r="N921" s="412">
        <v>1</v>
      </c>
    </row>
    <row r="922" spans="2:14" ht="15.75" thickBot="1" x14ac:dyDescent="0.3">
      <c r="B922" s="400"/>
      <c r="C922" s="401"/>
      <c r="D922" s="401"/>
      <c r="E922" s="401"/>
      <c r="F922" s="444"/>
      <c r="G922" s="444"/>
      <c r="H922" s="444"/>
      <c r="I922" s="444"/>
      <c r="J922" s="444"/>
      <c r="K922" s="444"/>
      <c r="L922" s="444"/>
      <c r="M922" s="455" t="s">
        <v>24693</v>
      </c>
      <c r="N922" s="415">
        <f>TRUNC(N920/N921,2)</f>
        <v>35.06</v>
      </c>
    </row>
    <row r="923" spans="2:14" ht="15.75" thickBot="1" x14ac:dyDescent="0.3">
      <c r="B923" s="456"/>
      <c r="C923" s="457"/>
      <c r="D923" s="457"/>
      <c r="E923" s="457"/>
      <c r="F923" s="457"/>
      <c r="G923" s="457"/>
      <c r="H923" s="457"/>
      <c r="I923" s="457"/>
      <c r="J923" s="457"/>
      <c r="K923" s="457"/>
      <c r="L923" s="457"/>
      <c r="M923" s="457"/>
      <c r="N923" s="404"/>
    </row>
    <row r="924" spans="2:14" ht="30" x14ac:dyDescent="0.25">
      <c r="B924" s="392" t="s">
        <v>0</v>
      </c>
      <c r="C924" s="393" t="s">
        <v>24673</v>
      </c>
      <c r="D924" s="1465" t="s">
        <v>24694</v>
      </c>
      <c r="E924" s="1465"/>
      <c r="F924" s="1465"/>
      <c r="G924" s="1465"/>
      <c r="H924" s="1465"/>
      <c r="I924" s="1466"/>
      <c r="J924" s="441" t="s">
        <v>3686</v>
      </c>
      <c r="K924" s="441" t="s">
        <v>24695</v>
      </c>
      <c r="L924" s="441"/>
      <c r="M924" s="441" t="s">
        <v>24683</v>
      </c>
      <c r="N924" s="395" t="s">
        <v>24689</v>
      </c>
    </row>
    <row r="925" spans="2:14" ht="31.5" customHeight="1" x14ac:dyDescent="0.25">
      <c r="B925" s="446">
        <v>359</v>
      </c>
      <c r="C925" s="458" t="s">
        <v>4389</v>
      </c>
      <c r="D925" s="1463" t="s">
        <v>24900</v>
      </c>
      <c r="E925" s="1463"/>
      <c r="F925" s="1463"/>
      <c r="G925" s="1463"/>
      <c r="H925" s="1463"/>
      <c r="I925" s="1464"/>
      <c r="J925" s="442" t="s">
        <v>24755</v>
      </c>
      <c r="K925" s="427">
        <v>93.9</v>
      </c>
      <c r="L925" s="427"/>
      <c r="M925" s="447">
        <v>1</v>
      </c>
      <c r="N925" s="443">
        <f>K925*M925</f>
        <v>93.9</v>
      </c>
    </row>
    <row r="926" spans="2:14" ht="15" x14ac:dyDescent="0.25">
      <c r="B926" s="446">
        <v>38511</v>
      </c>
      <c r="C926" s="836" t="s">
        <v>4389</v>
      </c>
      <c r="D926" s="1463" t="s">
        <v>24901</v>
      </c>
      <c r="E926" s="1463"/>
      <c r="F926" s="1463"/>
      <c r="G926" s="1463"/>
      <c r="H926" s="1463"/>
      <c r="I926" s="1464"/>
      <c r="J926" s="442" t="s">
        <v>6</v>
      </c>
      <c r="K926" s="427">
        <v>149.63</v>
      </c>
      <c r="L926" s="427"/>
      <c r="M926" s="447">
        <v>0.05</v>
      </c>
      <c r="N926" s="443">
        <f>K926*M926</f>
        <v>7.48</v>
      </c>
    </row>
    <row r="927" spans="2:14" ht="15" x14ac:dyDescent="0.25">
      <c r="B927" s="446"/>
      <c r="C927" s="836"/>
      <c r="D927" s="1463"/>
      <c r="E927" s="1463"/>
      <c r="F927" s="1463"/>
      <c r="G927" s="1463"/>
      <c r="H927" s="1463"/>
      <c r="I927" s="1464"/>
      <c r="J927" s="442"/>
      <c r="K927" s="442"/>
      <c r="L927" s="442"/>
      <c r="M927" s="447"/>
      <c r="N927" s="443"/>
    </row>
    <row r="928" spans="2:14" ht="15.75" thickBot="1" x14ac:dyDescent="0.3">
      <c r="B928" s="400"/>
      <c r="C928" s="401"/>
      <c r="D928" s="401"/>
      <c r="E928" s="401"/>
      <c r="F928" s="444"/>
      <c r="G928" s="444"/>
      <c r="H928" s="444"/>
      <c r="I928" s="444"/>
      <c r="J928" s="444"/>
      <c r="K928" s="444"/>
      <c r="L928" s="444"/>
      <c r="M928" s="455" t="s">
        <v>24696</v>
      </c>
      <c r="N928" s="403">
        <f>SUM(N925:N926)</f>
        <v>101.38</v>
      </c>
    </row>
    <row r="929" spans="2:14" ht="15.75" thickBot="1" x14ac:dyDescent="0.3">
      <c r="B929" s="456"/>
      <c r="C929" s="457"/>
      <c r="D929" s="457"/>
      <c r="E929" s="457"/>
      <c r="F929" s="457"/>
      <c r="G929" s="457"/>
      <c r="H929" s="457"/>
      <c r="I929" s="457"/>
      <c r="J929" s="457"/>
      <c r="K929" s="457"/>
      <c r="L929" s="457"/>
      <c r="M929" s="457"/>
      <c r="N929" s="404"/>
    </row>
    <row r="930" spans="2:14" ht="30" x14ac:dyDescent="0.25">
      <c r="B930" s="392" t="s">
        <v>0</v>
      </c>
      <c r="C930" s="441" t="s">
        <v>24673</v>
      </c>
      <c r="D930" s="1523" t="s">
        <v>24697</v>
      </c>
      <c r="E930" s="1465"/>
      <c r="F930" s="1465"/>
      <c r="G930" s="1465"/>
      <c r="H930" s="1465"/>
      <c r="I930" s="1466"/>
      <c r="J930" s="441" t="s">
        <v>3686</v>
      </c>
      <c r="K930" s="441" t="s">
        <v>24695</v>
      </c>
      <c r="L930" s="441"/>
      <c r="M930" s="441" t="s">
        <v>24683</v>
      </c>
      <c r="N930" s="395" t="s">
        <v>24689</v>
      </c>
    </row>
    <row r="931" spans="2:14" ht="15" x14ac:dyDescent="0.25">
      <c r="B931" s="416"/>
      <c r="C931" s="417"/>
      <c r="D931" s="1469"/>
      <c r="E931" s="1463"/>
      <c r="F931" s="1463"/>
      <c r="G931" s="1463"/>
      <c r="H931" s="1463"/>
      <c r="I931" s="1464"/>
      <c r="J931" s="451"/>
      <c r="K931" s="451"/>
      <c r="L931" s="451"/>
      <c r="M931" s="419"/>
      <c r="N931" s="420"/>
    </row>
    <row r="932" spans="2:14" ht="15.75" thickBot="1" x14ac:dyDescent="0.3">
      <c r="B932" s="400"/>
      <c r="C932" s="401"/>
      <c r="D932" s="401"/>
      <c r="E932" s="401"/>
      <c r="F932" s="444"/>
      <c r="G932" s="444"/>
      <c r="H932" s="444"/>
      <c r="I932" s="444"/>
      <c r="J932" s="444"/>
      <c r="K932" s="444"/>
      <c r="L932" s="444"/>
      <c r="M932" s="455" t="s">
        <v>24698</v>
      </c>
      <c r="N932" s="403">
        <f>SUM(N931:N931)</f>
        <v>0</v>
      </c>
    </row>
    <row r="933" spans="2:14" ht="15.75" thickBot="1" x14ac:dyDescent="0.3">
      <c r="B933" s="456"/>
      <c r="C933" s="457"/>
      <c r="D933" s="457"/>
      <c r="E933" s="457"/>
      <c r="F933" s="457"/>
      <c r="G933" s="457"/>
      <c r="H933" s="457"/>
      <c r="I933" s="457"/>
      <c r="J933" s="457"/>
      <c r="K933" s="457"/>
      <c r="L933" s="457"/>
      <c r="M933" s="457"/>
      <c r="N933" s="404"/>
    </row>
    <row r="934" spans="2:14" ht="30" x14ac:dyDescent="0.25">
      <c r="B934" s="392" t="s">
        <v>0</v>
      </c>
      <c r="C934" s="441" t="s">
        <v>24673</v>
      </c>
      <c r="D934" s="1523" t="s">
        <v>24699</v>
      </c>
      <c r="E934" s="1465"/>
      <c r="F934" s="1465"/>
      <c r="G934" s="1466"/>
      <c r="H934" s="441" t="s">
        <v>3686</v>
      </c>
      <c r="I934" s="441" t="s">
        <v>24700</v>
      </c>
      <c r="J934" s="441" t="s">
        <v>24701</v>
      </c>
      <c r="K934" s="441" t="s">
        <v>24695</v>
      </c>
      <c r="L934" s="441"/>
      <c r="M934" s="441" t="s">
        <v>24683</v>
      </c>
      <c r="N934" s="395" t="s">
        <v>24689</v>
      </c>
    </row>
    <row r="935" spans="2:14" ht="15" x14ac:dyDescent="0.25">
      <c r="B935" s="446"/>
      <c r="C935" s="458"/>
      <c r="D935" s="1494"/>
      <c r="E935" s="1494"/>
      <c r="F935" s="1494"/>
      <c r="G935" s="1495"/>
      <c r="H935" s="442"/>
      <c r="I935" s="442"/>
      <c r="J935" s="442"/>
      <c r="K935" s="442"/>
      <c r="L935" s="442"/>
      <c r="M935" s="447"/>
      <c r="N935" s="443"/>
    </row>
    <row r="936" spans="2:14" ht="15" x14ac:dyDescent="0.25">
      <c r="B936" s="456"/>
      <c r="C936" s="457"/>
      <c r="D936" s="457"/>
      <c r="E936" s="457"/>
      <c r="F936" s="448"/>
      <c r="G936" s="448"/>
      <c r="H936" s="448"/>
      <c r="I936" s="448"/>
      <c r="J936" s="448"/>
      <c r="K936" s="448"/>
      <c r="L936" s="448"/>
      <c r="M936" s="409" t="s">
        <v>24702</v>
      </c>
      <c r="N936" s="410">
        <f>SUM(N935:N935)</f>
        <v>0</v>
      </c>
    </row>
    <row r="937" spans="2:14" ht="15" x14ac:dyDescent="0.25">
      <c r="B937" s="456"/>
      <c r="C937" s="457"/>
      <c r="D937" s="457"/>
      <c r="E937" s="457"/>
      <c r="F937" s="457"/>
      <c r="G937" s="457"/>
      <c r="H937" s="457"/>
      <c r="I937" s="457"/>
      <c r="J937" s="457"/>
      <c r="K937" s="457"/>
      <c r="L937" s="457"/>
      <c r="M937" s="457"/>
      <c r="N937" s="404"/>
    </row>
    <row r="938" spans="2:14" ht="15" x14ac:dyDescent="0.25">
      <c r="B938" s="421"/>
      <c r="C938" s="422"/>
      <c r="D938" s="422"/>
      <c r="E938" s="422"/>
      <c r="F938" s="452"/>
      <c r="G938" s="452"/>
      <c r="H938" s="452"/>
      <c r="I938" s="452"/>
      <c r="J938" s="452"/>
      <c r="K938" s="452"/>
      <c r="L938" s="452"/>
      <c r="M938" s="424" t="s">
        <v>24703</v>
      </c>
      <c r="N938" s="412">
        <f>N922+N928+N932+N936</f>
        <v>136.44</v>
      </c>
    </row>
    <row r="939" spans="2:14" ht="15" x14ac:dyDescent="0.25">
      <c r="B939" s="456"/>
      <c r="C939" s="457"/>
      <c r="D939" s="457"/>
      <c r="E939" s="457"/>
      <c r="F939" s="448"/>
      <c r="G939" s="448"/>
      <c r="H939" s="448"/>
      <c r="I939" s="448"/>
      <c r="J939" s="448"/>
      <c r="K939" s="448"/>
      <c r="L939" s="448"/>
      <c r="M939" s="752">
        <f>'Planilha - Orla'!I3</f>
        <v>0.28220000000000001</v>
      </c>
      <c r="N939" s="412">
        <f>N938*M939</f>
        <v>38.5</v>
      </c>
    </row>
    <row r="940" spans="2:14" ht="15.75" thickBot="1" x14ac:dyDescent="0.3">
      <c r="B940" s="1472" t="s">
        <v>24704</v>
      </c>
      <c r="C940" s="1473"/>
      <c r="D940" s="1473"/>
      <c r="E940" s="1473"/>
      <c r="F940" s="1473"/>
      <c r="G940" s="1473"/>
      <c r="H940" s="1473"/>
      <c r="I940" s="1473"/>
      <c r="J940" s="1473"/>
      <c r="K940" s="1473"/>
      <c r="L940" s="1473"/>
      <c r="M940" s="1474"/>
      <c r="N940" s="415">
        <f>N938+N939</f>
        <v>174.94</v>
      </c>
    </row>
    <row r="942" spans="2:14" ht="15" thickBot="1" x14ac:dyDescent="0.3"/>
    <row r="943" spans="2:14" ht="49.5" customHeight="1" x14ac:dyDescent="0.25">
      <c r="B943" s="1479" t="s">
        <v>24875</v>
      </c>
      <c r="C943" s="1480"/>
      <c r="D943" s="1481"/>
      <c r="E943" s="1482" t="s">
        <v>24669</v>
      </c>
      <c r="F943" s="1482"/>
      <c r="G943" s="1482"/>
      <c r="H943" s="1482"/>
      <c r="I943" s="1482"/>
      <c r="J943" s="1482"/>
      <c r="K943" s="1482"/>
      <c r="L943" s="453"/>
      <c r="M943" s="1483"/>
      <c r="N943" s="1484"/>
    </row>
    <row r="944" spans="2:14" ht="15" x14ac:dyDescent="0.25">
      <c r="B944" s="391" t="s">
        <v>24670</v>
      </c>
      <c r="C944" s="1485" t="s">
        <v>25033</v>
      </c>
      <c r="D944" s="1485"/>
      <c r="E944" s="1485"/>
      <c r="F944" s="1485"/>
      <c r="G944" s="1485"/>
      <c r="H944" s="1485"/>
      <c r="I944" s="1485"/>
      <c r="J944" s="1485"/>
      <c r="K944" s="1485"/>
      <c r="L944" s="1485"/>
      <c r="M944" s="1485"/>
      <c r="N944" s="1486"/>
    </row>
    <row r="945" spans="2:14" ht="15" x14ac:dyDescent="0.25">
      <c r="B945" s="391" t="s">
        <v>24671</v>
      </c>
      <c r="C945" s="1487" t="s">
        <v>8</v>
      </c>
      <c r="D945" s="1487"/>
      <c r="E945" s="1487"/>
      <c r="F945" s="1487"/>
      <c r="G945" s="1487"/>
      <c r="H945" s="1487"/>
      <c r="I945" s="1487"/>
      <c r="J945" s="1487"/>
      <c r="K945" s="1487"/>
      <c r="L945" s="1487"/>
      <c r="M945" s="1487"/>
      <c r="N945" s="1488"/>
    </row>
    <row r="946" spans="2:14" ht="15.75" thickBot="1" x14ac:dyDescent="0.3">
      <c r="B946" s="391" t="s">
        <v>24672</v>
      </c>
      <c r="C946" s="1489">
        <v>44501</v>
      </c>
      <c r="D946" s="1490"/>
      <c r="E946" s="1490"/>
      <c r="F946" s="1490"/>
      <c r="G946" s="1490"/>
      <c r="H946" s="1490"/>
      <c r="I946" s="1490"/>
      <c r="J946" s="1490"/>
      <c r="K946" s="1490"/>
      <c r="L946" s="1490"/>
      <c r="M946" s="1490"/>
      <c r="N946" s="1491"/>
    </row>
    <row r="947" spans="2:14" ht="30" x14ac:dyDescent="0.25">
      <c r="B947" s="392" t="s">
        <v>0</v>
      </c>
      <c r="C947" s="393" t="s">
        <v>24673</v>
      </c>
      <c r="D947" s="1465" t="s">
        <v>24674</v>
      </c>
      <c r="E947" s="1465"/>
      <c r="F947" s="1465"/>
      <c r="G947" s="1466"/>
      <c r="H947" s="441" t="s">
        <v>111</v>
      </c>
      <c r="I947" s="441" t="s">
        <v>24675</v>
      </c>
      <c r="J947" s="441" t="s">
        <v>24676</v>
      </c>
      <c r="K947" s="1467" t="s">
        <v>24677</v>
      </c>
      <c r="L947" s="1468"/>
      <c r="M947" s="441" t="s">
        <v>24678</v>
      </c>
      <c r="N947" s="395" t="s">
        <v>24679</v>
      </c>
    </row>
    <row r="948" spans="2:14" ht="15" x14ac:dyDescent="0.25">
      <c r="B948" s="446">
        <v>80178</v>
      </c>
      <c r="C948" s="458" t="s">
        <v>4389</v>
      </c>
      <c r="D948" s="1463" t="s">
        <v>24899</v>
      </c>
      <c r="E948" s="1463"/>
      <c r="F948" s="1463"/>
      <c r="G948" s="1464"/>
      <c r="H948" s="447"/>
      <c r="I948" s="447">
        <v>0.1</v>
      </c>
      <c r="J948" s="442"/>
      <c r="K948" s="1461">
        <v>129.35</v>
      </c>
      <c r="L948" s="1462"/>
      <c r="M948" s="427"/>
      <c r="N948" s="443">
        <f>I948*K948</f>
        <v>12.94</v>
      </c>
    </row>
    <row r="949" spans="2:14" ht="15" x14ac:dyDescent="0.25">
      <c r="B949" s="446"/>
      <c r="C949" s="397"/>
      <c r="D949" s="1494"/>
      <c r="E949" s="1494"/>
      <c r="F949" s="1494"/>
      <c r="G949" s="1495"/>
      <c r="H949" s="442"/>
      <c r="I949" s="442"/>
      <c r="J949" s="442"/>
      <c r="K949" s="442"/>
      <c r="L949" s="442"/>
      <c r="M949" s="442"/>
      <c r="N949" s="443"/>
    </row>
    <row r="950" spans="2:14" ht="15.75" thickBot="1" x14ac:dyDescent="0.3">
      <c r="B950" s="400"/>
      <c r="C950" s="401"/>
      <c r="D950" s="401"/>
      <c r="E950" s="401"/>
      <c r="F950" s="444"/>
      <c r="G950" s="444"/>
      <c r="H950" s="444"/>
      <c r="I950" s="444"/>
      <c r="J950" s="444"/>
      <c r="K950" s="444"/>
      <c r="L950" s="444"/>
      <c r="M950" s="455" t="s">
        <v>24680</v>
      </c>
      <c r="N950" s="403">
        <f>SUM(N948:N949)</f>
        <v>12.94</v>
      </c>
    </row>
    <row r="951" spans="2:14" ht="15.75" thickBot="1" x14ac:dyDescent="0.3">
      <c r="B951" s="456"/>
      <c r="C951" s="457"/>
      <c r="D951" s="457"/>
      <c r="E951" s="457"/>
      <c r="F951" s="457"/>
      <c r="G951" s="457"/>
      <c r="H951" s="457"/>
      <c r="I951" s="457"/>
      <c r="J951" s="457"/>
      <c r="K951" s="457"/>
      <c r="L951" s="457"/>
      <c r="M951" s="457"/>
      <c r="N951" s="404"/>
    </row>
    <row r="952" spans="2:14" ht="45" x14ac:dyDescent="0.25">
      <c r="B952" s="392" t="s">
        <v>0</v>
      </c>
      <c r="C952" s="393" t="s">
        <v>24673</v>
      </c>
      <c r="D952" s="1465" t="s">
        <v>24681</v>
      </c>
      <c r="E952" s="1465"/>
      <c r="F952" s="1465"/>
      <c r="G952" s="1465"/>
      <c r="H952" s="1466"/>
      <c r="I952" s="441" t="s">
        <v>3686</v>
      </c>
      <c r="J952" s="441" t="s">
        <v>24682</v>
      </c>
      <c r="K952" s="441" t="s">
        <v>24861</v>
      </c>
      <c r="L952" s="441" t="s">
        <v>24862</v>
      </c>
      <c r="M952" s="441" t="s">
        <v>24683</v>
      </c>
      <c r="N952" s="395" t="s">
        <v>24679</v>
      </c>
    </row>
    <row r="953" spans="2:14" ht="15" x14ac:dyDescent="0.25">
      <c r="B953" s="446">
        <v>10101</v>
      </c>
      <c r="C953" s="458" t="s">
        <v>4389</v>
      </c>
      <c r="D953" s="1463" t="s">
        <v>24788</v>
      </c>
      <c r="E953" s="1463"/>
      <c r="F953" s="1463"/>
      <c r="G953" s="1463"/>
      <c r="H953" s="1464"/>
      <c r="I953" s="442" t="s">
        <v>75</v>
      </c>
      <c r="J953" s="406">
        <v>1.5727</v>
      </c>
      <c r="K953" s="427">
        <v>6.27</v>
      </c>
      <c r="L953" s="427">
        <f>K953*(1+J953)</f>
        <v>16.13</v>
      </c>
      <c r="M953" s="447">
        <v>1</v>
      </c>
      <c r="N953" s="443">
        <f>L953*M953</f>
        <v>16.13</v>
      </c>
    </row>
    <row r="954" spans="2:14" ht="15" x14ac:dyDescent="0.25">
      <c r="B954" s="446">
        <v>10146</v>
      </c>
      <c r="C954" s="458" t="s">
        <v>4389</v>
      </c>
      <c r="D954" s="1463" t="s">
        <v>24741</v>
      </c>
      <c r="E954" s="1463"/>
      <c r="F954" s="1463"/>
      <c r="G954" s="1463"/>
      <c r="H954" s="1464"/>
      <c r="I954" s="442" t="s">
        <v>75</v>
      </c>
      <c r="J954" s="406">
        <v>1.5727</v>
      </c>
      <c r="K954" s="427">
        <v>5.46</v>
      </c>
      <c r="L954" s="427">
        <f>K954*(1+J954)</f>
        <v>14.05</v>
      </c>
      <c r="M954" s="447">
        <v>2</v>
      </c>
      <c r="N954" s="443">
        <f>L954*M954</f>
        <v>28.1</v>
      </c>
    </row>
    <row r="955" spans="2:14" ht="15.75" thickBot="1" x14ac:dyDescent="0.3">
      <c r="B955" s="400"/>
      <c r="C955" s="401"/>
      <c r="D955" s="401"/>
      <c r="E955" s="401"/>
      <c r="F955" s="444"/>
      <c r="G955" s="444"/>
      <c r="H955" s="444"/>
      <c r="I955" s="444"/>
      <c r="J955" s="444"/>
      <c r="K955" s="444"/>
      <c r="L955" s="444"/>
      <c r="M955" s="455" t="s">
        <v>24684</v>
      </c>
      <c r="N955" s="403">
        <f>SUM(N953:N954)</f>
        <v>44.23</v>
      </c>
    </row>
    <row r="956" spans="2:14" ht="15.75" thickBot="1" x14ac:dyDescent="0.3">
      <c r="B956" s="456"/>
      <c r="C956" s="457"/>
      <c r="D956" s="457"/>
      <c r="E956" s="457"/>
      <c r="F956" s="457"/>
      <c r="G956" s="457"/>
      <c r="H956" s="457"/>
      <c r="I956" s="448"/>
      <c r="J956" s="448"/>
      <c r="K956" s="457"/>
      <c r="L956" s="457"/>
      <c r="M956" s="457"/>
      <c r="N956" s="404"/>
    </row>
    <row r="957" spans="2:14" ht="30" x14ac:dyDescent="0.25">
      <c r="B957" s="392" t="s">
        <v>0</v>
      </c>
      <c r="C957" s="393" t="s">
        <v>24673</v>
      </c>
      <c r="D957" s="1465" t="s">
        <v>24685</v>
      </c>
      <c r="E957" s="1465"/>
      <c r="F957" s="1465"/>
      <c r="G957" s="1465"/>
      <c r="H957" s="1466"/>
      <c r="I957" s="441" t="s">
        <v>2858</v>
      </c>
      <c r="J957" s="441" t="s">
        <v>24686</v>
      </c>
      <c r="K957" s="441" t="s">
        <v>24687</v>
      </c>
      <c r="L957" s="441"/>
      <c r="M957" s="441" t="s">
        <v>24688</v>
      </c>
      <c r="N957" s="395" t="s">
        <v>24689</v>
      </c>
    </row>
    <row r="958" spans="2:14" ht="15" x14ac:dyDescent="0.25">
      <c r="B958" s="446"/>
      <c r="C958" s="458"/>
      <c r="D958" s="1463"/>
      <c r="E958" s="1463"/>
      <c r="F958" s="1463"/>
      <c r="G958" s="1463"/>
      <c r="H958" s="1464"/>
      <c r="I958" s="442"/>
      <c r="J958" s="442"/>
      <c r="K958" s="442"/>
      <c r="L958" s="442"/>
      <c r="M958" s="442"/>
      <c r="N958" s="443"/>
    </row>
    <row r="959" spans="2:14" ht="15" x14ac:dyDescent="0.25">
      <c r="B959" s="456"/>
      <c r="C959" s="457"/>
      <c r="D959" s="457"/>
      <c r="E959" s="457"/>
      <c r="F959" s="448"/>
      <c r="G959" s="448"/>
      <c r="H959" s="448"/>
      <c r="I959" s="448"/>
      <c r="J959" s="448"/>
      <c r="K959" s="448"/>
      <c r="L959" s="448"/>
      <c r="M959" s="409" t="s">
        <v>24690</v>
      </c>
      <c r="N959" s="410">
        <f>SUM(N958:N958)</f>
        <v>0</v>
      </c>
    </row>
    <row r="960" spans="2:14" ht="15" x14ac:dyDescent="0.25">
      <c r="B960" s="456"/>
      <c r="C960" s="457"/>
      <c r="D960" s="457"/>
      <c r="E960" s="457"/>
      <c r="F960" s="457"/>
      <c r="G960" s="457"/>
      <c r="H960" s="457"/>
      <c r="I960" s="457"/>
      <c r="J960" s="457"/>
      <c r="K960" s="457"/>
      <c r="L960" s="457"/>
      <c r="M960" s="457"/>
      <c r="N960" s="404"/>
    </row>
    <row r="961" spans="2:14" ht="15" x14ac:dyDescent="0.25">
      <c r="B961" s="456"/>
      <c r="C961" s="457"/>
      <c r="D961" s="457"/>
      <c r="E961" s="457"/>
      <c r="F961" s="448"/>
      <c r="G961" s="448"/>
      <c r="H961" s="448"/>
      <c r="I961" s="449"/>
      <c r="J961" s="449"/>
      <c r="K961" s="449"/>
      <c r="L961" s="449"/>
      <c r="M961" s="409" t="s">
        <v>24691</v>
      </c>
      <c r="N961" s="412">
        <f>N950+N955+N959</f>
        <v>57.17</v>
      </c>
    </row>
    <row r="962" spans="2:14" ht="15" x14ac:dyDescent="0.25">
      <c r="B962" s="456"/>
      <c r="C962" s="457"/>
      <c r="D962" s="457"/>
      <c r="E962" s="457"/>
      <c r="F962" s="448"/>
      <c r="G962" s="448"/>
      <c r="H962" s="448"/>
      <c r="I962" s="448"/>
      <c r="J962" s="450"/>
      <c r="K962" s="450"/>
      <c r="L962" s="450"/>
      <c r="M962" s="414" t="s">
        <v>24692</v>
      </c>
      <c r="N962" s="412">
        <v>1</v>
      </c>
    </row>
    <row r="963" spans="2:14" ht="15.75" thickBot="1" x14ac:dyDescent="0.3">
      <c r="B963" s="400"/>
      <c r="C963" s="401"/>
      <c r="D963" s="401"/>
      <c r="E963" s="401"/>
      <c r="F963" s="444"/>
      <c r="G963" s="444"/>
      <c r="H963" s="444"/>
      <c r="I963" s="444"/>
      <c r="J963" s="444"/>
      <c r="K963" s="444"/>
      <c r="L963" s="444"/>
      <c r="M963" s="455" t="s">
        <v>24693</v>
      </c>
      <c r="N963" s="415">
        <f>TRUNC(N961/N962,2)</f>
        <v>57.17</v>
      </c>
    </row>
    <row r="964" spans="2:14" ht="15.75" thickBot="1" x14ac:dyDescent="0.3">
      <c r="B964" s="456"/>
      <c r="C964" s="457"/>
      <c r="D964" s="457"/>
      <c r="E964" s="457"/>
      <c r="F964" s="457"/>
      <c r="G964" s="457"/>
      <c r="H964" s="457"/>
      <c r="I964" s="457"/>
      <c r="J964" s="457"/>
      <c r="K964" s="457"/>
      <c r="L964" s="457"/>
      <c r="M964" s="457"/>
      <c r="N964" s="404"/>
    </row>
    <row r="965" spans="2:14" ht="30" x14ac:dyDescent="0.25">
      <c r="B965" s="392" t="s">
        <v>0</v>
      </c>
      <c r="C965" s="393" t="s">
        <v>24673</v>
      </c>
      <c r="D965" s="1465" t="s">
        <v>24694</v>
      </c>
      <c r="E965" s="1465"/>
      <c r="F965" s="1465"/>
      <c r="G965" s="1465"/>
      <c r="H965" s="1465"/>
      <c r="I965" s="1466"/>
      <c r="J965" s="441" t="s">
        <v>3686</v>
      </c>
      <c r="K965" s="441" t="s">
        <v>24695</v>
      </c>
      <c r="L965" s="441"/>
      <c r="M965" s="441" t="s">
        <v>24683</v>
      </c>
      <c r="N965" s="395" t="s">
        <v>24689</v>
      </c>
    </row>
    <row r="966" spans="2:14" ht="31.5" customHeight="1" x14ac:dyDescent="0.25">
      <c r="B966" s="446" t="s">
        <v>24795</v>
      </c>
      <c r="C966" s="836" t="s">
        <v>24708</v>
      </c>
      <c r="D966" s="1463" t="s">
        <v>25034</v>
      </c>
      <c r="E966" s="1463"/>
      <c r="F966" s="1463"/>
      <c r="G966" s="1463"/>
      <c r="H966" s="1463"/>
      <c r="I966" s="1464"/>
      <c r="J966" s="442" t="s">
        <v>24755</v>
      </c>
      <c r="K966" s="427">
        <f>'MAPA DE COT. - Orla'!H115</f>
        <v>153.29</v>
      </c>
      <c r="L966" s="427"/>
      <c r="M966" s="447">
        <v>1</v>
      </c>
      <c r="N966" s="443">
        <f>K966*M966</f>
        <v>153.29</v>
      </c>
    </row>
    <row r="967" spans="2:14" ht="15" x14ac:dyDescent="0.25">
      <c r="B967" s="446">
        <v>38511</v>
      </c>
      <c r="C967" s="458" t="s">
        <v>4389</v>
      </c>
      <c r="D967" s="1463" t="s">
        <v>24901</v>
      </c>
      <c r="E967" s="1463"/>
      <c r="F967" s="1463"/>
      <c r="G967" s="1463"/>
      <c r="H967" s="1463"/>
      <c r="I967" s="1464"/>
      <c r="J967" s="442" t="s">
        <v>6</v>
      </c>
      <c r="K967" s="427">
        <v>149.63</v>
      </c>
      <c r="L967" s="427"/>
      <c r="M967" s="447">
        <v>0.05</v>
      </c>
      <c r="N967" s="443">
        <f>K967*M967</f>
        <v>7.48</v>
      </c>
    </row>
    <row r="968" spans="2:14" ht="15" x14ac:dyDescent="0.25">
      <c r="B968" s="446"/>
      <c r="C968" s="458"/>
      <c r="D968" s="1463"/>
      <c r="E968" s="1463"/>
      <c r="F968" s="1463"/>
      <c r="G968" s="1463"/>
      <c r="H968" s="1463"/>
      <c r="I968" s="1464"/>
      <c r="J968" s="442"/>
      <c r="K968" s="442"/>
      <c r="L968" s="442"/>
      <c r="M968" s="447"/>
      <c r="N968" s="443"/>
    </row>
    <row r="969" spans="2:14" ht="15.75" thickBot="1" x14ac:dyDescent="0.3">
      <c r="B969" s="400"/>
      <c r="C969" s="401"/>
      <c r="D969" s="401"/>
      <c r="E969" s="401"/>
      <c r="F969" s="444"/>
      <c r="G969" s="444"/>
      <c r="H969" s="444"/>
      <c r="I969" s="444"/>
      <c r="J969" s="444"/>
      <c r="K969" s="444"/>
      <c r="L969" s="444"/>
      <c r="M969" s="455" t="s">
        <v>24696</v>
      </c>
      <c r="N969" s="403">
        <f>SUM(N966:N967)</f>
        <v>160.77000000000001</v>
      </c>
    </row>
    <row r="970" spans="2:14" ht="15.75" thickBot="1" x14ac:dyDescent="0.3">
      <c r="B970" s="456"/>
      <c r="C970" s="457"/>
      <c r="D970" s="457"/>
      <c r="E970" s="457"/>
      <c r="F970" s="457"/>
      <c r="G970" s="457"/>
      <c r="H970" s="457"/>
      <c r="I970" s="457"/>
      <c r="J970" s="457"/>
      <c r="K970" s="457"/>
      <c r="L970" s="457"/>
      <c r="M970" s="457"/>
      <c r="N970" s="404"/>
    </row>
    <row r="971" spans="2:14" ht="30" x14ac:dyDescent="0.25">
      <c r="B971" s="392" t="s">
        <v>0</v>
      </c>
      <c r="C971" s="441" t="s">
        <v>24673</v>
      </c>
      <c r="D971" s="1465" t="s">
        <v>24697</v>
      </c>
      <c r="E971" s="1465"/>
      <c r="F971" s="1465"/>
      <c r="G971" s="1465"/>
      <c r="H971" s="1465"/>
      <c r="I971" s="1466"/>
      <c r="J971" s="441" t="s">
        <v>3686</v>
      </c>
      <c r="K971" s="441" t="s">
        <v>24695</v>
      </c>
      <c r="L971" s="441"/>
      <c r="M971" s="441" t="s">
        <v>24683</v>
      </c>
      <c r="N971" s="395" t="s">
        <v>24689</v>
      </c>
    </row>
    <row r="972" spans="2:14" ht="15" x14ac:dyDescent="0.25">
      <c r="B972" s="416"/>
      <c r="C972" s="417"/>
      <c r="D972" s="1463"/>
      <c r="E972" s="1463"/>
      <c r="F972" s="1463"/>
      <c r="G972" s="1463"/>
      <c r="H972" s="1463"/>
      <c r="I972" s="1464"/>
      <c r="J972" s="451"/>
      <c r="K972" s="451"/>
      <c r="L972" s="451"/>
      <c r="M972" s="419"/>
      <c r="N972" s="420"/>
    </row>
    <row r="973" spans="2:14" ht="15.75" thickBot="1" x14ac:dyDescent="0.3">
      <c r="B973" s="400"/>
      <c r="C973" s="401"/>
      <c r="D973" s="401"/>
      <c r="E973" s="401"/>
      <c r="F973" s="444"/>
      <c r="G973" s="444"/>
      <c r="H973" s="444"/>
      <c r="I973" s="444"/>
      <c r="J973" s="444"/>
      <c r="K973" s="444"/>
      <c r="L973" s="444"/>
      <c r="M973" s="455" t="s">
        <v>24698</v>
      </c>
      <c r="N973" s="403">
        <f>SUM(N972:N972)</f>
        <v>0</v>
      </c>
    </row>
    <row r="974" spans="2:14" ht="15.75" thickBot="1" x14ac:dyDescent="0.3">
      <c r="B974" s="456"/>
      <c r="C974" s="457"/>
      <c r="D974" s="457"/>
      <c r="E974" s="457"/>
      <c r="F974" s="457"/>
      <c r="G974" s="457"/>
      <c r="H974" s="457"/>
      <c r="I974" s="457"/>
      <c r="J974" s="457"/>
      <c r="K974" s="457"/>
      <c r="L974" s="457"/>
      <c r="M974" s="457"/>
      <c r="N974" s="404"/>
    </row>
    <row r="975" spans="2:14" ht="30" x14ac:dyDescent="0.25">
      <c r="B975" s="392" t="s">
        <v>0</v>
      </c>
      <c r="C975" s="441" t="s">
        <v>24673</v>
      </c>
      <c r="D975" s="1465" t="s">
        <v>24699</v>
      </c>
      <c r="E975" s="1465"/>
      <c r="F975" s="1465"/>
      <c r="G975" s="1466"/>
      <c r="H975" s="441" t="s">
        <v>3686</v>
      </c>
      <c r="I975" s="441" t="s">
        <v>24700</v>
      </c>
      <c r="J975" s="441" t="s">
        <v>24701</v>
      </c>
      <c r="K975" s="441" t="s">
        <v>24695</v>
      </c>
      <c r="L975" s="441"/>
      <c r="M975" s="441" t="s">
        <v>24683</v>
      </c>
      <c r="N975" s="395" t="s">
        <v>24689</v>
      </c>
    </row>
    <row r="976" spans="2:14" ht="15" x14ac:dyDescent="0.25">
      <c r="B976" s="446"/>
      <c r="C976" s="458"/>
      <c r="D976" s="1494"/>
      <c r="E976" s="1494"/>
      <c r="F976" s="1494"/>
      <c r="G976" s="1494"/>
      <c r="H976" s="442"/>
      <c r="I976" s="442"/>
      <c r="J976" s="442"/>
      <c r="K976" s="442"/>
      <c r="L976" s="442"/>
      <c r="M976" s="447"/>
      <c r="N976" s="443"/>
    </row>
    <row r="977" spans="2:14" ht="15" x14ac:dyDescent="0.25">
      <c r="B977" s="456"/>
      <c r="C977" s="457"/>
      <c r="D977" s="457"/>
      <c r="E977" s="457"/>
      <c r="F977" s="448"/>
      <c r="G977" s="448"/>
      <c r="H977" s="448"/>
      <c r="I977" s="448"/>
      <c r="J977" s="448"/>
      <c r="K977" s="448"/>
      <c r="L977" s="448"/>
      <c r="M977" s="409" t="s">
        <v>24702</v>
      </c>
      <c r="N977" s="410">
        <f>SUM(N976:N976)</f>
        <v>0</v>
      </c>
    </row>
    <row r="978" spans="2:14" ht="15" x14ac:dyDescent="0.25">
      <c r="B978" s="456"/>
      <c r="C978" s="457"/>
      <c r="D978" s="457"/>
      <c r="E978" s="457"/>
      <c r="F978" s="457"/>
      <c r="G978" s="457"/>
      <c r="H978" s="457"/>
      <c r="I978" s="457"/>
      <c r="J978" s="457"/>
      <c r="K978" s="457"/>
      <c r="L978" s="457"/>
      <c r="M978" s="457"/>
      <c r="N978" s="404"/>
    </row>
    <row r="979" spans="2:14" ht="15" x14ac:dyDescent="0.25">
      <c r="B979" s="421"/>
      <c r="C979" s="422"/>
      <c r="D979" s="422"/>
      <c r="E979" s="422"/>
      <c r="F979" s="452"/>
      <c r="G979" s="452"/>
      <c r="H979" s="452"/>
      <c r="I979" s="452"/>
      <c r="J979" s="452"/>
      <c r="K979" s="452"/>
      <c r="L979" s="452"/>
      <c r="M979" s="424" t="s">
        <v>24703</v>
      </c>
      <c r="N979" s="412">
        <f>N963+N969+N973+N977</f>
        <v>217.94</v>
      </c>
    </row>
    <row r="980" spans="2:14" ht="15" x14ac:dyDescent="0.25">
      <c r="B980" s="456"/>
      <c r="C980" s="457"/>
      <c r="D980" s="457"/>
      <c r="E980" s="457"/>
      <c r="F980" s="448"/>
      <c r="G980" s="448"/>
      <c r="H980" s="448"/>
      <c r="I980" s="448"/>
      <c r="J980" s="448"/>
      <c r="K980" s="448"/>
      <c r="L980" s="448"/>
      <c r="M980" s="752">
        <f>'Planilha - Orla'!I3</f>
        <v>0.28220000000000001</v>
      </c>
      <c r="N980" s="412">
        <f>N979*M980</f>
        <v>61.5</v>
      </c>
    </row>
    <row r="981" spans="2:14" ht="15.75" thickBot="1" x14ac:dyDescent="0.3">
      <c r="B981" s="1472" t="s">
        <v>24704</v>
      </c>
      <c r="C981" s="1473"/>
      <c r="D981" s="1473"/>
      <c r="E981" s="1473"/>
      <c r="F981" s="1473"/>
      <c r="G981" s="1473"/>
      <c r="H981" s="1473"/>
      <c r="I981" s="1473"/>
      <c r="J981" s="1473"/>
      <c r="K981" s="1473"/>
      <c r="L981" s="1473"/>
      <c r="M981" s="1474"/>
      <c r="N981" s="415">
        <f>N979+N980</f>
        <v>279.44</v>
      </c>
    </row>
    <row r="983" spans="2:14" ht="15" thickBot="1" x14ac:dyDescent="0.3"/>
    <row r="984" spans="2:14" ht="53.25" customHeight="1" x14ac:dyDescent="0.25">
      <c r="B984" s="1479" t="s">
        <v>24876</v>
      </c>
      <c r="C984" s="1480"/>
      <c r="D984" s="1481"/>
      <c r="E984" s="1482" t="s">
        <v>24669</v>
      </c>
      <c r="F984" s="1482"/>
      <c r="G984" s="1482"/>
      <c r="H984" s="1482"/>
      <c r="I984" s="1482"/>
      <c r="J984" s="1482"/>
      <c r="K984" s="1482"/>
      <c r="L984" s="453"/>
      <c r="M984" s="1483"/>
      <c r="N984" s="1484"/>
    </row>
    <row r="985" spans="2:14" ht="15" x14ac:dyDescent="0.25">
      <c r="B985" s="391" t="s">
        <v>24670</v>
      </c>
      <c r="C985" s="1485" t="s">
        <v>25035</v>
      </c>
      <c r="D985" s="1485"/>
      <c r="E985" s="1485"/>
      <c r="F985" s="1485"/>
      <c r="G985" s="1485"/>
      <c r="H985" s="1485"/>
      <c r="I985" s="1485"/>
      <c r="J985" s="1485"/>
      <c r="K985" s="1485"/>
      <c r="L985" s="1485"/>
      <c r="M985" s="1485"/>
      <c r="N985" s="1486"/>
    </row>
    <row r="986" spans="2:14" ht="15" x14ac:dyDescent="0.25">
      <c r="B986" s="391" t="s">
        <v>24671</v>
      </c>
      <c r="C986" s="1487" t="s">
        <v>8</v>
      </c>
      <c r="D986" s="1487"/>
      <c r="E986" s="1487"/>
      <c r="F986" s="1487"/>
      <c r="G986" s="1487"/>
      <c r="H986" s="1487"/>
      <c r="I986" s="1487"/>
      <c r="J986" s="1487"/>
      <c r="K986" s="1487"/>
      <c r="L986" s="1487"/>
      <c r="M986" s="1487"/>
      <c r="N986" s="1488"/>
    </row>
    <row r="987" spans="2:14" ht="15.75" thickBot="1" x14ac:dyDescent="0.3">
      <c r="B987" s="391" t="s">
        <v>24672</v>
      </c>
      <c r="C987" s="1489">
        <v>44501</v>
      </c>
      <c r="D987" s="1490"/>
      <c r="E987" s="1490"/>
      <c r="F987" s="1490"/>
      <c r="G987" s="1490"/>
      <c r="H987" s="1490"/>
      <c r="I987" s="1490"/>
      <c r="J987" s="1490"/>
      <c r="K987" s="1490"/>
      <c r="L987" s="1490"/>
      <c r="M987" s="1490"/>
      <c r="N987" s="1491"/>
    </row>
    <row r="988" spans="2:14" ht="30" x14ac:dyDescent="0.25">
      <c r="B988" s="392" t="s">
        <v>0</v>
      </c>
      <c r="C988" s="393" t="s">
        <v>24673</v>
      </c>
      <c r="D988" s="1465" t="s">
        <v>24674</v>
      </c>
      <c r="E988" s="1465"/>
      <c r="F988" s="1465"/>
      <c r="G988" s="1466"/>
      <c r="H988" s="441" t="s">
        <v>111</v>
      </c>
      <c r="I988" s="441" t="s">
        <v>24675</v>
      </c>
      <c r="J988" s="441" t="s">
        <v>24676</v>
      </c>
      <c r="K988" s="441" t="s">
        <v>24677</v>
      </c>
      <c r="L988" s="441"/>
      <c r="M988" s="441" t="s">
        <v>24678</v>
      </c>
      <c r="N988" s="395" t="s">
        <v>24679</v>
      </c>
    </row>
    <row r="989" spans="2:14" ht="15" x14ac:dyDescent="0.25">
      <c r="B989" s="446"/>
      <c r="C989" s="397"/>
      <c r="D989" s="1494"/>
      <c r="E989" s="1494"/>
      <c r="F989" s="1494"/>
      <c r="G989" s="1495"/>
      <c r="H989" s="442"/>
      <c r="I989" s="442"/>
      <c r="J989" s="442"/>
      <c r="K989" s="442"/>
      <c r="L989" s="442"/>
      <c r="M989" s="442"/>
      <c r="N989" s="443"/>
    </row>
    <row r="990" spans="2:14" ht="15.75" thickBot="1" x14ac:dyDescent="0.3">
      <c r="B990" s="400"/>
      <c r="C990" s="401"/>
      <c r="D990" s="401"/>
      <c r="E990" s="401"/>
      <c r="F990" s="444"/>
      <c r="G990" s="444"/>
      <c r="H990" s="444"/>
      <c r="I990" s="444"/>
      <c r="J990" s="444"/>
      <c r="K990" s="444"/>
      <c r="L990" s="444"/>
      <c r="M990" s="455" t="s">
        <v>24680</v>
      </c>
      <c r="N990" s="403">
        <f>SUM(N989:N989)</f>
        <v>0</v>
      </c>
    </row>
    <row r="991" spans="2:14" ht="15.75" thickBot="1" x14ac:dyDescent="0.3">
      <c r="B991" s="456"/>
      <c r="C991" s="457"/>
      <c r="D991" s="457"/>
      <c r="E991" s="457"/>
      <c r="F991" s="457"/>
      <c r="G991" s="457"/>
      <c r="H991" s="457"/>
      <c r="I991" s="457"/>
      <c r="J991" s="457"/>
      <c r="K991" s="457"/>
      <c r="L991" s="457"/>
      <c r="M991" s="457"/>
      <c r="N991" s="404"/>
    </row>
    <row r="992" spans="2:14" ht="45" x14ac:dyDescent="0.25">
      <c r="B992" s="392" t="s">
        <v>0</v>
      </c>
      <c r="C992" s="393" t="s">
        <v>24673</v>
      </c>
      <c r="D992" s="1465" t="s">
        <v>24681</v>
      </c>
      <c r="E992" s="1465"/>
      <c r="F992" s="1465"/>
      <c r="G992" s="1465"/>
      <c r="H992" s="1466"/>
      <c r="I992" s="441" t="s">
        <v>3686</v>
      </c>
      <c r="J992" s="441" t="s">
        <v>24682</v>
      </c>
      <c r="K992" s="441" t="s">
        <v>24861</v>
      </c>
      <c r="L992" s="441" t="s">
        <v>24862</v>
      </c>
      <c r="M992" s="441" t="s">
        <v>24683</v>
      </c>
      <c r="N992" s="395" t="s">
        <v>24679</v>
      </c>
    </row>
    <row r="993" spans="2:14" ht="15" x14ac:dyDescent="0.25">
      <c r="B993" s="446">
        <v>10101</v>
      </c>
      <c r="C993" s="458" t="s">
        <v>4389</v>
      </c>
      <c r="D993" s="1463" t="s">
        <v>24788</v>
      </c>
      <c r="E993" s="1463"/>
      <c r="F993" s="1463"/>
      <c r="G993" s="1463"/>
      <c r="H993" s="1464"/>
      <c r="I993" s="442" t="s">
        <v>75</v>
      </c>
      <c r="J993" s="406">
        <v>1.5727</v>
      </c>
      <c r="K993" s="427">
        <v>6.27</v>
      </c>
      <c r="L993" s="427">
        <f>K993*(1+J993)</f>
        <v>16.13</v>
      </c>
      <c r="M993" s="447">
        <v>0.5</v>
      </c>
      <c r="N993" s="443">
        <f>L993*M993</f>
        <v>8.07</v>
      </c>
    </row>
    <row r="994" spans="2:14" ht="15" x14ac:dyDescent="0.25">
      <c r="B994" s="446">
        <v>10146</v>
      </c>
      <c r="C994" s="458" t="s">
        <v>4389</v>
      </c>
      <c r="D994" s="1463" t="s">
        <v>24741</v>
      </c>
      <c r="E994" s="1463"/>
      <c r="F994" s="1463"/>
      <c r="G994" s="1463"/>
      <c r="H994" s="1464"/>
      <c r="I994" s="442" t="s">
        <v>75</v>
      </c>
      <c r="J994" s="406">
        <v>1.5727</v>
      </c>
      <c r="K994" s="427">
        <v>5.46</v>
      </c>
      <c r="L994" s="427">
        <f>K994*(1+J994)</f>
        <v>14.05</v>
      </c>
      <c r="M994" s="447">
        <v>0.5</v>
      </c>
      <c r="N994" s="443">
        <f>L994*M994</f>
        <v>7.03</v>
      </c>
    </row>
    <row r="995" spans="2:14" ht="15.75" thickBot="1" x14ac:dyDescent="0.3">
      <c r="B995" s="400"/>
      <c r="C995" s="401"/>
      <c r="D995" s="401"/>
      <c r="E995" s="401"/>
      <c r="F995" s="444"/>
      <c r="G995" s="444"/>
      <c r="H995" s="444"/>
      <c r="I995" s="444"/>
      <c r="J995" s="444"/>
      <c r="K995" s="444"/>
      <c r="L995" s="444"/>
      <c r="M995" s="455" t="s">
        <v>24684</v>
      </c>
      <c r="N995" s="403">
        <f>SUM(N993:N994)</f>
        <v>15.1</v>
      </c>
    </row>
    <row r="996" spans="2:14" ht="15.75" thickBot="1" x14ac:dyDescent="0.3">
      <c r="B996" s="456"/>
      <c r="C996" s="457"/>
      <c r="D996" s="457"/>
      <c r="E996" s="457"/>
      <c r="F996" s="457"/>
      <c r="G996" s="457"/>
      <c r="H996" s="457"/>
      <c r="I996" s="448"/>
      <c r="J996" s="448"/>
      <c r="K996" s="457"/>
      <c r="L996" s="457"/>
      <c r="M996" s="457"/>
      <c r="N996" s="404"/>
    </row>
    <row r="997" spans="2:14" ht="30" x14ac:dyDescent="0.25">
      <c r="B997" s="392" t="s">
        <v>0</v>
      </c>
      <c r="C997" s="393" t="s">
        <v>24673</v>
      </c>
      <c r="D997" s="1465" t="s">
        <v>24685</v>
      </c>
      <c r="E997" s="1465"/>
      <c r="F997" s="1465"/>
      <c r="G997" s="1465"/>
      <c r="H997" s="1466"/>
      <c r="I997" s="441" t="s">
        <v>2858</v>
      </c>
      <c r="J997" s="441" t="s">
        <v>24686</v>
      </c>
      <c r="K997" s="441" t="s">
        <v>24687</v>
      </c>
      <c r="L997" s="441"/>
      <c r="M997" s="441" t="s">
        <v>24688</v>
      </c>
      <c r="N997" s="395" t="s">
        <v>24689</v>
      </c>
    </row>
    <row r="998" spans="2:14" ht="15" x14ac:dyDescent="0.25">
      <c r="B998" s="446"/>
      <c r="C998" s="458"/>
      <c r="D998" s="1463"/>
      <c r="E998" s="1463"/>
      <c r="F998" s="1463"/>
      <c r="G998" s="1463"/>
      <c r="H998" s="1464"/>
      <c r="I998" s="442"/>
      <c r="J998" s="442"/>
      <c r="K998" s="442"/>
      <c r="L998" s="442"/>
      <c r="M998" s="442"/>
      <c r="N998" s="443"/>
    </row>
    <row r="999" spans="2:14" ht="15" x14ac:dyDescent="0.25">
      <c r="B999" s="456"/>
      <c r="C999" s="457"/>
      <c r="D999" s="457"/>
      <c r="E999" s="457"/>
      <c r="F999" s="448"/>
      <c r="G999" s="448"/>
      <c r="H999" s="448"/>
      <c r="I999" s="448"/>
      <c r="J999" s="448"/>
      <c r="K999" s="448"/>
      <c r="L999" s="448"/>
      <c r="M999" s="409" t="s">
        <v>24690</v>
      </c>
      <c r="N999" s="410">
        <f>SUM(N998:N998)</f>
        <v>0</v>
      </c>
    </row>
    <row r="1000" spans="2:14" ht="15" x14ac:dyDescent="0.25">
      <c r="B1000" s="456"/>
      <c r="C1000" s="457"/>
      <c r="D1000" s="457"/>
      <c r="E1000" s="457"/>
      <c r="F1000" s="457"/>
      <c r="G1000" s="457"/>
      <c r="H1000" s="457"/>
      <c r="I1000" s="457"/>
      <c r="J1000" s="457"/>
      <c r="K1000" s="457"/>
      <c r="L1000" s="457"/>
      <c r="M1000" s="457"/>
      <c r="N1000" s="404"/>
    </row>
    <row r="1001" spans="2:14" ht="15" x14ac:dyDescent="0.25">
      <c r="B1001" s="456"/>
      <c r="C1001" s="457"/>
      <c r="D1001" s="457"/>
      <c r="E1001" s="457"/>
      <c r="F1001" s="448"/>
      <c r="G1001" s="448"/>
      <c r="H1001" s="448"/>
      <c r="I1001" s="449"/>
      <c r="J1001" s="449"/>
      <c r="K1001" s="449"/>
      <c r="L1001" s="449"/>
      <c r="M1001" s="409" t="s">
        <v>24691</v>
      </c>
      <c r="N1001" s="412">
        <f>N990+N995+N999</f>
        <v>15.1</v>
      </c>
    </row>
    <row r="1002" spans="2:14" ht="15" x14ac:dyDescent="0.25">
      <c r="B1002" s="456"/>
      <c r="C1002" s="457"/>
      <c r="D1002" s="457"/>
      <c r="E1002" s="457"/>
      <c r="F1002" s="448"/>
      <c r="G1002" s="448"/>
      <c r="H1002" s="448"/>
      <c r="I1002" s="448"/>
      <c r="J1002" s="450"/>
      <c r="K1002" s="450"/>
      <c r="L1002" s="450"/>
      <c r="M1002" s="414" t="s">
        <v>24692</v>
      </c>
      <c r="N1002" s="412">
        <v>1</v>
      </c>
    </row>
    <row r="1003" spans="2:14" ht="15.75" thickBot="1" x14ac:dyDescent="0.3">
      <c r="B1003" s="400"/>
      <c r="C1003" s="401"/>
      <c r="D1003" s="401"/>
      <c r="E1003" s="401"/>
      <c r="F1003" s="444"/>
      <c r="G1003" s="444"/>
      <c r="H1003" s="444"/>
      <c r="I1003" s="444"/>
      <c r="J1003" s="444"/>
      <c r="K1003" s="444"/>
      <c r="L1003" s="444"/>
      <c r="M1003" s="455" t="s">
        <v>24693</v>
      </c>
      <c r="N1003" s="415">
        <f>TRUNC(N1001/N1002,2)</f>
        <v>15.1</v>
      </c>
    </row>
    <row r="1004" spans="2:14" ht="15.75" thickBot="1" x14ac:dyDescent="0.3">
      <c r="B1004" s="456"/>
      <c r="C1004" s="457"/>
      <c r="D1004" s="457"/>
      <c r="E1004" s="457"/>
      <c r="F1004" s="457"/>
      <c r="G1004" s="457"/>
      <c r="H1004" s="457"/>
      <c r="I1004" s="457"/>
      <c r="J1004" s="457"/>
      <c r="K1004" s="457"/>
      <c r="L1004" s="457"/>
      <c r="M1004" s="457"/>
      <c r="N1004" s="404"/>
    </row>
    <row r="1005" spans="2:14" ht="30" x14ac:dyDescent="0.25">
      <c r="B1005" s="392" t="s">
        <v>0</v>
      </c>
      <c r="C1005" s="393" t="s">
        <v>24673</v>
      </c>
      <c r="D1005" s="1465" t="s">
        <v>24694</v>
      </c>
      <c r="E1005" s="1465"/>
      <c r="F1005" s="1465"/>
      <c r="G1005" s="1465"/>
      <c r="H1005" s="1465"/>
      <c r="I1005" s="1466"/>
      <c r="J1005" s="441" t="s">
        <v>3686</v>
      </c>
      <c r="K1005" s="441" t="s">
        <v>24695</v>
      </c>
      <c r="L1005" s="441"/>
      <c r="M1005" s="441" t="s">
        <v>24683</v>
      </c>
      <c r="N1005" s="395" t="s">
        <v>24689</v>
      </c>
    </row>
    <row r="1006" spans="2:14" ht="31.5" customHeight="1" x14ac:dyDescent="0.25">
      <c r="B1006" s="446" t="s">
        <v>24795</v>
      </c>
      <c r="C1006" s="836" t="s">
        <v>24708</v>
      </c>
      <c r="D1006" s="1463" t="s">
        <v>25036</v>
      </c>
      <c r="E1006" s="1463"/>
      <c r="F1006" s="1463"/>
      <c r="G1006" s="1463"/>
      <c r="H1006" s="1463"/>
      <c r="I1006" s="1464"/>
      <c r="J1006" s="442" t="s">
        <v>24755</v>
      </c>
      <c r="K1006" s="427">
        <f>'MAPA DE COT. - Orla'!H127</f>
        <v>86.2</v>
      </c>
      <c r="L1006" s="427"/>
      <c r="M1006" s="447">
        <v>1</v>
      </c>
      <c r="N1006" s="443">
        <f>K1006*M1006</f>
        <v>86.2</v>
      </c>
    </row>
    <row r="1007" spans="2:14" ht="15" x14ac:dyDescent="0.25">
      <c r="B1007" s="446">
        <v>38511</v>
      </c>
      <c r="C1007" s="458" t="s">
        <v>4389</v>
      </c>
      <c r="D1007" s="1463" t="s">
        <v>24901</v>
      </c>
      <c r="E1007" s="1463"/>
      <c r="F1007" s="1463"/>
      <c r="G1007" s="1463"/>
      <c r="H1007" s="1463"/>
      <c r="I1007" s="1464"/>
      <c r="J1007" s="442" t="s">
        <v>6</v>
      </c>
      <c r="K1007" s="427">
        <v>149.63</v>
      </c>
      <c r="L1007" s="427"/>
      <c r="M1007" s="447">
        <v>0.05</v>
      </c>
      <c r="N1007" s="443">
        <f>K1007*M1007</f>
        <v>7.48</v>
      </c>
    </row>
    <row r="1008" spans="2:14" ht="15" x14ac:dyDescent="0.25">
      <c r="B1008" s="446"/>
      <c r="C1008" s="458"/>
      <c r="D1008" s="1463"/>
      <c r="E1008" s="1463"/>
      <c r="F1008" s="1463"/>
      <c r="G1008" s="1463"/>
      <c r="H1008" s="1463"/>
      <c r="I1008" s="1464"/>
      <c r="J1008" s="442"/>
      <c r="K1008" s="442"/>
      <c r="L1008" s="442"/>
      <c r="M1008" s="447"/>
      <c r="N1008" s="443"/>
    </row>
    <row r="1009" spans="2:14" ht="15.75" thickBot="1" x14ac:dyDescent="0.3">
      <c r="B1009" s="400"/>
      <c r="C1009" s="401"/>
      <c r="D1009" s="401"/>
      <c r="E1009" s="401"/>
      <c r="F1009" s="444"/>
      <c r="G1009" s="444"/>
      <c r="H1009" s="444"/>
      <c r="I1009" s="444"/>
      <c r="J1009" s="444"/>
      <c r="K1009" s="444"/>
      <c r="L1009" s="444"/>
      <c r="M1009" s="455" t="s">
        <v>24696</v>
      </c>
      <c r="N1009" s="403">
        <f>SUM(N1006:N1007)</f>
        <v>93.68</v>
      </c>
    </row>
    <row r="1010" spans="2:14" ht="15.75" thickBot="1" x14ac:dyDescent="0.3">
      <c r="B1010" s="456"/>
      <c r="C1010" s="457"/>
      <c r="D1010" s="457"/>
      <c r="E1010" s="457"/>
      <c r="F1010" s="457"/>
      <c r="G1010" s="457"/>
      <c r="H1010" s="457"/>
      <c r="I1010" s="457"/>
      <c r="J1010" s="457"/>
      <c r="K1010" s="457"/>
      <c r="L1010" s="457"/>
      <c r="M1010" s="457"/>
      <c r="N1010" s="404"/>
    </row>
    <row r="1011" spans="2:14" ht="30" x14ac:dyDescent="0.25">
      <c r="B1011" s="392" t="s">
        <v>0</v>
      </c>
      <c r="C1011" s="441" t="s">
        <v>24673</v>
      </c>
      <c r="D1011" s="1465" t="s">
        <v>24697</v>
      </c>
      <c r="E1011" s="1465"/>
      <c r="F1011" s="1465"/>
      <c r="G1011" s="1465"/>
      <c r="H1011" s="1465"/>
      <c r="I1011" s="1466"/>
      <c r="J1011" s="441" t="s">
        <v>3686</v>
      </c>
      <c r="K1011" s="441" t="s">
        <v>24695</v>
      </c>
      <c r="L1011" s="441"/>
      <c r="M1011" s="441" t="s">
        <v>24683</v>
      </c>
      <c r="N1011" s="395" t="s">
        <v>24689</v>
      </c>
    </row>
    <row r="1012" spans="2:14" ht="15" x14ac:dyDescent="0.25">
      <c r="B1012" s="416"/>
      <c r="C1012" s="417"/>
      <c r="D1012" s="1463"/>
      <c r="E1012" s="1463"/>
      <c r="F1012" s="1463"/>
      <c r="G1012" s="1463"/>
      <c r="H1012" s="1463"/>
      <c r="I1012" s="1464"/>
      <c r="J1012" s="451"/>
      <c r="K1012" s="451"/>
      <c r="L1012" s="451"/>
      <c r="M1012" s="419"/>
      <c r="N1012" s="420"/>
    </row>
    <row r="1013" spans="2:14" ht="15.75" thickBot="1" x14ac:dyDescent="0.3">
      <c r="B1013" s="400"/>
      <c r="C1013" s="401"/>
      <c r="D1013" s="401"/>
      <c r="E1013" s="401"/>
      <c r="F1013" s="444"/>
      <c r="G1013" s="444"/>
      <c r="H1013" s="444"/>
      <c r="I1013" s="444"/>
      <c r="J1013" s="444"/>
      <c r="K1013" s="444"/>
      <c r="L1013" s="444"/>
      <c r="M1013" s="455" t="s">
        <v>24698</v>
      </c>
      <c r="N1013" s="403">
        <f>SUM(N1012:N1012)</f>
        <v>0</v>
      </c>
    </row>
    <row r="1014" spans="2:14" ht="15.75" thickBot="1" x14ac:dyDescent="0.3">
      <c r="B1014" s="456"/>
      <c r="C1014" s="457"/>
      <c r="D1014" s="457"/>
      <c r="E1014" s="457"/>
      <c r="F1014" s="457"/>
      <c r="G1014" s="457"/>
      <c r="H1014" s="457"/>
      <c r="I1014" s="457"/>
      <c r="J1014" s="457"/>
      <c r="K1014" s="457"/>
      <c r="L1014" s="457"/>
      <c r="M1014" s="457"/>
      <c r="N1014" s="404"/>
    </row>
    <row r="1015" spans="2:14" ht="30" x14ac:dyDescent="0.25">
      <c r="B1015" s="392" t="s">
        <v>0</v>
      </c>
      <c r="C1015" s="441" t="s">
        <v>24673</v>
      </c>
      <c r="D1015" s="1465" t="s">
        <v>24699</v>
      </c>
      <c r="E1015" s="1465"/>
      <c r="F1015" s="1465"/>
      <c r="G1015" s="1466"/>
      <c r="H1015" s="441" t="s">
        <v>3686</v>
      </c>
      <c r="I1015" s="441" t="s">
        <v>24700</v>
      </c>
      <c r="J1015" s="441" t="s">
        <v>24701</v>
      </c>
      <c r="K1015" s="441" t="s">
        <v>24695</v>
      </c>
      <c r="L1015" s="441"/>
      <c r="M1015" s="441" t="s">
        <v>24683</v>
      </c>
      <c r="N1015" s="395" t="s">
        <v>24689</v>
      </c>
    </row>
    <row r="1016" spans="2:14" ht="15" x14ac:dyDescent="0.25">
      <c r="B1016" s="446"/>
      <c r="C1016" s="458"/>
      <c r="D1016" s="1494"/>
      <c r="E1016" s="1494"/>
      <c r="F1016" s="1494"/>
      <c r="G1016" s="1494"/>
      <c r="H1016" s="442"/>
      <c r="I1016" s="442"/>
      <c r="J1016" s="442"/>
      <c r="K1016" s="442"/>
      <c r="L1016" s="442"/>
      <c r="M1016" s="447"/>
      <c r="N1016" s="443"/>
    </row>
    <row r="1017" spans="2:14" ht="15" x14ac:dyDescent="0.25">
      <c r="B1017" s="456"/>
      <c r="C1017" s="457"/>
      <c r="D1017" s="457"/>
      <c r="E1017" s="457"/>
      <c r="F1017" s="448"/>
      <c r="G1017" s="448"/>
      <c r="H1017" s="448"/>
      <c r="I1017" s="448"/>
      <c r="J1017" s="448"/>
      <c r="K1017" s="448"/>
      <c r="L1017" s="448"/>
      <c r="M1017" s="409" t="s">
        <v>24702</v>
      </c>
      <c r="N1017" s="410">
        <f>SUM(N1016:N1016)</f>
        <v>0</v>
      </c>
    </row>
    <row r="1018" spans="2:14" ht="15.75" thickBot="1" x14ac:dyDescent="0.3">
      <c r="B1018" s="456"/>
      <c r="C1018" s="457"/>
      <c r="D1018" s="457"/>
      <c r="E1018" s="457"/>
      <c r="F1018" s="457"/>
      <c r="G1018" s="457"/>
      <c r="H1018" s="457"/>
      <c r="I1018" s="457"/>
      <c r="J1018" s="457"/>
      <c r="K1018" s="457"/>
      <c r="L1018" s="457"/>
      <c r="M1018" s="457"/>
      <c r="N1018" s="404"/>
    </row>
    <row r="1019" spans="2:14" ht="15" x14ac:dyDescent="0.25">
      <c r="B1019" s="802"/>
      <c r="C1019" s="803"/>
      <c r="D1019" s="803"/>
      <c r="E1019" s="803"/>
      <c r="F1019" s="804"/>
      <c r="G1019" s="804"/>
      <c r="H1019" s="804"/>
      <c r="I1019" s="804"/>
      <c r="J1019" s="804"/>
      <c r="K1019" s="804"/>
      <c r="L1019" s="804"/>
      <c r="M1019" s="805" t="s">
        <v>24703</v>
      </c>
      <c r="N1019" s="395">
        <f>N1003+N1009+N1013+N1017</f>
        <v>108.78</v>
      </c>
    </row>
    <row r="1020" spans="2:14" ht="15" x14ac:dyDescent="0.25">
      <c r="B1020" s="456"/>
      <c r="C1020" s="806"/>
      <c r="D1020" s="806"/>
      <c r="E1020" s="806"/>
      <c r="F1020" s="807"/>
      <c r="G1020" s="807"/>
      <c r="H1020" s="807"/>
      <c r="I1020" s="807"/>
      <c r="J1020" s="807"/>
      <c r="K1020" s="807"/>
      <c r="L1020" s="807"/>
      <c r="M1020" s="808">
        <f>'Planilha - Orla'!I3</f>
        <v>0.28220000000000001</v>
      </c>
      <c r="N1020" s="412">
        <f>N1019*M1020</f>
        <v>30.7</v>
      </c>
    </row>
    <row r="1021" spans="2:14" ht="15.75" thickBot="1" x14ac:dyDescent="0.3">
      <c r="B1021" s="1472" t="s">
        <v>24704</v>
      </c>
      <c r="C1021" s="1473"/>
      <c r="D1021" s="1473"/>
      <c r="E1021" s="1473"/>
      <c r="F1021" s="1473"/>
      <c r="G1021" s="1473"/>
      <c r="H1021" s="1473"/>
      <c r="I1021" s="1473"/>
      <c r="J1021" s="1473"/>
      <c r="K1021" s="1473"/>
      <c r="L1021" s="1473"/>
      <c r="M1021" s="1474"/>
      <c r="N1021" s="415">
        <f>N1019+N1020</f>
        <v>139.47999999999999</v>
      </c>
    </row>
    <row r="1022" spans="2:14" x14ac:dyDescent="0.25">
      <c r="B1022" s="690"/>
      <c r="C1022" s="690"/>
      <c r="D1022" s="690"/>
      <c r="E1022" s="690"/>
      <c r="F1022" s="690"/>
      <c r="G1022" s="690"/>
      <c r="H1022" s="690"/>
      <c r="I1022" s="690"/>
      <c r="J1022" s="690"/>
      <c r="K1022" s="690"/>
      <c r="L1022" s="690"/>
      <c r="M1022" s="690"/>
      <c r="N1022" s="801"/>
    </row>
    <row r="1023" spans="2:14" x14ac:dyDescent="0.25">
      <c r="B1023" s="690"/>
      <c r="C1023" s="690"/>
      <c r="D1023" s="690"/>
      <c r="E1023" s="690"/>
      <c r="F1023" s="690"/>
      <c r="G1023" s="690"/>
      <c r="H1023" s="690"/>
      <c r="I1023" s="690"/>
      <c r="J1023" s="690"/>
      <c r="K1023" s="690"/>
      <c r="L1023" s="690"/>
      <c r="M1023" s="690"/>
      <c r="N1023" s="801"/>
    </row>
    <row r="1024" spans="2:14" ht="15" thickBot="1" x14ac:dyDescent="0.3">
      <c r="B1024" s="690"/>
      <c r="C1024" s="690"/>
      <c r="D1024" s="690"/>
      <c r="E1024" s="690"/>
      <c r="F1024" s="690"/>
      <c r="G1024" s="690"/>
      <c r="H1024" s="690"/>
      <c r="I1024" s="690"/>
      <c r="J1024" s="690"/>
      <c r="K1024" s="690"/>
      <c r="L1024" s="690"/>
      <c r="M1024" s="690"/>
      <c r="N1024" s="801"/>
    </row>
    <row r="1025" spans="2:14" ht="48" customHeight="1" x14ac:dyDescent="0.25">
      <c r="B1025" s="1479" t="s">
        <v>24877</v>
      </c>
      <c r="C1025" s="1480"/>
      <c r="D1025" s="1481"/>
      <c r="E1025" s="1482" t="s">
        <v>24669</v>
      </c>
      <c r="F1025" s="1482"/>
      <c r="G1025" s="1482"/>
      <c r="H1025" s="1482"/>
      <c r="I1025" s="1482"/>
      <c r="J1025" s="1482"/>
      <c r="K1025" s="1482"/>
      <c r="L1025" s="453"/>
      <c r="M1025" s="1483"/>
      <c r="N1025" s="1484"/>
    </row>
    <row r="1026" spans="2:14" ht="15" x14ac:dyDescent="0.25">
      <c r="B1026" s="391" t="s">
        <v>24670</v>
      </c>
      <c r="C1026" s="1485" t="s">
        <v>25681</v>
      </c>
      <c r="D1026" s="1485"/>
      <c r="E1026" s="1485"/>
      <c r="F1026" s="1485"/>
      <c r="G1026" s="1485"/>
      <c r="H1026" s="1485"/>
      <c r="I1026" s="1485"/>
      <c r="J1026" s="1485"/>
      <c r="K1026" s="1485"/>
      <c r="L1026" s="1485"/>
      <c r="M1026" s="1485"/>
      <c r="N1026" s="1486"/>
    </row>
    <row r="1027" spans="2:14" ht="15" x14ac:dyDescent="0.25">
      <c r="B1027" s="391" t="s">
        <v>24671</v>
      </c>
      <c r="C1027" s="1487" t="s">
        <v>8</v>
      </c>
      <c r="D1027" s="1487"/>
      <c r="E1027" s="1487"/>
      <c r="F1027" s="1487"/>
      <c r="G1027" s="1487"/>
      <c r="H1027" s="1487"/>
      <c r="I1027" s="1487"/>
      <c r="J1027" s="1487"/>
      <c r="K1027" s="1487"/>
      <c r="L1027" s="1487"/>
      <c r="M1027" s="1487"/>
      <c r="N1027" s="1488"/>
    </row>
    <row r="1028" spans="2:14" ht="15.75" thickBot="1" x14ac:dyDescent="0.3">
      <c r="B1028" s="391" t="s">
        <v>24672</v>
      </c>
      <c r="C1028" s="1489">
        <v>44501</v>
      </c>
      <c r="D1028" s="1490"/>
      <c r="E1028" s="1490"/>
      <c r="F1028" s="1490"/>
      <c r="G1028" s="1490"/>
      <c r="H1028" s="1490"/>
      <c r="I1028" s="1490"/>
      <c r="J1028" s="1490"/>
      <c r="K1028" s="1490"/>
      <c r="L1028" s="1490"/>
      <c r="M1028" s="1490"/>
      <c r="N1028" s="1491"/>
    </row>
    <row r="1029" spans="2:14" ht="30" x14ac:dyDescent="0.25">
      <c r="B1029" s="392" t="s">
        <v>0</v>
      </c>
      <c r="C1029" s="393" t="s">
        <v>24673</v>
      </c>
      <c r="D1029" s="1465" t="s">
        <v>24674</v>
      </c>
      <c r="E1029" s="1465"/>
      <c r="F1029" s="1465"/>
      <c r="G1029" s="1466"/>
      <c r="H1029" s="441" t="s">
        <v>111</v>
      </c>
      <c r="I1029" s="441" t="s">
        <v>24675</v>
      </c>
      <c r="J1029" s="441" t="s">
        <v>24676</v>
      </c>
      <c r="K1029" s="441" t="s">
        <v>24677</v>
      </c>
      <c r="L1029" s="441"/>
      <c r="M1029" s="441" t="s">
        <v>24678</v>
      </c>
      <c r="N1029" s="395" t="s">
        <v>24679</v>
      </c>
    </row>
    <row r="1030" spans="2:14" ht="15" x14ac:dyDescent="0.25">
      <c r="B1030" s="446"/>
      <c r="C1030" s="397"/>
      <c r="D1030" s="1494"/>
      <c r="E1030" s="1494"/>
      <c r="F1030" s="1494"/>
      <c r="G1030" s="1495"/>
      <c r="H1030" s="442"/>
      <c r="I1030" s="442"/>
      <c r="J1030" s="442"/>
      <c r="K1030" s="442"/>
      <c r="L1030" s="442"/>
      <c r="M1030" s="442"/>
      <c r="N1030" s="443"/>
    </row>
    <row r="1031" spans="2:14" ht="15.75" thickBot="1" x14ac:dyDescent="0.3">
      <c r="B1031" s="400"/>
      <c r="C1031" s="401"/>
      <c r="D1031" s="401"/>
      <c r="E1031" s="401"/>
      <c r="F1031" s="444"/>
      <c r="G1031" s="444"/>
      <c r="H1031" s="444"/>
      <c r="I1031" s="444"/>
      <c r="J1031" s="444"/>
      <c r="K1031" s="444"/>
      <c r="L1031" s="444"/>
      <c r="M1031" s="791" t="s">
        <v>24680</v>
      </c>
      <c r="N1031" s="403">
        <f>SUM(N1030:N1030)</f>
        <v>0</v>
      </c>
    </row>
    <row r="1032" spans="2:14" ht="15.75" thickBot="1" x14ac:dyDescent="0.3">
      <c r="B1032" s="456"/>
      <c r="C1032" s="457"/>
      <c r="D1032" s="457"/>
      <c r="E1032" s="457"/>
      <c r="F1032" s="457"/>
      <c r="G1032" s="457"/>
      <c r="H1032" s="457"/>
      <c r="I1032" s="457"/>
      <c r="J1032" s="457"/>
      <c r="K1032" s="457"/>
      <c r="L1032" s="457"/>
      <c r="M1032" s="457"/>
      <c r="N1032" s="404"/>
    </row>
    <row r="1033" spans="2:14" ht="45" x14ac:dyDescent="0.25">
      <c r="B1033" s="392" t="s">
        <v>0</v>
      </c>
      <c r="C1033" s="393" t="s">
        <v>24673</v>
      </c>
      <c r="D1033" s="1465" t="s">
        <v>24681</v>
      </c>
      <c r="E1033" s="1465"/>
      <c r="F1033" s="1465"/>
      <c r="G1033" s="1465"/>
      <c r="H1033" s="1466"/>
      <c r="I1033" s="441" t="s">
        <v>3686</v>
      </c>
      <c r="J1033" s="441" t="s">
        <v>24682</v>
      </c>
      <c r="K1033" s="441" t="s">
        <v>24861</v>
      </c>
      <c r="L1033" s="441" t="s">
        <v>24862</v>
      </c>
      <c r="M1033" s="441" t="s">
        <v>24683</v>
      </c>
      <c r="N1033" s="395" t="s">
        <v>24679</v>
      </c>
    </row>
    <row r="1034" spans="2:14" ht="15" x14ac:dyDescent="0.25">
      <c r="B1034" s="446">
        <v>247</v>
      </c>
      <c r="C1034" s="790" t="s">
        <v>24706</v>
      </c>
      <c r="D1034" s="1463" t="s">
        <v>24969</v>
      </c>
      <c r="E1034" s="1463"/>
      <c r="F1034" s="1463"/>
      <c r="G1034" s="1463"/>
      <c r="H1034" s="1464"/>
      <c r="I1034" s="442" t="s">
        <v>75</v>
      </c>
      <c r="J1034" s="406">
        <v>1.5727</v>
      </c>
      <c r="K1034" s="427">
        <v>13.95</v>
      </c>
      <c r="L1034" s="427">
        <f>K1034*(1+J1034)</f>
        <v>35.89</v>
      </c>
      <c r="M1034" s="447">
        <v>1.0580000000000001</v>
      </c>
      <c r="N1034" s="443">
        <f>L1034*M1034</f>
        <v>37.97</v>
      </c>
    </row>
    <row r="1035" spans="2:14" ht="15" x14ac:dyDescent="0.25">
      <c r="B1035" s="446">
        <v>10115</v>
      </c>
      <c r="C1035" s="790" t="s">
        <v>4389</v>
      </c>
      <c r="D1035" s="1463" t="s">
        <v>24771</v>
      </c>
      <c r="E1035" s="1463"/>
      <c r="F1035" s="1463"/>
      <c r="G1035" s="1463"/>
      <c r="H1035" s="1464"/>
      <c r="I1035" s="442" t="s">
        <v>75</v>
      </c>
      <c r="J1035" s="406">
        <v>1.5727</v>
      </c>
      <c r="K1035" s="427">
        <v>7.43</v>
      </c>
      <c r="L1035" s="427">
        <f>K1035*(1+J1035)</f>
        <v>19.12</v>
      </c>
      <c r="M1035" s="447">
        <v>3.4369999999999998</v>
      </c>
      <c r="N1035" s="443">
        <f>L1035*M1035</f>
        <v>65.72</v>
      </c>
    </row>
    <row r="1036" spans="2:14" ht="15" x14ac:dyDescent="0.25">
      <c r="B1036" s="446">
        <v>10101</v>
      </c>
      <c r="C1036" s="793" t="s">
        <v>4389</v>
      </c>
      <c r="D1036" s="1463" t="s">
        <v>24788</v>
      </c>
      <c r="E1036" s="1463"/>
      <c r="F1036" s="1463"/>
      <c r="G1036" s="1463"/>
      <c r="H1036" s="1464"/>
      <c r="I1036" s="442" t="s">
        <v>75</v>
      </c>
      <c r="J1036" s="406">
        <v>1.5727</v>
      </c>
      <c r="K1036" s="427">
        <v>6.27</v>
      </c>
      <c r="L1036" s="427">
        <f t="shared" ref="L1036:L1037" si="8">K1036*(1+J1036)</f>
        <v>16.13</v>
      </c>
      <c r="M1036" s="447">
        <v>0.2</v>
      </c>
      <c r="N1036" s="443">
        <f t="shared" ref="N1036:N1037" si="9">L1036*M1036</f>
        <v>3.23</v>
      </c>
    </row>
    <row r="1037" spans="2:14" ht="15" x14ac:dyDescent="0.25">
      <c r="B1037" s="446">
        <v>10140</v>
      </c>
      <c r="C1037" s="793" t="s">
        <v>4389</v>
      </c>
      <c r="D1037" s="1463" t="s">
        <v>24973</v>
      </c>
      <c r="E1037" s="1463"/>
      <c r="F1037" s="1463"/>
      <c r="G1037" s="1463"/>
      <c r="H1037" s="1464"/>
      <c r="I1037" s="442" t="s">
        <v>75</v>
      </c>
      <c r="J1037" s="406">
        <v>1.5727</v>
      </c>
      <c r="K1037" s="427">
        <v>7.43</v>
      </c>
      <c r="L1037" s="427">
        <f t="shared" si="8"/>
        <v>19.12</v>
      </c>
      <c r="M1037" s="447">
        <v>0.4</v>
      </c>
      <c r="N1037" s="443">
        <f t="shared" si="9"/>
        <v>7.65</v>
      </c>
    </row>
    <row r="1038" spans="2:14" ht="15.75" thickBot="1" x14ac:dyDescent="0.3">
      <c r="B1038" s="400"/>
      <c r="C1038" s="401"/>
      <c r="D1038" s="401"/>
      <c r="E1038" s="401"/>
      <c r="F1038" s="444"/>
      <c r="G1038" s="444"/>
      <c r="H1038" s="444"/>
      <c r="I1038" s="444"/>
      <c r="J1038" s="444"/>
      <c r="K1038" s="444"/>
      <c r="L1038" s="444"/>
      <c r="M1038" s="791" t="s">
        <v>24684</v>
      </c>
      <c r="N1038" s="403">
        <f>SUM(N1034:N1037)</f>
        <v>114.57</v>
      </c>
    </row>
    <row r="1039" spans="2:14" ht="15.75" thickBot="1" x14ac:dyDescent="0.3">
      <c r="B1039" s="456"/>
      <c r="C1039" s="457"/>
      <c r="D1039" s="457"/>
      <c r="E1039" s="457"/>
      <c r="F1039" s="457"/>
      <c r="G1039" s="457"/>
      <c r="H1039" s="457"/>
      <c r="I1039" s="448"/>
      <c r="J1039" s="448"/>
      <c r="K1039" s="457"/>
      <c r="L1039" s="457"/>
      <c r="M1039" s="457"/>
      <c r="N1039" s="404"/>
    </row>
    <row r="1040" spans="2:14" ht="30" x14ac:dyDescent="0.25">
      <c r="B1040" s="392" t="s">
        <v>0</v>
      </c>
      <c r="C1040" s="393" t="s">
        <v>24673</v>
      </c>
      <c r="D1040" s="1465" t="s">
        <v>24685</v>
      </c>
      <c r="E1040" s="1465"/>
      <c r="F1040" s="1465"/>
      <c r="G1040" s="1465"/>
      <c r="H1040" s="1466"/>
      <c r="I1040" s="441" t="s">
        <v>2858</v>
      </c>
      <c r="J1040" s="441" t="s">
        <v>24686</v>
      </c>
      <c r="K1040" s="441" t="s">
        <v>24687</v>
      </c>
      <c r="L1040" s="441"/>
      <c r="M1040" s="441" t="s">
        <v>24688</v>
      </c>
      <c r="N1040" s="395" t="s">
        <v>24689</v>
      </c>
    </row>
    <row r="1041" spans="2:14" ht="15" x14ac:dyDescent="0.25">
      <c r="B1041" s="446"/>
      <c r="C1041" s="790"/>
      <c r="D1041" s="1463"/>
      <c r="E1041" s="1463"/>
      <c r="F1041" s="1463"/>
      <c r="G1041" s="1463"/>
      <c r="H1041" s="1464"/>
      <c r="I1041" s="442"/>
      <c r="J1041" s="442"/>
      <c r="K1041" s="442"/>
      <c r="L1041" s="442"/>
      <c r="M1041" s="442"/>
      <c r="N1041" s="443"/>
    </row>
    <row r="1042" spans="2:14" ht="15" x14ac:dyDescent="0.25">
      <c r="B1042" s="456"/>
      <c r="C1042" s="457"/>
      <c r="D1042" s="457"/>
      <c r="E1042" s="457"/>
      <c r="F1042" s="448"/>
      <c r="G1042" s="448"/>
      <c r="H1042" s="448"/>
      <c r="I1042" s="448"/>
      <c r="J1042" s="448"/>
      <c r="K1042" s="448"/>
      <c r="L1042" s="448"/>
      <c r="M1042" s="409" t="s">
        <v>24690</v>
      </c>
      <c r="N1042" s="410">
        <f>SUM(N1041:N1041)</f>
        <v>0</v>
      </c>
    </row>
    <row r="1043" spans="2:14" ht="15" x14ac:dyDescent="0.25">
      <c r="B1043" s="456"/>
      <c r="C1043" s="457"/>
      <c r="D1043" s="457"/>
      <c r="E1043" s="457"/>
      <c r="F1043" s="457"/>
      <c r="G1043" s="457"/>
      <c r="H1043" s="457"/>
      <c r="I1043" s="457"/>
      <c r="J1043" s="457"/>
      <c r="K1043" s="457"/>
      <c r="L1043" s="457"/>
      <c r="M1043" s="457"/>
      <c r="N1043" s="404"/>
    </row>
    <row r="1044" spans="2:14" ht="15" x14ac:dyDescent="0.25">
      <c r="B1044" s="456"/>
      <c r="C1044" s="457"/>
      <c r="D1044" s="457"/>
      <c r="E1044" s="457"/>
      <c r="F1044" s="448"/>
      <c r="G1044" s="448"/>
      <c r="H1044" s="448"/>
      <c r="I1044" s="449"/>
      <c r="J1044" s="449"/>
      <c r="K1044" s="449"/>
      <c r="L1044" s="449"/>
      <c r="M1044" s="409" t="s">
        <v>24691</v>
      </c>
      <c r="N1044" s="412">
        <f>N1031+N1038+N1042</f>
        <v>114.57</v>
      </c>
    </row>
    <row r="1045" spans="2:14" ht="15" x14ac:dyDescent="0.25">
      <c r="B1045" s="456"/>
      <c r="C1045" s="457"/>
      <c r="D1045" s="457"/>
      <c r="E1045" s="457"/>
      <c r="F1045" s="448"/>
      <c r="G1045" s="448"/>
      <c r="H1045" s="448"/>
      <c r="I1045" s="448"/>
      <c r="J1045" s="450"/>
      <c r="K1045" s="450"/>
      <c r="L1045" s="450"/>
      <c r="M1045" s="414" t="s">
        <v>24692</v>
      </c>
      <c r="N1045" s="412">
        <v>1</v>
      </c>
    </row>
    <row r="1046" spans="2:14" ht="15.75" thickBot="1" x14ac:dyDescent="0.3">
      <c r="B1046" s="400"/>
      <c r="C1046" s="401"/>
      <c r="D1046" s="401"/>
      <c r="E1046" s="401"/>
      <c r="F1046" s="444"/>
      <c r="G1046" s="444"/>
      <c r="H1046" s="444"/>
      <c r="I1046" s="444"/>
      <c r="J1046" s="444"/>
      <c r="K1046" s="444"/>
      <c r="L1046" s="444"/>
      <c r="M1046" s="791" t="s">
        <v>24693</v>
      </c>
      <c r="N1046" s="415">
        <f>TRUNC(N1044/N1045,2)</f>
        <v>114.57</v>
      </c>
    </row>
    <row r="1047" spans="2:14" ht="15.75" thickBot="1" x14ac:dyDescent="0.3">
      <c r="B1047" s="456"/>
      <c r="C1047" s="457"/>
      <c r="D1047" s="457"/>
      <c r="E1047" s="457"/>
      <c r="F1047" s="457"/>
      <c r="G1047" s="457"/>
      <c r="H1047" s="457"/>
      <c r="I1047" s="457"/>
      <c r="J1047" s="457"/>
      <c r="K1047" s="457"/>
      <c r="L1047" s="457"/>
      <c r="M1047" s="457"/>
      <c r="N1047" s="404"/>
    </row>
    <row r="1048" spans="2:14" ht="30" x14ac:dyDescent="0.25">
      <c r="B1048" s="392" t="s">
        <v>0</v>
      </c>
      <c r="C1048" s="393" t="s">
        <v>24673</v>
      </c>
      <c r="D1048" s="1465" t="s">
        <v>24694</v>
      </c>
      <c r="E1048" s="1465"/>
      <c r="F1048" s="1465"/>
      <c r="G1048" s="1465"/>
      <c r="H1048" s="1465"/>
      <c r="I1048" s="1466"/>
      <c r="J1048" s="441" t="s">
        <v>3686</v>
      </c>
      <c r="K1048" s="441" t="s">
        <v>24695</v>
      </c>
      <c r="L1048" s="1467" t="s">
        <v>24683</v>
      </c>
      <c r="M1048" s="1468"/>
      <c r="N1048" s="395" t="s">
        <v>24689</v>
      </c>
    </row>
    <row r="1049" spans="2:14" ht="15" x14ac:dyDescent="0.25">
      <c r="B1049" s="446">
        <v>863</v>
      </c>
      <c r="C1049" s="790" t="s">
        <v>24706</v>
      </c>
      <c r="D1049" s="1463" t="s">
        <v>24970</v>
      </c>
      <c r="E1049" s="1463"/>
      <c r="F1049" s="1463"/>
      <c r="G1049" s="1463"/>
      <c r="H1049" s="1463"/>
      <c r="I1049" s="1464"/>
      <c r="J1049" s="442" t="s">
        <v>7</v>
      </c>
      <c r="K1049" s="427">
        <v>35.119999999999997</v>
      </c>
      <c r="L1049" s="1513">
        <v>2</v>
      </c>
      <c r="M1049" s="1514"/>
      <c r="N1049" s="443">
        <f>K1049*L1049</f>
        <v>70.239999999999995</v>
      </c>
    </row>
    <row r="1050" spans="2:14" ht="15" x14ac:dyDescent="0.25">
      <c r="B1050" s="446">
        <v>11975</v>
      </c>
      <c r="C1050" s="790" t="s">
        <v>24706</v>
      </c>
      <c r="D1050" s="1463" t="s">
        <v>24971</v>
      </c>
      <c r="E1050" s="1463"/>
      <c r="F1050" s="1463"/>
      <c r="G1050" s="1463"/>
      <c r="H1050" s="1463"/>
      <c r="I1050" s="1464"/>
      <c r="J1050" s="442" t="s">
        <v>8</v>
      </c>
      <c r="K1050" s="427">
        <v>20.3</v>
      </c>
      <c r="L1050" s="1513">
        <v>4</v>
      </c>
      <c r="M1050" s="1514"/>
      <c r="N1050" s="443">
        <f t="shared" ref="N1050:N1055" si="10">K1050*L1050</f>
        <v>81.2</v>
      </c>
    </row>
    <row r="1051" spans="2:14" ht="15" x14ac:dyDescent="0.25">
      <c r="B1051" s="446">
        <v>5050</v>
      </c>
      <c r="C1051" s="790" t="s">
        <v>24706</v>
      </c>
      <c r="D1051" s="1463" t="s">
        <v>25683</v>
      </c>
      <c r="E1051" s="1463"/>
      <c r="F1051" s="1463"/>
      <c r="G1051" s="1463"/>
      <c r="H1051" s="1463"/>
      <c r="I1051" s="1464"/>
      <c r="J1051" s="442" t="s">
        <v>8</v>
      </c>
      <c r="K1051" s="427">
        <v>584.14</v>
      </c>
      <c r="L1051" s="1513">
        <v>1</v>
      </c>
      <c r="M1051" s="1514"/>
      <c r="N1051" s="443">
        <f t="shared" si="10"/>
        <v>584.14</v>
      </c>
    </row>
    <row r="1052" spans="2:14" ht="15" x14ac:dyDescent="0.25">
      <c r="B1052" s="446">
        <v>38028</v>
      </c>
      <c r="C1052" s="790" t="s">
        <v>4379</v>
      </c>
      <c r="D1052" s="1463" t="s">
        <v>24974</v>
      </c>
      <c r="E1052" s="1463"/>
      <c r="F1052" s="1463"/>
      <c r="G1052" s="1463"/>
      <c r="H1052" s="1463"/>
      <c r="I1052" s="1464"/>
      <c r="J1052" s="442" t="s">
        <v>4438</v>
      </c>
      <c r="K1052" s="427">
        <v>21.76</v>
      </c>
      <c r="L1052" s="1513">
        <v>0.22</v>
      </c>
      <c r="M1052" s="1514"/>
      <c r="N1052" s="443">
        <f t="shared" si="10"/>
        <v>4.79</v>
      </c>
    </row>
    <row r="1053" spans="2:14" ht="15" x14ac:dyDescent="0.25">
      <c r="B1053" s="446">
        <v>37502</v>
      </c>
      <c r="C1053" s="790" t="s">
        <v>4379</v>
      </c>
      <c r="D1053" s="1463" t="s">
        <v>24972</v>
      </c>
      <c r="E1053" s="1463"/>
      <c r="F1053" s="1463"/>
      <c r="G1053" s="1463"/>
      <c r="H1053" s="1463"/>
      <c r="I1053" s="1464"/>
      <c r="J1053" s="442" t="s">
        <v>4438</v>
      </c>
      <c r="K1053" s="427">
        <v>31.57</v>
      </c>
      <c r="L1053" s="1513">
        <v>0.18</v>
      </c>
      <c r="M1053" s="1514"/>
      <c r="N1053" s="443">
        <f t="shared" si="10"/>
        <v>5.68</v>
      </c>
    </row>
    <row r="1054" spans="2:14" ht="15" x14ac:dyDescent="0.25">
      <c r="B1054" s="446">
        <v>38001</v>
      </c>
      <c r="C1054" s="793" t="s">
        <v>4379</v>
      </c>
      <c r="D1054" s="1463" t="s">
        <v>24975</v>
      </c>
      <c r="E1054" s="1463"/>
      <c r="F1054" s="1463"/>
      <c r="G1054" s="1463"/>
      <c r="H1054" s="1463"/>
      <c r="I1054" s="1464"/>
      <c r="J1054" s="442" t="s">
        <v>4438</v>
      </c>
      <c r="K1054" s="427">
        <v>14.17</v>
      </c>
      <c r="L1054" s="1513">
        <v>0.02</v>
      </c>
      <c r="M1054" s="1514"/>
      <c r="N1054" s="443">
        <f t="shared" si="10"/>
        <v>0.28000000000000003</v>
      </c>
    </row>
    <row r="1055" spans="2:14" ht="15" x14ac:dyDescent="0.25">
      <c r="B1055" s="446"/>
      <c r="C1055" s="793" t="s">
        <v>4379</v>
      </c>
      <c r="D1055" s="1463" t="s">
        <v>24976</v>
      </c>
      <c r="E1055" s="1463"/>
      <c r="F1055" s="1463"/>
      <c r="G1055" s="1463"/>
      <c r="H1055" s="1463"/>
      <c r="I1055" s="1464"/>
      <c r="J1055" s="442" t="s">
        <v>8</v>
      </c>
      <c r="K1055" s="427">
        <v>3.13</v>
      </c>
      <c r="L1055" s="1513">
        <v>0.25</v>
      </c>
      <c r="M1055" s="1514"/>
      <c r="N1055" s="443">
        <f t="shared" si="10"/>
        <v>0.78</v>
      </c>
    </row>
    <row r="1056" spans="2:14" ht="15" x14ac:dyDescent="0.25">
      <c r="B1056" s="446"/>
      <c r="C1056" s="790"/>
      <c r="D1056" s="1463"/>
      <c r="E1056" s="1463"/>
      <c r="F1056" s="1463"/>
      <c r="G1056" s="1463"/>
      <c r="H1056" s="1463"/>
      <c r="I1056" s="1464"/>
      <c r="J1056" s="442"/>
      <c r="K1056" s="442"/>
      <c r="L1056" s="1461"/>
      <c r="M1056" s="1462"/>
      <c r="N1056" s="443"/>
    </row>
    <row r="1057" spans="2:14" ht="15.75" thickBot="1" x14ac:dyDescent="0.3">
      <c r="B1057" s="400"/>
      <c r="C1057" s="401"/>
      <c r="D1057" s="401"/>
      <c r="E1057" s="401"/>
      <c r="F1057" s="444"/>
      <c r="G1057" s="444"/>
      <c r="H1057" s="444"/>
      <c r="I1057" s="444"/>
      <c r="J1057" s="444"/>
      <c r="K1057" s="444"/>
      <c r="L1057" s="444"/>
      <c r="M1057" s="791" t="s">
        <v>24696</v>
      </c>
      <c r="N1057" s="403">
        <f>SUM(N1049:N1055)</f>
        <v>747.11</v>
      </c>
    </row>
    <row r="1058" spans="2:14" ht="15.75" thickBot="1" x14ac:dyDescent="0.3">
      <c r="B1058" s="456"/>
      <c r="C1058" s="457"/>
      <c r="D1058" s="457"/>
      <c r="E1058" s="457"/>
      <c r="F1058" s="457"/>
      <c r="G1058" s="457"/>
      <c r="H1058" s="457"/>
      <c r="I1058" s="457"/>
      <c r="J1058" s="457"/>
      <c r="K1058" s="457"/>
      <c r="L1058" s="457"/>
      <c r="M1058" s="457"/>
      <c r="N1058" s="404"/>
    </row>
    <row r="1059" spans="2:14" ht="30" x14ac:dyDescent="0.25">
      <c r="B1059" s="392" t="s">
        <v>0</v>
      </c>
      <c r="C1059" s="441" t="s">
        <v>24673</v>
      </c>
      <c r="D1059" s="1465" t="s">
        <v>24697</v>
      </c>
      <c r="E1059" s="1465"/>
      <c r="F1059" s="1465"/>
      <c r="G1059" s="1465"/>
      <c r="H1059" s="1465"/>
      <c r="I1059" s="1466"/>
      <c r="J1059" s="441" t="s">
        <v>3686</v>
      </c>
      <c r="K1059" s="441" t="s">
        <v>24695</v>
      </c>
      <c r="L1059" s="441"/>
      <c r="M1059" s="441" t="s">
        <v>24683</v>
      </c>
      <c r="N1059" s="395" t="s">
        <v>24689</v>
      </c>
    </row>
    <row r="1060" spans="2:14" ht="15" x14ac:dyDescent="0.25">
      <c r="B1060" s="416"/>
      <c r="C1060" s="417"/>
      <c r="D1060" s="1463"/>
      <c r="E1060" s="1463"/>
      <c r="F1060" s="1463"/>
      <c r="G1060" s="1463"/>
      <c r="H1060" s="1463"/>
      <c r="I1060" s="1464"/>
      <c r="J1060" s="451"/>
      <c r="K1060" s="451"/>
      <c r="L1060" s="451"/>
      <c r="M1060" s="419"/>
      <c r="N1060" s="420"/>
    </row>
    <row r="1061" spans="2:14" ht="15.75" thickBot="1" x14ac:dyDescent="0.3">
      <c r="B1061" s="400"/>
      <c r="C1061" s="401"/>
      <c r="D1061" s="401"/>
      <c r="E1061" s="401"/>
      <c r="F1061" s="444"/>
      <c r="G1061" s="444"/>
      <c r="H1061" s="444"/>
      <c r="I1061" s="444"/>
      <c r="J1061" s="444"/>
      <c r="K1061" s="444"/>
      <c r="L1061" s="444"/>
      <c r="M1061" s="791" t="s">
        <v>24698</v>
      </c>
      <c r="N1061" s="403">
        <f>SUM(N1060:N1060)</f>
        <v>0</v>
      </c>
    </row>
    <row r="1062" spans="2:14" ht="15.75" thickBot="1" x14ac:dyDescent="0.3">
      <c r="B1062" s="456"/>
      <c r="C1062" s="457"/>
      <c r="D1062" s="457"/>
      <c r="E1062" s="457"/>
      <c r="F1062" s="457"/>
      <c r="G1062" s="457"/>
      <c r="H1062" s="457"/>
      <c r="I1062" s="457"/>
      <c r="J1062" s="457"/>
      <c r="K1062" s="457"/>
      <c r="L1062" s="457"/>
      <c r="M1062" s="457"/>
      <c r="N1062" s="404"/>
    </row>
    <row r="1063" spans="2:14" ht="30" x14ac:dyDescent="0.25">
      <c r="B1063" s="392" t="s">
        <v>0</v>
      </c>
      <c r="C1063" s="441" t="s">
        <v>24673</v>
      </c>
      <c r="D1063" s="1465" t="s">
        <v>24699</v>
      </c>
      <c r="E1063" s="1465"/>
      <c r="F1063" s="1465"/>
      <c r="G1063" s="1466"/>
      <c r="H1063" s="441" t="s">
        <v>3686</v>
      </c>
      <c r="I1063" s="441" t="s">
        <v>24700</v>
      </c>
      <c r="J1063" s="441" t="s">
        <v>24701</v>
      </c>
      <c r="K1063" s="441" t="s">
        <v>24695</v>
      </c>
      <c r="L1063" s="441"/>
      <c r="M1063" s="441" t="s">
        <v>24683</v>
      </c>
      <c r="N1063" s="395" t="s">
        <v>24689</v>
      </c>
    </row>
    <row r="1064" spans="2:14" ht="15" x14ac:dyDescent="0.25">
      <c r="B1064" s="446"/>
      <c r="C1064" s="790"/>
      <c r="D1064" s="1494"/>
      <c r="E1064" s="1494"/>
      <c r="F1064" s="1494"/>
      <c r="G1064" s="1494"/>
      <c r="H1064" s="442"/>
      <c r="I1064" s="442"/>
      <c r="J1064" s="442"/>
      <c r="K1064" s="442"/>
      <c r="L1064" s="442"/>
      <c r="M1064" s="447"/>
      <c r="N1064" s="443"/>
    </row>
    <row r="1065" spans="2:14" ht="15" x14ac:dyDescent="0.25">
      <c r="B1065" s="456"/>
      <c r="C1065" s="457"/>
      <c r="D1065" s="457"/>
      <c r="E1065" s="457"/>
      <c r="F1065" s="448"/>
      <c r="G1065" s="448"/>
      <c r="H1065" s="448"/>
      <c r="I1065" s="448"/>
      <c r="J1065" s="448"/>
      <c r="K1065" s="448"/>
      <c r="L1065" s="448"/>
      <c r="M1065" s="409" t="s">
        <v>24702</v>
      </c>
      <c r="N1065" s="410">
        <f>SUM(N1064:N1064)</f>
        <v>0</v>
      </c>
    </row>
    <row r="1066" spans="2:14" ht="15.75" thickBot="1" x14ac:dyDescent="0.3">
      <c r="B1066" s="456"/>
      <c r="C1066" s="457"/>
      <c r="D1066" s="457"/>
      <c r="E1066" s="457"/>
      <c r="F1066" s="457"/>
      <c r="G1066" s="457"/>
      <c r="H1066" s="457"/>
      <c r="I1066" s="457"/>
      <c r="J1066" s="457"/>
      <c r="K1066" s="457"/>
      <c r="L1066" s="457"/>
      <c r="M1066" s="457"/>
      <c r="N1066" s="404"/>
    </row>
    <row r="1067" spans="2:14" ht="15" x14ac:dyDescent="0.25">
      <c r="B1067" s="802"/>
      <c r="C1067" s="803"/>
      <c r="D1067" s="803"/>
      <c r="E1067" s="803"/>
      <c r="F1067" s="804"/>
      <c r="G1067" s="804"/>
      <c r="H1067" s="804"/>
      <c r="I1067" s="804"/>
      <c r="J1067" s="804"/>
      <c r="K1067" s="804"/>
      <c r="L1067" s="804"/>
      <c r="M1067" s="805" t="s">
        <v>24703</v>
      </c>
      <c r="N1067" s="395">
        <f>N1046+N1057+N1061+N1065</f>
        <v>861.68</v>
      </c>
    </row>
    <row r="1068" spans="2:14" ht="15" x14ac:dyDescent="0.25">
      <c r="B1068" s="456"/>
      <c r="C1068" s="806"/>
      <c r="D1068" s="806"/>
      <c r="E1068" s="806"/>
      <c r="F1068" s="807"/>
      <c r="G1068" s="807"/>
      <c r="H1068" s="807"/>
      <c r="I1068" s="807"/>
      <c r="J1068" s="807"/>
      <c r="K1068" s="807"/>
      <c r="L1068" s="807"/>
      <c r="M1068" s="808">
        <f>'Planilha - Orla'!I3</f>
        <v>0.28220000000000001</v>
      </c>
      <c r="N1068" s="412">
        <f>N1067*M1068</f>
        <v>243.17</v>
      </c>
    </row>
    <row r="1069" spans="2:14" ht="15.75" thickBot="1" x14ac:dyDescent="0.3">
      <c r="B1069" s="1472" t="s">
        <v>24704</v>
      </c>
      <c r="C1069" s="1473"/>
      <c r="D1069" s="1473"/>
      <c r="E1069" s="1473"/>
      <c r="F1069" s="1473"/>
      <c r="G1069" s="1473"/>
      <c r="H1069" s="1473"/>
      <c r="I1069" s="1473"/>
      <c r="J1069" s="1473"/>
      <c r="K1069" s="1473"/>
      <c r="L1069" s="1473"/>
      <c r="M1069" s="1474"/>
      <c r="N1069" s="415">
        <f>N1067+N1068</f>
        <v>1104.8499999999999</v>
      </c>
    </row>
    <row r="1070" spans="2:14" x14ac:dyDescent="0.25">
      <c r="B1070" s="690"/>
      <c r="C1070" s="690"/>
      <c r="D1070" s="690"/>
      <c r="E1070" s="690"/>
      <c r="F1070" s="690"/>
      <c r="G1070" s="690"/>
      <c r="H1070" s="690"/>
      <c r="I1070" s="690"/>
      <c r="J1070" s="690"/>
      <c r="K1070" s="690"/>
      <c r="L1070" s="690"/>
      <c r="M1070" s="690"/>
      <c r="N1070" s="801"/>
    </row>
    <row r="1071" spans="2:14" x14ac:dyDescent="0.25">
      <c r="B1071" s="690"/>
      <c r="C1071" s="690"/>
      <c r="D1071" s="690"/>
      <c r="E1071" s="690"/>
      <c r="F1071" s="690"/>
      <c r="G1071" s="690"/>
      <c r="H1071" s="690"/>
      <c r="I1071" s="690"/>
      <c r="J1071" s="690"/>
      <c r="K1071" s="690"/>
      <c r="L1071" s="690"/>
      <c r="M1071" s="690"/>
      <c r="N1071" s="801"/>
    </row>
    <row r="1072" spans="2:14" ht="15" thickBot="1" x14ac:dyDescent="0.3">
      <c r="B1072" s="690"/>
      <c r="C1072" s="690"/>
      <c r="D1072" s="690"/>
      <c r="E1072" s="690"/>
      <c r="F1072" s="690"/>
      <c r="G1072" s="690"/>
      <c r="H1072" s="690"/>
      <c r="I1072" s="690"/>
      <c r="J1072" s="690"/>
      <c r="K1072" s="690"/>
      <c r="L1072" s="690"/>
      <c r="M1072" s="690"/>
      <c r="N1072" s="801"/>
    </row>
    <row r="1073" spans="2:14" ht="55.5" customHeight="1" x14ac:dyDescent="0.25">
      <c r="B1073" s="1479" t="s">
        <v>24878</v>
      </c>
      <c r="C1073" s="1480"/>
      <c r="D1073" s="1481"/>
      <c r="E1073" s="1482" t="s">
        <v>24669</v>
      </c>
      <c r="F1073" s="1482"/>
      <c r="G1073" s="1482"/>
      <c r="H1073" s="1482"/>
      <c r="I1073" s="1482"/>
      <c r="J1073" s="1482"/>
      <c r="K1073" s="1482"/>
      <c r="L1073" s="453"/>
      <c r="M1073" s="1483"/>
      <c r="N1073" s="1484"/>
    </row>
    <row r="1074" spans="2:14" ht="15" x14ac:dyDescent="0.25">
      <c r="B1074" s="391" t="s">
        <v>24670</v>
      </c>
      <c r="C1074" s="1485" t="s">
        <v>24980</v>
      </c>
      <c r="D1074" s="1485"/>
      <c r="E1074" s="1485"/>
      <c r="F1074" s="1485"/>
      <c r="G1074" s="1485"/>
      <c r="H1074" s="1485"/>
      <c r="I1074" s="1485"/>
      <c r="J1074" s="1485"/>
      <c r="K1074" s="1485"/>
      <c r="L1074" s="1485"/>
      <c r="M1074" s="1485"/>
      <c r="N1074" s="1486"/>
    </row>
    <row r="1075" spans="2:14" ht="15" x14ac:dyDescent="0.25">
      <c r="B1075" s="391" t="s">
        <v>24671</v>
      </c>
      <c r="C1075" s="1487" t="s">
        <v>8</v>
      </c>
      <c r="D1075" s="1487"/>
      <c r="E1075" s="1487"/>
      <c r="F1075" s="1487"/>
      <c r="G1075" s="1487"/>
      <c r="H1075" s="1487"/>
      <c r="I1075" s="1487"/>
      <c r="J1075" s="1487"/>
      <c r="K1075" s="1487"/>
      <c r="L1075" s="1487"/>
      <c r="M1075" s="1487"/>
      <c r="N1075" s="1488"/>
    </row>
    <row r="1076" spans="2:14" ht="15.75" thickBot="1" x14ac:dyDescent="0.3">
      <c r="B1076" s="391" t="s">
        <v>24672</v>
      </c>
      <c r="C1076" s="1489">
        <v>44501</v>
      </c>
      <c r="D1076" s="1490"/>
      <c r="E1076" s="1490"/>
      <c r="F1076" s="1490"/>
      <c r="G1076" s="1490"/>
      <c r="H1076" s="1490"/>
      <c r="I1076" s="1490"/>
      <c r="J1076" s="1490"/>
      <c r="K1076" s="1490"/>
      <c r="L1076" s="1490"/>
      <c r="M1076" s="1490"/>
      <c r="N1076" s="1491"/>
    </row>
    <row r="1077" spans="2:14" ht="30" x14ac:dyDescent="0.25">
      <c r="B1077" s="392" t="s">
        <v>0</v>
      </c>
      <c r="C1077" s="393" t="s">
        <v>24673</v>
      </c>
      <c r="D1077" s="1465" t="s">
        <v>24674</v>
      </c>
      <c r="E1077" s="1465"/>
      <c r="F1077" s="1465"/>
      <c r="G1077" s="1466"/>
      <c r="H1077" s="441" t="s">
        <v>111</v>
      </c>
      <c r="I1077" s="441" t="s">
        <v>24675</v>
      </c>
      <c r="J1077" s="441" t="s">
        <v>24676</v>
      </c>
      <c r="K1077" s="441" t="s">
        <v>24677</v>
      </c>
      <c r="L1077" s="441"/>
      <c r="M1077" s="441" t="s">
        <v>24678</v>
      </c>
      <c r="N1077" s="395" t="s">
        <v>24679</v>
      </c>
    </row>
    <row r="1078" spans="2:14" ht="15" x14ac:dyDescent="0.25">
      <c r="B1078" s="446"/>
      <c r="C1078" s="397"/>
      <c r="D1078" s="1494"/>
      <c r="E1078" s="1494"/>
      <c r="F1078" s="1494"/>
      <c r="G1078" s="1495"/>
      <c r="H1078" s="442"/>
      <c r="I1078" s="442"/>
      <c r="J1078" s="442"/>
      <c r="K1078" s="442"/>
      <c r="L1078" s="442"/>
      <c r="M1078" s="442"/>
      <c r="N1078" s="443"/>
    </row>
    <row r="1079" spans="2:14" ht="15.75" thickBot="1" x14ac:dyDescent="0.3">
      <c r="B1079" s="400"/>
      <c r="C1079" s="401"/>
      <c r="D1079" s="401"/>
      <c r="E1079" s="401"/>
      <c r="F1079" s="444"/>
      <c r="G1079" s="444"/>
      <c r="H1079" s="444"/>
      <c r="I1079" s="444"/>
      <c r="J1079" s="444"/>
      <c r="K1079" s="444"/>
      <c r="L1079" s="444"/>
      <c r="M1079" s="792" t="s">
        <v>24680</v>
      </c>
      <c r="N1079" s="403">
        <f>SUM(N1078:N1078)</f>
        <v>0</v>
      </c>
    </row>
    <row r="1080" spans="2:14" ht="15.75" thickBot="1" x14ac:dyDescent="0.3">
      <c r="B1080" s="456"/>
      <c r="C1080" s="457"/>
      <c r="D1080" s="457"/>
      <c r="E1080" s="457"/>
      <c r="F1080" s="457"/>
      <c r="G1080" s="457"/>
      <c r="H1080" s="457"/>
      <c r="I1080" s="457"/>
      <c r="J1080" s="457"/>
      <c r="K1080" s="457"/>
      <c r="L1080" s="457"/>
      <c r="M1080" s="457"/>
      <c r="N1080" s="404"/>
    </row>
    <row r="1081" spans="2:14" ht="45" x14ac:dyDescent="0.25">
      <c r="B1081" s="392" t="s">
        <v>0</v>
      </c>
      <c r="C1081" s="393" t="s">
        <v>24673</v>
      </c>
      <c r="D1081" s="1465" t="s">
        <v>24681</v>
      </c>
      <c r="E1081" s="1465"/>
      <c r="F1081" s="1465"/>
      <c r="G1081" s="1465"/>
      <c r="H1081" s="1466"/>
      <c r="I1081" s="441" t="s">
        <v>3686</v>
      </c>
      <c r="J1081" s="441" t="s">
        <v>24682</v>
      </c>
      <c r="K1081" s="441" t="s">
        <v>24861</v>
      </c>
      <c r="L1081" s="441" t="s">
        <v>24862</v>
      </c>
      <c r="M1081" s="441" t="s">
        <v>24683</v>
      </c>
      <c r="N1081" s="395" t="s">
        <v>24679</v>
      </c>
    </row>
    <row r="1082" spans="2:14" ht="15" x14ac:dyDescent="0.25">
      <c r="B1082" s="446">
        <v>10146</v>
      </c>
      <c r="C1082" s="793" t="s">
        <v>4389</v>
      </c>
      <c r="D1082" s="1463" t="s">
        <v>24710</v>
      </c>
      <c r="E1082" s="1463"/>
      <c r="F1082" s="1463"/>
      <c r="G1082" s="1463"/>
      <c r="H1082" s="1464"/>
      <c r="I1082" s="442" t="s">
        <v>75</v>
      </c>
      <c r="J1082" s="406">
        <v>1.5727</v>
      </c>
      <c r="K1082" s="427">
        <v>5.46</v>
      </c>
      <c r="L1082" s="427">
        <f>K1082*(1+J1082)</f>
        <v>14.05</v>
      </c>
      <c r="M1082" s="447">
        <v>9</v>
      </c>
      <c r="N1082" s="443">
        <f>L1082*M1082</f>
        <v>126.45</v>
      </c>
    </row>
    <row r="1083" spans="2:14" ht="15" x14ac:dyDescent="0.25">
      <c r="B1083" s="446">
        <v>10139</v>
      </c>
      <c r="C1083" s="818" t="s">
        <v>4389</v>
      </c>
      <c r="D1083" s="1463" t="s">
        <v>24774</v>
      </c>
      <c r="E1083" s="1463"/>
      <c r="F1083" s="1463"/>
      <c r="G1083" s="1463"/>
      <c r="H1083" s="1464"/>
      <c r="I1083" s="442" t="s">
        <v>75</v>
      </c>
      <c r="J1083" s="406">
        <v>1.5727</v>
      </c>
      <c r="K1083" s="427">
        <v>7.43</v>
      </c>
      <c r="L1083" s="427">
        <f>K1083*(1+J1083)</f>
        <v>19.12</v>
      </c>
      <c r="M1083" s="447">
        <v>1.5</v>
      </c>
      <c r="N1083" s="443">
        <f>L1083*M1083</f>
        <v>28.68</v>
      </c>
    </row>
    <row r="1084" spans="2:14" ht="15" x14ac:dyDescent="0.25">
      <c r="B1084" s="794">
        <v>20065</v>
      </c>
      <c r="C1084" s="793" t="s">
        <v>4389</v>
      </c>
      <c r="D1084" s="1464" t="s">
        <v>24979</v>
      </c>
      <c r="E1084" s="1524"/>
      <c r="F1084" s="1524"/>
      <c r="G1084" s="1524"/>
      <c r="H1084" s="1524"/>
      <c r="I1084" s="442" t="s">
        <v>75</v>
      </c>
      <c r="J1084" s="406">
        <v>1.5727</v>
      </c>
      <c r="K1084" s="427">
        <v>11.74</v>
      </c>
      <c r="L1084" s="427">
        <f>K1084*(1+J1084)</f>
        <v>30.2</v>
      </c>
      <c r="M1084" s="447">
        <v>0.9</v>
      </c>
      <c r="N1084" s="443">
        <f>L1084*M1084</f>
        <v>27.18</v>
      </c>
    </row>
    <row r="1085" spans="2:14" ht="15.75" thickBot="1" x14ac:dyDescent="0.3">
      <c r="B1085" s="400"/>
      <c r="C1085" s="401"/>
      <c r="D1085" s="401"/>
      <c r="E1085" s="401"/>
      <c r="F1085" s="444"/>
      <c r="G1085" s="444"/>
      <c r="H1085" s="444"/>
      <c r="I1085" s="444"/>
      <c r="J1085" s="444"/>
      <c r="K1085" s="444"/>
      <c r="L1085" s="444"/>
      <c r="M1085" s="792" t="s">
        <v>24684</v>
      </c>
      <c r="N1085" s="403">
        <f>SUM(N1082:N1083)</f>
        <v>155.13</v>
      </c>
    </row>
    <row r="1086" spans="2:14" ht="15.75" thickBot="1" x14ac:dyDescent="0.3">
      <c r="B1086" s="456"/>
      <c r="C1086" s="457"/>
      <c r="D1086" s="457"/>
      <c r="E1086" s="457"/>
      <c r="F1086" s="457"/>
      <c r="G1086" s="457"/>
      <c r="H1086" s="457"/>
      <c r="I1086" s="448"/>
      <c r="J1086" s="448"/>
      <c r="K1086" s="457"/>
      <c r="L1086" s="457"/>
      <c r="M1086" s="457"/>
      <c r="N1086" s="404"/>
    </row>
    <row r="1087" spans="2:14" ht="30" x14ac:dyDescent="0.25">
      <c r="B1087" s="392" t="s">
        <v>0</v>
      </c>
      <c r="C1087" s="393" t="s">
        <v>24673</v>
      </c>
      <c r="D1087" s="1465" t="s">
        <v>24685</v>
      </c>
      <c r="E1087" s="1465"/>
      <c r="F1087" s="1465"/>
      <c r="G1087" s="1465"/>
      <c r="H1087" s="1466"/>
      <c r="I1087" s="441" t="s">
        <v>2858</v>
      </c>
      <c r="J1087" s="441" t="s">
        <v>24686</v>
      </c>
      <c r="K1087" s="441" t="s">
        <v>24687</v>
      </c>
      <c r="L1087" s="441"/>
      <c r="M1087" s="441" t="s">
        <v>24688</v>
      </c>
      <c r="N1087" s="395" t="s">
        <v>24689</v>
      </c>
    </row>
    <row r="1088" spans="2:14" ht="15" x14ac:dyDescent="0.25">
      <c r="B1088" s="446"/>
      <c r="C1088" s="793"/>
      <c r="D1088" s="1463"/>
      <c r="E1088" s="1463"/>
      <c r="F1088" s="1463"/>
      <c r="G1088" s="1463"/>
      <c r="H1088" s="1464"/>
      <c r="I1088" s="442"/>
      <c r="J1088" s="442"/>
      <c r="K1088" s="442"/>
      <c r="L1088" s="442"/>
      <c r="M1088" s="442"/>
      <c r="N1088" s="443"/>
    </row>
    <row r="1089" spans="2:14" ht="15" x14ac:dyDescent="0.25">
      <c r="B1089" s="456"/>
      <c r="C1089" s="457"/>
      <c r="D1089" s="457"/>
      <c r="E1089" s="457"/>
      <c r="F1089" s="448"/>
      <c r="G1089" s="448"/>
      <c r="H1089" s="448"/>
      <c r="I1089" s="448"/>
      <c r="J1089" s="448"/>
      <c r="K1089" s="448"/>
      <c r="L1089" s="448"/>
      <c r="M1089" s="409" t="s">
        <v>24690</v>
      </c>
      <c r="N1089" s="410">
        <f>SUM(N1088:N1088)</f>
        <v>0</v>
      </c>
    </row>
    <row r="1090" spans="2:14" ht="15" x14ac:dyDescent="0.25">
      <c r="B1090" s="456"/>
      <c r="C1090" s="457"/>
      <c r="D1090" s="457"/>
      <c r="E1090" s="457"/>
      <c r="F1090" s="457"/>
      <c r="G1090" s="457"/>
      <c r="H1090" s="457"/>
      <c r="I1090" s="457"/>
      <c r="J1090" s="457"/>
      <c r="K1090" s="457"/>
      <c r="L1090" s="457"/>
      <c r="M1090" s="457"/>
      <c r="N1090" s="404"/>
    </row>
    <row r="1091" spans="2:14" ht="15" x14ac:dyDescent="0.25">
      <c r="B1091" s="456"/>
      <c r="C1091" s="457"/>
      <c r="D1091" s="457"/>
      <c r="E1091" s="457"/>
      <c r="F1091" s="448"/>
      <c r="G1091" s="448"/>
      <c r="H1091" s="448"/>
      <c r="I1091" s="449"/>
      <c r="J1091" s="449"/>
      <c r="K1091" s="449"/>
      <c r="L1091" s="449"/>
      <c r="M1091" s="409" t="s">
        <v>24691</v>
      </c>
      <c r="N1091" s="412">
        <f>N1079+N1085+N1089</f>
        <v>155.13</v>
      </c>
    </row>
    <row r="1092" spans="2:14" ht="15" x14ac:dyDescent="0.25">
      <c r="B1092" s="456"/>
      <c r="C1092" s="457"/>
      <c r="D1092" s="457"/>
      <c r="E1092" s="457"/>
      <c r="F1092" s="448"/>
      <c r="G1092" s="448"/>
      <c r="H1092" s="448"/>
      <c r="I1092" s="448"/>
      <c r="J1092" s="450"/>
      <c r="K1092" s="450"/>
      <c r="L1092" s="450"/>
      <c r="M1092" s="414" t="s">
        <v>24692</v>
      </c>
      <c r="N1092" s="412">
        <v>12</v>
      </c>
    </row>
    <row r="1093" spans="2:14" ht="15.75" thickBot="1" x14ac:dyDescent="0.3">
      <c r="B1093" s="400"/>
      <c r="C1093" s="401"/>
      <c r="D1093" s="401"/>
      <c r="E1093" s="401"/>
      <c r="F1093" s="444"/>
      <c r="G1093" s="444"/>
      <c r="H1093" s="444"/>
      <c r="I1093" s="444"/>
      <c r="J1093" s="444"/>
      <c r="K1093" s="444"/>
      <c r="L1093" s="444"/>
      <c r="M1093" s="792" t="s">
        <v>24693</v>
      </c>
      <c r="N1093" s="415">
        <f>TRUNC(N1091/N1092,2)</f>
        <v>12.92</v>
      </c>
    </row>
    <row r="1094" spans="2:14" ht="15.75" thickBot="1" x14ac:dyDescent="0.3">
      <c r="B1094" s="456"/>
      <c r="C1094" s="457"/>
      <c r="D1094" s="457"/>
      <c r="E1094" s="457"/>
      <c r="F1094" s="457"/>
      <c r="G1094" s="457"/>
      <c r="H1094" s="457"/>
      <c r="I1094" s="457"/>
      <c r="J1094" s="457"/>
      <c r="K1094" s="457"/>
      <c r="L1094" s="457"/>
      <c r="M1094" s="457"/>
      <c r="N1094" s="404"/>
    </row>
    <row r="1095" spans="2:14" ht="30" x14ac:dyDescent="0.25">
      <c r="B1095" s="392" t="s">
        <v>0</v>
      </c>
      <c r="C1095" s="393" t="s">
        <v>24673</v>
      </c>
      <c r="D1095" s="1465" t="s">
        <v>24694</v>
      </c>
      <c r="E1095" s="1465"/>
      <c r="F1095" s="1465"/>
      <c r="G1095" s="1465"/>
      <c r="H1095" s="1465"/>
      <c r="I1095" s="1466"/>
      <c r="J1095" s="441" t="s">
        <v>3686</v>
      </c>
      <c r="K1095" s="441" t="s">
        <v>24695</v>
      </c>
      <c r="L1095" s="1467" t="s">
        <v>24683</v>
      </c>
      <c r="M1095" s="1468"/>
      <c r="N1095" s="395" t="s">
        <v>24689</v>
      </c>
    </row>
    <row r="1096" spans="2:14" ht="33" customHeight="1" x14ac:dyDescent="0.25">
      <c r="B1096" s="446">
        <v>42475</v>
      </c>
      <c r="C1096" s="793" t="s">
        <v>4389</v>
      </c>
      <c r="D1096" s="1463" t="s">
        <v>24977</v>
      </c>
      <c r="E1096" s="1463"/>
      <c r="F1096" s="1463"/>
      <c r="G1096" s="1463"/>
      <c r="H1096" s="1463"/>
      <c r="I1096" s="1464"/>
      <c r="J1096" s="442" t="s">
        <v>6</v>
      </c>
      <c r="K1096" s="427">
        <v>488.44</v>
      </c>
      <c r="L1096" s="1513">
        <f>1.05*0.45*0.45</f>
        <v>0.21263000000000001</v>
      </c>
      <c r="M1096" s="1514"/>
      <c r="N1096" s="443">
        <f>K1096*L1096</f>
        <v>103.86</v>
      </c>
    </row>
    <row r="1097" spans="2:14" ht="15" x14ac:dyDescent="0.25">
      <c r="B1097" s="446"/>
      <c r="C1097" s="793"/>
      <c r="D1097" s="1463"/>
      <c r="E1097" s="1463"/>
      <c r="F1097" s="1463"/>
      <c r="G1097" s="1463"/>
      <c r="H1097" s="1463"/>
      <c r="I1097" s="1464"/>
      <c r="J1097" s="442"/>
      <c r="K1097" s="442"/>
      <c r="L1097" s="1461"/>
      <c r="M1097" s="1462"/>
      <c r="N1097" s="443"/>
    </row>
    <row r="1098" spans="2:14" ht="15.75" thickBot="1" x14ac:dyDescent="0.3">
      <c r="B1098" s="400"/>
      <c r="C1098" s="401"/>
      <c r="D1098" s="401"/>
      <c r="E1098" s="401"/>
      <c r="F1098" s="444"/>
      <c r="G1098" s="444"/>
      <c r="H1098" s="444"/>
      <c r="I1098" s="444"/>
      <c r="J1098" s="444"/>
      <c r="K1098" s="444"/>
      <c r="L1098" s="444"/>
      <c r="M1098" s="792" t="s">
        <v>24696</v>
      </c>
      <c r="N1098" s="403">
        <f>SUM(N1096:N1096)</f>
        <v>103.86</v>
      </c>
    </row>
    <row r="1099" spans="2:14" ht="15.75" thickBot="1" x14ac:dyDescent="0.3">
      <c r="B1099" s="456"/>
      <c r="C1099" s="457"/>
      <c r="D1099" s="457"/>
      <c r="E1099" s="457"/>
      <c r="F1099" s="457"/>
      <c r="G1099" s="457"/>
      <c r="H1099" s="457"/>
      <c r="I1099" s="457"/>
      <c r="J1099" s="457"/>
      <c r="K1099" s="457"/>
      <c r="L1099" s="457"/>
      <c r="M1099" s="457"/>
      <c r="N1099" s="404"/>
    </row>
    <row r="1100" spans="2:14" ht="30" x14ac:dyDescent="0.25">
      <c r="B1100" s="392" t="s">
        <v>0</v>
      </c>
      <c r="C1100" s="441" t="s">
        <v>24673</v>
      </c>
      <c r="D1100" s="1465" t="s">
        <v>24697</v>
      </c>
      <c r="E1100" s="1465"/>
      <c r="F1100" s="1465"/>
      <c r="G1100" s="1465"/>
      <c r="H1100" s="1465"/>
      <c r="I1100" s="1466"/>
      <c r="J1100" s="441" t="s">
        <v>3686</v>
      </c>
      <c r="K1100" s="441" t="s">
        <v>24695</v>
      </c>
      <c r="L1100" s="1467" t="s">
        <v>24683</v>
      </c>
      <c r="M1100" s="1468"/>
      <c r="N1100" s="395" t="s">
        <v>24689</v>
      </c>
    </row>
    <row r="1101" spans="2:14" ht="30" customHeight="1" x14ac:dyDescent="0.25">
      <c r="B1101" s="416">
        <v>40333</v>
      </c>
      <c r="C1101" s="417" t="s">
        <v>4389</v>
      </c>
      <c r="D1101" s="1463" t="s">
        <v>21</v>
      </c>
      <c r="E1101" s="1463"/>
      <c r="F1101" s="1463"/>
      <c r="G1101" s="1463"/>
      <c r="H1101" s="1463"/>
      <c r="I1101" s="1464"/>
      <c r="J1101" s="451" t="s">
        <v>77</v>
      </c>
      <c r="K1101" s="451">
        <v>15.75</v>
      </c>
      <c r="L1101" s="1477">
        <f>15*L1096</f>
        <v>3.1894499999999999</v>
      </c>
      <c r="M1101" s="1478"/>
      <c r="N1101" s="420">
        <f>L1101*K1101</f>
        <v>50.23</v>
      </c>
    </row>
    <row r="1102" spans="2:14" ht="15.75" thickBot="1" x14ac:dyDescent="0.3">
      <c r="B1102" s="400"/>
      <c r="C1102" s="401"/>
      <c r="D1102" s="401"/>
      <c r="E1102" s="401"/>
      <c r="F1102" s="444"/>
      <c r="G1102" s="444"/>
      <c r="H1102" s="444"/>
      <c r="I1102" s="444"/>
      <c r="J1102" s="444"/>
      <c r="K1102" s="444"/>
      <c r="L1102" s="444"/>
      <c r="M1102" s="792" t="s">
        <v>24698</v>
      </c>
      <c r="N1102" s="403">
        <f>SUM(N1101:N1101)</f>
        <v>50.23</v>
      </c>
    </row>
    <row r="1103" spans="2:14" ht="15.75" thickBot="1" x14ac:dyDescent="0.3">
      <c r="B1103" s="456"/>
      <c r="C1103" s="457"/>
      <c r="D1103" s="457"/>
      <c r="E1103" s="457"/>
      <c r="F1103" s="457"/>
      <c r="G1103" s="457"/>
      <c r="H1103" s="457"/>
      <c r="I1103" s="457"/>
      <c r="J1103" s="457"/>
      <c r="K1103" s="457"/>
      <c r="L1103" s="457"/>
      <c r="M1103" s="457"/>
      <c r="N1103" s="404"/>
    </row>
    <row r="1104" spans="2:14" ht="30" x14ac:dyDescent="0.25">
      <c r="B1104" s="392" t="s">
        <v>0</v>
      </c>
      <c r="C1104" s="441" t="s">
        <v>24673</v>
      </c>
      <c r="D1104" s="1465" t="s">
        <v>24699</v>
      </c>
      <c r="E1104" s="1465"/>
      <c r="F1104" s="1465"/>
      <c r="G1104" s="1466"/>
      <c r="H1104" s="441" t="s">
        <v>3686</v>
      </c>
      <c r="I1104" s="441" t="s">
        <v>24700</v>
      </c>
      <c r="J1104" s="441" t="s">
        <v>24701</v>
      </c>
      <c r="K1104" s="441" t="s">
        <v>24695</v>
      </c>
      <c r="L1104" s="441"/>
      <c r="M1104" s="441" t="s">
        <v>24683</v>
      </c>
      <c r="N1104" s="395" t="s">
        <v>24689</v>
      </c>
    </row>
    <row r="1105" spans="2:14" ht="15" x14ac:dyDescent="0.25">
      <c r="B1105" s="446"/>
      <c r="C1105" s="793"/>
      <c r="D1105" s="1494"/>
      <c r="E1105" s="1494"/>
      <c r="F1105" s="1494"/>
      <c r="G1105" s="1494"/>
      <c r="H1105" s="442"/>
      <c r="I1105" s="442"/>
      <c r="J1105" s="442"/>
      <c r="K1105" s="442"/>
      <c r="L1105" s="442"/>
      <c r="M1105" s="447"/>
      <c r="N1105" s="443"/>
    </row>
    <row r="1106" spans="2:14" ht="15" x14ac:dyDescent="0.25">
      <c r="B1106" s="456"/>
      <c r="C1106" s="457"/>
      <c r="D1106" s="457"/>
      <c r="E1106" s="457"/>
      <c r="F1106" s="448"/>
      <c r="G1106" s="448"/>
      <c r="H1106" s="448"/>
      <c r="I1106" s="448"/>
      <c r="J1106" s="448"/>
      <c r="K1106" s="448"/>
      <c r="L1106" s="448"/>
      <c r="M1106" s="409" t="s">
        <v>24702</v>
      </c>
      <c r="N1106" s="410">
        <f>SUM(N1105:N1105)</f>
        <v>0</v>
      </c>
    </row>
    <row r="1107" spans="2:14" ht="15.75" thickBot="1" x14ac:dyDescent="0.3">
      <c r="B1107" s="456"/>
      <c r="C1107" s="457"/>
      <c r="D1107" s="457"/>
      <c r="E1107" s="457"/>
      <c r="F1107" s="457"/>
      <c r="G1107" s="457"/>
      <c r="H1107" s="457"/>
      <c r="I1107" s="457"/>
      <c r="J1107" s="457"/>
      <c r="K1107" s="457"/>
      <c r="L1107" s="457"/>
      <c r="M1107" s="457"/>
      <c r="N1107" s="404"/>
    </row>
    <row r="1108" spans="2:14" ht="15" x14ac:dyDescent="0.25">
      <c r="B1108" s="802"/>
      <c r="C1108" s="803"/>
      <c r="D1108" s="803"/>
      <c r="E1108" s="803"/>
      <c r="F1108" s="804"/>
      <c r="G1108" s="804"/>
      <c r="H1108" s="804"/>
      <c r="I1108" s="804"/>
      <c r="J1108" s="804"/>
      <c r="K1108" s="804"/>
      <c r="L1108" s="804"/>
      <c r="M1108" s="805" t="s">
        <v>24703</v>
      </c>
      <c r="N1108" s="395">
        <f>N1093+N1098+N1102+N1106</f>
        <v>167.01</v>
      </c>
    </row>
    <row r="1109" spans="2:14" ht="15" x14ac:dyDescent="0.25">
      <c r="B1109" s="456"/>
      <c r="C1109" s="806"/>
      <c r="D1109" s="806"/>
      <c r="E1109" s="806"/>
      <c r="F1109" s="807"/>
      <c r="G1109" s="807"/>
      <c r="H1109" s="807"/>
      <c r="I1109" s="807"/>
      <c r="J1109" s="807"/>
      <c r="K1109" s="807"/>
      <c r="L1109" s="807"/>
      <c r="M1109" s="808">
        <f>'Planilha - Orla'!I3</f>
        <v>0.28220000000000001</v>
      </c>
      <c r="N1109" s="412">
        <f>N1108*M1109</f>
        <v>47.13</v>
      </c>
    </row>
    <row r="1110" spans="2:14" ht="15.75" thickBot="1" x14ac:dyDescent="0.3">
      <c r="B1110" s="1472" t="s">
        <v>24704</v>
      </c>
      <c r="C1110" s="1473"/>
      <c r="D1110" s="1473"/>
      <c r="E1110" s="1473"/>
      <c r="F1110" s="1473"/>
      <c r="G1110" s="1473"/>
      <c r="H1110" s="1473"/>
      <c r="I1110" s="1473"/>
      <c r="J1110" s="1473"/>
      <c r="K1110" s="1473"/>
      <c r="L1110" s="1473"/>
      <c r="M1110" s="1474"/>
      <c r="N1110" s="415">
        <f>N1108+N1109</f>
        <v>214.14</v>
      </c>
    </row>
    <row r="1111" spans="2:14" ht="15" x14ac:dyDescent="0.25">
      <c r="B1111" s="809"/>
      <c r="C1111" s="809"/>
      <c r="D1111" s="809"/>
      <c r="E1111" s="809"/>
      <c r="F1111" s="809"/>
      <c r="G1111" s="809"/>
      <c r="H1111" s="809"/>
      <c r="I1111" s="809"/>
      <c r="J1111" s="809"/>
      <c r="K1111" s="809"/>
      <c r="L1111" s="809"/>
      <c r="M1111" s="809"/>
      <c r="N1111" s="810"/>
    </row>
    <row r="1112" spans="2:14" ht="15" x14ac:dyDescent="0.25">
      <c r="B1112" s="809"/>
      <c r="C1112" s="809"/>
      <c r="D1112" s="809"/>
      <c r="E1112" s="809"/>
      <c r="F1112" s="809"/>
      <c r="G1112" s="809"/>
      <c r="H1112" s="809"/>
      <c r="I1112" s="809"/>
      <c r="J1112" s="809"/>
      <c r="K1112" s="809"/>
      <c r="L1112" s="809"/>
      <c r="M1112" s="809"/>
      <c r="N1112" s="810"/>
    </row>
    <row r="1113" spans="2:14" ht="15.75" thickBot="1" x14ac:dyDescent="0.3">
      <c r="B1113" s="809"/>
      <c r="C1113" s="809"/>
      <c r="D1113" s="809"/>
      <c r="E1113" s="809"/>
      <c r="F1113" s="809"/>
      <c r="G1113" s="809"/>
      <c r="H1113" s="809"/>
      <c r="I1113" s="809"/>
      <c r="J1113" s="809"/>
      <c r="K1113" s="809"/>
      <c r="L1113" s="809"/>
      <c r="M1113" s="809"/>
      <c r="N1113" s="810"/>
    </row>
    <row r="1114" spans="2:14" ht="54.75" customHeight="1" x14ac:dyDescent="0.25">
      <c r="B1114" s="1479" t="s">
        <v>24879</v>
      </c>
      <c r="C1114" s="1480"/>
      <c r="D1114" s="1481"/>
      <c r="E1114" s="1482" t="s">
        <v>24669</v>
      </c>
      <c r="F1114" s="1482"/>
      <c r="G1114" s="1482"/>
      <c r="H1114" s="1482"/>
      <c r="I1114" s="1482"/>
      <c r="J1114" s="1482"/>
      <c r="K1114" s="1482"/>
      <c r="L1114" s="453"/>
      <c r="M1114" s="1483"/>
      <c r="N1114" s="1484"/>
    </row>
    <row r="1115" spans="2:14" ht="52.5" customHeight="1" x14ac:dyDescent="0.25">
      <c r="B1115" s="391" t="s">
        <v>24670</v>
      </c>
      <c r="C1115" s="1485" t="s">
        <v>4403</v>
      </c>
      <c r="D1115" s="1485"/>
      <c r="E1115" s="1485"/>
      <c r="F1115" s="1485"/>
      <c r="G1115" s="1485"/>
      <c r="H1115" s="1485"/>
      <c r="I1115" s="1485"/>
      <c r="J1115" s="1485"/>
      <c r="K1115" s="1485"/>
      <c r="L1115" s="1485"/>
      <c r="M1115" s="1485"/>
      <c r="N1115" s="1486"/>
    </row>
    <row r="1116" spans="2:14" ht="15" x14ac:dyDescent="0.25">
      <c r="B1116" s="391" t="s">
        <v>24671</v>
      </c>
      <c r="C1116" s="1487" t="s">
        <v>8</v>
      </c>
      <c r="D1116" s="1487"/>
      <c r="E1116" s="1487"/>
      <c r="F1116" s="1487"/>
      <c r="G1116" s="1487"/>
      <c r="H1116" s="1487"/>
      <c r="I1116" s="1487"/>
      <c r="J1116" s="1487"/>
      <c r="K1116" s="1487"/>
      <c r="L1116" s="1487"/>
      <c r="M1116" s="1487"/>
      <c r="N1116" s="1488"/>
    </row>
    <row r="1117" spans="2:14" ht="15.75" thickBot="1" x14ac:dyDescent="0.3">
      <c r="B1117" s="391" t="s">
        <v>24672</v>
      </c>
      <c r="C1117" s="1489">
        <v>44501</v>
      </c>
      <c r="D1117" s="1490"/>
      <c r="E1117" s="1490"/>
      <c r="F1117" s="1490"/>
      <c r="G1117" s="1490"/>
      <c r="H1117" s="1490"/>
      <c r="I1117" s="1490"/>
      <c r="J1117" s="1490"/>
      <c r="K1117" s="1490"/>
      <c r="L1117" s="1490"/>
      <c r="M1117" s="1490"/>
      <c r="N1117" s="1491"/>
    </row>
    <row r="1118" spans="2:14" ht="30" customHeight="1" x14ac:dyDescent="0.25">
      <c r="B1118" s="392" t="s">
        <v>0</v>
      </c>
      <c r="C1118" s="393" t="s">
        <v>24673</v>
      </c>
      <c r="D1118" s="1465" t="s">
        <v>24674</v>
      </c>
      <c r="E1118" s="1465"/>
      <c r="F1118" s="1465"/>
      <c r="G1118" s="1466"/>
      <c r="H1118" s="441" t="s">
        <v>111</v>
      </c>
      <c r="I1118" s="441" t="s">
        <v>24675</v>
      </c>
      <c r="J1118" s="441" t="s">
        <v>24676</v>
      </c>
      <c r="K1118" s="441" t="s">
        <v>24677</v>
      </c>
      <c r="L1118" s="441"/>
      <c r="M1118" s="441" t="s">
        <v>24678</v>
      </c>
      <c r="N1118" s="395" t="s">
        <v>24679</v>
      </c>
    </row>
    <row r="1119" spans="2:14" ht="15" x14ac:dyDescent="0.25">
      <c r="B1119" s="446"/>
      <c r="C1119" s="397"/>
      <c r="D1119" s="1494"/>
      <c r="E1119" s="1494"/>
      <c r="F1119" s="1494"/>
      <c r="G1119" s="1495"/>
      <c r="H1119" s="442"/>
      <c r="I1119" s="442"/>
      <c r="J1119" s="442"/>
      <c r="K1119" s="442"/>
      <c r="L1119" s="442"/>
      <c r="M1119" s="442"/>
      <c r="N1119" s="443"/>
    </row>
    <row r="1120" spans="2:14" ht="15.75" thickBot="1" x14ac:dyDescent="0.3">
      <c r="B1120" s="400"/>
      <c r="C1120" s="401"/>
      <c r="D1120" s="401"/>
      <c r="E1120" s="401"/>
      <c r="F1120" s="444"/>
      <c r="G1120" s="444"/>
      <c r="H1120" s="444"/>
      <c r="I1120" s="444"/>
      <c r="J1120" s="444"/>
      <c r="K1120" s="444"/>
      <c r="L1120" s="444"/>
      <c r="M1120" s="792" t="s">
        <v>24680</v>
      </c>
      <c r="N1120" s="403">
        <f>SUM(N1119:N1119)</f>
        <v>0</v>
      </c>
    </row>
    <row r="1121" spans="2:14" ht="15.75" thickBot="1" x14ac:dyDescent="0.3">
      <c r="B1121" s="456"/>
      <c r="C1121" s="457"/>
      <c r="D1121" s="457"/>
      <c r="E1121" s="457"/>
      <c r="F1121" s="457"/>
      <c r="G1121" s="457"/>
      <c r="H1121" s="457"/>
      <c r="I1121" s="457"/>
      <c r="J1121" s="457"/>
      <c r="K1121" s="457"/>
      <c r="L1121" s="457"/>
      <c r="M1121" s="457"/>
      <c r="N1121" s="404"/>
    </row>
    <row r="1122" spans="2:14" ht="45" x14ac:dyDescent="0.25">
      <c r="B1122" s="392" t="s">
        <v>0</v>
      </c>
      <c r="C1122" s="393" t="s">
        <v>24673</v>
      </c>
      <c r="D1122" s="1465" t="s">
        <v>24681</v>
      </c>
      <c r="E1122" s="1465"/>
      <c r="F1122" s="1465"/>
      <c r="G1122" s="1465"/>
      <c r="H1122" s="1466"/>
      <c r="I1122" s="441" t="s">
        <v>3686</v>
      </c>
      <c r="J1122" s="441" t="s">
        <v>24682</v>
      </c>
      <c r="K1122" s="441" t="s">
        <v>24861</v>
      </c>
      <c r="L1122" s="441" t="s">
        <v>24862</v>
      </c>
      <c r="M1122" s="441" t="s">
        <v>24683</v>
      </c>
      <c r="N1122" s="395" t="s">
        <v>24679</v>
      </c>
    </row>
    <row r="1123" spans="2:14" ht="15" customHeight="1" x14ac:dyDescent="0.25">
      <c r="B1123" s="446">
        <v>10146</v>
      </c>
      <c r="C1123" s="793" t="s">
        <v>4389</v>
      </c>
      <c r="D1123" s="1463" t="s">
        <v>24710</v>
      </c>
      <c r="E1123" s="1463"/>
      <c r="F1123" s="1463"/>
      <c r="G1123" s="1463"/>
      <c r="H1123" s="1464"/>
      <c r="I1123" s="442" t="s">
        <v>75</v>
      </c>
      <c r="J1123" s="406">
        <v>1.5727</v>
      </c>
      <c r="K1123" s="427">
        <v>5.46</v>
      </c>
      <c r="L1123" s="427">
        <f>K1123*(1+J1123)</f>
        <v>14.05</v>
      </c>
      <c r="M1123" s="447">
        <v>0.5</v>
      </c>
      <c r="N1123" s="443">
        <f>L1123*M1123</f>
        <v>7.03</v>
      </c>
    </row>
    <row r="1124" spans="2:14" ht="15" customHeight="1" thickBot="1" x14ac:dyDescent="0.3">
      <c r="B1124" s="400"/>
      <c r="C1124" s="401"/>
      <c r="D1124" s="401"/>
      <c r="E1124" s="401"/>
      <c r="F1124" s="444"/>
      <c r="G1124" s="444"/>
      <c r="H1124" s="444"/>
      <c r="I1124" s="444"/>
      <c r="J1124" s="444"/>
      <c r="K1124" s="444"/>
      <c r="L1124" s="444"/>
      <c r="M1124" s="792" t="s">
        <v>24684</v>
      </c>
      <c r="N1124" s="403">
        <f>SUM(N1123:N1123)</f>
        <v>7.03</v>
      </c>
    </row>
    <row r="1125" spans="2:14" ht="15" customHeight="1" thickBot="1" x14ac:dyDescent="0.3">
      <c r="B1125" s="456"/>
      <c r="C1125" s="457"/>
      <c r="D1125" s="457"/>
      <c r="E1125" s="457"/>
      <c r="F1125" s="457"/>
      <c r="G1125" s="457"/>
      <c r="H1125" s="457"/>
      <c r="I1125" s="448"/>
      <c r="J1125" s="448"/>
      <c r="K1125" s="457"/>
      <c r="L1125" s="457"/>
      <c r="M1125" s="457"/>
      <c r="N1125" s="404"/>
    </row>
    <row r="1126" spans="2:14" ht="30" x14ac:dyDescent="0.25">
      <c r="B1126" s="392" t="s">
        <v>0</v>
      </c>
      <c r="C1126" s="393" t="s">
        <v>24673</v>
      </c>
      <c r="D1126" s="1465" t="s">
        <v>24685</v>
      </c>
      <c r="E1126" s="1465"/>
      <c r="F1126" s="1465"/>
      <c r="G1126" s="1465"/>
      <c r="H1126" s="1466"/>
      <c r="I1126" s="441" t="s">
        <v>2858</v>
      </c>
      <c r="J1126" s="441" t="s">
        <v>24686</v>
      </c>
      <c r="K1126" s="441" t="s">
        <v>24687</v>
      </c>
      <c r="L1126" s="441"/>
      <c r="M1126" s="441" t="s">
        <v>24688</v>
      </c>
      <c r="N1126" s="395" t="s">
        <v>24689</v>
      </c>
    </row>
    <row r="1127" spans="2:14" ht="15" x14ac:dyDescent="0.25">
      <c r="B1127" s="446"/>
      <c r="C1127" s="793"/>
      <c r="D1127" s="1463"/>
      <c r="E1127" s="1463"/>
      <c r="F1127" s="1463"/>
      <c r="G1127" s="1463"/>
      <c r="H1127" s="1464"/>
      <c r="I1127" s="442"/>
      <c r="J1127" s="442"/>
      <c r="K1127" s="442"/>
      <c r="L1127" s="442"/>
      <c r="M1127" s="442"/>
      <c r="N1127" s="443"/>
    </row>
    <row r="1128" spans="2:14" ht="30" customHeight="1" x14ac:dyDescent="0.25">
      <c r="B1128" s="456"/>
      <c r="C1128" s="457"/>
      <c r="D1128" s="457"/>
      <c r="E1128" s="457"/>
      <c r="F1128" s="448"/>
      <c r="G1128" s="448"/>
      <c r="H1128" s="448"/>
      <c r="I1128" s="448"/>
      <c r="J1128" s="448"/>
      <c r="K1128" s="448"/>
      <c r="L1128" s="448"/>
      <c r="M1128" s="409" t="s">
        <v>24690</v>
      </c>
      <c r="N1128" s="410">
        <f>SUM(N1127:N1127)</f>
        <v>0</v>
      </c>
    </row>
    <row r="1129" spans="2:14" ht="15" x14ac:dyDescent="0.25">
      <c r="B1129" s="456"/>
      <c r="C1129" s="457"/>
      <c r="D1129" s="457"/>
      <c r="E1129" s="457"/>
      <c r="F1129" s="457"/>
      <c r="G1129" s="457"/>
      <c r="H1129" s="457"/>
      <c r="I1129" s="457"/>
      <c r="J1129" s="457"/>
      <c r="K1129" s="457"/>
      <c r="L1129" s="457"/>
      <c r="M1129" s="457"/>
      <c r="N1129" s="404"/>
    </row>
    <row r="1130" spans="2:14" ht="15" x14ac:dyDescent="0.25">
      <c r="B1130" s="456"/>
      <c r="C1130" s="457"/>
      <c r="D1130" s="457"/>
      <c r="E1130" s="457"/>
      <c r="F1130" s="448"/>
      <c r="G1130" s="448"/>
      <c r="H1130" s="448"/>
      <c r="I1130" s="449"/>
      <c r="J1130" s="449"/>
      <c r="K1130" s="449"/>
      <c r="L1130" s="449"/>
      <c r="M1130" s="409" t="s">
        <v>24691</v>
      </c>
      <c r="N1130" s="412">
        <f>N1120+N1124+N1128</f>
        <v>7.03</v>
      </c>
    </row>
    <row r="1131" spans="2:14" ht="15" x14ac:dyDescent="0.25">
      <c r="B1131" s="456"/>
      <c r="C1131" s="457"/>
      <c r="D1131" s="457"/>
      <c r="E1131" s="457"/>
      <c r="F1131" s="448"/>
      <c r="G1131" s="448"/>
      <c r="H1131" s="448"/>
      <c r="I1131" s="448"/>
      <c r="J1131" s="450"/>
      <c r="K1131" s="450"/>
      <c r="L1131" s="450"/>
      <c r="M1131" s="414" t="s">
        <v>24692</v>
      </c>
      <c r="N1131" s="412">
        <v>1</v>
      </c>
    </row>
    <row r="1132" spans="2:14" ht="15.75" thickBot="1" x14ac:dyDescent="0.3">
      <c r="B1132" s="400"/>
      <c r="C1132" s="401"/>
      <c r="D1132" s="401"/>
      <c r="E1132" s="401"/>
      <c r="F1132" s="444"/>
      <c r="G1132" s="444"/>
      <c r="H1132" s="444"/>
      <c r="I1132" s="444"/>
      <c r="J1132" s="444"/>
      <c r="K1132" s="444"/>
      <c r="L1132" s="444"/>
      <c r="M1132" s="792" t="s">
        <v>24693</v>
      </c>
      <c r="N1132" s="415">
        <f>TRUNC(N1130/N1131,2)</f>
        <v>7.03</v>
      </c>
    </row>
    <row r="1133" spans="2:14" ht="15.75" thickBot="1" x14ac:dyDescent="0.3">
      <c r="B1133" s="456"/>
      <c r="C1133" s="457"/>
      <c r="D1133" s="457"/>
      <c r="E1133" s="457"/>
      <c r="F1133" s="457"/>
      <c r="G1133" s="457"/>
      <c r="H1133" s="457"/>
      <c r="I1133" s="457"/>
      <c r="J1133" s="457"/>
      <c r="K1133" s="457"/>
      <c r="L1133" s="457"/>
      <c r="M1133" s="457"/>
      <c r="N1133" s="404"/>
    </row>
    <row r="1134" spans="2:14" ht="30" x14ac:dyDescent="0.25">
      <c r="B1134" s="392" t="s">
        <v>0</v>
      </c>
      <c r="C1134" s="393" t="s">
        <v>24673</v>
      </c>
      <c r="D1134" s="1465" t="s">
        <v>24694</v>
      </c>
      <c r="E1134" s="1465"/>
      <c r="F1134" s="1465"/>
      <c r="G1134" s="1465"/>
      <c r="H1134" s="1465"/>
      <c r="I1134" s="1466"/>
      <c r="J1134" s="441" t="s">
        <v>3686</v>
      </c>
      <c r="K1134" s="441" t="s">
        <v>24695</v>
      </c>
      <c r="L1134" s="1467" t="s">
        <v>24683</v>
      </c>
      <c r="M1134" s="1468"/>
      <c r="N1134" s="395" t="s">
        <v>24689</v>
      </c>
    </row>
    <row r="1135" spans="2:14" ht="33.75" customHeight="1" x14ac:dyDescent="0.25">
      <c r="B1135" s="446" t="s">
        <v>530</v>
      </c>
      <c r="C1135" s="793" t="s">
        <v>4389</v>
      </c>
      <c r="D1135" s="1463" t="s">
        <v>24978</v>
      </c>
      <c r="E1135" s="1463"/>
      <c r="F1135" s="1463"/>
      <c r="G1135" s="1463"/>
      <c r="H1135" s="1463"/>
      <c r="I1135" s="1464"/>
      <c r="J1135" s="442" t="s">
        <v>8</v>
      </c>
      <c r="K1135" s="427">
        <v>2799</v>
      </c>
      <c r="L1135" s="1513">
        <v>1</v>
      </c>
      <c r="M1135" s="1514"/>
      <c r="N1135" s="443">
        <f>K1135*L1135</f>
        <v>2799</v>
      </c>
    </row>
    <row r="1136" spans="2:14" ht="15" x14ac:dyDescent="0.25">
      <c r="B1136" s="446"/>
      <c r="C1136" s="793"/>
      <c r="D1136" s="1463"/>
      <c r="E1136" s="1463"/>
      <c r="F1136" s="1463"/>
      <c r="G1136" s="1463"/>
      <c r="H1136" s="1463"/>
      <c r="I1136" s="1464"/>
      <c r="J1136" s="442"/>
      <c r="K1136" s="442"/>
      <c r="L1136" s="1461"/>
      <c r="M1136" s="1462"/>
      <c r="N1136" s="443"/>
    </row>
    <row r="1137" spans="2:14" ht="15" customHeight="1" thickBot="1" x14ac:dyDescent="0.3">
      <c r="B1137" s="400"/>
      <c r="C1137" s="401"/>
      <c r="D1137" s="401"/>
      <c r="E1137" s="401"/>
      <c r="F1137" s="444"/>
      <c r="G1137" s="444"/>
      <c r="H1137" s="444"/>
      <c r="I1137" s="444"/>
      <c r="J1137" s="444"/>
      <c r="K1137" s="444"/>
      <c r="L1137" s="444"/>
      <c r="M1137" s="792" t="s">
        <v>24696</v>
      </c>
      <c r="N1137" s="403">
        <f>SUM(N1135:N1135)</f>
        <v>2799</v>
      </c>
    </row>
    <row r="1138" spans="2:14" ht="15" customHeight="1" thickBot="1" x14ac:dyDescent="0.3">
      <c r="B1138" s="456"/>
      <c r="C1138" s="457"/>
      <c r="D1138" s="457"/>
      <c r="E1138" s="457"/>
      <c r="F1138" s="457"/>
      <c r="G1138" s="457"/>
      <c r="H1138" s="457"/>
      <c r="I1138" s="457"/>
      <c r="J1138" s="457"/>
      <c r="K1138" s="457"/>
      <c r="L1138" s="457"/>
      <c r="M1138" s="457"/>
      <c r="N1138" s="404"/>
    </row>
    <row r="1139" spans="2:14" ht="30" x14ac:dyDescent="0.25">
      <c r="B1139" s="392" t="s">
        <v>0</v>
      </c>
      <c r="C1139" s="441" t="s">
        <v>24673</v>
      </c>
      <c r="D1139" s="1465" t="s">
        <v>24697</v>
      </c>
      <c r="E1139" s="1465"/>
      <c r="F1139" s="1465"/>
      <c r="G1139" s="1465"/>
      <c r="H1139" s="1465"/>
      <c r="I1139" s="1466"/>
      <c r="J1139" s="441" t="s">
        <v>3686</v>
      </c>
      <c r="K1139" s="441" t="s">
        <v>24695</v>
      </c>
      <c r="L1139" s="441"/>
      <c r="M1139" s="441" t="s">
        <v>24683</v>
      </c>
      <c r="N1139" s="395" t="s">
        <v>24689</v>
      </c>
    </row>
    <row r="1140" spans="2:14" ht="15" x14ac:dyDescent="0.25">
      <c r="B1140" s="416"/>
      <c r="C1140" s="417"/>
      <c r="D1140" s="1463"/>
      <c r="E1140" s="1463"/>
      <c r="F1140" s="1463"/>
      <c r="G1140" s="1463"/>
      <c r="H1140" s="1463"/>
      <c r="I1140" s="1464"/>
      <c r="J1140" s="451"/>
      <c r="K1140" s="451"/>
      <c r="L1140" s="451"/>
      <c r="M1140" s="419"/>
      <c r="N1140" s="420"/>
    </row>
    <row r="1141" spans="2:14" ht="15.75" thickBot="1" x14ac:dyDescent="0.3">
      <c r="B1141" s="400"/>
      <c r="C1141" s="401"/>
      <c r="D1141" s="401"/>
      <c r="E1141" s="401"/>
      <c r="F1141" s="444"/>
      <c r="G1141" s="444"/>
      <c r="H1141" s="444"/>
      <c r="I1141" s="444"/>
      <c r="J1141" s="444"/>
      <c r="K1141" s="444"/>
      <c r="L1141" s="444"/>
      <c r="M1141" s="792" t="s">
        <v>24698</v>
      </c>
      <c r="N1141" s="403">
        <f>SUM(N1140:N1140)</f>
        <v>0</v>
      </c>
    </row>
    <row r="1142" spans="2:14" ht="15.75" thickBot="1" x14ac:dyDescent="0.3">
      <c r="B1142" s="456"/>
      <c r="C1142" s="457"/>
      <c r="D1142" s="457"/>
      <c r="E1142" s="457"/>
      <c r="F1142" s="457"/>
      <c r="G1142" s="457"/>
      <c r="H1142" s="457"/>
      <c r="I1142" s="457"/>
      <c r="J1142" s="457"/>
      <c r="K1142" s="457"/>
      <c r="L1142" s="457"/>
      <c r="M1142" s="457"/>
      <c r="N1142" s="404"/>
    </row>
    <row r="1143" spans="2:14" ht="15" customHeight="1" x14ac:dyDescent="0.25">
      <c r="B1143" s="392" t="s">
        <v>0</v>
      </c>
      <c r="C1143" s="441" t="s">
        <v>24673</v>
      </c>
      <c r="D1143" s="1465" t="s">
        <v>24699</v>
      </c>
      <c r="E1143" s="1465"/>
      <c r="F1143" s="1465"/>
      <c r="G1143" s="1466"/>
      <c r="H1143" s="441" t="s">
        <v>3686</v>
      </c>
      <c r="I1143" s="441" t="s">
        <v>24700</v>
      </c>
      <c r="J1143" s="441" t="s">
        <v>24701</v>
      </c>
      <c r="K1143" s="441" t="s">
        <v>24695</v>
      </c>
      <c r="L1143" s="441"/>
      <c r="M1143" s="441" t="s">
        <v>24683</v>
      </c>
      <c r="N1143" s="395" t="s">
        <v>24689</v>
      </c>
    </row>
    <row r="1144" spans="2:14" ht="15" x14ac:dyDescent="0.25">
      <c r="B1144" s="446"/>
      <c r="C1144" s="793"/>
      <c r="D1144" s="1494"/>
      <c r="E1144" s="1494"/>
      <c r="F1144" s="1494"/>
      <c r="G1144" s="1494"/>
      <c r="H1144" s="442"/>
      <c r="I1144" s="442"/>
      <c r="J1144" s="442"/>
      <c r="K1144" s="442"/>
      <c r="L1144" s="442"/>
      <c r="M1144" s="447"/>
      <c r="N1144" s="443"/>
    </row>
    <row r="1145" spans="2:14" ht="15" x14ac:dyDescent="0.25">
      <c r="B1145" s="456"/>
      <c r="C1145" s="457"/>
      <c r="D1145" s="457"/>
      <c r="E1145" s="457"/>
      <c r="F1145" s="448"/>
      <c r="G1145" s="448"/>
      <c r="H1145" s="448"/>
      <c r="I1145" s="448"/>
      <c r="J1145" s="448"/>
      <c r="K1145" s="448"/>
      <c r="L1145" s="448"/>
      <c r="M1145" s="409" t="s">
        <v>24702</v>
      </c>
      <c r="N1145" s="410">
        <f>SUM(N1144:N1144)</f>
        <v>0</v>
      </c>
    </row>
    <row r="1146" spans="2:14" ht="30" customHeight="1" thickBot="1" x14ac:dyDescent="0.3">
      <c r="B1146" s="456"/>
      <c r="C1146" s="457"/>
      <c r="D1146" s="457"/>
      <c r="E1146" s="457"/>
      <c r="F1146" s="457"/>
      <c r="G1146" s="457"/>
      <c r="H1146" s="457"/>
      <c r="I1146" s="457"/>
      <c r="J1146" s="457"/>
      <c r="K1146" s="457"/>
      <c r="L1146" s="457"/>
      <c r="M1146" s="457"/>
      <c r="N1146" s="404"/>
    </row>
    <row r="1147" spans="2:14" ht="15" x14ac:dyDescent="0.25">
      <c r="B1147" s="802"/>
      <c r="C1147" s="803"/>
      <c r="D1147" s="803"/>
      <c r="E1147" s="803"/>
      <c r="F1147" s="804"/>
      <c r="G1147" s="804"/>
      <c r="H1147" s="804"/>
      <c r="I1147" s="804"/>
      <c r="J1147" s="804"/>
      <c r="K1147" s="804"/>
      <c r="L1147" s="804"/>
      <c r="M1147" s="805" t="s">
        <v>24703</v>
      </c>
      <c r="N1147" s="395">
        <f>N1132+N1137+N1141+N1145</f>
        <v>2806.03</v>
      </c>
    </row>
    <row r="1148" spans="2:14" ht="15.75" thickBot="1" x14ac:dyDescent="0.3">
      <c r="B1148" s="456"/>
      <c r="C1148" s="806"/>
      <c r="D1148" s="806"/>
      <c r="E1148" s="806"/>
      <c r="F1148" s="807"/>
      <c r="G1148" s="807"/>
      <c r="H1148" s="807"/>
      <c r="I1148" s="807"/>
      <c r="J1148" s="807"/>
      <c r="K1148" s="807"/>
      <c r="L1148" s="807"/>
      <c r="M1148" s="808">
        <f>'Planilha - Orla'!I3</f>
        <v>0.28220000000000001</v>
      </c>
      <c r="N1148" s="819">
        <f>N1147*M1148</f>
        <v>791.86</v>
      </c>
    </row>
    <row r="1149" spans="2:14" ht="15.75" thickBot="1" x14ac:dyDescent="0.3">
      <c r="B1149" s="1500" t="s">
        <v>24704</v>
      </c>
      <c r="C1149" s="1501"/>
      <c r="D1149" s="1501"/>
      <c r="E1149" s="1501"/>
      <c r="F1149" s="1501"/>
      <c r="G1149" s="1501"/>
      <c r="H1149" s="1501"/>
      <c r="I1149" s="1501"/>
      <c r="J1149" s="1501"/>
      <c r="K1149" s="1501"/>
      <c r="L1149" s="1501"/>
      <c r="M1149" s="1502"/>
      <c r="N1149" s="820">
        <f>N1147+N1148</f>
        <v>3597.89</v>
      </c>
    </row>
    <row r="1150" spans="2:14" ht="15" x14ac:dyDescent="0.25">
      <c r="B1150" s="809"/>
      <c r="C1150" s="809"/>
      <c r="D1150" s="809"/>
      <c r="E1150" s="809"/>
      <c r="F1150" s="809"/>
      <c r="G1150" s="809"/>
      <c r="H1150" s="809"/>
      <c r="I1150" s="809"/>
      <c r="J1150" s="809"/>
      <c r="K1150" s="809"/>
      <c r="L1150" s="809"/>
      <c r="M1150" s="809"/>
      <c r="N1150" s="810"/>
    </row>
    <row r="1151" spans="2:14" ht="15" x14ac:dyDescent="0.25">
      <c r="B1151" s="809"/>
      <c r="C1151" s="809"/>
      <c r="D1151" s="809"/>
      <c r="E1151" s="809"/>
      <c r="F1151" s="809"/>
      <c r="G1151" s="809"/>
      <c r="H1151" s="809"/>
      <c r="I1151" s="809"/>
      <c r="J1151" s="809"/>
      <c r="K1151" s="809"/>
      <c r="L1151" s="809"/>
      <c r="M1151" s="809"/>
      <c r="N1151" s="810"/>
    </row>
    <row r="1152" spans="2:14" ht="15" x14ac:dyDescent="0.25">
      <c r="B1152" s="809"/>
      <c r="C1152" s="809"/>
      <c r="D1152" s="809"/>
      <c r="E1152" s="809"/>
      <c r="F1152" s="809"/>
      <c r="G1152" s="809"/>
      <c r="H1152" s="809"/>
      <c r="I1152" s="809"/>
      <c r="J1152" s="809"/>
      <c r="K1152" s="809"/>
      <c r="L1152" s="809"/>
      <c r="M1152" s="809"/>
      <c r="N1152" s="810"/>
    </row>
    <row r="1153" spans="2:14" ht="15.75" thickBot="1" x14ac:dyDescent="0.3">
      <c r="B1153" s="809"/>
      <c r="C1153" s="809"/>
      <c r="D1153" s="809"/>
      <c r="E1153" s="809"/>
      <c r="F1153" s="809"/>
      <c r="G1153" s="809"/>
      <c r="H1153" s="809"/>
      <c r="I1153" s="809"/>
      <c r="J1153" s="809"/>
      <c r="K1153" s="809"/>
      <c r="L1153" s="809"/>
      <c r="M1153" s="809"/>
      <c r="N1153" s="810"/>
    </row>
    <row r="1154" spans="2:14" ht="47.25" customHeight="1" thickBot="1" x14ac:dyDescent="0.3">
      <c r="B1154" s="1506" t="s">
        <v>24943</v>
      </c>
      <c r="C1154" s="1507"/>
      <c r="D1154" s="1508"/>
      <c r="E1154" s="1509" t="s">
        <v>24669</v>
      </c>
      <c r="F1154" s="1482"/>
      <c r="G1154" s="1482"/>
      <c r="H1154" s="1482"/>
      <c r="I1154" s="1482"/>
      <c r="J1154" s="1482"/>
      <c r="K1154" s="1498"/>
      <c r="L1154" s="821"/>
      <c r="M1154" s="1510"/>
      <c r="N1154" s="1511"/>
    </row>
    <row r="1155" spans="2:14" ht="15" x14ac:dyDescent="0.25">
      <c r="B1155" s="391" t="s">
        <v>24670</v>
      </c>
      <c r="C1155" s="1512" t="s">
        <v>24981</v>
      </c>
      <c r="D1155" s="1512"/>
      <c r="E1155" s="1485"/>
      <c r="F1155" s="1485"/>
      <c r="G1155" s="1485"/>
      <c r="H1155" s="1485"/>
      <c r="I1155" s="1485"/>
      <c r="J1155" s="1485"/>
      <c r="K1155" s="1485"/>
      <c r="L1155" s="1512"/>
      <c r="M1155" s="1512"/>
      <c r="N1155" s="1488"/>
    </row>
    <row r="1156" spans="2:14" ht="15" x14ac:dyDescent="0.25">
      <c r="B1156" s="391" t="s">
        <v>24671</v>
      </c>
      <c r="C1156" s="1487" t="s">
        <v>8</v>
      </c>
      <c r="D1156" s="1487"/>
      <c r="E1156" s="1487"/>
      <c r="F1156" s="1487"/>
      <c r="G1156" s="1487"/>
      <c r="H1156" s="1487"/>
      <c r="I1156" s="1487"/>
      <c r="J1156" s="1487"/>
      <c r="K1156" s="1487"/>
      <c r="L1156" s="1487"/>
      <c r="M1156" s="1487"/>
      <c r="N1156" s="1488"/>
    </row>
    <row r="1157" spans="2:14" ht="15.75" thickBot="1" x14ac:dyDescent="0.3">
      <c r="B1157" s="391" t="s">
        <v>24672</v>
      </c>
      <c r="C1157" s="1489">
        <v>44501</v>
      </c>
      <c r="D1157" s="1490"/>
      <c r="E1157" s="1490"/>
      <c r="F1157" s="1490"/>
      <c r="G1157" s="1490"/>
      <c r="H1157" s="1490"/>
      <c r="I1157" s="1490"/>
      <c r="J1157" s="1490"/>
      <c r="K1157" s="1490"/>
      <c r="L1157" s="1490"/>
      <c r="M1157" s="1490"/>
      <c r="N1157" s="1491"/>
    </row>
    <row r="1158" spans="2:14" ht="30" x14ac:dyDescent="0.25">
      <c r="B1158" s="392" t="s">
        <v>0</v>
      </c>
      <c r="C1158" s="393" t="s">
        <v>24673</v>
      </c>
      <c r="D1158" s="1465" t="s">
        <v>24674</v>
      </c>
      <c r="E1158" s="1465"/>
      <c r="F1158" s="1465"/>
      <c r="G1158" s="1466"/>
      <c r="H1158" s="441" t="s">
        <v>111</v>
      </c>
      <c r="I1158" s="441" t="s">
        <v>24675</v>
      </c>
      <c r="J1158" s="441" t="s">
        <v>24676</v>
      </c>
      <c r="K1158" s="441" t="s">
        <v>24677</v>
      </c>
      <c r="L1158" s="441"/>
      <c r="M1158" s="441" t="s">
        <v>24678</v>
      </c>
      <c r="N1158" s="395" t="s">
        <v>24679</v>
      </c>
    </row>
    <row r="1159" spans="2:14" ht="15" x14ac:dyDescent="0.25">
      <c r="B1159" s="446"/>
      <c r="C1159" s="397"/>
      <c r="D1159" s="1494"/>
      <c r="E1159" s="1494"/>
      <c r="F1159" s="1494"/>
      <c r="G1159" s="1495"/>
      <c r="H1159" s="442"/>
      <c r="I1159" s="442"/>
      <c r="J1159" s="442"/>
      <c r="K1159" s="442"/>
      <c r="L1159" s="442"/>
      <c r="M1159" s="442"/>
      <c r="N1159" s="443"/>
    </row>
    <row r="1160" spans="2:14" ht="15.75" thickBot="1" x14ac:dyDescent="0.3">
      <c r="B1160" s="400"/>
      <c r="C1160" s="401"/>
      <c r="D1160" s="401"/>
      <c r="E1160" s="401"/>
      <c r="F1160" s="444"/>
      <c r="G1160" s="444"/>
      <c r="H1160" s="444"/>
      <c r="I1160" s="444"/>
      <c r="J1160" s="444"/>
      <c r="K1160" s="444"/>
      <c r="L1160" s="444"/>
      <c r="M1160" s="792" t="s">
        <v>24680</v>
      </c>
      <c r="N1160" s="403">
        <f>SUM(N1159:N1159)</f>
        <v>0</v>
      </c>
    </row>
    <row r="1161" spans="2:14" ht="15.75" thickBot="1" x14ac:dyDescent="0.3">
      <c r="B1161" s="456"/>
      <c r="C1161" s="457"/>
      <c r="D1161" s="457"/>
      <c r="E1161" s="457"/>
      <c r="F1161" s="457"/>
      <c r="G1161" s="457"/>
      <c r="H1161" s="457"/>
      <c r="I1161" s="457"/>
      <c r="J1161" s="457"/>
      <c r="K1161" s="457"/>
      <c r="L1161" s="457"/>
      <c r="M1161" s="457"/>
      <c r="N1161" s="404"/>
    </row>
    <row r="1162" spans="2:14" ht="45" x14ac:dyDescent="0.25">
      <c r="B1162" s="392" t="s">
        <v>0</v>
      </c>
      <c r="C1162" s="393" t="s">
        <v>24673</v>
      </c>
      <c r="D1162" s="1465" t="s">
        <v>24681</v>
      </c>
      <c r="E1162" s="1465"/>
      <c r="F1162" s="1465"/>
      <c r="G1162" s="1465"/>
      <c r="H1162" s="1466"/>
      <c r="I1162" s="441" t="s">
        <v>3686</v>
      </c>
      <c r="J1162" s="441" t="s">
        <v>24682</v>
      </c>
      <c r="K1162" s="441" t="s">
        <v>24861</v>
      </c>
      <c r="L1162" s="441" t="s">
        <v>24862</v>
      </c>
      <c r="M1162" s="441" t="s">
        <v>24683</v>
      </c>
      <c r="N1162" s="395" t="s">
        <v>24679</v>
      </c>
    </row>
    <row r="1163" spans="2:14" ht="15" x14ac:dyDescent="0.25">
      <c r="B1163" s="446">
        <v>10146</v>
      </c>
      <c r="C1163" s="793" t="s">
        <v>4389</v>
      </c>
      <c r="D1163" s="1463" t="s">
        <v>24710</v>
      </c>
      <c r="E1163" s="1463"/>
      <c r="F1163" s="1463"/>
      <c r="G1163" s="1463"/>
      <c r="H1163" s="1464"/>
      <c r="I1163" s="442" t="s">
        <v>75</v>
      </c>
      <c r="J1163" s="406">
        <v>1.5727</v>
      </c>
      <c r="K1163" s="427">
        <v>5.46</v>
      </c>
      <c r="L1163" s="427">
        <f>K1163*(1+J1163)</f>
        <v>14.05</v>
      </c>
      <c r="M1163" s="447">
        <v>7</v>
      </c>
      <c r="N1163" s="443">
        <f>L1163*M1163</f>
        <v>98.35</v>
      </c>
    </row>
    <row r="1164" spans="2:14" ht="15" x14ac:dyDescent="0.25">
      <c r="B1164" s="446">
        <v>10139</v>
      </c>
      <c r="C1164" s="818" t="s">
        <v>4389</v>
      </c>
      <c r="D1164" s="1463" t="s">
        <v>24774</v>
      </c>
      <c r="E1164" s="1463"/>
      <c r="F1164" s="1463"/>
      <c r="G1164" s="1463"/>
      <c r="H1164" s="1464"/>
      <c r="I1164" s="442" t="s">
        <v>75</v>
      </c>
      <c r="J1164" s="406">
        <v>1.5727</v>
      </c>
      <c r="K1164" s="427">
        <v>7.43</v>
      </c>
      <c r="L1164" s="427">
        <f>K1164*(1+J1164)</f>
        <v>19.12</v>
      </c>
      <c r="M1164" s="447">
        <v>1.5</v>
      </c>
      <c r="N1164" s="443">
        <f>L1164*M1164</f>
        <v>28.68</v>
      </c>
    </row>
    <row r="1165" spans="2:14" ht="15" x14ac:dyDescent="0.25">
      <c r="B1165" s="794">
        <v>20065</v>
      </c>
      <c r="C1165" s="793" t="s">
        <v>4389</v>
      </c>
      <c r="D1165" s="1464" t="s">
        <v>24979</v>
      </c>
      <c r="E1165" s="1524"/>
      <c r="F1165" s="1524"/>
      <c r="G1165" s="1524"/>
      <c r="H1165" s="1524"/>
      <c r="I1165" s="442" t="s">
        <v>75</v>
      </c>
      <c r="J1165" s="406">
        <v>1.5727</v>
      </c>
      <c r="K1165" s="427">
        <v>11.74</v>
      </c>
      <c r="L1165" s="427">
        <f>K1165*(1+J1165)</f>
        <v>30.2</v>
      </c>
      <c r="M1165" s="447">
        <v>0.9</v>
      </c>
      <c r="N1165" s="443">
        <f>L1165*M1165</f>
        <v>27.18</v>
      </c>
    </row>
    <row r="1166" spans="2:14" ht="15.75" thickBot="1" x14ac:dyDescent="0.3">
      <c r="B1166" s="400"/>
      <c r="C1166" s="401"/>
      <c r="D1166" s="401"/>
      <c r="E1166" s="401"/>
      <c r="F1166" s="444"/>
      <c r="G1166" s="444"/>
      <c r="H1166" s="444"/>
      <c r="I1166" s="444"/>
      <c r="J1166" s="444"/>
      <c r="K1166" s="444"/>
      <c r="L1166" s="444"/>
      <c r="M1166" s="792" t="s">
        <v>24684</v>
      </c>
      <c r="N1166" s="403">
        <f>SUM(N1163:N1164)</f>
        <v>127.03</v>
      </c>
    </row>
    <row r="1167" spans="2:14" ht="15.75" thickBot="1" x14ac:dyDescent="0.3">
      <c r="B1167" s="456"/>
      <c r="C1167" s="457"/>
      <c r="D1167" s="457"/>
      <c r="E1167" s="457"/>
      <c r="F1167" s="457"/>
      <c r="G1167" s="457"/>
      <c r="H1167" s="457"/>
      <c r="I1167" s="448"/>
      <c r="J1167" s="448"/>
      <c r="K1167" s="457"/>
      <c r="L1167" s="457"/>
      <c r="M1167" s="457"/>
      <c r="N1167" s="404"/>
    </row>
    <row r="1168" spans="2:14" ht="30" x14ac:dyDescent="0.25">
      <c r="B1168" s="392" t="s">
        <v>0</v>
      </c>
      <c r="C1168" s="393" t="s">
        <v>24673</v>
      </c>
      <c r="D1168" s="1465" t="s">
        <v>24685</v>
      </c>
      <c r="E1168" s="1465"/>
      <c r="F1168" s="1465"/>
      <c r="G1168" s="1465"/>
      <c r="H1168" s="1466"/>
      <c r="I1168" s="441" t="s">
        <v>2858</v>
      </c>
      <c r="J1168" s="441" t="s">
        <v>24686</v>
      </c>
      <c r="K1168" s="441" t="s">
        <v>24687</v>
      </c>
      <c r="L1168" s="441"/>
      <c r="M1168" s="441" t="s">
        <v>24688</v>
      </c>
      <c r="N1168" s="395" t="s">
        <v>24689</v>
      </c>
    </row>
    <row r="1169" spans="2:14" ht="15" x14ac:dyDescent="0.25">
      <c r="B1169" s="446"/>
      <c r="C1169" s="793"/>
      <c r="D1169" s="1463"/>
      <c r="E1169" s="1463"/>
      <c r="F1169" s="1463"/>
      <c r="G1169" s="1463"/>
      <c r="H1169" s="1464"/>
      <c r="I1169" s="442"/>
      <c r="J1169" s="442"/>
      <c r="K1169" s="442"/>
      <c r="L1169" s="442"/>
      <c r="M1169" s="442"/>
      <c r="N1169" s="443"/>
    </row>
    <row r="1170" spans="2:14" ht="15" x14ac:dyDescent="0.25">
      <c r="B1170" s="456"/>
      <c r="C1170" s="457"/>
      <c r="D1170" s="457"/>
      <c r="E1170" s="457"/>
      <c r="F1170" s="448"/>
      <c r="G1170" s="448"/>
      <c r="H1170" s="448"/>
      <c r="I1170" s="448"/>
      <c r="J1170" s="448"/>
      <c r="K1170" s="448"/>
      <c r="L1170" s="448"/>
      <c r="M1170" s="409" t="s">
        <v>24690</v>
      </c>
      <c r="N1170" s="410">
        <f>SUM(N1169:N1169)</f>
        <v>0</v>
      </c>
    </row>
    <row r="1171" spans="2:14" ht="15" x14ac:dyDescent="0.25">
      <c r="B1171" s="456"/>
      <c r="C1171" s="457"/>
      <c r="D1171" s="457"/>
      <c r="E1171" s="457"/>
      <c r="F1171" s="457"/>
      <c r="G1171" s="457"/>
      <c r="H1171" s="457"/>
      <c r="I1171" s="457"/>
      <c r="J1171" s="457"/>
      <c r="K1171" s="457"/>
      <c r="L1171" s="457"/>
      <c r="M1171" s="457"/>
      <c r="N1171" s="404"/>
    </row>
    <row r="1172" spans="2:14" ht="15" x14ac:dyDescent="0.25">
      <c r="B1172" s="456"/>
      <c r="C1172" s="457"/>
      <c r="D1172" s="457"/>
      <c r="E1172" s="457"/>
      <c r="F1172" s="448"/>
      <c r="G1172" s="448"/>
      <c r="H1172" s="448"/>
      <c r="I1172" s="449"/>
      <c r="J1172" s="449"/>
      <c r="K1172" s="449"/>
      <c r="L1172" s="449"/>
      <c r="M1172" s="409" t="s">
        <v>24691</v>
      </c>
      <c r="N1172" s="412">
        <f>N1160+N1166+N1170</f>
        <v>127.03</v>
      </c>
    </row>
    <row r="1173" spans="2:14" ht="15" x14ac:dyDescent="0.25">
      <c r="B1173" s="456"/>
      <c r="C1173" s="457"/>
      <c r="D1173" s="457"/>
      <c r="E1173" s="457"/>
      <c r="F1173" s="448"/>
      <c r="G1173" s="448"/>
      <c r="H1173" s="448"/>
      <c r="I1173" s="448"/>
      <c r="J1173" s="450"/>
      <c r="K1173" s="450"/>
      <c r="L1173" s="450"/>
      <c r="M1173" s="414" t="s">
        <v>24692</v>
      </c>
      <c r="N1173" s="412">
        <v>1</v>
      </c>
    </row>
    <row r="1174" spans="2:14" ht="15.75" thickBot="1" x14ac:dyDescent="0.3">
      <c r="B1174" s="400"/>
      <c r="C1174" s="401"/>
      <c r="D1174" s="401"/>
      <c r="E1174" s="401"/>
      <c r="F1174" s="444"/>
      <c r="G1174" s="444"/>
      <c r="H1174" s="444"/>
      <c r="I1174" s="444"/>
      <c r="J1174" s="444"/>
      <c r="K1174" s="444"/>
      <c r="L1174" s="444"/>
      <c r="M1174" s="792" t="s">
        <v>24693</v>
      </c>
      <c r="N1174" s="415">
        <f>TRUNC(N1172/N1173,2)</f>
        <v>127.03</v>
      </c>
    </row>
    <row r="1175" spans="2:14" ht="15.75" thickBot="1" x14ac:dyDescent="0.3">
      <c r="B1175" s="456"/>
      <c r="C1175" s="457"/>
      <c r="D1175" s="457"/>
      <c r="E1175" s="457"/>
      <c r="F1175" s="457"/>
      <c r="G1175" s="457"/>
      <c r="H1175" s="457"/>
      <c r="I1175" s="457"/>
      <c r="J1175" s="457"/>
      <c r="K1175" s="457"/>
      <c r="L1175" s="457"/>
      <c r="M1175" s="457"/>
      <c r="N1175" s="404"/>
    </row>
    <row r="1176" spans="2:14" ht="30" x14ac:dyDescent="0.25">
      <c r="B1176" s="392" t="s">
        <v>0</v>
      </c>
      <c r="C1176" s="393" t="s">
        <v>24673</v>
      </c>
      <c r="D1176" s="1465" t="s">
        <v>24694</v>
      </c>
      <c r="E1176" s="1465"/>
      <c r="F1176" s="1465"/>
      <c r="G1176" s="1465"/>
      <c r="H1176" s="1465"/>
      <c r="I1176" s="1466"/>
      <c r="J1176" s="441" t="s">
        <v>3686</v>
      </c>
      <c r="K1176" s="441" t="s">
        <v>24695</v>
      </c>
      <c r="L1176" s="1467" t="s">
        <v>24683</v>
      </c>
      <c r="M1176" s="1468"/>
      <c r="N1176" s="395" t="s">
        <v>24689</v>
      </c>
    </row>
    <row r="1177" spans="2:14" ht="15" x14ac:dyDescent="0.25">
      <c r="B1177" s="446">
        <v>42475</v>
      </c>
      <c r="C1177" s="793" t="s">
        <v>4389</v>
      </c>
      <c r="D1177" s="1463" t="s">
        <v>24977</v>
      </c>
      <c r="E1177" s="1463"/>
      <c r="F1177" s="1463"/>
      <c r="G1177" s="1463"/>
      <c r="H1177" s="1463"/>
      <c r="I1177" s="1464"/>
      <c r="J1177" s="442" t="s">
        <v>6</v>
      </c>
      <c r="K1177" s="427">
        <v>488.44</v>
      </c>
      <c r="L1177" s="1513">
        <f>(0.45*2.2*0.45)+ (0.1*0.3*0.65)</f>
        <v>0.46500000000000002</v>
      </c>
      <c r="M1177" s="1514"/>
      <c r="N1177" s="443">
        <f>K1177*L1177</f>
        <v>227.12</v>
      </c>
    </row>
    <row r="1178" spans="2:14" ht="15" x14ac:dyDescent="0.25">
      <c r="B1178" s="446"/>
      <c r="C1178" s="793"/>
      <c r="D1178" s="1463"/>
      <c r="E1178" s="1463"/>
      <c r="F1178" s="1463"/>
      <c r="G1178" s="1463"/>
      <c r="H1178" s="1463"/>
      <c r="I1178" s="1464"/>
      <c r="J1178" s="442"/>
      <c r="K1178" s="442"/>
      <c r="L1178" s="1461"/>
      <c r="M1178" s="1462"/>
      <c r="N1178" s="443"/>
    </row>
    <row r="1179" spans="2:14" ht="15.75" thickBot="1" x14ac:dyDescent="0.3">
      <c r="B1179" s="400"/>
      <c r="C1179" s="401"/>
      <c r="D1179" s="401"/>
      <c r="E1179" s="401"/>
      <c r="F1179" s="444"/>
      <c r="G1179" s="444"/>
      <c r="H1179" s="444"/>
      <c r="I1179" s="444"/>
      <c r="J1179" s="444"/>
      <c r="K1179" s="444"/>
      <c r="L1179" s="444"/>
      <c r="M1179" s="792" t="s">
        <v>24696</v>
      </c>
      <c r="N1179" s="403">
        <f>SUM(N1177:N1177)</f>
        <v>227.12</v>
      </c>
    </row>
    <row r="1180" spans="2:14" ht="15.75" thickBot="1" x14ac:dyDescent="0.3">
      <c r="B1180" s="456"/>
      <c r="C1180" s="457"/>
      <c r="D1180" s="457"/>
      <c r="E1180" s="457"/>
      <c r="F1180" s="457"/>
      <c r="G1180" s="457"/>
      <c r="H1180" s="457"/>
      <c r="I1180" s="457"/>
      <c r="J1180" s="457"/>
      <c r="K1180" s="457"/>
      <c r="L1180" s="457"/>
      <c r="M1180" s="457"/>
      <c r="N1180" s="404"/>
    </row>
    <row r="1181" spans="2:14" ht="30" x14ac:dyDescent="0.25">
      <c r="B1181" s="392" t="s">
        <v>0</v>
      </c>
      <c r="C1181" s="441" t="s">
        <v>24673</v>
      </c>
      <c r="D1181" s="1465" t="s">
        <v>24697</v>
      </c>
      <c r="E1181" s="1465"/>
      <c r="F1181" s="1465"/>
      <c r="G1181" s="1465"/>
      <c r="H1181" s="1465"/>
      <c r="I1181" s="1466"/>
      <c r="J1181" s="441" t="s">
        <v>3686</v>
      </c>
      <c r="K1181" s="441" t="s">
        <v>24695</v>
      </c>
      <c r="L1181" s="1467" t="s">
        <v>24683</v>
      </c>
      <c r="M1181" s="1468"/>
      <c r="N1181" s="395" t="s">
        <v>24689</v>
      </c>
    </row>
    <row r="1182" spans="2:14" ht="15" x14ac:dyDescent="0.25">
      <c r="B1182" s="416">
        <v>40333</v>
      </c>
      <c r="C1182" s="417" t="s">
        <v>4389</v>
      </c>
      <c r="D1182" s="1463" t="s">
        <v>21</v>
      </c>
      <c r="E1182" s="1463"/>
      <c r="F1182" s="1463"/>
      <c r="G1182" s="1463"/>
      <c r="H1182" s="1463"/>
      <c r="I1182" s="1464"/>
      <c r="J1182" s="451" t="s">
        <v>77</v>
      </c>
      <c r="K1182" s="451">
        <v>15.75</v>
      </c>
      <c r="L1182" s="1477">
        <f>15*L1177</f>
        <v>6.9749999999999996</v>
      </c>
      <c r="M1182" s="1478"/>
      <c r="N1182" s="420">
        <f>L1182*K1182</f>
        <v>109.86</v>
      </c>
    </row>
    <row r="1183" spans="2:14" ht="15.75" thickBot="1" x14ac:dyDescent="0.3">
      <c r="B1183" s="400"/>
      <c r="C1183" s="401"/>
      <c r="D1183" s="401"/>
      <c r="E1183" s="401"/>
      <c r="F1183" s="444"/>
      <c r="G1183" s="444"/>
      <c r="H1183" s="444"/>
      <c r="I1183" s="444"/>
      <c r="J1183" s="444"/>
      <c r="K1183" s="444"/>
      <c r="L1183" s="444"/>
      <c r="M1183" s="792" t="s">
        <v>24698</v>
      </c>
      <c r="N1183" s="403">
        <f>SUM(N1182:N1182)</f>
        <v>109.86</v>
      </c>
    </row>
    <row r="1184" spans="2:14" ht="15.75" thickBot="1" x14ac:dyDescent="0.3">
      <c r="B1184" s="456"/>
      <c r="C1184" s="457"/>
      <c r="D1184" s="457"/>
      <c r="E1184" s="457"/>
      <c r="F1184" s="457"/>
      <c r="G1184" s="457"/>
      <c r="H1184" s="457"/>
      <c r="I1184" s="457"/>
      <c r="J1184" s="457"/>
      <c r="K1184" s="457"/>
      <c r="L1184" s="457"/>
      <c r="M1184" s="457"/>
      <c r="N1184" s="404"/>
    </row>
    <row r="1185" spans="2:14" ht="30" x14ac:dyDescent="0.25">
      <c r="B1185" s="392" t="s">
        <v>0</v>
      </c>
      <c r="C1185" s="441" t="s">
        <v>24673</v>
      </c>
      <c r="D1185" s="1465" t="s">
        <v>24699</v>
      </c>
      <c r="E1185" s="1465"/>
      <c r="F1185" s="1465"/>
      <c r="G1185" s="1466"/>
      <c r="H1185" s="441" t="s">
        <v>3686</v>
      </c>
      <c r="I1185" s="441" t="s">
        <v>24700</v>
      </c>
      <c r="J1185" s="441" t="s">
        <v>24701</v>
      </c>
      <c r="K1185" s="441" t="s">
        <v>24695</v>
      </c>
      <c r="L1185" s="441"/>
      <c r="M1185" s="441" t="s">
        <v>24683</v>
      </c>
      <c r="N1185" s="395" t="s">
        <v>24689</v>
      </c>
    </row>
    <row r="1186" spans="2:14" ht="15" x14ac:dyDescent="0.25">
      <c r="B1186" s="446"/>
      <c r="C1186" s="793"/>
      <c r="D1186" s="1494"/>
      <c r="E1186" s="1494"/>
      <c r="F1186" s="1494"/>
      <c r="G1186" s="1494"/>
      <c r="H1186" s="442"/>
      <c r="I1186" s="442"/>
      <c r="J1186" s="442"/>
      <c r="K1186" s="442"/>
      <c r="L1186" s="442"/>
      <c r="M1186" s="447"/>
      <c r="N1186" s="443"/>
    </row>
    <row r="1187" spans="2:14" ht="15" x14ac:dyDescent="0.25">
      <c r="B1187" s="456"/>
      <c r="C1187" s="457"/>
      <c r="D1187" s="457"/>
      <c r="E1187" s="457"/>
      <c r="F1187" s="448"/>
      <c r="G1187" s="448"/>
      <c r="H1187" s="448"/>
      <c r="I1187" s="448"/>
      <c r="J1187" s="448"/>
      <c r="K1187" s="448"/>
      <c r="L1187" s="448"/>
      <c r="M1187" s="409" t="s">
        <v>24702</v>
      </c>
      <c r="N1187" s="410">
        <f>SUM(N1186:N1186)</f>
        <v>0</v>
      </c>
    </row>
    <row r="1188" spans="2:14" ht="15.75" thickBot="1" x14ac:dyDescent="0.3">
      <c r="B1188" s="456"/>
      <c r="C1188" s="457"/>
      <c r="D1188" s="457"/>
      <c r="E1188" s="457"/>
      <c r="F1188" s="457"/>
      <c r="G1188" s="457"/>
      <c r="H1188" s="457"/>
      <c r="I1188" s="457"/>
      <c r="J1188" s="457"/>
      <c r="K1188" s="457"/>
      <c r="L1188" s="457"/>
      <c r="M1188" s="457"/>
      <c r="N1188" s="404"/>
    </row>
    <row r="1189" spans="2:14" ht="15" x14ac:dyDescent="0.25">
      <c r="B1189" s="802"/>
      <c r="C1189" s="803"/>
      <c r="D1189" s="803"/>
      <c r="E1189" s="803"/>
      <c r="F1189" s="804"/>
      <c r="G1189" s="804"/>
      <c r="H1189" s="804"/>
      <c r="I1189" s="804"/>
      <c r="J1189" s="804"/>
      <c r="K1189" s="804"/>
      <c r="L1189" s="804"/>
      <c r="M1189" s="805" t="s">
        <v>24703</v>
      </c>
      <c r="N1189" s="395">
        <f>N1174+N1179+N1183+N1187</f>
        <v>464.01</v>
      </c>
    </row>
    <row r="1190" spans="2:14" ht="15.75" thickBot="1" x14ac:dyDescent="0.3">
      <c r="B1190" s="456"/>
      <c r="C1190" s="806"/>
      <c r="D1190" s="806"/>
      <c r="E1190" s="806"/>
      <c r="F1190" s="807"/>
      <c r="G1190" s="807"/>
      <c r="H1190" s="807"/>
      <c r="I1190" s="807"/>
      <c r="J1190" s="807"/>
      <c r="K1190" s="807"/>
      <c r="L1190" s="807"/>
      <c r="M1190" s="808">
        <f>'Planilha - Orla'!I3</f>
        <v>0.28220000000000001</v>
      </c>
      <c r="N1190" s="819">
        <f>N1189*M1190</f>
        <v>130.94</v>
      </c>
    </row>
    <row r="1191" spans="2:14" ht="15.75" thickBot="1" x14ac:dyDescent="0.3">
      <c r="B1191" s="1500" t="s">
        <v>24704</v>
      </c>
      <c r="C1191" s="1501"/>
      <c r="D1191" s="1501"/>
      <c r="E1191" s="1501"/>
      <c r="F1191" s="1501"/>
      <c r="G1191" s="1501"/>
      <c r="H1191" s="1501"/>
      <c r="I1191" s="1501"/>
      <c r="J1191" s="1501"/>
      <c r="K1191" s="1501"/>
      <c r="L1191" s="1501"/>
      <c r="M1191" s="1502"/>
      <c r="N1191" s="820">
        <f>N1189+N1190</f>
        <v>594.95000000000005</v>
      </c>
    </row>
    <row r="1192" spans="2:14" ht="15" x14ac:dyDescent="0.25">
      <c r="B1192" s="809"/>
      <c r="C1192" s="809"/>
      <c r="D1192" s="809"/>
      <c r="E1192" s="809"/>
      <c r="F1192" s="809"/>
      <c r="G1192" s="809"/>
      <c r="H1192" s="809"/>
      <c r="I1192" s="809"/>
      <c r="J1192" s="809"/>
      <c r="K1192" s="809"/>
      <c r="L1192" s="809"/>
      <c r="M1192" s="809"/>
      <c r="N1192" s="810"/>
    </row>
    <row r="1193" spans="2:14" ht="15" x14ac:dyDescent="0.25">
      <c r="B1193" s="809"/>
      <c r="C1193" s="809"/>
      <c r="D1193" s="809"/>
      <c r="E1193" s="809"/>
      <c r="F1193" s="809"/>
      <c r="G1193" s="809"/>
      <c r="H1193" s="809"/>
      <c r="I1193" s="809"/>
      <c r="J1193" s="809"/>
      <c r="K1193" s="809"/>
      <c r="L1193" s="809"/>
      <c r="M1193" s="809"/>
      <c r="N1193" s="810"/>
    </row>
    <row r="1194" spans="2:14" ht="15.75" thickBot="1" x14ac:dyDescent="0.3">
      <c r="B1194" s="809"/>
      <c r="C1194" s="809"/>
      <c r="D1194" s="809"/>
      <c r="E1194" s="809"/>
      <c r="F1194" s="809"/>
      <c r="G1194" s="809"/>
      <c r="H1194" s="809"/>
      <c r="I1194" s="809"/>
      <c r="J1194" s="809"/>
      <c r="K1194" s="809"/>
      <c r="L1194" s="809"/>
      <c r="M1194" s="809"/>
      <c r="N1194" s="810"/>
    </row>
    <row r="1195" spans="2:14" ht="49.5" customHeight="1" thickBot="1" x14ac:dyDescent="0.3">
      <c r="B1195" s="1506" t="s">
        <v>24944</v>
      </c>
      <c r="C1195" s="1507"/>
      <c r="D1195" s="1508"/>
      <c r="E1195" s="1509" t="s">
        <v>24669</v>
      </c>
      <c r="F1195" s="1482"/>
      <c r="G1195" s="1482"/>
      <c r="H1195" s="1482"/>
      <c r="I1195" s="1482"/>
      <c r="J1195" s="1482"/>
      <c r="K1195" s="1498"/>
      <c r="L1195" s="821"/>
      <c r="M1195" s="1510"/>
      <c r="N1195" s="1511"/>
    </row>
    <row r="1196" spans="2:14" ht="15" x14ac:dyDescent="0.25">
      <c r="B1196" s="391" t="s">
        <v>24670</v>
      </c>
      <c r="C1196" s="1512" t="s">
        <v>25011</v>
      </c>
      <c r="D1196" s="1512"/>
      <c r="E1196" s="1485"/>
      <c r="F1196" s="1485"/>
      <c r="G1196" s="1485"/>
      <c r="H1196" s="1485"/>
      <c r="I1196" s="1485"/>
      <c r="J1196" s="1485"/>
      <c r="K1196" s="1485"/>
      <c r="L1196" s="1512"/>
      <c r="M1196" s="1512"/>
      <c r="N1196" s="1488"/>
    </row>
    <row r="1197" spans="2:14" ht="15" x14ac:dyDescent="0.25">
      <c r="B1197" s="391" t="s">
        <v>24671</v>
      </c>
      <c r="C1197" s="1487" t="s">
        <v>6</v>
      </c>
      <c r="D1197" s="1487"/>
      <c r="E1197" s="1487"/>
      <c r="F1197" s="1487"/>
      <c r="G1197" s="1487"/>
      <c r="H1197" s="1487"/>
      <c r="I1197" s="1487"/>
      <c r="J1197" s="1487"/>
      <c r="K1197" s="1487"/>
      <c r="L1197" s="1487"/>
      <c r="M1197" s="1487"/>
      <c r="N1197" s="1488"/>
    </row>
    <row r="1198" spans="2:14" ht="15.75" thickBot="1" x14ac:dyDescent="0.3">
      <c r="B1198" s="391" t="s">
        <v>24672</v>
      </c>
      <c r="C1198" s="1489">
        <v>44501</v>
      </c>
      <c r="D1198" s="1490"/>
      <c r="E1198" s="1490"/>
      <c r="F1198" s="1490"/>
      <c r="G1198" s="1490"/>
      <c r="H1198" s="1490"/>
      <c r="I1198" s="1490"/>
      <c r="J1198" s="1490"/>
      <c r="K1198" s="1490"/>
      <c r="L1198" s="1490"/>
      <c r="M1198" s="1490"/>
      <c r="N1198" s="1491"/>
    </row>
    <row r="1199" spans="2:14" ht="30" x14ac:dyDescent="0.25">
      <c r="B1199" s="392" t="s">
        <v>0</v>
      </c>
      <c r="C1199" s="393" t="s">
        <v>24673</v>
      </c>
      <c r="D1199" s="1465" t="s">
        <v>24674</v>
      </c>
      <c r="E1199" s="1465"/>
      <c r="F1199" s="1465"/>
      <c r="G1199" s="1466"/>
      <c r="H1199" s="441" t="s">
        <v>111</v>
      </c>
      <c r="I1199" s="441" t="s">
        <v>24675</v>
      </c>
      <c r="J1199" s="441" t="s">
        <v>24676</v>
      </c>
      <c r="K1199" s="441" t="s">
        <v>24677</v>
      </c>
      <c r="L1199" s="441"/>
      <c r="M1199" s="441" t="s">
        <v>24678</v>
      </c>
      <c r="N1199" s="395" t="s">
        <v>24679</v>
      </c>
    </row>
    <row r="1200" spans="2:14" ht="15" x14ac:dyDescent="0.25">
      <c r="B1200" s="446"/>
      <c r="C1200" s="397"/>
      <c r="D1200" s="1494"/>
      <c r="E1200" s="1494"/>
      <c r="F1200" s="1494"/>
      <c r="G1200" s="1495"/>
      <c r="H1200" s="442"/>
      <c r="I1200" s="442"/>
      <c r="J1200" s="442"/>
      <c r="K1200" s="442"/>
      <c r="L1200" s="442"/>
      <c r="M1200" s="442"/>
      <c r="N1200" s="443"/>
    </row>
    <row r="1201" spans="2:14" ht="15.75" thickBot="1" x14ac:dyDescent="0.3">
      <c r="B1201" s="400"/>
      <c r="C1201" s="401"/>
      <c r="D1201" s="401"/>
      <c r="E1201" s="401"/>
      <c r="F1201" s="444"/>
      <c r="G1201" s="444"/>
      <c r="H1201" s="444"/>
      <c r="I1201" s="444"/>
      <c r="J1201" s="444"/>
      <c r="K1201" s="444"/>
      <c r="L1201" s="444"/>
      <c r="M1201" s="835" t="s">
        <v>24680</v>
      </c>
      <c r="N1201" s="403">
        <f>SUM(N1200:N1200)</f>
        <v>0</v>
      </c>
    </row>
    <row r="1202" spans="2:14" ht="15.75" thickBot="1" x14ac:dyDescent="0.3">
      <c r="B1202" s="456"/>
      <c r="C1202" s="457"/>
      <c r="D1202" s="457"/>
      <c r="E1202" s="457"/>
      <c r="F1202" s="457"/>
      <c r="G1202" s="457"/>
      <c r="H1202" s="457"/>
      <c r="I1202" s="457"/>
      <c r="J1202" s="457"/>
      <c r="K1202" s="457"/>
      <c r="L1202" s="457"/>
      <c r="M1202" s="457"/>
      <c r="N1202" s="404"/>
    </row>
    <row r="1203" spans="2:14" ht="45" x14ac:dyDescent="0.25">
      <c r="B1203" s="392" t="s">
        <v>0</v>
      </c>
      <c r="C1203" s="393" t="s">
        <v>24673</v>
      </c>
      <c r="D1203" s="1465" t="s">
        <v>24681</v>
      </c>
      <c r="E1203" s="1465"/>
      <c r="F1203" s="1465"/>
      <c r="G1203" s="1465"/>
      <c r="H1203" s="1466"/>
      <c r="I1203" s="441" t="s">
        <v>3686</v>
      </c>
      <c r="J1203" s="441" t="s">
        <v>24682</v>
      </c>
      <c r="K1203" s="441" t="s">
        <v>24861</v>
      </c>
      <c r="L1203" s="441" t="s">
        <v>24862</v>
      </c>
      <c r="M1203" s="441" t="s">
        <v>24683</v>
      </c>
      <c r="N1203" s="395" t="s">
        <v>24679</v>
      </c>
    </row>
    <row r="1204" spans="2:14" ht="15" x14ac:dyDescent="0.25">
      <c r="B1204" s="446">
        <v>10146</v>
      </c>
      <c r="C1204" s="834" t="s">
        <v>4389</v>
      </c>
      <c r="D1204" s="1463" t="s">
        <v>24710</v>
      </c>
      <c r="E1204" s="1463"/>
      <c r="F1204" s="1463"/>
      <c r="G1204" s="1463"/>
      <c r="H1204" s="1464"/>
      <c r="I1204" s="442" t="s">
        <v>75</v>
      </c>
      <c r="J1204" s="406">
        <v>1.5727</v>
      </c>
      <c r="K1204" s="427">
        <v>5.46</v>
      </c>
      <c r="L1204" s="427">
        <f>K1204*(1+J1204)</f>
        <v>14.05</v>
      </c>
      <c r="M1204" s="447">
        <v>1.34</v>
      </c>
      <c r="N1204" s="443">
        <f>L1204*M1204</f>
        <v>18.829999999999998</v>
      </c>
    </row>
    <row r="1205" spans="2:14" ht="15" x14ac:dyDescent="0.25">
      <c r="B1205" s="446">
        <v>10139</v>
      </c>
      <c r="C1205" s="834" t="s">
        <v>4389</v>
      </c>
      <c r="D1205" s="1463" t="s">
        <v>24774</v>
      </c>
      <c r="E1205" s="1463"/>
      <c r="F1205" s="1463"/>
      <c r="G1205" s="1463"/>
      <c r="H1205" s="1464"/>
      <c r="I1205" s="442" t="s">
        <v>75</v>
      </c>
      <c r="J1205" s="406">
        <v>1.5727</v>
      </c>
      <c r="K1205" s="427">
        <v>7.43</v>
      </c>
      <c r="L1205" s="427">
        <f>K1205*(1+J1205)</f>
        <v>19.12</v>
      </c>
      <c r="M1205" s="447">
        <v>0.67</v>
      </c>
      <c r="N1205" s="443">
        <f>L1205*M1205</f>
        <v>12.81</v>
      </c>
    </row>
    <row r="1206" spans="2:14" ht="15.75" thickBot="1" x14ac:dyDescent="0.3">
      <c r="B1206" s="400"/>
      <c r="C1206" s="401"/>
      <c r="D1206" s="401"/>
      <c r="E1206" s="401"/>
      <c r="F1206" s="444"/>
      <c r="G1206" s="444"/>
      <c r="H1206" s="444"/>
      <c r="I1206" s="444"/>
      <c r="J1206" s="444"/>
      <c r="K1206" s="444"/>
      <c r="L1206" s="444"/>
      <c r="M1206" s="835" t="s">
        <v>24684</v>
      </c>
      <c r="N1206" s="403">
        <f>SUM(N1204:N1205)</f>
        <v>31.64</v>
      </c>
    </row>
    <row r="1207" spans="2:14" ht="15.75" thickBot="1" x14ac:dyDescent="0.3">
      <c r="B1207" s="456"/>
      <c r="C1207" s="457"/>
      <c r="D1207" s="457"/>
      <c r="E1207" s="457"/>
      <c r="F1207" s="457"/>
      <c r="G1207" s="457"/>
      <c r="H1207" s="457"/>
      <c r="I1207" s="448"/>
      <c r="J1207" s="448"/>
      <c r="K1207" s="457"/>
      <c r="L1207" s="457"/>
      <c r="M1207" s="457"/>
      <c r="N1207" s="404"/>
    </row>
    <row r="1208" spans="2:14" ht="30" x14ac:dyDescent="0.25">
      <c r="B1208" s="392" t="s">
        <v>0</v>
      </c>
      <c r="C1208" s="393" t="s">
        <v>24673</v>
      </c>
      <c r="D1208" s="1465" t="s">
        <v>24685</v>
      </c>
      <c r="E1208" s="1465"/>
      <c r="F1208" s="1465"/>
      <c r="G1208" s="1465"/>
      <c r="H1208" s="1466"/>
      <c r="I1208" s="441" t="s">
        <v>2858</v>
      </c>
      <c r="J1208" s="441" t="s">
        <v>24686</v>
      </c>
      <c r="K1208" s="441" t="s">
        <v>24687</v>
      </c>
      <c r="L1208" s="441"/>
      <c r="M1208" s="441" t="s">
        <v>24688</v>
      </c>
      <c r="N1208" s="395" t="s">
        <v>24689</v>
      </c>
    </row>
    <row r="1209" spans="2:14" ht="15" x14ac:dyDescent="0.25">
      <c r="B1209" s="446"/>
      <c r="C1209" s="834"/>
      <c r="D1209" s="1463"/>
      <c r="E1209" s="1463"/>
      <c r="F1209" s="1463"/>
      <c r="G1209" s="1463"/>
      <c r="H1209" s="1464"/>
      <c r="I1209" s="442"/>
      <c r="J1209" s="442"/>
      <c r="K1209" s="442"/>
      <c r="L1209" s="442"/>
      <c r="M1209" s="442"/>
      <c r="N1209" s="443"/>
    </row>
    <row r="1210" spans="2:14" ht="15" x14ac:dyDescent="0.25">
      <c r="B1210" s="456"/>
      <c r="C1210" s="457"/>
      <c r="D1210" s="457"/>
      <c r="E1210" s="457"/>
      <c r="F1210" s="448"/>
      <c r="G1210" s="448"/>
      <c r="H1210" s="448"/>
      <c r="I1210" s="448"/>
      <c r="J1210" s="448"/>
      <c r="K1210" s="448"/>
      <c r="L1210" s="448"/>
      <c r="M1210" s="409" t="s">
        <v>24690</v>
      </c>
      <c r="N1210" s="410">
        <f>SUM(N1209:N1209)</f>
        <v>0</v>
      </c>
    </row>
    <row r="1211" spans="2:14" ht="15" x14ac:dyDescent="0.25">
      <c r="B1211" s="456"/>
      <c r="C1211" s="457"/>
      <c r="D1211" s="457"/>
      <c r="E1211" s="457"/>
      <c r="F1211" s="457"/>
      <c r="G1211" s="457"/>
      <c r="H1211" s="457"/>
      <c r="I1211" s="457"/>
      <c r="J1211" s="457"/>
      <c r="K1211" s="457"/>
      <c r="L1211" s="457"/>
      <c r="M1211" s="457"/>
      <c r="N1211" s="404"/>
    </row>
    <row r="1212" spans="2:14" ht="15" x14ac:dyDescent="0.25">
      <c r="B1212" s="456"/>
      <c r="C1212" s="457"/>
      <c r="D1212" s="457"/>
      <c r="E1212" s="457"/>
      <c r="F1212" s="448"/>
      <c r="G1212" s="448"/>
      <c r="H1212" s="448"/>
      <c r="I1212" s="449"/>
      <c r="J1212" s="449"/>
      <c r="K1212" s="449"/>
      <c r="L1212" s="449"/>
      <c r="M1212" s="409" t="s">
        <v>24691</v>
      </c>
      <c r="N1212" s="412">
        <f>N1201+N1206+N1210</f>
        <v>31.64</v>
      </c>
    </row>
    <row r="1213" spans="2:14" ht="15" x14ac:dyDescent="0.25">
      <c r="B1213" s="456"/>
      <c r="C1213" s="457"/>
      <c r="D1213" s="457"/>
      <c r="E1213" s="457"/>
      <c r="F1213" s="448"/>
      <c r="G1213" s="448"/>
      <c r="H1213" s="448"/>
      <c r="I1213" s="448"/>
      <c r="J1213" s="450"/>
      <c r="K1213" s="450"/>
      <c r="L1213" s="450"/>
      <c r="M1213" s="414" t="s">
        <v>24692</v>
      </c>
      <c r="N1213" s="412">
        <v>1</v>
      </c>
    </row>
    <row r="1214" spans="2:14" ht="15.75" thickBot="1" x14ac:dyDescent="0.3">
      <c r="B1214" s="400"/>
      <c r="C1214" s="401"/>
      <c r="D1214" s="401"/>
      <c r="E1214" s="401"/>
      <c r="F1214" s="444"/>
      <c r="G1214" s="444"/>
      <c r="H1214" s="444"/>
      <c r="I1214" s="444"/>
      <c r="J1214" s="444"/>
      <c r="K1214" s="444"/>
      <c r="L1214" s="444"/>
      <c r="M1214" s="835" t="s">
        <v>24693</v>
      </c>
      <c r="N1214" s="415">
        <f>TRUNC(N1212/N1213,2)</f>
        <v>31.64</v>
      </c>
    </row>
    <row r="1215" spans="2:14" ht="15.75" thickBot="1" x14ac:dyDescent="0.3">
      <c r="B1215" s="456"/>
      <c r="C1215" s="457"/>
      <c r="D1215" s="457"/>
      <c r="E1215" s="457"/>
      <c r="F1215" s="457"/>
      <c r="G1215" s="457"/>
      <c r="H1215" s="457"/>
      <c r="I1215" s="457"/>
      <c r="J1215" s="457"/>
      <c r="K1215" s="457"/>
      <c r="L1215" s="457"/>
      <c r="M1215" s="457"/>
      <c r="N1215" s="404"/>
    </row>
    <row r="1216" spans="2:14" ht="30" x14ac:dyDescent="0.25">
      <c r="B1216" s="392" t="s">
        <v>0</v>
      </c>
      <c r="C1216" s="393" t="s">
        <v>24673</v>
      </c>
      <c r="D1216" s="1465" t="s">
        <v>24694</v>
      </c>
      <c r="E1216" s="1465"/>
      <c r="F1216" s="1465"/>
      <c r="G1216" s="1465"/>
      <c r="H1216" s="1465"/>
      <c r="I1216" s="1466"/>
      <c r="J1216" s="441" t="s">
        <v>3686</v>
      </c>
      <c r="K1216" s="441" t="s">
        <v>24695</v>
      </c>
      <c r="L1216" s="1467" t="s">
        <v>24683</v>
      </c>
      <c r="M1216" s="1468"/>
      <c r="N1216" s="395" t="s">
        <v>24689</v>
      </c>
    </row>
    <row r="1217" spans="2:14" ht="15" x14ac:dyDescent="0.25">
      <c r="B1217" s="446" t="s">
        <v>25012</v>
      </c>
      <c r="C1217" s="834" t="s">
        <v>25013</v>
      </c>
      <c r="D1217" s="1463" t="s">
        <v>25014</v>
      </c>
      <c r="E1217" s="1463"/>
      <c r="F1217" s="1463"/>
      <c r="G1217" s="1463"/>
      <c r="H1217" s="1463"/>
      <c r="I1217" s="1464"/>
      <c r="J1217" s="442" t="s">
        <v>20</v>
      </c>
      <c r="K1217" s="427">
        <v>16.72</v>
      </c>
      <c r="L1217" s="1513">
        <v>5.5399999999999998E-2</v>
      </c>
      <c r="M1217" s="1514"/>
      <c r="N1217" s="443">
        <f t="shared" ref="N1217:N1221" si="11">K1217*L1217</f>
        <v>0.93</v>
      </c>
    </row>
    <row r="1218" spans="2:14" ht="15" x14ac:dyDescent="0.25">
      <c r="B1218" s="446" t="s">
        <v>25015</v>
      </c>
      <c r="C1218" s="834" t="s">
        <v>25013</v>
      </c>
      <c r="D1218" s="1463" t="s">
        <v>25016</v>
      </c>
      <c r="E1218" s="1463"/>
      <c r="F1218" s="1463"/>
      <c r="G1218" s="1463"/>
      <c r="H1218" s="1463"/>
      <c r="I1218" s="1464"/>
      <c r="J1218" s="442" t="s">
        <v>6</v>
      </c>
      <c r="K1218" s="427">
        <v>63.02</v>
      </c>
      <c r="L1218" s="1513">
        <v>1.2</v>
      </c>
      <c r="M1218" s="1514"/>
      <c r="N1218" s="443">
        <f t="shared" si="11"/>
        <v>75.62</v>
      </c>
    </row>
    <row r="1219" spans="2:14" ht="33.75" customHeight="1" x14ac:dyDescent="0.25">
      <c r="B1219" s="446" t="s">
        <v>25017</v>
      </c>
      <c r="C1219" s="834" t="s">
        <v>25013</v>
      </c>
      <c r="D1219" s="1463" t="s">
        <v>25018</v>
      </c>
      <c r="E1219" s="1463"/>
      <c r="F1219" s="1463"/>
      <c r="G1219" s="1463"/>
      <c r="H1219" s="1463"/>
      <c r="I1219" s="1464"/>
      <c r="J1219" s="442" t="s">
        <v>5</v>
      </c>
      <c r="K1219" s="427">
        <v>16.89</v>
      </c>
      <c r="L1219" s="1513">
        <v>0.04</v>
      </c>
      <c r="M1219" s="1514"/>
      <c r="N1219" s="443">
        <f t="shared" si="11"/>
        <v>0.68</v>
      </c>
    </row>
    <row r="1220" spans="2:14" ht="32.25" customHeight="1" x14ac:dyDescent="0.25">
      <c r="B1220" s="446" t="s">
        <v>25020</v>
      </c>
      <c r="C1220" s="834" t="s">
        <v>25013</v>
      </c>
      <c r="D1220" s="1463" t="s">
        <v>25019</v>
      </c>
      <c r="E1220" s="1463"/>
      <c r="F1220" s="1463"/>
      <c r="G1220" s="1463"/>
      <c r="H1220" s="1463"/>
      <c r="I1220" s="1464"/>
      <c r="J1220" s="442" t="s">
        <v>7</v>
      </c>
      <c r="K1220" s="427">
        <v>7.79</v>
      </c>
      <c r="L1220" s="1513">
        <v>0.2</v>
      </c>
      <c r="M1220" s="1514"/>
      <c r="N1220" s="443">
        <f t="shared" si="11"/>
        <v>1.56</v>
      </c>
    </row>
    <row r="1221" spans="2:14" ht="15" x14ac:dyDescent="0.25">
      <c r="B1221" s="446" t="s">
        <v>25021</v>
      </c>
      <c r="C1221" s="834" t="s">
        <v>25013</v>
      </c>
      <c r="D1221" s="1463" t="s">
        <v>25022</v>
      </c>
      <c r="E1221" s="1463"/>
      <c r="F1221" s="1463"/>
      <c r="G1221" s="1463"/>
      <c r="H1221" s="1463"/>
      <c r="I1221" s="1464"/>
      <c r="J1221" s="442" t="s">
        <v>20</v>
      </c>
      <c r="K1221" s="427">
        <v>12.59</v>
      </c>
      <c r="L1221" s="1513">
        <v>0.14000000000000001</v>
      </c>
      <c r="M1221" s="1514"/>
      <c r="N1221" s="443">
        <f t="shared" si="11"/>
        <v>1.76</v>
      </c>
    </row>
    <row r="1222" spans="2:14" ht="15" x14ac:dyDescent="0.25">
      <c r="B1222" s="446" t="s">
        <v>25023</v>
      </c>
      <c r="C1222" s="834" t="s">
        <v>25013</v>
      </c>
      <c r="D1222" s="1463" t="s">
        <v>25024</v>
      </c>
      <c r="E1222" s="1463"/>
      <c r="F1222" s="1463"/>
      <c r="G1222" s="1463"/>
      <c r="H1222" s="1463"/>
      <c r="I1222" s="1464"/>
      <c r="J1222" s="442" t="s">
        <v>5</v>
      </c>
      <c r="K1222" s="427">
        <v>84.4</v>
      </c>
      <c r="L1222" s="1513">
        <v>6</v>
      </c>
      <c r="M1222" s="1514"/>
      <c r="N1222" s="443">
        <f>K1222*L1222</f>
        <v>506.4</v>
      </c>
    </row>
    <row r="1223" spans="2:14" ht="15" x14ac:dyDescent="0.25">
      <c r="B1223" s="446"/>
      <c r="C1223" s="834"/>
      <c r="D1223" s="1463"/>
      <c r="E1223" s="1463"/>
      <c r="F1223" s="1463"/>
      <c r="G1223" s="1463"/>
      <c r="H1223" s="1463"/>
      <c r="I1223" s="1464"/>
      <c r="J1223" s="442"/>
      <c r="K1223" s="442"/>
      <c r="L1223" s="1461"/>
      <c r="M1223" s="1462"/>
      <c r="N1223" s="443"/>
    </row>
    <row r="1224" spans="2:14" ht="15.75" thickBot="1" x14ac:dyDescent="0.3">
      <c r="B1224" s="400"/>
      <c r="C1224" s="401"/>
      <c r="D1224" s="401"/>
      <c r="E1224" s="401"/>
      <c r="F1224" s="444"/>
      <c r="G1224" s="444"/>
      <c r="H1224" s="444"/>
      <c r="I1224" s="444"/>
      <c r="J1224" s="444"/>
      <c r="K1224" s="444"/>
      <c r="L1224" s="444"/>
      <c r="M1224" s="835" t="s">
        <v>24696</v>
      </c>
      <c r="N1224" s="403">
        <f>SUM(N1217:N1222)</f>
        <v>586.95000000000005</v>
      </c>
    </row>
    <row r="1225" spans="2:14" ht="15.75" thickBot="1" x14ac:dyDescent="0.3">
      <c r="B1225" s="456"/>
      <c r="C1225" s="457"/>
      <c r="D1225" s="457"/>
      <c r="E1225" s="457"/>
      <c r="F1225" s="457"/>
      <c r="G1225" s="457"/>
      <c r="H1225" s="457"/>
      <c r="I1225" s="457"/>
      <c r="J1225" s="457"/>
      <c r="K1225" s="457"/>
      <c r="L1225" s="457"/>
      <c r="M1225" s="457"/>
      <c r="N1225" s="404"/>
    </row>
    <row r="1226" spans="2:14" ht="30" x14ac:dyDescent="0.25">
      <c r="B1226" s="392" t="s">
        <v>0</v>
      </c>
      <c r="C1226" s="441" t="s">
        <v>24673</v>
      </c>
      <c r="D1226" s="1465" t="s">
        <v>24697</v>
      </c>
      <c r="E1226" s="1465"/>
      <c r="F1226" s="1465"/>
      <c r="G1226" s="1465"/>
      <c r="H1226" s="1465"/>
      <c r="I1226" s="1466"/>
      <c r="J1226" s="441" t="s">
        <v>3686</v>
      </c>
      <c r="K1226" s="441" t="s">
        <v>24695</v>
      </c>
      <c r="L1226" s="1467" t="s">
        <v>24683</v>
      </c>
      <c r="M1226" s="1468"/>
      <c r="N1226" s="395" t="s">
        <v>24689</v>
      </c>
    </row>
    <row r="1227" spans="2:14" ht="30.75" customHeight="1" x14ac:dyDescent="0.25">
      <c r="B1227" s="1235"/>
      <c r="C1227" s="1236"/>
      <c r="D1227" s="1525"/>
      <c r="E1227" s="1525"/>
      <c r="F1227" s="1525"/>
      <c r="G1227" s="1525"/>
      <c r="H1227" s="1525"/>
      <c r="I1227" s="1525"/>
      <c r="J1227" s="1236"/>
      <c r="K1227" s="1237"/>
      <c r="L1227" s="1526"/>
      <c r="M1227" s="1527"/>
      <c r="N1227" s="1234"/>
    </row>
    <row r="1228" spans="2:14" ht="15.75" thickBot="1" x14ac:dyDescent="0.3">
      <c r="B1228" s="400"/>
      <c r="C1228" s="401"/>
      <c r="D1228" s="401"/>
      <c r="E1228" s="401"/>
      <c r="F1228" s="444"/>
      <c r="G1228" s="444"/>
      <c r="H1228" s="444"/>
      <c r="I1228" s="444"/>
      <c r="J1228" s="444"/>
      <c r="K1228" s="444"/>
      <c r="L1228" s="444"/>
      <c r="M1228" s="835" t="s">
        <v>24698</v>
      </c>
      <c r="N1228" s="1233">
        <f>N1227</f>
        <v>0</v>
      </c>
    </row>
    <row r="1229" spans="2:14" ht="15.75" thickBot="1" x14ac:dyDescent="0.3">
      <c r="B1229" s="456"/>
      <c r="C1229" s="457"/>
      <c r="D1229" s="457"/>
      <c r="E1229" s="457"/>
      <c r="F1229" s="457"/>
      <c r="G1229" s="457"/>
      <c r="H1229" s="457"/>
      <c r="I1229" s="457"/>
      <c r="J1229" s="457"/>
      <c r="K1229" s="457"/>
      <c r="L1229" s="457"/>
      <c r="M1229" s="457"/>
      <c r="N1229" s="404"/>
    </row>
    <row r="1230" spans="2:14" ht="30" x14ac:dyDescent="0.25">
      <c r="B1230" s="392" t="s">
        <v>0</v>
      </c>
      <c r="C1230" s="441" t="s">
        <v>24673</v>
      </c>
      <c r="D1230" s="1465" t="s">
        <v>24699</v>
      </c>
      <c r="E1230" s="1465"/>
      <c r="F1230" s="1465"/>
      <c r="G1230" s="1466"/>
      <c r="H1230" s="441" t="s">
        <v>3686</v>
      </c>
      <c r="I1230" s="441" t="s">
        <v>24700</v>
      </c>
      <c r="J1230" s="441" t="s">
        <v>24701</v>
      </c>
      <c r="K1230" s="441" t="s">
        <v>24695</v>
      </c>
      <c r="L1230" s="441"/>
      <c r="M1230" s="441" t="s">
        <v>24683</v>
      </c>
      <c r="N1230" s="395" t="s">
        <v>24689</v>
      </c>
    </row>
    <row r="1231" spans="2:14" ht="15" x14ac:dyDescent="0.25">
      <c r="B1231" s="446"/>
      <c r="C1231" s="834"/>
      <c r="D1231" s="1494"/>
      <c r="E1231" s="1494"/>
      <c r="F1231" s="1494"/>
      <c r="G1231" s="1494"/>
      <c r="H1231" s="442"/>
      <c r="I1231" s="442"/>
      <c r="J1231" s="442"/>
      <c r="K1231" s="442"/>
      <c r="L1231" s="442"/>
      <c r="M1231" s="447"/>
      <c r="N1231" s="443"/>
    </row>
    <row r="1232" spans="2:14" ht="15" x14ac:dyDescent="0.25">
      <c r="B1232" s="456"/>
      <c r="C1232" s="457"/>
      <c r="D1232" s="457"/>
      <c r="E1232" s="457"/>
      <c r="F1232" s="448"/>
      <c r="G1232" s="448"/>
      <c r="H1232" s="448"/>
      <c r="I1232" s="448"/>
      <c r="J1232" s="448"/>
      <c r="K1232" s="448"/>
      <c r="L1232" s="448"/>
      <c r="M1232" s="409" t="s">
        <v>24702</v>
      </c>
      <c r="N1232" s="410">
        <f>SUM(N1231:N1231)</f>
        <v>0</v>
      </c>
    </row>
    <row r="1233" spans="2:14" ht="15.75" thickBot="1" x14ac:dyDescent="0.3">
      <c r="B1233" s="456"/>
      <c r="C1233" s="457"/>
      <c r="D1233" s="457"/>
      <c r="E1233" s="457"/>
      <c r="F1233" s="457"/>
      <c r="G1233" s="457"/>
      <c r="H1233" s="457"/>
      <c r="I1233" s="457"/>
      <c r="J1233" s="457"/>
      <c r="K1233" s="457"/>
      <c r="L1233" s="457"/>
      <c r="M1233" s="457"/>
      <c r="N1233" s="404"/>
    </row>
    <row r="1234" spans="2:14" ht="15" x14ac:dyDescent="0.25">
      <c r="B1234" s="802"/>
      <c r="C1234" s="803"/>
      <c r="D1234" s="803"/>
      <c r="E1234" s="803"/>
      <c r="F1234" s="804"/>
      <c r="G1234" s="804"/>
      <c r="H1234" s="804"/>
      <c r="I1234" s="804"/>
      <c r="J1234" s="804"/>
      <c r="K1234" s="804"/>
      <c r="L1234" s="804"/>
      <c r="M1234" s="805" t="s">
        <v>24703</v>
      </c>
      <c r="N1234" s="395">
        <f>N1214+N1224+N1228+N1232</f>
        <v>618.59</v>
      </c>
    </row>
    <row r="1235" spans="2:14" ht="15.75" thickBot="1" x14ac:dyDescent="0.3">
      <c r="B1235" s="456"/>
      <c r="C1235" s="806"/>
      <c r="D1235" s="806"/>
      <c r="E1235" s="806"/>
      <c r="F1235" s="807"/>
      <c r="G1235" s="807"/>
      <c r="H1235" s="807"/>
      <c r="I1235" s="807"/>
      <c r="J1235" s="807"/>
      <c r="K1235" s="807"/>
      <c r="L1235" s="807"/>
      <c r="M1235" s="808">
        <f>'Planilha - Orla'!I3</f>
        <v>0.28220000000000001</v>
      </c>
      <c r="N1235" s="819">
        <f>N1234*M1235</f>
        <v>174.57</v>
      </c>
    </row>
    <row r="1236" spans="2:14" ht="15.75" thickBot="1" x14ac:dyDescent="0.3">
      <c r="B1236" s="1500" t="s">
        <v>24704</v>
      </c>
      <c r="C1236" s="1501"/>
      <c r="D1236" s="1501"/>
      <c r="E1236" s="1501"/>
      <c r="F1236" s="1501"/>
      <c r="G1236" s="1501"/>
      <c r="H1236" s="1501"/>
      <c r="I1236" s="1501"/>
      <c r="J1236" s="1501"/>
      <c r="K1236" s="1501"/>
      <c r="L1236" s="1501"/>
      <c r="M1236" s="1502"/>
      <c r="N1236" s="820">
        <f>N1234+N1235</f>
        <v>793.16</v>
      </c>
    </row>
    <row r="1237" spans="2:14" ht="15" x14ac:dyDescent="0.25">
      <c r="B1237" s="809"/>
      <c r="C1237" s="809"/>
      <c r="D1237" s="809"/>
      <c r="E1237" s="809"/>
      <c r="F1237" s="809"/>
      <c r="G1237" s="809"/>
      <c r="H1237" s="809"/>
      <c r="I1237" s="809"/>
      <c r="J1237" s="809"/>
      <c r="K1237" s="809"/>
      <c r="L1237" s="809"/>
      <c r="M1237" s="809"/>
      <c r="N1237" s="810"/>
    </row>
    <row r="1238" spans="2:14" ht="15" x14ac:dyDescent="0.25">
      <c r="B1238" s="809"/>
      <c r="C1238" s="809"/>
      <c r="D1238" s="809"/>
      <c r="E1238" s="809"/>
      <c r="F1238" s="809"/>
      <c r="G1238" s="809"/>
      <c r="H1238" s="809"/>
      <c r="I1238" s="809"/>
      <c r="J1238" s="809"/>
      <c r="K1238" s="809"/>
      <c r="L1238" s="809"/>
      <c r="M1238" s="809"/>
      <c r="N1238" s="810"/>
    </row>
    <row r="1239" spans="2:14" ht="15.75" thickBot="1" x14ac:dyDescent="0.3">
      <c r="B1239" s="809"/>
      <c r="C1239" s="809"/>
      <c r="D1239" s="809"/>
      <c r="E1239" s="809"/>
      <c r="F1239" s="809"/>
      <c r="G1239" s="809"/>
      <c r="H1239" s="809"/>
      <c r="I1239" s="809"/>
      <c r="J1239" s="809"/>
      <c r="K1239" s="809"/>
      <c r="L1239" s="809"/>
      <c r="M1239" s="809"/>
      <c r="N1239" s="810"/>
    </row>
    <row r="1240" spans="2:14" ht="48" customHeight="1" thickBot="1" x14ac:dyDescent="0.3">
      <c r="B1240" s="1506" t="s">
        <v>24880</v>
      </c>
      <c r="C1240" s="1507"/>
      <c r="D1240" s="1508"/>
      <c r="E1240" s="1509" t="s">
        <v>24669</v>
      </c>
      <c r="F1240" s="1482"/>
      <c r="G1240" s="1482"/>
      <c r="H1240" s="1482"/>
      <c r="I1240" s="1482"/>
      <c r="J1240" s="1482"/>
      <c r="K1240" s="1498"/>
      <c r="L1240" s="821"/>
      <c r="M1240" s="1510"/>
      <c r="N1240" s="1511"/>
    </row>
    <row r="1241" spans="2:14" ht="30" customHeight="1" x14ac:dyDescent="0.25">
      <c r="B1241" s="391" t="s">
        <v>24670</v>
      </c>
      <c r="C1241" s="1512" t="s">
        <v>25053</v>
      </c>
      <c r="D1241" s="1512"/>
      <c r="E1241" s="1485"/>
      <c r="F1241" s="1485"/>
      <c r="G1241" s="1485"/>
      <c r="H1241" s="1485"/>
      <c r="I1241" s="1485"/>
      <c r="J1241" s="1485"/>
      <c r="K1241" s="1485"/>
      <c r="L1241" s="1512"/>
      <c r="M1241" s="1512"/>
      <c r="N1241" s="1488"/>
    </row>
    <row r="1242" spans="2:14" ht="15" x14ac:dyDescent="0.25">
      <c r="B1242" s="391" t="s">
        <v>24671</v>
      </c>
      <c r="C1242" s="1487" t="s">
        <v>5</v>
      </c>
      <c r="D1242" s="1487"/>
      <c r="E1242" s="1487"/>
      <c r="F1242" s="1487"/>
      <c r="G1242" s="1487"/>
      <c r="H1242" s="1487"/>
      <c r="I1242" s="1487"/>
      <c r="J1242" s="1487"/>
      <c r="K1242" s="1487"/>
      <c r="L1242" s="1487"/>
      <c r="M1242" s="1487"/>
      <c r="N1242" s="1488"/>
    </row>
    <row r="1243" spans="2:14" ht="30" customHeight="1" thickBot="1" x14ac:dyDescent="0.3">
      <c r="B1243" s="391" t="s">
        <v>24672</v>
      </c>
      <c r="C1243" s="1489">
        <v>44501</v>
      </c>
      <c r="D1243" s="1490"/>
      <c r="E1243" s="1490"/>
      <c r="F1243" s="1490"/>
      <c r="G1243" s="1490"/>
      <c r="H1243" s="1490"/>
      <c r="I1243" s="1490"/>
      <c r="J1243" s="1490"/>
      <c r="K1243" s="1490"/>
      <c r="L1243" s="1490"/>
      <c r="M1243" s="1490"/>
      <c r="N1243" s="1491"/>
    </row>
    <row r="1244" spans="2:14" ht="15" customHeight="1" x14ac:dyDescent="0.25">
      <c r="B1244" s="392" t="s">
        <v>0</v>
      </c>
      <c r="C1244" s="393" t="s">
        <v>24673</v>
      </c>
      <c r="D1244" s="1465" t="s">
        <v>24674</v>
      </c>
      <c r="E1244" s="1465"/>
      <c r="F1244" s="1465"/>
      <c r="G1244" s="1466"/>
      <c r="H1244" s="441" t="s">
        <v>111</v>
      </c>
      <c r="I1244" s="441" t="s">
        <v>24675</v>
      </c>
      <c r="J1244" s="441" t="s">
        <v>24676</v>
      </c>
      <c r="K1244" s="441" t="s">
        <v>24677</v>
      </c>
      <c r="L1244" s="441"/>
      <c r="M1244" s="441" t="s">
        <v>24678</v>
      </c>
      <c r="N1244" s="395" t="s">
        <v>24679</v>
      </c>
    </row>
    <row r="1245" spans="2:14" ht="15" x14ac:dyDescent="0.25">
      <c r="B1245" s="446"/>
      <c r="C1245" s="397"/>
      <c r="D1245" s="1494"/>
      <c r="E1245" s="1494"/>
      <c r="F1245" s="1494"/>
      <c r="G1245" s="1495"/>
      <c r="H1245" s="442"/>
      <c r="I1245" s="442"/>
      <c r="J1245" s="442"/>
      <c r="K1245" s="442"/>
      <c r="L1245" s="442"/>
      <c r="M1245" s="442"/>
      <c r="N1245" s="443"/>
    </row>
    <row r="1246" spans="2:14" ht="15.75" thickBot="1" x14ac:dyDescent="0.3">
      <c r="B1246" s="400"/>
      <c r="C1246" s="401"/>
      <c r="D1246" s="401"/>
      <c r="E1246" s="401"/>
      <c r="F1246" s="444"/>
      <c r="G1246" s="444"/>
      <c r="H1246" s="444"/>
      <c r="I1246" s="444"/>
      <c r="J1246" s="444"/>
      <c r="K1246" s="444"/>
      <c r="L1246" s="444"/>
      <c r="M1246" s="837" t="s">
        <v>24680</v>
      </c>
      <c r="N1246" s="403">
        <f>SUM(N1245:N1245)</f>
        <v>0</v>
      </c>
    </row>
    <row r="1247" spans="2:14" ht="15.75" thickBot="1" x14ac:dyDescent="0.3">
      <c r="B1247" s="456"/>
      <c r="C1247" s="457"/>
      <c r="D1247" s="457"/>
      <c r="E1247" s="457"/>
      <c r="F1247" s="457"/>
      <c r="G1247" s="457"/>
      <c r="H1247" s="457"/>
      <c r="I1247" s="457"/>
      <c r="J1247" s="457"/>
      <c r="K1247" s="457"/>
      <c r="L1247" s="457"/>
      <c r="M1247" s="457"/>
      <c r="N1247" s="404"/>
    </row>
    <row r="1248" spans="2:14" ht="45" x14ac:dyDescent="0.25">
      <c r="B1248" s="392" t="s">
        <v>0</v>
      </c>
      <c r="C1248" s="393" t="s">
        <v>24673</v>
      </c>
      <c r="D1248" s="1465" t="s">
        <v>24681</v>
      </c>
      <c r="E1248" s="1465"/>
      <c r="F1248" s="1465"/>
      <c r="G1248" s="1465"/>
      <c r="H1248" s="1466"/>
      <c r="I1248" s="441" t="s">
        <v>3686</v>
      </c>
      <c r="J1248" s="441" t="s">
        <v>24682</v>
      </c>
      <c r="K1248" s="441" t="s">
        <v>24861</v>
      </c>
      <c r="L1248" s="441" t="s">
        <v>24862</v>
      </c>
      <c r="M1248" s="441" t="s">
        <v>24683</v>
      </c>
      <c r="N1248" s="395" t="s">
        <v>24679</v>
      </c>
    </row>
    <row r="1249" spans="2:14" ht="15" customHeight="1" x14ac:dyDescent="0.25">
      <c r="B1249" s="446">
        <v>10146</v>
      </c>
      <c r="C1249" s="836" t="s">
        <v>4389</v>
      </c>
      <c r="D1249" s="1463" t="s">
        <v>24710</v>
      </c>
      <c r="E1249" s="1463"/>
      <c r="F1249" s="1463"/>
      <c r="G1249" s="1463"/>
      <c r="H1249" s="1464"/>
      <c r="I1249" s="442" t="s">
        <v>75</v>
      </c>
      <c r="J1249" s="406">
        <v>1.5727</v>
      </c>
      <c r="K1249" s="427">
        <v>5.46</v>
      </c>
      <c r="L1249" s="427">
        <f>K1249*(1+J1249)</f>
        <v>14.05</v>
      </c>
      <c r="M1249" s="447">
        <v>0.14199999999999999</v>
      </c>
      <c r="N1249" s="443">
        <f>L1249*M1249</f>
        <v>2</v>
      </c>
    </row>
    <row r="1250" spans="2:14" ht="15" customHeight="1" x14ac:dyDescent="0.25">
      <c r="B1250" s="446">
        <v>10139</v>
      </c>
      <c r="C1250" s="836" t="s">
        <v>4389</v>
      </c>
      <c r="D1250" s="1463" t="s">
        <v>24774</v>
      </c>
      <c r="E1250" s="1463"/>
      <c r="F1250" s="1463"/>
      <c r="G1250" s="1463"/>
      <c r="H1250" s="1464"/>
      <c r="I1250" s="442" t="s">
        <v>75</v>
      </c>
      <c r="J1250" s="406">
        <v>1.5727</v>
      </c>
      <c r="K1250" s="427">
        <v>7.43</v>
      </c>
      <c r="L1250" s="427">
        <f>K1250*(1+J1250)</f>
        <v>19.12</v>
      </c>
      <c r="M1250" s="447">
        <v>0.28499999999999998</v>
      </c>
      <c r="N1250" s="443">
        <f>L1250*M1250</f>
        <v>5.45</v>
      </c>
    </row>
    <row r="1251" spans="2:14" ht="15.75" thickBot="1" x14ac:dyDescent="0.3">
      <c r="B1251" s="400"/>
      <c r="C1251" s="401"/>
      <c r="D1251" s="401"/>
      <c r="E1251" s="401"/>
      <c r="F1251" s="444"/>
      <c r="G1251" s="444"/>
      <c r="H1251" s="444"/>
      <c r="I1251" s="444"/>
      <c r="J1251" s="444"/>
      <c r="K1251" s="444"/>
      <c r="L1251" s="444"/>
      <c r="M1251" s="837" t="s">
        <v>24684</v>
      </c>
      <c r="N1251" s="403">
        <f>SUM(N1249:N1250)</f>
        <v>7.45</v>
      </c>
    </row>
    <row r="1252" spans="2:14" ht="15.75" thickBot="1" x14ac:dyDescent="0.3">
      <c r="B1252" s="456"/>
      <c r="C1252" s="457"/>
      <c r="D1252" s="457"/>
      <c r="E1252" s="457"/>
      <c r="F1252" s="457"/>
      <c r="G1252" s="457"/>
      <c r="H1252" s="457"/>
      <c r="I1252" s="448"/>
      <c r="J1252" s="448"/>
      <c r="K1252" s="457"/>
      <c r="L1252" s="457"/>
      <c r="M1252" s="457"/>
      <c r="N1252" s="404"/>
    </row>
    <row r="1253" spans="2:14" ht="30" customHeight="1" x14ac:dyDescent="0.25">
      <c r="B1253" s="392" t="s">
        <v>0</v>
      </c>
      <c r="C1253" s="393" t="s">
        <v>24673</v>
      </c>
      <c r="D1253" s="1465" t="s">
        <v>24685</v>
      </c>
      <c r="E1253" s="1465"/>
      <c r="F1253" s="1465"/>
      <c r="G1253" s="1465"/>
      <c r="H1253" s="1466"/>
      <c r="I1253" s="441" t="s">
        <v>2858</v>
      </c>
      <c r="J1253" s="441" t="s">
        <v>24686</v>
      </c>
      <c r="K1253" s="441" t="s">
        <v>24687</v>
      </c>
      <c r="L1253" s="441"/>
      <c r="M1253" s="441" t="s">
        <v>24688</v>
      </c>
      <c r="N1253" s="395" t="s">
        <v>24689</v>
      </c>
    </row>
    <row r="1254" spans="2:14" ht="15" x14ac:dyDescent="0.25">
      <c r="B1254" s="446"/>
      <c r="C1254" s="836"/>
      <c r="D1254" s="1463"/>
      <c r="E1254" s="1463"/>
      <c r="F1254" s="1463"/>
      <c r="G1254" s="1463"/>
      <c r="H1254" s="1464"/>
      <c r="I1254" s="442"/>
      <c r="J1254" s="442"/>
      <c r="K1254" s="442"/>
      <c r="L1254" s="442"/>
      <c r="M1254" s="442"/>
      <c r="N1254" s="443"/>
    </row>
    <row r="1255" spans="2:14" ht="15" x14ac:dyDescent="0.25">
      <c r="B1255" s="456"/>
      <c r="C1255" s="457"/>
      <c r="D1255" s="457"/>
      <c r="E1255" s="457"/>
      <c r="F1255" s="448"/>
      <c r="G1255" s="448"/>
      <c r="H1255" s="448"/>
      <c r="I1255" s="448"/>
      <c r="J1255" s="448"/>
      <c r="K1255" s="448"/>
      <c r="L1255" s="448"/>
      <c r="M1255" s="409" t="s">
        <v>24690</v>
      </c>
      <c r="N1255" s="410">
        <f>SUM(N1254:N1254)</f>
        <v>0</v>
      </c>
    </row>
    <row r="1256" spans="2:14" ht="15" x14ac:dyDescent="0.25">
      <c r="B1256" s="456"/>
      <c r="C1256" s="457"/>
      <c r="D1256" s="457"/>
      <c r="E1256" s="457"/>
      <c r="F1256" s="457"/>
      <c r="G1256" s="457"/>
      <c r="H1256" s="457"/>
      <c r="I1256" s="457"/>
      <c r="J1256" s="457"/>
      <c r="K1256" s="457"/>
      <c r="L1256" s="457"/>
      <c r="M1256" s="457"/>
      <c r="N1256" s="404"/>
    </row>
    <row r="1257" spans="2:14" ht="15" x14ac:dyDescent="0.25">
      <c r="B1257" s="456"/>
      <c r="C1257" s="457"/>
      <c r="D1257" s="457"/>
      <c r="E1257" s="457"/>
      <c r="F1257" s="448"/>
      <c r="G1257" s="448"/>
      <c r="H1257" s="448"/>
      <c r="I1257" s="449"/>
      <c r="J1257" s="449"/>
      <c r="K1257" s="449"/>
      <c r="L1257" s="449"/>
      <c r="M1257" s="409" t="s">
        <v>24691</v>
      </c>
      <c r="N1257" s="412">
        <f>N1246+N1251+N1255</f>
        <v>7.45</v>
      </c>
    </row>
    <row r="1258" spans="2:14" ht="15" x14ac:dyDescent="0.25">
      <c r="B1258" s="456"/>
      <c r="C1258" s="457"/>
      <c r="D1258" s="457"/>
      <c r="E1258" s="457"/>
      <c r="F1258" s="448"/>
      <c r="G1258" s="448"/>
      <c r="H1258" s="448"/>
      <c r="I1258" s="448"/>
      <c r="J1258" s="450"/>
      <c r="K1258" s="450"/>
      <c r="L1258" s="450"/>
      <c r="M1258" s="414" t="s">
        <v>24692</v>
      </c>
      <c r="N1258" s="412">
        <v>1</v>
      </c>
    </row>
    <row r="1259" spans="2:14" ht="15.75" thickBot="1" x14ac:dyDescent="0.3">
      <c r="B1259" s="400"/>
      <c r="C1259" s="401"/>
      <c r="D1259" s="401"/>
      <c r="E1259" s="401"/>
      <c r="F1259" s="444"/>
      <c r="G1259" s="444"/>
      <c r="H1259" s="444"/>
      <c r="I1259" s="444"/>
      <c r="J1259" s="444"/>
      <c r="K1259" s="444"/>
      <c r="L1259" s="444"/>
      <c r="M1259" s="837" t="s">
        <v>24693</v>
      </c>
      <c r="N1259" s="415">
        <f>TRUNC(N1257/N1258,2)</f>
        <v>7.45</v>
      </c>
    </row>
    <row r="1260" spans="2:14" ht="15.75" thickBot="1" x14ac:dyDescent="0.3">
      <c r="B1260" s="456"/>
      <c r="C1260" s="457"/>
      <c r="D1260" s="457"/>
      <c r="E1260" s="457"/>
      <c r="F1260" s="457"/>
      <c r="G1260" s="457"/>
      <c r="H1260" s="457"/>
      <c r="I1260" s="457"/>
      <c r="J1260" s="457"/>
      <c r="K1260" s="457"/>
      <c r="L1260" s="457"/>
      <c r="M1260" s="457"/>
      <c r="N1260" s="404"/>
    </row>
    <row r="1261" spans="2:14" ht="30" x14ac:dyDescent="0.25">
      <c r="B1261" s="392" t="s">
        <v>0</v>
      </c>
      <c r="C1261" s="393" t="s">
        <v>24673</v>
      </c>
      <c r="D1261" s="1465" t="s">
        <v>24694</v>
      </c>
      <c r="E1261" s="1465"/>
      <c r="F1261" s="1465"/>
      <c r="G1261" s="1465"/>
      <c r="H1261" s="1465"/>
      <c r="I1261" s="1466"/>
      <c r="J1261" s="441" t="s">
        <v>3686</v>
      </c>
      <c r="K1261" s="441" t="s">
        <v>24695</v>
      </c>
      <c r="L1261" s="1467" t="s">
        <v>24683</v>
      </c>
      <c r="M1261" s="1468"/>
      <c r="N1261" s="395" t="s">
        <v>24689</v>
      </c>
    </row>
    <row r="1262" spans="2:14" ht="30" customHeight="1" x14ac:dyDescent="0.25">
      <c r="B1262" s="446">
        <v>87301</v>
      </c>
      <c r="C1262" s="836" t="s">
        <v>24706</v>
      </c>
      <c r="D1262" s="1463" t="s">
        <v>25054</v>
      </c>
      <c r="E1262" s="1463"/>
      <c r="F1262" s="1463"/>
      <c r="G1262" s="1463"/>
      <c r="H1262" s="1463"/>
      <c r="I1262" s="1464"/>
      <c r="J1262" s="442" t="s">
        <v>6</v>
      </c>
      <c r="K1262" s="427">
        <v>435.83</v>
      </c>
      <c r="L1262" s="1513">
        <v>6.0699999999999997E-2</v>
      </c>
      <c r="M1262" s="1514"/>
      <c r="N1262" s="443">
        <f t="shared" ref="N1262" si="12">K1262*L1262</f>
        <v>26.45</v>
      </c>
    </row>
    <row r="1263" spans="2:14" ht="15" x14ac:dyDescent="0.25">
      <c r="B1263" s="446"/>
      <c r="C1263" s="836"/>
      <c r="D1263" s="1463"/>
      <c r="E1263" s="1463"/>
      <c r="F1263" s="1463"/>
      <c r="G1263" s="1463"/>
      <c r="H1263" s="1463"/>
      <c r="I1263" s="1464"/>
      <c r="J1263" s="442"/>
      <c r="K1263" s="442"/>
      <c r="L1263" s="1461"/>
      <c r="M1263" s="1462"/>
      <c r="N1263" s="443"/>
    </row>
    <row r="1264" spans="2:14" ht="15.75" thickBot="1" x14ac:dyDescent="0.3">
      <c r="B1264" s="400"/>
      <c r="C1264" s="401"/>
      <c r="D1264" s="401"/>
      <c r="E1264" s="401"/>
      <c r="F1264" s="444"/>
      <c r="G1264" s="444"/>
      <c r="H1264" s="444"/>
      <c r="I1264" s="444"/>
      <c r="J1264" s="444"/>
      <c r="K1264" s="444"/>
      <c r="L1264" s="444"/>
      <c r="M1264" s="837" t="s">
        <v>24696</v>
      </c>
      <c r="N1264" s="403">
        <f>SUM(N1262:N1262)</f>
        <v>26.45</v>
      </c>
    </row>
    <row r="1265" spans="2:14" ht="15.75" thickBot="1" x14ac:dyDescent="0.3">
      <c r="B1265" s="456"/>
      <c r="C1265" s="457"/>
      <c r="D1265" s="457"/>
      <c r="E1265" s="457"/>
      <c r="F1265" s="457"/>
      <c r="G1265" s="457"/>
      <c r="H1265" s="457"/>
      <c r="I1265" s="457"/>
      <c r="J1265" s="457"/>
      <c r="K1265" s="457"/>
      <c r="L1265" s="457"/>
      <c r="M1265" s="457"/>
      <c r="N1265" s="404"/>
    </row>
    <row r="1266" spans="2:14" ht="30" customHeight="1" x14ac:dyDescent="0.25">
      <c r="B1266" s="392" t="s">
        <v>0</v>
      </c>
      <c r="C1266" s="441" t="s">
        <v>24673</v>
      </c>
      <c r="D1266" s="1465" t="s">
        <v>24697</v>
      </c>
      <c r="E1266" s="1465"/>
      <c r="F1266" s="1465"/>
      <c r="G1266" s="1465"/>
      <c r="H1266" s="1465"/>
      <c r="I1266" s="1466"/>
      <c r="J1266" s="441" t="s">
        <v>3686</v>
      </c>
      <c r="K1266" s="441" t="s">
        <v>24695</v>
      </c>
      <c r="L1266" s="1467" t="s">
        <v>24683</v>
      </c>
      <c r="M1266" s="1468"/>
      <c r="N1266" s="395" t="s">
        <v>24689</v>
      </c>
    </row>
    <row r="1267" spans="2:14" ht="15.75" thickBot="1" x14ac:dyDescent="0.3">
      <c r="B1267" s="400"/>
      <c r="C1267" s="401"/>
      <c r="D1267" s="401"/>
      <c r="E1267" s="401"/>
      <c r="F1267" s="444"/>
      <c r="G1267" s="444"/>
      <c r="H1267" s="444"/>
      <c r="I1267" s="444"/>
      <c r="J1267" s="444"/>
      <c r="K1267" s="444"/>
      <c r="L1267" s="444"/>
      <c r="M1267" s="837" t="s">
        <v>24698</v>
      </c>
      <c r="N1267" s="403"/>
    </row>
    <row r="1268" spans="2:14" ht="15.75" thickBot="1" x14ac:dyDescent="0.3">
      <c r="B1268" s="456"/>
      <c r="C1268" s="457"/>
      <c r="D1268" s="457"/>
      <c r="E1268" s="457"/>
      <c r="F1268" s="457"/>
      <c r="G1268" s="457"/>
      <c r="H1268" s="457"/>
      <c r="I1268" s="457"/>
      <c r="J1268" s="457"/>
      <c r="K1268" s="457"/>
      <c r="L1268" s="457"/>
      <c r="M1268" s="457"/>
      <c r="N1268" s="404"/>
    </row>
    <row r="1269" spans="2:14" ht="30" x14ac:dyDescent="0.25">
      <c r="B1269" s="392" t="s">
        <v>0</v>
      </c>
      <c r="C1269" s="441" t="s">
        <v>24673</v>
      </c>
      <c r="D1269" s="1465" t="s">
        <v>24699</v>
      </c>
      <c r="E1269" s="1465"/>
      <c r="F1269" s="1465"/>
      <c r="G1269" s="1466"/>
      <c r="H1269" s="441" t="s">
        <v>3686</v>
      </c>
      <c r="I1269" s="441" t="s">
        <v>24700</v>
      </c>
      <c r="J1269" s="441" t="s">
        <v>24701</v>
      </c>
      <c r="K1269" s="441" t="s">
        <v>24695</v>
      </c>
      <c r="L1269" s="441"/>
      <c r="M1269" s="441" t="s">
        <v>24683</v>
      </c>
      <c r="N1269" s="395" t="s">
        <v>24689</v>
      </c>
    </row>
    <row r="1270" spans="2:14" ht="15" x14ac:dyDescent="0.25">
      <c r="B1270" s="446"/>
      <c r="C1270" s="836"/>
      <c r="D1270" s="1494"/>
      <c r="E1270" s="1494"/>
      <c r="F1270" s="1494"/>
      <c r="G1270" s="1494"/>
      <c r="H1270" s="442"/>
      <c r="I1270" s="442"/>
      <c r="J1270" s="442"/>
      <c r="K1270" s="442"/>
      <c r="L1270" s="442"/>
      <c r="M1270" s="447"/>
      <c r="N1270" s="443"/>
    </row>
    <row r="1271" spans="2:14" ht="15" x14ac:dyDescent="0.25">
      <c r="B1271" s="456"/>
      <c r="C1271" s="457"/>
      <c r="D1271" s="457"/>
      <c r="E1271" s="457"/>
      <c r="F1271" s="448"/>
      <c r="G1271" s="448"/>
      <c r="H1271" s="448"/>
      <c r="I1271" s="448"/>
      <c r="J1271" s="448"/>
      <c r="K1271" s="448"/>
      <c r="L1271" s="448"/>
      <c r="M1271" s="409" t="s">
        <v>24702</v>
      </c>
      <c r="N1271" s="410">
        <f>SUM(N1270:N1270)</f>
        <v>0</v>
      </c>
    </row>
    <row r="1272" spans="2:14" ht="15.75" thickBot="1" x14ac:dyDescent="0.3">
      <c r="B1272" s="456"/>
      <c r="C1272" s="457"/>
      <c r="D1272" s="457"/>
      <c r="E1272" s="457"/>
      <c r="F1272" s="457"/>
      <c r="G1272" s="457"/>
      <c r="H1272" s="457"/>
      <c r="I1272" s="457"/>
      <c r="J1272" s="457"/>
      <c r="K1272" s="457"/>
      <c r="L1272" s="457"/>
      <c r="M1272" s="457"/>
      <c r="N1272" s="404"/>
    </row>
    <row r="1273" spans="2:14" ht="15" x14ac:dyDescent="0.25">
      <c r="B1273" s="802"/>
      <c r="C1273" s="803"/>
      <c r="D1273" s="803"/>
      <c r="E1273" s="803"/>
      <c r="F1273" s="804"/>
      <c r="G1273" s="804"/>
      <c r="H1273" s="804"/>
      <c r="I1273" s="804"/>
      <c r="J1273" s="804"/>
      <c r="K1273" s="804"/>
      <c r="L1273" s="804"/>
      <c r="M1273" s="805" t="s">
        <v>24703</v>
      </c>
      <c r="N1273" s="395">
        <f>N1259+N1264+N1267+N1271</f>
        <v>33.9</v>
      </c>
    </row>
    <row r="1274" spans="2:14" ht="15.75" thickBot="1" x14ac:dyDescent="0.3">
      <c r="B1274" s="456"/>
      <c r="C1274" s="806"/>
      <c r="D1274" s="806"/>
      <c r="E1274" s="806"/>
      <c r="F1274" s="807"/>
      <c r="G1274" s="807"/>
      <c r="H1274" s="807"/>
      <c r="I1274" s="807"/>
      <c r="J1274" s="807"/>
      <c r="K1274" s="807"/>
      <c r="L1274" s="807"/>
      <c r="M1274" s="808">
        <f>'Planilha - Orla'!I3</f>
        <v>0.28220000000000001</v>
      </c>
      <c r="N1274" s="819">
        <f>N1273*M1274</f>
        <v>9.57</v>
      </c>
    </row>
    <row r="1275" spans="2:14" ht="15.75" thickBot="1" x14ac:dyDescent="0.3">
      <c r="B1275" s="1500" t="s">
        <v>24704</v>
      </c>
      <c r="C1275" s="1501"/>
      <c r="D1275" s="1501"/>
      <c r="E1275" s="1501"/>
      <c r="F1275" s="1501"/>
      <c r="G1275" s="1501"/>
      <c r="H1275" s="1501"/>
      <c r="I1275" s="1501"/>
      <c r="J1275" s="1501"/>
      <c r="K1275" s="1501"/>
      <c r="L1275" s="1501"/>
      <c r="M1275" s="1502"/>
      <c r="N1275" s="820">
        <f>N1273+N1274</f>
        <v>43.47</v>
      </c>
    </row>
    <row r="1276" spans="2:14" ht="15" x14ac:dyDescent="0.25">
      <c r="B1276" s="809"/>
      <c r="C1276" s="809"/>
      <c r="D1276" s="809"/>
      <c r="E1276" s="809"/>
      <c r="F1276" s="809"/>
      <c r="G1276" s="809"/>
      <c r="H1276" s="809"/>
      <c r="I1276" s="809"/>
      <c r="J1276" s="809"/>
      <c r="K1276" s="809"/>
      <c r="L1276" s="809"/>
      <c r="M1276" s="809"/>
      <c r="N1276" s="810"/>
    </row>
    <row r="1277" spans="2:14" ht="15.75" thickBot="1" x14ac:dyDescent="0.3">
      <c r="B1277" s="809"/>
      <c r="C1277" s="809"/>
      <c r="D1277" s="809"/>
      <c r="E1277" s="809"/>
      <c r="F1277" s="809"/>
      <c r="G1277" s="809"/>
      <c r="H1277" s="809"/>
      <c r="I1277" s="809"/>
      <c r="J1277" s="809"/>
      <c r="K1277" s="809"/>
      <c r="L1277" s="809"/>
      <c r="M1277" s="809"/>
      <c r="N1277" s="810"/>
    </row>
    <row r="1278" spans="2:14" ht="51.75" customHeight="1" thickBot="1" x14ac:dyDescent="0.3">
      <c r="B1278" s="1506" t="s">
        <v>24935</v>
      </c>
      <c r="C1278" s="1507"/>
      <c r="D1278" s="1508"/>
      <c r="E1278" s="1509" t="s">
        <v>24669</v>
      </c>
      <c r="F1278" s="1482"/>
      <c r="G1278" s="1482"/>
      <c r="H1278" s="1482"/>
      <c r="I1278" s="1482"/>
      <c r="J1278" s="1482"/>
      <c r="K1278" s="1498"/>
      <c r="L1278" s="821"/>
      <c r="M1278" s="1510"/>
      <c r="N1278" s="1511"/>
    </row>
    <row r="1279" spans="2:14" ht="30.75" customHeight="1" x14ac:dyDescent="0.25">
      <c r="B1279" s="391" t="s">
        <v>24670</v>
      </c>
      <c r="C1279" s="1512" t="s">
        <v>25056</v>
      </c>
      <c r="D1279" s="1512"/>
      <c r="E1279" s="1485"/>
      <c r="F1279" s="1485"/>
      <c r="G1279" s="1485"/>
      <c r="H1279" s="1485"/>
      <c r="I1279" s="1485"/>
      <c r="J1279" s="1485"/>
      <c r="K1279" s="1485"/>
      <c r="L1279" s="1512"/>
      <c r="M1279" s="1512"/>
      <c r="N1279" s="1488"/>
    </row>
    <row r="1280" spans="2:14" ht="15" x14ac:dyDescent="0.25">
      <c r="B1280" s="391" t="s">
        <v>24671</v>
      </c>
      <c r="C1280" s="1487" t="s">
        <v>6</v>
      </c>
      <c r="D1280" s="1487"/>
      <c r="E1280" s="1487"/>
      <c r="F1280" s="1487"/>
      <c r="G1280" s="1487"/>
      <c r="H1280" s="1487"/>
      <c r="I1280" s="1487"/>
      <c r="J1280" s="1487"/>
      <c r="K1280" s="1487"/>
      <c r="L1280" s="1487"/>
      <c r="M1280" s="1487"/>
      <c r="N1280" s="1488"/>
    </row>
    <row r="1281" spans="2:14" ht="15.75" thickBot="1" x14ac:dyDescent="0.3">
      <c r="B1281" s="391" t="s">
        <v>24672</v>
      </c>
      <c r="C1281" s="1489">
        <v>44501</v>
      </c>
      <c r="D1281" s="1490"/>
      <c r="E1281" s="1490"/>
      <c r="F1281" s="1490"/>
      <c r="G1281" s="1490"/>
      <c r="H1281" s="1490"/>
      <c r="I1281" s="1490"/>
      <c r="J1281" s="1490"/>
      <c r="K1281" s="1490"/>
      <c r="L1281" s="1490"/>
      <c r="M1281" s="1490"/>
      <c r="N1281" s="1491"/>
    </row>
    <row r="1282" spans="2:14" ht="30" x14ac:dyDescent="0.25">
      <c r="B1282" s="392" t="s">
        <v>0</v>
      </c>
      <c r="C1282" s="393" t="s">
        <v>24673</v>
      </c>
      <c r="D1282" s="1465" t="s">
        <v>24674</v>
      </c>
      <c r="E1282" s="1465"/>
      <c r="F1282" s="1465"/>
      <c r="G1282" s="1466"/>
      <c r="H1282" s="441" t="s">
        <v>111</v>
      </c>
      <c r="I1282" s="441" t="s">
        <v>24675</v>
      </c>
      <c r="J1282" s="441" t="s">
        <v>24676</v>
      </c>
      <c r="K1282" s="1467" t="s">
        <v>24677</v>
      </c>
      <c r="L1282" s="1468"/>
      <c r="M1282" s="441" t="s">
        <v>24678</v>
      </c>
      <c r="N1282" s="395" t="s">
        <v>24679</v>
      </c>
    </row>
    <row r="1283" spans="2:14" ht="34.5" customHeight="1" x14ac:dyDescent="0.25">
      <c r="B1283" s="446">
        <v>5631</v>
      </c>
      <c r="C1283" s="842" t="s">
        <v>24706</v>
      </c>
      <c r="D1283" s="1463" t="s">
        <v>25057</v>
      </c>
      <c r="E1283" s="1463"/>
      <c r="F1283" s="1463"/>
      <c r="G1283" s="1464"/>
      <c r="H1283" s="442"/>
      <c r="I1283" s="447">
        <v>0.03</v>
      </c>
      <c r="J1283" s="442"/>
      <c r="K1283" s="1492">
        <v>198.05</v>
      </c>
      <c r="L1283" s="1493"/>
      <c r="M1283" s="442"/>
      <c r="N1283" s="443">
        <f>I1283*K1283</f>
        <v>5.94</v>
      </c>
    </row>
    <row r="1284" spans="2:14" ht="32.25" customHeight="1" x14ac:dyDescent="0.25">
      <c r="B1284" s="446">
        <v>5632</v>
      </c>
      <c r="C1284" s="842" t="s">
        <v>24706</v>
      </c>
      <c r="D1284" s="1463" t="s">
        <v>25058</v>
      </c>
      <c r="E1284" s="1463"/>
      <c r="F1284" s="1463"/>
      <c r="G1284" s="1464"/>
      <c r="H1284" s="442"/>
      <c r="I1284" s="447"/>
      <c r="J1284" s="447">
        <v>0.04</v>
      </c>
      <c r="K1284" s="1492"/>
      <c r="L1284" s="1493"/>
      <c r="M1284" s="442">
        <v>83.52</v>
      </c>
      <c r="N1284" s="443">
        <f>J1284*M1284</f>
        <v>3.34</v>
      </c>
    </row>
    <row r="1285" spans="2:14" ht="33.75" customHeight="1" x14ac:dyDescent="0.25">
      <c r="B1285" s="446">
        <v>91533</v>
      </c>
      <c r="C1285" s="842" t="s">
        <v>24706</v>
      </c>
      <c r="D1285" s="1463" t="s">
        <v>25059</v>
      </c>
      <c r="E1285" s="1463"/>
      <c r="F1285" s="1463"/>
      <c r="G1285" s="1464"/>
      <c r="H1285" s="442"/>
      <c r="I1285" s="447">
        <v>2.9000000000000001E-2</v>
      </c>
      <c r="J1285" s="442"/>
      <c r="K1285" s="1492">
        <v>18.11</v>
      </c>
      <c r="L1285" s="1493"/>
      <c r="M1285" s="442"/>
      <c r="N1285" s="443">
        <f>I1285*K1285</f>
        <v>0.53</v>
      </c>
    </row>
    <row r="1286" spans="2:14" ht="30.75" customHeight="1" x14ac:dyDescent="0.25">
      <c r="B1286" s="446">
        <v>91534</v>
      </c>
      <c r="C1286" s="842" t="s">
        <v>24706</v>
      </c>
      <c r="D1286" s="1463" t="s">
        <v>25060</v>
      </c>
      <c r="E1286" s="1463"/>
      <c r="F1286" s="1463"/>
      <c r="G1286" s="1464"/>
      <c r="H1286" s="442"/>
      <c r="I1286" s="447"/>
      <c r="J1286" s="447">
        <v>0.02</v>
      </c>
      <c r="K1286" s="1492"/>
      <c r="L1286" s="1493"/>
      <c r="M1286" s="442">
        <v>36.78</v>
      </c>
      <c r="N1286" s="443">
        <f>J1286*M1286</f>
        <v>0.74</v>
      </c>
    </row>
    <row r="1287" spans="2:14" ht="15" x14ac:dyDescent="0.25">
      <c r="B1287" s="446"/>
      <c r="C1287" s="397"/>
      <c r="D1287" s="1494"/>
      <c r="E1287" s="1494"/>
      <c r="F1287" s="1494"/>
      <c r="G1287" s="1495"/>
      <c r="H1287" s="442"/>
      <c r="I1287" s="442"/>
      <c r="J1287" s="442"/>
      <c r="K1287" s="442"/>
      <c r="L1287" s="442"/>
      <c r="M1287" s="442"/>
      <c r="N1287" s="443"/>
    </row>
    <row r="1288" spans="2:14" ht="15.75" thickBot="1" x14ac:dyDescent="0.3">
      <c r="B1288" s="400"/>
      <c r="C1288" s="401"/>
      <c r="D1288" s="401"/>
      <c r="E1288" s="401"/>
      <c r="F1288" s="444"/>
      <c r="G1288" s="444"/>
      <c r="H1288" s="444"/>
      <c r="I1288" s="444"/>
      <c r="J1288" s="444"/>
      <c r="K1288" s="444"/>
      <c r="L1288" s="444"/>
      <c r="M1288" s="843" t="s">
        <v>24680</v>
      </c>
      <c r="N1288" s="403">
        <f>SUM(N1283:N1287)</f>
        <v>10.55</v>
      </c>
    </row>
    <row r="1289" spans="2:14" ht="15.75" thickBot="1" x14ac:dyDescent="0.3">
      <c r="B1289" s="456"/>
      <c r="C1289" s="457"/>
      <c r="D1289" s="457"/>
      <c r="E1289" s="457"/>
      <c r="F1289" s="457"/>
      <c r="G1289" s="457"/>
      <c r="H1289" s="457"/>
      <c r="I1289" s="457"/>
      <c r="J1289" s="457"/>
      <c r="K1289" s="457"/>
      <c r="L1289" s="457"/>
      <c r="M1289" s="457"/>
      <c r="N1289" s="404"/>
    </row>
    <row r="1290" spans="2:14" ht="45" x14ac:dyDescent="0.25">
      <c r="B1290" s="392" t="s">
        <v>0</v>
      </c>
      <c r="C1290" s="393" t="s">
        <v>24673</v>
      </c>
      <c r="D1290" s="1465" t="s">
        <v>24681</v>
      </c>
      <c r="E1290" s="1465"/>
      <c r="F1290" s="1465"/>
      <c r="G1290" s="1465"/>
      <c r="H1290" s="1466"/>
      <c r="I1290" s="441" t="s">
        <v>3686</v>
      </c>
      <c r="J1290" s="441" t="s">
        <v>24682</v>
      </c>
      <c r="K1290" s="441" t="s">
        <v>24861</v>
      </c>
      <c r="L1290" s="441" t="s">
        <v>24862</v>
      </c>
      <c r="M1290" s="441" t="s">
        <v>24683</v>
      </c>
      <c r="N1290" s="395" t="s">
        <v>24679</v>
      </c>
    </row>
    <row r="1291" spans="2:14" ht="15" x14ac:dyDescent="0.25">
      <c r="B1291" s="446">
        <v>10146</v>
      </c>
      <c r="C1291" s="842" t="s">
        <v>4389</v>
      </c>
      <c r="D1291" s="1463" t="s">
        <v>24710</v>
      </c>
      <c r="E1291" s="1463"/>
      <c r="F1291" s="1463"/>
      <c r="G1291" s="1463"/>
      <c r="H1291" s="1464"/>
      <c r="I1291" s="442" t="s">
        <v>75</v>
      </c>
      <c r="J1291" s="406">
        <v>1.5727</v>
      </c>
      <c r="K1291" s="427">
        <v>5.46</v>
      </c>
      <c r="L1291" s="427">
        <f>K1291*(1+J1291)</f>
        <v>14.05</v>
      </c>
      <c r="M1291" s="447">
        <v>2.9000000000000001E-2</v>
      </c>
      <c r="N1291" s="443">
        <f>L1291*M1291</f>
        <v>0.41</v>
      </c>
    </row>
    <row r="1292" spans="2:14" ht="15.75" thickBot="1" x14ac:dyDescent="0.3">
      <c r="B1292" s="400"/>
      <c r="C1292" s="401"/>
      <c r="D1292" s="401"/>
      <c r="E1292" s="401"/>
      <c r="F1292" s="444"/>
      <c r="G1292" s="444"/>
      <c r="H1292" s="444"/>
      <c r="I1292" s="444"/>
      <c r="J1292" s="444"/>
      <c r="K1292" s="444"/>
      <c r="L1292" s="444"/>
      <c r="M1292" s="843" t="s">
        <v>24684</v>
      </c>
      <c r="N1292" s="403">
        <f>SUM(N1291:N1291)</f>
        <v>0.41</v>
      </c>
    </row>
    <row r="1293" spans="2:14" ht="15.75" thickBot="1" x14ac:dyDescent="0.3">
      <c r="B1293" s="456"/>
      <c r="C1293" s="457"/>
      <c r="D1293" s="457"/>
      <c r="E1293" s="457"/>
      <c r="F1293" s="457"/>
      <c r="G1293" s="457"/>
      <c r="H1293" s="457"/>
      <c r="I1293" s="448"/>
      <c r="J1293" s="448"/>
      <c r="K1293" s="457"/>
      <c r="L1293" s="457"/>
      <c r="M1293" s="457"/>
      <c r="N1293" s="404"/>
    </row>
    <row r="1294" spans="2:14" ht="30" x14ac:dyDescent="0.25">
      <c r="B1294" s="392" t="s">
        <v>0</v>
      </c>
      <c r="C1294" s="393" t="s">
        <v>24673</v>
      </c>
      <c r="D1294" s="1465" t="s">
        <v>24685</v>
      </c>
      <c r="E1294" s="1465"/>
      <c r="F1294" s="1465"/>
      <c r="G1294" s="1465"/>
      <c r="H1294" s="1466"/>
      <c r="I1294" s="441" t="s">
        <v>2858</v>
      </c>
      <c r="J1294" s="441" t="s">
        <v>24686</v>
      </c>
      <c r="K1294" s="441" t="s">
        <v>24687</v>
      </c>
      <c r="L1294" s="441"/>
      <c r="M1294" s="441" t="s">
        <v>24688</v>
      </c>
      <c r="N1294" s="395" t="s">
        <v>24689</v>
      </c>
    </row>
    <row r="1295" spans="2:14" ht="15" x14ac:dyDescent="0.25">
      <c r="B1295" s="446"/>
      <c r="C1295" s="842"/>
      <c r="D1295" s="1463"/>
      <c r="E1295" s="1463"/>
      <c r="F1295" s="1463"/>
      <c r="G1295" s="1463"/>
      <c r="H1295" s="1464"/>
      <c r="I1295" s="442"/>
      <c r="J1295" s="442"/>
      <c r="K1295" s="442"/>
      <c r="L1295" s="442"/>
      <c r="M1295" s="442"/>
      <c r="N1295" s="443"/>
    </row>
    <row r="1296" spans="2:14" ht="15" x14ac:dyDescent="0.25">
      <c r="B1296" s="456"/>
      <c r="C1296" s="457"/>
      <c r="D1296" s="457"/>
      <c r="E1296" s="457"/>
      <c r="F1296" s="448"/>
      <c r="G1296" s="448"/>
      <c r="H1296" s="448"/>
      <c r="I1296" s="448"/>
      <c r="J1296" s="448"/>
      <c r="K1296" s="448"/>
      <c r="L1296" s="448"/>
      <c r="M1296" s="409" t="s">
        <v>24690</v>
      </c>
      <c r="N1296" s="410">
        <f>SUM(N1295:N1295)</f>
        <v>0</v>
      </c>
    </row>
    <row r="1297" spans="2:14" ht="15" x14ac:dyDescent="0.25">
      <c r="B1297" s="456"/>
      <c r="C1297" s="457"/>
      <c r="D1297" s="457"/>
      <c r="E1297" s="457"/>
      <c r="F1297" s="457"/>
      <c r="G1297" s="457"/>
      <c r="H1297" s="457"/>
      <c r="I1297" s="457"/>
      <c r="J1297" s="457"/>
      <c r="K1297" s="457"/>
      <c r="L1297" s="457"/>
      <c r="M1297" s="457"/>
      <c r="N1297" s="404"/>
    </row>
    <row r="1298" spans="2:14" ht="15" x14ac:dyDescent="0.25">
      <c r="B1298" s="456"/>
      <c r="C1298" s="457"/>
      <c r="D1298" s="457"/>
      <c r="E1298" s="457"/>
      <c r="F1298" s="448"/>
      <c r="G1298" s="448"/>
      <c r="H1298" s="448"/>
      <c r="I1298" s="449"/>
      <c r="J1298" s="449"/>
      <c r="K1298" s="449"/>
      <c r="L1298" s="449"/>
      <c r="M1298" s="409" t="s">
        <v>24691</v>
      </c>
      <c r="N1298" s="412">
        <f>N1288+N1292+N1296</f>
        <v>10.96</v>
      </c>
    </row>
    <row r="1299" spans="2:14" ht="15" x14ac:dyDescent="0.25">
      <c r="B1299" s="456"/>
      <c r="C1299" s="457"/>
      <c r="D1299" s="457"/>
      <c r="E1299" s="457"/>
      <c r="F1299" s="448"/>
      <c r="G1299" s="448"/>
      <c r="H1299" s="448"/>
      <c r="I1299" s="448"/>
      <c r="J1299" s="450"/>
      <c r="K1299" s="450"/>
      <c r="L1299" s="450"/>
      <c r="M1299" s="414" t="s">
        <v>24692</v>
      </c>
      <c r="N1299" s="412">
        <v>1</v>
      </c>
    </row>
    <row r="1300" spans="2:14" ht="15.75" thickBot="1" x14ac:dyDescent="0.3">
      <c r="B1300" s="400"/>
      <c r="C1300" s="401"/>
      <c r="D1300" s="401"/>
      <c r="E1300" s="401"/>
      <c r="F1300" s="444"/>
      <c r="G1300" s="444"/>
      <c r="H1300" s="444"/>
      <c r="I1300" s="444"/>
      <c r="J1300" s="444"/>
      <c r="K1300" s="444"/>
      <c r="L1300" s="444"/>
      <c r="M1300" s="843" t="s">
        <v>24693</v>
      </c>
      <c r="N1300" s="415">
        <f>TRUNC(N1298/N1299,2)</f>
        <v>10.96</v>
      </c>
    </row>
    <row r="1301" spans="2:14" ht="15.75" thickBot="1" x14ac:dyDescent="0.3">
      <c r="B1301" s="456"/>
      <c r="C1301" s="457"/>
      <c r="D1301" s="457"/>
      <c r="E1301" s="457"/>
      <c r="F1301" s="457"/>
      <c r="G1301" s="457"/>
      <c r="H1301" s="457"/>
      <c r="I1301" s="457"/>
      <c r="J1301" s="457"/>
      <c r="K1301" s="457"/>
      <c r="L1301" s="457"/>
      <c r="M1301" s="457"/>
      <c r="N1301" s="404"/>
    </row>
    <row r="1302" spans="2:14" ht="30" x14ac:dyDescent="0.25">
      <c r="B1302" s="392" t="s">
        <v>0</v>
      </c>
      <c r="C1302" s="393" t="s">
        <v>24673</v>
      </c>
      <c r="D1302" s="1465" t="s">
        <v>24694</v>
      </c>
      <c r="E1302" s="1465"/>
      <c r="F1302" s="1465"/>
      <c r="G1302" s="1465"/>
      <c r="H1302" s="1465"/>
      <c r="I1302" s="1466"/>
      <c r="J1302" s="441" t="s">
        <v>3686</v>
      </c>
      <c r="K1302" s="441" t="s">
        <v>24695</v>
      </c>
      <c r="L1302" s="1467" t="s">
        <v>24683</v>
      </c>
      <c r="M1302" s="1468"/>
      <c r="N1302" s="395" t="s">
        <v>24689</v>
      </c>
    </row>
    <row r="1303" spans="2:14" ht="15" x14ac:dyDescent="0.25">
      <c r="B1303" s="446"/>
      <c r="C1303" s="842"/>
      <c r="D1303" s="1463"/>
      <c r="E1303" s="1463"/>
      <c r="F1303" s="1463"/>
      <c r="G1303" s="1463"/>
      <c r="H1303" s="1463"/>
      <c r="I1303" s="1464"/>
      <c r="J1303" s="442"/>
      <c r="K1303" s="442"/>
      <c r="L1303" s="1461"/>
      <c r="M1303" s="1462"/>
      <c r="N1303" s="443"/>
    </row>
    <row r="1304" spans="2:14" ht="15.75" thickBot="1" x14ac:dyDescent="0.3">
      <c r="B1304" s="400"/>
      <c r="C1304" s="401"/>
      <c r="D1304" s="401"/>
      <c r="E1304" s="401"/>
      <c r="F1304" s="444"/>
      <c r="G1304" s="444"/>
      <c r="H1304" s="444"/>
      <c r="I1304" s="444"/>
      <c r="J1304" s="444"/>
      <c r="K1304" s="444"/>
      <c r="L1304" s="444"/>
      <c r="M1304" s="843" t="s">
        <v>24696</v>
      </c>
      <c r="N1304" s="403">
        <f>SUM(N1303)</f>
        <v>0</v>
      </c>
    </row>
    <row r="1305" spans="2:14" ht="15.75" thickBot="1" x14ac:dyDescent="0.3">
      <c r="B1305" s="456"/>
      <c r="C1305" s="457"/>
      <c r="D1305" s="457"/>
      <c r="E1305" s="457"/>
      <c r="F1305" s="457"/>
      <c r="G1305" s="457"/>
      <c r="H1305" s="457"/>
      <c r="I1305" s="457"/>
      <c r="J1305" s="457"/>
      <c r="K1305" s="457"/>
      <c r="L1305" s="457"/>
      <c r="M1305" s="457"/>
      <c r="N1305" s="404"/>
    </row>
    <row r="1306" spans="2:14" ht="30" x14ac:dyDescent="0.25">
      <c r="B1306" s="392" t="s">
        <v>0</v>
      </c>
      <c r="C1306" s="441" t="s">
        <v>24673</v>
      </c>
      <c r="D1306" s="1465" t="s">
        <v>24697</v>
      </c>
      <c r="E1306" s="1465"/>
      <c r="F1306" s="1465"/>
      <c r="G1306" s="1465"/>
      <c r="H1306" s="1465"/>
      <c r="I1306" s="1466"/>
      <c r="J1306" s="441" t="s">
        <v>3686</v>
      </c>
      <c r="K1306" s="441" t="s">
        <v>24695</v>
      </c>
      <c r="L1306" s="1467" t="s">
        <v>24683</v>
      </c>
      <c r="M1306" s="1468"/>
      <c r="N1306" s="395" t="s">
        <v>24689</v>
      </c>
    </row>
    <row r="1307" spans="2:14" ht="15" x14ac:dyDescent="0.25">
      <c r="B1307" s="446">
        <v>95606</v>
      </c>
      <c r="C1307" s="842" t="s">
        <v>24706</v>
      </c>
      <c r="D1307" s="1463" t="s">
        <v>25061</v>
      </c>
      <c r="E1307" s="1463"/>
      <c r="F1307" s="1463"/>
      <c r="G1307" s="1463"/>
      <c r="H1307" s="1463"/>
      <c r="I1307" s="1463"/>
      <c r="J1307" s="845" t="s">
        <v>6</v>
      </c>
      <c r="K1307" s="845">
        <v>1.8</v>
      </c>
      <c r="L1307" s="1504">
        <v>1</v>
      </c>
      <c r="M1307" s="1505"/>
      <c r="N1307" s="846">
        <f>K1307*L1307</f>
        <v>1.8</v>
      </c>
    </row>
    <row r="1308" spans="2:14" ht="30.75" customHeight="1" thickBot="1" x14ac:dyDescent="0.3">
      <c r="B1308" s="847"/>
      <c r="C1308" s="848"/>
      <c r="D1308" s="1503"/>
      <c r="E1308" s="1503"/>
      <c r="F1308" s="1503"/>
      <c r="G1308" s="1503"/>
      <c r="H1308" s="1503"/>
      <c r="I1308" s="1503"/>
      <c r="J1308" s="444"/>
      <c r="K1308" s="444"/>
      <c r="L1308" s="444"/>
      <c r="M1308" s="843" t="s">
        <v>24698</v>
      </c>
      <c r="N1308" s="403">
        <f>SUM(N1307)</f>
        <v>1.8</v>
      </c>
    </row>
    <row r="1309" spans="2:14" ht="15.75" thickBot="1" x14ac:dyDescent="0.3">
      <c r="B1309" s="456"/>
      <c r="C1309" s="457"/>
      <c r="D1309" s="457"/>
      <c r="E1309" s="457"/>
      <c r="F1309" s="457"/>
      <c r="G1309" s="457"/>
      <c r="H1309" s="457"/>
      <c r="I1309" s="457"/>
      <c r="J1309" s="457"/>
      <c r="K1309" s="457"/>
      <c r="L1309" s="457"/>
      <c r="M1309" s="457"/>
      <c r="N1309" s="404"/>
    </row>
    <row r="1310" spans="2:14" ht="30" x14ac:dyDescent="0.25">
      <c r="B1310" s="392" t="s">
        <v>0</v>
      </c>
      <c r="C1310" s="441" t="s">
        <v>24673</v>
      </c>
      <c r="D1310" s="1465" t="s">
        <v>24699</v>
      </c>
      <c r="E1310" s="1465"/>
      <c r="F1310" s="1465"/>
      <c r="G1310" s="1466"/>
      <c r="H1310" s="441" t="s">
        <v>3686</v>
      </c>
      <c r="I1310" s="441" t="s">
        <v>24700</v>
      </c>
      <c r="J1310" s="441" t="s">
        <v>24701</v>
      </c>
      <c r="K1310" s="441" t="s">
        <v>24695</v>
      </c>
      <c r="L1310" s="441"/>
      <c r="M1310" s="441" t="s">
        <v>24683</v>
      </c>
      <c r="N1310" s="395" t="s">
        <v>24689</v>
      </c>
    </row>
    <row r="1311" spans="2:14" ht="15" x14ac:dyDescent="0.25">
      <c r="B1311" s="446"/>
      <c r="C1311" s="842"/>
      <c r="D1311" s="1494"/>
      <c r="E1311" s="1494"/>
      <c r="F1311" s="1494"/>
      <c r="G1311" s="1494"/>
      <c r="H1311" s="442"/>
      <c r="I1311" s="442"/>
      <c r="J1311" s="442"/>
      <c r="K1311" s="442"/>
      <c r="L1311" s="442"/>
      <c r="M1311" s="447"/>
      <c r="N1311" s="443"/>
    </row>
    <row r="1312" spans="2:14" ht="15" x14ac:dyDescent="0.25">
      <c r="B1312" s="456"/>
      <c r="C1312" s="457"/>
      <c r="D1312" s="457"/>
      <c r="E1312" s="457"/>
      <c r="F1312" s="448"/>
      <c r="G1312" s="448"/>
      <c r="H1312" s="448"/>
      <c r="I1312" s="448"/>
      <c r="J1312" s="448"/>
      <c r="K1312" s="448"/>
      <c r="L1312" s="448"/>
      <c r="M1312" s="409" t="s">
        <v>24702</v>
      </c>
      <c r="N1312" s="410">
        <f>SUM(N1311:N1311)</f>
        <v>0</v>
      </c>
    </row>
    <row r="1313" spans="2:14" ht="15.75" thickBot="1" x14ac:dyDescent="0.3">
      <c r="B1313" s="456"/>
      <c r="C1313" s="457"/>
      <c r="D1313" s="457"/>
      <c r="E1313" s="457"/>
      <c r="F1313" s="457"/>
      <c r="G1313" s="457"/>
      <c r="H1313" s="457"/>
      <c r="I1313" s="457"/>
      <c r="J1313" s="457"/>
      <c r="K1313" s="457"/>
      <c r="L1313" s="457"/>
      <c r="M1313" s="457"/>
      <c r="N1313" s="404"/>
    </row>
    <row r="1314" spans="2:14" ht="15" x14ac:dyDescent="0.25">
      <c r="B1314" s="802"/>
      <c r="C1314" s="803"/>
      <c r="D1314" s="803"/>
      <c r="E1314" s="803"/>
      <c r="F1314" s="804"/>
      <c r="G1314" s="804"/>
      <c r="H1314" s="804"/>
      <c r="I1314" s="804"/>
      <c r="J1314" s="804"/>
      <c r="K1314" s="804"/>
      <c r="L1314" s="804"/>
      <c r="M1314" s="805" t="s">
        <v>24703</v>
      </c>
      <c r="N1314" s="395">
        <f>N1300+N1304+N1308+N1312</f>
        <v>12.76</v>
      </c>
    </row>
    <row r="1315" spans="2:14" ht="15.75" thickBot="1" x14ac:dyDescent="0.3">
      <c r="B1315" s="456"/>
      <c r="C1315" s="806"/>
      <c r="D1315" s="806"/>
      <c r="E1315" s="806"/>
      <c r="F1315" s="807"/>
      <c r="G1315" s="807"/>
      <c r="H1315" s="807"/>
      <c r="I1315" s="807"/>
      <c r="J1315" s="807"/>
      <c r="K1315" s="807"/>
      <c r="L1315" s="807"/>
      <c r="M1315" s="808">
        <f>'Planilha - Orla'!I3</f>
        <v>0.28220000000000001</v>
      </c>
      <c r="N1315" s="819">
        <f>N1314*M1315</f>
        <v>3.6</v>
      </c>
    </row>
    <row r="1316" spans="2:14" ht="15.75" thickBot="1" x14ac:dyDescent="0.3">
      <c r="B1316" s="1500" t="s">
        <v>24704</v>
      </c>
      <c r="C1316" s="1501"/>
      <c r="D1316" s="1501"/>
      <c r="E1316" s="1501"/>
      <c r="F1316" s="1501"/>
      <c r="G1316" s="1501"/>
      <c r="H1316" s="1501"/>
      <c r="I1316" s="1501"/>
      <c r="J1316" s="1501"/>
      <c r="K1316" s="1501"/>
      <c r="L1316" s="1501"/>
      <c r="M1316" s="1502"/>
      <c r="N1316" s="820">
        <f>N1314+N1315</f>
        <v>16.36</v>
      </c>
    </row>
    <row r="1317" spans="2:14" ht="15" x14ac:dyDescent="0.25">
      <c r="B1317" s="809"/>
      <c r="C1317" s="809"/>
      <c r="D1317" s="809"/>
      <c r="E1317" s="809"/>
      <c r="F1317" s="809"/>
      <c r="G1317" s="809"/>
      <c r="H1317" s="809"/>
      <c r="I1317" s="809"/>
      <c r="J1317" s="809"/>
      <c r="K1317" s="809"/>
      <c r="L1317" s="809"/>
      <c r="M1317" s="809"/>
      <c r="N1317" s="810"/>
    </row>
    <row r="1318" spans="2:14" ht="15.75" thickBot="1" x14ac:dyDescent="0.3">
      <c r="B1318" s="809"/>
      <c r="C1318" s="809"/>
      <c r="D1318" s="809"/>
      <c r="E1318" s="809"/>
      <c r="F1318" s="809"/>
      <c r="G1318" s="809"/>
      <c r="H1318" s="809"/>
      <c r="I1318" s="809"/>
      <c r="J1318" s="809"/>
      <c r="K1318" s="809"/>
      <c r="L1318" s="809"/>
      <c r="M1318" s="809"/>
      <c r="N1318" s="810"/>
    </row>
    <row r="1319" spans="2:14" ht="48.75" customHeight="1" x14ac:dyDescent="0.25">
      <c r="B1319" s="1479" t="s">
        <v>24945</v>
      </c>
      <c r="C1319" s="1480"/>
      <c r="D1319" s="1481"/>
      <c r="E1319" s="1482" t="s">
        <v>24669</v>
      </c>
      <c r="F1319" s="1482"/>
      <c r="G1319" s="1482"/>
      <c r="H1319" s="1482"/>
      <c r="I1319" s="1482"/>
      <c r="J1319" s="1482"/>
      <c r="K1319" s="1482"/>
      <c r="L1319" s="1185"/>
      <c r="M1319" s="1483"/>
      <c r="N1319" s="1484"/>
    </row>
    <row r="1320" spans="2:14" ht="15" x14ac:dyDescent="0.25">
      <c r="B1320" s="391" t="s">
        <v>24670</v>
      </c>
      <c r="C1320" s="1485" t="s">
        <v>25653</v>
      </c>
      <c r="D1320" s="1485"/>
      <c r="E1320" s="1485"/>
      <c r="F1320" s="1485"/>
      <c r="G1320" s="1485"/>
      <c r="H1320" s="1485"/>
      <c r="I1320" s="1485"/>
      <c r="J1320" s="1485"/>
      <c r="K1320" s="1485"/>
      <c r="L1320" s="1485"/>
      <c r="M1320" s="1485"/>
      <c r="N1320" s="1486"/>
    </row>
    <row r="1321" spans="2:14" ht="15" x14ac:dyDescent="0.25">
      <c r="B1321" s="391" t="s">
        <v>24671</v>
      </c>
      <c r="C1321" s="1487" t="s">
        <v>8</v>
      </c>
      <c r="D1321" s="1487"/>
      <c r="E1321" s="1487"/>
      <c r="F1321" s="1487"/>
      <c r="G1321" s="1487"/>
      <c r="H1321" s="1487"/>
      <c r="I1321" s="1487"/>
      <c r="J1321" s="1487"/>
      <c r="K1321" s="1487"/>
      <c r="L1321" s="1487"/>
      <c r="M1321" s="1487"/>
      <c r="N1321" s="1488"/>
    </row>
    <row r="1322" spans="2:14" ht="15.75" thickBot="1" x14ac:dyDescent="0.3">
      <c r="B1322" s="391" t="s">
        <v>24672</v>
      </c>
      <c r="C1322" s="1489">
        <v>44501</v>
      </c>
      <c r="D1322" s="1490"/>
      <c r="E1322" s="1490"/>
      <c r="F1322" s="1490"/>
      <c r="G1322" s="1490"/>
      <c r="H1322" s="1490"/>
      <c r="I1322" s="1490"/>
      <c r="J1322" s="1490"/>
      <c r="K1322" s="1490"/>
      <c r="L1322" s="1490"/>
      <c r="M1322" s="1490"/>
      <c r="N1322" s="1491"/>
    </row>
    <row r="1323" spans="2:14" ht="30" x14ac:dyDescent="0.25">
      <c r="B1323" s="392" t="s">
        <v>0</v>
      </c>
      <c r="C1323" s="393" t="s">
        <v>24673</v>
      </c>
      <c r="D1323" s="1465" t="s">
        <v>24674</v>
      </c>
      <c r="E1323" s="1465"/>
      <c r="F1323" s="1465"/>
      <c r="G1323" s="1466"/>
      <c r="H1323" s="441" t="s">
        <v>111</v>
      </c>
      <c r="I1323" s="441" t="s">
        <v>24675</v>
      </c>
      <c r="J1323" s="441" t="s">
        <v>24676</v>
      </c>
      <c r="K1323" s="441" t="s">
        <v>24677</v>
      </c>
      <c r="L1323" s="441"/>
      <c r="M1323" s="441" t="s">
        <v>24678</v>
      </c>
      <c r="N1323" s="395" t="s">
        <v>24679</v>
      </c>
    </row>
    <row r="1324" spans="2:14" ht="15" x14ac:dyDescent="0.25">
      <c r="B1324" s="446"/>
      <c r="C1324" s="397"/>
      <c r="D1324" s="1494"/>
      <c r="E1324" s="1494"/>
      <c r="F1324" s="1494"/>
      <c r="G1324" s="1495"/>
      <c r="H1324" s="442"/>
      <c r="I1324" s="442"/>
      <c r="J1324" s="442"/>
      <c r="K1324" s="442"/>
      <c r="L1324" s="442"/>
      <c r="M1324" s="442"/>
      <c r="N1324" s="443"/>
    </row>
    <row r="1325" spans="2:14" ht="15.75" thickBot="1" x14ac:dyDescent="0.3">
      <c r="B1325" s="400"/>
      <c r="C1325" s="401"/>
      <c r="D1325" s="401"/>
      <c r="E1325" s="401"/>
      <c r="F1325" s="444"/>
      <c r="G1325" s="444"/>
      <c r="H1325" s="444"/>
      <c r="I1325" s="444"/>
      <c r="J1325" s="444"/>
      <c r="K1325" s="444"/>
      <c r="L1325" s="444"/>
      <c r="M1325" s="1184" t="s">
        <v>24680</v>
      </c>
      <c r="N1325" s="403">
        <f>SUM(N1324)</f>
        <v>0</v>
      </c>
    </row>
    <row r="1326" spans="2:14" ht="15.75" thickBot="1" x14ac:dyDescent="0.3">
      <c r="B1326" s="456"/>
      <c r="C1326" s="457"/>
      <c r="D1326" s="457"/>
      <c r="E1326" s="457"/>
      <c r="F1326" s="457"/>
      <c r="G1326" s="457"/>
      <c r="H1326" s="457"/>
      <c r="I1326" s="457"/>
      <c r="J1326" s="457"/>
      <c r="K1326" s="457"/>
      <c r="L1326" s="457"/>
      <c r="M1326" s="457"/>
      <c r="N1326" s="404"/>
    </row>
    <row r="1327" spans="2:14" ht="45" x14ac:dyDescent="0.25">
      <c r="B1327" s="392" t="s">
        <v>0</v>
      </c>
      <c r="C1327" s="393" t="s">
        <v>24673</v>
      </c>
      <c r="D1327" s="1465" t="s">
        <v>24681</v>
      </c>
      <c r="E1327" s="1465"/>
      <c r="F1327" s="1465"/>
      <c r="G1327" s="1465"/>
      <c r="H1327" s="1466"/>
      <c r="I1327" s="441" t="s">
        <v>3686</v>
      </c>
      <c r="J1327" s="441" t="s">
        <v>24682</v>
      </c>
      <c r="K1327" s="441" t="s">
        <v>24861</v>
      </c>
      <c r="L1327" s="441" t="s">
        <v>24862</v>
      </c>
      <c r="M1327" s="441" t="s">
        <v>24683</v>
      </c>
      <c r="N1327" s="395" t="s">
        <v>24679</v>
      </c>
    </row>
    <row r="1328" spans="2:14" ht="15" x14ac:dyDescent="0.25">
      <c r="B1328" s="446">
        <v>10101</v>
      </c>
      <c r="C1328" s="1183" t="s">
        <v>4389</v>
      </c>
      <c r="D1328" s="1463" t="s">
        <v>24788</v>
      </c>
      <c r="E1328" s="1463"/>
      <c r="F1328" s="1463"/>
      <c r="G1328" s="1463"/>
      <c r="H1328" s="1464"/>
      <c r="I1328" s="442" t="s">
        <v>75</v>
      </c>
      <c r="J1328" s="406">
        <v>1.5727</v>
      </c>
      <c r="K1328" s="427">
        <v>6.27</v>
      </c>
      <c r="L1328" s="427">
        <f>K1328*(1+J1328)</f>
        <v>16.13</v>
      </c>
      <c r="M1328" s="447">
        <v>0.42599999999999999</v>
      </c>
      <c r="N1328" s="443">
        <f>L1328*M1328</f>
        <v>6.87</v>
      </c>
    </row>
    <row r="1329" spans="2:14" ht="15" x14ac:dyDescent="0.25">
      <c r="B1329" s="446">
        <v>10115</v>
      </c>
      <c r="C1329" s="1183" t="s">
        <v>4389</v>
      </c>
      <c r="D1329" s="1463" t="s">
        <v>24771</v>
      </c>
      <c r="E1329" s="1463"/>
      <c r="F1329" s="1463"/>
      <c r="G1329" s="1463"/>
      <c r="H1329" s="1464"/>
      <c r="I1329" s="442" t="s">
        <v>75</v>
      </c>
      <c r="J1329" s="406">
        <v>1.5727</v>
      </c>
      <c r="K1329" s="427">
        <v>7.43</v>
      </c>
      <c r="L1329" s="427">
        <f>K1329*(1+J1329)</f>
        <v>19.12</v>
      </c>
      <c r="M1329" s="447">
        <v>0.42599999999999999</v>
      </c>
      <c r="N1329" s="443">
        <f>L1329*M1329</f>
        <v>8.15</v>
      </c>
    </row>
    <row r="1330" spans="2:14" ht="15.75" thickBot="1" x14ac:dyDescent="0.3">
      <c r="B1330" s="400"/>
      <c r="C1330" s="401"/>
      <c r="D1330" s="401"/>
      <c r="E1330" s="401"/>
      <c r="F1330" s="444"/>
      <c r="G1330" s="444"/>
      <c r="H1330" s="444"/>
      <c r="I1330" s="444"/>
      <c r="J1330" s="444"/>
      <c r="K1330" s="444"/>
      <c r="L1330" s="444"/>
      <c r="M1330" s="1184" t="s">
        <v>24684</v>
      </c>
      <c r="N1330" s="403">
        <f>SUM(N1328:N1329)</f>
        <v>15.02</v>
      </c>
    </row>
    <row r="1331" spans="2:14" ht="15.75" thickBot="1" x14ac:dyDescent="0.3">
      <c r="B1331" s="456"/>
      <c r="C1331" s="457"/>
      <c r="D1331" s="457"/>
      <c r="E1331" s="457"/>
      <c r="F1331" s="457"/>
      <c r="G1331" s="457"/>
      <c r="H1331" s="457"/>
      <c r="I1331" s="448"/>
      <c r="J1331" s="448"/>
      <c r="K1331" s="457"/>
      <c r="L1331" s="457"/>
      <c r="M1331" s="457"/>
      <c r="N1331" s="404"/>
    </row>
    <row r="1332" spans="2:14" ht="30" x14ac:dyDescent="0.25">
      <c r="B1332" s="392" t="s">
        <v>0</v>
      </c>
      <c r="C1332" s="393" t="s">
        <v>24673</v>
      </c>
      <c r="D1332" s="1465" t="s">
        <v>24685</v>
      </c>
      <c r="E1332" s="1465"/>
      <c r="F1332" s="1465"/>
      <c r="G1332" s="1465"/>
      <c r="H1332" s="1466"/>
      <c r="I1332" s="441" t="s">
        <v>2858</v>
      </c>
      <c r="J1332" s="441" t="s">
        <v>24686</v>
      </c>
      <c r="K1332" s="441" t="s">
        <v>24687</v>
      </c>
      <c r="L1332" s="441"/>
      <c r="M1332" s="441" t="s">
        <v>24688</v>
      </c>
      <c r="N1332" s="395" t="s">
        <v>24689</v>
      </c>
    </row>
    <row r="1333" spans="2:14" ht="15" x14ac:dyDescent="0.25">
      <c r="B1333" s="446"/>
      <c r="C1333" s="1183"/>
      <c r="D1333" s="1463"/>
      <c r="E1333" s="1463"/>
      <c r="F1333" s="1463"/>
      <c r="G1333" s="1463"/>
      <c r="H1333" s="1464"/>
      <c r="I1333" s="442"/>
      <c r="J1333" s="442"/>
      <c r="K1333" s="442"/>
      <c r="L1333" s="442"/>
      <c r="M1333" s="442"/>
      <c r="N1333" s="443"/>
    </row>
    <row r="1334" spans="2:14" ht="15" x14ac:dyDescent="0.25">
      <c r="B1334" s="456"/>
      <c r="C1334" s="457"/>
      <c r="D1334" s="457"/>
      <c r="E1334" s="457"/>
      <c r="F1334" s="448"/>
      <c r="G1334" s="448"/>
      <c r="H1334" s="448"/>
      <c r="I1334" s="448"/>
      <c r="J1334" s="448"/>
      <c r="K1334" s="448"/>
      <c r="L1334" s="448"/>
      <c r="M1334" s="409" t="s">
        <v>24690</v>
      </c>
      <c r="N1334" s="410">
        <f>SUM(N1333:N1333)</f>
        <v>0</v>
      </c>
    </row>
    <row r="1335" spans="2:14" ht="15" x14ac:dyDescent="0.25">
      <c r="B1335" s="456"/>
      <c r="C1335" s="457"/>
      <c r="D1335" s="457"/>
      <c r="E1335" s="457"/>
      <c r="F1335" s="457"/>
      <c r="G1335" s="457"/>
      <c r="H1335" s="457"/>
      <c r="I1335" s="457"/>
      <c r="J1335" s="457"/>
      <c r="K1335" s="457"/>
      <c r="L1335" s="457"/>
      <c r="M1335" s="457"/>
      <c r="N1335" s="404"/>
    </row>
    <row r="1336" spans="2:14" ht="15" x14ac:dyDescent="0.25">
      <c r="B1336" s="456"/>
      <c r="C1336" s="457"/>
      <c r="D1336" s="457"/>
      <c r="E1336" s="457"/>
      <c r="F1336" s="448"/>
      <c r="G1336" s="448"/>
      <c r="H1336" s="448"/>
      <c r="I1336" s="449"/>
      <c r="J1336" s="449"/>
      <c r="K1336" s="449"/>
      <c r="L1336" s="449"/>
      <c r="M1336" s="409" t="s">
        <v>24691</v>
      </c>
      <c r="N1336" s="412">
        <f>N1325+N1330+N1334</f>
        <v>15.02</v>
      </c>
    </row>
    <row r="1337" spans="2:14" ht="15" x14ac:dyDescent="0.25">
      <c r="B1337" s="456"/>
      <c r="C1337" s="457"/>
      <c r="D1337" s="457"/>
      <c r="E1337" s="457"/>
      <c r="F1337" s="448"/>
      <c r="G1337" s="448"/>
      <c r="H1337" s="448"/>
      <c r="I1337" s="448"/>
      <c r="J1337" s="450"/>
      <c r="K1337" s="450"/>
      <c r="L1337" s="450"/>
      <c r="M1337" s="414" t="s">
        <v>24692</v>
      </c>
      <c r="N1337" s="412">
        <v>1</v>
      </c>
    </row>
    <row r="1338" spans="2:14" ht="15.75" thickBot="1" x14ac:dyDescent="0.3">
      <c r="B1338" s="400"/>
      <c r="C1338" s="401"/>
      <c r="D1338" s="401"/>
      <c r="E1338" s="401"/>
      <c r="F1338" s="444"/>
      <c r="G1338" s="444"/>
      <c r="H1338" s="444"/>
      <c r="I1338" s="444"/>
      <c r="J1338" s="444"/>
      <c r="K1338" s="444"/>
      <c r="L1338" s="444"/>
      <c r="M1338" s="1184" t="s">
        <v>24693</v>
      </c>
      <c r="N1338" s="415">
        <f>TRUNC(N1336/N1337,2)</f>
        <v>15.02</v>
      </c>
    </row>
    <row r="1339" spans="2:14" ht="15.75" thickBot="1" x14ac:dyDescent="0.3">
      <c r="B1339" s="456"/>
      <c r="C1339" s="457"/>
      <c r="D1339" s="457"/>
      <c r="E1339" s="457"/>
      <c r="F1339" s="457"/>
      <c r="G1339" s="457"/>
      <c r="H1339" s="457"/>
      <c r="I1339" s="457"/>
      <c r="J1339" s="457"/>
      <c r="K1339" s="457"/>
      <c r="L1339" s="457"/>
      <c r="M1339" s="457"/>
      <c r="N1339" s="404"/>
    </row>
    <row r="1340" spans="2:14" ht="30" x14ac:dyDescent="0.25">
      <c r="B1340" s="392" t="s">
        <v>0</v>
      </c>
      <c r="C1340" s="393" t="s">
        <v>24673</v>
      </c>
      <c r="D1340" s="1465" t="s">
        <v>24694</v>
      </c>
      <c r="E1340" s="1465"/>
      <c r="F1340" s="1465"/>
      <c r="G1340" s="1465"/>
      <c r="H1340" s="1465"/>
      <c r="I1340" s="1466"/>
      <c r="J1340" s="441" t="s">
        <v>3686</v>
      </c>
      <c r="K1340" s="441" t="s">
        <v>24695</v>
      </c>
      <c r="L1340" s="441"/>
      <c r="M1340" s="441" t="s">
        <v>24683</v>
      </c>
      <c r="N1340" s="395" t="s">
        <v>24689</v>
      </c>
    </row>
    <row r="1341" spans="2:14" ht="15" x14ac:dyDescent="0.25">
      <c r="B1341" s="446">
        <v>1895</v>
      </c>
      <c r="C1341" s="1183" t="s">
        <v>24706</v>
      </c>
      <c r="D1341" s="1463" t="s">
        <v>25654</v>
      </c>
      <c r="E1341" s="1463"/>
      <c r="F1341" s="1463"/>
      <c r="G1341" s="1463"/>
      <c r="H1341" s="1463"/>
      <c r="I1341" s="1464"/>
      <c r="J1341" s="442" t="s">
        <v>24755</v>
      </c>
      <c r="K1341" s="427">
        <v>32.51</v>
      </c>
      <c r="L1341" s="427"/>
      <c r="M1341" s="447">
        <v>1</v>
      </c>
      <c r="N1341" s="443">
        <f>K1341*M1341</f>
        <v>32.51</v>
      </c>
    </row>
    <row r="1342" spans="2:14" ht="15" x14ac:dyDescent="0.25">
      <c r="B1342" s="446"/>
      <c r="C1342" s="1183"/>
      <c r="D1342" s="1463"/>
      <c r="E1342" s="1463"/>
      <c r="F1342" s="1463"/>
      <c r="G1342" s="1463"/>
      <c r="H1342" s="1463"/>
      <c r="I1342" s="1464"/>
      <c r="J1342" s="442"/>
      <c r="K1342" s="442"/>
      <c r="L1342" s="442"/>
      <c r="M1342" s="447"/>
      <c r="N1342" s="443"/>
    </row>
    <row r="1343" spans="2:14" ht="15.75" thickBot="1" x14ac:dyDescent="0.3">
      <c r="B1343" s="400"/>
      <c r="C1343" s="401"/>
      <c r="D1343" s="401"/>
      <c r="E1343" s="401"/>
      <c r="F1343" s="444"/>
      <c r="G1343" s="444"/>
      <c r="H1343" s="444"/>
      <c r="I1343" s="444"/>
      <c r="J1343" s="444"/>
      <c r="K1343" s="444"/>
      <c r="L1343" s="444"/>
      <c r="M1343" s="1184" t="s">
        <v>24696</v>
      </c>
      <c r="N1343" s="403">
        <f>SUM(N1341:N1341)</f>
        <v>32.51</v>
      </c>
    </row>
    <row r="1344" spans="2:14" ht="15.75" thickBot="1" x14ac:dyDescent="0.3">
      <c r="B1344" s="456"/>
      <c r="C1344" s="457"/>
      <c r="D1344" s="457"/>
      <c r="E1344" s="457"/>
      <c r="F1344" s="457"/>
      <c r="G1344" s="457"/>
      <c r="H1344" s="457"/>
      <c r="I1344" s="457"/>
      <c r="J1344" s="457"/>
      <c r="K1344" s="457"/>
      <c r="L1344" s="457"/>
      <c r="M1344" s="457"/>
      <c r="N1344" s="404"/>
    </row>
    <row r="1345" spans="2:14" ht="30" x14ac:dyDescent="0.25">
      <c r="B1345" s="392" t="s">
        <v>0</v>
      </c>
      <c r="C1345" s="441" t="s">
        <v>24673</v>
      </c>
      <c r="D1345" s="1465" t="s">
        <v>24697</v>
      </c>
      <c r="E1345" s="1465"/>
      <c r="F1345" s="1465"/>
      <c r="G1345" s="1465"/>
      <c r="H1345" s="1465"/>
      <c r="I1345" s="1466"/>
      <c r="J1345" s="441" t="s">
        <v>3686</v>
      </c>
      <c r="K1345" s="441" t="s">
        <v>24695</v>
      </c>
      <c r="L1345" s="441"/>
      <c r="M1345" s="441" t="s">
        <v>24683</v>
      </c>
      <c r="N1345" s="395" t="s">
        <v>24689</v>
      </c>
    </row>
    <row r="1346" spans="2:14" ht="15" x14ac:dyDescent="0.25">
      <c r="B1346" s="416"/>
      <c r="C1346" s="417"/>
      <c r="D1346" s="1463"/>
      <c r="E1346" s="1463"/>
      <c r="F1346" s="1463"/>
      <c r="G1346" s="1463"/>
      <c r="H1346" s="1463"/>
      <c r="I1346" s="1464"/>
      <c r="J1346" s="451"/>
      <c r="K1346" s="451"/>
      <c r="L1346" s="451"/>
      <c r="M1346" s="419"/>
      <c r="N1346" s="420"/>
    </row>
    <row r="1347" spans="2:14" ht="15.75" thickBot="1" x14ac:dyDescent="0.3">
      <c r="B1347" s="400"/>
      <c r="C1347" s="401"/>
      <c r="D1347" s="401"/>
      <c r="E1347" s="401"/>
      <c r="F1347" s="444"/>
      <c r="G1347" s="444"/>
      <c r="H1347" s="444"/>
      <c r="I1347" s="444"/>
      <c r="J1347" s="444"/>
      <c r="K1347" s="444"/>
      <c r="L1347" s="444"/>
      <c r="M1347" s="1184" t="s">
        <v>24698</v>
      </c>
      <c r="N1347" s="403">
        <f>SUM(N1346:N1346)</f>
        <v>0</v>
      </c>
    </row>
    <row r="1348" spans="2:14" ht="15.75" thickBot="1" x14ac:dyDescent="0.3">
      <c r="B1348" s="456"/>
      <c r="C1348" s="457"/>
      <c r="D1348" s="457"/>
      <c r="E1348" s="457"/>
      <c r="F1348" s="457"/>
      <c r="G1348" s="457"/>
      <c r="H1348" s="457"/>
      <c r="I1348" s="457"/>
      <c r="J1348" s="457"/>
      <c r="K1348" s="457"/>
      <c r="L1348" s="457"/>
      <c r="M1348" s="457"/>
      <c r="N1348" s="404"/>
    </row>
    <row r="1349" spans="2:14" ht="30" x14ac:dyDescent="0.25">
      <c r="B1349" s="392" t="s">
        <v>0</v>
      </c>
      <c r="C1349" s="441" t="s">
        <v>24673</v>
      </c>
      <c r="D1349" s="1465" t="s">
        <v>24699</v>
      </c>
      <c r="E1349" s="1465"/>
      <c r="F1349" s="1465"/>
      <c r="G1349" s="1466"/>
      <c r="H1349" s="441" t="s">
        <v>3686</v>
      </c>
      <c r="I1349" s="441" t="s">
        <v>24700</v>
      </c>
      <c r="J1349" s="441" t="s">
        <v>24701</v>
      </c>
      <c r="K1349" s="441" t="s">
        <v>24695</v>
      </c>
      <c r="L1349" s="441"/>
      <c r="M1349" s="441" t="s">
        <v>24683</v>
      </c>
      <c r="N1349" s="395" t="s">
        <v>24689</v>
      </c>
    </row>
    <row r="1350" spans="2:14" ht="15" x14ac:dyDescent="0.25">
      <c r="B1350" s="446"/>
      <c r="C1350" s="1183"/>
      <c r="D1350" s="1494"/>
      <c r="E1350" s="1494"/>
      <c r="F1350" s="1494"/>
      <c r="G1350" s="1494"/>
      <c r="H1350" s="442"/>
      <c r="I1350" s="442"/>
      <c r="J1350" s="442"/>
      <c r="K1350" s="442"/>
      <c r="L1350" s="442"/>
      <c r="M1350" s="447"/>
      <c r="N1350" s="443"/>
    </row>
    <row r="1351" spans="2:14" ht="15" x14ac:dyDescent="0.25">
      <c r="B1351" s="456"/>
      <c r="C1351" s="457"/>
      <c r="D1351" s="457"/>
      <c r="E1351" s="457"/>
      <c r="F1351" s="448"/>
      <c r="G1351" s="448"/>
      <c r="H1351" s="448"/>
      <c r="I1351" s="448"/>
      <c r="J1351" s="448"/>
      <c r="K1351" s="448"/>
      <c r="L1351" s="448"/>
      <c r="M1351" s="409" t="s">
        <v>24702</v>
      </c>
      <c r="N1351" s="410">
        <f>SUM(N1350:N1350)</f>
        <v>0</v>
      </c>
    </row>
    <row r="1352" spans="2:14" ht="15" x14ac:dyDescent="0.25">
      <c r="B1352" s="456"/>
      <c r="C1352" s="457"/>
      <c r="D1352" s="457"/>
      <c r="E1352" s="457"/>
      <c r="F1352" s="457"/>
      <c r="G1352" s="457"/>
      <c r="H1352" s="457"/>
      <c r="I1352" s="457"/>
      <c r="J1352" s="457"/>
      <c r="K1352" s="457"/>
      <c r="L1352" s="457"/>
      <c r="M1352" s="457"/>
      <c r="N1352" s="404"/>
    </row>
    <row r="1353" spans="2:14" ht="15" x14ac:dyDescent="0.25">
      <c r="B1353" s="421"/>
      <c r="C1353" s="422"/>
      <c r="D1353" s="422"/>
      <c r="E1353" s="422"/>
      <c r="F1353" s="452"/>
      <c r="G1353" s="452"/>
      <c r="H1353" s="452"/>
      <c r="I1353" s="452"/>
      <c r="J1353" s="452"/>
      <c r="K1353" s="452"/>
      <c r="L1353" s="452"/>
      <c r="M1353" s="424" t="s">
        <v>24703</v>
      </c>
      <c r="N1353" s="412">
        <f>N1338+N1343+N1347+N1351</f>
        <v>47.53</v>
      </c>
    </row>
    <row r="1354" spans="2:14" ht="15" x14ac:dyDescent="0.25">
      <c r="B1354" s="456"/>
      <c r="C1354" s="457"/>
      <c r="D1354" s="457"/>
      <c r="E1354" s="457"/>
      <c r="F1354" s="448"/>
      <c r="G1354" s="448"/>
      <c r="H1354" s="448"/>
      <c r="I1354" s="448"/>
      <c r="J1354" s="448"/>
      <c r="K1354" s="448"/>
      <c r="L1354" s="448"/>
      <c r="M1354" s="752">
        <f>'Planilha - Orla'!I3</f>
        <v>0.28220000000000001</v>
      </c>
      <c r="N1354" s="412">
        <f>N1353*M1354</f>
        <v>13.41</v>
      </c>
    </row>
    <row r="1355" spans="2:14" ht="15.75" thickBot="1" x14ac:dyDescent="0.3">
      <c r="B1355" s="1472" t="s">
        <v>24704</v>
      </c>
      <c r="C1355" s="1473"/>
      <c r="D1355" s="1473"/>
      <c r="E1355" s="1473"/>
      <c r="F1355" s="1473"/>
      <c r="G1355" s="1473"/>
      <c r="H1355" s="1473"/>
      <c r="I1355" s="1473"/>
      <c r="J1355" s="1473"/>
      <c r="K1355" s="1473"/>
      <c r="L1355" s="1473"/>
      <c r="M1355" s="1474"/>
      <c r="N1355" s="415">
        <f>N1353+N1354</f>
        <v>60.94</v>
      </c>
    </row>
    <row r="1356" spans="2:14" ht="15" x14ac:dyDescent="0.25">
      <c r="B1356" s="809"/>
      <c r="C1356" s="809"/>
      <c r="D1356" s="809"/>
      <c r="E1356" s="809"/>
      <c r="F1356" s="809"/>
      <c r="G1356" s="809"/>
      <c r="H1356" s="809"/>
      <c r="I1356" s="809"/>
      <c r="J1356" s="809"/>
      <c r="K1356" s="809"/>
      <c r="L1356" s="809"/>
      <c r="M1356" s="809"/>
      <c r="N1356" s="810"/>
    </row>
    <row r="1357" spans="2:14" ht="15" x14ac:dyDescent="0.25">
      <c r="B1357" s="809"/>
      <c r="C1357" s="809"/>
      <c r="D1357" s="809"/>
      <c r="E1357" s="809"/>
      <c r="F1357" s="809"/>
      <c r="G1357" s="809"/>
      <c r="H1357" s="809"/>
      <c r="I1357" s="809"/>
      <c r="J1357" s="809"/>
      <c r="K1357" s="809"/>
      <c r="L1357" s="809"/>
      <c r="M1357" s="809"/>
      <c r="N1357" s="810"/>
    </row>
    <row r="1358" spans="2:14" ht="15.75" thickBot="1" x14ac:dyDescent="0.3">
      <c r="B1358" s="809"/>
      <c r="C1358" s="809"/>
      <c r="D1358" s="809"/>
      <c r="E1358" s="809"/>
      <c r="F1358" s="809"/>
      <c r="G1358" s="809"/>
      <c r="H1358" s="809"/>
      <c r="I1358" s="809"/>
      <c r="J1358" s="809"/>
      <c r="K1358" s="809"/>
      <c r="L1358" s="809"/>
      <c r="M1358" s="809"/>
      <c r="N1358" s="810"/>
    </row>
    <row r="1359" spans="2:14" ht="51" customHeight="1" x14ac:dyDescent="0.25">
      <c r="B1359" s="1479" t="s">
        <v>25055</v>
      </c>
      <c r="C1359" s="1480"/>
      <c r="D1359" s="1481"/>
      <c r="E1359" s="1482" t="s">
        <v>24669</v>
      </c>
      <c r="F1359" s="1482"/>
      <c r="G1359" s="1482"/>
      <c r="H1359" s="1482"/>
      <c r="I1359" s="1482"/>
      <c r="J1359" s="1482"/>
      <c r="K1359" s="1482"/>
      <c r="L1359" s="1188"/>
      <c r="M1359" s="1483"/>
      <c r="N1359" s="1484"/>
    </row>
    <row r="1360" spans="2:14" ht="15" x14ac:dyDescent="0.25">
      <c r="B1360" s="391" t="s">
        <v>24670</v>
      </c>
      <c r="C1360" s="1485" t="s">
        <v>25655</v>
      </c>
      <c r="D1360" s="1485"/>
      <c r="E1360" s="1485"/>
      <c r="F1360" s="1485"/>
      <c r="G1360" s="1485"/>
      <c r="H1360" s="1485"/>
      <c r="I1360" s="1485"/>
      <c r="J1360" s="1485"/>
      <c r="K1360" s="1485"/>
      <c r="L1360" s="1485"/>
      <c r="M1360" s="1485"/>
      <c r="N1360" s="1486"/>
    </row>
    <row r="1361" spans="2:14" ht="15" x14ac:dyDescent="0.25">
      <c r="B1361" s="391" t="s">
        <v>24671</v>
      </c>
      <c r="C1361" s="1487" t="s">
        <v>8</v>
      </c>
      <c r="D1361" s="1487"/>
      <c r="E1361" s="1487"/>
      <c r="F1361" s="1487"/>
      <c r="G1361" s="1487"/>
      <c r="H1361" s="1487"/>
      <c r="I1361" s="1487"/>
      <c r="J1361" s="1487"/>
      <c r="K1361" s="1487"/>
      <c r="L1361" s="1487"/>
      <c r="M1361" s="1487"/>
      <c r="N1361" s="1488"/>
    </row>
    <row r="1362" spans="2:14" ht="15.75" thickBot="1" x14ac:dyDescent="0.3">
      <c r="B1362" s="391" t="s">
        <v>24672</v>
      </c>
      <c r="C1362" s="1489">
        <v>44501</v>
      </c>
      <c r="D1362" s="1490"/>
      <c r="E1362" s="1490"/>
      <c r="F1362" s="1490"/>
      <c r="G1362" s="1490"/>
      <c r="H1362" s="1490"/>
      <c r="I1362" s="1490"/>
      <c r="J1362" s="1490"/>
      <c r="K1362" s="1490"/>
      <c r="L1362" s="1490"/>
      <c r="M1362" s="1490"/>
      <c r="N1362" s="1491"/>
    </row>
    <row r="1363" spans="2:14" ht="30" x14ac:dyDescent="0.25">
      <c r="B1363" s="392" t="s">
        <v>0</v>
      </c>
      <c r="C1363" s="393" t="s">
        <v>24673</v>
      </c>
      <c r="D1363" s="1465" t="s">
        <v>24674</v>
      </c>
      <c r="E1363" s="1465"/>
      <c r="F1363" s="1465"/>
      <c r="G1363" s="1466"/>
      <c r="H1363" s="441" t="s">
        <v>111</v>
      </c>
      <c r="I1363" s="441" t="s">
        <v>24675</v>
      </c>
      <c r="J1363" s="441" t="s">
        <v>24676</v>
      </c>
      <c r="K1363" s="441" t="s">
        <v>24677</v>
      </c>
      <c r="L1363" s="441"/>
      <c r="M1363" s="441" t="s">
        <v>24678</v>
      </c>
      <c r="N1363" s="395" t="s">
        <v>24679</v>
      </c>
    </row>
    <row r="1364" spans="2:14" ht="15" x14ac:dyDescent="0.25">
      <c r="B1364" s="446"/>
      <c r="C1364" s="397"/>
      <c r="D1364" s="1494"/>
      <c r="E1364" s="1494"/>
      <c r="F1364" s="1494"/>
      <c r="G1364" s="1495"/>
      <c r="H1364" s="442"/>
      <c r="I1364" s="442"/>
      <c r="J1364" s="442"/>
      <c r="K1364" s="442"/>
      <c r="L1364" s="442"/>
      <c r="M1364" s="442"/>
      <c r="N1364" s="443"/>
    </row>
    <row r="1365" spans="2:14" ht="15.75" thickBot="1" x14ac:dyDescent="0.3">
      <c r="B1365" s="400"/>
      <c r="C1365" s="401"/>
      <c r="D1365" s="401"/>
      <c r="E1365" s="401"/>
      <c r="F1365" s="444"/>
      <c r="G1365" s="444"/>
      <c r="H1365" s="444"/>
      <c r="I1365" s="444"/>
      <c r="J1365" s="444"/>
      <c r="K1365" s="444"/>
      <c r="L1365" s="444"/>
      <c r="M1365" s="1187" t="s">
        <v>24680</v>
      </c>
      <c r="N1365" s="403">
        <f>SUM(N1364)</f>
        <v>0</v>
      </c>
    </row>
    <row r="1366" spans="2:14" ht="15.75" thickBot="1" x14ac:dyDescent="0.3">
      <c r="B1366" s="456"/>
      <c r="C1366" s="457"/>
      <c r="D1366" s="457"/>
      <c r="E1366" s="457"/>
      <c r="F1366" s="457"/>
      <c r="G1366" s="457"/>
      <c r="H1366" s="457"/>
      <c r="I1366" s="457"/>
      <c r="J1366" s="457"/>
      <c r="K1366" s="457"/>
      <c r="L1366" s="457"/>
      <c r="M1366" s="457"/>
      <c r="N1366" s="404"/>
    </row>
    <row r="1367" spans="2:14" ht="45" x14ac:dyDescent="0.25">
      <c r="B1367" s="392" t="s">
        <v>0</v>
      </c>
      <c r="C1367" s="393" t="s">
        <v>24673</v>
      </c>
      <c r="D1367" s="1465" t="s">
        <v>24681</v>
      </c>
      <c r="E1367" s="1465"/>
      <c r="F1367" s="1465"/>
      <c r="G1367" s="1465"/>
      <c r="H1367" s="1466"/>
      <c r="I1367" s="441" t="s">
        <v>3686</v>
      </c>
      <c r="J1367" s="441" t="s">
        <v>24682</v>
      </c>
      <c r="K1367" s="441" t="s">
        <v>24861</v>
      </c>
      <c r="L1367" s="441" t="s">
        <v>24862</v>
      </c>
      <c r="M1367" s="441" t="s">
        <v>24683</v>
      </c>
      <c r="N1367" s="395" t="s">
        <v>24679</v>
      </c>
    </row>
    <row r="1368" spans="2:14" ht="15" x14ac:dyDescent="0.25">
      <c r="B1368" s="446">
        <v>10101</v>
      </c>
      <c r="C1368" s="1186" t="s">
        <v>4389</v>
      </c>
      <c r="D1368" s="1463" t="s">
        <v>24788</v>
      </c>
      <c r="E1368" s="1463"/>
      <c r="F1368" s="1463"/>
      <c r="G1368" s="1463"/>
      <c r="H1368" s="1464"/>
      <c r="I1368" s="442" t="s">
        <v>75</v>
      </c>
      <c r="J1368" s="406">
        <v>1.5727</v>
      </c>
      <c r="K1368" s="427">
        <v>6.27</v>
      </c>
      <c r="L1368" s="427">
        <f>K1368*(1+J1368)</f>
        <v>16.13</v>
      </c>
      <c r="M1368" s="447">
        <v>0.63900000000000001</v>
      </c>
      <c r="N1368" s="443">
        <f>L1368*M1368</f>
        <v>10.31</v>
      </c>
    </row>
    <row r="1369" spans="2:14" ht="15" x14ac:dyDescent="0.25">
      <c r="B1369" s="446">
        <v>10115</v>
      </c>
      <c r="C1369" s="1186" t="s">
        <v>4389</v>
      </c>
      <c r="D1369" s="1463" t="s">
        <v>24771</v>
      </c>
      <c r="E1369" s="1463"/>
      <c r="F1369" s="1463"/>
      <c r="G1369" s="1463"/>
      <c r="H1369" s="1464"/>
      <c r="I1369" s="442" t="s">
        <v>75</v>
      </c>
      <c r="J1369" s="406">
        <v>1.5727</v>
      </c>
      <c r="K1369" s="427">
        <v>7.43</v>
      </c>
      <c r="L1369" s="427">
        <f>K1369*(1+J1369)</f>
        <v>19.12</v>
      </c>
      <c r="M1369" s="447">
        <v>0.63900000000000001</v>
      </c>
      <c r="N1369" s="443">
        <f>L1369*M1369</f>
        <v>12.22</v>
      </c>
    </row>
    <row r="1370" spans="2:14" ht="15.75" thickBot="1" x14ac:dyDescent="0.3">
      <c r="B1370" s="400"/>
      <c r="C1370" s="401"/>
      <c r="D1370" s="401"/>
      <c r="E1370" s="401"/>
      <c r="F1370" s="444"/>
      <c r="G1370" s="444"/>
      <c r="H1370" s="444"/>
      <c r="I1370" s="444"/>
      <c r="J1370" s="444"/>
      <c r="K1370" s="444"/>
      <c r="L1370" s="444"/>
      <c r="M1370" s="1187" t="s">
        <v>24684</v>
      </c>
      <c r="N1370" s="403">
        <f>SUM(N1368:N1369)</f>
        <v>22.53</v>
      </c>
    </row>
    <row r="1371" spans="2:14" ht="15.75" thickBot="1" x14ac:dyDescent="0.3">
      <c r="B1371" s="456"/>
      <c r="C1371" s="457"/>
      <c r="D1371" s="457"/>
      <c r="E1371" s="457"/>
      <c r="F1371" s="457"/>
      <c r="G1371" s="457"/>
      <c r="H1371" s="457"/>
      <c r="I1371" s="448"/>
      <c r="J1371" s="448"/>
      <c r="K1371" s="457"/>
      <c r="L1371" s="457"/>
      <c r="M1371" s="457"/>
      <c r="N1371" s="404"/>
    </row>
    <row r="1372" spans="2:14" ht="30" x14ac:dyDescent="0.25">
      <c r="B1372" s="392" t="s">
        <v>0</v>
      </c>
      <c r="C1372" s="393" t="s">
        <v>24673</v>
      </c>
      <c r="D1372" s="1465" t="s">
        <v>24685</v>
      </c>
      <c r="E1372" s="1465"/>
      <c r="F1372" s="1465"/>
      <c r="G1372" s="1465"/>
      <c r="H1372" s="1466"/>
      <c r="I1372" s="441" t="s">
        <v>2858</v>
      </c>
      <c r="J1372" s="441" t="s">
        <v>24686</v>
      </c>
      <c r="K1372" s="441" t="s">
        <v>24687</v>
      </c>
      <c r="L1372" s="441"/>
      <c r="M1372" s="441" t="s">
        <v>24688</v>
      </c>
      <c r="N1372" s="395" t="s">
        <v>24689</v>
      </c>
    </row>
    <row r="1373" spans="2:14" ht="15" x14ac:dyDescent="0.25">
      <c r="B1373" s="446"/>
      <c r="C1373" s="1186"/>
      <c r="D1373" s="1463"/>
      <c r="E1373" s="1463"/>
      <c r="F1373" s="1463"/>
      <c r="G1373" s="1463"/>
      <c r="H1373" s="1464"/>
      <c r="I1373" s="442"/>
      <c r="J1373" s="442"/>
      <c r="K1373" s="442"/>
      <c r="L1373" s="442"/>
      <c r="M1373" s="442"/>
      <c r="N1373" s="443"/>
    </row>
    <row r="1374" spans="2:14" ht="15" x14ac:dyDescent="0.25">
      <c r="B1374" s="456"/>
      <c r="C1374" s="457"/>
      <c r="D1374" s="457"/>
      <c r="E1374" s="457"/>
      <c r="F1374" s="448"/>
      <c r="G1374" s="448"/>
      <c r="H1374" s="448"/>
      <c r="I1374" s="448"/>
      <c r="J1374" s="448"/>
      <c r="K1374" s="448"/>
      <c r="L1374" s="448"/>
      <c r="M1374" s="409" t="s">
        <v>24690</v>
      </c>
      <c r="N1374" s="410">
        <f>SUM(N1373:N1373)</f>
        <v>0</v>
      </c>
    </row>
    <row r="1375" spans="2:14" ht="15" x14ac:dyDescent="0.25">
      <c r="B1375" s="456"/>
      <c r="C1375" s="457"/>
      <c r="D1375" s="457"/>
      <c r="E1375" s="457"/>
      <c r="F1375" s="457"/>
      <c r="G1375" s="457"/>
      <c r="H1375" s="457"/>
      <c r="I1375" s="457"/>
      <c r="J1375" s="457"/>
      <c r="K1375" s="457"/>
      <c r="L1375" s="457"/>
      <c r="M1375" s="457"/>
      <c r="N1375" s="404"/>
    </row>
    <row r="1376" spans="2:14" ht="15" x14ac:dyDescent="0.25">
      <c r="B1376" s="456"/>
      <c r="C1376" s="457"/>
      <c r="D1376" s="457"/>
      <c r="E1376" s="457"/>
      <c r="F1376" s="448"/>
      <c r="G1376" s="448"/>
      <c r="H1376" s="448"/>
      <c r="I1376" s="449"/>
      <c r="J1376" s="449"/>
      <c r="K1376" s="449"/>
      <c r="L1376" s="449"/>
      <c r="M1376" s="409" t="s">
        <v>24691</v>
      </c>
      <c r="N1376" s="412">
        <f>N1365+N1370+N1374</f>
        <v>22.53</v>
      </c>
    </row>
    <row r="1377" spans="2:14" ht="15" x14ac:dyDescent="0.25">
      <c r="B1377" s="456"/>
      <c r="C1377" s="457"/>
      <c r="D1377" s="457"/>
      <c r="E1377" s="457"/>
      <c r="F1377" s="448"/>
      <c r="G1377" s="448"/>
      <c r="H1377" s="448"/>
      <c r="I1377" s="448"/>
      <c r="J1377" s="450"/>
      <c r="K1377" s="450"/>
      <c r="L1377" s="450"/>
      <c r="M1377" s="414" t="s">
        <v>24692</v>
      </c>
      <c r="N1377" s="412">
        <v>1</v>
      </c>
    </row>
    <row r="1378" spans="2:14" ht="15.75" thickBot="1" x14ac:dyDescent="0.3">
      <c r="B1378" s="400"/>
      <c r="C1378" s="401"/>
      <c r="D1378" s="401"/>
      <c r="E1378" s="401"/>
      <c r="F1378" s="444"/>
      <c r="G1378" s="444"/>
      <c r="H1378" s="444"/>
      <c r="I1378" s="444"/>
      <c r="J1378" s="444"/>
      <c r="K1378" s="444"/>
      <c r="L1378" s="444"/>
      <c r="M1378" s="1187" t="s">
        <v>24693</v>
      </c>
      <c r="N1378" s="415">
        <f>TRUNC(N1376/N1377,2)</f>
        <v>22.53</v>
      </c>
    </row>
    <row r="1379" spans="2:14" ht="15.75" thickBot="1" x14ac:dyDescent="0.3">
      <c r="B1379" s="456"/>
      <c r="C1379" s="457"/>
      <c r="D1379" s="457"/>
      <c r="E1379" s="457"/>
      <c r="F1379" s="457"/>
      <c r="G1379" s="457"/>
      <c r="H1379" s="457"/>
      <c r="I1379" s="457"/>
      <c r="J1379" s="457"/>
      <c r="K1379" s="457"/>
      <c r="L1379" s="457"/>
      <c r="M1379" s="457"/>
      <c r="N1379" s="404"/>
    </row>
    <row r="1380" spans="2:14" ht="30" x14ac:dyDescent="0.25">
      <c r="B1380" s="392" t="s">
        <v>0</v>
      </c>
      <c r="C1380" s="393" t="s">
        <v>24673</v>
      </c>
      <c r="D1380" s="1465" t="s">
        <v>24694</v>
      </c>
      <c r="E1380" s="1465"/>
      <c r="F1380" s="1465"/>
      <c r="G1380" s="1465"/>
      <c r="H1380" s="1465"/>
      <c r="I1380" s="1466"/>
      <c r="J1380" s="441" t="s">
        <v>3686</v>
      </c>
      <c r="K1380" s="441" t="s">
        <v>24695</v>
      </c>
      <c r="L1380" s="441"/>
      <c r="M1380" s="441" t="s">
        <v>24683</v>
      </c>
      <c r="N1380" s="395" t="s">
        <v>24689</v>
      </c>
    </row>
    <row r="1381" spans="2:14" ht="15" x14ac:dyDescent="0.25">
      <c r="B1381" s="446">
        <v>1878</v>
      </c>
      <c r="C1381" s="1186" t="s">
        <v>24706</v>
      </c>
      <c r="D1381" s="1463" t="s">
        <v>25656</v>
      </c>
      <c r="E1381" s="1463"/>
      <c r="F1381" s="1463"/>
      <c r="G1381" s="1463"/>
      <c r="H1381" s="1463"/>
      <c r="I1381" s="1464"/>
      <c r="J1381" s="442" t="s">
        <v>24755</v>
      </c>
      <c r="K1381" s="427">
        <v>57.2</v>
      </c>
      <c r="L1381" s="427"/>
      <c r="M1381" s="447">
        <v>1</v>
      </c>
      <c r="N1381" s="443">
        <f>K1381*M1381</f>
        <v>57.2</v>
      </c>
    </row>
    <row r="1382" spans="2:14" ht="15" x14ac:dyDescent="0.25">
      <c r="B1382" s="446"/>
      <c r="C1382" s="1186"/>
      <c r="D1382" s="1463"/>
      <c r="E1382" s="1463"/>
      <c r="F1382" s="1463"/>
      <c r="G1382" s="1463"/>
      <c r="H1382" s="1463"/>
      <c r="I1382" s="1464"/>
      <c r="J1382" s="442"/>
      <c r="K1382" s="442"/>
      <c r="L1382" s="442"/>
      <c r="M1382" s="447"/>
      <c r="N1382" s="443"/>
    </row>
    <row r="1383" spans="2:14" ht="15.75" thickBot="1" x14ac:dyDescent="0.3">
      <c r="B1383" s="400"/>
      <c r="C1383" s="401"/>
      <c r="D1383" s="401"/>
      <c r="E1383" s="401"/>
      <c r="F1383" s="444"/>
      <c r="G1383" s="444"/>
      <c r="H1383" s="444"/>
      <c r="I1383" s="444"/>
      <c r="J1383" s="444"/>
      <c r="K1383" s="444"/>
      <c r="L1383" s="444"/>
      <c r="M1383" s="1187" t="s">
        <v>24696</v>
      </c>
      <c r="N1383" s="403">
        <f>SUM(N1381:N1381)</f>
        <v>57.2</v>
      </c>
    </row>
    <row r="1384" spans="2:14" ht="15.75" thickBot="1" x14ac:dyDescent="0.3">
      <c r="B1384" s="456"/>
      <c r="C1384" s="457"/>
      <c r="D1384" s="457"/>
      <c r="E1384" s="457"/>
      <c r="F1384" s="457"/>
      <c r="G1384" s="457"/>
      <c r="H1384" s="457"/>
      <c r="I1384" s="457"/>
      <c r="J1384" s="457"/>
      <c r="K1384" s="457"/>
      <c r="L1384" s="457"/>
      <c r="M1384" s="457"/>
      <c r="N1384" s="404"/>
    </row>
    <row r="1385" spans="2:14" ht="30" x14ac:dyDescent="0.25">
      <c r="B1385" s="392" t="s">
        <v>0</v>
      </c>
      <c r="C1385" s="441" t="s">
        <v>24673</v>
      </c>
      <c r="D1385" s="1465" t="s">
        <v>24697</v>
      </c>
      <c r="E1385" s="1465"/>
      <c r="F1385" s="1465"/>
      <c r="G1385" s="1465"/>
      <c r="H1385" s="1465"/>
      <c r="I1385" s="1466"/>
      <c r="J1385" s="441" t="s">
        <v>3686</v>
      </c>
      <c r="K1385" s="441" t="s">
        <v>24695</v>
      </c>
      <c r="L1385" s="441"/>
      <c r="M1385" s="441" t="s">
        <v>24683</v>
      </c>
      <c r="N1385" s="395" t="s">
        <v>24689</v>
      </c>
    </row>
    <row r="1386" spans="2:14" ht="15" x14ac:dyDescent="0.25">
      <c r="B1386" s="416"/>
      <c r="C1386" s="417"/>
      <c r="D1386" s="1463"/>
      <c r="E1386" s="1463"/>
      <c r="F1386" s="1463"/>
      <c r="G1386" s="1463"/>
      <c r="H1386" s="1463"/>
      <c r="I1386" s="1464"/>
      <c r="J1386" s="451"/>
      <c r="K1386" s="451"/>
      <c r="L1386" s="451"/>
      <c r="M1386" s="419"/>
      <c r="N1386" s="420"/>
    </row>
    <row r="1387" spans="2:14" ht="15.75" thickBot="1" x14ac:dyDescent="0.3">
      <c r="B1387" s="400"/>
      <c r="C1387" s="401"/>
      <c r="D1387" s="401"/>
      <c r="E1387" s="401"/>
      <c r="F1387" s="444"/>
      <c r="G1387" s="444"/>
      <c r="H1387" s="444"/>
      <c r="I1387" s="444"/>
      <c r="J1387" s="444"/>
      <c r="K1387" s="444"/>
      <c r="L1387" s="444"/>
      <c r="M1387" s="1187" t="s">
        <v>24698</v>
      </c>
      <c r="N1387" s="403">
        <f>SUM(N1386:N1386)</f>
        <v>0</v>
      </c>
    </row>
    <row r="1388" spans="2:14" ht="15.75" thickBot="1" x14ac:dyDescent="0.3">
      <c r="B1388" s="456"/>
      <c r="C1388" s="457"/>
      <c r="D1388" s="457"/>
      <c r="E1388" s="457"/>
      <c r="F1388" s="457"/>
      <c r="G1388" s="457"/>
      <c r="H1388" s="457"/>
      <c r="I1388" s="457"/>
      <c r="J1388" s="457"/>
      <c r="K1388" s="457"/>
      <c r="L1388" s="457"/>
      <c r="M1388" s="457"/>
      <c r="N1388" s="404"/>
    </row>
    <row r="1389" spans="2:14" ht="30" x14ac:dyDescent="0.25">
      <c r="B1389" s="392" t="s">
        <v>0</v>
      </c>
      <c r="C1389" s="441" t="s">
        <v>24673</v>
      </c>
      <c r="D1389" s="1465" t="s">
        <v>24699</v>
      </c>
      <c r="E1389" s="1465"/>
      <c r="F1389" s="1465"/>
      <c r="G1389" s="1466"/>
      <c r="H1389" s="441" t="s">
        <v>3686</v>
      </c>
      <c r="I1389" s="441" t="s">
        <v>24700</v>
      </c>
      <c r="J1389" s="441" t="s">
        <v>24701</v>
      </c>
      <c r="K1389" s="441" t="s">
        <v>24695</v>
      </c>
      <c r="L1389" s="441"/>
      <c r="M1389" s="441" t="s">
        <v>24683</v>
      </c>
      <c r="N1389" s="395" t="s">
        <v>24689</v>
      </c>
    </row>
    <row r="1390" spans="2:14" ht="15" x14ac:dyDescent="0.25">
      <c r="B1390" s="446"/>
      <c r="C1390" s="1186"/>
      <c r="D1390" s="1494"/>
      <c r="E1390" s="1494"/>
      <c r="F1390" s="1494"/>
      <c r="G1390" s="1494"/>
      <c r="H1390" s="442"/>
      <c r="I1390" s="442"/>
      <c r="J1390" s="442"/>
      <c r="K1390" s="442"/>
      <c r="L1390" s="442"/>
      <c r="M1390" s="447"/>
      <c r="N1390" s="443"/>
    </row>
    <row r="1391" spans="2:14" ht="15" x14ac:dyDescent="0.25">
      <c r="B1391" s="456"/>
      <c r="C1391" s="457"/>
      <c r="D1391" s="457"/>
      <c r="E1391" s="457"/>
      <c r="F1391" s="448"/>
      <c r="G1391" s="448"/>
      <c r="H1391" s="448"/>
      <c r="I1391" s="448"/>
      <c r="J1391" s="448"/>
      <c r="K1391" s="448"/>
      <c r="L1391" s="448"/>
      <c r="M1391" s="409" t="s">
        <v>24702</v>
      </c>
      <c r="N1391" s="410">
        <f>SUM(N1390:N1390)</f>
        <v>0</v>
      </c>
    </row>
    <row r="1392" spans="2:14" ht="15" x14ac:dyDescent="0.25">
      <c r="B1392" s="456"/>
      <c r="C1392" s="457"/>
      <c r="D1392" s="457"/>
      <c r="E1392" s="457"/>
      <c r="F1392" s="457"/>
      <c r="G1392" s="457"/>
      <c r="H1392" s="457"/>
      <c r="I1392" s="457"/>
      <c r="J1392" s="457"/>
      <c r="K1392" s="457"/>
      <c r="L1392" s="457"/>
      <c r="M1392" s="457"/>
      <c r="N1392" s="404"/>
    </row>
    <row r="1393" spans="2:14" ht="15" x14ac:dyDescent="0.25">
      <c r="B1393" s="421"/>
      <c r="C1393" s="422"/>
      <c r="D1393" s="422"/>
      <c r="E1393" s="422"/>
      <c r="F1393" s="452"/>
      <c r="G1393" s="452"/>
      <c r="H1393" s="452"/>
      <c r="I1393" s="452"/>
      <c r="J1393" s="452"/>
      <c r="K1393" s="452"/>
      <c r="L1393" s="452"/>
      <c r="M1393" s="424" t="s">
        <v>24703</v>
      </c>
      <c r="N1393" s="412">
        <f>N1378+N1383+N1387+N1391</f>
        <v>79.73</v>
      </c>
    </row>
    <row r="1394" spans="2:14" ht="15" x14ac:dyDescent="0.25">
      <c r="B1394" s="456"/>
      <c r="C1394" s="457"/>
      <c r="D1394" s="457"/>
      <c r="E1394" s="457"/>
      <c r="F1394" s="448"/>
      <c r="G1394" s="448"/>
      <c r="H1394" s="448"/>
      <c r="I1394" s="448"/>
      <c r="J1394" s="448"/>
      <c r="K1394" s="448"/>
      <c r="L1394" s="448"/>
      <c r="M1394" s="752">
        <f>'Planilha - Orla'!I3</f>
        <v>0.28220000000000001</v>
      </c>
      <c r="N1394" s="412">
        <f>N1393*M1394</f>
        <v>22.5</v>
      </c>
    </row>
    <row r="1395" spans="2:14" ht="15.75" thickBot="1" x14ac:dyDescent="0.3">
      <c r="B1395" s="1472" t="s">
        <v>24704</v>
      </c>
      <c r="C1395" s="1473"/>
      <c r="D1395" s="1473"/>
      <c r="E1395" s="1473"/>
      <c r="F1395" s="1473"/>
      <c r="G1395" s="1473"/>
      <c r="H1395" s="1473"/>
      <c r="I1395" s="1473"/>
      <c r="J1395" s="1473"/>
      <c r="K1395" s="1473"/>
      <c r="L1395" s="1473"/>
      <c r="M1395" s="1474"/>
      <c r="N1395" s="415">
        <f>N1393+N1394</f>
        <v>102.23</v>
      </c>
    </row>
    <row r="1396" spans="2:14" ht="15" x14ac:dyDescent="0.25">
      <c r="B1396" s="809"/>
      <c r="C1396" s="809"/>
      <c r="D1396" s="809"/>
      <c r="E1396" s="809"/>
      <c r="F1396" s="809"/>
      <c r="G1396" s="809"/>
      <c r="H1396" s="809"/>
      <c r="I1396" s="809"/>
      <c r="J1396" s="809"/>
      <c r="K1396" s="809"/>
      <c r="L1396" s="809"/>
      <c r="M1396" s="809"/>
      <c r="N1396" s="810"/>
    </row>
    <row r="1397" spans="2:14" ht="15.75" thickBot="1" x14ac:dyDescent="0.3">
      <c r="B1397" s="809"/>
      <c r="C1397" s="809"/>
      <c r="D1397" s="809"/>
      <c r="E1397" s="809"/>
      <c r="F1397" s="809"/>
      <c r="G1397" s="809"/>
      <c r="H1397" s="809"/>
      <c r="I1397" s="809"/>
      <c r="J1397" s="809"/>
      <c r="K1397" s="809"/>
      <c r="L1397" s="809"/>
      <c r="M1397" s="809"/>
      <c r="N1397" s="810"/>
    </row>
    <row r="1398" spans="2:14" ht="48.75" customHeight="1" x14ac:dyDescent="0.25">
      <c r="B1398" s="1479" t="s">
        <v>25396</v>
      </c>
      <c r="C1398" s="1480"/>
      <c r="D1398" s="1481"/>
      <c r="E1398" s="1482" t="s">
        <v>24669</v>
      </c>
      <c r="F1398" s="1482"/>
      <c r="G1398" s="1482"/>
      <c r="H1398" s="1482"/>
      <c r="I1398" s="1482"/>
      <c r="J1398" s="1482"/>
      <c r="K1398" s="1482"/>
      <c r="L1398" s="1198"/>
      <c r="M1398" s="1483"/>
      <c r="N1398" s="1484"/>
    </row>
    <row r="1399" spans="2:14" ht="15" x14ac:dyDescent="0.25">
      <c r="B1399" s="391" t="s">
        <v>24670</v>
      </c>
      <c r="C1399" s="1485" t="s">
        <v>25667</v>
      </c>
      <c r="D1399" s="1485"/>
      <c r="E1399" s="1485"/>
      <c r="F1399" s="1485"/>
      <c r="G1399" s="1485"/>
      <c r="H1399" s="1485"/>
      <c r="I1399" s="1485"/>
      <c r="J1399" s="1485"/>
      <c r="K1399" s="1485"/>
      <c r="L1399" s="1485"/>
      <c r="M1399" s="1485"/>
      <c r="N1399" s="1486"/>
    </row>
    <row r="1400" spans="2:14" ht="15" x14ac:dyDescent="0.25">
      <c r="B1400" s="391" t="s">
        <v>24671</v>
      </c>
      <c r="C1400" s="1487" t="s">
        <v>5</v>
      </c>
      <c r="D1400" s="1487"/>
      <c r="E1400" s="1487"/>
      <c r="F1400" s="1487"/>
      <c r="G1400" s="1487"/>
      <c r="H1400" s="1487"/>
      <c r="I1400" s="1487"/>
      <c r="J1400" s="1487"/>
      <c r="K1400" s="1487"/>
      <c r="L1400" s="1487"/>
      <c r="M1400" s="1487"/>
      <c r="N1400" s="1488"/>
    </row>
    <row r="1401" spans="2:14" ht="15.75" thickBot="1" x14ac:dyDescent="0.3">
      <c r="B1401" s="391" t="s">
        <v>24672</v>
      </c>
      <c r="C1401" s="1489">
        <v>44501</v>
      </c>
      <c r="D1401" s="1490"/>
      <c r="E1401" s="1490"/>
      <c r="F1401" s="1490"/>
      <c r="G1401" s="1490"/>
      <c r="H1401" s="1490"/>
      <c r="I1401" s="1490"/>
      <c r="J1401" s="1490"/>
      <c r="K1401" s="1490"/>
      <c r="L1401" s="1490"/>
      <c r="M1401" s="1490"/>
      <c r="N1401" s="1491"/>
    </row>
    <row r="1402" spans="2:14" ht="30" x14ac:dyDescent="0.25">
      <c r="B1402" s="392" t="s">
        <v>0</v>
      </c>
      <c r="C1402" s="393" t="s">
        <v>24673</v>
      </c>
      <c r="D1402" s="1465" t="s">
        <v>24674</v>
      </c>
      <c r="E1402" s="1465"/>
      <c r="F1402" s="1465"/>
      <c r="G1402" s="1466"/>
      <c r="H1402" s="441" t="s">
        <v>111</v>
      </c>
      <c r="I1402" s="441" t="s">
        <v>24675</v>
      </c>
      <c r="J1402" s="441" t="s">
        <v>24676</v>
      </c>
      <c r="K1402" s="441" t="s">
        <v>24677</v>
      </c>
      <c r="L1402" s="441"/>
      <c r="M1402" s="441" t="s">
        <v>24678</v>
      </c>
      <c r="N1402" s="395" t="s">
        <v>24679</v>
      </c>
    </row>
    <row r="1403" spans="2:14" ht="15" x14ac:dyDescent="0.25">
      <c r="B1403" s="446"/>
      <c r="C1403" s="397"/>
      <c r="D1403" s="1494"/>
      <c r="E1403" s="1494"/>
      <c r="F1403" s="1494"/>
      <c r="G1403" s="1495"/>
      <c r="H1403" s="442"/>
      <c r="I1403" s="442"/>
      <c r="J1403" s="442"/>
      <c r="K1403" s="442"/>
      <c r="L1403" s="442"/>
      <c r="M1403" s="442"/>
      <c r="N1403" s="443"/>
    </row>
    <row r="1404" spans="2:14" ht="15.75" thickBot="1" x14ac:dyDescent="0.3">
      <c r="B1404" s="400"/>
      <c r="C1404" s="401"/>
      <c r="D1404" s="401"/>
      <c r="E1404" s="401"/>
      <c r="F1404" s="444"/>
      <c r="G1404" s="444"/>
      <c r="H1404" s="444"/>
      <c r="I1404" s="444"/>
      <c r="J1404" s="444"/>
      <c r="K1404" s="444"/>
      <c r="L1404" s="444"/>
      <c r="M1404" s="1197" t="s">
        <v>24680</v>
      </c>
      <c r="N1404" s="403">
        <f>SUM(N1403)</f>
        <v>0</v>
      </c>
    </row>
    <row r="1405" spans="2:14" ht="15.75" thickBot="1" x14ac:dyDescent="0.3">
      <c r="B1405" s="456"/>
      <c r="C1405" s="457"/>
      <c r="D1405" s="457"/>
      <c r="E1405" s="457"/>
      <c r="F1405" s="457"/>
      <c r="G1405" s="457"/>
      <c r="H1405" s="457"/>
      <c r="I1405" s="457"/>
      <c r="J1405" s="457"/>
      <c r="K1405" s="457"/>
      <c r="L1405" s="457"/>
      <c r="M1405" s="457"/>
      <c r="N1405" s="404"/>
    </row>
    <row r="1406" spans="2:14" ht="45" x14ac:dyDescent="0.25">
      <c r="B1406" s="392" t="s">
        <v>0</v>
      </c>
      <c r="C1406" s="393" t="s">
        <v>24673</v>
      </c>
      <c r="D1406" s="1465" t="s">
        <v>24681</v>
      </c>
      <c r="E1406" s="1465"/>
      <c r="F1406" s="1465"/>
      <c r="G1406" s="1465"/>
      <c r="H1406" s="1466"/>
      <c r="I1406" s="441" t="s">
        <v>3686</v>
      </c>
      <c r="J1406" s="441" t="s">
        <v>24682</v>
      </c>
      <c r="K1406" s="441" t="s">
        <v>24861</v>
      </c>
      <c r="L1406" s="441" t="s">
        <v>24862</v>
      </c>
      <c r="M1406" s="441" t="s">
        <v>24683</v>
      </c>
      <c r="N1406" s="395" t="s">
        <v>24679</v>
      </c>
    </row>
    <row r="1407" spans="2:14" ht="15" x14ac:dyDescent="0.25">
      <c r="B1407" s="446">
        <v>10101</v>
      </c>
      <c r="C1407" s="1196" t="s">
        <v>4389</v>
      </c>
      <c r="D1407" s="1463" t="s">
        <v>24788</v>
      </c>
      <c r="E1407" s="1463"/>
      <c r="F1407" s="1463"/>
      <c r="G1407" s="1463"/>
      <c r="H1407" s="1464"/>
      <c r="I1407" s="442" t="s">
        <v>75</v>
      </c>
      <c r="J1407" s="406">
        <v>1.5727</v>
      </c>
      <c r="K1407" s="427">
        <v>6.27</v>
      </c>
      <c r="L1407" s="427">
        <f>K1407*(1+J1407)</f>
        <v>16.13</v>
      </c>
      <c r="M1407" s="447">
        <v>0.2</v>
      </c>
      <c r="N1407" s="443">
        <f>L1407*M1407</f>
        <v>3.23</v>
      </c>
    </row>
    <row r="1408" spans="2:14" ht="15" x14ac:dyDescent="0.25">
      <c r="B1408" s="446">
        <v>44503</v>
      </c>
      <c r="C1408" s="1196" t="s">
        <v>4389</v>
      </c>
      <c r="D1408" s="1463" t="s">
        <v>25668</v>
      </c>
      <c r="E1408" s="1463"/>
      <c r="F1408" s="1463"/>
      <c r="G1408" s="1463"/>
      <c r="H1408" s="1464"/>
      <c r="I1408" s="442" t="s">
        <v>75</v>
      </c>
      <c r="J1408" s="406">
        <v>1.5727</v>
      </c>
      <c r="K1408" s="427">
        <v>18.07</v>
      </c>
      <c r="L1408" s="427">
        <f>K1408*(1+J1408)</f>
        <v>46.49</v>
      </c>
      <c r="M1408" s="447">
        <v>0.2</v>
      </c>
      <c r="N1408" s="443">
        <f>L1408*M1408</f>
        <v>9.3000000000000007</v>
      </c>
    </row>
    <row r="1409" spans="2:14" ht="15.75" thickBot="1" x14ac:dyDescent="0.3">
      <c r="B1409" s="400"/>
      <c r="C1409" s="401"/>
      <c r="D1409" s="401"/>
      <c r="E1409" s="401"/>
      <c r="F1409" s="444"/>
      <c r="G1409" s="444"/>
      <c r="H1409" s="444"/>
      <c r="I1409" s="444"/>
      <c r="J1409" s="444"/>
      <c r="K1409" s="444"/>
      <c r="L1409" s="444"/>
      <c r="M1409" s="1197" t="s">
        <v>24684</v>
      </c>
      <c r="N1409" s="403">
        <f>SUM(N1407:N1408)</f>
        <v>12.53</v>
      </c>
    </row>
    <row r="1410" spans="2:14" ht="15.75" thickBot="1" x14ac:dyDescent="0.3">
      <c r="B1410" s="456"/>
      <c r="C1410" s="457"/>
      <c r="D1410" s="457"/>
      <c r="E1410" s="457"/>
      <c r="F1410" s="457"/>
      <c r="G1410" s="457"/>
      <c r="H1410" s="457"/>
      <c r="I1410" s="448"/>
      <c r="J1410" s="448"/>
      <c r="K1410" s="457"/>
      <c r="L1410" s="457"/>
      <c r="M1410" s="457"/>
      <c r="N1410" s="404"/>
    </row>
    <row r="1411" spans="2:14" ht="30" x14ac:dyDescent="0.25">
      <c r="B1411" s="392" t="s">
        <v>0</v>
      </c>
      <c r="C1411" s="393" t="s">
        <v>24673</v>
      </c>
      <c r="D1411" s="1465" t="s">
        <v>24685</v>
      </c>
      <c r="E1411" s="1465"/>
      <c r="F1411" s="1465"/>
      <c r="G1411" s="1465"/>
      <c r="H1411" s="1466"/>
      <c r="I1411" s="441" t="s">
        <v>2858</v>
      </c>
      <c r="J1411" s="441" t="s">
        <v>24686</v>
      </c>
      <c r="K1411" s="441" t="s">
        <v>24687</v>
      </c>
      <c r="L1411" s="441"/>
      <c r="M1411" s="441" t="s">
        <v>24688</v>
      </c>
      <c r="N1411" s="395" t="s">
        <v>24689</v>
      </c>
    </row>
    <row r="1412" spans="2:14" ht="15" x14ac:dyDescent="0.25">
      <c r="B1412" s="446"/>
      <c r="C1412" s="1196"/>
      <c r="D1412" s="1463"/>
      <c r="E1412" s="1463"/>
      <c r="F1412" s="1463"/>
      <c r="G1412" s="1463"/>
      <c r="H1412" s="1464"/>
      <c r="I1412" s="442"/>
      <c r="J1412" s="442"/>
      <c r="K1412" s="442"/>
      <c r="L1412" s="442"/>
      <c r="M1412" s="442"/>
      <c r="N1412" s="443"/>
    </row>
    <row r="1413" spans="2:14" ht="15" x14ac:dyDescent="0.25">
      <c r="B1413" s="456"/>
      <c r="C1413" s="457"/>
      <c r="D1413" s="457"/>
      <c r="E1413" s="457"/>
      <c r="F1413" s="448"/>
      <c r="G1413" s="448"/>
      <c r="H1413" s="448"/>
      <c r="I1413" s="448"/>
      <c r="J1413" s="448"/>
      <c r="K1413" s="448"/>
      <c r="L1413" s="448"/>
      <c r="M1413" s="409" t="s">
        <v>24690</v>
      </c>
      <c r="N1413" s="410">
        <f>SUM(N1412:N1412)</f>
        <v>0</v>
      </c>
    </row>
    <row r="1414" spans="2:14" ht="15" x14ac:dyDescent="0.25">
      <c r="B1414" s="456"/>
      <c r="C1414" s="457"/>
      <c r="D1414" s="457"/>
      <c r="E1414" s="457"/>
      <c r="F1414" s="457"/>
      <c r="G1414" s="457"/>
      <c r="H1414" s="457"/>
      <c r="I1414" s="457"/>
      <c r="J1414" s="457"/>
      <c r="K1414" s="457"/>
      <c r="L1414" s="457"/>
      <c r="M1414" s="457"/>
      <c r="N1414" s="404"/>
    </row>
    <row r="1415" spans="2:14" ht="15" x14ac:dyDescent="0.25">
      <c r="B1415" s="456"/>
      <c r="C1415" s="457"/>
      <c r="D1415" s="457"/>
      <c r="E1415" s="457"/>
      <c r="F1415" s="448"/>
      <c r="G1415" s="448"/>
      <c r="H1415" s="448"/>
      <c r="I1415" s="449"/>
      <c r="J1415" s="449"/>
      <c r="K1415" s="449"/>
      <c r="L1415" s="449"/>
      <c r="M1415" s="409" t="s">
        <v>24691</v>
      </c>
      <c r="N1415" s="412">
        <f>N1404+N1409+N1413</f>
        <v>12.53</v>
      </c>
    </row>
    <row r="1416" spans="2:14" ht="15" x14ac:dyDescent="0.25">
      <c r="B1416" s="456"/>
      <c r="C1416" s="457"/>
      <c r="D1416" s="457"/>
      <c r="E1416" s="457"/>
      <c r="F1416" s="448"/>
      <c r="G1416" s="448"/>
      <c r="H1416" s="448"/>
      <c r="I1416" s="448"/>
      <c r="J1416" s="450"/>
      <c r="K1416" s="450"/>
      <c r="L1416" s="450"/>
      <c r="M1416" s="414" t="s">
        <v>24692</v>
      </c>
      <c r="N1416" s="412">
        <v>1</v>
      </c>
    </row>
    <row r="1417" spans="2:14" ht="15.75" thickBot="1" x14ac:dyDescent="0.3">
      <c r="B1417" s="400"/>
      <c r="C1417" s="401"/>
      <c r="D1417" s="401"/>
      <c r="E1417" s="401"/>
      <c r="F1417" s="444"/>
      <c r="G1417" s="444"/>
      <c r="H1417" s="444"/>
      <c r="I1417" s="444"/>
      <c r="J1417" s="444"/>
      <c r="K1417" s="444"/>
      <c r="L1417" s="444"/>
      <c r="M1417" s="1197" t="s">
        <v>24693</v>
      </c>
      <c r="N1417" s="415">
        <f>TRUNC(N1415/N1416,2)</f>
        <v>12.53</v>
      </c>
    </row>
    <row r="1418" spans="2:14" ht="15.75" thickBot="1" x14ac:dyDescent="0.3">
      <c r="B1418" s="456"/>
      <c r="C1418" s="457"/>
      <c r="D1418" s="457"/>
      <c r="E1418" s="457"/>
      <c r="F1418" s="457"/>
      <c r="G1418" s="457"/>
      <c r="H1418" s="457"/>
      <c r="I1418" s="457"/>
      <c r="J1418" s="457"/>
      <c r="K1418" s="457"/>
      <c r="L1418" s="457"/>
      <c r="M1418" s="457"/>
      <c r="N1418" s="404"/>
    </row>
    <row r="1419" spans="2:14" ht="30" x14ac:dyDescent="0.25">
      <c r="B1419" s="392" t="s">
        <v>0</v>
      </c>
      <c r="C1419" s="393" t="s">
        <v>24673</v>
      </c>
      <c r="D1419" s="1465" t="s">
        <v>24694</v>
      </c>
      <c r="E1419" s="1465"/>
      <c r="F1419" s="1465"/>
      <c r="G1419" s="1465"/>
      <c r="H1419" s="1465"/>
      <c r="I1419" s="1466"/>
      <c r="J1419" s="441" t="s">
        <v>3686</v>
      </c>
      <c r="K1419" s="441" t="s">
        <v>24695</v>
      </c>
      <c r="L1419" s="441"/>
      <c r="M1419" s="441" t="s">
        <v>24683</v>
      </c>
      <c r="N1419" s="395" t="s">
        <v>24689</v>
      </c>
    </row>
    <row r="1420" spans="2:14" ht="15" x14ac:dyDescent="0.25">
      <c r="B1420" s="446">
        <v>38511</v>
      </c>
      <c r="C1420" s="1196" t="s">
        <v>4389</v>
      </c>
      <c r="D1420" s="1463" t="s">
        <v>25669</v>
      </c>
      <c r="E1420" s="1463"/>
      <c r="F1420" s="1463"/>
      <c r="G1420" s="1463"/>
      <c r="H1420" s="1463"/>
      <c r="I1420" s="1464"/>
      <c r="J1420" s="442" t="s">
        <v>6</v>
      </c>
      <c r="K1420" s="427">
        <v>149.63</v>
      </c>
      <c r="L1420" s="427"/>
      <c r="M1420" s="447">
        <v>3.3000000000000002E-2</v>
      </c>
      <c r="N1420" s="443">
        <f t="shared" ref="N1420:N1422" si="13">K1420*M1420</f>
        <v>4.9400000000000004</v>
      </c>
    </row>
    <row r="1421" spans="2:14" ht="15" x14ac:dyDescent="0.25">
      <c r="B1421" s="446">
        <v>20503</v>
      </c>
      <c r="C1421" s="1196" t="s">
        <v>4389</v>
      </c>
      <c r="D1421" s="1463" t="s">
        <v>25670</v>
      </c>
      <c r="E1421" s="1463"/>
      <c r="F1421" s="1463"/>
      <c r="G1421" s="1463"/>
      <c r="H1421" s="1463"/>
      <c r="I1421" s="1464"/>
      <c r="J1421" s="442" t="s">
        <v>6</v>
      </c>
      <c r="K1421" s="427">
        <v>90</v>
      </c>
      <c r="L1421" s="427"/>
      <c r="M1421" s="447">
        <v>1.0999999999999999E-2</v>
      </c>
      <c r="N1421" s="443">
        <f t="shared" si="13"/>
        <v>0.99</v>
      </c>
    </row>
    <row r="1422" spans="2:14" ht="15" x14ac:dyDescent="0.25">
      <c r="B1422" s="446">
        <v>365</v>
      </c>
      <c r="C1422" s="1196" t="s">
        <v>24706</v>
      </c>
      <c r="D1422" s="1463" t="s">
        <v>25671</v>
      </c>
      <c r="E1422" s="1463"/>
      <c r="F1422" s="1463"/>
      <c r="G1422" s="1463"/>
      <c r="H1422" s="1463"/>
      <c r="I1422" s="1464"/>
      <c r="J1422" s="442" t="s">
        <v>8</v>
      </c>
      <c r="K1422" s="427">
        <v>38.299999999999997</v>
      </c>
      <c r="L1422" s="427"/>
      <c r="M1422" s="447">
        <v>1</v>
      </c>
      <c r="N1422" s="443">
        <f t="shared" si="13"/>
        <v>38.299999999999997</v>
      </c>
    </row>
    <row r="1423" spans="2:14" ht="15" x14ac:dyDescent="0.25">
      <c r="B1423" s="446"/>
      <c r="C1423" s="1196"/>
      <c r="D1423" s="1463"/>
      <c r="E1423" s="1463"/>
      <c r="F1423" s="1463"/>
      <c r="G1423" s="1463"/>
      <c r="H1423" s="1463"/>
      <c r="I1423" s="1464"/>
      <c r="J1423" s="442"/>
      <c r="K1423" s="442"/>
      <c r="L1423" s="442"/>
      <c r="M1423" s="447"/>
      <c r="N1423" s="443"/>
    </row>
    <row r="1424" spans="2:14" ht="15.75" thickBot="1" x14ac:dyDescent="0.3">
      <c r="B1424" s="400"/>
      <c r="C1424" s="401"/>
      <c r="D1424" s="401"/>
      <c r="E1424" s="401"/>
      <c r="F1424" s="444"/>
      <c r="G1424" s="444"/>
      <c r="H1424" s="444"/>
      <c r="I1424" s="444"/>
      <c r="J1424" s="444"/>
      <c r="K1424" s="444"/>
      <c r="L1424" s="444"/>
      <c r="M1424" s="1197" t="s">
        <v>24696</v>
      </c>
      <c r="N1424" s="403">
        <f>SUM(N1420:N1422)</f>
        <v>44.23</v>
      </c>
    </row>
    <row r="1425" spans="2:14" ht="15.75" thickBot="1" x14ac:dyDescent="0.3">
      <c r="B1425" s="456"/>
      <c r="C1425" s="457"/>
      <c r="D1425" s="457"/>
      <c r="E1425" s="457"/>
      <c r="F1425" s="457"/>
      <c r="G1425" s="457"/>
      <c r="H1425" s="457"/>
      <c r="I1425" s="457"/>
      <c r="J1425" s="457"/>
      <c r="K1425" s="457"/>
      <c r="L1425" s="457"/>
      <c r="M1425" s="457"/>
      <c r="N1425" s="404"/>
    </row>
    <row r="1426" spans="2:14" ht="30" x14ac:dyDescent="0.25">
      <c r="B1426" s="392" t="s">
        <v>0</v>
      </c>
      <c r="C1426" s="441" t="s">
        <v>24673</v>
      </c>
      <c r="D1426" s="1465" t="s">
        <v>24697</v>
      </c>
      <c r="E1426" s="1465"/>
      <c r="F1426" s="1465"/>
      <c r="G1426" s="1465"/>
      <c r="H1426" s="1465"/>
      <c r="I1426" s="1466"/>
      <c r="J1426" s="441" t="s">
        <v>3686</v>
      </c>
      <c r="K1426" s="441" t="s">
        <v>24695</v>
      </c>
      <c r="L1426" s="441"/>
      <c r="M1426" s="441" t="s">
        <v>24683</v>
      </c>
      <c r="N1426" s="395" t="s">
        <v>24689</v>
      </c>
    </row>
    <row r="1427" spans="2:14" ht="15" x14ac:dyDescent="0.25">
      <c r="B1427" s="416"/>
      <c r="C1427" s="417"/>
      <c r="D1427" s="1463"/>
      <c r="E1427" s="1463"/>
      <c r="F1427" s="1463"/>
      <c r="G1427" s="1463"/>
      <c r="H1427" s="1463"/>
      <c r="I1427" s="1464"/>
      <c r="J1427" s="451"/>
      <c r="K1427" s="451"/>
      <c r="L1427" s="451"/>
      <c r="M1427" s="419"/>
      <c r="N1427" s="420"/>
    </row>
    <row r="1428" spans="2:14" ht="15.75" thickBot="1" x14ac:dyDescent="0.3">
      <c r="B1428" s="400"/>
      <c r="C1428" s="401"/>
      <c r="D1428" s="401"/>
      <c r="E1428" s="401"/>
      <c r="F1428" s="444"/>
      <c r="G1428" s="444"/>
      <c r="H1428" s="444"/>
      <c r="I1428" s="444"/>
      <c r="J1428" s="444"/>
      <c r="K1428" s="444"/>
      <c r="L1428" s="444"/>
      <c r="M1428" s="1197" t="s">
        <v>24698</v>
      </c>
      <c r="N1428" s="403">
        <f>SUM(N1427:N1427)</f>
        <v>0</v>
      </c>
    </row>
    <row r="1429" spans="2:14" ht="15.75" thickBot="1" x14ac:dyDescent="0.3">
      <c r="B1429" s="456"/>
      <c r="C1429" s="457"/>
      <c r="D1429" s="457"/>
      <c r="E1429" s="457"/>
      <c r="F1429" s="457"/>
      <c r="G1429" s="457"/>
      <c r="H1429" s="457"/>
      <c r="I1429" s="457"/>
      <c r="J1429" s="457"/>
      <c r="K1429" s="457"/>
      <c r="L1429" s="457"/>
      <c r="M1429" s="457"/>
      <c r="N1429" s="404"/>
    </row>
    <row r="1430" spans="2:14" ht="30" x14ac:dyDescent="0.25">
      <c r="B1430" s="392" t="s">
        <v>0</v>
      </c>
      <c r="C1430" s="441" t="s">
        <v>24673</v>
      </c>
      <c r="D1430" s="1465" t="s">
        <v>24699</v>
      </c>
      <c r="E1430" s="1465"/>
      <c r="F1430" s="1465"/>
      <c r="G1430" s="1466"/>
      <c r="H1430" s="441" t="s">
        <v>3686</v>
      </c>
      <c r="I1430" s="441" t="s">
        <v>24700</v>
      </c>
      <c r="J1430" s="441" t="s">
        <v>24701</v>
      </c>
      <c r="K1430" s="441" t="s">
        <v>24695</v>
      </c>
      <c r="L1430" s="441"/>
      <c r="M1430" s="441" t="s">
        <v>24683</v>
      </c>
      <c r="N1430" s="395" t="s">
        <v>24689</v>
      </c>
    </row>
    <row r="1431" spans="2:14" ht="15" x14ac:dyDescent="0.25">
      <c r="B1431" s="446"/>
      <c r="C1431" s="1196"/>
      <c r="D1431" s="1494"/>
      <c r="E1431" s="1494"/>
      <c r="F1431" s="1494"/>
      <c r="G1431" s="1494"/>
      <c r="H1431" s="442"/>
      <c r="I1431" s="442"/>
      <c r="J1431" s="442"/>
      <c r="K1431" s="442"/>
      <c r="L1431" s="442"/>
      <c r="M1431" s="447"/>
      <c r="N1431" s="443"/>
    </row>
    <row r="1432" spans="2:14" ht="15" x14ac:dyDescent="0.25">
      <c r="B1432" s="456"/>
      <c r="C1432" s="457"/>
      <c r="D1432" s="457"/>
      <c r="E1432" s="457"/>
      <c r="F1432" s="448"/>
      <c r="G1432" s="448"/>
      <c r="H1432" s="448"/>
      <c r="I1432" s="448"/>
      <c r="J1432" s="448"/>
      <c r="K1432" s="448"/>
      <c r="L1432" s="448"/>
      <c r="M1432" s="409" t="s">
        <v>24702</v>
      </c>
      <c r="N1432" s="410">
        <f>SUM(N1431:N1431)</f>
        <v>0</v>
      </c>
    </row>
    <row r="1433" spans="2:14" ht="15" x14ac:dyDescent="0.25">
      <c r="B1433" s="456"/>
      <c r="C1433" s="457"/>
      <c r="D1433" s="457"/>
      <c r="E1433" s="457"/>
      <c r="F1433" s="457"/>
      <c r="G1433" s="457"/>
      <c r="H1433" s="457"/>
      <c r="I1433" s="457"/>
      <c r="J1433" s="457"/>
      <c r="K1433" s="457"/>
      <c r="L1433" s="457"/>
      <c r="M1433" s="457"/>
      <c r="N1433" s="404"/>
    </row>
    <row r="1434" spans="2:14" ht="15" x14ac:dyDescent="0.25">
      <c r="B1434" s="421"/>
      <c r="C1434" s="422"/>
      <c r="D1434" s="422"/>
      <c r="E1434" s="422"/>
      <c r="F1434" s="452"/>
      <c r="G1434" s="452"/>
      <c r="H1434" s="452"/>
      <c r="I1434" s="452"/>
      <c r="J1434" s="452"/>
      <c r="K1434" s="452"/>
      <c r="L1434" s="452"/>
      <c r="M1434" s="424" t="s">
        <v>24703</v>
      </c>
      <c r="N1434" s="412">
        <f>N1417+N1424+N1428+N1432</f>
        <v>56.76</v>
      </c>
    </row>
    <row r="1435" spans="2:14" ht="15" x14ac:dyDescent="0.25">
      <c r="B1435" s="456"/>
      <c r="C1435" s="457"/>
      <c r="D1435" s="457"/>
      <c r="E1435" s="457"/>
      <c r="F1435" s="448"/>
      <c r="G1435" s="448"/>
      <c r="H1435" s="448"/>
      <c r="I1435" s="448"/>
      <c r="J1435" s="448"/>
      <c r="K1435" s="448"/>
      <c r="L1435" s="448"/>
      <c r="M1435" s="752">
        <f>'Planilha - Orla'!I3</f>
        <v>0.28220000000000001</v>
      </c>
      <c r="N1435" s="412">
        <f>N1434*M1435</f>
        <v>16.02</v>
      </c>
    </row>
    <row r="1436" spans="2:14" ht="15.75" thickBot="1" x14ac:dyDescent="0.3">
      <c r="B1436" s="1472" t="s">
        <v>24704</v>
      </c>
      <c r="C1436" s="1473"/>
      <c r="D1436" s="1473"/>
      <c r="E1436" s="1473"/>
      <c r="F1436" s="1473"/>
      <c r="G1436" s="1473"/>
      <c r="H1436" s="1473"/>
      <c r="I1436" s="1473"/>
      <c r="J1436" s="1473"/>
      <c r="K1436" s="1473"/>
      <c r="L1436" s="1473"/>
      <c r="M1436" s="1474"/>
      <c r="N1436" s="415">
        <f>N1434+N1435</f>
        <v>72.78</v>
      </c>
    </row>
    <row r="1437" spans="2:14" ht="15" x14ac:dyDescent="0.25">
      <c r="B1437" s="391"/>
      <c r="C1437" s="809"/>
      <c r="D1437" s="809"/>
      <c r="E1437" s="809"/>
      <c r="F1437" s="809"/>
      <c r="G1437" s="809"/>
      <c r="H1437" s="809"/>
      <c r="I1437" s="809"/>
      <c r="J1437" s="809"/>
      <c r="K1437" s="809"/>
      <c r="L1437" s="809"/>
      <c r="M1437" s="809"/>
      <c r="N1437" s="811"/>
    </row>
    <row r="1438" spans="2:14" ht="15.75" thickBot="1" x14ac:dyDescent="0.3">
      <c r="B1438" s="391"/>
      <c r="C1438" s="809"/>
      <c r="D1438" s="809"/>
      <c r="E1438" s="809"/>
      <c r="F1438" s="809"/>
      <c r="G1438" s="809"/>
      <c r="H1438" s="809"/>
      <c r="I1438" s="809"/>
      <c r="J1438" s="809"/>
      <c r="K1438" s="809"/>
      <c r="L1438" s="809"/>
      <c r="M1438" s="809"/>
      <c r="N1438" s="811"/>
    </row>
    <row r="1439" spans="2:14" ht="48.75" customHeight="1" x14ac:dyDescent="0.25">
      <c r="B1439" s="1479" t="s">
        <v>25400</v>
      </c>
      <c r="C1439" s="1480"/>
      <c r="D1439" s="1481"/>
      <c r="E1439" s="1482" t="s">
        <v>24669</v>
      </c>
      <c r="F1439" s="1482"/>
      <c r="G1439" s="1482"/>
      <c r="H1439" s="1482"/>
      <c r="I1439" s="1482"/>
      <c r="J1439" s="1482"/>
      <c r="K1439" s="1482"/>
      <c r="L1439" s="1221"/>
      <c r="M1439" s="1483"/>
      <c r="N1439" s="1484"/>
    </row>
    <row r="1440" spans="2:14" ht="15" x14ac:dyDescent="0.25">
      <c r="B1440" s="391" t="s">
        <v>24670</v>
      </c>
      <c r="C1440" s="1485" t="s">
        <v>25685</v>
      </c>
      <c r="D1440" s="1485"/>
      <c r="E1440" s="1485"/>
      <c r="F1440" s="1485"/>
      <c r="G1440" s="1485"/>
      <c r="H1440" s="1485"/>
      <c r="I1440" s="1485"/>
      <c r="J1440" s="1485"/>
      <c r="K1440" s="1485"/>
      <c r="L1440" s="1485"/>
      <c r="M1440" s="1485"/>
      <c r="N1440" s="1486"/>
    </row>
    <row r="1441" spans="2:14" ht="15" x14ac:dyDescent="0.25">
      <c r="B1441" s="391" t="s">
        <v>24671</v>
      </c>
      <c r="C1441" s="1487" t="s">
        <v>7</v>
      </c>
      <c r="D1441" s="1487"/>
      <c r="E1441" s="1487"/>
      <c r="F1441" s="1487"/>
      <c r="G1441" s="1487"/>
      <c r="H1441" s="1487"/>
      <c r="I1441" s="1487"/>
      <c r="J1441" s="1487"/>
      <c r="K1441" s="1487"/>
      <c r="L1441" s="1487"/>
      <c r="M1441" s="1487"/>
      <c r="N1441" s="1488"/>
    </row>
    <row r="1442" spans="2:14" ht="15.75" thickBot="1" x14ac:dyDescent="0.3">
      <c r="B1442" s="391" t="s">
        <v>24672</v>
      </c>
      <c r="C1442" s="1489">
        <v>44501</v>
      </c>
      <c r="D1442" s="1490"/>
      <c r="E1442" s="1490"/>
      <c r="F1442" s="1490"/>
      <c r="G1442" s="1490"/>
      <c r="H1442" s="1490"/>
      <c r="I1442" s="1490"/>
      <c r="J1442" s="1490"/>
      <c r="K1442" s="1490"/>
      <c r="L1442" s="1490"/>
      <c r="M1442" s="1490"/>
      <c r="N1442" s="1491"/>
    </row>
    <row r="1443" spans="2:14" ht="30" x14ac:dyDescent="0.25">
      <c r="B1443" s="392" t="s">
        <v>0</v>
      </c>
      <c r="C1443" s="393" t="s">
        <v>24673</v>
      </c>
      <c r="D1443" s="1465" t="s">
        <v>24674</v>
      </c>
      <c r="E1443" s="1465"/>
      <c r="F1443" s="1465"/>
      <c r="G1443" s="1466"/>
      <c r="H1443" s="441" t="s">
        <v>111</v>
      </c>
      <c r="I1443" s="441" t="s">
        <v>24675</v>
      </c>
      <c r="J1443" s="441" t="s">
        <v>24676</v>
      </c>
      <c r="K1443" s="441" t="s">
        <v>24677</v>
      </c>
      <c r="L1443" s="441"/>
      <c r="M1443" s="441" t="s">
        <v>24678</v>
      </c>
      <c r="N1443" s="395" t="s">
        <v>24679</v>
      </c>
    </row>
    <row r="1444" spans="2:14" ht="15" x14ac:dyDescent="0.25">
      <c r="B1444" s="446"/>
      <c r="C1444" s="397"/>
      <c r="D1444" s="1494"/>
      <c r="E1444" s="1494"/>
      <c r="F1444" s="1494"/>
      <c r="G1444" s="1495"/>
      <c r="H1444" s="442"/>
      <c r="I1444" s="442"/>
      <c r="J1444" s="442"/>
      <c r="K1444" s="442"/>
      <c r="L1444" s="442"/>
      <c r="M1444" s="442"/>
      <c r="N1444" s="443"/>
    </row>
    <row r="1445" spans="2:14" ht="15.75" thickBot="1" x14ac:dyDescent="0.3">
      <c r="B1445" s="400"/>
      <c r="C1445" s="401"/>
      <c r="D1445" s="401"/>
      <c r="E1445" s="401"/>
      <c r="F1445" s="444"/>
      <c r="G1445" s="444"/>
      <c r="H1445" s="444"/>
      <c r="I1445" s="444"/>
      <c r="J1445" s="444"/>
      <c r="K1445" s="444"/>
      <c r="L1445" s="444"/>
      <c r="M1445" s="1220" t="s">
        <v>24680</v>
      </c>
      <c r="N1445" s="403">
        <f>SUM(N1444)</f>
        <v>0</v>
      </c>
    </row>
    <row r="1446" spans="2:14" ht="15.75" thickBot="1" x14ac:dyDescent="0.3">
      <c r="B1446" s="456"/>
      <c r="C1446" s="457"/>
      <c r="D1446" s="457"/>
      <c r="E1446" s="457"/>
      <c r="F1446" s="457"/>
      <c r="G1446" s="457"/>
      <c r="H1446" s="457"/>
      <c r="I1446" s="457"/>
      <c r="J1446" s="457"/>
      <c r="K1446" s="457"/>
      <c r="L1446" s="457"/>
      <c r="M1446" s="457"/>
      <c r="N1446" s="404"/>
    </row>
    <row r="1447" spans="2:14" ht="45" x14ac:dyDescent="0.25">
      <c r="B1447" s="392" t="s">
        <v>0</v>
      </c>
      <c r="C1447" s="393" t="s">
        <v>24673</v>
      </c>
      <c r="D1447" s="1465" t="s">
        <v>24681</v>
      </c>
      <c r="E1447" s="1465"/>
      <c r="F1447" s="1465"/>
      <c r="G1447" s="1465"/>
      <c r="H1447" s="1466"/>
      <c r="I1447" s="441" t="s">
        <v>3686</v>
      </c>
      <c r="J1447" s="441" t="s">
        <v>24682</v>
      </c>
      <c r="K1447" s="441" t="s">
        <v>24861</v>
      </c>
      <c r="L1447" s="441" t="s">
        <v>24862</v>
      </c>
      <c r="M1447" s="441" t="s">
        <v>24683</v>
      </c>
      <c r="N1447" s="395" t="s">
        <v>24679</v>
      </c>
    </row>
    <row r="1448" spans="2:14" ht="15" x14ac:dyDescent="0.25">
      <c r="B1448" s="446">
        <v>10101</v>
      </c>
      <c r="C1448" s="1219" t="s">
        <v>4389</v>
      </c>
      <c r="D1448" s="1463" t="s">
        <v>24788</v>
      </c>
      <c r="E1448" s="1463"/>
      <c r="F1448" s="1463"/>
      <c r="G1448" s="1463"/>
      <c r="H1448" s="1464"/>
      <c r="I1448" s="442" t="s">
        <v>75</v>
      </c>
      <c r="J1448" s="406">
        <v>1.5727</v>
      </c>
      <c r="K1448" s="427">
        <v>6.27</v>
      </c>
      <c r="L1448" s="427">
        <f>K1448*(1+J1448)</f>
        <v>16.13</v>
      </c>
      <c r="M1448" s="447">
        <v>1.2</v>
      </c>
      <c r="N1448" s="443">
        <f>L1448*M1448</f>
        <v>19.36</v>
      </c>
    </row>
    <row r="1449" spans="2:14" ht="15" x14ac:dyDescent="0.25">
      <c r="B1449" s="446">
        <v>10115</v>
      </c>
      <c r="C1449" s="1219" t="s">
        <v>4389</v>
      </c>
      <c r="D1449" s="1463" t="s">
        <v>25686</v>
      </c>
      <c r="E1449" s="1463"/>
      <c r="F1449" s="1463"/>
      <c r="G1449" s="1463"/>
      <c r="H1449" s="1464"/>
      <c r="I1449" s="442" t="s">
        <v>75</v>
      </c>
      <c r="J1449" s="406">
        <v>1.5727</v>
      </c>
      <c r="K1449" s="427">
        <v>7.43</v>
      </c>
      <c r="L1449" s="427">
        <f>K1449*(1+J1449)</f>
        <v>19.12</v>
      </c>
      <c r="M1449" s="447">
        <v>1.2</v>
      </c>
      <c r="N1449" s="443">
        <f>L1449*M1449</f>
        <v>22.94</v>
      </c>
    </row>
    <row r="1450" spans="2:14" ht="15.75" thickBot="1" x14ac:dyDescent="0.3">
      <c r="B1450" s="400"/>
      <c r="C1450" s="401"/>
      <c r="D1450" s="401"/>
      <c r="E1450" s="401"/>
      <c r="F1450" s="444"/>
      <c r="G1450" s="444"/>
      <c r="H1450" s="444"/>
      <c r="I1450" s="444"/>
      <c r="J1450" s="444"/>
      <c r="K1450" s="444"/>
      <c r="L1450" s="444"/>
      <c r="M1450" s="1220" t="s">
        <v>24684</v>
      </c>
      <c r="N1450" s="403">
        <f>SUM(N1448:N1449)</f>
        <v>42.3</v>
      </c>
    </row>
    <row r="1451" spans="2:14" ht="15.75" thickBot="1" x14ac:dyDescent="0.3">
      <c r="B1451" s="456"/>
      <c r="C1451" s="457"/>
      <c r="D1451" s="457"/>
      <c r="E1451" s="457"/>
      <c r="F1451" s="457"/>
      <c r="G1451" s="457"/>
      <c r="H1451" s="457"/>
      <c r="I1451" s="448"/>
      <c r="J1451" s="448"/>
      <c r="K1451" s="457"/>
      <c r="L1451" s="457"/>
      <c r="M1451" s="457"/>
      <c r="N1451" s="404"/>
    </row>
    <row r="1452" spans="2:14" ht="30" x14ac:dyDescent="0.25">
      <c r="B1452" s="392" t="s">
        <v>0</v>
      </c>
      <c r="C1452" s="393" t="s">
        <v>24673</v>
      </c>
      <c r="D1452" s="1465" t="s">
        <v>24685</v>
      </c>
      <c r="E1452" s="1465"/>
      <c r="F1452" s="1465"/>
      <c r="G1452" s="1465"/>
      <c r="H1452" s="1466"/>
      <c r="I1452" s="441" t="s">
        <v>2858</v>
      </c>
      <c r="J1452" s="441" t="s">
        <v>24686</v>
      </c>
      <c r="K1452" s="441" t="s">
        <v>24687</v>
      </c>
      <c r="L1452" s="441"/>
      <c r="M1452" s="441" t="s">
        <v>24688</v>
      </c>
      <c r="N1452" s="395" t="s">
        <v>24689</v>
      </c>
    </row>
    <row r="1453" spans="2:14" ht="15" x14ac:dyDescent="0.25">
      <c r="B1453" s="446"/>
      <c r="C1453" s="1219"/>
      <c r="D1453" s="1463"/>
      <c r="E1453" s="1463"/>
      <c r="F1453" s="1463"/>
      <c r="G1453" s="1463"/>
      <c r="H1453" s="1464"/>
      <c r="I1453" s="442"/>
      <c r="J1453" s="442"/>
      <c r="K1453" s="442"/>
      <c r="L1453" s="442"/>
      <c r="M1453" s="442"/>
      <c r="N1453" s="443"/>
    </row>
    <row r="1454" spans="2:14" ht="15" x14ac:dyDescent="0.25">
      <c r="B1454" s="456"/>
      <c r="C1454" s="457"/>
      <c r="D1454" s="457"/>
      <c r="E1454" s="457"/>
      <c r="F1454" s="448"/>
      <c r="G1454" s="448"/>
      <c r="H1454" s="448"/>
      <c r="I1454" s="448"/>
      <c r="J1454" s="448"/>
      <c r="K1454" s="448"/>
      <c r="L1454" s="448"/>
      <c r="M1454" s="409" t="s">
        <v>24690</v>
      </c>
      <c r="N1454" s="410">
        <f>SUM(N1453:N1453)</f>
        <v>0</v>
      </c>
    </row>
    <row r="1455" spans="2:14" ht="15" x14ac:dyDescent="0.25">
      <c r="B1455" s="456"/>
      <c r="C1455" s="457"/>
      <c r="D1455" s="457"/>
      <c r="E1455" s="457"/>
      <c r="F1455" s="457"/>
      <c r="G1455" s="457"/>
      <c r="H1455" s="457"/>
      <c r="I1455" s="457"/>
      <c r="J1455" s="457"/>
      <c r="K1455" s="457"/>
      <c r="L1455" s="457"/>
      <c r="M1455" s="457"/>
      <c r="N1455" s="404"/>
    </row>
    <row r="1456" spans="2:14" ht="15" x14ac:dyDescent="0.25">
      <c r="B1456" s="456"/>
      <c r="C1456" s="457"/>
      <c r="D1456" s="457"/>
      <c r="E1456" s="457"/>
      <c r="F1456" s="448"/>
      <c r="G1456" s="448"/>
      <c r="H1456" s="448"/>
      <c r="I1456" s="449"/>
      <c r="J1456" s="449"/>
      <c r="K1456" s="449"/>
      <c r="L1456" s="449"/>
      <c r="M1456" s="409" t="s">
        <v>24691</v>
      </c>
      <c r="N1456" s="412">
        <f>N1445+N1450+N1454</f>
        <v>42.3</v>
      </c>
    </row>
    <row r="1457" spans="2:14" ht="15" x14ac:dyDescent="0.25">
      <c r="B1457" s="456"/>
      <c r="C1457" s="457"/>
      <c r="D1457" s="457"/>
      <c r="E1457" s="457"/>
      <c r="F1457" s="448"/>
      <c r="G1457" s="448"/>
      <c r="H1457" s="448"/>
      <c r="I1457" s="448"/>
      <c r="J1457" s="450"/>
      <c r="K1457" s="450"/>
      <c r="L1457" s="450"/>
      <c r="M1457" s="414" t="s">
        <v>24692</v>
      </c>
      <c r="N1457" s="412">
        <v>1</v>
      </c>
    </row>
    <row r="1458" spans="2:14" ht="15.75" thickBot="1" x14ac:dyDescent="0.3">
      <c r="B1458" s="400"/>
      <c r="C1458" s="401"/>
      <c r="D1458" s="401"/>
      <c r="E1458" s="401"/>
      <c r="F1458" s="444"/>
      <c r="G1458" s="444"/>
      <c r="H1458" s="444"/>
      <c r="I1458" s="444"/>
      <c r="J1458" s="444"/>
      <c r="K1458" s="444"/>
      <c r="L1458" s="444"/>
      <c r="M1458" s="1220" t="s">
        <v>24693</v>
      </c>
      <c r="N1458" s="415">
        <f>TRUNC(N1456/N1457,2)</f>
        <v>42.3</v>
      </c>
    </row>
    <row r="1459" spans="2:14" ht="15.75" thickBot="1" x14ac:dyDescent="0.3">
      <c r="B1459" s="456"/>
      <c r="C1459" s="457"/>
      <c r="D1459" s="457"/>
      <c r="E1459" s="457"/>
      <c r="F1459" s="457"/>
      <c r="G1459" s="457"/>
      <c r="H1459" s="457"/>
      <c r="I1459" s="457"/>
      <c r="J1459" s="457"/>
      <c r="K1459" s="457"/>
      <c r="L1459" s="457"/>
      <c r="M1459" s="457"/>
      <c r="N1459" s="404"/>
    </row>
    <row r="1460" spans="2:14" ht="30" x14ac:dyDescent="0.25">
      <c r="B1460" s="392" t="s">
        <v>0</v>
      </c>
      <c r="C1460" s="393" t="s">
        <v>24673</v>
      </c>
      <c r="D1460" s="1465" t="s">
        <v>24694</v>
      </c>
      <c r="E1460" s="1465"/>
      <c r="F1460" s="1465"/>
      <c r="G1460" s="1465"/>
      <c r="H1460" s="1465"/>
      <c r="I1460" s="1466"/>
      <c r="J1460" s="441" t="s">
        <v>3686</v>
      </c>
      <c r="K1460" s="441" t="s">
        <v>24695</v>
      </c>
      <c r="L1460" s="1467" t="s">
        <v>24683</v>
      </c>
      <c r="M1460" s="1468"/>
      <c r="N1460" s="395" t="s">
        <v>24689</v>
      </c>
    </row>
    <row r="1461" spans="2:14" ht="30" x14ac:dyDescent="0.25">
      <c r="B1461" s="446" t="s">
        <v>24795</v>
      </c>
      <c r="C1461" s="1219" t="s">
        <v>24708</v>
      </c>
      <c r="D1461" s="1463" t="s">
        <v>25687</v>
      </c>
      <c r="E1461" s="1463"/>
      <c r="F1461" s="1463"/>
      <c r="G1461" s="1463"/>
      <c r="H1461" s="1463"/>
      <c r="I1461" s="1464"/>
      <c r="J1461" s="442" t="s">
        <v>7</v>
      </c>
      <c r="K1461" s="427">
        <f>'MAPA DE COT. - Orla'!H139</f>
        <v>14.01</v>
      </c>
      <c r="L1461" s="1475">
        <v>1.1000000000000001</v>
      </c>
      <c r="M1461" s="1476"/>
      <c r="N1461" s="443">
        <f>K1461*L1461</f>
        <v>15.41</v>
      </c>
    </row>
    <row r="1462" spans="2:14" ht="15" x14ac:dyDescent="0.25">
      <c r="B1462" s="446"/>
      <c r="C1462" s="1219"/>
      <c r="D1462" s="1463"/>
      <c r="E1462" s="1463"/>
      <c r="F1462" s="1463"/>
      <c r="G1462" s="1463"/>
      <c r="H1462" s="1463"/>
      <c r="I1462" s="1464"/>
      <c r="J1462" s="442"/>
      <c r="K1462" s="442"/>
      <c r="L1462" s="442"/>
      <c r="M1462" s="447"/>
      <c r="N1462" s="443"/>
    </row>
    <row r="1463" spans="2:14" ht="15.75" thickBot="1" x14ac:dyDescent="0.3">
      <c r="B1463" s="400"/>
      <c r="C1463" s="401"/>
      <c r="D1463" s="401"/>
      <c r="E1463" s="401"/>
      <c r="F1463" s="444"/>
      <c r="G1463" s="444"/>
      <c r="H1463" s="444"/>
      <c r="I1463" s="444"/>
      <c r="J1463" s="444"/>
      <c r="K1463" s="444"/>
      <c r="L1463" s="444"/>
      <c r="M1463" s="1220" t="s">
        <v>24696</v>
      </c>
      <c r="N1463" s="403">
        <f>SUM(N1461:N1461)</f>
        <v>15.41</v>
      </c>
    </row>
    <row r="1464" spans="2:14" ht="15.75" thickBot="1" x14ac:dyDescent="0.3">
      <c r="B1464" s="456"/>
      <c r="C1464" s="457"/>
      <c r="D1464" s="457"/>
      <c r="E1464" s="457"/>
      <c r="F1464" s="457"/>
      <c r="G1464" s="457"/>
      <c r="H1464" s="457"/>
      <c r="I1464" s="457"/>
      <c r="J1464" s="457"/>
      <c r="K1464" s="457"/>
      <c r="L1464" s="457"/>
      <c r="M1464" s="457"/>
      <c r="N1464" s="404"/>
    </row>
    <row r="1465" spans="2:14" ht="30" x14ac:dyDescent="0.25">
      <c r="B1465" s="392" t="s">
        <v>0</v>
      </c>
      <c r="C1465" s="441" t="s">
        <v>24673</v>
      </c>
      <c r="D1465" s="1465" t="s">
        <v>24697</v>
      </c>
      <c r="E1465" s="1465"/>
      <c r="F1465" s="1465"/>
      <c r="G1465" s="1465"/>
      <c r="H1465" s="1465"/>
      <c r="I1465" s="1466"/>
      <c r="J1465" s="441" t="s">
        <v>3686</v>
      </c>
      <c r="K1465" s="441" t="s">
        <v>24695</v>
      </c>
      <c r="L1465" s="441"/>
      <c r="M1465" s="441" t="s">
        <v>24683</v>
      </c>
      <c r="N1465" s="395" t="s">
        <v>24689</v>
      </c>
    </row>
    <row r="1466" spans="2:14" ht="15" x14ac:dyDescent="0.25">
      <c r="B1466" s="416"/>
      <c r="C1466" s="417"/>
      <c r="D1466" s="1463"/>
      <c r="E1466" s="1463"/>
      <c r="F1466" s="1463"/>
      <c r="G1466" s="1463"/>
      <c r="H1466" s="1463"/>
      <c r="I1466" s="1464"/>
      <c r="J1466" s="451"/>
      <c r="K1466" s="451"/>
      <c r="L1466" s="451"/>
      <c r="M1466" s="419"/>
      <c r="N1466" s="420"/>
    </row>
    <row r="1467" spans="2:14" ht="15.75" thickBot="1" x14ac:dyDescent="0.3">
      <c r="B1467" s="400"/>
      <c r="C1467" s="401"/>
      <c r="D1467" s="401"/>
      <c r="E1467" s="401"/>
      <c r="F1467" s="444"/>
      <c r="G1467" s="444"/>
      <c r="H1467" s="444"/>
      <c r="I1467" s="444"/>
      <c r="J1467" s="444"/>
      <c r="K1467" s="444"/>
      <c r="L1467" s="444"/>
      <c r="M1467" s="1220" t="s">
        <v>24698</v>
      </c>
      <c r="N1467" s="403">
        <f>SUM(N1466:N1466)</f>
        <v>0</v>
      </c>
    </row>
    <row r="1468" spans="2:14" ht="15.75" thickBot="1" x14ac:dyDescent="0.3">
      <c r="B1468" s="456"/>
      <c r="C1468" s="457"/>
      <c r="D1468" s="457"/>
      <c r="E1468" s="457"/>
      <c r="F1468" s="457"/>
      <c r="G1468" s="457"/>
      <c r="H1468" s="457"/>
      <c r="I1468" s="457"/>
      <c r="J1468" s="457"/>
      <c r="K1468" s="457"/>
      <c r="L1468" s="457"/>
      <c r="M1468" s="457"/>
      <c r="N1468" s="404"/>
    </row>
    <row r="1469" spans="2:14" ht="30" x14ac:dyDescent="0.25">
      <c r="B1469" s="392" t="s">
        <v>0</v>
      </c>
      <c r="C1469" s="441" t="s">
        <v>24673</v>
      </c>
      <c r="D1469" s="1465" t="s">
        <v>24699</v>
      </c>
      <c r="E1469" s="1465"/>
      <c r="F1469" s="1465"/>
      <c r="G1469" s="1466"/>
      <c r="H1469" s="441" t="s">
        <v>3686</v>
      </c>
      <c r="I1469" s="441" t="s">
        <v>24700</v>
      </c>
      <c r="J1469" s="441" t="s">
        <v>24701</v>
      </c>
      <c r="K1469" s="441" t="s">
        <v>24695</v>
      </c>
      <c r="L1469" s="441"/>
      <c r="M1469" s="441" t="s">
        <v>24683</v>
      </c>
      <c r="N1469" s="395" t="s">
        <v>24689</v>
      </c>
    </row>
    <row r="1470" spans="2:14" ht="15" x14ac:dyDescent="0.25">
      <c r="B1470" s="446"/>
      <c r="C1470" s="1219"/>
      <c r="D1470" s="1494"/>
      <c r="E1470" s="1494"/>
      <c r="F1470" s="1494"/>
      <c r="G1470" s="1494"/>
      <c r="H1470" s="442"/>
      <c r="I1470" s="442"/>
      <c r="J1470" s="442"/>
      <c r="K1470" s="442"/>
      <c r="L1470" s="442"/>
      <c r="M1470" s="447"/>
      <c r="N1470" s="443"/>
    </row>
    <row r="1471" spans="2:14" ht="15" x14ac:dyDescent="0.25">
      <c r="B1471" s="456"/>
      <c r="C1471" s="457"/>
      <c r="D1471" s="457"/>
      <c r="E1471" s="457"/>
      <c r="F1471" s="448"/>
      <c r="G1471" s="448"/>
      <c r="H1471" s="448"/>
      <c r="I1471" s="448"/>
      <c r="J1471" s="448"/>
      <c r="K1471" s="448"/>
      <c r="L1471" s="448"/>
      <c r="M1471" s="409" t="s">
        <v>24702</v>
      </c>
      <c r="N1471" s="410">
        <f>SUM(N1470:N1470)</f>
        <v>0</v>
      </c>
    </row>
    <row r="1472" spans="2:14" ht="15" x14ac:dyDescent="0.25">
      <c r="B1472" s="456"/>
      <c r="C1472" s="457"/>
      <c r="D1472" s="457"/>
      <c r="E1472" s="457"/>
      <c r="F1472" s="457"/>
      <c r="G1472" s="457"/>
      <c r="H1472" s="457"/>
      <c r="I1472" s="457"/>
      <c r="J1472" s="457"/>
      <c r="K1472" s="457"/>
      <c r="L1472" s="457"/>
      <c r="M1472" s="457"/>
      <c r="N1472" s="404"/>
    </row>
    <row r="1473" spans="2:14" ht="15" x14ac:dyDescent="0.25">
      <c r="B1473" s="421"/>
      <c r="C1473" s="422"/>
      <c r="D1473" s="422"/>
      <c r="E1473" s="422"/>
      <c r="F1473" s="452"/>
      <c r="G1473" s="452"/>
      <c r="H1473" s="452"/>
      <c r="I1473" s="452"/>
      <c r="J1473" s="452"/>
      <c r="K1473" s="452"/>
      <c r="L1473" s="452"/>
      <c r="M1473" s="424" t="s">
        <v>24703</v>
      </c>
      <c r="N1473" s="412">
        <f>N1458+N1463+N1467+N1471</f>
        <v>57.71</v>
      </c>
    </row>
    <row r="1474" spans="2:14" ht="15" x14ac:dyDescent="0.25">
      <c r="B1474" s="456"/>
      <c r="C1474" s="457"/>
      <c r="D1474" s="457"/>
      <c r="E1474" s="457"/>
      <c r="F1474" s="448"/>
      <c r="G1474" s="448"/>
      <c r="H1474" s="448"/>
      <c r="I1474" s="448"/>
      <c r="J1474" s="448"/>
      <c r="K1474" s="448"/>
      <c r="L1474" s="448"/>
      <c r="M1474" s="752">
        <f>'Planilha - Orla'!I3</f>
        <v>0.28220000000000001</v>
      </c>
      <c r="N1474" s="412">
        <f>N1473*M1474</f>
        <v>16.29</v>
      </c>
    </row>
    <row r="1475" spans="2:14" ht="15.75" thickBot="1" x14ac:dyDescent="0.3">
      <c r="B1475" s="1472" t="s">
        <v>24704</v>
      </c>
      <c r="C1475" s="1473"/>
      <c r="D1475" s="1473"/>
      <c r="E1475" s="1473"/>
      <c r="F1475" s="1473"/>
      <c r="G1475" s="1473"/>
      <c r="H1475" s="1473"/>
      <c r="I1475" s="1473"/>
      <c r="J1475" s="1473"/>
      <c r="K1475" s="1473"/>
      <c r="L1475" s="1473"/>
      <c r="M1475" s="1474"/>
      <c r="N1475" s="415">
        <f>N1473+N1474</f>
        <v>74</v>
      </c>
    </row>
    <row r="1476" spans="2:14" ht="15" x14ac:dyDescent="0.25">
      <c r="B1476" s="391"/>
      <c r="C1476" s="809"/>
      <c r="D1476" s="809"/>
      <c r="E1476" s="809"/>
      <c r="F1476" s="809"/>
      <c r="G1476" s="809"/>
      <c r="H1476" s="809"/>
      <c r="I1476" s="809"/>
      <c r="J1476" s="809"/>
      <c r="K1476" s="809"/>
      <c r="L1476" s="809"/>
      <c r="M1476" s="809"/>
      <c r="N1476" s="811"/>
    </row>
    <row r="1477" spans="2:14" ht="15.75" thickBot="1" x14ac:dyDescent="0.3">
      <c r="B1477" s="391"/>
      <c r="C1477" s="809"/>
      <c r="D1477" s="809"/>
      <c r="E1477" s="809"/>
      <c r="F1477" s="809"/>
      <c r="G1477" s="809"/>
      <c r="H1477" s="809"/>
      <c r="I1477" s="809"/>
      <c r="J1477" s="809"/>
      <c r="K1477" s="809"/>
      <c r="L1477" s="809"/>
      <c r="M1477" s="809"/>
      <c r="N1477" s="811"/>
    </row>
    <row r="1478" spans="2:14" ht="43.5" customHeight="1" x14ac:dyDescent="0.25">
      <c r="B1478" s="1479" t="s">
        <v>25403</v>
      </c>
      <c r="C1478" s="1480"/>
      <c r="D1478" s="1481"/>
      <c r="E1478" s="1482" t="s">
        <v>24669</v>
      </c>
      <c r="F1478" s="1482"/>
      <c r="G1478" s="1482"/>
      <c r="H1478" s="1482"/>
      <c r="I1478" s="1482"/>
      <c r="J1478" s="1482"/>
      <c r="K1478" s="1482"/>
      <c r="L1478" s="1261"/>
      <c r="M1478" s="1483"/>
      <c r="N1478" s="1484"/>
    </row>
    <row r="1479" spans="2:14" ht="15" x14ac:dyDescent="0.25">
      <c r="B1479" s="391" t="s">
        <v>24670</v>
      </c>
      <c r="C1479" s="1485" t="s">
        <v>25744</v>
      </c>
      <c r="D1479" s="1485"/>
      <c r="E1479" s="1485"/>
      <c r="F1479" s="1485"/>
      <c r="G1479" s="1485"/>
      <c r="H1479" s="1485"/>
      <c r="I1479" s="1485"/>
      <c r="J1479" s="1485"/>
      <c r="K1479" s="1485"/>
      <c r="L1479" s="1485"/>
      <c r="M1479" s="1485"/>
      <c r="N1479" s="1486"/>
    </row>
    <row r="1480" spans="2:14" ht="15" x14ac:dyDescent="0.25">
      <c r="B1480" s="391" t="s">
        <v>24671</v>
      </c>
      <c r="C1480" s="1487" t="s">
        <v>8</v>
      </c>
      <c r="D1480" s="1487"/>
      <c r="E1480" s="1487"/>
      <c r="F1480" s="1487"/>
      <c r="G1480" s="1487"/>
      <c r="H1480" s="1487"/>
      <c r="I1480" s="1487"/>
      <c r="J1480" s="1487"/>
      <c r="K1480" s="1487"/>
      <c r="L1480" s="1487"/>
      <c r="M1480" s="1487"/>
      <c r="N1480" s="1488"/>
    </row>
    <row r="1481" spans="2:14" ht="15.75" thickBot="1" x14ac:dyDescent="0.3">
      <c r="B1481" s="391" t="s">
        <v>24672</v>
      </c>
      <c r="C1481" s="1489">
        <v>44501</v>
      </c>
      <c r="D1481" s="1490"/>
      <c r="E1481" s="1490"/>
      <c r="F1481" s="1490"/>
      <c r="G1481" s="1490"/>
      <c r="H1481" s="1490"/>
      <c r="I1481" s="1490"/>
      <c r="J1481" s="1490"/>
      <c r="K1481" s="1490"/>
      <c r="L1481" s="1490"/>
      <c r="M1481" s="1490"/>
      <c r="N1481" s="1491"/>
    </row>
    <row r="1482" spans="2:14" ht="30" x14ac:dyDescent="0.25">
      <c r="B1482" s="392" t="s">
        <v>0</v>
      </c>
      <c r="C1482" s="393" t="s">
        <v>24673</v>
      </c>
      <c r="D1482" s="1465" t="s">
        <v>24674</v>
      </c>
      <c r="E1482" s="1465"/>
      <c r="F1482" s="1465"/>
      <c r="G1482" s="1466"/>
      <c r="H1482" s="441" t="s">
        <v>111</v>
      </c>
      <c r="I1482" s="441" t="s">
        <v>24675</v>
      </c>
      <c r="J1482" s="441" t="s">
        <v>24676</v>
      </c>
      <c r="K1482" s="1467" t="s">
        <v>24677</v>
      </c>
      <c r="L1482" s="1468"/>
      <c r="M1482" s="441" t="s">
        <v>24678</v>
      </c>
      <c r="N1482" s="395" t="s">
        <v>24679</v>
      </c>
    </row>
    <row r="1483" spans="2:14" ht="65.25" customHeight="1" x14ac:dyDescent="0.25">
      <c r="B1483" s="446">
        <v>5928</v>
      </c>
      <c r="C1483" s="1259" t="s">
        <v>24706</v>
      </c>
      <c r="D1483" s="1463" t="s">
        <v>25745</v>
      </c>
      <c r="E1483" s="1463"/>
      <c r="F1483" s="1463"/>
      <c r="G1483" s="1464"/>
      <c r="H1483" s="442">
        <v>1</v>
      </c>
      <c r="I1483" s="442">
        <v>1.8</v>
      </c>
      <c r="J1483" s="442" t="s">
        <v>24795</v>
      </c>
      <c r="K1483" s="1461">
        <v>211.36</v>
      </c>
      <c r="L1483" s="1462"/>
      <c r="M1483" s="442" t="s">
        <v>24795</v>
      </c>
      <c r="N1483" s="443">
        <f>I1483*K1483</f>
        <v>380.45</v>
      </c>
    </row>
    <row r="1484" spans="2:14" ht="63.75" customHeight="1" x14ac:dyDescent="0.25">
      <c r="B1484" s="446">
        <v>93403</v>
      </c>
      <c r="C1484" s="1259" t="s">
        <v>24706</v>
      </c>
      <c r="D1484" s="1463" t="s">
        <v>25746</v>
      </c>
      <c r="E1484" s="1463"/>
      <c r="F1484" s="1463"/>
      <c r="G1484" s="1464"/>
      <c r="H1484" s="442">
        <v>1</v>
      </c>
      <c r="I1484" s="442" t="s">
        <v>24795</v>
      </c>
      <c r="J1484" s="442">
        <v>1.2</v>
      </c>
      <c r="K1484" s="1461" t="s">
        <v>24795</v>
      </c>
      <c r="L1484" s="1462"/>
      <c r="M1484" s="442">
        <v>46.45</v>
      </c>
      <c r="N1484" s="443">
        <f>J1484*M1484</f>
        <v>55.74</v>
      </c>
    </row>
    <row r="1485" spans="2:14" ht="15.75" thickBot="1" x14ac:dyDescent="0.3">
      <c r="B1485" s="400"/>
      <c r="C1485" s="401"/>
      <c r="D1485" s="401"/>
      <c r="E1485" s="401"/>
      <c r="F1485" s="444"/>
      <c r="G1485" s="444"/>
      <c r="H1485" s="444"/>
      <c r="I1485" s="444"/>
      <c r="J1485" s="444"/>
      <c r="K1485" s="444"/>
      <c r="L1485" s="444"/>
      <c r="M1485" s="1260" t="s">
        <v>24680</v>
      </c>
      <c r="N1485" s="403">
        <f>SUM(N1483:N1484)</f>
        <v>436.19</v>
      </c>
    </row>
    <row r="1486" spans="2:14" ht="15.75" thickBot="1" x14ac:dyDescent="0.3">
      <c r="B1486" s="456"/>
      <c r="C1486" s="457"/>
      <c r="D1486" s="457"/>
      <c r="E1486" s="457"/>
      <c r="F1486" s="457"/>
      <c r="G1486" s="457"/>
      <c r="H1486" s="457"/>
      <c r="I1486" s="457"/>
      <c r="J1486" s="457"/>
      <c r="K1486" s="457"/>
      <c r="L1486" s="457"/>
      <c r="M1486" s="457"/>
      <c r="N1486" s="404"/>
    </row>
    <row r="1487" spans="2:14" ht="45" x14ac:dyDescent="0.25">
      <c r="B1487" s="392" t="s">
        <v>0</v>
      </c>
      <c r="C1487" s="393" t="s">
        <v>24673</v>
      </c>
      <c r="D1487" s="1465" t="s">
        <v>24681</v>
      </c>
      <c r="E1487" s="1465"/>
      <c r="F1487" s="1465"/>
      <c r="G1487" s="1465"/>
      <c r="H1487" s="1466"/>
      <c r="I1487" s="441" t="s">
        <v>3686</v>
      </c>
      <c r="J1487" s="441" t="s">
        <v>24682</v>
      </c>
      <c r="K1487" s="441" t="s">
        <v>24861</v>
      </c>
      <c r="L1487" s="441" t="s">
        <v>24862</v>
      </c>
      <c r="M1487" s="441" t="s">
        <v>24683</v>
      </c>
      <c r="N1487" s="395" t="s">
        <v>24679</v>
      </c>
    </row>
    <row r="1488" spans="2:14" ht="15" x14ac:dyDescent="0.25">
      <c r="B1488" s="446">
        <v>10101</v>
      </c>
      <c r="C1488" s="1259" t="s">
        <v>4389</v>
      </c>
      <c r="D1488" s="1463" t="s">
        <v>24788</v>
      </c>
      <c r="E1488" s="1463"/>
      <c r="F1488" s="1463"/>
      <c r="G1488" s="1463"/>
      <c r="H1488" s="1464"/>
      <c r="I1488" s="442" t="s">
        <v>75</v>
      </c>
      <c r="J1488" s="406">
        <v>1.5727</v>
      </c>
      <c r="K1488" s="427">
        <v>6.27</v>
      </c>
      <c r="L1488" s="427">
        <f>K1488*(1+J1488)</f>
        <v>16.13</v>
      </c>
      <c r="M1488" s="447">
        <v>1.8</v>
      </c>
      <c r="N1488" s="443">
        <f>L1488*M1488</f>
        <v>29.03</v>
      </c>
    </row>
    <row r="1489" spans="2:14" ht="15" x14ac:dyDescent="0.25">
      <c r="B1489" s="446">
        <v>10146</v>
      </c>
      <c r="C1489" s="1259" t="s">
        <v>4389</v>
      </c>
      <c r="D1489" s="1463" t="s">
        <v>24710</v>
      </c>
      <c r="E1489" s="1463"/>
      <c r="F1489" s="1463"/>
      <c r="G1489" s="1463"/>
      <c r="H1489" s="1464"/>
      <c r="I1489" s="442" t="s">
        <v>75</v>
      </c>
      <c r="J1489" s="406">
        <v>1.5727</v>
      </c>
      <c r="K1489" s="427">
        <v>5.46</v>
      </c>
      <c r="L1489" s="427">
        <f>K1489*(1+J1489)</f>
        <v>14.05</v>
      </c>
      <c r="M1489" s="447">
        <v>1.8</v>
      </c>
      <c r="N1489" s="443">
        <f>L1489*M1489</f>
        <v>25.29</v>
      </c>
    </row>
    <row r="1490" spans="2:14" ht="15.75" thickBot="1" x14ac:dyDescent="0.3">
      <c r="B1490" s="400"/>
      <c r="C1490" s="401"/>
      <c r="D1490" s="401"/>
      <c r="E1490" s="401"/>
      <c r="F1490" s="444"/>
      <c r="G1490" s="444"/>
      <c r="H1490" s="444"/>
      <c r="I1490" s="444"/>
      <c r="J1490" s="444"/>
      <c r="K1490" s="444"/>
      <c r="L1490" s="444"/>
      <c r="M1490" s="1260" t="s">
        <v>24684</v>
      </c>
      <c r="N1490" s="403">
        <f>SUM(N1488:N1489)</f>
        <v>54.32</v>
      </c>
    </row>
    <row r="1491" spans="2:14" ht="15.75" thickBot="1" x14ac:dyDescent="0.3">
      <c r="B1491" s="456"/>
      <c r="C1491" s="457"/>
      <c r="D1491" s="457"/>
      <c r="E1491" s="457"/>
      <c r="F1491" s="457"/>
      <c r="G1491" s="457"/>
      <c r="H1491" s="457"/>
      <c r="I1491" s="448"/>
      <c r="J1491" s="448"/>
      <c r="K1491" s="457"/>
      <c r="L1491" s="457"/>
      <c r="M1491" s="457"/>
      <c r="N1491" s="404"/>
    </row>
    <row r="1492" spans="2:14" ht="30" x14ac:dyDescent="0.25">
      <c r="B1492" s="392" t="s">
        <v>0</v>
      </c>
      <c r="C1492" s="393" t="s">
        <v>24673</v>
      </c>
      <c r="D1492" s="1465" t="s">
        <v>24685</v>
      </c>
      <c r="E1492" s="1465"/>
      <c r="F1492" s="1465"/>
      <c r="G1492" s="1465"/>
      <c r="H1492" s="1466"/>
      <c r="I1492" s="441" t="s">
        <v>2858</v>
      </c>
      <c r="J1492" s="441" t="s">
        <v>24686</v>
      </c>
      <c r="K1492" s="441" t="s">
        <v>24687</v>
      </c>
      <c r="L1492" s="441"/>
      <c r="M1492" s="441" t="s">
        <v>24688</v>
      </c>
      <c r="N1492" s="395" t="s">
        <v>24689</v>
      </c>
    </row>
    <row r="1493" spans="2:14" ht="15" x14ac:dyDescent="0.25">
      <c r="B1493" s="446"/>
      <c r="C1493" s="1259"/>
      <c r="D1493" s="1463"/>
      <c r="E1493" s="1463"/>
      <c r="F1493" s="1463"/>
      <c r="G1493" s="1463"/>
      <c r="H1493" s="1464"/>
      <c r="I1493" s="442"/>
      <c r="J1493" s="442"/>
      <c r="K1493" s="442"/>
      <c r="L1493" s="442"/>
      <c r="M1493" s="442"/>
      <c r="N1493" s="443"/>
    </row>
    <row r="1494" spans="2:14" ht="15" x14ac:dyDescent="0.25">
      <c r="B1494" s="456"/>
      <c r="C1494" s="457"/>
      <c r="D1494" s="457"/>
      <c r="E1494" s="457"/>
      <c r="F1494" s="448"/>
      <c r="G1494" s="448"/>
      <c r="H1494" s="448"/>
      <c r="I1494" s="448"/>
      <c r="J1494" s="448"/>
      <c r="K1494" s="448"/>
      <c r="L1494" s="448"/>
      <c r="M1494" s="409" t="s">
        <v>24690</v>
      </c>
      <c r="N1494" s="410">
        <f>SUM(N1493:N1493)</f>
        <v>0</v>
      </c>
    </row>
    <row r="1495" spans="2:14" ht="15" x14ac:dyDescent="0.25">
      <c r="B1495" s="456"/>
      <c r="C1495" s="457"/>
      <c r="D1495" s="457"/>
      <c r="E1495" s="457"/>
      <c r="F1495" s="457"/>
      <c r="G1495" s="457"/>
      <c r="H1495" s="457"/>
      <c r="I1495" s="457"/>
      <c r="J1495" s="457"/>
      <c r="K1495" s="457"/>
      <c r="L1495" s="457"/>
      <c r="M1495" s="457"/>
      <c r="N1495" s="404"/>
    </row>
    <row r="1496" spans="2:14" ht="15" x14ac:dyDescent="0.25">
      <c r="B1496" s="456"/>
      <c r="C1496" s="457"/>
      <c r="D1496" s="457"/>
      <c r="E1496" s="457"/>
      <c r="F1496" s="448"/>
      <c r="G1496" s="448"/>
      <c r="H1496" s="448"/>
      <c r="I1496" s="449"/>
      <c r="J1496" s="449"/>
      <c r="K1496" s="449"/>
      <c r="L1496" s="449"/>
      <c r="M1496" s="409" t="s">
        <v>24691</v>
      </c>
      <c r="N1496" s="412">
        <f>N1485+N1490+N1494</f>
        <v>490.51</v>
      </c>
    </row>
    <row r="1497" spans="2:14" ht="15" x14ac:dyDescent="0.25">
      <c r="B1497" s="456"/>
      <c r="C1497" s="457"/>
      <c r="D1497" s="457"/>
      <c r="E1497" s="457"/>
      <c r="F1497" s="448"/>
      <c r="G1497" s="448"/>
      <c r="H1497" s="448"/>
      <c r="I1497" s="448"/>
      <c r="J1497" s="450"/>
      <c r="K1497" s="450"/>
      <c r="L1497" s="450"/>
      <c r="M1497" s="414" t="s">
        <v>24692</v>
      </c>
      <c r="N1497" s="412">
        <v>1</v>
      </c>
    </row>
    <row r="1498" spans="2:14" ht="15.75" thickBot="1" x14ac:dyDescent="0.3">
      <c r="B1498" s="400"/>
      <c r="C1498" s="401"/>
      <c r="D1498" s="401"/>
      <c r="E1498" s="401"/>
      <c r="F1498" s="444"/>
      <c r="G1498" s="444"/>
      <c r="H1498" s="444"/>
      <c r="I1498" s="444"/>
      <c r="J1498" s="444"/>
      <c r="K1498" s="444"/>
      <c r="L1498" s="444"/>
      <c r="M1498" s="1260" t="s">
        <v>24693</v>
      </c>
      <c r="N1498" s="415">
        <f>TRUNC(N1496/N1497,2)</f>
        <v>490.51</v>
      </c>
    </row>
    <row r="1499" spans="2:14" ht="15.75" thickBot="1" x14ac:dyDescent="0.3">
      <c r="B1499" s="456"/>
      <c r="C1499" s="457"/>
      <c r="D1499" s="457"/>
      <c r="E1499" s="457"/>
      <c r="F1499" s="457"/>
      <c r="G1499" s="457"/>
      <c r="H1499" s="457"/>
      <c r="I1499" s="457"/>
      <c r="J1499" s="457"/>
      <c r="K1499" s="457"/>
      <c r="L1499" s="457"/>
      <c r="M1499" s="457"/>
      <c r="N1499" s="404"/>
    </row>
    <row r="1500" spans="2:14" ht="30" x14ac:dyDescent="0.25">
      <c r="B1500" s="392" t="s">
        <v>0</v>
      </c>
      <c r="C1500" s="393" t="s">
        <v>24673</v>
      </c>
      <c r="D1500" s="1465" t="s">
        <v>24694</v>
      </c>
      <c r="E1500" s="1465"/>
      <c r="F1500" s="1465"/>
      <c r="G1500" s="1465"/>
      <c r="H1500" s="1465"/>
      <c r="I1500" s="1466"/>
      <c r="J1500" s="441" t="s">
        <v>3686</v>
      </c>
      <c r="K1500" s="441" t="s">
        <v>24695</v>
      </c>
      <c r="L1500" s="1467" t="s">
        <v>24683</v>
      </c>
      <c r="M1500" s="1468"/>
      <c r="N1500" s="395" t="s">
        <v>24689</v>
      </c>
    </row>
    <row r="1501" spans="2:14" ht="15" x14ac:dyDescent="0.25">
      <c r="B1501" s="446"/>
      <c r="C1501" s="1259"/>
      <c r="D1501" s="1463"/>
      <c r="E1501" s="1463"/>
      <c r="F1501" s="1463"/>
      <c r="G1501" s="1463"/>
      <c r="H1501" s="1463"/>
      <c r="I1501" s="1464"/>
      <c r="J1501" s="442"/>
      <c r="K1501" s="427"/>
      <c r="L1501" s="1475"/>
      <c r="M1501" s="1476"/>
      <c r="N1501" s="443"/>
    </row>
    <row r="1502" spans="2:14" ht="15" x14ac:dyDescent="0.25">
      <c r="B1502" s="446"/>
      <c r="C1502" s="1259"/>
      <c r="D1502" s="1463"/>
      <c r="E1502" s="1463"/>
      <c r="F1502" s="1463"/>
      <c r="G1502" s="1463"/>
      <c r="H1502" s="1463"/>
      <c r="I1502" s="1464"/>
      <c r="J1502" s="442"/>
      <c r="K1502" s="442"/>
      <c r="L1502" s="442"/>
      <c r="M1502" s="447"/>
      <c r="N1502" s="443"/>
    </row>
    <row r="1503" spans="2:14" ht="15.75" thickBot="1" x14ac:dyDescent="0.3">
      <c r="B1503" s="400"/>
      <c r="C1503" s="401"/>
      <c r="D1503" s="401"/>
      <c r="E1503" s="401"/>
      <c r="F1503" s="444"/>
      <c r="G1503" s="444"/>
      <c r="H1503" s="444"/>
      <c r="I1503" s="444"/>
      <c r="J1503" s="444"/>
      <c r="K1503" s="444"/>
      <c r="L1503" s="444"/>
      <c r="M1503" s="1260" t="s">
        <v>24696</v>
      </c>
      <c r="N1503" s="403">
        <f>SUM(N1501:N1501)</f>
        <v>0</v>
      </c>
    </row>
    <row r="1504" spans="2:14" ht="15.75" thickBot="1" x14ac:dyDescent="0.3">
      <c r="B1504" s="456"/>
      <c r="C1504" s="457"/>
      <c r="D1504" s="457"/>
      <c r="E1504" s="457"/>
      <c r="F1504" s="457"/>
      <c r="G1504" s="457"/>
      <c r="H1504" s="457"/>
      <c r="I1504" s="457"/>
      <c r="J1504" s="457"/>
      <c r="K1504" s="457"/>
      <c r="L1504" s="457"/>
      <c r="M1504" s="457"/>
      <c r="N1504" s="404"/>
    </row>
    <row r="1505" spans="2:14" ht="15" x14ac:dyDescent="0.25">
      <c r="B1505" s="392" t="s">
        <v>0</v>
      </c>
      <c r="C1505" s="441" t="s">
        <v>24673</v>
      </c>
      <c r="D1505" s="1465" t="s">
        <v>24697</v>
      </c>
      <c r="E1505" s="1465"/>
      <c r="F1505" s="1465"/>
      <c r="G1505" s="1465"/>
      <c r="H1505" s="1465"/>
      <c r="I1505" s="1466"/>
      <c r="J1505" s="441" t="s">
        <v>3686</v>
      </c>
      <c r="K1505" s="1467" t="s">
        <v>24695</v>
      </c>
      <c r="L1505" s="1468"/>
      <c r="M1505" s="441" t="s">
        <v>24683</v>
      </c>
      <c r="N1505" s="395" t="s">
        <v>24689</v>
      </c>
    </row>
    <row r="1506" spans="2:14" ht="15" x14ac:dyDescent="0.25">
      <c r="B1506" s="416">
        <v>100952</v>
      </c>
      <c r="C1506" s="417" t="s">
        <v>24706</v>
      </c>
      <c r="D1506" s="1463" t="s">
        <v>25747</v>
      </c>
      <c r="E1506" s="1463"/>
      <c r="F1506" s="1463"/>
      <c r="G1506" s="1463"/>
      <c r="H1506" s="1463"/>
      <c r="I1506" s="1464"/>
      <c r="J1506" s="419">
        <v>1</v>
      </c>
      <c r="K1506" s="1477">
        <v>2.15</v>
      </c>
      <c r="L1506" s="1478"/>
      <c r="M1506" s="419">
        <f>0.9*30</f>
        <v>27</v>
      </c>
      <c r="N1506" s="420">
        <f>M1506*K1506</f>
        <v>58.05</v>
      </c>
    </row>
    <row r="1507" spans="2:14" ht="15" x14ac:dyDescent="0.25">
      <c r="B1507" s="416"/>
      <c r="C1507" s="417"/>
      <c r="D1507" s="1463"/>
      <c r="E1507" s="1463"/>
      <c r="F1507" s="1463"/>
      <c r="G1507" s="1463"/>
      <c r="H1507" s="1463"/>
      <c r="I1507" s="1464"/>
      <c r="J1507" s="451"/>
      <c r="K1507" s="451"/>
      <c r="L1507" s="451"/>
      <c r="M1507" s="419"/>
      <c r="N1507" s="420"/>
    </row>
    <row r="1508" spans="2:14" ht="15.75" thickBot="1" x14ac:dyDescent="0.3">
      <c r="B1508" s="400"/>
      <c r="C1508" s="401"/>
      <c r="D1508" s="401"/>
      <c r="E1508" s="401"/>
      <c r="F1508" s="444"/>
      <c r="G1508" s="444"/>
      <c r="H1508" s="444"/>
      <c r="I1508" s="444"/>
      <c r="J1508" s="444"/>
      <c r="K1508" s="444"/>
      <c r="L1508" s="444"/>
      <c r="M1508" s="1260" t="s">
        <v>24698</v>
      </c>
      <c r="N1508" s="403">
        <f>SUM(N1506:N1507)</f>
        <v>58.05</v>
      </c>
    </row>
    <row r="1509" spans="2:14" ht="15.75" thickBot="1" x14ac:dyDescent="0.3">
      <c r="B1509" s="456"/>
      <c r="C1509" s="457"/>
      <c r="D1509" s="457"/>
      <c r="E1509" s="457"/>
      <c r="F1509" s="457"/>
      <c r="G1509" s="457"/>
      <c r="H1509" s="457"/>
      <c r="I1509" s="457"/>
      <c r="J1509" s="457"/>
      <c r="K1509" s="457"/>
      <c r="L1509" s="457"/>
      <c r="M1509" s="457"/>
      <c r="N1509" s="404"/>
    </row>
    <row r="1510" spans="2:14" ht="30" x14ac:dyDescent="0.25">
      <c r="B1510" s="392" t="s">
        <v>0</v>
      </c>
      <c r="C1510" s="441" t="s">
        <v>24673</v>
      </c>
      <c r="D1510" s="1465" t="s">
        <v>24699</v>
      </c>
      <c r="E1510" s="1465"/>
      <c r="F1510" s="1465"/>
      <c r="G1510" s="1466"/>
      <c r="H1510" s="441" t="s">
        <v>3686</v>
      </c>
      <c r="I1510" s="441" t="s">
        <v>24700</v>
      </c>
      <c r="J1510" s="441" t="s">
        <v>24701</v>
      </c>
      <c r="K1510" s="441" t="s">
        <v>24695</v>
      </c>
      <c r="L1510" s="441"/>
      <c r="M1510" s="441" t="s">
        <v>24683</v>
      </c>
      <c r="N1510" s="395" t="s">
        <v>24689</v>
      </c>
    </row>
    <row r="1511" spans="2:14" ht="15" x14ac:dyDescent="0.25">
      <c r="B1511" s="446"/>
      <c r="C1511" s="1259"/>
      <c r="D1511" s="1494"/>
      <c r="E1511" s="1494"/>
      <c r="F1511" s="1494"/>
      <c r="G1511" s="1494"/>
      <c r="H1511" s="442"/>
      <c r="I1511" s="442"/>
      <c r="J1511" s="442"/>
      <c r="K1511" s="442"/>
      <c r="L1511" s="442"/>
      <c r="M1511" s="447"/>
      <c r="N1511" s="443"/>
    </row>
    <row r="1512" spans="2:14" ht="15" x14ac:dyDescent="0.25">
      <c r="B1512" s="456"/>
      <c r="C1512" s="457"/>
      <c r="D1512" s="457"/>
      <c r="E1512" s="457"/>
      <c r="F1512" s="448"/>
      <c r="G1512" s="448"/>
      <c r="H1512" s="448"/>
      <c r="I1512" s="448"/>
      <c r="J1512" s="448"/>
      <c r="K1512" s="448"/>
      <c r="L1512" s="448"/>
      <c r="M1512" s="409" t="s">
        <v>24702</v>
      </c>
      <c r="N1512" s="410">
        <f>SUM(N1511:N1511)</f>
        <v>0</v>
      </c>
    </row>
    <row r="1513" spans="2:14" ht="15" x14ac:dyDescent="0.25">
      <c r="B1513" s="456"/>
      <c r="C1513" s="457"/>
      <c r="D1513" s="457"/>
      <c r="E1513" s="457"/>
      <c r="F1513" s="457"/>
      <c r="G1513" s="457"/>
      <c r="H1513" s="457"/>
      <c r="I1513" s="457"/>
      <c r="J1513" s="457"/>
      <c r="K1513" s="457"/>
      <c r="L1513" s="457"/>
      <c r="M1513" s="457"/>
      <c r="N1513" s="404"/>
    </row>
    <row r="1514" spans="2:14" ht="15" x14ac:dyDescent="0.25">
      <c r="B1514" s="421"/>
      <c r="C1514" s="422"/>
      <c r="D1514" s="422"/>
      <c r="E1514" s="422"/>
      <c r="F1514" s="452"/>
      <c r="G1514" s="452"/>
      <c r="H1514" s="452"/>
      <c r="I1514" s="452"/>
      <c r="J1514" s="452"/>
      <c r="K1514" s="452"/>
      <c r="L1514" s="452"/>
      <c r="M1514" s="424" t="s">
        <v>24703</v>
      </c>
      <c r="N1514" s="412">
        <f>N1498+N1503+N1508+N1512</f>
        <v>548.55999999999995</v>
      </c>
    </row>
    <row r="1515" spans="2:14" ht="15" x14ac:dyDescent="0.25">
      <c r="B1515" s="456"/>
      <c r="C1515" s="457"/>
      <c r="D1515" s="457"/>
      <c r="E1515" s="457"/>
      <c r="F1515" s="448"/>
      <c r="G1515" s="448"/>
      <c r="H1515" s="448"/>
      <c r="I1515" s="448"/>
      <c r="J1515" s="448"/>
      <c r="K1515" s="448"/>
      <c r="L1515" s="448"/>
      <c r="M1515" s="752">
        <f>'Planilha - Orla'!I3</f>
        <v>0.28220000000000001</v>
      </c>
      <c r="N1515" s="412">
        <f>N1514*M1515</f>
        <v>154.80000000000001</v>
      </c>
    </row>
    <row r="1516" spans="2:14" ht="15.75" thickBot="1" x14ac:dyDescent="0.3">
      <c r="B1516" s="1472" t="s">
        <v>24704</v>
      </c>
      <c r="C1516" s="1473"/>
      <c r="D1516" s="1473"/>
      <c r="E1516" s="1473"/>
      <c r="F1516" s="1473"/>
      <c r="G1516" s="1473"/>
      <c r="H1516" s="1473"/>
      <c r="I1516" s="1473"/>
      <c r="J1516" s="1473"/>
      <c r="K1516" s="1473"/>
      <c r="L1516" s="1473"/>
      <c r="M1516" s="1474"/>
      <c r="N1516" s="415">
        <f>N1514+N1515</f>
        <v>703.36</v>
      </c>
    </row>
    <row r="1517" spans="2:14" ht="15" x14ac:dyDescent="0.25">
      <c r="B1517" s="391"/>
      <c r="C1517" s="809"/>
      <c r="D1517" s="809"/>
      <c r="E1517" s="809"/>
      <c r="F1517" s="809"/>
      <c r="G1517" s="809"/>
      <c r="H1517" s="809"/>
      <c r="I1517" s="809"/>
      <c r="J1517" s="809"/>
      <c r="K1517" s="809"/>
      <c r="L1517" s="809"/>
      <c r="M1517" s="809"/>
      <c r="N1517" s="811"/>
    </row>
    <row r="1518" spans="2:14" ht="15.75" thickBot="1" x14ac:dyDescent="0.3">
      <c r="B1518" s="391"/>
      <c r="C1518" s="809"/>
      <c r="D1518" s="809"/>
      <c r="E1518" s="809"/>
      <c r="F1518" s="809"/>
      <c r="G1518" s="809"/>
      <c r="H1518" s="809"/>
      <c r="I1518" s="809"/>
      <c r="J1518" s="809"/>
      <c r="K1518" s="809"/>
      <c r="L1518" s="809"/>
      <c r="M1518" s="809"/>
      <c r="N1518" s="811"/>
    </row>
    <row r="1519" spans="2:14" ht="43.5" customHeight="1" x14ac:dyDescent="0.25">
      <c r="B1519" s="1479" t="s">
        <v>25242</v>
      </c>
      <c r="C1519" s="1480"/>
      <c r="D1519" s="1481"/>
      <c r="E1519" s="1482" t="s">
        <v>24669</v>
      </c>
      <c r="F1519" s="1482"/>
      <c r="G1519" s="1482"/>
      <c r="H1519" s="1482"/>
      <c r="I1519" s="1482"/>
      <c r="J1519" s="1482"/>
      <c r="K1519" s="1482"/>
      <c r="L1519" s="1274"/>
      <c r="M1519" s="1483"/>
      <c r="N1519" s="1484"/>
    </row>
    <row r="1520" spans="2:14" ht="15" x14ac:dyDescent="0.25">
      <c r="B1520" s="391" t="s">
        <v>24670</v>
      </c>
      <c r="C1520" s="1485" t="s">
        <v>3531</v>
      </c>
      <c r="D1520" s="1485"/>
      <c r="E1520" s="1485"/>
      <c r="F1520" s="1485"/>
      <c r="G1520" s="1485"/>
      <c r="H1520" s="1485"/>
      <c r="I1520" s="1485"/>
      <c r="J1520" s="1485"/>
      <c r="K1520" s="1485"/>
      <c r="L1520" s="1485"/>
      <c r="M1520" s="1485"/>
      <c r="N1520" s="1486"/>
    </row>
    <row r="1521" spans="2:14" ht="15" x14ac:dyDescent="0.25">
      <c r="B1521" s="391" t="s">
        <v>24671</v>
      </c>
      <c r="C1521" s="1487" t="s">
        <v>6</v>
      </c>
      <c r="D1521" s="1487"/>
      <c r="E1521" s="1487"/>
      <c r="F1521" s="1487"/>
      <c r="G1521" s="1487"/>
      <c r="H1521" s="1487"/>
      <c r="I1521" s="1487"/>
      <c r="J1521" s="1487"/>
      <c r="K1521" s="1487"/>
      <c r="L1521" s="1487"/>
      <c r="M1521" s="1487"/>
      <c r="N1521" s="1488"/>
    </row>
    <row r="1522" spans="2:14" ht="15.75" thickBot="1" x14ac:dyDescent="0.3">
      <c r="B1522" s="391" t="s">
        <v>24672</v>
      </c>
      <c r="C1522" s="1489">
        <v>44501</v>
      </c>
      <c r="D1522" s="1490"/>
      <c r="E1522" s="1490"/>
      <c r="F1522" s="1490"/>
      <c r="G1522" s="1490"/>
      <c r="H1522" s="1490"/>
      <c r="I1522" s="1490"/>
      <c r="J1522" s="1490"/>
      <c r="K1522" s="1490"/>
      <c r="L1522" s="1490"/>
      <c r="M1522" s="1490"/>
      <c r="N1522" s="1491"/>
    </row>
    <row r="1523" spans="2:14" ht="30" x14ac:dyDescent="0.25">
      <c r="B1523" s="392" t="s">
        <v>0</v>
      </c>
      <c r="C1523" s="393" t="s">
        <v>24673</v>
      </c>
      <c r="D1523" s="1465" t="s">
        <v>24674</v>
      </c>
      <c r="E1523" s="1465"/>
      <c r="F1523" s="1465"/>
      <c r="G1523" s="1466"/>
      <c r="H1523" s="441" t="s">
        <v>111</v>
      </c>
      <c r="I1523" s="441" t="s">
        <v>24675</v>
      </c>
      <c r="J1523" s="441" t="s">
        <v>24676</v>
      </c>
      <c r="K1523" s="1467" t="s">
        <v>24677</v>
      </c>
      <c r="L1523" s="1468"/>
      <c r="M1523" s="441" t="s">
        <v>24678</v>
      </c>
      <c r="N1523" s="395" t="s">
        <v>24679</v>
      </c>
    </row>
    <row r="1524" spans="2:14" ht="31.5" customHeight="1" x14ac:dyDescent="0.25">
      <c r="B1524" s="446">
        <v>30022</v>
      </c>
      <c r="C1524" s="1272" t="s">
        <v>4389</v>
      </c>
      <c r="D1524" s="1463" t="s">
        <v>25767</v>
      </c>
      <c r="E1524" s="1463"/>
      <c r="F1524" s="1463"/>
      <c r="G1524" s="1464"/>
      <c r="H1524" s="442"/>
      <c r="I1524" s="442">
        <v>1</v>
      </c>
      <c r="J1524" s="442"/>
      <c r="K1524" s="1470">
        <v>287.57</v>
      </c>
      <c r="L1524" s="1471"/>
      <c r="M1524" s="1280"/>
      <c r="N1524" s="443">
        <f>I1524*K1524</f>
        <v>287.57</v>
      </c>
    </row>
    <row r="1525" spans="2:14" ht="15" x14ac:dyDescent="0.25">
      <c r="B1525" s="446">
        <v>30035</v>
      </c>
      <c r="C1525" s="1272" t="s">
        <v>4389</v>
      </c>
      <c r="D1525" s="1463" t="s">
        <v>25768</v>
      </c>
      <c r="E1525" s="1463"/>
      <c r="F1525" s="1463"/>
      <c r="G1525" s="1464"/>
      <c r="H1525" s="442"/>
      <c r="I1525" s="442">
        <v>0.5</v>
      </c>
      <c r="J1525" s="442"/>
      <c r="K1525" s="1470">
        <v>124.11</v>
      </c>
      <c r="L1525" s="1471"/>
      <c r="M1525" s="1280"/>
      <c r="N1525" s="443">
        <f>I1525*K1525</f>
        <v>62.06</v>
      </c>
    </row>
    <row r="1526" spans="2:14" ht="15" customHeight="1" x14ac:dyDescent="0.25">
      <c r="B1526" s="446">
        <v>30035</v>
      </c>
      <c r="C1526" s="1272" t="s">
        <v>4389</v>
      </c>
      <c r="D1526" s="1463" t="s">
        <v>25768</v>
      </c>
      <c r="E1526" s="1463"/>
      <c r="F1526" s="1463"/>
      <c r="G1526" s="1464"/>
      <c r="H1526" s="442"/>
      <c r="I1526" s="442"/>
      <c r="J1526" s="442">
        <v>0.5</v>
      </c>
      <c r="K1526" s="1470"/>
      <c r="L1526" s="1471"/>
      <c r="M1526" s="1280">
        <v>62.27</v>
      </c>
      <c r="N1526" s="443">
        <f>J1526*M1526</f>
        <v>31.14</v>
      </c>
    </row>
    <row r="1527" spans="2:14" ht="15.75" thickBot="1" x14ac:dyDescent="0.3">
      <c r="B1527" s="400"/>
      <c r="C1527" s="401"/>
      <c r="D1527" s="401"/>
      <c r="E1527" s="401"/>
      <c r="F1527" s="444"/>
      <c r="G1527" s="444"/>
      <c r="H1527" s="444"/>
      <c r="I1527" s="444"/>
      <c r="J1527" s="444"/>
      <c r="K1527" s="444"/>
      <c r="L1527" s="444"/>
      <c r="M1527" s="1273" t="s">
        <v>24680</v>
      </c>
      <c r="N1527" s="403">
        <f>SUM(N1524:N1526)</f>
        <v>380.77</v>
      </c>
    </row>
    <row r="1528" spans="2:14" ht="15.75" thickBot="1" x14ac:dyDescent="0.3">
      <c r="B1528" s="456"/>
      <c r="C1528" s="457"/>
      <c r="D1528" s="457"/>
      <c r="E1528" s="457"/>
      <c r="F1528" s="457"/>
      <c r="G1528" s="457"/>
      <c r="H1528" s="457"/>
      <c r="I1528" s="457"/>
      <c r="J1528" s="457"/>
      <c r="K1528" s="457"/>
      <c r="L1528" s="457"/>
      <c r="M1528" s="457"/>
      <c r="N1528" s="404"/>
    </row>
    <row r="1529" spans="2:14" ht="45" x14ac:dyDescent="0.25">
      <c r="B1529" s="392" t="s">
        <v>0</v>
      </c>
      <c r="C1529" s="393" t="s">
        <v>24673</v>
      </c>
      <c r="D1529" s="1465" t="s">
        <v>24681</v>
      </c>
      <c r="E1529" s="1465"/>
      <c r="F1529" s="1465"/>
      <c r="G1529" s="1465"/>
      <c r="H1529" s="1466"/>
      <c r="I1529" s="441" t="s">
        <v>3686</v>
      </c>
      <c r="J1529" s="441" t="s">
        <v>24682</v>
      </c>
      <c r="K1529" s="441" t="s">
        <v>24861</v>
      </c>
      <c r="L1529" s="441" t="s">
        <v>24862</v>
      </c>
      <c r="M1529" s="441" t="s">
        <v>24683</v>
      </c>
      <c r="N1529" s="395" t="s">
        <v>24679</v>
      </c>
    </row>
    <row r="1530" spans="2:14" ht="15" x14ac:dyDescent="0.25">
      <c r="B1530" s="446">
        <v>20067</v>
      </c>
      <c r="C1530" s="1272" t="s">
        <v>4389</v>
      </c>
      <c r="D1530" s="1463" t="s">
        <v>25769</v>
      </c>
      <c r="E1530" s="1463"/>
      <c r="F1530" s="1463"/>
      <c r="G1530" s="1463"/>
      <c r="H1530" s="1464"/>
      <c r="I1530" s="442" t="s">
        <v>75</v>
      </c>
      <c r="J1530" s="406">
        <v>1.5727</v>
      </c>
      <c r="K1530" s="427">
        <v>11.75</v>
      </c>
      <c r="L1530" s="427">
        <f>K1530*(1+J1530)</f>
        <v>30.23</v>
      </c>
      <c r="M1530" s="447">
        <v>0.5</v>
      </c>
      <c r="N1530" s="443">
        <f>L1530*M1530</f>
        <v>15.12</v>
      </c>
    </row>
    <row r="1531" spans="2:14" ht="15" x14ac:dyDescent="0.25">
      <c r="B1531" s="446">
        <v>20002</v>
      </c>
      <c r="C1531" s="1272" t="s">
        <v>4389</v>
      </c>
      <c r="D1531" s="1463" t="s">
        <v>25763</v>
      </c>
      <c r="E1531" s="1463"/>
      <c r="F1531" s="1463"/>
      <c r="G1531" s="1463"/>
      <c r="H1531" s="1464"/>
      <c r="I1531" s="442" t="s">
        <v>75</v>
      </c>
      <c r="J1531" s="406">
        <v>1.5727</v>
      </c>
      <c r="K1531" s="427">
        <v>5</v>
      </c>
      <c r="L1531" s="427">
        <f>K1531*(1+J1531)</f>
        <v>12.86</v>
      </c>
      <c r="M1531" s="447">
        <v>3</v>
      </c>
      <c r="N1531" s="443">
        <f>L1531*M1531</f>
        <v>38.58</v>
      </c>
    </row>
    <row r="1532" spans="2:14" ht="15.75" thickBot="1" x14ac:dyDescent="0.3">
      <c r="B1532" s="400"/>
      <c r="C1532" s="401"/>
      <c r="D1532" s="401"/>
      <c r="E1532" s="401"/>
      <c r="F1532" s="444"/>
      <c r="G1532" s="444"/>
      <c r="H1532" s="444"/>
      <c r="I1532" s="444"/>
      <c r="J1532" s="444"/>
      <c r="K1532" s="444"/>
      <c r="L1532" s="444"/>
      <c r="M1532" s="1273" t="s">
        <v>24684</v>
      </c>
      <c r="N1532" s="403">
        <f>SUM(N1530:N1531)</f>
        <v>53.7</v>
      </c>
    </row>
    <row r="1533" spans="2:14" ht="15.75" thickBot="1" x14ac:dyDescent="0.3">
      <c r="B1533" s="456"/>
      <c r="C1533" s="457"/>
      <c r="D1533" s="457"/>
      <c r="E1533" s="457"/>
      <c r="F1533" s="457"/>
      <c r="G1533" s="457"/>
      <c r="H1533" s="457"/>
      <c r="I1533" s="448"/>
      <c r="J1533" s="448"/>
      <c r="K1533" s="457"/>
      <c r="L1533" s="457"/>
      <c r="M1533" s="457"/>
      <c r="N1533" s="404"/>
    </row>
    <row r="1534" spans="2:14" ht="30" x14ac:dyDescent="0.25">
      <c r="B1534" s="392" t="s">
        <v>0</v>
      </c>
      <c r="C1534" s="393" t="s">
        <v>24673</v>
      </c>
      <c r="D1534" s="1465" t="s">
        <v>24685</v>
      </c>
      <c r="E1534" s="1465"/>
      <c r="F1534" s="1465"/>
      <c r="G1534" s="1465"/>
      <c r="H1534" s="1466"/>
      <c r="I1534" s="441" t="s">
        <v>2858</v>
      </c>
      <c r="J1534" s="441" t="s">
        <v>24686</v>
      </c>
      <c r="K1534" s="1467" t="s">
        <v>24687</v>
      </c>
      <c r="L1534" s="1468"/>
      <c r="M1534" s="441" t="s">
        <v>24688</v>
      </c>
      <c r="N1534" s="395" t="s">
        <v>24689</v>
      </c>
    </row>
    <row r="1535" spans="2:14" ht="15" x14ac:dyDescent="0.25">
      <c r="B1535" s="446">
        <v>2000</v>
      </c>
      <c r="C1535" s="1272" t="s">
        <v>4389</v>
      </c>
      <c r="D1535" s="1463" t="s">
        <v>25770</v>
      </c>
      <c r="E1535" s="1463"/>
      <c r="F1535" s="1463"/>
      <c r="G1535" s="1463"/>
      <c r="H1535" s="1464"/>
      <c r="I1535" s="442">
        <v>5</v>
      </c>
      <c r="J1535" s="442" t="s">
        <v>25182</v>
      </c>
      <c r="K1535" s="1461"/>
      <c r="L1535" s="1462"/>
      <c r="M1535" s="442"/>
      <c r="N1535" s="443">
        <f>(N1532)*(5/100)</f>
        <v>2.69</v>
      </c>
    </row>
    <row r="1536" spans="2:14" ht="15" x14ac:dyDescent="0.25">
      <c r="B1536" s="456"/>
      <c r="C1536" s="457"/>
      <c r="D1536" s="457"/>
      <c r="E1536" s="457"/>
      <c r="F1536" s="448"/>
      <c r="G1536" s="448"/>
      <c r="H1536" s="448"/>
      <c r="I1536" s="448"/>
      <c r="J1536" s="448"/>
      <c r="K1536" s="448"/>
      <c r="L1536" s="448"/>
      <c r="M1536" s="409" t="s">
        <v>24690</v>
      </c>
      <c r="N1536" s="410">
        <f>SUM(N1535:N1535)</f>
        <v>2.69</v>
      </c>
    </row>
    <row r="1537" spans="2:14" ht="15" x14ac:dyDescent="0.25">
      <c r="B1537" s="456"/>
      <c r="C1537" s="457"/>
      <c r="D1537" s="457"/>
      <c r="E1537" s="457"/>
      <c r="F1537" s="457"/>
      <c r="G1537" s="457"/>
      <c r="H1537" s="457"/>
      <c r="I1537" s="457"/>
      <c r="J1537" s="457"/>
      <c r="K1537" s="457"/>
      <c r="L1537" s="457"/>
      <c r="M1537" s="457"/>
      <c r="N1537" s="404"/>
    </row>
    <row r="1538" spans="2:14" ht="15" x14ac:dyDescent="0.25">
      <c r="B1538" s="456"/>
      <c r="C1538" s="457"/>
      <c r="D1538" s="457"/>
      <c r="E1538" s="457"/>
      <c r="F1538" s="448"/>
      <c r="G1538" s="448"/>
      <c r="H1538" s="448"/>
      <c r="I1538" s="449"/>
      <c r="J1538" s="449"/>
      <c r="K1538" s="449"/>
      <c r="L1538" s="449"/>
      <c r="M1538" s="409" t="s">
        <v>24691</v>
      </c>
      <c r="N1538" s="412">
        <f>N1527+N1532+N1536</f>
        <v>437.16</v>
      </c>
    </row>
    <row r="1539" spans="2:14" ht="15" x14ac:dyDescent="0.25">
      <c r="B1539" s="456"/>
      <c r="C1539" s="457"/>
      <c r="D1539" s="457"/>
      <c r="E1539" s="457"/>
      <c r="F1539" s="448"/>
      <c r="G1539" s="448"/>
      <c r="H1539" s="448"/>
      <c r="I1539" s="448"/>
      <c r="J1539" s="450"/>
      <c r="K1539" s="450"/>
      <c r="L1539" s="450"/>
      <c r="M1539" s="414" t="s">
        <v>24692</v>
      </c>
      <c r="N1539" s="412">
        <v>66.400000000000006</v>
      </c>
    </row>
    <row r="1540" spans="2:14" ht="15.75" thickBot="1" x14ac:dyDescent="0.3">
      <c r="B1540" s="400"/>
      <c r="C1540" s="401"/>
      <c r="D1540" s="401"/>
      <c r="E1540" s="401"/>
      <c r="F1540" s="444"/>
      <c r="G1540" s="444"/>
      <c r="H1540" s="444"/>
      <c r="I1540" s="444"/>
      <c r="J1540" s="444"/>
      <c r="K1540" s="444"/>
      <c r="L1540" s="444"/>
      <c r="M1540" s="1273" t="s">
        <v>24693</v>
      </c>
      <c r="N1540" s="415">
        <f>TRUNC(N1538/N1539,2)</f>
        <v>6.58</v>
      </c>
    </row>
    <row r="1541" spans="2:14" ht="15.75" thickBot="1" x14ac:dyDescent="0.3">
      <c r="B1541" s="456"/>
      <c r="C1541" s="457"/>
      <c r="D1541" s="457"/>
      <c r="E1541" s="457"/>
      <c r="F1541" s="457"/>
      <c r="G1541" s="457"/>
      <c r="H1541" s="457"/>
      <c r="I1541" s="457"/>
      <c r="J1541" s="457"/>
      <c r="K1541" s="457"/>
      <c r="L1541" s="457"/>
      <c r="M1541" s="457"/>
      <c r="N1541" s="404"/>
    </row>
    <row r="1542" spans="2:14" ht="30" x14ac:dyDescent="0.25">
      <c r="B1542" s="392" t="s">
        <v>0</v>
      </c>
      <c r="C1542" s="393" t="s">
        <v>24673</v>
      </c>
      <c r="D1542" s="1465" t="s">
        <v>24694</v>
      </c>
      <c r="E1542" s="1465"/>
      <c r="F1542" s="1465"/>
      <c r="G1542" s="1465"/>
      <c r="H1542" s="1465"/>
      <c r="I1542" s="1466"/>
      <c r="J1542" s="441" t="s">
        <v>3686</v>
      </c>
      <c r="K1542" s="441" t="s">
        <v>24695</v>
      </c>
      <c r="L1542" s="1467" t="s">
        <v>24683</v>
      </c>
      <c r="M1542" s="1468"/>
      <c r="N1542" s="395" t="s">
        <v>24689</v>
      </c>
    </row>
    <row r="1543" spans="2:14" ht="15" x14ac:dyDescent="0.25">
      <c r="B1543" s="446">
        <v>10115</v>
      </c>
      <c r="C1543" s="1272" t="s">
        <v>4389</v>
      </c>
      <c r="D1543" s="1463" t="s">
        <v>25764</v>
      </c>
      <c r="E1543" s="1463"/>
      <c r="F1543" s="1463"/>
      <c r="G1543" s="1463"/>
      <c r="H1543" s="1463"/>
      <c r="I1543" s="1464"/>
      <c r="J1543" s="442" t="s">
        <v>6</v>
      </c>
      <c r="K1543" s="427">
        <v>79.5</v>
      </c>
      <c r="L1543" s="1475">
        <v>1.1499999999999999</v>
      </c>
      <c r="M1543" s="1476"/>
      <c r="N1543" s="443">
        <f>K1543*L1543</f>
        <v>91.43</v>
      </c>
    </row>
    <row r="1544" spans="2:14" ht="15" x14ac:dyDescent="0.25">
      <c r="B1544" s="446"/>
      <c r="C1544" s="1272"/>
      <c r="D1544" s="1463"/>
      <c r="E1544" s="1463"/>
      <c r="F1544" s="1463"/>
      <c r="G1544" s="1463"/>
      <c r="H1544" s="1463"/>
      <c r="I1544" s="1464"/>
      <c r="J1544" s="442"/>
      <c r="K1544" s="442"/>
      <c r="L1544" s="442"/>
      <c r="M1544" s="447"/>
      <c r="N1544" s="443"/>
    </row>
    <row r="1545" spans="2:14" ht="15.75" thickBot="1" x14ac:dyDescent="0.3">
      <c r="B1545" s="400"/>
      <c r="C1545" s="401"/>
      <c r="D1545" s="401"/>
      <c r="E1545" s="401"/>
      <c r="F1545" s="444"/>
      <c r="G1545" s="444"/>
      <c r="H1545" s="444"/>
      <c r="I1545" s="444"/>
      <c r="J1545" s="444"/>
      <c r="K1545" s="444"/>
      <c r="L1545" s="444"/>
      <c r="M1545" s="1273" t="s">
        <v>24696</v>
      </c>
      <c r="N1545" s="403">
        <f>SUM(N1543:N1543)</f>
        <v>91.43</v>
      </c>
    </row>
    <row r="1546" spans="2:14" ht="15.75" thickBot="1" x14ac:dyDescent="0.3">
      <c r="B1546" s="456"/>
      <c r="C1546" s="457"/>
      <c r="D1546" s="457"/>
      <c r="E1546" s="457"/>
      <c r="F1546" s="457"/>
      <c r="G1546" s="457"/>
      <c r="H1546" s="457"/>
      <c r="I1546" s="457"/>
      <c r="J1546" s="457"/>
      <c r="K1546" s="457"/>
      <c r="L1546" s="457"/>
      <c r="M1546" s="457"/>
      <c r="N1546" s="404"/>
    </row>
    <row r="1547" spans="2:14" ht="15" x14ac:dyDescent="0.25">
      <c r="B1547" s="392" t="s">
        <v>0</v>
      </c>
      <c r="C1547" s="441" t="s">
        <v>24673</v>
      </c>
      <c r="D1547" s="1465" t="s">
        <v>24697</v>
      </c>
      <c r="E1547" s="1465"/>
      <c r="F1547" s="1465"/>
      <c r="G1547" s="1465"/>
      <c r="H1547" s="1465"/>
      <c r="I1547" s="1466"/>
      <c r="J1547" s="441" t="s">
        <v>3686</v>
      </c>
      <c r="K1547" s="1467" t="s">
        <v>24695</v>
      </c>
      <c r="L1547" s="1468"/>
      <c r="M1547" s="441" t="s">
        <v>24683</v>
      </c>
      <c r="N1547" s="395" t="s">
        <v>24689</v>
      </c>
    </row>
    <row r="1548" spans="2:14" ht="15" x14ac:dyDescent="0.25">
      <c r="B1548" s="416"/>
      <c r="C1548" s="417"/>
      <c r="D1548" s="1463"/>
      <c r="E1548" s="1463"/>
      <c r="F1548" s="1463"/>
      <c r="G1548" s="1463"/>
      <c r="H1548" s="1463"/>
      <c r="I1548" s="1464"/>
      <c r="J1548" s="419"/>
      <c r="K1548" s="1477"/>
      <c r="L1548" s="1478"/>
      <c r="M1548" s="419"/>
      <c r="N1548" s="420"/>
    </row>
    <row r="1549" spans="2:14" ht="15" x14ac:dyDescent="0.25">
      <c r="B1549" s="416"/>
      <c r="C1549" s="417"/>
      <c r="D1549" s="1463"/>
      <c r="E1549" s="1463"/>
      <c r="F1549" s="1463"/>
      <c r="G1549" s="1463"/>
      <c r="H1549" s="1463"/>
      <c r="I1549" s="1464"/>
      <c r="J1549" s="451"/>
      <c r="K1549" s="451"/>
      <c r="L1549" s="451"/>
      <c r="M1549" s="419"/>
      <c r="N1549" s="420"/>
    </row>
    <row r="1550" spans="2:14" ht="15.75" thickBot="1" x14ac:dyDescent="0.3">
      <c r="B1550" s="400"/>
      <c r="C1550" s="401"/>
      <c r="D1550" s="401"/>
      <c r="E1550" s="401"/>
      <c r="F1550" s="444"/>
      <c r="G1550" s="444"/>
      <c r="H1550" s="444"/>
      <c r="I1550" s="444"/>
      <c r="J1550" s="444"/>
      <c r="K1550" s="444"/>
      <c r="L1550" s="444"/>
      <c r="M1550" s="1273" t="s">
        <v>24698</v>
      </c>
      <c r="N1550" s="403">
        <f>SUM(N1548:N1549)</f>
        <v>0</v>
      </c>
    </row>
    <row r="1551" spans="2:14" ht="15.75" thickBot="1" x14ac:dyDescent="0.3">
      <c r="B1551" s="456"/>
      <c r="C1551" s="457"/>
      <c r="D1551" s="457"/>
      <c r="E1551" s="457"/>
      <c r="F1551" s="457"/>
      <c r="G1551" s="457"/>
      <c r="H1551" s="457"/>
      <c r="I1551" s="457"/>
      <c r="J1551" s="457"/>
      <c r="K1551" s="457"/>
      <c r="L1551" s="457"/>
      <c r="M1551" s="457"/>
      <c r="N1551" s="404"/>
    </row>
    <row r="1552" spans="2:14" ht="15" x14ac:dyDescent="0.25">
      <c r="B1552" s="392" t="s">
        <v>0</v>
      </c>
      <c r="C1552" s="441" t="s">
        <v>24673</v>
      </c>
      <c r="D1552" s="1465" t="s">
        <v>24699</v>
      </c>
      <c r="E1552" s="1465"/>
      <c r="F1552" s="1465"/>
      <c r="G1552" s="1466"/>
      <c r="H1552" s="441" t="s">
        <v>3686</v>
      </c>
      <c r="I1552" s="441" t="s">
        <v>24700</v>
      </c>
      <c r="J1552" s="441" t="s">
        <v>24701</v>
      </c>
      <c r="K1552" s="1467" t="s">
        <v>24695</v>
      </c>
      <c r="L1552" s="1468"/>
      <c r="M1552" s="441" t="s">
        <v>24683</v>
      </c>
      <c r="N1552" s="395" t="s">
        <v>24689</v>
      </c>
    </row>
    <row r="1553" spans="2:14" ht="15" x14ac:dyDescent="0.25">
      <c r="B1553" s="416">
        <v>1239</v>
      </c>
      <c r="C1553" s="417" t="s">
        <v>4389</v>
      </c>
      <c r="D1553" s="1469" t="s">
        <v>25765</v>
      </c>
      <c r="E1553" s="1463"/>
      <c r="F1553" s="1463"/>
      <c r="G1553" s="1463"/>
      <c r="H1553" s="1272" t="s">
        <v>284</v>
      </c>
      <c r="I1553" s="1275">
        <v>30</v>
      </c>
      <c r="J1553" s="442">
        <v>0</v>
      </c>
      <c r="K1553" s="1470">
        <v>30.37</v>
      </c>
      <c r="L1553" s="1471"/>
      <c r="M1553" s="447">
        <v>1.7250000000000001</v>
      </c>
      <c r="N1553" s="443">
        <f>K1553*M1553</f>
        <v>52.39</v>
      </c>
    </row>
    <row r="1554" spans="2:14" ht="15" x14ac:dyDescent="0.25">
      <c r="B1554" s="456"/>
      <c r="C1554" s="457"/>
      <c r="D1554" s="457"/>
      <c r="E1554" s="457"/>
      <c r="F1554" s="448"/>
      <c r="G1554" s="448"/>
      <c r="H1554" s="448"/>
      <c r="I1554" s="448"/>
      <c r="J1554" s="448"/>
      <c r="K1554" s="448"/>
      <c r="L1554" s="448"/>
      <c r="M1554" s="409" t="s">
        <v>24702</v>
      </c>
      <c r="N1554" s="410">
        <f>SUM(N1553:N1553)</f>
        <v>52.39</v>
      </c>
    </row>
    <row r="1555" spans="2:14" ht="15" x14ac:dyDescent="0.25">
      <c r="B1555" s="456"/>
      <c r="C1555" s="457"/>
      <c r="D1555" s="457"/>
      <c r="E1555" s="457"/>
      <c r="F1555" s="457"/>
      <c r="G1555" s="457"/>
      <c r="H1555" s="457"/>
      <c r="I1555" s="457"/>
      <c r="J1555" s="457"/>
      <c r="K1555" s="457"/>
      <c r="L1555" s="457"/>
      <c r="M1555" s="457"/>
      <c r="N1555" s="404"/>
    </row>
    <row r="1556" spans="2:14" ht="15" x14ac:dyDescent="0.25">
      <c r="B1556" s="421"/>
      <c r="C1556" s="422"/>
      <c r="D1556" s="422"/>
      <c r="E1556" s="422"/>
      <c r="F1556" s="452"/>
      <c r="G1556" s="452"/>
      <c r="H1556" s="452"/>
      <c r="I1556" s="452"/>
      <c r="J1556" s="452"/>
      <c r="K1556" s="452"/>
      <c r="L1556" s="452"/>
      <c r="M1556" s="424" t="s">
        <v>24703</v>
      </c>
      <c r="N1556" s="412">
        <f>N1540+N1545+N1550+N1554</f>
        <v>150.4</v>
      </c>
    </row>
    <row r="1557" spans="2:14" ht="15" x14ac:dyDescent="0.25">
      <c r="B1557" s="456"/>
      <c r="C1557" s="457"/>
      <c r="D1557" s="457"/>
      <c r="E1557" s="457"/>
      <c r="F1557" s="448"/>
      <c r="G1557" s="448"/>
      <c r="H1557" s="448"/>
      <c r="I1557" s="448"/>
      <c r="J1557" s="448"/>
      <c r="K1557" s="448"/>
      <c r="L1557" s="448"/>
      <c r="M1557" s="752">
        <f>'Planilha - Orla'!I3</f>
        <v>0.28220000000000001</v>
      </c>
      <c r="N1557" s="412">
        <f>N1556*M1557</f>
        <v>42.44</v>
      </c>
    </row>
    <row r="1558" spans="2:14" ht="15.75" thickBot="1" x14ac:dyDescent="0.3">
      <c r="B1558" s="1472" t="s">
        <v>24704</v>
      </c>
      <c r="C1558" s="1473"/>
      <c r="D1558" s="1473"/>
      <c r="E1558" s="1473"/>
      <c r="F1558" s="1473"/>
      <c r="G1558" s="1473"/>
      <c r="H1558" s="1473"/>
      <c r="I1558" s="1473"/>
      <c r="J1558" s="1473"/>
      <c r="K1558" s="1473"/>
      <c r="L1558" s="1473"/>
      <c r="M1558" s="1474"/>
      <c r="N1558" s="415">
        <f>N1556+N1557</f>
        <v>192.84</v>
      </c>
    </row>
    <row r="1559" spans="2:14" ht="15" x14ac:dyDescent="0.25">
      <c r="B1559" s="391"/>
      <c r="C1559" s="809"/>
      <c r="D1559" s="809"/>
      <c r="E1559" s="809"/>
      <c r="F1559" s="809"/>
      <c r="G1559" s="809"/>
      <c r="H1559" s="809"/>
      <c r="I1559" s="809"/>
      <c r="J1559" s="809"/>
      <c r="K1559" s="809"/>
      <c r="L1559" s="809"/>
      <c r="M1559" s="809"/>
      <c r="N1559" s="811"/>
    </row>
    <row r="1560" spans="2:14" ht="15" x14ac:dyDescent="0.25">
      <c r="B1560" s="391"/>
      <c r="C1560" s="809"/>
      <c r="D1560" s="809"/>
      <c r="E1560" s="809"/>
      <c r="F1560" s="809"/>
      <c r="G1560" s="809"/>
      <c r="H1560" s="809"/>
      <c r="I1560" s="809"/>
      <c r="J1560" s="809"/>
      <c r="K1560" s="809"/>
      <c r="L1560" s="809"/>
      <c r="M1560" s="809"/>
      <c r="N1560" s="811"/>
    </row>
    <row r="1561" spans="2:14" ht="15" x14ac:dyDescent="0.25">
      <c r="B1561" s="391"/>
      <c r="C1561" s="809"/>
      <c r="D1561" s="809"/>
      <c r="E1561" s="809"/>
      <c r="F1561" s="809"/>
      <c r="G1561" s="809"/>
      <c r="H1561" s="809"/>
      <c r="I1561" s="809"/>
      <c r="J1561" s="809"/>
      <c r="K1561" s="809"/>
      <c r="L1561" s="809"/>
      <c r="M1561" s="809"/>
      <c r="N1561" s="811"/>
    </row>
    <row r="1562" spans="2:14" ht="15" x14ac:dyDescent="0.25">
      <c r="B1562" s="391"/>
      <c r="C1562" s="809"/>
      <c r="D1562" s="809"/>
      <c r="E1562" s="809"/>
      <c r="F1562" s="809"/>
      <c r="G1562" s="809"/>
      <c r="H1562" s="809"/>
      <c r="I1562" s="809"/>
      <c r="J1562" s="809"/>
      <c r="K1562" s="809"/>
      <c r="L1562" s="809"/>
      <c r="M1562" s="809"/>
      <c r="N1562" s="811"/>
    </row>
    <row r="1563" spans="2:14" ht="15" x14ac:dyDescent="0.25">
      <c r="B1563" s="391"/>
      <c r="C1563" s="809"/>
      <c r="D1563" s="809"/>
      <c r="E1563" s="809"/>
      <c r="F1563" s="809"/>
      <c r="G1563" s="809"/>
      <c r="H1563" s="809"/>
      <c r="I1563" s="809"/>
      <c r="J1563" s="809"/>
      <c r="K1563" s="809"/>
      <c r="L1563" s="809"/>
      <c r="M1563" s="809"/>
      <c r="N1563" s="811"/>
    </row>
    <row r="1564" spans="2:14" ht="15" x14ac:dyDescent="0.25">
      <c r="B1564" s="391"/>
      <c r="C1564" s="809"/>
      <c r="D1564" s="809"/>
      <c r="E1564" s="809"/>
      <c r="F1564" s="809"/>
      <c r="G1564" s="809"/>
      <c r="H1564" s="809"/>
      <c r="I1564" s="809"/>
      <c r="J1564" s="809"/>
      <c r="K1564" s="809"/>
      <c r="L1564" s="809"/>
      <c r="M1564" s="809"/>
      <c r="N1564" s="811"/>
    </row>
    <row r="1565" spans="2:14" ht="15" x14ac:dyDescent="0.25">
      <c r="B1565" s="391"/>
      <c r="C1565" s="809"/>
      <c r="D1565" s="809"/>
      <c r="E1565" s="809"/>
      <c r="F1565" s="809"/>
      <c r="G1565" s="809"/>
      <c r="H1565" s="809"/>
      <c r="I1565" s="809"/>
      <c r="J1565" s="809"/>
      <c r="K1565" s="809"/>
      <c r="L1565" s="809"/>
      <c r="M1565" s="809"/>
      <c r="N1565" s="811"/>
    </row>
    <row r="1566" spans="2:14" ht="18" x14ac:dyDescent="0.25">
      <c r="B1566" s="812"/>
      <c r="C1566" s="1515" t="s">
        <v>24939</v>
      </c>
      <c r="D1566" s="1515"/>
      <c r="E1566" s="1515"/>
      <c r="F1566" s="795"/>
      <c r="G1566" s="795"/>
      <c r="H1566" s="1515"/>
      <c r="I1566" s="1515"/>
      <c r="J1566" s="1515"/>
      <c r="K1566" s="1515"/>
      <c r="L1566" s="690"/>
      <c r="M1566" s="690"/>
      <c r="N1566" s="813"/>
    </row>
    <row r="1567" spans="2:14" ht="18" x14ac:dyDescent="0.25">
      <c r="B1567" s="812"/>
      <c r="C1567" s="1517" t="s">
        <v>24941</v>
      </c>
      <c r="D1567" s="1517"/>
      <c r="E1567" s="1517"/>
      <c r="F1567" s="795"/>
      <c r="G1567" s="795"/>
      <c r="H1567" s="1517"/>
      <c r="I1567" s="1517"/>
      <c r="J1567" s="1517"/>
      <c r="K1567" s="1517"/>
      <c r="L1567" s="690"/>
      <c r="M1567" s="690"/>
      <c r="N1567" s="813"/>
    </row>
    <row r="1568" spans="2:14" ht="18.75" thickBot="1" x14ac:dyDescent="0.3">
      <c r="B1568" s="814"/>
      <c r="C1568" s="1516" t="s">
        <v>24940</v>
      </c>
      <c r="D1568" s="1516"/>
      <c r="E1568" s="1516"/>
      <c r="F1568" s="815"/>
      <c r="G1568" s="815"/>
      <c r="H1568" s="1516"/>
      <c r="I1568" s="1516"/>
      <c r="J1568" s="1516"/>
      <c r="K1568" s="1516"/>
      <c r="L1568" s="816"/>
      <c r="M1568" s="816"/>
      <c r="N1568" s="817"/>
    </row>
  </sheetData>
  <mergeCells count="978">
    <mergeCell ref="D1227:I1227"/>
    <mergeCell ref="L1227:M1227"/>
    <mergeCell ref="D1465:I1465"/>
    <mergeCell ref="D1466:I1466"/>
    <mergeCell ref="D1469:G1469"/>
    <mergeCell ref="D1470:G1470"/>
    <mergeCell ref="B1475:M1475"/>
    <mergeCell ref="L1460:M1460"/>
    <mergeCell ref="L1461:M1461"/>
    <mergeCell ref="D1448:H1448"/>
    <mergeCell ref="D1449:H1449"/>
    <mergeCell ref="D1452:H1452"/>
    <mergeCell ref="D1453:H1453"/>
    <mergeCell ref="D1460:I1460"/>
    <mergeCell ref="D1461:I1461"/>
    <mergeCell ref="D1462:I1462"/>
    <mergeCell ref="B1439:D1439"/>
    <mergeCell ref="E1439:K1439"/>
    <mergeCell ref="M1439:N1439"/>
    <mergeCell ref="C1440:N1440"/>
    <mergeCell ref="C1441:N1441"/>
    <mergeCell ref="C1442:N1442"/>
    <mergeCell ref="D1443:G1443"/>
    <mergeCell ref="D1444:G1444"/>
    <mergeCell ref="B1319:D1319"/>
    <mergeCell ref="E1319:K1319"/>
    <mergeCell ref="M1319:N1319"/>
    <mergeCell ref="C1320:N1320"/>
    <mergeCell ref="C1321:N1321"/>
    <mergeCell ref="C1322:N1322"/>
    <mergeCell ref="D1323:G1323"/>
    <mergeCell ref="D1324:G1324"/>
    <mergeCell ref="D1327:H1327"/>
    <mergeCell ref="D1447:H1447"/>
    <mergeCell ref="D1349:G1349"/>
    <mergeCell ref="D1350:G1350"/>
    <mergeCell ref="B1355:M1355"/>
    <mergeCell ref="D1328:H1328"/>
    <mergeCell ref="D1329:H1329"/>
    <mergeCell ref="D1332:H1332"/>
    <mergeCell ref="D1333:H1333"/>
    <mergeCell ref="D1340:I1340"/>
    <mergeCell ref="D1341:I1341"/>
    <mergeCell ref="D1342:I1342"/>
    <mergeCell ref="D1345:I1345"/>
    <mergeCell ref="D1346:I1346"/>
    <mergeCell ref="B1359:D1359"/>
    <mergeCell ref="E1359:K1359"/>
    <mergeCell ref="M1359:N1359"/>
    <mergeCell ref="C1360:N1360"/>
    <mergeCell ref="C1361:N1361"/>
    <mergeCell ref="C1362:N1362"/>
    <mergeCell ref="D1363:G1363"/>
    <mergeCell ref="D1364:G1364"/>
    <mergeCell ref="D1367:H1367"/>
    <mergeCell ref="D1389:G1389"/>
    <mergeCell ref="D1390:G1390"/>
    <mergeCell ref="L1263:M1263"/>
    <mergeCell ref="D1266:I1266"/>
    <mergeCell ref="L1266:M1266"/>
    <mergeCell ref="D1269:G1269"/>
    <mergeCell ref="D1270:G1270"/>
    <mergeCell ref="B1275:M1275"/>
    <mergeCell ref="D926:I926"/>
    <mergeCell ref="B1240:D1240"/>
    <mergeCell ref="E1240:K1240"/>
    <mergeCell ref="M1240:N1240"/>
    <mergeCell ref="C1242:N1242"/>
    <mergeCell ref="C1243:N1243"/>
    <mergeCell ref="D1245:G1245"/>
    <mergeCell ref="D1250:H1250"/>
    <mergeCell ref="D1254:H1254"/>
    <mergeCell ref="L1261:M1261"/>
    <mergeCell ref="L1262:M1262"/>
    <mergeCell ref="D1263:I1263"/>
    <mergeCell ref="D1248:H1248"/>
    <mergeCell ref="D1249:H1249"/>
    <mergeCell ref="D1253:H1253"/>
    <mergeCell ref="D1261:I1261"/>
    <mergeCell ref="D1262:I1262"/>
    <mergeCell ref="C1241:N1241"/>
    <mergeCell ref="D1244:G1244"/>
    <mergeCell ref="D1223:I1223"/>
    <mergeCell ref="L1223:M1223"/>
    <mergeCell ref="D1226:I1226"/>
    <mergeCell ref="L1226:M1226"/>
    <mergeCell ref="D1230:G1230"/>
    <mergeCell ref="D1231:G1231"/>
    <mergeCell ref="B1236:M1236"/>
    <mergeCell ref="D1204:H1204"/>
    <mergeCell ref="D1205:H1205"/>
    <mergeCell ref="D1208:H1208"/>
    <mergeCell ref="D1209:H1209"/>
    <mergeCell ref="D1216:I1216"/>
    <mergeCell ref="L1216:M1216"/>
    <mergeCell ref="D1222:I1222"/>
    <mergeCell ref="L1222:M1222"/>
    <mergeCell ref="D1217:I1217"/>
    <mergeCell ref="L1217:M1217"/>
    <mergeCell ref="D1218:I1218"/>
    <mergeCell ref="L1218:M1218"/>
    <mergeCell ref="D1219:I1219"/>
    <mergeCell ref="L1219:M1219"/>
    <mergeCell ref="D1220:I1220"/>
    <mergeCell ref="L1220:M1220"/>
    <mergeCell ref="D1221:I1221"/>
    <mergeCell ref="L1221:M1221"/>
    <mergeCell ref="B1195:D1195"/>
    <mergeCell ref="E1195:K1195"/>
    <mergeCell ref="M1195:N1195"/>
    <mergeCell ref="C1196:N1196"/>
    <mergeCell ref="C1197:N1197"/>
    <mergeCell ref="C1198:N1198"/>
    <mergeCell ref="D1199:G1199"/>
    <mergeCell ref="D1200:G1200"/>
    <mergeCell ref="D1203:H1203"/>
    <mergeCell ref="D1186:G1186"/>
    <mergeCell ref="B1191:M1191"/>
    <mergeCell ref="D1177:I1177"/>
    <mergeCell ref="L1177:M1177"/>
    <mergeCell ref="D1178:I1178"/>
    <mergeCell ref="L1178:M1178"/>
    <mergeCell ref="D1181:I1181"/>
    <mergeCell ref="L1181:M1181"/>
    <mergeCell ref="D1182:I1182"/>
    <mergeCell ref="L1182:M1182"/>
    <mergeCell ref="D1185:G1185"/>
    <mergeCell ref="D1162:H1162"/>
    <mergeCell ref="D1163:H1163"/>
    <mergeCell ref="D1164:H1164"/>
    <mergeCell ref="D1165:H1165"/>
    <mergeCell ref="D1168:H1168"/>
    <mergeCell ref="D1169:H1169"/>
    <mergeCell ref="D1176:I1176"/>
    <mergeCell ref="L1176:M1176"/>
    <mergeCell ref="B1154:D1154"/>
    <mergeCell ref="E1154:K1154"/>
    <mergeCell ref="M1154:N1154"/>
    <mergeCell ref="C1155:N1155"/>
    <mergeCell ref="C1156:N1156"/>
    <mergeCell ref="C1157:N1157"/>
    <mergeCell ref="D1158:G1158"/>
    <mergeCell ref="D1159:G1159"/>
    <mergeCell ref="D1140:I1140"/>
    <mergeCell ref="D1143:G1143"/>
    <mergeCell ref="D1144:G1144"/>
    <mergeCell ref="B1149:M1149"/>
    <mergeCell ref="L1100:M1100"/>
    <mergeCell ref="D1134:I1134"/>
    <mergeCell ref="L1134:M1134"/>
    <mergeCell ref="D1135:I1135"/>
    <mergeCell ref="L1135:M1135"/>
    <mergeCell ref="D1136:I1136"/>
    <mergeCell ref="L1136:M1136"/>
    <mergeCell ref="D1139:I1139"/>
    <mergeCell ref="C1116:N1116"/>
    <mergeCell ref="C1117:N1117"/>
    <mergeCell ref="D1118:G1118"/>
    <mergeCell ref="D1119:G1119"/>
    <mergeCell ref="D1122:H1122"/>
    <mergeCell ref="D1123:H1123"/>
    <mergeCell ref="D1126:H1126"/>
    <mergeCell ref="D1127:H1127"/>
    <mergeCell ref="L1101:M1101"/>
    <mergeCell ref="C1115:N1115"/>
    <mergeCell ref="D1097:I1097"/>
    <mergeCell ref="L1097:M1097"/>
    <mergeCell ref="D1100:I1100"/>
    <mergeCell ref="D1101:I1101"/>
    <mergeCell ref="D1104:G1104"/>
    <mergeCell ref="D1105:G1105"/>
    <mergeCell ref="B1110:M1110"/>
    <mergeCell ref="B1114:D1114"/>
    <mergeCell ref="E1114:K1114"/>
    <mergeCell ref="M1114:N1114"/>
    <mergeCell ref="D1096:I1096"/>
    <mergeCell ref="L1096:M1096"/>
    <mergeCell ref="D1082:H1082"/>
    <mergeCell ref="D1083:H1083"/>
    <mergeCell ref="D1084:H1084"/>
    <mergeCell ref="D1087:H1087"/>
    <mergeCell ref="D1088:H1088"/>
    <mergeCell ref="D1095:I1095"/>
    <mergeCell ref="L1095:M1095"/>
    <mergeCell ref="B1073:D1073"/>
    <mergeCell ref="E1073:K1073"/>
    <mergeCell ref="M1073:N1073"/>
    <mergeCell ref="C1074:N1074"/>
    <mergeCell ref="C1075:N1075"/>
    <mergeCell ref="C1076:N1076"/>
    <mergeCell ref="D1077:G1077"/>
    <mergeCell ref="D1078:G1078"/>
    <mergeCell ref="D1081:H1081"/>
    <mergeCell ref="B1021:M1021"/>
    <mergeCell ref="D1005:I1005"/>
    <mergeCell ref="D1006:I1006"/>
    <mergeCell ref="D1007:I1007"/>
    <mergeCell ref="D1008:I1008"/>
    <mergeCell ref="D1011:I1011"/>
    <mergeCell ref="D998:H998"/>
    <mergeCell ref="C985:N985"/>
    <mergeCell ref="C986:N986"/>
    <mergeCell ref="C987:N987"/>
    <mergeCell ref="D988:G988"/>
    <mergeCell ref="D989:G989"/>
    <mergeCell ref="D1012:I1012"/>
    <mergeCell ref="D1015:G1015"/>
    <mergeCell ref="D1016:G1016"/>
    <mergeCell ref="M984:N984"/>
    <mergeCell ref="D972:I972"/>
    <mergeCell ref="D975:G975"/>
    <mergeCell ref="D976:G976"/>
    <mergeCell ref="B981:M981"/>
    <mergeCell ref="D992:H992"/>
    <mergeCell ref="D993:H993"/>
    <mergeCell ref="D994:H994"/>
    <mergeCell ref="D997:H997"/>
    <mergeCell ref="D967:I967"/>
    <mergeCell ref="D968:I968"/>
    <mergeCell ref="D971:I971"/>
    <mergeCell ref="D952:H952"/>
    <mergeCell ref="D953:H953"/>
    <mergeCell ref="D954:H954"/>
    <mergeCell ref="D957:H957"/>
    <mergeCell ref="D958:H958"/>
    <mergeCell ref="B984:D984"/>
    <mergeCell ref="E984:K984"/>
    <mergeCell ref="D947:G947"/>
    <mergeCell ref="D948:G948"/>
    <mergeCell ref="D949:G949"/>
    <mergeCell ref="B943:D943"/>
    <mergeCell ref="E943:K943"/>
    <mergeCell ref="M943:N943"/>
    <mergeCell ref="C944:N944"/>
    <mergeCell ref="D965:I965"/>
    <mergeCell ref="D966:I966"/>
    <mergeCell ref="K948:L948"/>
    <mergeCell ref="K947:L947"/>
    <mergeCell ref="D935:G935"/>
    <mergeCell ref="B940:M940"/>
    <mergeCell ref="D924:I924"/>
    <mergeCell ref="D925:I925"/>
    <mergeCell ref="D927:I927"/>
    <mergeCell ref="D930:I930"/>
    <mergeCell ref="D931:I931"/>
    <mergeCell ref="C945:N945"/>
    <mergeCell ref="C946:N946"/>
    <mergeCell ref="D913:H913"/>
    <mergeCell ref="D916:H916"/>
    <mergeCell ref="D917:H917"/>
    <mergeCell ref="C904:N904"/>
    <mergeCell ref="C905:N905"/>
    <mergeCell ref="D906:G906"/>
    <mergeCell ref="D907:G907"/>
    <mergeCell ref="D908:G908"/>
    <mergeCell ref="D934:G934"/>
    <mergeCell ref="B902:D902"/>
    <mergeCell ref="E902:K902"/>
    <mergeCell ref="M902:N902"/>
    <mergeCell ref="C903:N903"/>
    <mergeCell ref="D893:G893"/>
    <mergeCell ref="D894:G894"/>
    <mergeCell ref="B899:M899"/>
    <mergeCell ref="D911:H911"/>
    <mergeCell ref="D912:H912"/>
    <mergeCell ref="K906:L906"/>
    <mergeCell ref="K907:L907"/>
    <mergeCell ref="D885:I885"/>
    <mergeCell ref="D886:I886"/>
    <mergeCell ref="D889:I889"/>
    <mergeCell ref="D890:I890"/>
    <mergeCell ref="D871:H871"/>
    <mergeCell ref="D872:H872"/>
    <mergeCell ref="D873:H873"/>
    <mergeCell ref="D876:H876"/>
    <mergeCell ref="D877:H877"/>
    <mergeCell ref="C865:N865"/>
    <mergeCell ref="C866:N866"/>
    <mergeCell ref="D867:G867"/>
    <mergeCell ref="D868:G868"/>
    <mergeCell ref="B863:D863"/>
    <mergeCell ref="E863:K863"/>
    <mergeCell ref="M863:N863"/>
    <mergeCell ref="D884:I884"/>
    <mergeCell ref="C864:N864"/>
    <mergeCell ref="D853:G853"/>
    <mergeCell ref="B822:D822"/>
    <mergeCell ref="E822:K822"/>
    <mergeCell ref="M822:N822"/>
    <mergeCell ref="C823:N823"/>
    <mergeCell ref="B858:M858"/>
    <mergeCell ref="D844:I844"/>
    <mergeCell ref="D845:I845"/>
    <mergeCell ref="D848:I848"/>
    <mergeCell ref="D849:I849"/>
    <mergeCell ref="D852:G852"/>
    <mergeCell ref="D835:H835"/>
    <mergeCell ref="D836:H836"/>
    <mergeCell ref="D843:I843"/>
    <mergeCell ref="D813:G813"/>
    <mergeCell ref="D814:G814"/>
    <mergeCell ref="B819:M819"/>
    <mergeCell ref="D831:H831"/>
    <mergeCell ref="D832:H832"/>
    <mergeCell ref="D805:I805"/>
    <mergeCell ref="D806:I806"/>
    <mergeCell ref="D809:I809"/>
    <mergeCell ref="D810:I810"/>
    <mergeCell ref="C824:N824"/>
    <mergeCell ref="C825:N825"/>
    <mergeCell ref="D826:G826"/>
    <mergeCell ref="D827:G827"/>
    <mergeCell ref="D830:H830"/>
    <mergeCell ref="B780:M780"/>
    <mergeCell ref="B783:D783"/>
    <mergeCell ref="E783:K783"/>
    <mergeCell ref="M783:N783"/>
    <mergeCell ref="D804:I804"/>
    <mergeCell ref="D771:I771"/>
    <mergeCell ref="D774:G774"/>
    <mergeCell ref="D775:G775"/>
    <mergeCell ref="D754:H754"/>
    <mergeCell ref="D757:H757"/>
    <mergeCell ref="D758:H758"/>
    <mergeCell ref="D765:I765"/>
    <mergeCell ref="D766:I766"/>
    <mergeCell ref="C784:N784"/>
    <mergeCell ref="D791:H791"/>
    <mergeCell ref="D792:H792"/>
    <mergeCell ref="D793:H793"/>
    <mergeCell ref="D796:H796"/>
    <mergeCell ref="D797:H797"/>
    <mergeCell ref="C785:N785"/>
    <mergeCell ref="C786:N786"/>
    <mergeCell ref="D787:G787"/>
    <mergeCell ref="D788:G788"/>
    <mergeCell ref="D752:H752"/>
    <mergeCell ref="D753:H753"/>
    <mergeCell ref="B744:D744"/>
    <mergeCell ref="E744:K744"/>
    <mergeCell ref="M744:N744"/>
    <mergeCell ref="C745:N745"/>
    <mergeCell ref="C746:N746"/>
    <mergeCell ref="D767:I767"/>
    <mergeCell ref="D770:I770"/>
    <mergeCell ref="B741:M741"/>
    <mergeCell ref="D727:I727"/>
    <mergeCell ref="D728:I728"/>
    <mergeCell ref="D731:I731"/>
    <mergeCell ref="D732:I732"/>
    <mergeCell ref="D735:G735"/>
    <mergeCell ref="C747:N747"/>
    <mergeCell ref="D748:G748"/>
    <mergeCell ref="D749:G749"/>
    <mergeCell ref="D718:H718"/>
    <mergeCell ref="D719:H719"/>
    <mergeCell ref="D726:I726"/>
    <mergeCell ref="C707:N707"/>
    <mergeCell ref="C708:N708"/>
    <mergeCell ref="D709:G709"/>
    <mergeCell ref="D710:G710"/>
    <mergeCell ref="D713:H713"/>
    <mergeCell ref="D736:G736"/>
    <mergeCell ref="B705:D705"/>
    <mergeCell ref="E705:K705"/>
    <mergeCell ref="M705:N705"/>
    <mergeCell ref="C706:N706"/>
    <mergeCell ref="D696:G696"/>
    <mergeCell ref="D697:G697"/>
    <mergeCell ref="B702:M702"/>
    <mergeCell ref="D714:H714"/>
    <mergeCell ref="D715:H715"/>
    <mergeCell ref="D688:I688"/>
    <mergeCell ref="D689:I689"/>
    <mergeCell ref="D692:I692"/>
    <mergeCell ref="D693:I693"/>
    <mergeCell ref="D674:H674"/>
    <mergeCell ref="D675:H675"/>
    <mergeCell ref="D676:H676"/>
    <mergeCell ref="D679:H679"/>
    <mergeCell ref="D680:H680"/>
    <mergeCell ref="C668:N668"/>
    <mergeCell ref="C669:N669"/>
    <mergeCell ref="D670:G670"/>
    <mergeCell ref="D671:G671"/>
    <mergeCell ref="B663:M663"/>
    <mergeCell ref="B666:D666"/>
    <mergeCell ref="E666:K666"/>
    <mergeCell ref="M666:N666"/>
    <mergeCell ref="D687:I687"/>
    <mergeCell ref="D654:I654"/>
    <mergeCell ref="D657:G657"/>
    <mergeCell ref="D658:G658"/>
    <mergeCell ref="D637:H637"/>
    <mergeCell ref="D640:H640"/>
    <mergeCell ref="D641:H641"/>
    <mergeCell ref="D648:I648"/>
    <mergeCell ref="D649:I649"/>
    <mergeCell ref="C667:N667"/>
    <mergeCell ref="D635:H635"/>
    <mergeCell ref="D636:H636"/>
    <mergeCell ref="B627:D627"/>
    <mergeCell ref="E627:K627"/>
    <mergeCell ref="M627:N627"/>
    <mergeCell ref="C628:N628"/>
    <mergeCell ref="C629:N629"/>
    <mergeCell ref="D650:I650"/>
    <mergeCell ref="D653:I653"/>
    <mergeCell ref="B624:M624"/>
    <mergeCell ref="D610:I610"/>
    <mergeCell ref="D611:I611"/>
    <mergeCell ref="D614:I614"/>
    <mergeCell ref="D615:I615"/>
    <mergeCell ref="D618:G618"/>
    <mergeCell ref="C630:N630"/>
    <mergeCell ref="D631:G631"/>
    <mergeCell ref="D632:G632"/>
    <mergeCell ref="D601:H601"/>
    <mergeCell ref="D602:H602"/>
    <mergeCell ref="D609:I609"/>
    <mergeCell ref="C590:N590"/>
    <mergeCell ref="C591:N591"/>
    <mergeCell ref="D592:G592"/>
    <mergeCell ref="D593:G593"/>
    <mergeCell ref="D596:H596"/>
    <mergeCell ref="D619:G619"/>
    <mergeCell ref="B588:D588"/>
    <mergeCell ref="E588:K588"/>
    <mergeCell ref="M588:N588"/>
    <mergeCell ref="C589:N589"/>
    <mergeCell ref="D579:G579"/>
    <mergeCell ref="D580:G580"/>
    <mergeCell ref="B585:M585"/>
    <mergeCell ref="D597:H597"/>
    <mergeCell ref="D598:H598"/>
    <mergeCell ref="D570:I570"/>
    <mergeCell ref="D571:I571"/>
    <mergeCell ref="D572:I572"/>
    <mergeCell ref="D575:I575"/>
    <mergeCell ref="D576:I576"/>
    <mergeCell ref="D557:H557"/>
    <mergeCell ref="D558:H558"/>
    <mergeCell ref="D561:H561"/>
    <mergeCell ref="D562:H562"/>
    <mergeCell ref="D569:I569"/>
    <mergeCell ref="C550:N550"/>
    <mergeCell ref="C551:N551"/>
    <mergeCell ref="D552:G552"/>
    <mergeCell ref="D553:G553"/>
    <mergeCell ref="D556:H556"/>
    <mergeCell ref="B548:D548"/>
    <mergeCell ref="E548:K548"/>
    <mergeCell ref="M548:N548"/>
    <mergeCell ref="C549:N549"/>
    <mergeCell ref="D523:H523"/>
    <mergeCell ref="C510:N510"/>
    <mergeCell ref="C511:N511"/>
    <mergeCell ref="C512:N512"/>
    <mergeCell ref="D513:G513"/>
    <mergeCell ref="D514:G514"/>
    <mergeCell ref="D539:G539"/>
    <mergeCell ref="D540:G540"/>
    <mergeCell ref="B545:M545"/>
    <mergeCell ref="D530:I530"/>
    <mergeCell ref="D531:I531"/>
    <mergeCell ref="D532:I532"/>
    <mergeCell ref="D535:I535"/>
    <mergeCell ref="D536:I536"/>
    <mergeCell ref="M509:N509"/>
    <mergeCell ref="D497:I497"/>
    <mergeCell ref="D500:G500"/>
    <mergeCell ref="D501:G501"/>
    <mergeCell ref="B506:M506"/>
    <mergeCell ref="D517:H517"/>
    <mergeCell ref="D518:H518"/>
    <mergeCell ref="D519:H519"/>
    <mergeCell ref="D522:H522"/>
    <mergeCell ref="D492:I492"/>
    <mergeCell ref="D493:I493"/>
    <mergeCell ref="D496:I496"/>
    <mergeCell ref="D477:H477"/>
    <mergeCell ref="D478:H478"/>
    <mergeCell ref="D481:H481"/>
    <mergeCell ref="D482:H482"/>
    <mergeCell ref="D489:I489"/>
    <mergeCell ref="B509:D509"/>
    <mergeCell ref="E509:K509"/>
    <mergeCell ref="D472:G472"/>
    <mergeCell ref="D473:G473"/>
    <mergeCell ref="D476:H476"/>
    <mergeCell ref="B468:D468"/>
    <mergeCell ref="E468:K468"/>
    <mergeCell ref="M468:N468"/>
    <mergeCell ref="C469:N469"/>
    <mergeCell ref="D490:I490"/>
    <mergeCell ref="D491:I491"/>
    <mergeCell ref="D460:G460"/>
    <mergeCell ref="B465:M465"/>
    <mergeCell ref="D450:I450"/>
    <mergeCell ref="D451:I451"/>
    <mergeCell ref="D452:I452"/>
    <mergeCell ref="D455:I455"/>
    <mergeCell ref="D456:I456"/>
    <mergeCell ref="C470:N470"/>
    <mergeCell ref="C471:N471"/>
    <mergeCell ref="D441:H441"/>
    <mergeCell ref="D442:H442"/>
    <mergeCell ref="D449:I449"/>
    <mergeCell ref="C430:N430"/>
    <mergeCell ref="C431:N431"/>
    <mergeCell ref="D432:G432"/>
    <mergeCell ref="D433:G433"/>
    <mergeCell ref="D436:H436"/>
    <mergeCell ref="D459:G459"/>
    <mergeCell ref="B428:D428"/>
    <mergeCell ref="E428:K428"/>
    <mergeCell ref="M428:N428"/>
    <mergeCell ref="C429:N429"/>
    <mergeCell ref="D419:G419"/>
    <mergeCell ref="D420:G420"/>
    <mergeCell ref="B425:M425"/>
    <mergeCell ref="D437:H437"/>
    <mergeCell ref="D438:H438"/>
    <mergeCell ref="D411:I411"/>
    <mergeCell ref="D412:I412"/>
    <mergeCell ref="D415:I415"/>
    <mergeCell ref="D416:I416"/>
    <mergeCell ref="D395:G395"/>
    <mergeCell ref="D398:H398"/>
    <mergeCell ref="D399:H399"/>
    <mergeCell ref="D402:H402"/>
    <mergeCell ref="D403:H403"/>
    <mergeCell ref="C389:N389"/>
    <mergeCell ref="C390:N390"/>
    <mergeCell ref="C391:N391"/>
    <mergeCell ref="D392:G392"/>
    <mergeCell ref="D393:G393"/>
    <mergeCell ref="B388:D388"/>
    <mergeCell ref="E388:K388"/>
    <mergeCell ref="M388:N388"/>
    <mergeCell ref="D410:I410"/>
    <mergeCell ref="D376:I376"/>
    <mergeCell ref="D379:G379"/>
    <mergeCell ref="D380:G380"/>
    <mergeCell ref="B385:M385"/>
    <mergeCell ref="D371:I371"/>
    <mergeCell ref="D372:I372"/>
    <mergeCell ref="D373:I373"/>
    <mergeCell ref="D374:I374"/>
    <mergeCell ref="D375:I375"/>
    <mergeCell ref="D365:I365"/>
    <mergeCell ref="D366:I366"/>
    <mergeCell ref="D367:I367"/>
    <mergeCell ref="D370:I370"/>
    <mergeCell ref="D359:I359"/>
    <mergeCell ref="D360:I360"/>
    <mergeCell ref="D361:I361"/>
    <mergeCell ref="D362:I362"/>
    <mergeCell ref="D363:I363"/>
    <mergeCell ref="D350:H350"/>
    <mergeCell ref="D357:I357"/>
    <mergeCell ref="D358:I358"/>
    <mergeCell ref="D339:G339"/>
    <mergeCell ref="D340:G340"/>
    <mergeCell ref="D343:H343"/>
    <mergeCell ref="D344:H344"/>
    <mergeCell ref="D345:H345"/>
    <mergeCell ref="D364:I364"/>
    <mergeCell ref="C336:N336"/>
    <mergeCell ref="D337:G337"/>
    <mergeCell ref="D338:G338"/>
    <mergeCell ref="B330:M330"/>
    <mergeCell ref="B333:D333"/>
    <mergeCell ref="E333:K333"/>
    <mergeCell ref="M333:N333"/>
    <mergeCell ref="D346:H346"/>
    <mergeCell ref="D349:H349"/>
    <mergeCell ref="D291:G291"/>
    <mergeCell ref="B284:D284"/>
    <mergeCell ref="E284:K284"/>
    <mergeCell ref="M284:N284"/>
    <mergeCell ref="C285:N285"/>
    <mergeCell ref="C286:N286"/>
    <mergeCell ref="D297:G297"/>
    <mergeCell ref="D298:G298"/>
    <mergeCell ref="K290:L290"/>
    <mergeCell ref="K291:L291"/>
    <mergeCell ref="K292:L292"/>
    <mergeCell ref="K293:L293"/>
    <mergeCell ref="K294:L294"/>
    <mergeCell ref="K295:L295"/>
    <mergeCell ref="K296:L296"/>
    <mergeCell ref="K297:L297"/>
    <mergeCell ref="K298:L298"/>
    <mergeCell ref="D292:G292"/>
    <mergeCell ref="D293:G293"/>
    <mergeCell ref="D294:G294"/>
    <mergeCell ref="D295:G295"/>
    <mergeCell ref="D296:G296"/>
    <mergeCell ref="D269:I269"/>
    <mergeCell ref="D270:I270"/>
    <mergeCell ref="D273:G273"/>
    <mergeCell ref="D274:G274"/>
    <mergeCell ref="D275:G275"/>
    <mergeCell ref="C287:N287"/>
    <mergeCell ref="D288:G288"/>
    <mergeCell ref="D289:G289"/>
    <mergeCell ref="D290:G290"/>
    <mergeCell ref="M242:N242"/>
    <mergeCell ref="C244:N244"/>
    <mergeCell ref="C245:N245"/>
    <mergeCell ref="D234:G234"/>
    <mergeCell ref="B239:M239"/>
    <mergeCell ref="D256:H256"/>
    <mergeCell ref="D257:H257"/>
    <mergeCell ref="D264:I264"/>
    <mergeCell ref="D265:I265"/>
    <mergeCell ref="D246:G246"/>
    <mergeCell ref="D247:G247"/>
    <mergeCell ref="D249:G249"/>
    <mergeCell ref="D252:H252"/>
    <mergeCell ref="D253:H253"/>
    <mergeCell ref="D205:G205"/>
    <mergeCell ref="D206:G206"/>
    <mergeCell ref="D207:G207"/>
    <mergeCell ref="D208:G208"/>
    <mergeCell ref="D209:G209"/>
    <mergeCell ref="C200:N200"/>
    <mergeCell ref="C201:N201"/>
    <mergeCell ref="C202:N202"/>
    <mergeCell ref="D203:G203"/>
    <mergeCell ref="D204:G204"/>
    <mergeCell ref="K203:L203"/>
    <mergeCell ref="K204:L204"/>
    <mergeCell ref="K205:L205"/>
    <mergeCell ref="K206:L206"/>
    <mergeCell ref="K207:L207"/>
    <mergeCell ref="K208:L208"/>
    <mergeCell ref="K209:L209"/>
    <mergeCell ref="D186:I186"/>
    <mergeCell ref="D165:G165"/>
    <mergeCell ref="D167:G167"/>
    <mergeCell ref="D170:H170"/>
    <mergeCell ref="D171:H171"/>
    <mergeCell ref="B199:D199"/>
    <mergeCell ref="E199:K199"/>
    <mergeCell ref="M199:N199"/>
    <mergeCell ref="D187:I187"/>
    <mergeCell ref="D190:G190"/>
    <mergeCell ref="D191:G191"/>
    <mergeCell ref="B196:M196"/>
    <mergeCell ref="D164:G164"/>
    <mergeCell ref="B160:D160"/>
    <mergeCell ref="E160:K160"/>
    <mergeCell ref="M160:N160"/>
    <mergeCell ref="C161:N161"/>
    <mergeCell ref="D174:H174"/>
    <mergeCell ref="D175:H175"/>
    <mergeCell ref="D182:I182"/>
    <mergeCell ref="D183:I183"/>
    <mergeCell ref="K164:L164"/>
    <mergeCell ref="K165:L165"/>
    <mergeCell ref="D166:G166"/>
    <mergeCell ref="K166:L166"/>
    <mergeCell ref="K167:L167"/>
    <mergeCell ref="D152:G152"/>
    <mergeCell ref="B157:M157"/>
    <mergeCell ref="D136:H136"/>
    <mergeCell ref="D143:I143"/>
    <mergeCell ref="D144:I144"/>
    <mergeCell ref="D147:I147"/>
    <mergeCell ref="D148:I148"/>
    <mergeCell ref="C162:N162"/>
    <mergeCell ref="C163:N163"/>
    <mergeCell ref="D131:H131"/>
    <mergeCell ref="D132:H132"/>
    <mergeCell ref="D135:H135"/>
    <mergeCell ref="C122:N122"/>
    <mergeCell ref="C123:N123"/>
    <mergeCell ref="D124:G124"/>
    <mergeCell ref="D125:G125"/>
    <mergeCell ref="D126:G126"/>
    <mergeCell ref="D151:G151"/>
    <mergeCell ref="B120:D120"/>
    <mergeCell ref="E120:K120"/>
    <mergeCell ref="M120:N120"/>
    <mergeCell ref="C121:N121"/>
    <mergeCell ref="D111:G111"/>
    <mergeCell ref="D112:G112"/>
    <mergeCell ref="B117:M117"/>
    <mergeCell ref="D129:H129"/>
    <mergeCell ref="D130:H130"/>
    <mergeCell ref="K124:L124"/>
    <mergeCell ref="K125:L125"/>
    <mergeCell ref="D96:H96"/>
    <mergeCell ref="D103:I103"/>
    <mergeCell ref="D104:I104"/>
    <mergeCell ref="D107:I107"/>
    <mergeCell ref="D108:I108"/>
    <mergeCell ref="D89:H89"/>
    <mergeCell ref="D90:H90"/>
    <mergeCell ref="D91:H91"/>
    <mergeCell ref="D92:H92"/>
    <mergeCell ref="D95:H95"/>
    <mergeCell ref="D72:G72"/>
    <mergeCell ref="D73:G73"/>
    <mergeCell ref="B78:M78"/>
    <mergeCell ref="C82:N82"/>
    <mergeCell ref="C83:N83"/>
    <mergeCell ref="C84:N84"/>
    <mergeCell ref="D85:G85"/>
    <mergeCell ref="D86:G86"/>
    <mergeCell ref="B81:D81"/>
    <mergeCell ref="E81:K81"/>
    <mergeCell ref="M81:N81"/>
    <mergeCell ref="D66:I66"/>
    <mergeCell ref="D67:I67"/>
    <mergeCell ref="D46:G46"/>
    <mergeCell ref="D47:G47"/>
    <mergeCell ref="D50:H50"/>
    <mergeCell ref="D51:H51"/>
    <mergeCell ref="D54:H54"/>
    <mergeCell ref="D70:G70"/>
    <mergeCell ref="D71:G71"/>
    <mergeCell ref="E41:K41"/>
    <mergeCell ref="M41:N41"/>
    <mergeCell ref="C44:N44"/>
    <mergeCell ref="D45:G45"/>
    <mergeCell ref="D33:G33"/>
    <mergeCell ref="B38:M38"/>
    <mergeCell ref="D55:H55"/>
    <mergeCell ref="D62:I62"/>
    <mergeCell ref="D63:I63"/>
    <mergeCell ref="K45:L45"/>
    <mergeCell ref="K46:L46"/>
    <mergeCell ref="B1:D1"/>
    <mergeCell ref="E1:K1"/>
    <mergeCell ref="C4:N4"/>
    <mergeCell ref="D5:G5"/>
    <mergeCell ref="C1566:E1566"/>
    <mergeCell ref="C1568:E1568"/>
    <mergeCell ref="C1567:E1567"/>
    <mergeCell ref="H1567:K1567"/>
    <mergeCell ref="H1566:K1566"/>
    <mergeCell ref="H1568:K1568"/>
    <mergeCell ref="D31:G31"/>
    <mergeCell ref="D32:G32"/>
    <mergeCell ref="D6:G6"/>
    <mergeCell ref="D9:H9"/>
    <mergeCell ref="D10:H10"/>
    <mergeCell ref="D13:H13"/>
    <mergeCell ref="D14:H14"/>
    <mergeCell ref="D21:I21"/>
    <mergeCell ref="D22:I22"/>
    <mergeCell ref="D23:I23"/>
    <mergeCell ref="D26:I26"/>
    <mergeCell ref="D27:I27"/>
    <mergeCell ref="D30:G30"/>
    <mergeCell ref="B41:D41"/>
    <mergeCell ref="B1025:D1025"/>
    <mergeCell ref="E1025:K1025"/>
    <mergeCell ref="M1025:N1025"/>
    <mergeCell ref="C1026:N1026"/>
    <mergeCell ref="C1027:N1027"/>
    <mergeCell ref="C1028:N1028"/>
    <mergeCell ref="D1029:G1029"/>
    <mergeCell ref="D1030:G1030"/>
    <mergeCell ref="D1033:H1033"/>
    <mergeCell ref="D1034:H1034"/>
    <mergeCell ref="D1035:H1035"/>
    <mergeCell ref="D1040:H1040"/>
    <mergeCell ref="D1041:H1041"/>
    <mergeCell ref="D1048:I1048"/>
    <mergeCell ref="D1049:I1049"/>
    <mergeCell ref="D1050:I1050"/>
    <mergeCell ref="D1056:I1056"/>
    <mergeCell ref="D1059:I1059"/>
    <mergeCell ref="D1036:H1036"/>
    <mergeCell ref="D1037:H1037"/>
    <mergeCell ref="D1054:I1054"/>
    <mergeCell ref="D1055:I1055"/>
    <mergeCell ref="L1048:M1048"/>
    <mergeCell ref="L1056:M1056"/>
    <mergeCell ref="D1060:I1060"/>
    <mergeCell ref="D1063:G1063"/>
    <mergeCell ref="D1064:G1064"/>
    <mergeCell ref="B1069:M1069"/>
    <mergeCell ref="D1051:I1051"/>
    <mergeCell ref="D1052:I1052"/>
    <mergeCell ref="D1053:I1053"/>
    <mergeCell ref="L1049:M1049"/>
    <mergeCell ref="L1050:M1050"/>
    <mergeCell ref="L1051:M1051"/>
    <mergeCell ref="L1052:M1052"/>
    <mergeCell ref="L1053:M1053"/>
    <mergeCell ref="L1054:M1054"/>
    <mergeCell ref="L1055:M1055"/>
    <mergeCell ref="B1278:D1278"/>
    <mergeCell ref="E1278:K1278"/>
    <mergeCell ref="M1278:N1278"/>
    <mergeCell ref="C1279:N1279"/>
    <mergeCell ref="C1280:N1280"/>
    <mergeCell ref="C1281:N1281"/>
    <mergeCell ref="D1282:G1282"/>
    <mergeCell ref="D1287:G1287"/>
    <mergeCell ref="D1290:H1290"/>
    <mergeCell ref="K1282:L1282"/>
    <mergeCell ref="D1306:I1306"/>
    <mergeCell ref="L1306:M1306"/>
    <mergeCell ref="D1310:G1310"/>
    <mergeCell ref="D1311:G1311"/>
    <mergeCell ref="B1316:M1316"/>
    <mergeCell ref="D1283:G1283"/>
    <mergeCell ref="D1284:G1284"/>
    <mergeCell ref="D1285:G1285"/>
    <mergeCell ref="D1286:G1286"/>
    <mergeCell ref="D1308:I1308"/>
    <mergeCell ref="D1307:I1307"/>
    <mergeCell ref="L1307:M1307"/>
    <mergeCell ref="D1291:H1291"/>
    <mergeCell ref="D1294:H1294"/>
    <mergeCell ref="D1295:H1295"/>
    <mergeCell ref="D1302:I1302"/>
    <mergeCell ref="L1302:M1302"/>
    <mergeCell ref="D1303:I1303"/>
    <mergeCell ref="L1303:M1303"/>
    <mergeCell ref="K1283:L1283"/>
    <mergeCell ref="K1284:L1284"/>
    <mergeCell ref="K1285:L1285"/>
    <mergeCell ref="K1286:L1286"/>
    <mergeCell ref="B1395:M1395"/>
    <mergeCell ref="D1368:H1368"/>
    <mergeCell ref="D1369:H1369"/>
    <mergeCell ref="D1372:H1372"/>
    <mergeCell ref="D1373:H1373"/>
    <mergeCell ref="D1380:I1380"/>
    <mergeCell ref="D1381:I1381"/>
    <mergeCell ref="D1382:I1382"/>
    <mergeCell ref="D1385:I1385"/>
    <mergeCell ref="D1386:I1386"/>
    <mergeCell ref="D1423:I1423"/>
    <mergeCell ref="D1426:I1426"/>
    <mergeCell ref="D1427:I1427"/>
    <mergeCell ref="D1430:G1430"/>
    <mergeCell ref="D1431:G1431"/>
    <mergeCell ref="B1436:M1436"/>
    <mergeCell ref="L1:N1"/>
    <mergeCell ref="D1407:H1407"/>
    <mergeCell ref="D1408:H1408"/>
    <mergeCell ref="D1411:H1411"/>
    <mergeCell ref="D1412:H1412"/>
    <mergeCell ref="D1419:I1419"/>
    <mergeCell ref="D1420:I1420"/>
    <mergeCell ref="D1421:I1421"/>
    <mergeCell ref="D1422:I1422"/>
    <mergeCell ref="B1398:D1398"/>
    <mergeCell ref="E1398:K1398"/>
    <mergeCell ref="M1398:N1398"/>
    <mergeCell ref="C1399:N1399"/>
    <mergeCell ref="C1400:N1400"/>
    <mergeCell ref="C1401:N1401"/>
    <mergeCell ref="D1402:G1402"/>
    <mergeCell ref="D1403:G1403"/>
    <mergeCell ref="D1406:H1406"/>
    <mergeCell ref="B1478:D1478"/>
    <mergeCell ref="E1478:K1478"/>
    <mergeCell ref="M1478:N1478"/>
    <mergeCell ref="C1479:N1479"/>
    <mergeCell ref="C1480:N1480"/>
    <mergeCell ref="C1481:N1481"/>
    <mergeCell ref="D1482:G1482"/>
    <mergeCell ref="K1482:L1482"/>
    <mergeCell ref="D1483:G1483"/>
    <mergeCell ref="K1483:L1483"/>
    <mergeCell ref="D1484:G1484"/>
    <mergeCell ref="K1484:L1484"/>
    <mergeCell ref="D1487:H1487"/>
    <mergeCell ref="D1488:H1488"/>
    <mergeCell ref="D1489:H1489"/>
    <mergeCell ref="D1492:H1492"/>
    <mergeCell ref="D1493:H1493"/>
    <mergeCell ref="D1500:I1500"/>
    <mergeCell ref="L1500:M1500"/>
    <mergeCell ref="D1511:G1511"/>
    <mergeCell ref="B1516:M1516"/>
    <mergeCell ref="D1501:I1501"/>
    <mergeCell ref="L1501:M1501"/>
    <mergeCell ref="D1502:I1502"/>
    <mergeCell ref="D1505:I1505"/>
    <mergeCell ref="K1505:L1505"/>
    <mergeCell ref="D1506:I1506"/>
    <mergeCell ref="K1506:L1506"/>
    <mergeCell ref="D1507:I1507"/>
    <mergeCell ref="D1510:G1510"/>
    <mergeCell ref="K210:L210"/>
    <mergeCell ref="K229:L229"/>
    <mergeCell ref="K230:L230"/>
    <mergeCell ref="K246:L246"/>
    <mergeCell ref="K247:L247"/>
    <mergeCell ref="K248:L248"/>
    <mergeCell ref="D248:G248"/>
    <mergeCell ref="K288:L288"/>
    <mergeCell ref="K289:L289"/>
    <mergeCell ref="D225:I225"/>
    <mergeCell ref="D226:I226"/>
    <mergeCell ref="D229:I229"/>
    <mergeCell ref="D230:I230"/>
    <mergeCell ref="D233:G233"/>
    <mergeCell ref="D210:G210"/>
    <mergeCell ref="D213:H213"/>
    <mergeCell ref="D214:H214"/>
    <mergeCell ref="D217:H217"/>
    <mergeCell ref="D218:H218"/>
    <mergeCell ref="B242:D242"/>
    <mergeCell ref="E242:K242"/>
    <mergeCell ref="D266:I266"/>
    <mergeCell ref="D276:G276"/>
    <mergeCell ref="B281:M281"/>
    <mergeCell ref="K299:L299"/>
    <mergeCell ref="K300:L300"/>
    <mergeCell ref="K338:L338"/>
    <mergeCell ref="K337:L337"/>
    <mergeCell ref="K339:L339"/>
    <mergeCell ref="K392:L392"/>
    <mergeCell ref="K393:L393"/>
    <mergeCell ref="K394:L394"/>
    <mergeCell ref="D394:G394"/>
    <mergeCell ref="D299:G299"/>
    <mergeCell ref="D300:G300"/>
    <mergeCell ref="D301:G301"/>
    <mergeCell ref="D317:I317"/>
    <mergeCell ref="D320:I320"/>
    <mergeCell ref="D321:I321"/>
    <mergeCell ref="D324:G324"/>
    <mergeCell ref="D325:G325"/>
    <mergeCell ref="D304:H304"/>
    <mergeCell ref="D305:H305"/>
    <mergeCell ref="D308:H308"/>
    <mergeCell ref="D309:H309"/>
    <mergeCell ref="D316:I316"/>
    <mergeCell ref="C334:N334"/>
    <mergeCell ref="C335:N335"/>
    <mergeCell ref="B1519:D1519"/>
    <mergeCell ref="E1519:K1519"/>
    <mergeCell ref="M1519:N1519"/>
    <mergeCell ref="C1520:N1520"/>
    <mergeCell ref="C1521:N1521"/>
    <mergeCell ref="C1522:N1522"/>
    <mergeCell ref="D1523:G1523"/>
    <mergeCell ref="K1523:L1523"/>
    <mergeCell ref="D1524:G1524"/>
    <mergeCell ref="K1524:L1524"/>
    <mergeCell ref="D1525:G1525"/>
    <mergeCell ref="K1525:L1525"/>
    <mergeCell ref="D1526:G1526"/>
    <mergeCell ref="K1526:L1526"/>
    <mergeCell ref="D1529:H1529"/>
    <mergeCell ref="D1530:H1530"/>
    <mergeCell ref="D1531:H1531"/>
    <mergeCell ref="D1534:H1534"/>
    <mergeCell ref="K1534:L1534"/>
    <mergeCell ref="K1535:L1535"/>
    <mergeCell ref="D1549:I1549"/>
    <mergeCell ref="D1552:G1552"/>
    <mergeCell ref="K1552:L1552"/>
    <mergeCell ref="D1553:G1553"/>
    <mergeCell ref="K1553:L1553"/>
    <mergeCell ref="B1558:M1558"/>
    <mergeCell ref="D1535:H1535"/>
    <mergeCell ref="D1542:I1542"/>
    <mergeCell ref="L1542:M1542"/>
    <mergeCell ref="D1543:I1543"/>
    <mergeCell ref="L1543:M1543"/>
    <mergeCell ref="D1544:I1544"/>
    <mergeCell ref="D1547:I1547"/>
    <mergeCell ref="K1547:L1547"/>
    <mergeCell ref="D1548:I1548"/>
    <mergeCell ref="K1548:L1548"/>
  </mergeCells>
  <pageMargins left="0.51181102362204722" right="0.51181102362204722" top="0.78740157480314965" bottom="0.78740157480314965" header="0.31496062992125984" footer="0.31496062992125984"/>
  <pageSetup paperSize="9" scale="49" fitToHeight="0" orientation="portrait" r:id="rId1"/>
  <headerFooter>
    <oddFooter>&amp;LDER-ED = Planilha DER-ES para Edificações
DER-RD = Planilha DER-ES para Rodovias</oddFooter>
  </headerFooter>
  <colBreaks count="1" manualBreakCount="1">
    <brk id="14" max="5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614CD8-882E-4C2F-93F0-4295C78DF1D6}">
  <sheetPr>
    <tabColor rgb="FFFF0000"/>
    <pageSetUpPr fitToPage="1"/>
  </sheetPr>
  <dimension ref="B1:M155"/>
  <sheetViews>
    <sheetView topLeftCell="A142" workbookViewId="0">
      <selection activeCell="D154" sqref="D154"/>
    </sheetView>
  </sheetViews>
  <sheetFormatPr defaultColWidth="9.140625" defaultRowHeight="15" x14ac:dyDescent="0.3"/>
  <cols>
    <col min="1" max="1" width="9.140625" style="691"/>
    <col min="2" max="2" width="38.28515625" style="691" customWidth="1"/>
    <col min="3" max="3" width="30" style="691" customWidth="1"/>
    <col min="4" max="4" width="52.42578125" style="691" customWidth="1"/>
    <col min="5" max="8" width="23.42578125" style="691" customWidth="1"/>
    <col min="9" max="9" width="25.42578125" style="691" customWidth="1"/>
    <col min="10" max="10" width="27.42578125" style="691" customWidth="1"/>
    <col min="11" max="16384" width="9.140625" style="691"/>
  </cols>
  <sheetData>
    <row r="1" spans="2:8" ht="15.75" thickBot="1" x14ac:dyDescent="0.35">
      <c r="B1" s="1226"/>
      <c r="C1" s="1227"/>
      <c r="D1" s="1227"/>
      <c r="E1" s="1227"/>
      <c r="F1" s="1227"/>
      <c r="G1" s="1227"/>
      <c r="H1" s="1228"/>
    </row>
    <row r="2" spans="2:8" x14ac:dyDescent="0.3">
      <c r="B2" s="1534" t="s">
        <v>24911</v>
      </c>
      <c r="C2" s="1535"/>
      <c r="D2" s="1535"/>
      <c r="E2" s="1535"/>
      <c r="F2" s="1535"/>
      <c r="G2" s="1535"/>
      <c r="H2" s="1536"/>
    </row>
    <row r="3" spans="2:8" x14ac:dyDescent="0.3">
      <c r="B3" s="697"/>
      <c r="C3" s="698" t="s">
        <v>24790</v>
      </c>
      <c r="D3" s="698"/>
      <c r="E3" s="699" t="s">
        <v>456</v>
      </c>
      <c r="F3" s="699"/>
      <c r="G3" s="700" t="s">
        <v>24791</v>
      </c>
      <c r="H3" s="702" t="s">
        <v>24792</v>
      </c>
    </row>
    <row r="4" spans="2:8" x14ac:dyDescent="0.3">
      <c r="B4" s="703" t="s">
        <v>24912</v>
      </c>
      <c r="C4" s="1222" t="s">
        <v>24793</v>
      </c>
      <c r="D4" s="1222" t="s">
        <v>24806</v>
      </c>
      <c r="E4" s="705" t="s">
        <v>7</v>
      </c>
      <c r="F4" s="705"/>
      <c r="G4" s="462">
        <v>3</v>
      </c>
      <c r="H4" s="706">
        <f>(F8+F9+F10)/3</f>
        <v>0.2</v>
      </c>
    </row>
    <row r="5" spans="2:8" x14ac:dyDescent="0.3">
      <c r="B5" s="707"/>
      <c r="C5" s="1181"/>
      <c r="D5" s="1181"/>
      <c r="E5" s="1182"/>
      <c r="F5" s="1182"/>
      <c r="G5" s="462" t="s">
        <v>24794</v>
      </c>
      <c r="H5" s="709" t="s">
        <v>24795</v>
      </c>
    </row>
    <row r="6" spans="2:8" x14ac:dyDescent="0.3">
      <c r="B6" s="707"/>
      <c r="C6" s="1181"/>
      <c r="D6" s="1181"/>
      <c r="E6" s="1182"/>
      <c r="F6" s="1182"/>
      <c r="G6" s="1181"/>
      <c r="H6" s="710"/>
    </row>
    <row r="7" spans="2:8" x14ac:dyDescent="0.3">
      <c r="B7" s="711" t="s">
        <v>24796</v>
      </c>
      <c r="C7" s="712" t="s">
        <v>24797</v>
      </c>
      <c r="D7" s="712" t="s">
        <v>24798</v>
      </c>
      <c r="E7" s="713" t="s">
        <v>270</v>
      </c>
      <c r="F7" s="713" t="s">
        <v>24813</v>
      </c>
      <c r="G7" s="712" t="s">
        <v>24799</v>
      </c>
      <c r="H7" s="714" t="s">
        <v>4429</v>
      </c>
    </row>
    <row r="8" spans="2:8" x14ac:dyDescent="0.3">
      <c r="B8" s="734" t="s">
        <v>24807</v>
      </c>
      <c r="C8" s="716" t="s">
        <v>24809</v>
      </c>
      <c r="D8" s="716" t="s">
        <v>24811</v>
      </c>
      <c r="E8" s="717">
        <v>27.5</v>
      </c>
      <c r="F8" s="717">
        <f>E8/100</f>
        <v>0.28000000000000003</v>
      </c>
      <c r="G8" s="716" t="s">
        <v>24800</v>
      </c>
      <c r="H8" s="718"/>
    </row>
    <row r="9" spans="2:8" x14ac:dyDescent="0.3">
      <c r="B9" s="734" t="s">
        <v>24801</v>
      </c>
      <c r="C9" s="716" t="s">
        <v>24802</v>
      </c>
      <c r="D9" s="735" t="s">
        <v>24803</v>
      </c>
      <c r="E9" s="717">
        <v>17.440000000000001</v>
      </c>
      <c r="F9" s="717">
        <f t="shared" ref="F9:F10" si="0">E9/100</f>
        <v>0.17</v>
      </c>
      <c r="G9" s="716" t="s">
        <v>24800</v>
      </c>
      <c r="H9" s="718"/>
    </row>
    <row r="10" spans="2:8" ht="15.75" thickBot="1" x14ac:dyDescent="0.35">
      <c r="B10" s="736" t="s">
        <v>24808</v>
      </c>
      <c r="C10" s="724" t="s">
        <v>24810</v>
      </c>
      <c r="D10" s="723" t="s">
        <v>24812</v>
      </c>
      <c r="E10" s="723">
        <v>14.16</v>
      </c>
      <c r="F10" s="723">
        <f t="shared" si="0"/>
        <v>0.14000000000000001</v>
      </c>
      <c r="G10" s="724" t="s">
        <v>24800</v>
      </c>
      <c r="H10" s="725"/>
    </row>
    <row r="11" spans="2:8" x14ac:dyDescent="0.3">
      <c r="B11" s="1068"/>
      <c r="C11" s="1229"/>
      <c r="D11" s="1229"/>
      <c r="E11" s="1229"/>
      <c r="F11" s="1229"/>
      <c r="G11" s="1229"/>
      <c r="H11" s="1074"/>
    </row>
    <row r="12" spans="2:8" ht="15.75" thickBot="1" x14ac:dyDescent="0.35">
      <c r="B12" s="1068"/>
      <c r="C12" s="1229"/>
      <c r="D12" s="1229"/>
      <c r="E12" s="1229"/>
      <c r="F12" s="1229"/>
      <c r="G12" s="1229"/>
      <c r="H12" s="1074"/>
    </row>
    <row r="13" spans="2:8" x14ac:dyDescent="0.3">
      <c r="B13" s="1534" t="s">
        <v>24921</v>
      </c>
      <c r="C13" s="1535"/>
      <c r="D13" s="1535"/>
      <c r="E13" s="1535"/>
      <c r="F13" s="1535"/>
      <c r="G13" s="1535"/>
      <c r="H13" s="1536"/>
    </row>
    <row r="14" spans="2:8" x14ac:dyDescent="0.3">
      <c r="B14" s="697"/>
      <c r="C14" s="698" t="s">
        <v>24790</v>
      </c>
      <c r="D14" s="698"/>
      <c r="E14" s="699" t="s">
        <v>456</v>
      </c>
      <c r="F14" s="699"/>
      <c r="G14" s="700" t="s">
        <v>24791</v>
      </c>
      <c r="H14" s="702" t="s">
        <v>24792</v>
      </c>
    </row>
    <row r="15" spans="2:8" x14ac:dyDescent="0.3">
      <c r="B15" s="703" t="s">
        <v>24915</v>
      </c>
      <c r="C15" s="1222" t="s">
        <v>24793</v>
      </c>
      <c r="D15" s="1222" t="s">
        <v>24883</v>
      </c>
      <c r="E15" s="705" t="s">
        <v>8</v>
      </c>
      <c r="F15" s="705"/>
      <c r="G15" s="462">
        <v>3</v>
      </c>
      <c r="H15" s="706">
        <f>(F19+F20+F21)/3</f>
        <v>694.69</v>
      </c>
    </row>
    <row r="16" spans="2:8" x14ac:dyDescent="0.3">
      <c r="B16" s="707"/>
      <c r="C16" s="1181"/>
      <c r="D16" s="1181"/>
      <c r="E16" s="1182"/>
      <c r="F16" s="1182"/>
      <c r="G16" s="462" t="s">
        <v>24794</v>
      </c>
      <c r="H16" s="709" t="s">
        <v>24795</v>
      </c>
    </row>
    <row r="17" spans="2:13" x14ac:dyDescent="0.3">
      <c r="B17" s="707"/>
      <c r="C17" s="1181"/>
      <c r="D17" s="1181"/>
      <c r="E17" s="1182"/>
      <c r="F17" s="1182"/>
      <c r="G17" s="1181"/>
      <c r="H17" s="710"/>
    </row>
    <row r="18" spans="2:13" x14ac:dyDescent="0.3">
      <c r="B18" s="711" t="s">
        <v>24796</v>
      </c>
      <c r="C18" s="712" t="s">
        <v>24797</v>
      </c>
      <c r="D18" s="712" t="s">
        <v>24798</v>
      </c>
      <c r="E18" s="713" t="s">
        <v>270</v>
      </c>
      <c r="F18" s="713" t="s">
        <v>24887</v>
      </c>
      <c r="G18" s="712" t="s">
        <v>24799</v>
      </c>
      <c r="H18" s="714" t="s">
        <v>4429</v>
      </c>
    </row>
    <row r="19" spans="2:13" ht="30" x14ac:dyDescent="0.3">
      <c r="B19" s="734" t="s">
        <v>24884</v>
      </c>
      <c r="C19" s="716" t="s">
        <v>24885</v>
      </c>
      <c r="D19" s="741" t="s">
        <v>24886</v>
      </c>
      <c r="E19" s="717">
        <v>899</v>
      </c>
      <c r="F19" s="717">
        <f>E19</f>
        <v>899</v>
      </c>
      <c r="G19" s="716" t="s">
        <v>24800</v>
      </c>
      <c r="H19" s="718"/>
    </row>
    <row r="20" spans="2:13" x14ac:dyDescent="0.3">
      <c r="B20" s="734" t="s">
        <v>24902</v>
      </c>
      <c r="C20" s="716" t="s">
        <v>24903</v>
      </c>
      <c r="D20" s="741" t="s">
        <v>24904</v>
      </c>
      <c r="E20" s="717">
        <v>765.1</v>
      </c>
      <c r="F20" s="717">
        <f>E20</f>
        <v>765.1</v>
      </c>
      <c r="G20" s="716" t="s">
        <v>24800</v>
      </c>
      <c r="H20" s="718"/>
      <c r="M20" s="691">
        <v>400</v>
      </c>
    </row>
    <row r="21" spans="2:13" ht="30.75" thickBot="1" x14ac:dyDescent="0.35">
      <c r="B21" s="736" t="s">
        <v>24905</v>
      </c>
      <c r="C21" s="724" t="s">
        <v>24906</v>
      </c>
      <c r="D21" s="722" t="s">
        <v>24907</v>
      </c>
      <c r="E21" s="723">
        <v>419.96</v>
      </c>
      <c r="F21" s="723">
        <f>E21</f>
        <v>419.96</v>
      </c>
      <c r="G21" s="724" t="s">
        <v>24800</v>
      </c>
      <c r="H21" s="725"/>
      <c r="M21" s="691">
        <v>800</v>
      </c>
    </row>
    <row r="22" spans="2:13" x14ac:dyDescent="0.3">
      <c r="B22" s="1230"/>
      <c r="C22" s="692"/>
      <c r="D22" s="693"/>
      <c r="E22" s="693"/>
      <c r="F22" s="693"/>
      <c r="G22" s="692"/>
      <c r="H22" s="1231"/>
    </row>
    <row r="23" spans="2:13" ht="17.25" customHeight="1" thickBot="1" x14ac:dyDescent="0.35">
      <c r="B23" s="1232"/>
      <c r="C23" s="692"/>
      <c r="D23" s="1181"/>
      <c r="E23" s="693"/>
      <c r="F23" s="692"/>
      <c r="G23" s="692"/>
      <c r="H23" s="1074"/>
    </row>
    <row r="24" spans="2:13" x14ac:dyDescent="0.3">
      <c r="B24" s="1534" t="s">
        <v>24922</v>
      </c>
      <c r="C24" s="1535"/>
      <c r="D24" s="1535"/>
      <c r="E24" s="1535"/>
      <c r="F24" s="1535"/>
      <c r="G24" s="1535"/>
      <c r="H24" s="1536"/>
    </row>
    <row r="25" spans="2:13" x14ac:dyDescent="0.3">
      <c r="B25" s="697"/>
      <c r="C25" s="698"/>
      <c r="D25" s="698"/>
      <c r="E25" s="699"/>
      <c r="F25" s="699"/>
      <c r="G25" s="700"/>
      <c r="H25" s="701">
        <v>44043</v>
      </c>
    </row>
    <row r="26" spans="2:13" x14ac:dyDescent="0.3">
      <c r="B26" s="697"/>
      <c r="C26" s="698" t="s">
        <v>24790</v>
      </c>
      <c r="D26" s="698" t="s">
        <v>1</v>
      </c>
      <c r="E26" s="699" t="s">
        <v>456</v>
      </c>
      <c r="F26" s="699"/>
      <c r="G26" s="700" t="s">
        <v>24791</v>
      </c>
      <c r="H26" s="702" t="s">
        <v>24792</v>
      </c>
    </row>
    <row r="27" spans="2:13" x14ac:dyDescent="0.3">
      <c r="B27" s="703" t="s">
        <v>24923</v>
      </c>
      <c r="C27" s="1222" t="s">
        <v>24793</v>
      </c>
      <c r="D27" s="704" t="s">
        <v>24789</v>
      </c>
      <c r="E27" s="705" t="s">
        <v>24804</v>
      </c>
      <c r="F27" s="705"/>
      <c r="G27" s="462">
        <v>3</v>
      </c>
      <c r="H27" s="706">
        <f>(SUM(F31:F33))/3</f>
        <v>12.1</v>
      </c>
    </row>
    <row r="28" spans="2:13" x14ac:dyDescent="0.3">
      <c r="B28" s="707"/>
      <c r="C28" s="1181"/>
      <c r="D28" s="1181"/>
      <c r="E28" s="1182"/>
      <c r="F28" s="1182"/>
      <c r="G28" s="462" t="s">
        <v>24794</v>
      </c>
      <c r="H28" s="709" t="s">
        <v>24795</v>
      </c>
    </row>
    <row r="29" spans="2:13" x14ac:dyDescent="0.3">
      <c r="B29" s="707"/>
      <c r="C29" s="1181"/>
      <c r="D29" s="1181"/>
      <c r="E29" s="1182"/>
      <c r="F29" s="1182"/>
      <c r="G29" s="1181"/>
      <c r="H29" s="710"/>
    </row>
    <row r="30" spans="2:13" x14ac:dyDescent="0.3">
      <c r="B30" s="711" t="s">
        <v>24796</v>
      </c>
      <c r="C30" s="712" t="s">
        <v>24797</v>
      </c>
      <c r="D30" s="712" t="s">
        <v>24798</v>
      </c>
      <c r="E30" s="713" t="s">
        <v>270</v>
      </c>
      <c r="F30" s="713" t="s">
        <v>24805</v>
      </c>
      <c r="G30" s="712" t="s">
        <v>24799</v>
      </c>
      <c r="H30" s="714" t="s">
        <v>4429</v>
      </c>
    </row>
    <row r="31" spans="2:13" ht="30" x14ac:dyDescent="0.3">
      <c r="B31" s="715" t="s">
        <v>24814</v>
      </c>
      <c r="C31" s="739" t="s">
        <v>24815</v>
      </c>
      <c r="D31" s="741" t="s">
        <v>24816</v>
      </c>
      <c r="E31" s="717">
        <v>12.9</v>
      </c>
      <c r="F31" s="717">
        <f>E31</f>
        <v>12.9</v>
      </c>
      <c r="G31" s="716" t="s">
        <v>24800</v>
      </c>
      <c r="H31" s="718"/>
    </row>
    <row r="32" spans="2:13" ht="30" x14ac:dyDescent="0.3">
      <c r="B32" s="742" t="s">
        <v>24817</v>
      </c>
      <c r="C32" s="739" t="s">
        <v>24818</v>
      </c>
      <c r="D32" s="741" t="s">
        <v>24819</v>
      </c>
      <c r="E32" s="717">
        <v>11.3</v>
      </c>
      <c r="F32" s="717">
        <f t="shared" ref="F32:F33" si="1">E32</f>
        <v>11.3</v>
      </c>
      <c r="G32" s="716" t="s">
        <v>24800</v>
      </c>
      <c r="H32" s="718"/>
    </row>
    <row r="33" spans="2:8" ht="15.75" thickBot="1" x14ac:dyDescent="0.35">
      <c r="B33" s="743" t="s">
        <v>24821</v>
      </c>
      <c r="C33" s="724" t="s">
        <v>24820</v>
      </c>
      <c r="D33" s="722" t="s">
        <v>24822</v>
      </c>
      <c r="E33" s="723">
        <v>12.1</v>
      </c>
      <c r="F33" s="723">
        <f t="shared" si="1"/>
        <v>12.1</v>
      </c>
      <c r="G33" s="724" t="s">
        <v>24800</v>
      </c>
      <c r="H33" s="725"/>
    </row>
    <row r="34" spans="2:8" x14ac:dyDescent="0.3">
      <c r="B34" s="1068"/>
      <c r="C34" s="1229"/>
      <c r="D34" s="1229"/>
      <c r="E34" s="1229"/>
      <c r="F34" s="1229"/>
      <c r="G34" s="1229"/>
      <c r="H34" s="1074"/>
    </row>
    <row r="35" spans="2:8" ht="15.75" thickBot="1" x14ac:dyDescent="0.35">
      <c r="B35" s="1068"/>
      <c r="C35" s="1229"/>
      <c r="D35" s="1229"/>
      <c r="E35" s="1229"/>
      <c r="F35" s="1229"/>
      <c r="G35" s="1229"/>
      <c r="H35" s="1074"/>
    </row>
    <row r="36" spans="2:8" x14ac:dyDescent="0.3">
      <c r="B36" s="1534" t="s">
        <v>24913</v>
      </c>
      <c r="C36" s="1535"/>
      <c r="D36" s="1535"/>
      <c r="E36" s="1535"/>
      <c r="F36" s="1535"/>
      <c r="G36" s="1535"/>
      <c r="H36" s="1536"/>
    </row>
    <row r="37" spans="2:8" x14ac:dyDescent="0.3">
      <c r="B37" s="697"/>
      <c r="C37" s="698"/>
      <c r="D37" s="698"/>
      <c r="E37" s="699"/>
      <c r="F37" s="699"/>
      <c r="G37" s="700"/>
      <c r="H37" s="701">
        <v>44043</v>
      </c>
    </row>
    <row r="38" spans="2:8" x14ac:dyDescent="0.3">
      <c r="B38" s="697"/>
      <c r="C38" s="698" t="s">
        <v>24790</v>
      </c>
      <c r="D38" s="698" t="s">
        <v>1</v>
      </c>
      <c r="E38" s="699" t="s">
        <v>456</v>
      </c>
      <c r="F38" s="699"/>
      <c r="G38" s="700" t="s">
        <v>24791</v>
      </c>
      <c r="H38" s="702" t="s">
        <v>24792</v>
      </c>
    </row>
    <row r="39" spans="2:8" x14ac:dyDescent="0.3">
      <c r="B39" s="703" t="s">
        <v>24914</v>
      </c>
      <c r="C39" s="1222" t="s">
        <v>24793</v>
      </c>
      <c r="D39" s="704" t="s">
        <v>24839</v>
      </c>
      <c r="E39" s="705" t="s">
        <v>24804</v>
      </c>
      <c r="F39" s="705"/>
      <c r="G39" s="462">
        <v>3</v>
      </c>
      <c r="H39" s="706">
        <f>(SUM(F43:F45))/3</f>
        <v>67.12</v>
      </c>
    </row>
    <row r="40" spans="2:8" x14ac:dyDescent="0.3">
      <c r="B40" s="707"/>
      <c r="C40" s="1181"/>
      <c r="D40" s="1181"/>
      <c r="E40" s="1182"/>
      <c r="F40" s="1182"/>
      <c r="G40" s="462" t="s">
        <v>24794</v>
      </c>
      <c r="H40" s="709" t="s">
        <v>24795</v>
      </c>
    </row>
    <row r="41" spans="2:8" x14ac:dyDescent="0.3">
      <c r="B41" s="707"/>
      <c r="C41" s="1181"/>
      <c r="D41" s="1181"/>
      <c r="E41" s="1182"/>
      <c r="F41" s="1182"/>
      <c r="G41" s="1181"/>
      <c r="H41" s="710"/>
    </row>
    <row r="42" spans="2:8" x14ac:dyDescent="0.3">
      <c r="B42" s="711" t="s">
        <v>24796</v>
      </c>
      <c r="C42" s="712" t="s">
        <v>24797</v>
      </c>
      <c r="D42" s="712" t="s">
        <v>24798</v>
      </c>
      <c r="E42" s="713" t="s">
        <v>270</v>
      </c>
      <c r="F42" s="713" t="s">
        <v>24805</v>
      </c>
      <c r="G42" s="712" t="s">
        <v>24799</v>
      </c>
      <c r="H42" s="714" t="s">
        <v>4429</v>
      </c>
    </row>
    <row r="43" spans="2:8" x14ac:dyDescent="0.3">
      <c r="B43" s="715" t="s">
        <v>24836</v>
      </c>
      <c r="C43" s="716" t="s">
        <v>24837</v>
      </c>
      <c r="D43" s="741" t="s">
        <v>24838</v>
      </c>
      <c r="E43" s="717">
        <v>66.97</v>
      </c>
      <c r="F43" s="717">
        <f>E43</f>
        <v>66.97</v>
      </c>
      <c r="G43" s="716" t="s">
        <v>24800</v>
      </c>
      <c r="H43" s="718"/>
    </row>
    <row r="44" spans="2:8" x14ac:dyDescent="0.3">
      <c r="B44" s="742" t="s">
        <v>24834</v>
      </c>
      <c r="C44" s="716" t="s">
        <v>24802</v>
      </c>
      <c r="D44" s="735" t="s">
        <v>24803</v>
      </c>
      <c r="E44" s="717">
        <v>67.41</v>
      </c>
      <c r="F44" s="717">
        <f t="shared" ref="F44:F45" si="2">E44</f>
        <v>67.41</v>
      </c>
      <c r="G44" s="716" t="s">
        <v>24800</v>
      </c>
      <c r="H44" s="718"/>
    </row>
    <row r="45" spans="2:8" ht="15.75" thickBot="1" x14ac:dyDescent="0.35">
      <c r="B45" s="743" t="s">
        <v>24824</v>
      </c>
      <c r="C45" s="724" t="s">
        <v>24825</v>
      </c>
      <c r="D45" s="753" t="s">
        <v>24826</v>
      </c>
      <c r="E45" s="723">
        <v>66.97</v>
      </c>
      <c r="F45" s="723">
        <f t="shared" si="2"/>
        <v>66.97</v>
      </c>
      <c r="G45" s="724" t="s">
        <v>24800</v>
      </c>
      <c r="H45" s="725"/>
    </row>
    <row r="46" spans="2:8" x14ac:dyDescent="0.3">
      <c r="B46" s="1068"/>
      <c r="C46" s="1229"/>
      <c r="D46" s="1229"/>
      <c r="E46" s="1229"/>
      <c r="F46" s="1229"/>
      <c r="G46" s="1229"/>
      <c r="H46" s="1074"/>
    </row>
    <row r="47" spans="2:8" x14ac:dyDescent="0.3">
      <c r="B47" s="1068"/>
      <c r="C47" s="1229"/>
      <c r="D47" s="1229"/>
      <c r="E47" s="1229"/>
      <c r="F47" s="1229"/>
      <c r="G47" s="1229"/>
      <c r="H47" s="1074"/>
    </row>
    <row r="48" spans="2:8" ht="15.75" thickBot="1" x14ac:dyDescent="0.35">
      <c r="B48" s="1068"/>
      <c r="C48" s="1229"/>
      <c r="D48" s="1229"/>
      <c r="E48" s="1229"/>
      <c r="F48" s="1229"/>
      <c r="G48" s="1229"/>
      <c r="H48" s="1074"/>
    </row>
    <row r="49" spans="2:8" x14ac:dyDescent="0.3">
      <c r="B49" s="1534" t="s">
        <v>24924</v>
      </c>
      <c r="C49" s="1535"/>
      <c r="D49" s="1535"/>
      <c r="E49" s="1535"/>
      <c r="F49" s="1535"/>
      <c r="G49" s="1535"/>
      <c r="H49" s="1536"/>
    </row>
    <row r="50" spans="2:8" x14ac:dyDescent="0.3">
      <c r="B50" s="697"/>
      <c r="C50" s="698"/>
      <c r="D50" s="698"/>
      <c r="E50" s="699"/>
      <c r="F50" s="699"/>
      <c r="G50" s="700"/>
      <c r="H50" s="701">
        <v>44043</v>
      </c>
    </row>
    <row r="51" spans="2:8" x14ac:dyDescent="0.3">
      <c r="B51" s="697"/>
      <c r="C51" s="698" t="s">
        <v>24790</v>
      </c>
      <c r="D51" s="698" t="s">
        <v>1</v>
      </c>
      <c r="E51" s="699" t="s">
        <v>456</v>
      </c>
      <c r="F51" s="699"/>
      <c r="G51" s="700" t="s">
        <v>24791</v>
      </c>
      <c r="H51" s="702" t="s">
        <v>24792</v>
      </c>
    </row>
    <row r="52" spans="2:8" x14ac:dyDescent="0.3">
      <c r="B52" s="703" t="s">
        <v>24925</v>
      </c>
      <c r="C52" s="1222" t="s">
        <v>24793</v>
      </c>
      <c r="D52" s="704" t="s">
        <v>24823</v>
      </c>
      <c r="E52" s="705" t="s">
        <v>24804</v>
      </c>
      <c r="F52" s="705"/>
      <c r="G52" s="462">
        <v>3</v>
      </c>
      <c r="H52" s="706">
        <f>(SUM(F56:F58))/3</f>
        <v>12.63</v>
      </c>
    </row>
    <row r="53" spans="2:8" x14ac:dyDescent="0.3">
      <c r="B53" s="707"/>
      <c r="C53" s="1181"/>
      <c r="D53" s="1181"/>
      <c r="E53" s="1182"/>
      <c r="F53" s="1182"/>
      <c r="G53" s="462" t="s">
        <v>24794</v>
      </c>
      <c r="H53" s="709" t="s">
        <v>24795</v>
      </c>
    </row>
    <row r="54" spans="2:8" x14ac:dyDescent="0.3">
      <c r="B54" s="707"/>
      <c r="C54" s="1181"/>
      <c r="D54" s="1181"/>
      <c r="E54" s="1182"/>
      <c r="F54" s="1182"/>
      <c r="G54" s="1181"/>
      <c r="H54" s="710"/>
    </row>
    <row r="55" spans="2:8" x14ac:dyDescent="0.3">
      <c r="B55" s="711" t="s">
        <v>24796</v>
      </c>
      <c r="C55" s="712" t="s">
        <v>24797</v>
      </c>
      <c r="D55" s="712" t="s">
        <v>24798</v>
      </c>
      <c r="E55" s="713" t="s">
        <v>270</v>
      </c>
      <c r="F55" s="713" t="s">
        <v>24805</v>
      </c>
      <c r="G55" s="712" t="s">
        <v>24799</v>
      </c>
      <c r="H55" s="714" t="s">
        <v>4429</v>
      </c>
    </row>
    <row r="56" spans="2:8" x14ac:dyDescent="0.3">
      <c r="B56" s="738" t="s">
        <v>24824</v>
      </c>
      <c r="C56" s="716" t="s">
        <v>24825</v>
      </c>
      <c r="D56" s="740" t="s">
        <v>24826</v>
      </c>
      <c r="E56" s="717">
        <v>13.9</v>
      </c>
      <c r="F56" s="717">
        <f>E56</f>
        <v>13.9</v>
      </c>
      <c r="G56" s="716" t="s">
        <v>24800</v>
      </c>
      <c r="H56" s="718"/>
    </row>
    <row r="57" spans="2:8" x14ac:dyDescent="0.3">
      <c r="B57" s="715" t="s">
        <v>24821</v>
      </c>
      <c r="C57" s="716" t="s">
        <v>24820</v>
      </c>
      <c r="D57" s="462" t="s">
        <v>24822</v>
      </c>
      <c r="E57" s="719">
        <v>12.1</v>
      </c>
      <c r="F57" s="717">
        <f t="shared" ref="F57:F58" si="3">E57</f>
        <v>12.1</v>
      </c>
      <c r="G57" s="716" t="s">
        <v>24800</v>
      </c>
      <c r="H57" s="718"/>
    </row>
    <row r="58" spans="2:8" ht="30.75" thickBot="1" x14ac:dyDescent="0.35">
      <c r="B58" s="720" t="s">
        <v>24827</v>
      </c>
      <c r="C58" s="721" t="s">
        <v>24828</v>
      </c>
      <c r="D58" s="737" t="s">
        <v>24829</v>
      </c>
      <c r="E58" s="723">
        <v>11.9</v>
      </c>
      <c r="F58" s="723">
        <f t="shared" si="3"/>
        <v>11.9</v>
      </c>
      <c r="G58" s="724" t="s">
        <v>24800</v>
      </c>
      <c r="H58" s="725"/>
    </row>
    <row r="59" spans="2:8" x14ac:dyDescent="0.3">
      <c r="B59" s="1068"/>
      <c r="C59" s="1229"/>
      <c r="D59" s="1229"/>
      <c r="E59" s="1229"/>
      <c r="F59" s="1229"/>
      <c r="G59" s="1229"/>
      <c r="H59" s="1074"/>
    </row>
    <row r="60" spans="2:8" x14ac:dyDescent="0.3">
      <c r="B60" s="1068"/>
      <c r="C60" s="1229"/>
      <c r="D60" s="1229"/>
      <c r="E60" s="1229"/>
      <c r="F60" s="1229"/>
      <c r="G60" s="1229"/>
      <c r="H60" s="1074"/>
    </row>
    <row r="61" spans="2:8" ht="15.75" thickBot="1" x14ac:dyDescent="0.35">
      <c r="B61" s="1068"/>
      <c r="C61" s="1229"/>
      <c r="D61" s="1229"/>
      <c r="E61" s="1229"/>
      <c r="F61" s="1229"/>
      <c r="G61" s="1229"/>
      <c r="H61" s="1074"/>
    </row>
    <row r="62" spans="2:8" x14ac:dyDescent="0.3">
      <c r="B62" s="1534" t="s">
        <v>24926</v>
      </c>
      <c r="C62" s="1535"/>
      <c r="D62" s="1535"/>
      <c r="E62" s="1535"/>
      <c r="F62" s="1535"/>
      <c r="G62" s="1535"/>
      <c r="H62" s="1536"/>
    </row>
    <row r="63" spans="2:8" x14ac:dyDescent="0.3">
      <c r="B63" s="697"/>
      <c r="C63" s="698"/>
      <c r="D63" s="698"/>
      <c r="E63" s="699"/>
      <c r="F63" s="699"/>
      <c r="G63" s="700"/>
      <c r="H63" s="701">
        <v>44043</v>
      </c>
    </row>
    <row r="64" spans="2:8" x14ac:dyDescent="0.3">
      <c r="B64" s="697"/>
      <c r="C64" s="698" t="s">
        <v>24790</v>
      </c>
      <c r="D64" s="698" t="s">
        <v>1</v>
      </c>
      <c r="E64" s="699" t="s">
        <v>456</v>
      </c>
      <c r="F64" s="699"/>
      <c r="G64" s="700" t="s">
        <v>24791</v>
      </c>
      <c r="H64" s="702" t="s">
        <v>24792</v>
      </c>
    </row>
    <row r="65" spans="2:8" x14ac:dyDescent="0.3">
      <c r="B65" s="703" t="s">
        <v>24927</v>
      </c>
      <c r="C65" s="1222" t="s">
        <v>24793</v>
      </c>
      <c r="D65" s="704" t="s">
        <v>24830</v>
      </c>
      <c r="E65" s="705" t="s">
        <v>24804</v>
      </c>
      <c r="F65" s="705"/>
      <c r="G65" s="462">
        <v>3</v>
      </c>
      <c r="H65" s="706">
        <f>(SUM(F69:F71))/3</f>
        <v>9.76</v>
      </c>
    </row>
    <row r="66" spans="2:8" x14ac:dyDescent="0.3">
      <c r="B66" s="707"/>
      <c r="C66" s="1181"/>
      <c r="D66" s="1181"/>
      <c r="E66" s="1182"/>
      <c r="F66" s="1182"/>
      <c r="G66" s="462" t="s">
        <v>24794</v>
      </c>
      <c r="H66" s="709" t="s">
        <v>24795</v>
      </c>
    </row>
    <row r="67" spans="2:8" x14ac:dyDescent="0.3">
      <c r="B67" s="707"/>
      <c r="C67" s="1181"/>
      <c r="D67" s="1181"/>
      <c r="E67" s="1182"/>
      <c r="F67" s="1182"/>
      <c r="G67" s="1181"/>
      <c r="H67" s="710"/>
    </row>
    <row r="68" spans="2:8" x14ac:dyDescent="0.3">
      <c r="B68" s="711" t="s">
        <v>24796</v>
      </c>
      <c r="C68" s="712" t="s">
        <v>24797</v>
      </c>
      <c r="D68" s="712" t="s">
        <v>24798</v>
      </c>
      <c r="E68" s="713" t="s">
        <v>270</v>
      </c>
      <c r="F68" s="713" t="s">
        <v>24805</v>
      </c>
      <c r="G68" s="712" t="s">
        <v>24799</v>
      </c>
      <c r="H68" s="714" t="s">
        <v>4429</v>
      </c>
    </row>
    <row r="69" spans="2:8" ht="30" x14ac:dyDescent="0.3">
      <c r="B69" s="738" t="s">
        <v>24831</v>
      </c>
      <c r="C69" s="716" t="s">
        <v>24832</v>
      </c>
      <c r="D69" s="741" t="s">
        <v>24833</v>
      </c>
      <c r="E69" s="717">
        <v>9.7799999999999994</v>
      </c>
      <c r="F69" s="717">
        <f>E69/1</f>
        <v>9.7799999999999994</v>
      </c>
      <c r="G69" s="716" t="s">
        <v>24800</v>
      </c>
      <c r="H69" s="718"/>
    </row>
    <row r="70" spans="2:8" x14ac:dyDescent="0.3">
      <c r="B70" s="715" t="s">
        <v>24834</v>
      </c>
      <c r="C70" s="716" t="s">
        <v>24802</v>
      </c>
      <c r="D70" s="735" t="s">
        <v>24803</v>
      </c>
      <c r="E70" s="719">
        <v>9.6</v>
      </c>
      <c r="F70" s="717">
        <f t="shared" ref="F70:F71" si="4">E70/1</f>
        <v>9.6</v>
      </c>
      <c r="G70" s="716" t="s">
        <v>24800</v>
      </c>
      <c r="H70" s="718"/>
    </row>
    <row r="71" spans="2:8" ht="15.75" thickBot="1" x14ac:dyDescent="0.35">
      <c r="B71" s="720" t="s">
        <v>24835</v>
      </c>
      <c r="C71" s="721" t="s">
        <v>24825</v>
      </c>
      <c r="D71" s="737" t="s">
        <v>24826</v>
      </c>
      <c r="E71" s="723">
        <v>9.9</v>
      </c>
      <c r="F71" s="723">
        <f t="shared" si="4"/>
        <v>9.9</v>
      </c>
      <c r="G71" s="724" t="s">
        <v>24800</v>
      </c>
      <c r="H71" s="725"/>
    </row>
    <row r="72" spans="2:8" x14ac:dyDescent="0.3">
      <c r="B72" s="1068"/>
      <c r="C72" s="1229"/>
      <c r="D72" s="1229"/>
      <c r="E72" s="1229"/>
      <c r="F72" s="1229"/>
      <c r="G72" s="1229"/>
      <c r="H72" s="1074"/>
    </row>
    <row r="73" spans="2:8" x14ac:dyDescent="0.3">
      <c r="B73" s="1068"/>
      <c r="C73" s="1229"/>
      <c r="D73" s="1229"/>
      <c r="E73" s="1229"/>
      <c r="F73" s="1229"/>
      <c r="G73" s="1229"/>
      <c r="H73" s="1074"/>
    </row>
    <row r="74" spans="2:8" ht="15.75" thickBot="1" x14ac:dyDescent="0.35">
      <c r="B74" s="1068"/>
      <c r="C74" s="1229"/>
      <c r="D74" s="1229"/>
      <c r="E74" s="1229"/>
      <c r="F74" s="1229"/>
      <c r="G74" s="1229"/>
      <c r="H74" s="1074"/>
    </row>
    <row r="75" spans="2:8" x14ac:dyDescent="0.3">
      <c r="B75" s="1534" t="s">
        <v>24928</v>
      </c>
      <c r="C75" s="1535"/>
      <c r="D75" s="1535"/>
      <c r="E75" s="1535"/>
      <c r="F75" s="1535"/>
      <c r="G75" s="1535"/>
      <c r="H75" s="1536"/>
    </row>
    <row r="76" spans="2:8" x14ac:dyDescent="0.3">
      <c r="B76" s="697"/>
      <c r="C76" s="698"/>
      <c r="D76" s="698"/>
      <c r="E76" s="699"/>
      <c r="F76" s="699"/>
      <c r="G76" s="700"/>
      <c r="H76" s="701">
        <v>44043</v>
      </c>
    </row>
    <row r="77" spans="2:8" x14ac:dyDescent="0.3">
      <c r="B77" s="697"/>
      <c r="C77" s="698" t="s">
        <v>24790</v>
      </c>
      <c r="D77" s="698" t="s">
        <v>1</v>
      </c>
      <c r="E77" s="699" t="s">
        <v>456</v>
      </c>
      <c r="F77" s="699"/>
      <c r="G77" s="700" t="s">
        <v>24791</v>
      </c>
      <c r="H77" s="702" t="s">
        <v>24792</v>
      </c>
    </row>
    <row r="78" spans="2:8" x14ac:dyDescent="0.3">
      <c r="B78" s="703" t="s">
        <v>24882</v>
      </c>
      <c r="C78" s="1222" t="s">
        <v>24793</v>
      </c>
      <c r="D78" s="704" t="s">
        <v>24840</v>
      </c>
      <c r="E78" s="705" t="s">
        <v>24804</v>
      </c>
      <c r="F78" s="705"/>
      <c r="G78" s="462">
        <v>3</v>
      </c>
      <c r="H78" s="706">
        <f>(SUM(F82:F84))/3</f>
        <v>18.23</v>
      </c>
    </row>
    <row r="79" spans="2:8" x14ac:dyDescent="0.3">
      <c r="B79" s="707"/>
      <c r="C79" s="1181"/>
      <c r="D79" s="1181"/>
      <c r="E79" s="1182"/>
      <c r="F79" s="1182"/>
      <c r="G79" s="462" t="s">
        <v>24794</v>
      </c>
      <c r="H79" s="709" t="s">
        <v>24795</v>
      </c>
    </row>
    <row r="80" spans="2:8" x14ac:dyDescent="0.3">
      <c r="B80" s="707"/>
      <c r="C80" s="1181"/>
      <c r="D80" s="1181"/>
      <c r="E80" s="1182"/>
      <c r="F80" s="1182"/>
      <c r="G80" s="1181"/>
      <c r="H80" s="710"/>
    </row>
    <row r="81" spans="2:8" x14ac:dyDescent="0.3">
      <c r="B81" s="711" t="s">
        <v>24796</v>
      </c>
      <c r="C81" s="712" t="s">
        <v>24797</v>
      </c>
      <c r="D81" s="712" t="s">
        <v>24798</v>
      </c>
      <c r="E81" s="713" t="s">
        <v>270</v>
      </c>
      <c r="F81" s="713" t="s">
        <v>24805</v>
      </c>
      <c r="G81" s="712" t="s">
        <v>24799</v>
      </c>
      <c r="H81" s="714" t="s">
        <v>4429</v>
      </c>
    </row>
    <row r="82" spans="2:8" x14ac:dyDescent="0.3">
      <c r="B82" s="715" t="s">
        <v>24821</v>
      </c>
      <c r="C82" s="716" t="s">
        <v>24820</v>
      </c>
      <c r="D82" s="462" t="s">
        <v>24822</v>
      </c>
      <c r="E82" s="717">
        <v>20.9</v>
      </c>
      <c r="F82" s="717">
        <f>E82/1</f>
        <v>20.9</v>
      </c>
      <c r="G82" s="716" t="s">
        <v>24800</v>
      </c>
      <c r="H82" s="718"/>
    </row>
    <row r="83" spans="2:8" ht="30" x14ac:dyDescent="0.3">
      <c r="B83" s="715" t="s">
        <v>24827</v>
      </c>
      <c r="C83" s="716" t="s">
        <v>24828</v>
      </c>
      <c r="D83" s="462" t="s">
        <v>24829</v>
      </c>
      <c r="E83" s="719">
        <v>18.899999999999999</v>
      </c>
      <c r="F83" s="717">
        <f t="shared" ref="F83:F84" si="5">E83/1</f>
        <v>18.899999999999999</v>
      </c>
      <c r="G83" s="716" t="s">
        <v>24800</v>
      </c>
      <c r="H83" s="718"/>
    </row>
    <row r="84" spans="2:8" ht="15.75" thickBot="1" x14ac:dyDescent="0.35">
      <c r="B84" s="720" t="s">
        <v>24841</v>
      </c>
      <c r="C84" s="721" t="s">
        <v>24842</v>
      </c>
      <c r="D84" s="737" t="s">
        <v>24843</v>
      </c>
      <c r="E84" s="723">
        <v>14.89</v>
      </c>
      <c r="F84" s="723">
        <f t="shared" si="5"/>
        <v>14.89</v>
      </c>
      <c r="G84" s="724" t="s">
        <v>24800</v>
      </c>
      <c r="H84" s="725"/>
    </row>
    <row r="85" spans="2:8" x14ac:dyDescent="0.3">
      <c r="B85" s="1068"/>
      <c r="C85" s="1229"/>
      <c r="D85" s="1229"/>
      <c r="E85" s="1229"/>
      <c r="F85" s="1229"/>
      <c r="G85" s="1229"/>
      <c r="H85" s="1074"/>
    </row>
    <row r="86" spans="2:8" x14ac:dyDescent="0.3">
      <c r="B86" s="1068"/>
      <c r="C86" s="1229"/>
      <c r="D86" s="1229"/>
      <c r="E86" s="1229"/>
      <c r="F86" s="1229"/>
      <c r="G86" s="1229"/>
      <c r="H86" s="1074"/>
    </row>
    <row r="87" spans="2:8" ht="15.75" thickBot="1" x14ac:dyDescent="0.35">
      <c r="B87" s="1068"/>
      <c r="C87" s="1229"/>
      <c r="D87" s="1229"/>
      <c r="E87" s="1229"/>
      <c r="F87" s="1229"/>
      <c r="G87" s="1229"/>
      <c r="H87" s="1074"/>
    </row>
    <row r="88" spans="2:8" x14ac:dyDescent="0.3">
      <c r="B88" s="1534" t="s">
        <v>24929</v>
      </c>
      <c r="C88" s="1535"/>
      <c r="D88" s="1535"/>
      <c r="E88" s="1535"/>
      <c r="F88" s="1535"/>
      <c r="G88" s="1535"/>
      <c r="H88" s="1536"/>
    </row>
    <row r="89" spans="2:8" x14ac:dyDescent="0.3">
      <c r="B89" s="697"/>
      <c r="C89" s="698"/>
      <c r="D89" s="698"/>
      <c r="E89" s="699"/>
      <c r="F89" s="699"/>
      <c r="G89" s="700"/>
      <c r="H89" s="701">
        <v>44043</v>
      </c>
    </row>
    <row r="90" spans="2:8" x14ac:dyDescent="0.3">
      <c r="B90" s="697"/>
      <c r="C90" s="698" t="s">
        <v>24790</v>
      </c>
      <c r="D90" s="698" t="s">
        <v>1</v>
      </c>
      <c r="E90" s="699" t="s">
        <v>456</v>
      </c>
      <c r="F90" s="699"/>
      <c r="G90" s="700" t="s">
        <v>24791</v>
      </c>
      <c r="H90" s="702" t="s">
        <v>24792</v>
      </c>
    </row>
    <row r="91" spans="2:8" x14ac:dyDescent="0.3">
      <c r="B91" s="703" t="s">
        <v>24930</v>
      </c>
      <c r="C91" s="1222" t="s">
        <v>24793</v>
      </c>
      <c r="D91" s="704" t="s">
        <v>24844</v>
      </c>
      <c r="E91" s="705" t="s">
        <v>24804</v>
      </c>
      <c r="F91" s="705"/>
      <c r="G91" s="462">
        <v>3</v>
      </c>
      <c r="H91" s="706">
        <f>(SUM(F95:F97))/3</f>
        <v>21.02</v>
      </c>
    </row>
    <row r="92" spans="2:8" x14ac:dyDescent="0.3">
      <c r="B92" s="707"/>
      <c r="C92" s="1181"/>
      <c r="D92" s="1181"/>
      <c r="E92" s="1182"/>
      <c r="F92" s="1182"/>
      <c r="G92" s="462" t="s">
        <v>24794</v>
      </c>
      <c r="H92" s="709" t="s">
        <v>24795</v>
      </c>
    </row>
    <row r="93" spans="2:8" x14ac:dyDescent="0.3">
      <c r="B93" s="707"/>
      <c r="C93" s="1181"/>
      <c r="D93" s="1181"/>
      <c r="E93" s="1182"/>
      <c r="F93" s="1182"/>
      <c r="G93" s="1181"/>
      <c r="H93" s="710"/>
    </row>
    <row r="94" spans="2:8" x14ac:dyDescent="0.3">
      <c r="B94" s="711" t="s">
        <v>24796</v>
      </c>
      <c r="C94" s="712" t="s">
        <v>24797</v>
      </c>
      <c r="D94" s="712" t="s">
        <v>24798</v>
      </c>
      <c r="E94" s="713" t="s">
        <v>270</v>
      </c>
      <c r="F94" s="713" t="s">
        <v>24805</v>
      </c>
      <c r="G94" s="712" t="s">
        <v>24799</v>
      </c>
      <c r="H94" s="714" t="s">
        <v>4429</v>
      </c>
    </row>
    <row r="95" spans="2:8" ht="30" x14ac:dyDescent="0.3">
      <c r="B95" s="715" t="s">
        <v>24845</v>
      </c>
      <c r="C95" s="716" t="s">
        <v>24846</v>
      </c>
      <c r="D95" s="462" t="s">
        <v>24847</v>
      </c>
      <c r="E95" s="717">
        <v>22.01</v>
      </c>
      <c r="F95" s="717">
        <f>E95/1</f>
        <v>22.01</v>
      </c>
      <c r="G95" s="716" t="s">
        <v>24800</v>
      </c>
      <c r="H95" s="718"/>
    </row>
    <row r="96" spans="2:8" x14ac:dyDescent="0.3">
      <c r="B96" s="715" t="s">
        <v>24848</v>
      </c>
      <c r="C96" s="716" t="s">
        <v>24849</v>
      </c>
      <c r="D96" s="462" t="s">
        <v>24850</v>
      </c>
      <c r="E96" s="719">
        <v>21.99</v>
      </c>
      <c r="F96" s="717">
        <f t="shared" ref="F96:F97" si="6">E96/1</f>
        <v>21.99</v>
      </c>
      <c r="G96" s="716" t="s">
        <v>24800</v>
      </c>
      <c r="H96" s="718"/>
    </row>
    <row r="97" spans="2:8" ht="15.75" thickBot="1" x14ac:dyDescent="0.35">
      <c r="B97" s="720" t="s">
        <v>24851</v>
      </c>
      <c r="C97" s="721" t="s">
        <v>24852</v>
      </c>
      <c r="D97" s="737" t="s">
        <v>24853</v>
      </c>
      <c r="E97" s="723">
        <v>19.07</v>
      </c>
      <c r="F97" s="723">
        <f t="shared" si="6"/>
        <v>19.07</v>
      </c>
      <c r="G97" s="724" t="s">
        <v>24800</v>
      </c>
      <c r="H97" s="725"/>
    </row>
    <row r="98" spans="2:8" x14ac:dyDescent="0.3">
      <c r="B98" s="1068"/>
      <c r="C98" s="1229"/>
      <c r="D98" s="1229"/>
      <c r="E98" s="1229"/>
      <c r="F98" s="1229"/>
      <c r="G98" s="1229"/>
      <c r="H98" s="1074"/>
    </row>
    <row r="99" spans="2:8" ht="15.75" thickBot="1" x14ac:dyDescent="0.35">
      <c r="B99" s="1068"/>
      <c r="C99" s="1229"/>
      <c r="D99" s="1229"/>
      <c r="E99" s="1229"/>
      <c r="F99" s="1229"/>
      <c r="G99" s="1229"/>
      <c r="H99" s="1074"/>
    </row>
    <row r="100" spans="2:8" x14ac:dyDescent="0.3">
      <c r="B100" s="1534" t="s">
        <v>24984</v>
      </c>
      <c r="C100" s="1535"/>
      <c r="D100" s="1535"/>
      <c r="E100" s="1535"/>
      <c r="F100" s="1535"/>
      <c r="G100" s="1535"/>
      <c r="H100" s="1536"/>
    </row>
    <row r="101" spans="2:8" x14ac:dyDescent="0.3">
      <c r="B101" s="697"/>
      <c r="C101" s="698"/>
      <c r="D101" s="698"/>
      <c r="E101" s="699"/>
      <c r="F101" s="699"/>
      <c r="G101" s="700"/>
      <c r="H101" s="701">
        <v>44043</v>
      </c>
    </row>
    <row r="102" spans="2:8" x14ac:dyDescent="0.3">
      <c r="B102" s="697"/>
      <c r="C102" s="698" t="s">
        <v>24790</v>
      </c>
      <c r="D102" s="698" t="s">
        <v>1</v>
      </c>
      <c r="E102" s="699" t="s">
        <v>456</v>
      </c>
      <c r="F102" s="699"/>
      <c r="G102" s="700" t="s">
        <v>24791</v>
      </c>
      <c r="H102" s="702" t="s">
        <v>24792</v>
      </c>
    </row>
    <row r="103" spans="2:8" ht="30" x14ac:dyDescent="0.3">
      <c r="B103" s="703" t="s">
        <v>24985</v>
      </c>
      <c r="C103" s="1222" t="s">
        <v>24793</v>
      </c>
      <c r="D103" s="704" t="s">
        <v>24986</v>
      </c>
      <c r="E103" s="705" t="s">
        <v>24804</v>
      </c>
      <c r="F103" s="705"/>
      <c r="G103" s="462">
        <v>3</v>
      </c>
      <c r="H103" s="706">
        <f>(SUM(F107:F109))/3</f>
        <v>1175</v>
      </c>
    </row>
    <row r="104" spans="2:8" x14ac:dyDescent="0.3">
      <c r="B104" s="707"/>
      <c r="C104" s="1181"/>
      <c r="D104" s="1181"/>
      <c r="E104" s="1182"/>
      <c r="F104" s="1182"/>
      <c r="G104" s="462" t="s">
        <v>24794</v>
      </c>
      <c r="H104" s="709" t="s">
        <v>24795</v>
      </c>
    </row>
    <row r="105" spans="2:8" x14ac:dyDescent="0.3">
      <c r="B105" s="707"/>
      <c r="C105" s="1181"/>
      <c r="D105" s="1181"/>
      <c r="E105" s="1182"/>
      <c r="F105" s="1182"/>
      <c r="G105" s="1181"/>
      <c r="H105" s="710"/>
    </row>
    <row r="106" spans="2:8" x14ac:dyDescent="0.3">
      <c r="B106" s="711" t="s">
        <v>24796</v>
      </c>
      <c r="C106" s="712" t="s">
        <v>24797</v>
      </c>
      <c r="D106" s="712" t="s">
        <v>24798</v>
      </c>
      <c r="E106" s="713" t="s">
        <v>270</v>
      </c>
      <c r="F106" s="713" t="s">
        <v>24805</v>
      </c>
      <c r="G106" s="712" t="s">
        <v>24799</v>
      </c>
      <c r="H106" s="714" t="s">
        <v>4429</v>
      </c>
    </row>
    <row r="107" spans="2:8" x14ac:dyDescent="0.3">
      <c r="B107" s="715" t="s">
        <v>24987</v>
      </c>
      <c r="C107" s="716" t="s">
        <v>24988</v>
      </c>
      <c r="D107" s="462" t="s">
        <v>24989</v>
      </c>
      <c r="E107" s="717">
        <v>1105</v>
      </c>
      <c r="F107" s="717">
        <f>E107/1</f>
        <v>1105</v>
      </c>
      <c r="G107" s="716" t="s">
        <v>24800</v>
      </c>
      <c r="H107" s="718"/>
    </row>
    <row r="108" spans="2:8" x14ac:dyDescent="0.3">
      <c r="B108" s="715" t="s">
        <v>24991</v>
      </c>
      <c r="C108" s="716" t="s">
        <v>24990</v>
      </c>
      <c r="D108" s="462" t="s">
        <v>24992</v>
      </c>
      <c r="E108" s="719">
        <v>1160</v>
      </c>
      <c r="F108" s="717">
        <f t="shared" ref="F108:F109" si="7">E108/1</f>
        <v>1160</v>
      </c>
      <c r="G108" s="716" t="s">
        <v>24800</v>
      </c>
      <c r="H108" s="718"/>
    </row>
    <row r="109" spans="2:8" ht="15.75" thickBot="1" x14ac:dyDescent="0.35">
      <c r="B109" s="720" t="s">
        <v>24993</v>
      </c>
      <c r="C109" s="721" t="s">
        <v>24994</v>
      </c>
      <c r="D109" s="737" t="s">
        <v>24995</v>
      </c>
      <c r="E109" s="723">
        <v>1260</v>
      </c>
      <c r="F109" s="723">
        <f t="shared" si="7"/>
        <v>1260</v>
      </c>
      <c r="G109" s="724" t="s">
        <v>24800</v>
      </c>
      <c r="H109" s="725"/>
    </row>
    <row r="110" spans="2:8" x14ac:dyDescent="0.3">
      <c r="B110" s="1068"/>
      <c r="C110" s="1229"/>
      <c r="D110" s="1229"/>
      <c r="E110" s="1229"/>
      <c r="F110" s="1229"/>
      <c r="G110" s="1229"/>
      <c r="H110" s="1074"/>
    </row>
    <row r="111" spans="2:8" ht="15.75" thickBot="1" x14ac:dyDescent="0.35">
      <c r="B111" s="1068"/>
      <c r="C111" s="1229"/>
      <c r="D111" s="1229"/>
      <c r="E111" s="1229"/>
      <c r="F111" s="1229"/>
      <c r="G111" s="1229"/>
      <c r="H111" s="1074"/>
    </row>
    <row r="112" spans="2:8" x14ac:dyDescent="0.3">
      <c r="B112" s="1534" t="s">
        <v>25037</v>
      </c>
      <c r="C112" s="1535"/>
      <c r="D112" s="1535"/>
      <c r="E112" s="1535"/>
      <c r="F112" s="1535"/>
      <c r="G112" s="1535"/>
      <c r="H112" s="1536"/>
    </row>
    <row r="113" spans="2:8" x14ac:dyDescent="0.3">
      <c r="B113" s="697"/>
      <c r="C113" s="698"/>
      <c r="D113" s="698"/>
      <c r="E113" s="699"/>
      <c r="F113" s="699"/>
      <c r="G113" s="700"/>
      <c r="H113" s="701">
        <v>44043</v>
      </c>
    </row>
    <row r="114" spans="2:8" x14ac:dyDescent="0.3">
      <c r="B114" s="697"/>
      <c r="C114" s="698" t="s">
        <v>24790</v>
      </c>
      <c r="D114" s="698" t="s">
        <v>1</v>
      </c>
      <c r="E114" s="699" t="s">
        <v>456</v>
      </c>
      <c r="F114" s="699"/>
      <c r="G114" s="700" t="s">
        <v>24791</v>
      </c>
      <c r="H114" s="702" t="s">
        <v>24792</v>
      </c>
    </row>
    <row r="115" spans="2:8" x14ac:dyDescent="0.3">
      <c r="B115" s="703" t="s">
        <v>25038</v>
      </c>
      <c r="C115" s="1222" t="s">
        <v>24793</v>
      </c>
      <c r="D115" s="704" t="s">
        <v>25039</v>
      </c>
      <c r="E115" s="705" t="s">
        <v>24804</v>
      </c>
      <c r="F115" s="705"/>
      <c r="G115" s="462">
        <v>3</v>
      </c>
      <c r="H115" s="706">
        <f>(SUM(F119:F121))/3</f>
        <v>153.29</v>
      </c>
    </row>
    <row r="116" spans="2:8" x14ac:dyDescent="0.3">
      <c r="B116" s="707"/>
      <c r="C116" s="1181"/>
      <c r="D116" s="1181"/>
      <c r="E116" s="1182"/>
      <c r="F116" s="1182"/>
      <c r="G116" s="462" t="s">
        <v>24794</v>
      </c>
      <c r="H116" s="709" t="s">
        <v>24795</v>
      </c>
    </row>
    <row r="117" spans="2:8" x14ac:dyDescent="0.3">
      <c r="B117" s="707"/>
      <c r="C117" s="1181"/>
      <c r="D117" s="1181"/>
      <c r="E117" s="1182"/>
      <c r="F117" s="1182"/>
      <c r="G117" s="1181"/>
      <c r="H117" s="710"/>
    </row>
    <row r="118" spans="2:8" x14ac:dyDescent="0.3">
      <c r="B118" s="711" t="s">
        <v>24796</v>
      </c>
      <c r="C118" s="712" t="s">
        <v>24797</v>
      </c>
      <c r="D118" s="712" t="s">
        <v>24798</v>
      </c>
      <c r="E118" s="713" t="s">
        <v>270</v>
      </c>
      <c r="F118" s="713" t="s">
        <v>24805</v>
      </c>
      <c r="G118" s="712" t="s">
        <v>24799</v>
      </c>
      <c r="H118" s="714" t="s">
        <v>4429</v>
      </c>
    </row>
    <row r="119" spans="2:8" ht="30" x14ac:dyDescent="0.3">
      <c r="B119" s="715" t="s">
        <v>25040</v>
      </c>
      <c r="C119" s="716" t="s">
        <v>25041</v>
      </c>
      <c r="D119" s="462" t="s">
        <v>25042</v>
      </c>
      <c r="E119" s="717">
        <v>145</v>
      </c>
      <c r="F119" s="717">
        <f>E119/1</f>
        <v>145</v>
      </c>
      <c r="G119" s="716" t="s">
        <v>24800</v>
      </c>
      <c r="H119" s="718"/>
    </row>
    <row r="120" spans="2:8" x14ac:dyDescent="0.3">
      <c r="B120" s="715" t="s">
        <v>24834</v>
      </c>
      <c r="C120" s="716" t="s">
        <v>24802</v>
      </c>
      <c r="D120" s="462" t="s">
        <v>24936</v>
      </c>
      <c r="E120" s="719">
        <v>144.66999999999999</v>
      </c>
      <c r="F120" s="717">
        <f t="shared" ref="F120:F121" si="8">E120/1</f>
        <v>144.66999999999999</v>
      </c>
      <c r="G120" s="716" t="s">
        <v>24800</v>
      </c>
      <c r="H120" s="718"/>
    </row>
    <row r="121" spans="2:8" ht="15.75" thickBot="1" x14ac:dyDescent="0.35">
      <c r="B121" s="720" t="s">
        <v>24848</v>
      </c>
      <c r="C121" s="721" t="s">
        <v>24908</v>
      </c>
      <c r="D121" s="737" t="s">
        <v>25043</v>
      </c>
      <c r="E121" s="723">
        <v>170.2</v>
      </c>
      <c r="F121" s="723">
        <f t="shared" si="8"/>
        <v>170.2</v>
      </c>
      <c r="G121" s="724" t="s">
        <v>24800</v>
      </c>
      <c r="H121" s="725"/>
    </row>
    <row r="122" spans="2:8" x14ac:dyDescent="0.3">
      <c r="B122" s="1068"/>
      <c r="C122" s="1229"/>
      <c r="D122" s="1229"/>
      <c r="E122" s="1229"/>
      <c r="F122" s="1229"/>
      <c r="G122" s="1229"/>
      <c r="H122" s="1074"/>
    </row>
    <row r="123" spans="2:8" ht="15.75" thickBot="1" x14ac:dyDescent="0.35">
      <c r="B123" s="1068"/>
      <c r="C123" s="1229"/>
      <c r="D123" s="1229"/>
      <c r="E123" s="1229"/>
      <c r="F123" s="1229"/>
      <c r="G123" s="1229"/>
      <c r="H123" s="1074"/>
    </row>
    <row r="124" spans="2:8" x14ac:dyDescent="0.3">
      <c r="B124" s="1534" t="s">
        <v>25044</v>
      </c>
      <c r="C124" s="1535"/>
      <c r="D124" s="1535"/>
      <c r="E124" s="1535"/>
      <c r="F124" s="1535"/>
      <c r="G124" s="1535"/>
      <c r="H124" s="1536"/>
    </row>
    <row r="125" spans="2:8" x14ac:dyDescent="0.3">
      <c r="B125" s="697"/>
      <c r="C125" s="698"/>
      <c r="D125" s="698"/>
      <c r="E125" s="699"/>
      <c r="F125" s="699"/>
      <c r="G125" s="700"/>
      <c r="H125" s="701">
        <v>44043</v>
      </c>
    </row>
    <row r="126" spans="2:8" x14ac:dyDescent="0.3">
      <c r="B126" s="697"/>
      <c r="C126" s="698" t="s">
        <v>24790</v>
      </c>
      <c r="D126" s="698" t="s">
        <v>1</v>
      </c>
      <c r="E126" s="699" t="s">
        <v>456</v>
      </c>
      <c r="F126" s="699"/>
      <c r="G126" s="700" t="s">
        <v>24791</v>
      </c>
      <c r="H126" s="702" t="s">
        <v>24792</v>
      </c>
    </row>
    <row r="127" spans="2:8" x14ac:dyDescent="0.3">
      <c r="B127" s="703" t="s">
        <v>25045</v>
      </c>
      <c r="C127" s="1222" t="s">
        <v>24793</v>
      </c>
      <c r="D127" s="704" t="s">
        <v>25036</v>
      </c>
      <c r="E127" s="705" t="s">
        <v>24804</v>
      </c>
      <c r="F127" s="705"/>
      <c r="G127" s="462">
        <v>3</v>
      </c>
      <c r="H127" s="706">
        <f>(SUM(F131:F133))/3</f>
        <v>86.2</v>
      </c>
    </row>
    <row r="128" spans="2:8" x14ac:dyDescent="0.3">
      <c r="B128" s="707"/>
      <c r="C128" s="1181"/>
      <c r="D128" s="1181"/>
      <c r="E128" s="1182"/>
      <c r="F128" s="1182"/>
      <c r="G128" s="462" t="s">
        <v>24794</v>
      </c>
      <c r="H128" s="709" t="s">
        <v>24795</v>
      </c>
    </row>
    <row r="129" spans="2:8" x14ac:dyDescent="0.3">
      <c r="B129" s="707"/>
      <c r="C129" s="1181"/>
      <c r="D129" s="1181"/>
      <c r="E129" s="1182"/>
      <c r="F129" s="1182"/>
      <c r="G129" s="1181"/>
      <c r="H129" s="710"/>
    </row>
    <row r="130" spans="2:8" x14ac:dyDescent="0.3">
      <c r="B130" s="711" t="s">
        <v>24796</v>
      </c>
      <c r="C130" s="712" t="s">
        <v>24797</v>
      </c>
      <c r="D130" s="712" t="s">
        <v>24798</v>
      </c>
      <c r="E130" s="713" t="s">
        <v>270</v>
      </c>
      <c r="F130" s="713" t="s">
        <v>24805</v>
      </c>
      <c r="G130" s="712" t="s">
        <v>24799</v>
      </c>
      <c r="H130" s="714" t="s">
        <v>4429</v>
      </c>
    </row>
    <row r="131" spans="2:8" ht="30" x14ac:dyDescent="0.3">
      <c r="B131" s="715" t="s">
        <v>25040</v>
      </c>
      <c r="C131" s="716" t="s">
        <v>25041</v>
      </c>
      <c r="D131" s="462" t="s">
        <v>25042</v>
      </c>
      <c r="E131" s="717">
        <v>88.4</v>
      </c>
      <c r="F131" s="717">
        <f>E131/1</f>
        <v>88.4</v>
      </c>
      <c r="G131" s="716" t="s">
        <v>24800</v>
      </c>
      <c r="H131" s="718"/>
    </row>
    <row r="132" spans="2:8" ht="30" x14ac:dyDescent="0.3">
      <c r="B132" s="715" t="s">
        <v>25046</v>
      </c>
      <c r="C132" s="716" t="s">
        <v>25047</v>
      </c>
      <c r="D132" s="462" t="s">
        <v>25048</v>
      </c>
      <c r="E132" s="719">
        <v>84.5</v>
      </c>
      <c r="F132" s="717">
        <v>70.2</v>
      </c>
      <c r="G132" s="716" t="s">
        <v>24800</v>
      </c>
      <c r="H132" s="718"/>
    </row>
    <row r="133" spans="2:8" ht="15.75" thickBot="1" x14ac:dyDescent="0.35">
      <c r="B133" s="720" t="s">
        <v>25049</v>
      </c>
      <c r="C133" s="721" t="s">
        <v>25050</v>
      </c>
      <c r="D133" s="737" t="s">
        <v>25051</v>
      </c>
      <c r="E133" s="723">
        <v>100</v>
      </c>
      <c r="F133" s="723">
        <f t="shared" ref="F133" si="9">E133/1</f>
        <v>100</v>
      </c>
      <c r="G133" s="724" t="s">
        <v>24800</v>
      </c>
      <c r="H133" s="725"/>
    </row>
    <row r="134" spans="2:8" x14ac:dyDescent="0.3">
      <c r="B134" s="1068"/>
      <c r="C134" s="1229"/>
      <c r="D134" s="1229"/>
      <c r="E134" s="1229"/>
      <c r="F134" s="1229"/>
      <c r="G134" s="1229"/>
      <c r="H134" s="1074"/>
    </row>
    <row r="135" spans="2:8" ht="15.75" thickBot="1" x14ac:dyDescent="0.35">
      <c r="B135" s="1068"/>
      <c r="C135" s="1229"/>
      <c r="D135" s="1229"/>
      <c r="E135" s="1229"/>
      <c r="F135" s="1229"/>
      <c r="G135" s="1229"/>
      <c r="H135" s="1074"/>
    </row>
    <row r="136" spans="2:8" x14ac:dyDescent="0.3">
      <c r="B136" s="1534" t="s">
        <v>25698</v>
      </c>
      <c r="C136" s="1535"/>
      <c r="D136" s="1535"/>
      <c r="E136" s="1535"/>
      <c r="F136" s="1535"/>
      <c r="G136" s="1535"/>
      <c r="H136" s="1536"/>
    </row>
    <row r="137" spans="2:8" x14ac:dyDescent="0.3">
      <c r="B137" s="697"/>
      <c r="C137" s="698"/>
      <c r="D137" s="698"/>
      <c r="E137" s="699"/>
      <c r="F137" s="699"/>
      <c r="G137" s="700"/>
      <c r="H137" s="701">
        <v>44043</v>
      </c>
    </row>
    <row r="138" spans="2:8" x14ac:dyDescent="0.3">
      <c r="B138" s="697"/>
      <c r="C138" s="698" t="s">
        <v>24790</v>
      </c>
      <c r="D138" s="698" t="s">
        <v>1</v>
      </c>
      <c r="E138" s="699" t="s">
        <v>456</v>
      </c>
      <c r="F138" s="699"/>
      <c r="G138" s="700" t="s">
        <v>24791</v>
      </c>
      <c r="H138" s="702" t="s">
        <v>24792</v>
      </c>
    </row>
    <row r="139" spans="2:8" x14ac:dyDescent="0.3">
      <c r="B139" s="703" t="s">
        <v>25699</v>
      </c>
      <c r="C139" s="1222" t="s">
        <v>24793</v>
      </c>
      <c r="D139" s="704" t="s">
        <v>25688</v>
      </c>
      <c r="E139" s="705" t="s">
        <v>7</v>
      </c>
      <c r="F139" s="705"/>
      <c r="G139" s="462">
        <v>3</v>
      </c>
      <c r="H139" s="706">
        <f>(SUM(F143:F145))/3</f>
        <v>14.01</v>
      </c>
    </row>
    <row r="140" spans="2:8" x14ac:dyDescent="0.3">
      <c r="B140" s="707"/>
      <c r="C140" s="1181"/>
      <c r="D140" s="1181"/>
      <c r="E140" s="1182"/>
      <c r="F140" s="1182"/>
      <c r="G140" s="462" t="s">
        <v>24794</v>
      </c>
      <c r="H140" s="709" t="s">
        <v>24795</v>
      </c>
    </row>
    <row r="141" spans="2:8" x14ac:dyDescent="0.3">
      <c r="B141" s="707"/>
      <c r="C141" s="1181"/>
      <c r="D141" s="1181"/>
      <c r="E141" s="1182"/>
      <c r="F141" s="1182"/>
      <c r="G141" s="1181"/>
      <c r="H141" s="710"/>
    </row>
    <row r="142" spans="2:8" x14ac:dyDescent="0.3">
      <c r="B142" s="711" t="s">
        <v>24796</v>
      </c>
      <c r="C142" s="712" t="s">
        <v>24797</v>
      </c>
      <c r="D142" s="712" t="s">
        <v>24798</v>
      </c>
      <c r="E142" s="713" t="s">
        <v>270</v>
      </c>
      <c r="F142" s="713" t="s">
        <v>25561</v>
      </c>
      <c r="G142" s="712" t="s">
        <v>24799</v>
      </c>
      <c r="H142" s="714" t="s">
        <v>4429</v>
      </c>
    </row>
    <row r="143" spans="2:8" x14ac:dyDescent="0.3">
      <c r="B143" s="715" t="s">
        <v>25689</v>
      </c>
      <c r="C143" s="716" t="s">
        <v>25690</v>
      </c>
      <c r="D143" s="462" t="s">
        <v>25691</v>
      </c>
      <c r="E143" s="717">
        <v>787.79</v>
      </c>
      <c r="F143" s="717">
        <f>E143/50</f>
        <v>15.76</v>
      </c>
      <c r="G143" s="716" t="s">
        <v>24800</v>
      </c>
      <c r="H143" s="718"/>
    </row>
    <row r="144" spans="2:8" x14ac:dyDescent="0.3">
      <c r="B144" s="715" t="s">
        <v>25692</v>
      </c>
      <c r="C144" s="716" t="s">
        <v>25694</v>
      </c>
      <c r="D144" s="462" t="s">
        <v>25693</v>
      </c>
      <c r="E144" s="719">
        <v>16.84</v>
      </c>
      <c r="F144" s="717">
        <f>E144</f>
        <v>16.84</v>
      </c>
      <c r="G144" s="716" t="s">
        <v>24800</v>
      </c>
      <c r="H144" s="718"/>
    </row>
    <row r="145" spans="2:8" ht="15.75" thickBot="1" x14ac:dyDescent="0.35">
      <c r="B145" s="720" t="s">
        <v>25695</v>
      </c>
      <c r="C145" s="721" t="s">
        <v>25697</v>
      </c>
      <c r="D145" s="737" t="s">
        <v>25696</v>
      </c>
      <c r="E145" s="723">
        <v>9.42</v>
      </c>
      <c r="F145" s="723">
        <f>E145</f>
        <v>9.42</v>
      </c>
      <c r="G145" s="724" t="s">
        <v>24800</v>
      </c>
      <c r="H145" s="725"/>
    </row>
    <row r="146" spans="2:8" x14ac:dyDescent="0.3">
      <c r="B146" s="1068"/>
      <c r="C146" s="1229"/>
      <c r="D146" s="1229"/>
      <c r="E146" s="1229"/>
      <c r="F146" s="1229"/>
      <c r="G146" s="1229"/>
      <c r="H146" s="1074"/>
    </row>
    <row r="147" spans="2:8" x14ac:dyDescent="0.3">
      <c r="B147" s="1068"/>
      <c r="C147" s="1229"/>
      <c r="D147" s="1229"/>
      <c r="E147" s="1229"/>
      <c r="F147" s="1229"/>
      <c r="G147" s="1229"/>
      <c r="H147" s="1074"/>
    </row>
    <row r="148" spans="2:8" x14ac:dyDescent="0.3">
      <c r="B148" s="1068"/>
      <c r="C148" s="1229"/>
      <c r="D148" s="1229"/>
      <c r="E148" s="1229"/>
      <c r="F148" s="1229"/>
      <c r="G148" s="1229"/>
      <c r="H148" s="1074"/>
    </row>
    <row r="149" spans="2:8" x14ac:dyDescent="0.3">
      <c r="B149" s="1068"/>
      <c r="C149" s="1229"/>
      <c r="D149" s="1229"/>
      <c r="E149" s="1229"/>
      <c r="F149" s="1229"/>
      <c r="G149" s="1229"/>
      <c r="H149" s="1074"/>
    </row>
    <row r="150" spans="2:8" x14ac:dyDescent="0.3">
      <c r="B150" s="1068"/>
      <c r="C150" s="1229"/>
      <c r="D150" s="1229"/>
      <c r="E150" s="1229"/>
      <c r="F150" s="1229"/>
      <c r="G150" s="1229"/>
      <c r="H150" s="1074"/>
    </row>
    <row r="151" spans="2:8" x14ac:dyDescent="0.3">
      <c r="B151" s="1068"/>
      <c r="C151" s="1229"/>
      <c r="D151" s="1229"/>
      <c r="E151" s="1229"/>
      <c r="F151" s="1229"/>
      <c r="G151" s="1229"/>
      <c r="H151" s="1074"/>
    </row>
    <row r="152" spans="2:8" x14ac:dyDescent="0.3">
      <c r="B152" s="1068"/>
      <c r="C152" s="1229"/>
      <c r="D152" s="1229"/>
      <c r="E152" s="1229"/>
      <c r="F152" s="1229"/>
      <c r="G152" s="1229"/>
      <c r="H152" s="1074"/>
    </row>
    <row r="153" spans="2:8" ht="18" x14ac:dyDescent="0.3">
      <c r="B153" s="1531" t="s">
        <v>24939</v>
      </c>
      <c r="C153" s="1515"/>
      <c r="D153" s="1223"/>
      <c r="E153" s="1515"/>
      <c r="F153" s="1515"/>
      <c r="G153" s="1515"/>
      <c r="H153" s="1528"/>
    </row>
    <row r="154" spans="2:8" ht="18" x14ac:dyDescent="0.3">
      <c r="B154" s="1532" t="s">
        <v>24941</v>
      </c>
      <c r="C154" s="1517"/>
      <c r="D154" s="1224"/>
      <c r="E154" s="1517"/>
      <c r="F154" s="1517"/>
      <c r="G154" s="1517"/>
      <c r="H154" s="1529"/>
    </row>
    <row r="155" spans="2:8" ht="18.75" thickBot="1" x14ac:dyDescent="0.35">
      <c r="B155" s="1533" t="s">
        <v>24940</v>
      </c>
      <c r="C155" s="1516"/>
      <c r="D155" s="1225"/>
      <c r="E155" s="1516"/>
      <c r="F155" s="1516"/>
      <c r="G155" s="1516"/>
      <c r="H155" s="1530"/>
    </row>
  </sheetData>
  <mergeCells count="18">
    <mergeCell ref="B136:H136"/>
    <mergeCell ref="B112:H112"/>
    <mergeCell ref="B124:H124"/>
    <mergeCell ref="B100:H100"/>
    <mergeCell ref="B49:H49"/>
    <mergeCell ref="B62:H62"/>
    <mergeCell ref="B75:H75"/>
    <mergeCell ref="B2:H2"/>
    <mergeCell ref="B88:H88"/>
    <mergeCell ref="B24:H24"/>
    <mergeCell ref="B36:H36"/>
    <mergeCell ref="B13:H13"/>
    <mergeCell ref="E153:H153"/>
    <mergeCell ref="E154:H154"/>
    <mergeCell ref="E155:H155"/>
    <mergeCell ref="B153:C153"/>
    <mergeCell ref="B154:C154"/>
    <mergeCell ref="B155:C155"/>
  </mergeCells>
  <pageMargins left="0.511811024" right="0.511811024" top="0.78740157499999996" bottom="0.78740157499999996" header="0.31496062000000002" footer="0.31496062000000002"/>
  <pageSetup paperSize="9" scale="43" fitToHeight="0"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E60B5-6A19-4083-A3E8-805C4BA2A632}">
  <dimension ref="A1:K245"/>
  <sheetViews>
    <sheetView tabSelected="1" view="pageBreakPreview" topLeftCell="A207" zoomScale="90" zoomScaleNormal="90" zoomScaleSheetLayoutView="90" workbookViewId="0">
      <selection activeCell="I232" sqref="I232"/>
    </sheetView>
  </sheetViews>
  <sheetFormatPr defaultRowHeight="18" x14ac:dyDescent="0.25"/>
  <cols>
    <col min="1" max="1" width="8.85546875" style="470"/>
    <col min="2" max="2" width="14.140625" style="589" bestFit="1" customWidth="1"/>
    <col min="3" max="3" width="14.5703125" style="589" customWidth="1"/>
    <col min="4" max="4" width="56.5703125" style="591" customWidth="1"/>
    <col min="5" max="5" width="11.140625" style="589" customWidth="1"/>
    <col min="6" max="6" width="11.42578125" style="592" bestFit="1" customWidth="1"/>
    <col min="7" max="7" width="14.5703125" style="593" bestFit="1" customWidth="1"/>
    <col min="8" max="8" width="20" style="593" bestFit="1" customWidth="1"/>
    <col min="9" max="9" width="18" style="1340" customWidth="1"/>
    <col min="10" max="10" width="19.140625" style="1341" bestFit="1" customWidth="1"/>
    <col min="11" max="11" width="17.140625" style="465" bestFit="1" customWidth="1"/>
  </cols>
  <sheetData>
    <row r="1" spans="1:11" ht="57.75" customHeight="1" x14ac:dyDescent="0.25">
      <c r="A1" s="1375" t="s">
        <v>25675</v>
      </c>
      <c r="B1" s="1376"/>
      <c r="C1" s="1376"/>
      <c r="D1" s="1376"/>
      <c r="E1" s="1376"/>
      <c r="F1" s="1376"/>
      <c r="G1" s="1376"/>
      <c r="H1" s="1537"/>
      <c r="I1" s="1303" t="s">
        <v>25676</v>
      </c>
      <c r="J1" s="1212" t="s">
        <v>2858</v>
      </c>
      <c r="K1" s="1211"/>
    </row>
    <row r="2" spans="1:11" ht="16.899999999999999" customHeight="1" x14ac:dyDescent="0.25">
      <c r="A2" s="598" t="s">
        <v>114</v>
      </c>
      <c r="B2" s="1378" t="s">
        <v>273</v>
      </c>
      <c r="C2" s="1378"/>
      <c r="D2" s="1378"/>
      <c r="E2" s="1302" t="s">
        <v>116</v>
      </c>
      <c r="F2" s="467">
        <v>44501</v>
      </c>
      <c r="G2" s="1295" t="s">
        <v>117</v>
      </c>
      <c r="H2" s="1205">
        <v>1.5727</v>
      </c>
      <c r="I2" s="1304" t="s">
        <v>25677</v>
      </c>
      <c r="J2" s="1207">
        <v>0.8</v>
      </c>
      <c r="K2" s="1213">
        <v>0.8</v>
      </c>
    </row>
    <row r="3" spans="1:11" ht="18.75" thickBot="1" x14ac:dyDescent="0.3">
      <c r="A3" s="600" t="s">
        <v>115</v>
      </c>
      <c r="B3" s="1380" t="s">
        <v>274</v>
      </c>
      <c r="C3" s="1380"/>
      <c r="D3" s="1380"/>
      <c r="E3" s="1296"/>
      <c r="F3" s="1201"/>
      <c r="G3" s="1203" t="s">
        <v>118</v>
      </c>
      <c r="H3" s="1206">
        <v>0.28220000000000001</v>
      </c>
      <c r="I3" s="1305" t="s">
        <v>25679</v>
      </c>
      <c r="J3" s="1207">
        <v>0.95</v>
      </c>
      <c r="K3" s="1214">
        <v>0.15</v>
      </c>
    </row>
    <row r="4" spans="1:11" ht="18.75" thickBot="1" x14ac:dyDescent="0.3">
      <c r="A4" s="589"/>
      <c r="B4" s="1294"/>
      <c r="C4" s="1294"/>
      <c r="D4" s="1294"/>
      <c r="E4" s="1294"/>
      <c r="F4" s="1208"/>
      <c r="G4" s="1209"/>
      <c r="H4" s="1210"/>
      <c r="I4" s="1306" t="s">
        <v>25678</v>
      </c>
      <c r="J4" s="1215">
        <v>1</v>
      </c>
      <c r="K4" s="1216">
        <v>0.05</v>
      </c>
    </row>
    <row r="5" spans="1:11" ht="30.75" thickBot="1" x14ac:dyDescent="0.3">
      <c r="A5" s="1313" t="s">
        <v>4384</v>
      </c>
      <c r="B5" s="1313" t="s">
        <v>133</v>
      </c>
      <c r="C5" s="1313" t="s">
        <v>4383</v>
      </c>
      <c r="D5" s="1313" t="s">
        <v>4385</v>
      </c>
      <c r="E5" s="1313" t="s">
        <v>4382</v>
      </c>
      <c r="F5" s="1314" t="s">
        <v>4381</v>
      </c>
      <c r="G5" s="1315" t="s">
        <v>4387</v>
      </c>
      <c r="H5" s="1316" t="s">
        <v>4386</v>
      </c>
      <c r="I5" s="1317" t="s">
        <v>2858</v>
      </c>
      <c r="J5" s="1318" t="s">
        <v>25680</v>
      </c>
      <c r="K5" s="1319" t="s">
        <v>25675</v>
      </c>
    </row>
    <row r="6" spans="1:11" ht="45" x14ac:dyDescent="0.25">
      <c r="A6" s="1320" t="s">
        <v>25949</v>
      </c>
      <c r="B6" s="1321">
        <v>42500</v>
      </c>
      <c r="C6" s="1321" t="s">
        <v>4389</v>
      </c>
      <c r="D6" s="1322" t="s">
        <v>4431</v>
      </c>
      <c r="E6" s="1321" t="s">
        <v>5</v>
      </c>
      <c r="F6" s="1323">
        <v>27498.07</v>
      </c>
      <c r="G6" s="1324">
        <v>133.72</v>
      </c>
      <c r="H6" s="1324">
        <v>3677041.92</v>
      </c>
      <c r="I6" s="1337">
        <v>0.1918</v>
      </c>
      <c r="J6" s="1337">
        <v>0.1918</v>
      </c>
      <c r="K6" s="1307" t="str">
        <f>IF(J6&lt;$J$2,$I$2,IF(J6&lt;$J$3,$I$3,$I$4))</f>
        <v>A</v>
      </c>
    </row>
    <row r="7" spans="1:11" ht="45" x14ac:dyDescent="0.25">
      <c r="A7" s="559" t="s">
        <v>25944</v>
      </c>
      <c r="B7" s="558" t="s">
        <v>4404</v>
      </c>
      <c r="C7" s="558" t="s">
        <v>24932</v>
      </c>
      <c r="D7" s="572" t="s">
        <v>25011</v>
      </c>
      <c r="E7" s="558" t="s">
        <v>6</v>
      </c>
      <c r="F7" s="565">
        <v>3937.5</v>
      </c>
      <c r="G7" s="573">
        <v>793.16</v>
      </c>
      <c r="H7" s="573">
        <v>3123067.5</v>
      </c>
      <c r="I7" s="1338">
        <v>0.16289999999999999</v>
      </c>
      <c r="J7" s="1338">
        <v>0.35460000000000003</v>
      </c>
      <c r="K7" s="1308" t="str">
        <f t="shared" ref="K7:K70" si="0">IF(J7&lt;$J$2,$I$2,IF(J7&lt;$J$3,$I$3,$I$4))</f>
        <v>A</v>
      </c>
    </row>
    <row r="8" spans="1:11" ht="30" x14ac:dyDescent="0.25">
      <c r="A8" s="559" t="s">
        <v>25952</v>
      </c>
      <c r="B8" s="558" t="s">
        <v>4404</v>
      </c>
      <c r="C8" s="558" t="s">
        <v>24759</v>
      </c>
      <c r="D8" s="572" t="s">
        <v>24767</v>
      </c>
      <c r="E8" s="558" t="s">
        <v>5</v>
      </c>
      <c r="F8" s="565">
        <v>9528.17</v>
      </c>
      <c r="G8" s="573">
        <v>259.04000000000002</v>
      </c>
      <c r="H8" s="573">
        <v>2468177.16</v>
      </c>
      <c r="I8" s="1338">
        <v>0.12870000000000001</v>
      </c>
      <c r="J8" s="1338">
        <v>0.4834</v>
      </c>
      <c r="K8" s="1308" t="str">
        <f t="shared" si="0"/>
        <v>A</v>
      </c>
    </row>
    <row r="9" spans="1:11" ht="30" x14ac:dyDescent="0.25">
      <c r="A9" s="559" t="s">
        <v>25948</v>
      </c>
      <c r="B9" s="558" t="s">
        <v>4404</v>
      </c>
      <c r="C9" s="558" t="s">
        <v>24761</v>
      </c>
      <c r="D9" s="572" t="s">
        <v>24705</v>
      </c>
      <c r="E9" s="558" t="s">
        <v>5</v>
      </c>
      <c r="F9" s="565">
        <v>27498.07</v>
      </c>
      <c r="G9" s="573">
        <v>46.49</v>
      </c>
      <c r="H9" s="573">
        <v>1278385.27</v>
      </c>
      <c r="I9" s="1338">
        <v>6.6699999999999995E-2</v>
      </c>
      <c r="J9" s="1338">
        <v>0.55000000000000004</v>
      </c>
      <c r="K9" s="1308" t="str">
        <f t="shared" si="0"/>
        <v>A</v>
      </c>
    </row>
    <row r="10" spans="1:11" ht="45" x14ac:dyDescent="0.25">
      <c r="A10" s="559" t="s">
        <v>25938</v>
      </c>
      <c r="B10" s="558">
        <v>60022</v>
      </c>
      <c r="C10" s="558" t="s">
        <v>4389</v>
      </c>
      <c r="D10" s="572" t="s">
        <v>25682</v>
      </c>
      <c r="E10" s="558" t="s">
        <v>284</v>
      </c>
      <c r="F10" s="565">
        <v>39406.97</v>
      </c>
      <c r="G10" s="573">
        <v>15.71</v>
      </c>
      <c r="H10" s="573">
        <v>619083.5</v>
      </c>
      <c r="I10" s="1338">
        <v>3.2300000000000002E-2</v>
      </c>
      <c r="J10" s="1338">
        <v>0.58230000000000004</v>
      </c>
      <c r="K10" s="1308" t="str">
        <f t="shared" si="0"/>
        <v>A</v>
      </c>
    </row>
    <row r="11" spans="1:11" ht="60" x14ac:dyDescent="0.25">
      <c r="A11" s="559" t="s">
        <v>25951</v>
      </c>
      <c r="B11" s="558" t="s">
        <v>4404</v>
      </c>
      <c r="C11" s="558" t="s">
        <v>24933</v>
      </c>
      <c r="D11" s="572" t="s">
        <v>25053</v>
      </c>
      <c r="E11" s="558" t="s">
        <v>5</v>
      </c>
      <c r="F11" s="565">
        <v>9528.17</v>
      </c>
      <c r="G11" s="573">
        <v>43.47</v>
      </c>
      <c r="H11" s="573">
        <v>414189.55</v>
      </c>
      <c r="I11" s="1338">
        <v>2.1600000000000001E-2</v>
      </c>
      <c r="J11" s="1338">
        <v>0.60389999999999999</v>
      </c>
      <c r="K11" s="1308" t="str">
        <f t="shared" si="0"/>
        <v>A</v>
      </c>
    </row>
    <row r="12" spans="1:11" ht="30" x14ac:dyDescent="0.25">
      <c r="A12" s="559" t="s">
        <v>25953</v>
      </c>
      <c r="B12" s="558" t="s">
        <v>4404</v>
      </c>
      <c r="C12" s="558" t="s">
        <v>24760</v>
      </c>
      <c r="D12" s="572" t="s">
        <v>24639</v>
      </c>
      <c r="E12" s="558" t="s">
        <v>5</v>
      </c>
      <c r="F12" s="565">
        <v>9528.17</v>
      </c>
      <c r="G12" s="573">
        <v>42.5</v>
      </c>
      <c r="H12" s="573">
        <v>404947.23</v>
      </c>
      <c r="I12" s="1338">
        <v>2.1100000000000001E-2</v>
      </c>
      <c r="J12" s="1338">
        <v>0.625</v>
      </c>
      <c r="K12" s="1308" t="str">
        <f t="shared" si="0"/>
        <v>A</v>
      </c>
    </row>
    <row r="13" spans="1:11" ht="30" x14ac:dyDescent="0.25">
      <c r="A13" s="559" t="s">
        <v>25947</v>
      </c>
      <c r="B13" s="558">
        <v>40781</v>
      </c>
      <c r="C13" s="558" t="s">
        <v>4389</v>
      </c>
      <c r="D13" s="572" t="s">
        <v>2907</v>
      </c>
      <c r="E13" s="558" t="s">
        <v>6</v>
      </c>
      <c r="F13" s="565">
        <v>4124.71</v>
      </c>
      <c r="G13" s="573">
        <v>81.88</v>
      </c>
      <c r="H13" s="573">
        <v>337731.25</v>
      </c>
      <c r="I13" s="1338">
        <v>1.7600000000000001E-2</v>
      </c>
      <c r="J13" s="1338">
        <v>0.64270000000000005</v>
      </c>
      <c r="K13" s="1308" t="str">
        <f t="shared" si="0"/>
        <v>A</v>
      </c>
    </row>
    <row r="14" spans="1:11" x14ac:dyDescent="0.25">
      <c r="A14" s="559" t="s">
        <v>25993</v>
      </c>
      <c r="B14" s="558" t="s">
        <v>4404</v>
      </c>
      <c r="C14" s="558" t="s">
        <v>25106</v>
      </c>
      <c r="D14" s="572" t="s">
        <v>25667</v>
      </c>
      <c r="E14" s="558" t="s">
        <v>5</v>
      </c>
      <c r="F14" s="565">
        <v>4505.82</v>
      </c>
      <c r="G14" s="573">
        <v>72.78</v>
      </c>
      <c r="H14" s="573">
        <v>327933.58</v>
      </c>
      <c r="I14" s="1338">
        <v>1.7100000000000001E-2</v>
      </c>
      <c r="J14" s="1338">
        <v>0.65980000000000005</v>
      </c>
      <c r="K14" s="1308" t="str">
        <f t="shared" si="0"/>
        <v>A</v>
      </c>
    </row>
    <row r="15" spans="1:11" ht="30" x14ac:dyDescent="0.25">
      <c r="A15" s="559" t="s">
        <v>25923</v>
      </c>
      <c r="B15" s="558" t="s">
        <v>553</v>
      </c>
      <c r="C15" s="558" t="s">
        <v>4379</v>
      </c>
      <c r="D15" s="572" t="s">
        <v>554</v>
      </c>
      <c r="E15" s="558" t="s">
        <v>5</v>
      </c>
      <c r="F15" s="565">
        <v>11601.44</v>
      </c>
      <c r="G15" s="573">
        <v>26.61</v>
      </c>
      <c r="H15" s="573">
        <v>308714.32</v>
      </c>
      <c r="I15" s="1338">
        <v>1.61E-2</v>
      </c>
      <c r="J15" s="1338">
        <v>0.67589999999999995</v>
      </c>
      <c r="K15" s="1308" t="str">
        <f t="shared" si="0"/>
        <v>A</v>
      </c>
    </row>
    <row r="16" spans="1:11" ht="30" x14ac:dyDescent="0.25">
      <c r="A16" s="559" t="s">
        <v>25956</v>
      </c>
      <c r="B16" s="558" t="s">
        <v>832</v>
      </c>
      <c r="C16" s="558" t="s">
        <v>4379</v>
      </c>
      <c r="D16" s="572" t="s">
        <v>259</v>
      </c>
      <c r="E16" s="558" t="s">
        <v>6</v>
      </c>
      <c r="F16" s="565">
        <v>274.5</v>
      </c>
      <c r="G16" s="573">
        <v>838.76</v>
      </c>
      <c r="H16" s="573">
        <v>230239.62</v>
      </c>
      <c r="I16" s="1338">
        <v>1.2E-2</v>
      </c>
      <c r="J16" s="1338">
        <v>0.68789999999999996</v>
      </c>
      <c r="K16" s="1308" t="str">
        <f t="shared" si="0"/>
        <v>A</v>
      </c>
    </row>
    <row r="17" spans="1:11" ht="30" x14ac:dyDescent="0.25">
      <c r="A17" s="559" t="s">
        <v>25983</v>
      </c>
      <c r="B17" s="558" t="s">
        <v>4404</v>
      </c>
      <c r="C17" s="558" t="s">
        <v>4413</v>
      </c>
      <c r="D17" s="572" t="s">
        <v>24980</v>
      </c>
      <c r="E17" s="558" t="s">
        <v>8</v>
      </c>
      <c r="F17" s="565">
        <v>985</v>
      </c>
      <c r="G17" s="573">
        <v>214.14</v>
      </c>
      <c r="H17" s="573">
        <v>210927.9</v>
      </c>
      <c r="I17" s="1338">
        <v>1.0999999999999999E-2</v>
      </c>
      <c r="J17" s="1338">
        <v>0.69889999999999997</v>
      </c>
      <c r="K17" s="1308" t="str">
        <f t="shared" si="0"/>
        <v>A</v>
      </c>
    </row>
    <row r="18" spans="1:11" ht="30" x14ac:dyDescent="0.25">
      <c r="A18" s="559" t="s">
        <v>25959</v>
      </c>
      <c r="B18" s="558" t="s">
        <v>4404</v>
      </c>
      <c r="C18" s="558" t="s">
        <v>24863</v>
      </c>
      <c r="D18" s="572" t="s">
        <v>24857</v>
      </c>
      <c r="E18" s="558" t="s">
        <v>8</v>
      </c>
      <c r="F18" s="565">
        <v>173</v>
      </c>
      <c r="G18" s="573">
        <v>1178.48</v>
      </c>
      <c r="H18" s="573">
        <v>203877.04</v>
      </c>
      <c r="I18" s="1338">
        <v>1.06E-2</v>
      </c>
      <c r="J18" s="1338">
        <v>0.70950000000000002</v>
      </c>
      <c r="K18" s="1308" t="str">
        <f t="shared" si="0"/>
        <v>A</v>
      </c>
    </row>
    <row r="19" spans="1:11" ht="30" x14ac:dyDescent="0.25">
      <c r="A19" s="559" t="s">
        <v>25928</v>
      </c>
      <c r="B19" s="558" t="s">
        <v>573</v>
      </c>
      <c r="C19" s="558" t="s">
        <v>4379</v>
      </c>
      <c r="D19" s="572" t="s">
        <v>574</v>
      </c>
      <c r="E19" s="558" t="s">
        <v>5</v>
      </c>
      <c r="F19" s="565">
        <v>15426.69</v>
      </c>
      <c r="G19" s="573">
        <v>12.28</v>
      </c>
      <c r="H19" s="573">
        <v>189439.75</v>
      </c>
      <c r="I19" s="1338">
        <v>9.9000000000000008E-3</v>
      </c>
      <c r="J19" s="1338">
        <v>0.71940000000000004</v>
      </c>
      <c r="K19" s="1308" t="str">
        <f t="shared" si="0"/>
        <v>A</v>
      </c>
    </row>
    <row r="20" spans="1:11" ht="45" x14ac:dyDescent="0.25">
      <c r="A20" s="559" t="s">
        <v>25987</v>
      </c>
      <c r="B20" s="558" t="s">
        <v>4404</v>
      </c>
      <c r="C20" s="558" t="s">
        <v>25109</v>
      </c>
      <c r="D20" s="572" t="s">
        <v>3531</v>
      </c>
      <c r="E20" s="558" t="s">
        <v>6</v>
      </c>
      <c r="F20" s="565">
        <v>975.58</v>
      </c>
      <c r="G20" s="573">
        <v>192.84</v>
      </c>
      <c r="H20" s="573">
        <v>188130.85</v>
      </c>
      <c r="I20" s="1338">
        <v>9.7999999999999997E-3</v>
      </c>
      <c r="J20" s="1338">
        <v>0.72919999999999996</v>
      </c>
      <c r="K20" s="1308" t="str">
        <f t="shared" si="0"/>
        <v>A</v>
      </c>
    </row>
    <row r="21" spans="1:11" ht="30" x14ac:dyDescent="0.25">
      <c r="A21" s="559" t="s">
        <v>25960</v>
      </c>
      <c r="B21" s="558" t="s">
        <v>4404</v>
      </c>
      <c r="C21" s="558" t="s">
        <v>25107</v>
      </c>
      <c r="D21" s="572" t="s">
        <v>25685</v>
      </c>
      <c r="E21" s="558" t="s">
        <v>7</v>
      </c>
      <c r="F21" s="565">
        <v>2489.4299999999998</v>
      </c>
      <c r="G21" s="573">
        <v>74</v>
      </c>
      <c r="H21" s="573">
        <v>184217.82</v>
      </c>
      <c r="I21" s="1338">
        <v>9.5999999999999992E-3</v>
      </c>
      <c r="J21" s="1338">
        <v>0.73880000000000001</v>
      </c>
      <c r="K21" s="1308" t="str">
        <f t="shared" si="0"/>
        <v>A</v>
      </c>
    </row>
    <row r="22" spans="1:11" ht="60" x14ac:dyDescent="0.25">
      <c r="A22" s="559" t="s">
        <v>25976</v>
      </c>
      <c r="B22" s="558" t="s">
        <v>4404</v>
      </c>
      <c r="C22" s="558" t="s">
        <v>4412</v>
      </c>
      <c r="D22" s="572" t="s">
        <v>25681</v>
      </c>
      <c r="E22" s="558" t="s">
        <v>8</v>
      </c>
      <c r="F22" s="565">
        <v>161</v>
      </c>
      <c r="G22" s="573">
        <v>1104.8499999999999</v>
      </c>
      <c r="H22" s="573">
        <v>177880.85</v>
      </c>
      <c r="I22" s="1338">
        <v>9.2999999999999992E-3</v>
      </c>
      <c r="J22" s="1338">
        <v>0.74809999999999999</v>
      </c>
      <c r="K22" s="1308" t="str">
        <f t="shared" si="0"/>
        <v>A</v>
      </c>
    </row>
    <row r="23" spans="1:11" ht="60" x14ac:dyDescent="0.25">
      <c r="A23" s="559" t="s">
        <v>25975</v>
      </c>
      <c r="B23" s="558" t="s">
        <v>1583</v>
      </c>
      <c r="C23" s="558" t="s">
        <v>4379</v>
      </c>
      <c r="D23" s="572" t="s">
        <v>1584</v>
      </c>
      <c r="E23" s="558" t="s">
        <v>7</v>
      </c>
      <c r="F23" s="565">
        <v>2480.4299999999998</v>
      </c>
      <c r="G23" s="573">
        <v>71.41</v>
      </c>
      <c r="H23" s="573">
        <v>177127.51</v>
      </c>
      <c r="I23" s="1338">
        <v>9.1999999999999998E-3</v>
      </c>
      <c r="J23" s="1338">
        <v>0.75729999999999997</v>
      </c>
      <c r="K23" s="1308" t="str">
        <f t="shared" si="0"/>
        <v>A</v>
      </c>
    </row>
    <row r="24" spans="1:11" x14ac:dyDescent="0.25">
      <c r="A24" s="559" t="s">
        <v>25986</v>
      </c>
      <c r="B24" s="558" t="s">
        <v>2609</v>
      </c>
      <c r="C24" s="558" t="s">
        <v>4379</v>
      </c>
      <c r="D24" s="572" t="s">
        <v>2610</v>
      </c>
      <c r="E24" s="558" t="s">
        <v>6</v>
      </c>
      <c r="F24" s="565">
        <v>682.9</v>
      </c>
      <c r="G24" s="573">
        <v>259.08999999999997</v>
      </c>
      <c r="H24" s="573">
        <v>176932.56</v>
      </c>
      <c r="I24" s="1338">
        <v>9.1999999999999998E-3</v>
      </c>
      <c r="J24" s="1338">
        <v>0.76649999999999996</v>
      </c>
      <c r="K24" s="1308" t="str">
        <f t="shared" si="0"/>
        <v>A</v>
      </c>
    </row>
    <row r="25" spans="1:11" ht="45" x14ac:dyDescent="0.25">
      <c r="A25" s="559" t="s">
        <v>25943</v>
      </c>
      <c r="B25" s="558" t="s">
        <v>2584</v>
      </c>
      <c r="C25" s="558" t="s">
        <v>4379</v>
      </c>
      <c r="D25" s="572" t="s">
        <v>2585</v>
      </c>
      <c r="E25" s="558" t="s">
        <v>7</v>
      </c>
      <c r="F25" s="565">
        <v>2680</v>
      </c>
      <c r="G25" s="573">
        <v>64.14</v>
      </c>
      <c r="H25" s="573">
        <v>171895.2</v>
      </c>
      <c r="I25" s="1338">
        <v>8.9999999999999993E-3</v>
      </c>
      <c r="J25" s="1338">
        <v>0.77549999999999997</v>
      </c>
      <c r="K25" s="1308" t="str">
        <f t="shared" si="0"/>
        <v>A</v>
      </c>
    </row>
    <row r="26" spans="1:11" ht="30" x14ac:dyDescent="0.25">
      <c r="A26" s="559" t="s">
        <v>25958</v>
      </c>
      <c r="B26" s="558" t="s">
        <v>834</v>
      </c>
      <c r="C26" s="558" t="s">
        <v>4379</v>
      </c>
      <c r="D26" s="572" t="s">
        <v>19</v>
      </c>
      <c r="E26" s="558" t="s">
        <v>20</v>
      </c>
      <c r="F26" s="565">
        <v>9760</v>
      </c>
      <c r="G26" s="573">
        <v>16.59</v>
      </c>
      <c r="H26" s="573">
        <v>161918.39999999999</v>
      </c>
      <c r="I26" s="1338">
        <v>8.3999999999999995E-3</v>
      </c>
      <c r="J26" s="1338">
        <v>0.78400000000000003</v>
      </c>
      <c r="K26" s="1308" t="str">
        <f t="shared" si="0"/>
        <v>A</v>
      </c>
    </row>
    <row r="27" spans="1:11" ht="30" x14ac:dyDescent="0.25">
      <c r="A27" s="559" t="s">
        <v>25945</v>
      </c>
      <c r="B27" s="558">
        <v>40714</v>
      </c>
      <c r="C27" s="558" t="s">
        <v>4389</v>
      </c>
      <c r="D27" s="572" t="s">
        <v>3241</v>
      </c>
      <c r="E27" s="558" t="s">
        <v>5</v>
      </c>
      <c r="F27" s="565">
        <v>9750</v>
      </c>
      <c r="G27" s="573">
        <v>15.1</v>
      </c>
      <c r="H27" s="573">
        <v>147225</v>
      </c>
      <c r="I27" s="1338">
        <v>7.7000000000000002E-3</v>
      </c>
      <c r="J27" s="1338">
        <v>0.79159999999999997</v>
      </c>
      <c r="K27" s="1308" t="str">
        <f t="shared" si="0"/>
        <v>A</v>
      </c>
    </row>
    <row r="28" spans="1:11" ht="30" x14ac:dyDescent="0.25">
      <c r="A28" s="559" t="s">
        <v>25988</v>
      </c>
      <c r="B28" s="558">
        <v>40714</v>
      </c>
      <c r="C28" s="558" t="s">
        <v>4389</v>
      </c>
      <c r="D28" s="572" t="s">
        <v>3241</v>
      </c>
      <c r="E28" s="558" t="s">
        <v>5</v>
      </c>
      <c r="F28" s="565">
        <v>9755.7800000000007</v>
      </c>
      <c r="G28" s="573">
        <v>15.1</v>
      </c>
      <c r="H28" s="573">
        <v>147312.28</v>
      </c>
      <c r="I28" s="1338">
        <v>7.7000000000000002E-3</v>
      </c>
      <c r="J28" s="1338">
        <v>0.79930000000000001</v>
      </c>
      <c r="K28" s="1308" t="str">
        <f t="shared" si="0"/>
        <v>A</v>
      </c>
    </row>
    <row r="29" spans="1:11" x14ac:dyDescent="0.25">
      <c r="A29" s="559" t="s">
        <v>25961</v>
      </c>
      <c r="B29" s="558" t="s">
        <v>4404</v>
      </c>
      <c r="C29" s="558" t="s">
        <v>24897</v>
      </c>
      <c r="D29" s="572" t="s">
        <v>24883</v>
      </c>
      <c r="E29" s="558" t="s">
        <v>8</v>
      </c>
      <c r="F29" s="565">
        <v>161</v>
      </c>
      <c r="G29" s="573">
        <v>904.3</v>
      </c>
      <c r="H29" s="573">
        <v>145592.29999999999</v>
      </c>
      <c r="I29" s="1338">
        <v>7.6E-3</v>
      </c>
      <c r="J29" s="1338">
        <v>0.80689999999999995</v>
      </c>
      <c r="K29" s="1309" t="str">
        <f t="shared" si="0"/>
        <v>B</v>
      </c>
    </row>
    <row r="30" spans="1:11" ht="30" x14ac:dyDescent="0.25">
      <c r="A30" s="559" t="s">
        <v>25955</v>
      </c>
      <c r="B30" s="558">
        <v>42482</v>
      </c>
      <c r="C30" s="558" t="s">
        <v>4389</v>
      </c>
      <c r="D30" s="572" t="s">
        <v>4146</v>
      </c>
      <c r="E30" s="558" t="s">
        <v>6</v>
      </c>
      <c r="F30" s="565">
        <v>1155.71</v>
      </c>
      <c r="G30" s="573">
        <v>121.96</v>
      </c>
      <c r="H30" s="573">
        <v>140950.39000000001</v>
      </c>
      <c r="I30" s="1338">
        <v>7.4000000000000003E-3</v>
      </c>
      <c r="J30" s="1338">
        <v>0.81430000000000002</v>
      </c>
      <c r="K30" s="1309" t="str">
        <f t="shared" si="0"/>
        <v>B</v>
      </c>
    </row>
    <row r="31" spans="1:11" x14ac:dyDescent="0.25">
      <c r="A31" s="559" t="s">
        <v>26120</v>
      </c>
      <c r="B31" s="558" t="s">
        <v>25148</v>
      </c>
      <c r="C31" s="558" t="s">
        <v>4404</v>
      </c>
      <c r="D31" s="572" t="s">
        <v>25194</v>
      </c>
      <c r="E31" s="558" t="s">
        <v>5</v>
      </c>
      <c r="F31" s="565">
        <v>177.6</v>
      </c>
      <c r="G31" s="573">
        <v>797.2</v>
      </c>
      <c r="H31" s="573">
        <v>141582.72</v>
      </c>
      <c r="I31" s="1338">
        <v>7.4000000000000003E-3</v>
      </c>
      <c r="J31" s="1338">
        <v>0.8216</v>
      </c>
      <c r="K31" s="1309" t="str">
        <f t="shared" si="0"/>
        <v>B</v>
      </c>
    </row>
    <row r="32" spans="1:11" ht="30" x14ac:dyDescent="0.25">
      <c r="A32" s="559" t="s">
        <v>26008</v>
      </c>
      <c r="B32" s="558" t="s">
        <v>834</v>
      </c>
      <c r="C32" s="558" t="s">
        <v>4379</v>
      </c>
      <c r="D32" s="572" t="s">
        <v>19</v>
      </c>
      <c r="E32" s="558" t="s">
        <v>20</v>
      </c>
      <c r="F32" s="565">
        <v>8060</v>
      </c>
      <c r="G32" s="573">
        <v>16.59</v>
      </c>
      <c r="H32" s="573">
        <v>133715.4</v>
      </c>
      <c r="I32" s="1338">
        <v>7.0000000000000001E-3</v>
      </c>
      <c r="J32" s="1338">
        <v>0.8286</v>
      </c>
      <c r="K32" s="1309" t="str">
        <f t="shared" si="0"/>
        <v>B</v>
      </c>
    </row>
    <row r="33" spans="1:11" ht="45" x14ac:dyDescent="0.25">
      <c r="A33" s="559" t="s">
        <v>25941</v>
      </c>
      <c r="B33" s="558">
        <v>60022</v>
      </c>
      <c r="C33" s="558" t="s">
        <v>4389</v>
      </c>
      <c r="D33" s="572" t="s">
        <v>25682</v>
      </c>
      <c r="E33" s="558" t="s">
        <v>284</v>
      </c>
      <c r="F33" s="565">
        <v>8309.6</v>
      </c>
      <c r="G33" s="573">
        <v>15.71</v>
      </c>
      <c r="H33" s="573">
        <v>130543.82</v>
      </c>
      <c r="I33" s="1338">
        <v>6.7999999999999996E-3</v>
      </c>
      <c r="J33" s="1338">
        <v>0.83540000000000003</v>
      </c>
      <c r="K33" s="1309" t="str">
        <f t="shared" si="0"/>
        <v>B</v>
      </c>
    </row>
    <row r="34" spans="1:11" ht="105" x14ac:dyDescent="0.25">
      <c r="A34" s="559" t="s">
        <v>25984</v>
      </c>
      <c r="B34" s="558" t="s">
        <v>4404</v>
      </c>
      <c r="C34" s="558" t="s">
        <v>4414</v>
      </c>
      <c r="D34" s="572" t="s">
        <v>4403</v>
      </c>
      <c r="E34" s="558" t="s">
        <v>8</v>
      </c>
      <c r="F34" s="565">
        <v>36</v>
      </c>
      <c r="G34" s="573">
        <v>3597.89</v>
      </c>
      <c r="H34" s="573">
        <v>129524.04</v>
      </c>
      <c r="I34" s="1338">
        <v>6.7999999999999996E-3</v>
      </c>
      <c r="J34" s="1338">
        <v>0.84219999999999995</v>
      </c>
      <c r="K34" s="1309" t="str">
        <f t="shared" si="0"/>
        <v>B</v>
      </c>
    </row>
    <row r="35" spans="1:11" ht="30" x14ac:dyDescent="0.25">
      <c r="A35" s="559" t="s">
        <v>25985</v>
      </c>
      <c r="B35" s="558" t="s">
        <v>2613</v>
      </c>
      <c r="C35" s="558" t="s">
        <v>4379</v>
      </c>
      <c r="D35" s="572" t="s">
        <v>317</v>
      </c>
      <c r="E35" s="558" t="s">
        <v>5</v>
      </c>
      <c r="F35" s="565">
        <v>3902.31</v>
      </c>
      <c r="G35" s="573">
        <v>33.590000000000003</v>
      </c>
      <c r="H35" s="573">
        <v>131078.59</v>
      </c>
      <c r="I35" s="1338">
        <v>6.7999999999999996E-3</v>
      </c>
      <c r="J35" s="1338">
        <v>0.84899999999999998</v>
      </c>
      <c r="K35" s="1309" t="str">
        <f t="shared" si="0"/>
        <v>B</v>
      </c>
    </row>
    <row r="36" spans="1:11" ht="30" x14ac:dyDescent="0.25">
      <c r="A36" s="559" t="s">
        <v>25940</v>
      </c>
      <c r="B36" s="558" t="s">
        <v>4404</v>
      </c>
      <c r="C36" s="558" t="s">
        <v>24757</v>
      </c>
      <c r="D36" s="572" t="s">
        <v>24890</v>
      </c>
      <c r="E36" s="558" t="s">
        <v>6</v>
      </c>
      <c r="F36" s="565">
        <v>4888</v>
      </c>
      <c r="G36" s="573">
        <v>25.63</v>
      </c>
      <c r="H36" s="573">
        <v>125279.44</v>
      </c>
      <c r="I36" s="1338">
        <v>6.4999999999999997E-3</v>
      </c>
      <c r="J36" s="1338">
        <v>0.85560000000000003</v>
      </c>
      <c r="K36" s="1309" t="str">
        <f t="shared" si="0"/>
        <v>B</v>
      </c>
    </row>
    <row r="37" spans="1:11" ht="45" x14ac:dyDescent="0.25">
      <c r="A37" s="559" t="s">
        <v>26002</v>
      </c>
      <c r="B37" s="558" t="s">
        <v>24893</v>
      </c>
      <c r="C37" s="558" t="s">
        <v>4404</v>
      </c>
      <c r="D37" s="572" t="s">
        <v>25297</v>
      </c>
      <c r="E37" s="558" t="s">
        <v>6</v>
      </c>
      <c r="F37" s="565">
        <v>202.04</v>
      </c>
      <c r="G37" s="573">
        <v>620.74</v>
      </c>
      <c r="H37" s="573">
        <v>125414.31</v>
      </c>
      <c r="I37" s="1338">
        <v>6.4999999999999997E-3</v>
      </c>
      <c r="J37" s="1338">
        <v>0.86209999999999998</v>
      </c>
      <c r="K37" s="1309" t="str">
        <f t="shared" si="0"/>
        <v>B</v>
      </c>
    </row>
    <row r="38" spans="1:11" x14ac:dyDescent="0.25">
      <c r="A38" s="559" t="s">
        <v>25946</v>
      </c>
      <c r="B38" s="558">
        <v>7050100010</v>
      </c>
      <c r="C38" s="558" t="s">
        <v>25772</v>
      </c>
      <c r="D38" s="572" t="s">
        <v>25771</v>
      </c>
      <c r="E38" s="558" t="s">
        <v>5</v>
      </c>
      <c r="F38" s="565">
        <v>6000</v>
      </c>
      <c r="G38" s="573">
        <v>19.96</v>
      </c>
      <c r="H38" s="573">
        <v>119760</v>
      </c>
      <c r="I38" s="1338">
        <v>6.1999999999999998E-3</v>
      </c>
      <c r="J38" s="1338">
        <v>0.86829999999999996</v>
      </c>
      <c r="K38" s="1309" t="str">
        <f t="shared" si="0"/>
        <v>B</v>
      </c>
    </row>
    <row r="39" spans="1:11" ht="30" x14ac:dyDescent="0.25">
      <c r="A39" s="559" t="s">
        <v>25937</v>
      </c>
      <c r="B39" s="558">
        <v>40230</v>
      </c>
      <c r="C39" s="558" t="s">
        <v>4389</v>
      </c>
      <c r="D39" s="572" t="s">
        <v>2876</v>
      </c>
      <c r="E39" s="558" t="s">
        <v>6</v>
      </c>
      <c r="F39" s="565">
        <v>23180.57</v>
      </c>
      <c r="G39" s="573">
        <v>4.1399999999999997</v>
      </c>
      <c r="H39" s="573">
        <v>95967.56</v>
      </c>
      <c r="I39" s="1338">
        <v>5.0000000000000001E-3</v>
      </c>
      <c r="J39" s="1338">
        <v>0.87329999999999997</v>
      </c>
      <c r="K39" s="1309" t="str">
        <f t="shared" si="0"/>
        <v>B</v>
      </c>
    </row>
    <row r="40" spans="1:11" x14ac:dyDescent="0.25">
      <c r="A40" s="559" t="s">
        <v>25935</v>
      </c>
      <c r="B40" s="558" t="s">
        <v>4404</v>
      </c>
      <c r="C40" s="558" t="s">
        <v>24756</v>
      </c>
      <c r="D40" s="572" t="s">
        <v>24937</v>
      </c>
      <c r="E40" s="558" t="s">
        <v>6</v>
      </c>
      <c r="F40" s="565">
        <v>299.18</v>
      </c>
      <c r="G40" s="573">
        <v>300.32</v>
      </c>
      <c r="H40" s="573">
        <v>89849.74</v>
      </c>
      <c r="I40" s="1338">
        <v>4.7000000000000002E-3</v>
      </c>
      <c r="J40" s="1338">
        <v>0.878</v>
      </c>
      <c r="K40" s="1309" t="str">
        <f t="shared" si="0"/>
        <v>B</v>
      </c>
    </row>
    <row r="41" spans="1:11" ht="30" x14ac:dyDescent="0.25">
      <c r="A41" s="559" t="s">
        <v>25992</v>
      </c>
      <c r="B41" s="558" t="s">
        <v>4404</v>
      </c>
      <c r="C41" s="558" t="s">
        <v>24931</v>
      </c>
      <c r="D41" s="572" t="s">
        <v>24981</v>
      </c>
      <c r="E41" s="558" t="s">
        <v>8</v>
      </c>
      <c r="F41" s="565">
        <v>151</v>
      </c>
      <c r="G41" s="573">
        <v>594.95000000000005</v>
      </c>
      <c r="H41" s="573">
        <v>89837.45</v>
      </c>
      <c r="I41" s="1338">
        <v>4.7000000000000002E-3</v>
      </c>
      <c r="J41" s="1338">
        <v>0.88270000000000004</v>
      </c>
      <c r="K41" s="1309" t="str">
        <f t="shared" si="0"/>
        <v>B</v>
      </c>
    </row>
    <row r="42" spans="1:11" ht="30" x14ac:dyDescent="0.25">
      <c r="A42" s="559" t="s">
        <v>26021</v>
      </c>
      <c r="B42" s="558" t="s">
        <v>24758</v>
      </c>
      <c r="C42" s="558" t="s">
        <v>4404</v>
      </c>
      <c r="D42" s="572" t="s">
        <v>25231</v>
      </c>
      <c r="E42" s="558" t="s">
        <v>8</v>
      </c>
      <c r="F42" s="565">
        <v>4</v>
      </c>
      <c r="G42" s="573">
        <v>21577.5</v>
      </c>
      <c r="H42" s="573">
        <v>86310</v>
      </c>
      <c r="I42" s="1338">
        <v>4.4999999999999997E-3</v>
      </c>
      <c r="J42" s="1338">
        <v>0.88719999999999999</v>
      </c>
      <c r="K42" s="1309" t="str">
        <f t="shared" si="0"/>
        <v>B</v>
      </c>
    </row>
    <row r="43" spans="1:11" ht="30" x14ac:dyDescent="0.25">
      <c r="A43" s="559" t="s">
        <v>25927</v>
      </c>
      <c r="B43" s="558">
        <v>42496</v>
      </c>
      <c r="C43" s="558" t="s">
        <v>4389</v>
      </c>
      <c r="D43" s="572" t="s">
        <v>3499</v>
      </c>
      <c r="E43" s="558" t="s">
        <v>5</v>
      </c>
      <c r="F43" s="565">
        <v>15426.69</v>
      </c>
      <c r="G43" s="573">
        <v>5.21</v>
      </c>
      <c r="H43" s="573">
        <v>80373.05</v>
      </c>
      <c r="I43" s="1338">
        <v>4.1999999999999997E-3</v>
      </c>
      <c r="J43" s="1338">
        <v>0.89139999999999997</v>
      </c>
      <c r="K43" s="1309" t="str">
        <f t="shared" si="0"/>
        <v>B</v>
      </c>
    </row>
    <row r="44" spans="1:11" ht="30" x14ac:dyDescent="0.25">
      <c r="A44" s="559" t="s">
        <v>26026</v>
      </c>
      <c r="B44" s="558" t="s">
        <v>24863</v>
      </c>
      <c r="C44" s="558" t="s">
        <v>4404</v>
      </c>
      <c r="D44" s="572" t="s">
        <v>25237</v>
      </c>
      <c r="E44" s="558" t="s">
        <v>5</v>
      </c>
      <c r="F44" s="565">
        <v>574.76</v>
      </c>
      <c r="G44" s="573">
        <v>141.36000000000001</v>
      </c>
      <c r="H44" s="573">
        <v>81248.070000000007</v>
      </c>
      <c r="I44" s="1338">
        <v>4.1999999999999997E-3</v>
      </c>
      <c r="J44" s="1338">
        <v>0.89559999999999995</v>
      </c>
      <c r="K44" s="1309" t="str">
        <f t="shared" si="0"/>
        <v>B</v>
      </c>
    </row>
    <row r="45" spans="1:11" ht="60" x14ac:dyDescent="0.25">
      <c r="A45" s="559" t="s">
        <v>26003</v>
      </c>
      <c r="B45" s="558" t="s">
        <v>808</v>
      </c>
      <c r="C45" s="558" t="s">
        <v>4379</v>
      </c>
      <c r="D45" s="572" t="s">
        <v>16</v>
      </c>
      <c r="E45" s="558" t="s">
        <v>5</v>
      </c>
      <c r="F45" s="565">
        <v>845</v>
      </c>
      <c r="G45" s="573">
        <v>93.92</v>
      </c>
      <c r="H45" s="573">
        <v>79362.399999999994</v>
      </c>
      <c r="I45" s="1338">
        <v>4.1000000000000003E-3</v>
      </c>
      <c r="J45" s="1338">
        <v>0.89980000000000004</v>
      </c>
      <c r="K45" s="1309" t="str">
        <f t="shared" si="0"/>
        <v>B</v>
      </c>
    </row>
    <row r="46" spans="1:11" ht="30" x14ac:dyDescent="0.25">
      <c r="A46" s="559" t="s">
        <v>25939</v>
      </c>
      <c r="B46" s="558">
        <v>43335</v>
      </c>
      <c r="C46" s="558" t="s">
        <v>4389</v>
      </c>
      <c r="D46" s="572" t="s">
        <v>4015</v>
      </c>
      <c r="E46" s="558" t="s">
        <v>6</v>
      </c>
      <c r="F46" s="565">
        <v>23180.57</v>
      </c>
      <c r="G46" s="573">
        <v>3.26</v>
      </c>
      <c r="H46" s="573">
        <v>75568.66</v>
      </c>
      <c r="I46" s="1338">
        <v>3.8999999999999998E-3</v>
      </c>
      <c r="J46" s="1338">
        <v>0.90369999999999995</v>
      </c>
      <c r="K46" s="1309" t="str">
        <f t="shared" si="0"/>
        <v>B</v>
      </c>
    </row>
    <row r="47" spans="1:11" ht="30" x14ac:dyDescent="0.25">
      <c r="A47" s="559" t="s">
        <v>26016</v>
      </c>
      <c r="B47" s="558" t="s">
        <v>4405</v>
      </c>
      <c r="C47" s="558" t="s">
        <v>4404</v>
      </c>
      <c r="D47" s="572" t="s">
        <v>25219</v>
      </c>
      <c r="E47" s="558" t="s">
        <v>8</v>
      </c>
      <c r="F47" s="565">
        <v>4</v>
      </c>
      <c r="G47" s="573">
        <v>18776.95</v>
      </c>
      <c r="H47" s="573">
        <v>75107.8</v>
      </c>
      <c r="I47" s="1338">
        <v>3.8999999999999998E-3</v>
      </c>
      <c r="J47" s="1338">
        <v>0.90759999999999996</v>
      </c>
      <c r="K47" s="1309" t="str">
        <f t="shared" si="0"/>
        <v>B</v>
      </c>
    </row>
    <row r="48" spans="1:11" ht="75" x14ac:dyDescent="0.25">
      <c r="A48" s="559" t="s">
        <v>25942</v>
      </c>
      <c r="B48" s="558" t="s">
        <v>4404</v>
      </c>
      <c r="C48" s="558" t="s">
        <v>24934</v>
      </c>
      <c r="D48" s="572" t="s">
        <v>25056</v>
      </c>
      <c r="E48" s="558" t="s">
        <v>6</v>
      </c>
      <c r="F48" s="565">
        <v>4230.2</v>
      </c>
      <c r="G48" s="573">
        <v>16.36</v>
      </c>
      <c r="H48" s="573">
        <v>69206.070000000007</v>
      </c>
      <c r="I48" s="1338">
        <v>3.5999999999999999E-3</v>
      </c>
      <c r="J48" s="1338">
        <v>0.9113</v>
      </c>
      <c r="K48" s="1309" t="str">
        <f t="shared" si="0"/>
        <v>B</v>
      </c>
    </row>
    <row r="49" spans="1:11" x14ac:dyDescent="0.25">
      <c r="A49" s="559" t="s">
        <v>25980</v>
      </c>
      <c r="B49" s="558" t="s">
        <v>4404</v>
      </c>
      <c r="C49" s="558" t="s">
        <v>4408</v>
      </c>
      <c r="D49" s="572" t="s">
        <v>24982</v>
      </c>
      <c r="E49" s="558" t="s">
        <v>8</v>
      </c>
      <c r="F49" s="565">
        <v>45</v>
      </c>
      <c r="G49" s="573">
        <v>1527.86</v>
      </c>
      <c r="H49" s="573">
        <v>68753.7</v>
      </c>
      <c r="I49" s="1338">
        <v>3.5999999999999999E-3</v>
      </c>
      <c r="J49" s="1338">
        <v>0.91479999999999995</v>
      </c>
      <c r="K49" s="1309" t="str">
        <f t="shared" si="0"/>
        <v>B</v>
      </c>
    </row>
    <row r="50" spans="1:11" ht="45" x14ac:dyDescent="0.25">
      <c r="A50" s="559" t="s">
        <v>26023</v>
      </c>
      <c r="B50" s="558" t="s">
        <v>24760</v>
      </c>
      <c r="C50" s="558" t="s">
        <v>4404</v>
      </c>
      <c r="D50" s="572" t="s">
        <v>25331</v>
      </c>
      <c r="E50" s="558" t="s">
        <v>5</v>
      </c>
      <c r="F50" s="565">
        <v>223.76</v>
      </c>
      <c r="G50" s="573">
        <v>296.91000000000003</v>
      </c>
      <c r="H50" s="573">
        <v>66436.58</v>
      </c>
      <c r="I50" s="1338">
        <v>3.5000000000000001E-3</v>
      </c>
      <c r="J50" s="1338">
        <v>0.91830000000000001</v>
      </c>
      <c r="K50" s="1309" t="str">
        <f t="shared" si="0"/>
        <v>B</v>
      </c>
    </row>
    <row r="51" spans="1:11" ht="30" x14ac:dyDescent="0.25">
      <c r="A51" s="559" t="s">
        <v>25973</v>
      </c>
      <c r="B51" s="558" t="s">
        <v>1828</v>
      </c>
      <c r="C51" s="558" t="s">
        <v>4379</v>
      </c>
      <c r="D51" s="572" t="s">
        <v>1829</v>
      </c>
      <c r="E51" s="558" t="s">
        <v>7</v>
      </c>
      <c r="F51" s="565">
        <v>2957.55</v>
      </c>
      <c r="G51" s="573">
        <v>21.41</v>
      </c>
      <c r="H51" s="573">
        <v>63321.15</v>
      </c>
      <c r="I51" s="1338">
        <v>3.3E-3</v>
      </c>
      <c r="J51" s="1338">
        <v>0.92159999999999997</v>
      </c>
      <c r="K51" s="1309" t="str">
        <f t="shared" si="0"/>
        <v>B</v>
      </c>
    </row>
    <row r="52" spans="1:11" ht="60" x14ac:dyDescent="0.25">
      <c r="A52" s="559" t="s">
        <v>25989</v>
      </c>
      <c r="B52" s="558" t="s">
        <v>4404</v>
      </c>
      <c r="C52" s="558" t="s">
        <v>4409</v>
      </c>
      <c r="D52" s="572" t="s">
        <v>25052</v>
      </c>
      <c r="E52" s="558" t="s">
        <v>8</v>
      </c>
      <c r="F52" s="565">
        <v>343</v>
      </c>
      <c r="G52" s="573">
        <v>174.94</v>
      </c>
      <c r="H52" s="573">
        <v>60004.42</v>
      </c>
      <c r="I52" s="1338">
        <v>3.0999999999999999E-3</v>
      </c>
      <c r="J52" s="1338">
        <v>0.92469999999999997</v>
      </c>
      <c r="K52" s="1309" t="str">
        <f t="shared" si="0"/>
        <v>B</v>
      </c>
    </row>
    <row r="53" spans="1:11" ht="30" x14ac:dyDescent="0.25">
      <c r="A53" s="559" t="s">
        <v>25974</v>
      </c>
      <c r="B53" s="558" t="s">
        <v>1830</v>
      </c>
      <c r="C53" s="558" t="s">
        <v>4379</v>
      </c>
      <c r="D53" s="572" t="s">
        <v>1831</v>
      </c>
      <c r="E53" s="558" t="s">
        <v>7</v>
      </c>
      <c r="F53" s="565">
        <v>1667.93</v>
      </c>
      <c r="G53" s="573">
        <v>32.840000000000003</v>
      </c>
      <c r="H53" s="573">
        <v>54774.82</v>
      </c>
      <c r="I53" s="1338">
        <v>2.8999999999999998E-3</v>
      </c>
      <c r="J53" s="1338">
        <v>0.92759999999999998</v>
      </c>
      <c r="K53" s="1309" t="str">
        <f t="shared" si="0"/>
        <v>B</v>
      </c>
    </row>
    <row r="54" spans="1:11" ht="45" x14ac:dyDescent="0.25">
      <c r="A54" s="559" t="s">
        <v>25920</v>
      </c>
      <c r="B54" s="558">
        <v>100882</v>
      </c>
      <c r="C54" s="558" t="s">
        <v>4389</v>
      </c>
      <c r="D54" s="572" t="s">
        <v>4153</v>
      </c>
      <c r="E54" s="558" t="s">
        <v>7</v>
      </c>
      <c r="F54" s="565">
        <v>220</v>
      </c>
      <c r="G54" s="573">
        <v>239.14</v>
      </c>
      <c r="H54" s="573">
        <v>52610.8</v>
      </c>
      <c r="I54" s="1338">
        <v>2.7000000000000001E-3</v>
      </c>
      <c r="J54" s="1338">
        <v>0.93030000000000002</v>
      </c>
      <c r="K54" s="1309" t="str">
        <f t="shared" si="0"/>
        <v>B</v>
      </c>
    </row>
    <row r="55" spans="1:11" ht="30" x14ac:dyDescent="0.25">
      <c r="A55" s="559" t="s">
        <v>26022</v>
      </c>
      <c r="B55" s="558" t="s">
        <v>24759</v>
      </c>
      <c r="C55" s="558" t="s">
        <v>4404</v>
      </c>
      <c r="D55" s="572" t="s">
        <v>25196</v>
      </c>
      <c r="E55" s="558" t="s">
        <v>8</v>
      </c>
      <c r="F55" s="565">
        <v>4</v>
      </c>
      <c r="G55" s="573">
        <v>10939.91</v>
      </c>
      <c r="H55" s="573">
        <v>43759.64</v>
      </c>
      <c r="I55" s="1338">
        <v>2.3E-3</v>
      </c>
      <c r="J55" s="1338">
        <v>0.93259999999999998</v>
      </c>
      <c r="K55" s="1309" t="str">
        <f t="shared" si="0"/>
        <v>B</v>
      </c>
    </row>
    <row r="56" spans="1:11" ht="45" x14ac:dyDescent="0.25">
      <c r="A56" s="559" t="s">
        <v>26030</v>
      </c>
      <c r="B56" s="558" t="s">
        <v>738</v>
      </c>
      <c r="C56" s="558" t="s">
        <v>4379</v>
      </c>
      <c r="D56" s="572" t="s">
        <v>128</v>
      </c>
      <c r="E56" s="558" t="s">
        <v>7</v>
      </c>
      <c r="F56" s="565">
        <v>100</v>
      </c>
      <c r="G56" s="573">
        <v>446.94</v>
      </c>
      <c r="H56" s="573">
        <v>44694</v>
      </c>
      <c r="I56" s="1338">
        <v>2.3E-3</v>
      </c>
      <c r="J56" s="1338">
        <v>0.93489999999999995</v>
      </c>
      <c r="K56" s="1309" t="str">
        <f t="shared" si="0"/>
        <v>B</v>
      </c>
    </row>
    <row r="57" spans="1:11" ht="30" x14ac:dyDescent="0.25">
      <c r="A57" s="559" t="s">
        <v>26119</v>
      </c>
      <c r="B57" s="558" t="s">
        <v>25145</v>
      </c>
      <c r="C57" s="558" t="s">
        <v>4404</v>
      </c>
      <c r="D57" s="572" t="s">
        <v>25176</v>
      </c>
      <c r="E57" s="558" t="s">
        <v>5</v>
      </c>
      <c r="F57" s="565">
        <v>844.96</v>
      </c>
      <c r="G57" s="573">
        <v>51.08</v>
      </c>
      <c r="H57" s="573">
        <v>43160.56</v>
      </c>
      <c r="I57" s="1338">
        <v>2.3E-3</v>
      </c>
      <c r="J57" s="1338">
        <v>0.93720000000000003</v>
      </c>
      <c r="K57" s="1309" t="str">
        <f t="shared" si="0"/>
        <v>B</v>
      </c>
    </row>
    <row r="58" spans="1:11" ht="75" x14ac:dyDescent="0.25">
      <c r="A58" s="559" t="s">
        <v>26011</v>
      </c>
      <c r="B58" s="558" t="s">
        <v>845</v>
      </c>
      <c r="C58" s="558" t="s">
        <v>4379</v>
      </c>
      <c r="D58" s="572" t="s">
        <v>23</v>
      </c>
      <c r="E58" s="558" t="s">
        <v>5</v>
      </c>
      <c r="F58" s="565">
        <v>260.36</v>
      </c>
      <c r="G58" s="573">
        <v>160.07</v>
      </c>
      <c r="H58" s="573">
        <v>41675.83</v>
      </c>
      <c r="I58" s="1338">
        <v>2.2000000000000001E-3</v>
      </c>
      <c r="J58" s="1338">
        <v>0.93940000000000001</v>
      </c>
      <c r="K58" s="1309" t="str">
        <f t="shared" si="0"/>
        <v>B</v>
      </c>
    </row>
    <row r="59" spans="1:11" x14ac:dyDescent="0.25">
      <c r="A59" s="559" t="s">
        <v>25925</v>
      </c>
      <c r="B59" s="558">
        <v>42870</v>
      </c>
      <c r="C59" s="558" t="s">
        <v>4389</v>
      </c>
      <c r="D59" s="572" t="s">
        <v>3628</v>
      </c>
      <c r="E59" s="558" t="s">
        <v>6</v>
      </c>
      <c r="F59" s="565">
        <v>159.33000000000001</v>
      </c>
      <c r="G59" s="573">
        <v>257.32</v>
      </c>
      <c r="H59" s="573">
        <v>40998.800000000003</v>
      </c>
      <c r="I59" s="1338">
        <v>2.0999999999999999E-3</v>
      </c>
      <c r="J59" s="1338">
        <v>0.9415</v>
      </c>
      <c r="K59" s="1309" t="str">
        <f t="shared" si="0"/>
        <v>B</v>
      </c>
    </row>
    <row r="60" spans="1:11" ht="30" x14ac:dyDescent="0.25">
      <c r="A60" s="559" t="s">
        <v>25979</v>
      </c>
      <c r="B60" s="558">
        <v>43067</v>
      </c>
      <c r="C60" s="558" t="s">
        <v>4389</v>
      </c>
      <c r="D60" s="572" t="s">
        <v>4120</v>
      </c>
      <c r="E60" s="558" t="s">
        <v>7</v>
      </c>
      <c r="F60" s="565">
        <v>285</v>
      </c>
      <c r="G60" s="573">
        <v>119.48</v>
      </c>
      <c r="H60" s="573">
        <v>34051.800000000003</v>
      </c>
      <c r="I60" s="1338">
        <v>1.8E-3</v>
      </c>
      <c r="J60" s="1338">
        <v>0.94330000000000003</v>
      </c>
      <c r="K60" s="1309" t="str">
        <f t="shared" si="0"/>
        <v>B</v>
      </c>
    </row>
    <row r="61" spans="1:11" ht="30" x14ac:dyDescent="0.25">
      <c r="A61" s="559" t="s">
        <v>25998</v>
      </c>
      <c r="B61" s="558" t="s">
        <v>768</v>
      </c>
      <c r="C61" s="558" t="s">
        <v>4379</v>
      </c>
      <c r="D61" s="572" t="s">
        <v>12</v>
      </c>
      <c r="E61" s="558" t="s">
        <v>6</v>
      </c>
      <c r="F61" s="565">
        <v>597.91999999999996</v>
      </c>
      <c r="G61" s="573">
        <v>58.55</v>
      </c>
      <c r="H61" s="573">
        <v>35008.22</v>
      </c>
      <c r="I61" s="1338">
        <v>1.8E-3</v>
      </c>
      <c r="J61" s="1338">
        <v>0.94510000000000005</v>
      </c>
      <c r="K61" s="1309" t="str">
        <f t="shared" si="0"/>
        <v>B</v>
      </c>
    </row>
    <row r="62" spans="1:11" ht="30" x14ac:dyDescent="0.25">
      <c r="A62" s="559" t="s">
        <v>26004</v>
      </c>
      <c r="B62" s="558" t="s">
        <v>819</v>
      </c>
      <c r="C62" s="558" t="s">
        <v>4379</v>
      </c>
      <c r="D62" s="572" t="s">
        <v>19</v>
      </c>
      <c r="E62" s="558" t="s">
        <v>20</v>
      </c>
      <c r="F62" s="565">
        <v>2096.6</v>
      </c>
      <c r="G62" s="573">
        <v>16.59</v>
      </c>
      <c r="H62" s="573">
        <v>34782.589999999997</v>
      </c>
      <c r="I62" s="1338">
        <v>1.8E-3</v>
      </c>
      <c r="J62" s="1338">
        <v>0.94689999999999996</v>
      </c>
      <c r="K62" s="1309" t="str">
        <f t="shared" si="0"/>
        <v>B</v>
      </c>
    </row>
    <row r="63" spans="1:11" ht="30" x14ac:dyDescent="0.25">
      <c r="A63" s="559" t="s">
        <v>25919</v>
      </c>
      <c r="B63" s="558">
        <v>43088</v>
      </c>
      <c r="C63" s="558" t="s">
        <v>4389</v>
      </c>
      <c r="D63" s="572" t="s">
        <v>4156</v>
      </c>
      <c r="E63" s="558" t="s">
        <v>7</v>
      </c>
      <c r="F63" s="565">
        <v>1220</v>
      </c>
      <c r="G63" s="573">
        <v>27.36</v>
      </c>
      <c r="H63" s="573">
        <v>33379.199999999997</v>
      </c>
      <c r="I63" s="1338">
        <v>1.6999999999999999E-3</v>
      </c>
      <c r="J63" s="1338">
        <v>0.94869999999999999</v>
      </c>
      <c r="K63" s="1309" t="str">
        <f t="shared" si="0"/>
        <v>B</v>
      </c>
    </row>
    <row r="64" spans="1:11" x14ac:dyDescent="0.25">
      <c r="A64" s="559" t="s">
        <v>25996</v>
      </c>
      <c r="B64" s="558" t="s">
        <v>2617</v>
      </c>
      <c r="C64" s="558" t="s">
        <v>4379</v>
      </c>
      <c r="D64" s="572" t="s">
        <v>2618</v>
      </c>
      <c r="E64" s="558" t="s">
        <v>5</v>
      </c>
      <c r="F64" s="565">
        <v>25864</v>
      </c>
      <c r="G64" s="573">
        <v>1.26</v>
      </c>
      <c r="H64" s="573">
        <v>32588.639999999999</v>
      </c>
      <c r="I64" s="1338">
        <v>1.6999999999999999E-3</v>
      </c>
      <c r="J64" s="1338">
        <v>0.95040000000000002</v>
      </c>
      <c r="K64" s="1310" t="str">
        <f t="shared" si="0"/>
        <v>C</v>
      </c>
    </row>
    <row r="65" spans="1:11" ht="30" x14ac:dyDescent="0.25">
      <c r="A65" s="559" t="s">
        <v>25980</v>
      </c>
      <c r="B65" s="558">
        <v>43068</v>
      </c>
      <c r="C65" s="558" t="s">
        <v>4389</v>
      </c>
      <c r="D65" s="572" t="s">
        <v>4121</v>
      </c>
      <c r="E65" s="558" t="s">
        <v>7</v>
      </c>
      <c r="F65" s="565">
        <v>285</v>
      </c>
      <c r="G65" s="573">
        <v>103.5</v>
      </c>
      <c r="H65" s="573">
        <v>29497.5</v>
      </c>
      <c r="I65" s="1338">
        <v>1.5E-3</v>
      </c>
      <c r="J65" s="1338">
        <v>0.95189999999999997</v>
      </c>
      <c r="K65" s="1310" t="str">
        <f t="shared" si="0"/>
        <v>C</v>
      </c>
    </row>
    <row r="66" spans="1:11" ht="30" x14ac:dyDescent="0.25">
      <c r="A66" s="559" t="s">
        <v>25981</v>
      </c>
      <c r="B66" s="558">
        <v>43060</v>
      </c>
      <c r="C66" s="558" t="s">
        <v>4389</v>
      </c>
      <c r="D66" s="572" t="s">
        <v>4113</v>
      </c>
      <c r="E66" s="558" t="s">
        <v>25918</v>
      </c>
      <c r="F66" s="565">
        <v>25</v>
      </c>
      <c r="G66" s="573">
        <v>1176.51</v>
      </c>
      <c r="H66" s="573">
        <v>29412.75</v>
      </c>
      <c r="I66" s="1338">
        <v>1.5E-3</v>
      </c>
      <c r="J66" s="1338">
        <v>0.95340000000000003</v>
      </c>
      <c r="K66" s="1310" t="str">
        <f t="shared" si="0"/>
        <v>C</v>
      </c>
    </row>
    <row r="67" spans="1:11" ht="30" x14ac:dyDescent="0.25">
      <c r="A67" s="559" t="s">
        <v>25994</v>
      </c>
      <c r="B67" s="558">
        <v>40927</v>
      </c>
      <c r="C67" s="558" t="s">
        <v>4389</v>
      </c>
      <c r="D67" s="572" t="s">
        <v>4142</v>
      </c>
      <c r="E67" s="558" t="s">
        <v>5</v>
      </c>
      <c r="F67" s="565">
        <v>488</v>
      </c>
      <c r="G67" s="573">
        <v>59.62</v>
      </c>
      <c r="H67" s="573">
        <v>29094.560000000001</v>
      </c>
      <c r="I67" s="1338">
        <v>1.5E-3</v>
      </c>
      <c r="J67" s="1338">
        <v>0.95499999999999996</v>
      </c>
      <c r="K67" s="1310" t="str">
        <f t="shared" si="0"/>
        <v>C</v>
      </c>
    </row>
    <row r="68" spans="1:11" ht="60" x14ac:dyDescent="0.25">
      <c r="A68" s="559" t="s">
        <v>26024</v>
      </c>
      <c r="B68" s="558" t="s">
        <v>24896</v>
      </c>
      <c r="C68" s="558" t="s">
        <v>4404</v>
      </c>
      <c r="D68" s="572" t="s">
        <v>25234</v>
      </c>
      <c r="E68" s="558" t="s">
        <v>5</v>
      </c>
      <c r="F68" s="565">
        <v>621.20000000000005</v>
      </c>
      <c r="G68" s="573">
        <v>47.26</v>
      </c>
      <c r="H68" s="573">
        <v>29357.91</v>
      </c>
      <c r="I68" s="1338">
        <v>1.5E-3</v>
      </c>
      <c r="J68" s="1338">
        <v>0.95650000000000002</v>
      </c>
      <c r="K68" s="1310" t="str">
        <f t="shared" si="0"/>
        <v>C</v>
      </c>
    </row>
    <row r="69" spans="1:11" ht="45" x14ac:dyDescent="0.25">
      <c r="A69" s="559" t="s">
        <v>26007</v>
      </c>
      <c r="B69" s="558" t="s">
        <v>24894</v>
      </c>
      <c r="C69" s="558" t="s">
        <v>4404</v>
      </c>
      <c r="D69" s="572" t="s">
        <v>25299</v>
      </c>
      <c r="E69" s="558" t="s">
        <v>6</v>
      </c>
      <c r="F69" s="565">
        <v>49.68</v>
      </c>
      <c r="G69" s="573">
        <v>541.27</v>
      </c>
      <c r="H69" s="573">
        <v>26890.29</v>
      </c>
      <c r="I69" s="1338">
        <v>1.4E-3</v>
      </c>
      <c r="J69" s="1338">
        <v>0.95789999999999997</v>
      </c>
      <c r="K69" s="1310" t="str">
        <f t="shared" si="0"/>
        <v>C</v>
      </c>
    </row>
    <row r="70" spans="1:11" ht="60" x14ac:dyDescent="0.25">
      <c r="A70" s="559" t="s">
        <v>26013</v>
      </c>
      <c r="B70" s="558" t="s">
        <v>932</v>
      </c>
      <c r="C70" s="558" t="s">
        <v>4379</v>
      </c>
      <c r="D70" s="572" t="s">
        <v>28</v>
      </c>
      <c r="E70" s="558" t="s">
        <v>5</v>
      </c>
      <c r="F70" s="565">
        <v>310.60000000000002</v>
      </c>
      <c r="G70" s="573">
        <v>85.69</v>
      </c>
      <c r="H70" s="573">
        <v>26615.31</v>
      </c>
      <c r="I70" s="1338">
        <v>1.4E-3</v>
      </c>
      <c r="J70" s="1338">
        <v>0.95930000000000004</v>
      </c>
      <c r="K70" s="1310" t="str">
        <f t="shared" si="0"/>
        <v>C</v>
      </c>
    </row>
    <row r="71" spans="1:11" x14ac:dyDescent="0.25">
      <c r="A71" s="559" t="s">
        <v>25926</v>
      </c>
      <c r="B71" s="558" t="s">
        <v>581</v>
      </c>
      <c r="C71" s="558" t="s">
        <v>4379</v>
      </c>
      <c r="D71" s="572" t="s">
        <v>171</v>
      </c>
      <c r="E71" s="558" t="s">
        <v>7</v>
      </c>
      <c r="F71" s="565">
        <v>2513.6999999999998</v>
      </c>
      <c r="G71" s="573">
        <v>10.23</v>
      </c>
      <c r="H71" s="573">
        <v>25715.15</v>
      </c>
      <c r="I71" s="1338">
        <v>1.2999999999999999E-3</v>
      </c>
      <c r="J71" s="1338">
        <v>0.96060000000000001</v>
      </c>
      <c r="K71" s="1310" t="str">
        <f t="shared" ref="K71:K134" si="1">IF(J71&lt;$J$2,$I$2,IF(J71&lt;$J$3,$I$3,$I$4))</f>
        <v>C</v>
      </c>
    </row>
    <row r="72" spans="1:11" ht="45" x14ac:dyDescent="0.25">
      <c r="A72" s="559" t="s">
        <v>26019</v>
      </c>
      <c r="B72" s="558" t="s">
        <v>24757</v>
      </c>
      <c r="C72" s="558" t="s">
        <v>4404</v>
      </c>
      <c r="D72" s="572" t="s">
        <v>25325</v>
      </c>
      <c r="E72" s="558" t="s">
        <v>5</v>
      </c>
      <c r="F72" s="565">
        <v>19.440000000000001</v>
      </c>
      <c r="G72" s="573">
        <v>1269.52</v>
      </c>
      <c r="H72" s="573">
        <v>24679.47</v>
      </c>
      <c r="I72" s="1338">
        <v>1.2999999999999999E-3</v>
      </c>
      <c r="J72" s="1338">
        <v>0.96189999999999998</v>
      </c>
      <c r="K72" s="1310" t="str">
        <f t="shared" si="1"/>
        <v>C</v>
      </c>
    </row>
    <row r="73" spans="1:11" x14ac:dyDescent="0.25">
      <c r="A73" s="559" t="s">
        <v>25922</v>
      </c>
      <c r="B73" s="558" t="s">
        <v>4404</v>
      </c>
      <c r="C73" s="558" t="s">
        <v>24893</v>
      </c>
      <c r="D73" s="572" t="s">
        <v>24780</v>
      </c>
      <c r="E73" s="558" t="s">
        <v>7</v>
      </c>
      <c r="F73" s="565">
        <v>1220</v>
      </c>
      <c r="G73" s="573">
        <v>18.27</v>
      </c>
      <c r="H73" s="573">
        <v>22289.4</v>
      </c>
      <c r="I73" s="1338">
        <v>1.1999999999999999E-3</v>
      </c>
      <c r="J73" s="1338">
        <v>0.96309999999999996</v>
      </c>
      <c r="K73" s="1310" t="str">
        <f t="shared" si="1"/>
        <v>C</v>
      </c>
    </row>
    <row r="74" spans="1:11" ht="60" x14ac:dyDescent="0.25">
      <c r="A74" s="559" t="s">
        <v>26086</v>
      </c>
      <c r="B74" s="558" t="s">
        <v>2237</v>
      </c>
      <c r="C74" s="558" t="s">
        <v>4379</v>
      </c>
      <c r="D74" s="572" t="s">
        <v>106</v>
      </c>
      <c r="E74" s="558" t="s">
        <v>8</v>
      </c>
      <c r="F74" s="565">
        <v>8</v>
      </c>
      <c r="G74" s="573">
        <v>2815.84</v>
      </c>
      <c r="H74" s="573">
        <v>22526.720000000001</v>
      </c>
      <c r="I74" s="1338">
        <v>1.1999999999999999E-3</v>
      </c>
      <c r="J74" s="1338">
        <v>0.96419999999999995</v>
      </c>
      <c r="K74" s="1310" t="str">
        <f t="shared" si="1"/>
        <v>C</v>
      </c>
    </row>
    <row r="75" spans="1:11" ht="75" x14ac:dyDescent="0.25">
      <c r="A75" s="559" t="s">
        <v>25068</v>
      </c>
      <c r="B75" s="558" t="s">
        <v>723</v>
      </c>
      <c r="C75" s="558" t="s">
        <v>4379</v>
      </c>
      <c r="D75" s="572" t="s">
        <v>125</v>
      </c>
      <c r="E75" s="558" t="s">
        <v>8</v>
      </c>
      <c r="F75" s="565">
        <v>1</v>
      </c>
      <c r="G75" s="573">
        <v>21316.28</v>
      </c>
      <c r="H75" s="573">
        <v>21316.28</v>
      </c>
      <c r="I75" s="1338">
        <v>1.1000000000000001E-3</v>
      </c>
      <c r="J75" s="1338">
        <v>0.96540000000000004</v>
      </c>
      <c r="K75" s="1310" t="str">
        <f t="shared" si="1"/>
        <v>C</v>
      </c>
    </row>
    <row r="76" spans="1:11" x14ac:dyDescent="0.25">
      <c r="A76" s="559" t="s">
        <v>25917</v>
      </c>
      <c r="B76" s="558">
        <v>42046</v>
      </c>
      <c r="C76" s="1311" t="s">
        <v>4389</v>
      </c>
      <c r="D76" s="572" t="s">
        <v>3379</v>
      </c>
      <c r="E76" s="558" t="s">
        <v>25918</v>
      </c>
      <c r="F76" s="565">
        <v>135</v>
      </c>
      <c r="G76" s="573">
        <v>162.93</v>
      </c>
      <c r="H76" s="573">
        <v>21995.55</v>
      </c>
      <c r="I76" s="1338">
        <v>1.1000000000000001E-3</v>
      </c>
      <c r="J76" s="1338">
        <v>0.96650000000000003</v>
      </c>
      <c r="K76" s="1310" t="str">
        <f t="shared" si="1"/>
        <v>C</v>
      </c>
    </row>
    <row r="77" spans="1:11" ht="30" x14ac:dyDescent="0.25">
      <c r="A77" s="559" t="s">
        <v>25970</v>
      </c>
      <c r="B77" s="558" t="s">
        <v>1824</v>
      </c>
      <c r="C77" s="558" t="s">
        <v>4379</v>
      </c>
      <c r="D77" s="572" t="s">
        <v>57</v>
      </c>
      <c r="E77" s="558" t="s">
        <v>7</v>
      </c>
      <c r="F77" s="565">
        <v>2510.44</v>
      </c>
      <c r="G77" s="573">
        <v>8.5299999999999994</v>
      </c>
      <c r="H77" s="573">
        <v>21414.05</v>
      </c>
      <c r="I77" s="1338">
        <v>1.1000000000000001E-3</v>
      </c>
      <c r="J77" s="1338">
        <v>0.96760000000000002</v>
      </c>
      <c r="K77" s="1310" t="str">
        <f t="shared" si="1"/>
        <v>C</v>
      </c>
    </row>
    <row r="78" spans="1:11" ht="45" x14ac:dyDescent="0.25">
      <c r="A78" s="559" t="s">
        <v>26005</v>
      </c>
      <c r="B78" s="558" t="s">
        <v>820</v>
      </c>
      <c r="C78" s="558" t="s">
        <v>4379</v>
      </c>
      <c r="D78" s="572" t="s">
        <v>821</v>
      </c>
      <c r="E78" s="558" t="s">
        <v>20</v>
      </c>
      <c r="F78" s="565">
        <v>1295.4000000000001</v>
      </c>
      <c r="G78" s="573">
        <v>16.72</v>
      </c>
      <c r="H78" s="573">
        <v>21659.09</v>
      </c>
      <c r="I78" s="1338">
        <v>1.1000000000000001E-3</v>
      </c>
      <c r="J78" s="1338">
        <v>0.96870000000000001</v>
      </c>
      <c r="K78" s="1310" t="str">
        <f t="shared" si="1"/>
        <v>C</v>
      </c>
    </row>
    <row r="79" spans="1:11" ht="30" x14ac:dyDescent="0.25">
      <c r="A79" s="559" t="s">
        <v>26121</v>
      </c>
      <c r="B79" s="558" t="s">
        <v>25149</v>
      </c>
      <c r="C79" s="558" t="s">
        <v>4404</v>
      </c>
      <c r="D79" s="572" t="s">
        <v>25247</v>
      </c>
      <c r="E79" s="558" t="s">
        <v>8</v>
      </c>
      <c r="F79" s="565">
        <v>16</v>
      </c>
      <c r="G79" s="573">
        <v>1307.46</v>
      </c>
      <c r="H79" s="573">
        <v>20919.36</v>
      </c>
      <c r="I79" s="1338">
        <v>1.1000000000000001E-3</v>
      </c>
      <c r="J79" s="1338">
        <v>0.9698</v>
      </c>
      <c r="K79" s="1310" t="str">
        <f t="shared" si="1"/>
        <v>C</v>
      </c>
    </row>
    <row r="80" spans="1:11" x14ac:dyDescent="0.25">
      <c r="A80" s="559" t="s">
        <v>25934</v>
      </c>
      <c r="B80" s="558" t="s">
        <v>4404</v>
      </c>
      <c r="C80" s="558" t="s">
        <v>4405</v>
      </c>
      <c r="D80" s="572" t="s">
        <v>24785</v>
      </c>
      <c r="E80" s="558" t="s">
        <v>7</v>
      </c>
      <c r="F80" s="565">
        <v>122</v>
      </c>
      <c r="G80" s="573">
        <v>154.91999999999999</v>
      </c>
      <c r="H80" s="573">
        <v>18900.240000000002</v>
      </c>
      <c r="I80" s="1338">
        <v>1E-3</v>
      </c>
      <c r="J80" s="1338">
        <v>0.9708</v>
      </c>
      <c r="K80" s="1310" t="str">
        <f t="shared" si="1"/>
        <v>C</v>
      </c>
    </row>
    <row r="81" spans="1:11" x14ac:dyDescent="0.25">
      <c r="A81" s="559" t="s">
        <v>25954</v>
      </c>
      <c r="B81" s="558">
        <v>43349</v>
      </c>
      <c r="C81" s="558" t="s">
        <v>4389</v>
      </c>
      <c r="D81" s="572" t="s">
        <v>3783</v>
      </c>
      <c r="E81" s="558" t="s">
        <v>6</v>
      </c>
      <c r="F81" s="565">
        <v>1905.63</v>
      </c>
      <c r="G81" s="573">
        <v>9.9600000000000009</v>
      </c>
      <c r="H81" s="573">
        <v>18980.07</v>
      </c>
      <c r="I81" s="1338">
        <v>1E-3</v>
      </c>
      <c r="J81" s="1338">
        <v>0.9718</v>
      </c>
      <c r="K81" s="1310" t="str">
        <f t="shared" si="1"/>
        <v>C</v>
      </c>
    </row>
    <row r="82" spans="1:11" ht="45" x14ac:dyDescent="0.25">
      <c r="A82" s="559" t="s">
        <v>26018</v>
      </c>
      <c r="B82" s="558" t="s">
        <v>24756</v>
      </c>
      <c r="C82" s="558" t="s">
        <v>4404</v>
      </c>
      <c r="D82" s="572" t="s">
        <v>25319</v>
      </c>
      <c r="E82" s="558" t="s">
        <v>5</v>
      </c>
      <c r="F82" s="565">
        <v>15.12</v>
      </c>
      <c r="G82" s="573">
        <v>1257.45</v>
      </c>
      <c r="H82" s="573">
        <v>19012.64</v>
      </c>
      <c r="I82" s="1338">
        <v>1E-3</v>
      </c>
      <c r="J82" s="1338">
        <v>0.9728</v>
      </c>
      <c r="K82" s="1310" t="str">
        <f t="shared" si="1"/>
        <v>C</v>
      </c>
    </row>
    <row r="83" spans="1:11" ht="60" x14ac:dyDescent="0.25">
      <c r="A83" s="559" t="s">
        <v>25073</v>
      </c>
      <c r="B83" s="558" t="s">
        <v>737</v>
      </c>
      <c r="C83" s="558" t="s">
        <v>4379</v>
      </c>
      <c r="D83" s="572" t="s">
        <v>127</v>
      </c>
      <c r="E83" s="558" t="s">
        <v>7</v>
      </c>
      <c r="F83" s="565">
        <v>20</v>
      </c>
      <c r="G83" s="573">
        <v>832.88</v>
      </c>
      <c r="H83" s="573">
        <v>16657.599999999999</v>
      </c>
      <c r="I83" s="1338">
        <v>8.9999999999999998E-4</v>
      </c>
      <c r="J83" s="1338">
        <v>0.97370000000000001</v>
      </c>
      <c r="K83" s="1310" t="str">
        <f t="shared" si="1"/>
        <v>C</v>
      </c>
    </row>
    <row r="84" spans="1:11" x14ac:dyDescent="0.25">
      <c r="A84" s="559" t="s">
        <v>25931</v>
      </c>
      <c r="B84" s="558">
        <v>42512</v>
      </c>
      <c r="C84" s="558" t="s">
        <v>4389</v>
      </c>
      <c r="D84" s="572" t="s">
        <v>289</v>
      </c>
      <c r="E84" s="558" t="s">
        <v>6</v>
      </c>
      <c r="F84" s="565">
        <v>3360.31</v>
      </c>
      <c r="G84" s="573">
        <v>4.8899999999999997</v>
      </c>
      <c r="H84" s="573">
        <v>16431.919999999998</v>
      </c>
      <c r="I84" s="1338">
        <v>8.9999999999999998E-4</v>
      </c>
      <c r="J84" s="1338">
        <v>0.97450000000000003</v>
      </c>
      <c r="K84" s="1310" t="str">
        <f t="shared" si="1"/>
        <v>C</v>
      </c>
    </row>
    <row r="85" spans="1:11" ht="45" x14ac:dyDescent="0.25">
      <c r="A85" s="559" t="s">
        <v>26094</v>
      </c>
      <c r="B85" s="558" t="s">
        <v>25123</v>
      </c>
      <c r="C85" s="558" t="s">
        <v>4404</v>
      </c>
      <c r="D85" s="572" t="s">
        <v>208</v>
      </c>
      <c r="E85" s="558" t="s">
        <v>5</v>
      </c>
      <c r="F85" s="565">
        <v>17.760000000000002</v>
      </c>
      <c r="G85" s="573">
        <v>901.28</v>
      </c>
      <c r="H85" s="573">
        <v>16006.73</v>
      </c>
      <c r="I85" s="1338">
        <v>8.0000000000000004E-4</v>
      </c>
      <c r="J85" s="1338">
        <v>0.97540000000000004</v>
      </c>
      <c r="K85" s="1310" t="str">
        <f t="shared" si="1"/>
        <v>C</v>
      </c>
    </row>
    <row r="86" spans="1:11" ht="30" x14ac:dyDescent="0.25">
      <c r="A86" s="559" t="s">
        <v>25972</v>
      </c>
      <c r="B86" s="558" t="s">
        <v>1826</v>
      </c>
      <c r="C86" s="558" t="s">
        <v>4379</v>
      </c>
      <c r="D86" s="572" t="s">
        <v>1827</v>
      </c>
      <c r="E86" s="558" t="s">
        <v>7</v>
      </c>
      <c r="F86" s="565">
        <v>1012.31</v>
      </c>
      <c r="G86" s="573">
        <v>15.25</v>
      </c>
      <c r="H86" s="573">
        <v>15437.73</v>
      </c>
      <c r="I86" s="1338">
        <v>8.0000000000000004E-4</v>
      </c>
      <c r="J86" s="1338">
        <v>0.97619999999999996</v>
      </c>
      <c r="K86" s="1310" t="str">
        <f t="shared" si="1"/>
        <v>C</v>
      </c>
    </row>
    <row r="87" spans="1:11" ht="30" x14ac:dyDescent="0.25">
      <c r="A87" s="559" t="s">
        <v>26000</v>
      </c>
      <c r="B87" s="558" t="s">
        <v>778</v>
      </c>
      <c r="C87" s="558" t="s">
        <v>4379</v>
      </c>
      <c r="D87" s="572" t="s">
        <v>14</v>
      </c>
      <c r="E87" s="558" t="s">
        <v>6</v>
      </c>
      <c r="F87" s="565">
        <v>197.96</v>
      </c>
      <c r="G87" s="573">
        <v>63.06</v>
      </c>
      <c r="H87" s="573">
        <v>12483.36</v>
      </c>
      <c r="I87" s="1338">
        <v>6.9999999999999999E-4</v>
      </c>
      <c r="J87" s="1338">
        <v>0.9768</v>
      </c>
      <c r="K87" s="1310" t="str">
        <f t="shared" si="1"/>
        <v>C</v>
      </c>
    </row>
    <row r="88" spans="1:11" ht="30" x14ac:dyDescent="0.25">
      <c r="A88" s="559" t="s">
        <v>26020</v>
      </c>
      <c r="B88" s="558" t="s">
        <v>24761</v>
      </c>
      <c r="C88" s="558" t="s">
        <v>4404</v>
      </c>
      <c r="D88" s="572" t="s">
        <v>25205</v>
      </c>
      <c r="E88" s="558" t="s">
        <v>8</v>
      </c>
      <c r="F88" s="565">
        <v>8</v>
      </c>
      <c r="G88" s="573">
        <v>1570.53</v>
      </c>
      <c r="H88" s="573">
        <v>12564.24</v>
      </c>
      <c r="I88" s="1338">
        <v>6.9999999999999999E-4</v>
      </c>
      <c r="J88" s="1338">
        <v>0.97750000000000004</v>
      </c>
      <c r="K88" s="1310" t="str">
        <f t="shared" si="1"/>
        <v>C</v>
      </c>
    </row>
    <row r="89" spans="1:11" x14ac:dyDescent="0.25">
      <c r="A89" s="559" t="s">
        <v>26125</v>
      </c>
      <c r="B89" s="558" t="s">
        <v>25798</v>
      </c>
      <c r="C89" s="558" t="s">
        <v>4404</v>
      </c>
      <c r="D89" s="572" t="s">
        <v>25785</v>
      </c>
      <c r="E89" s="558" t="s">
        <v>8</v>
      </c>
      <c r="F89" s="565">
        <v>4</v>
      </c>
      <c r="G89" s="573">
        <v>3214.21</v>
      </c>
      <c r="H89" s="573">
        <v>12856.84</v>
      </c>
      <c r="I89" s="1338">
        <v>6.9999999999999999E-4</v>
      </c>
      <c r="J89" s="1338">
        <v>0.97809999999999997</v>
      </c>
      <c r="K89" s="1310" t="str">
        <f t="shared" si="1"/>
        <v>C</v>
      </c>
    </row>
    <row r="90" spans="1:11" ht="45" x14ac:dyDescent="0.25">
      <c r="A90" s="559" t="s">
        <v>26124</v>
      </c>
      <c r="B90" s="558" t="s">
        <v>25152</v>
      </c>
      <c r="C90" s="558" t="s">
        <v>4404</v>
      </c>
      <c r="D90" s="572" t="s">
        <v>25260</v>
      </c>
      <c r="E90" s="558" t="s">
        <v>5</v>
      </c>
      <c r="F90" s="565">
        <v>38.44</v>
      </c>
      <c r="G90" s="573">
        <v>332.91</v>
      </c>
      <c r="H90" s="573">
        <v>12797.06</v>
      </c>
      <c r="I90" s="1338">
        <v>6.9999999999999999E-4</v>
      </c>
      <c r="J90" s="1338">
        <v>0.9788</v>
      </c>
      <c r="K90" s="1310" t="str">
        <f t="shared" si="1"/>
        <v>C</v>
      </c>
    </row>
    <row r="91" spans="1:11" ht="30" x14ac:dyDescent="0.25">
      <c r="A91" s="559" t="s">
        <v>26122</v>
      </c>
      <c r="B91" s="558" t="s">
        <v>25150</v>
      </c>
      <c r="C91" s="558" t="s">
        <v>4404</v>
      </c>
      <c r="D91" s="572" t="s">
        <v>25254</v>
      </c>
      <c r="E91" s="558" t="s">
        <v>8</v>
      </c>
      <c r="F91" s="565">
        <v>28</v>
      </c>
      <c r="G91" s="573">
        <v>416.05</v>
      </c>
      <c r="H91" s="573">
        <v>11649.4</v>
      </c>
      <c r="I91" s="1338">
        <v>5.9999999999999995E-4</v>
      </c>
      <c r="J91" s="1338">
        <v>0.97940000000000005</v>
      </c>
      <c r="K91" s="1310" t="str">
        <f t="shared" si="1"/>
        <v>C</v>
      </c>
    </row>
    <row r="92" spans="1:11" x14ac:dyDescent="0.25">
      <c r="A92" s="559" t="s">
        <v>119</v>
      </c>
      <c r="B92" s="558" t="s">
        <v>692</v>
      </c>
      <c r="C92" s="558" t="s">
        <v>4379</v>
      </c>
      <c r="D92" s="572" t="s">
        <v>4281</v>
      </c>
      <c r="E92" s="558" t="s">
        <v>5</v>
      </c>
      <c r="F92" s="565">
        <v>32</v>
      </c>
      <c r="G92" s="573">
        <v>345.31</v>
      </c>
      <c r="H92" s="573">
        <v>11049.92</v>
      </c>
      <c r="I92" s="1338">
        <v>5.9999999999999995E-4</v>
      </c>
      <c r="J92" s="1338">
        <v>0.98</v>
      </c>
      <c r="K92" s="1310" t="str">
        <f t="shared" si="1"/>
        <v>C</v>
      </c>
    </row>
    <row r="93" spans="1:11" ht="45" x14ac:dyDescent="0.25">
      <c r="A93" s="559" t="s">
        <v>25075</v>
      </c>
      <c r="B93" s="558" t="s">
        <v>738</v>
      </c>
      <c r="C93" s="558" t="s">
        <v>4379</v>
      </c>
      <c r="D93" s="572" t="s">
        <v>128</v>
      </c>
      <c r="E93" s="558" t="s">
        <v>7</v>
      </c>
      <c r="F93" s="565">
        <v>25</v>
      </c>
      <c r="G93" s="573">
        <v>446.94</v>
      </c>
      <c r="H93" s="573">
        <v>11173.5</v>
      </c>
      <c r="I93" s="1338">
        <v>5.9999999999999995E-4</v>
      </c>
      <c r="J93" s="1338">
        <v>0.98060000000000003</v>
      </c>
      <c r="K93" s="1310" t="str">
        <f t="shared" si="1"/>
        <v>C</v>
      </c>
    </row>
    <row r="94" spans="1:11" ht="45" x14ac:dyDescent="0.25">
      <c r="A94" s="559" t="s">
        <v>25076</v>
      </c>
      <c r="B94" s="558" t="s">
        <v>685</v>
      </c>
      <c r="C94" s="558" t="s">
        <v>4379</v>
      </c>
      <c r="D94" s="572" t="s">
        <v>686</v>
      </c>
      <c r="E94" s="558" t="s">
        <v>687</v>
      </c>
      <c r="F94" s="565">
        <v>0.5</v>
      </c>
      <c r="G94" s="573">
        <v>22045.48</v>
      </c>
      <c r="H94" s="573">
        <v>11022.74</v>
      </c>
      <c r="I94" s="1338">
        <v>5.9999999999999995E-4</v>
      </c>
      <c r="J94" s="1338">
        <v>0.98119999999999996</v>
      </c>
      <c r="K94" s="1310" t="str">
        <f t="shared" si="1"/>
        <v>C</v>
      </c>
    </row>
    <row r="95" spans="1:11" ht="45" x14ac:dyDescent="0.25">
      <c r="A95" s="559" t="s">
        <v>26014</v>
      </c>
      <c r="B95" s="558" t="s">
        <v>898</v>
      </c>
      <c r="C95" s="558" t="s">
        <v>4379</v>
      </c>
      <c r="D95" s="572" t="s">
        <v>899</v>
      </c>
      <c r="E95" s="558" t="s">
        <v>5</v>
      </c>
      <c r="F95" s="565">
        <v>73.84</v>
      </c>
      <c r="G95" s="573">
        <v>164.71</v>
      </c>
      <c r="H95" s="573">
        <v>12162.19</v>
      </c>
      <c r="I95" s="1338">
        <v>5.9999999999999995E-4</v>
      </c>
      <c r="J95" s="1338">
        <v>0.98180000000000001</v>
      </c>
      <c r="K95" s="1310" t="str">
        <f t="shared" si="1"/>
        <v>C</v>
      </c>
    </row>
    <row r="96" spans="1:11" ht="60" x14ac:dyDescent="0.25">
      <c r="A96" s="559" t="s">
        <v>25065</v>
      </c>
      <c r="B96" s="558" t="s">
        <v>720</v>
      </c>
      <c r="C96" s="558" t="s">
        <v>4379</v>
      </c>
      <c r="D96" s="572" t="s">
        <v>122</v>
      </c>
      <c r="E96" s="558" t="s">
        <v>5</v>
      </c>
      <c r="F96" s="565">
        <v>10.9</v>
      </c>
      <c r="G96" s="573">
        <v>838.39</v>
      </c>
      <c r="H96" s="573">
        <v>9138.4500000000007</v>
      </c>
      <c r="I96" s="1338">
        <v>5.0000000000000001E-4</v>
      </c>
      <c r="J96" s="1338">
        <v>0.98229999999999995</v>
      </c>
      <c r="K96" s="1310" t="str">
        <f t="shared" si="1"/>
        <v>C</v>
      </c>
    </row>
    <row r="97" spans="1:11" ht="30" x14ac:dyDescent="0.25">
      <c r="A97" s="559" t="s">
        <v>25915</v>
      </c>
      <c r="B97" s="558">
        <v>41544</v>
      </c>
      <c r="C97" s="558" t="s">
        <v>4389</v>
      </c>
      <c r="D97" s="572" t="s">
        <v>4063</v>
      </c>
      <c r="E97" s="558" t="s">
        <v>170</v>
      </c>
      <c r="F97" s="565">
        <v>16</v>
      </c>
      <c r="G97" s="573">
        <v>545.66999999999996</v>
      </c>
      <c r="H97" s="573">
        <v>8730.7199999999993</v>
      </c>
      <c r="I97" s="1338">
        <v>5.0000000000000001E-4</v>
      </c>
      <c r="J97" s="1338">
        <v>0.98270000000000002</v>
      </c>
      <c r="K97" s="1310" t="str">
        <f t="shared" si="1"/>
        <v>C</v>
      </c>
    </row>
    <row r="98" spans="1:11" ht="45" x14ac:dyDescent="0.25">
      <c r="A98" s="559" t="s">
        <v>25932</v>
      </c>
      <c r="B98" s="558">
        <v>60020</v>
      </c>
      <c r="C98" s="558" t="s">
        <v>4389</v>
      </c>
      <c r="D98" s="572" t="s">
        <v>24891</v>
      </c>
      <c r="E98" s="558" t="s">
        <v>284</v>
      </c>
      <c r="F98" s="565">
        <v>1187.3900000000001</v>
      </c>
      <c r="G98" s="573">
        <v>7.63</v>
      </c>
      <c r="H98" s="573">
        <v>9059.7900000000009</v>
      </c>
      <c r="I98" s="1338">
        <v>5.0000000000000001E-4</v>
      </c>
      <c r="J98" s="1338">
        <v>0.98319999999999996</v>
      </c>
      <c r="K98" s="1310" t="str">
        <f t="shared" si="1"/>
        <v>C</v>
      </c>
    </row>
    <row r="99" spans="1:11" ht="75" x14ac:dyDescent="0.25">
      <c r="A99" s="559" t="s">
        <v>25962</v>
      </c>
      <c r="B99" s="558" t="s">
        <v>1548</v>
      </c>
      <c r="C99" s="558" t="s">
        <v>4379</v>
      </c>
      <c r="D99" s="572" t="s">
        <v>1549</v>
      </c>
      <c r="E99" s="558" t="s">
        <v>8</v>
      </c>
      <c r="F99" s="565">
        <v>6</v>
      </c>
      <c r="G99" s="573">
        <v>1572.87</v>
      </c>
      <c r="H99" s="573">
        <v>9437.2199999999993</v>
      </c>
      <c r="I99" s="1338">
        <v>5.0000000000000001E-4</v>
      </c>
      <c r="J99" s="1338">
        <v>0.98370000000000002</v>
      </c>
      <c r="K99" s="1310" t="str">
        <f t="shared" si="1"/>
        <v>C</v>
      </c>
    </row>
    <row r="100" spans="1:11" ht="30" x14ac:dyDescent="0.25">
      <c r="A100" s="559" t="s">
        <v>25982</v>
      </c>
      <c r="B100" s="558" t="s">
        <v>4404</v>
      </c>
      <c r="C100" s="558" t="s">
        <v>4407</v>
      </c>
      <c r="D100" s="572" t="s">
        <v>24864</v>
      </c>
      <c r="E100" s="558" t="s">
        <v>8</v>
      </c>
      <c r="F100" s="565">
        <v>14</v>
      </c>
      <c r="G100" s="573">
        <v>644.29</v>
      </c>
      <c r="H100" s="573">
        <v>9020.06</v>
      </c>
      <c r="I100" s="1338">
        <v>5.0000000000000001E-4</v>
      </c>
      <c r="J100" s="1338">
        <v>0.98419999999999996</v>
      </c>
      <c r="K100" s="1310" t="str">
        <f t="shared" si="1"/>
        <v>C</v>
      </c>
    </row>
    <row r="101" spans="1:11" ht="30" x14ac:dyDescent="0.25">
      <c r="A101" s="559" t="s">
        <v>26006</v>
      </c>
      <c r="B101" s="558" t="s">
        <v>822</v>
      </c>
      <c r="C101" s="558" t="s">
        <v>4379</v>
      </c>
      <c r="D101" s="572" t="s">
        <v>21</v>
      </c>
      <c r="E101" s="558" t="s">
        <v>20</v>
      </c>
      <c r="F101" s="565">
        <v>505.2</v>
      </c>
      <c r="G101" s="573">
        <v>20.190000000000001</v>
      </c>
      <c r="H101" s="573">
        <v>10199.99</v>
      </c>
      <c r="I101" s="1338">
        <v>5.0000000000000001E-4</v>
      </c>
      <c r="J101" s="1338">
        <v>0.98470000000000002</v>
      </c>
      <c r="K101" s="1310" t="str">
        <f t="shared" si="1"/>
        <v>C</v>
      </c>
    </row>
    <row r="102" spans="1:11" ht="30" x14ac:dyDescent="0.25">
      <c r="A102" s="559" t="s">
        <v>26025</v>
      </c>
      <c r="B102" s="558" t="s">
        <v>1245</v>
      </c>
      <c r="C102" s="558" t="s">
        <v>4379</v>
      </c>
      <c r="D102" s="572" t="s">
        <v>1246</v>
      </c>
      <c r="E102" s="558" t="s">
        <v>5</v>
      </c>
      <c r="F102" s="565">
        <v>107.24</v>
      </c>
      <c r="G102" s="573">
        <v>85.7</v>
      </c>
      <c r="H102" s="573">
        <v>9190.4699999999993</v>
      </c>
      <c r="I102" s="1338">
        <v>5.0000000000000001E-4</v>
      </c>
      <c r="J102" s="1338">
        <v>0.98519999999999996</v>
      </c>
      <c r="K102" s="1310" t="str">
        <f t="shared" si="1"/>
        <v>C</v>
      </c>
    </row>
    <row r="103" spans="1:11" ht="45" x14ac:dyDescent="0.25">
      <c r="A103" s="559" t="s">
        <v>26095</v>
      </c>
      <c r="B103" s="558" t="s">
        <v>25124</v>
      </c>
      <c r="C103" s="558" t="s">
        <v>4404</v>
      </c>
      <c r="D103" s="572" t="s">
        <v>209</v>
      </c>
      <c r="E103" s="558" t="s">
        <v>5</v>
      </c>
      <c r="F103" s="565">
        <v>6.8</v>
      </c>
      <c r="G103" s="573">
        <v>1320.2</v>
      </c>
      <c r="H103" s="573">
        <v>8977.36</v>
      </c>
      <c r="I103" s="1338">
        <v>5.0000000000000001E-4</v>
      </c>
      <c r="J103" s="1338">
        <v>0.98560000000000003</v>
      </c>
      <c r="K103" s="1310" t="str">
        <f t="shared" si="1"/>
        <v>C</v>
      </c>
    </row>
    <row r="104" spans="1:11" ht="30" x14ac:dyDescent="0.25">
      <c r="A104" s="559" t="s">
        <v>26091</v>
      </c>
      <c r="B104" s="558" t="s">
        <v>2325</v>
      </c>
      <c r="C104" s="558" t="s">
        <v>4379</v>
      </c>
      <c r="D104" s="572" t="s">
        <v>107</v>
      </c>
      <c r="E104" s="558" t="s">
        <v>8</v>
      </c>
      <c r="F104" s="565">
        <v>8</v>
      </c>
      <c r="G104" s="573">
        <v>1098.74</v>
      </c>
      <c r="H104" s="573">
        <v>8789.92</v>
      </c>
      <c r="I104" s="1338">
        <v>5.0000000000000001E-4</v>
      </c>
      <c r="J104" s="1338">
        <v>0.98609999999999998</v>
      </c>
      <c r="K104" s="1310" t="str">
        <f t="shared" si="1"/>
        <v>C</v>
      </c>
    </row>
    <row r="105" spans="1:11" ht="90" x14ac:dyDescent="0.25">
      <c r="A105" s="559" t="s">
        <v>129</v>
      </c>
      <c r="B105" s="558" t="s">
        <v>707</v>
      </c>
      <c r="C105" s="558" t="s">
        <v>4379</v>
      </c>
      <c r="D105" s="572" t="s">
        <v>708</v>
      </c>
      <c r="E105" s="558" t="s">
        <v>167</v>
      </c>
      <c r="F105" s="565">
        <v>6</v>
      </c>
      <c r="G105" s="573">
        <v>1346.31</v>
      </c>
      <c r="H105" s="573">
        <v>8077.86</v>
      </c>
      <c r="I105" s="1338">
        <v>4.0000000000000002E-4</v>
      </c>
      <c r="J105" s="1338">
        <v>0.98650000000000004</v>
      </c>
      <c r="K105" s="1310" t="str">
        <f t="shared" si="1"/>
        <v>C</v>
      </c>
    </row>
    <row r="106" spans="1:11" ht="60" x14ac:dyDescent="0.25">
      <c r="A106" s="559" t="s">
        <v>25066</v>
      </c>
      <c r="B106" s="558" t="s">
        <v>721</v>
      </c>
      <c r="C106" s="558" t="s">
        <v>4379</v>
      </c>
      <c r="D106" s="572" t="s">
        <v>123</v>
      </c>
      <c r="E106" s="558" t="s">
        <v>5</v>
      </c>
      <c r="F106" s="565">
        <v>10.9</v>
      </c>
      <c r="G106" s="573">
        <v>736.76</v>
      </c>
      <c r="H106" s="573">
        <v>8030.68</v>
      </c>
      <c r="I106" s="1338">
        <v>4.0000000000000002E-4</v>
      </c>
      <c r="J106" s="1338">
        <v>0.9869</v>
      </c>
      <c r="K106" s="1310" t="str">
        <f t="shared" si="1"/>
        <v>C</v>
      </c>
    </row>
    <row r="107" spans="1:11" ht="75" x14ac:dyDescent="0.25">
      <c r="A107" s="559" t="s">
        <v>25067</v>
      </c>
      <c r="B107" s="558" t="s">
        <v>709</v>
      </c>
      <c r="C107" s="558" t="s">
        <v>4379</v>
      </c>
      <c r="D107" s="572" t="s">
        <v>710</v>
      </c>
      <c r="E107" s="558" t="s">
        <v>167</v>
      </c>
      <c r="F107" s="565">
        <v>6</v>
      </c>
      <c r="G107" s="573">
        <v>1282.2</v>
      </c>
      <c r="H107" s="573">
        <v>7693.2</v>
      </c>
      <c r="I107" s="1338">
        <v>4.0000000000000002E-4</v>
      </c>
      <c r="J107" s="1338">
        <v>0.98729999999999996</v>
      </c>
      <c r="K107" s="1310" t="str">
        <f t="shared" si="1"/>
        <v>C</v>
      </c>
    </row>
    <row r="108" spans="1:11" ht="30" x14ac:dyDescent="0.25">
      <c r="A108" s="559" t="s">
        <v>25950</v>
      </c>
      <c r="B108" s="558" t="s">
        <v>4404</v>
      </c>
      <c r="C108" s="558" t="s">
        <v>24896</v>
      </c>
      <c r="D108" s="572" t="s">
        <v>24763</v>
      </c>
      <c r="E108" s="558" t="s">
        <v>7</v>
      </c>
      <c r="F108" s="565">
        <v>1171.94</v>
      </c>
      <c r="G108" s="573">
        <v>6.64</v>
      </c>
      <c r="H108" s="573">
        <v>7781.68</v>
      </c>
      <c r="I108" s="1338">
        <v>4.0000000000000002E-4</v>
      </c>
      <c r="J108" s="1338">
        <v>0.98770000000000002</v>
      </c>
      <c r="K108" s="1310" t="str">
        <f t="shared" si="1"/>
        <v>C</v>
      </c>
    </row>
    <row r="109" spans="1:11" x14ac:dyDescent="0.25">
      <c r="A109" s="559" t="s">
        <v>25990</v>
      </c>
      <c r="B109" s="558" t="s">
        <v>4404</v>
      </c>
      <c r="C109" s="558" t="s">
        <v>4410</v>
      </c>
      <c r="D109" s="572" t="s">
        <v>25033</v>
      </c>
      <c r="E109" s="558" t="s">
        <v>8</v>
      </c>
      <c r="F109" s="565">
        <v>29</v>
      </c>
      <c r="G109" s="573">
        <v>279.44</v>
      </c>
      <c r="H109" s="573">
        <v>8103.76</v>
      </c>
      <c r="I109" s="1338">
        <v>4.0000000000000002E-4</v>
      </c>
      <c r="J109" s="1338">
        <v>0.98819999999999997</v>
      </c>
      <c r="K109" s="1310" t="str">
        <f t="shared" si="1"/>
        <v>C</v>
      </c>
    </row>
    <row r="110" spans="1:11" ht="45" x14ac:dyDescent="0.25">
      <c r="A110" s="559" t="s">
        <v>26001</v>
      </c>
      <c r="B110" s="558" t="s">
        <v>811</v>
      </c>
      <c r="C110" s="558" t="s">
        <v>4379</v>
      </c>
      <c r="D110" s="572" t="s">
        <v>17</v>
      </c>
      <c r="E110" s="558" t="s">
        <v>6</v>
      </c>
      <c r="F110" s="565">
        <v>9.9600000000000009</v>
      </c>
      <c r="G110" s="573">
        <v>676.89</v>
      </c>
      <c r="H110" s="573">
        <v>6741.82</v>
      </c>
      <c r="I110" s="1338">
        <v>4.0000000000000002E-4</v>
      </c>
      <c r="J110" s="1338">
        <v>0.98850000000000005</v>
      </c>
      <c r="K110" s="1310" t="str">
        <f t="shared" si="1"/>
        <v>C</v>
      </c>
    </row>
    <row r="111" spans="1:11" ht="30" x14ac:dyDescent="0.25">
      <c r="A111" s="559" t="s">
        <v>26010</v>
      </c>
      <c r="B111" s="558" t="s">
        <v>842</v>
      </c>
      <c r="C111" s="558" t="s">
        <v>4379</v>
      </c>
      <c r="D111" s="572" t="s">
        <v>21</v>
      </c>
      <c r="E111" s="558" t="s">
        <v>20</v>
      </c>
      <c r="F111" s="565">
        <v>388.8</v>
      </c>
      <c r="G111" s="573">
        <v>20.190000000000001</v>
      </c>
      <c r="H111" s="573">
        <v>7849.87</v>
      </c>
      <c r="I111" s="1338">
        <v>4.0000000000000002E-4</v>
      </c>
      <c r="J111" s="1338">
        <v>0.9889</v>
      </c>
      <c r="K111" s="1310" t="str">
        <f t="shared" si="1"/>
        <v>C</v>
      </c>
    </row>
    <row r="112" spans="1:11" ht="30" x14ac:dyDescent="0.25">
      <c r="A112" s="559" t="s">
        <v>26123</v>
      </c>
      <c r="B112" s="558" t="s">
        <v>25151</v>
      </c>
      <c r="C112" s="558" t="s">
        <v>4404</v>
      </c>
      <c r="D112" s="572" t="s">
        <v>25317</v>
      </c>
      <c r="E112" s="558" t="s">
        <v>8</v>
      </c>
      <c r="F112" s="565">
        <v>8</v>
      </c>
      <c r="G112" s="573">
        <v>776.72</v>
      </c>
      <c r="H112" s="573">
        <v>6213.76</v>
      </c>
      <c r="I112" s="1338">
        <v>2.9999999999999997E-4</v>
      </c>
      <c r="J112" s="1338">
        <v>0.98929999999999996</v>
      </c>
      <c r="K112" s="1310" t="str">
        <f t="shared" si="1"/>
        <v>C</v>
      </c>
    </row>
    <row r="113" spans="1:11" ht="45" x14ac:dyDescent="0.25">
      <c r="A113" s="559" t="s">
        <v>26092</v>
      </c>
      <c r="B113" s="558" t="s">
        <v>2346</v>
      </c>
      <c r="C113" s="558" t="s">
        <v>4379</v>
      </c>
      <c r="D113" s="572" t="s">
        <v>62</v>
      </c>
      <c r="E113" s="558" t="s">
        <v>8</v>
      </c>
      <c r="F113" s="565">
        <v>8</v>
      </c>
      <c r="G113" s="573">
        <v>746.65</v>
      </c>
      <c r="H113" s="573">
        <v>5973.2</v>
      </c>
      <c r="I113" s="1338">
        <v>2.9999999999999997E-4</v>
      </c>
      <c r="J113" s="1338">
        <v>0.98960000000000004</v>
      </c>
      <c r="K113" s="1310" t="str">
        <f t="shared" si="1"/>
        <v>C</v>
      </c>
    </row>
    <row r="114" spans="1:11" ht="30" x14ac:dyDescent="0.25">
      <c r="A114" s="559" t="s">
        <v>25925</v>
      </c>
      <c r="B114" s="558" t="s">
        <v>681</v>
      </c>
      <c r="C114" s="558" t="s">
        <v>4379</v>
      </c>
      <c r="D114" s="572" t="s">
        <v>682</v>
      </c>
      <c r="E114" s="558" t="s">
        <v>8</v>
      </c>
      <c r="F114" s="565">
        <v>38</v>
      </c>
      <c r="G114" s="573">
        <v>134.38999999999999</v>
      </c>
      <c r="H114" s="573">
        <v>5106.82</v>
      </c>
      <c r="I114" s="1338">
        <v>2.9999999999999997E-4</v>
      </c>
      <c r="J114" s="1338">
        <v>0.98980000000000001</v>
      </c>
      <c r="K114" s="1310" t="str">
        <f t="shared" si="1"/>
        <v>C</v>
      </c>
    </row>
    <row r="115" spans="1:11" x14ac:dyDescent="0.25">
      <c r="A115" s="559" t="s">
        <v>25930</v>
      </c>
      <c r="B115" s="558" t="s">
        <v>4404</v>
      </c>
      <c r="C115" s="558" t="s">
        <v>24895</v>
      </c>
      <c r="D115" s="572" t="s">
        <v>24772</v>
      </c>
      <c r="E115" s="558" t="s">
        <v>24755</v>
      </c>
      <c r="F115" s="565">
        <v>30</v>
      </c>
      <c r="G115" s="573">
        <v>190.14</v>
      </c>
      <c r="H115" s="573">
        <v>5704.2</v>
      </c>
      <c r="I115" s="1338">
        <v>2.9999999999999997E-4</v>
      </c>
      <c r="J115" s="1338">
        <v>0.99009999999999998</v>
      </c>
      <c r="K115" s="1310" t="str">
        <f t="shared" si="1"/>
        <v>C</v>
      </c>
    </row>
    <row r="116" spans="1:11" x14ac:dyDescent="0.25">
      <c r="A116" s="559" t="s">
        <v>25936</v>
      </c>
      <c r="B116" s="558" t="s">
        <v>4404</v>
      </c>
      <c r="C116" s="558" t="s">
        <v>25108</v>
      </c>
      <c r="D116" s="572" t="s">
        <v>25744</v>
      </c>
      <c r="E116" s="558" t="s">
        <v>8</v>
      </c>
      <c r="F116" s="565">
        <v>8</v>
      </c>
      <c r="G116" s="573">
        <v>703.36</v>
      </c>
      <c r="H116" s="573">
        <v>5626.88</v>
      </c>
      <c r="I116" s="1338">
        <v>2.9999999999999997E-4</v>
      </c>
      <c r="J116" s="1338">
        <v>0.99039999999999995</v>
      </c>
      <c r="K116" s="1310" t="str">
        <f t="shared" si="1"/>
        <v>C</v>
      </c>
    </row>
    <row r="117" spans="1:11" x14ac:dyDescent="0.25">
      <c r="A117" s="559" t="s">
        <v>25991</v>
      </c>
      <c r="B117" s="558" t="s">
        <v>4404</v>
      </c>
      <c r="C117" s="558" t="s">
        <v>4411</v>
      </c>
      <c r="D117" s="572" t="s">
        <v>25035</v>
      </c>
      <c r="E117" s="558" t="s">
        <v>8</v>
      </c>
      <c r="F117" s="565">
        <v>46</v>
      </c>
      <c r="G117" s="573">
        <v>139.47999999999999</v>
      </c>
      <c r="H117" s="573">
        <v>6416.08</v>
      </c>
      <c r="I117" s="1338">
        <v>2.9999999999999997E-4</v>
      </c>
      <c r="J117" s="1338">
        <v>0.99080000000000001</v>
      </c>
      <c r="K117" s="1310" t="str">
        <f t="shared" si="1"/>
        <v>C</v>
      </c>
    </row>
    <row r="118" spans="1:11" ht="30" x14ac:dyDescent="0.25">
      <c r="A118" s="559" t="s">
        <v>25995</v>
      </c>
      <c r="B118" s="558">
        <v>42524</v>
      </c>
      <c r="C118" s="558" t="s">
        <v>4389</v>
      </c>
      <c r="D118" s="572" t="s">
        <v>3387</v>
      </c>
      <c r="E118" s="558" t="s">
        <v>5</v>
      </c>
      <c r="F118" s="565">
        <v>52</v>
      </c>
      <c r="G118" s="573">
        <v>117.58</v>
      </c>
      <c r="H118" s="573">
        <v>6114.16</v>
      </c>
      <c r="I118" s="1338">
        <v>2.9999999999999997E-4</v>
      </c>
      <c r="J118" s="1338">
        <v>0.99109999999999998</v>
      </c>
      <c r="K118" s="1310" t="str">
        <f t="shared" si="1"/>
        <v>C</v>
      </c>
    </row>
    <row r="119" spans="1:11" x14ac:dyDescent="0.25">
      <c r="A119" s="559" t="s">
        <v>25999</v>
      </c>
      <c r="B119" s="558" t="s">
        <v>775</v>
      </c>
      <c r="C119" s="558" t="s">
        <v>4379</v>
      </c>
      <c r="D119" s="572" t="s">
        <v>13</v>
      </c>
      <c r="E119" s="558" t="s">
        <v>5</v>
      </c>
      <c r="F119" s="565">
        <v>184.88</v>
      </c>
      <c r="G119" s="573">
        <v>30.63</v>
      </c>
      <c r="H119" s="573">
        <v>5662.87</v>
      </c>
      <c r="I119" s="1338">
        <v>2.9999999999999997E-4</v>
      </c>
      <c r="J119" s="1338">
        <v>0.99139999999999995</v>
      </c>
      <c r="K119" s="1310" t="str">
        <f t="shared" si="1"/>
        <v>C</v>
      </c>
    </row>
    <row r="120" spans="1:11" ht="30" x14ac:dyDescent="0.25">
      <c r="A120" s="559" t="s">
        <v>26009</v>
      </c>
      <c r="B120" s="558" t="s">
        <v>841</v>
      </c>
      <c r="C120" s="558" t="s">
        <v>4379</v>
      </c>
      <c r="D120" s="572" t="s">
        <v>280</v>
      </c>
      <c r="E120" s="558" t="s">
        <v>20</v>
      </c>
      <c r="F120" s="565">
        <v>365.2</v>
      </c>
      <c r="G120" s="573">
        <v>16.72</v>
      </c>
      <c r="H120" s="573">
        <v>6106.14</v>
      </c>
      <c r="I120" s="1338">
        <v>2.9999999999999997E-4</v>
      </c>
      <c r="J120" s="1338">
        <v>0.99170000000000003</v>
      </c>
      <c r="K120" s="1310" t="str">
        <f t="shared" si="1"/>
        <v>C</v>
      </c>
    </row>
    <row r="121" spans="1:11" ht="45" x14ac:dyDescent="0.25">
      <c r="A121" s="559" t="s">
        <v>26017</v>
      </c>
      <c r="B121" s="558" t="s">
        <v>2177</v>
      </c>
      <c r="C121" s="558" t="s">
        <v>4379</v>
      </c>
      <c r="D121" s="572" t="s">
        <v>2178</v>
      </c>
      <c r="E121" s="558" t="s">
        <v>5</v>
      </c>
      <c r="F121" s="565">
        <v>7.56</v>
      </c>
      <c r="G121" s="573">
        <v>838.67</v>
      </c>
      <c r="H121" s="573">
        <v>6340.35</v>
      </c>
      <c r="I121" s="1338">
        <v>2.9999999999999997E-4</v>
      </c>
      <c r="J121" s="1338">
        <v>0.99199999999999999</v>
      </c>
      <c r="K121" s="1310" t="str">
        <f t="shared" si="1"/>
        <v>C</v>
      </c>
    </row>
    <row r="122" spans="1:11" ht="60" x14ac:dyDescent="0.25">
      <c r="A122" s="559" t="s">
        <v>26029</v>
      </c>
      <c r="B122" s="558" t="s">
        <v>736</v>
      </c>
      <c r="C122" s="558" t="s">
        <v>4379</v>
      </c>
      <c r="D122" s="572" t="s">
        <v>126</v>
      </c>
      <c r="E122" s="558" t="s">
        <v>7</v>
      </c>
      <c r="F122" s="565">
        <v>100</v>
      </c>
      <c r="G122" s="573">
        <v>60.93</v>
      </c>
      <c r="H122" s="573">
        <v>6093</v>
      </c>
      <c r="I122" s="1338">
        <v>2.9999999999999997E-4</v>
      </c>
      <c r="J122" s="1338">
        <v>0.99229999999999996</v>
      </c>
      <c r="K122" s="1310" t="str">
        <f t="shared" si="1"/>
        <v>C</v>
      </c>
    </row>
    <row r="123" spans="1:11" ht="30" x14ac:dyDescent="0.25">
      <c r="A123" s="559" t="s">
        <v>26056</v>
      </c>
      <c r="B123" s="558" t="s">
        <v>2323</v>
      </c>
      <c r="C123" s="558" t="s">
        <v>4379</v>
      </c>
      <c r="D123" s="572" t="s">
        <v>2324</v>
      </c>
      <c r="E123" s="558" t="s">
        <v>8</v>
      </c>
      <c r="F123" s="565">
        <v>8</v>
      </c>
      <c r="G123" s="573">
        <v>707.39</v>
      </c>
      <c r="H123" s="573">
        <v>5659.12</v>
      </c>
      <c r="I123" s="1338">
        <v>2.9999999999999997E-4</v>
      </c>
      <c r="J123" s="1338">
        <v>0.99260000000000004</v>
      </c>
      <c r="K123" s="1310" t="str">
        <f t="shared" si="1"/>
        <v>C</v>
      </c>
    </row>
    <row r="124" spans="1:11" ht="45" x14ac:dyDescent="0.25">
      <c r="A124" s="559" t="s">
        <v>26058</v>
      </c>
      <c r="B124" s="558" t="s">
        <v>2334</v>
      </c>
      <c r="C124" s="558" t="s">
        <v>4379</v>
      </c>
      <c r="D124" s="572" t="s">
        <v>2335</v>
      </c>
      <c r="E124" s="558" t="s">
        <v>8</v>
      </c>
      <c r="F124" s="565">
        <v>8</v>
      </c>
      <c r="G124" s="573">
        <v>787.41</v>
      </c>
      <c r="H124" s="573">
        <v>6299.28</v>
      </c>
      <c r="I124" s="1338">
        <v>2.9999999999999997E-4</v>
      </c>
      <c r="J124" s="1338">
        <v>0.99299999999999999</v>
      </c>
      <c r="K124" s="1310" t="str">
        <f t="shared" si="1"/>
        <v>C</v>
      </c>
    </row>
    <row r="125" spans="1:11" x14ac:dyDescent="0.25">
      <c r="A125" s="559" t="s">
        <v>26107</v>
      </c>
      <c r="B125" s="558" t="s">
        <v>25133</v>
      </c>
      <c r="C125" s="558" t="s">
        <v>4404</v>
      </c>
      <c r="D125" s="572" t="s">
        <v>25288</v>
      </c>
      <c r="E125" s="558" t="s">
        <v>8</v>
      </c>
      <c r="F125" s="565">
        <v>36</v>
      </c>
      <c r="G125" s="573">
        <v>130.58000000000001</v>
      </c>
      <c r="H125" s="573">
        <v>4700.88</v>
      </c>
      <c r="I125" s="1338">
        <v>2.0000000000000001E-4</v>
      </c>
      <c r="J125" s="1338">
        <v>0.99319999999999997</v>
      </c>
      <c r="K125" s="1310" t="str">
        <f t="shared" si="1"/>
        <v>C</v>
      </c>
    </row>
    <row r="126" spans="1:11" x14ac:dyDescent="0.25">
      <c r="A126" s="559" t="s">
        <v>26109</v>
      </c>
      <c r="B126" s="558" t="s">
        <v>25135</v>
      </c>
      <c r="C126" s="558" t="s">
        <v>4404</v>
      </c>
      <c r="D126" s="572" t="s">
        <v>25295</v>
      </c>
      <c r="E126" s="558" t="s">
        <v>8</v>
      </c>
      <c r="F126" s="565">
        <v>16</v>
      </c>
      <c r="G126" s="573">
        <v>281.95999999999998</v>
      </c>
      <c r="H126" s="573">
        <v>4511.3599999999997</v>
      </c>
      <c r="I126" s="1338">
        <v>2.0000000000000001E-4</v>
      </c>
      <c r="J126" s="1338">
        <v>0.99339999999999995</v>
      </c>
      <c r="K126" s="1310" t="str">
        <f t="shared" si="1"/>
        <v>C</v>
      </c>
    </row>
    <row r="127" spans="1:11" ht="75" x14ac:dyDescent="0.25">
      <c r="A127" s="559" t="s">
        <v>26086</v>
      </c>
      <c r="B127" s="558" t="s">
        <v>25118</v>
      </c>
      <c r="C127" s="558" t="s">
        <v>4404</v>
      </c>
      <c r="D127" s="572" t="s">
        <v>25266</v>
      </c>
      <c r="E127" s="558" t="s">
        <v>8</v>
      </c>
      <c r="F127" s="565">
        <v>4</v>
      </c>
      <c r="G127" s="573">
        <v>1102.01</v>
      </c>
      <c r="H127" s="573">
        <v>4408.04</v>
      </c>
      <c r="I127" s="1338">
        <v>2.0000000000000001E-4</v>
      </c>
      <c r="J127" s="1338">
        <v>0.99370000000000003</v>
      </c>
      <c r="K127" s="1310" t="str">
        <f t="shared" si="1"/>
        <v>C</v>
      </c>
    </row>
    <row r="128" spans="1:11" ht="45" x14ac:dyDescent="0.25">
      <c r="A128" s="559" t="s">
        <v>25069</v>
      </c>
      <c r="B128" s="558" t="s">
        <v>732</v>
      </c>
      <c r="C128" s="558" t="s">
        <v>4379</v>
      </c>
      <c r="D128" s="572" t="s">
        <v>733</v>
      </c>
      <c r="E128" s="558" t="s">
        <v>8</v>
      </c>
      <c r="F128" s="565">
        <v>1</v>
      </c>
      <c r="G128" s="573">
        <v>3486.85</v>
      </c>
      <c r="H128" s="573">
        <v>3486.85</v>
      </c>
      <c r="I128" s="1338">
        <v>2.0000000000000001E-4</v>
      </c>
      <c r="J128" s="1338">
        <v>0.99390000000000001</v>
      </c>
      <c r="K128" s="1310" t="str">
        <f t="shared" si="1"/>
        <v>C</v>
      </c>
    </row>
    <row r="129" spans="1:11" ht="30" x14ac:dyDescent="0.25">
      <c r="A129" s="559" t="s">
        <v>25916</v>
      </c>
      <c r="B129" s="558" t="s">
        <v>697</v>
      </c>
      <c r="C129" s="558" t="s">
        <v>4379</v>
      </c>
      <c r="D129" s="572" t="s">
        <v>698</v>
      </c>
      <c r="E129" s="558" t="s">
        <v>8</v>
      </c>
      <c r="F129" s="565">
        <v>2</v>
      </c>
      <c r="G129" s="573">
        <v>1795.08</v>
      </c>
      <c r="H129" s="573">
        <v>3590.16</v>
      </c>
      <c r="I129" s="1338">
        <v>2.0000000000000001E-4</v>
      </c>
      <c r="J129" s="1338">
        <v>0.99399999999999999</v>
      </c>
      <c r="K129" s="1310" t="str">
        <f t="shared" si="1"/>
        <v>C</v>
      </c>
    </row>
    <row r="130" spans="1:11" ht="45" x14ac:dyDescent="0.25">
      <c r="A130" s="559" t="s">
        <v>26015</v>
      </c>
      <c r="B130" s="558" t="s">
        <v>24895</v>
      </c>
      <c r="C130" s="558" t="s">
        <v>4404</v>
      </c>
      <c r="D130" s="572" t="s">
        <v>25327</v>
      </c>
      <c r="E130" s="558" t="s">
        <v>5</v>
      </c>
      <c r="F130" s="565">
        <v>4.5999999999999996</v>
      </c>
      <c r="G130" s="573">
        <v>747.36</v>
      </c>
      <c r="H130" s="573">
        <v>3437.86</v>
      </c>
      <c r="I130" s="1338">
        <v>2.0000000000000001E-4</v>
      </c>
      <c r="J130" s="1338">
        <v>0.99419999999999997</v>
      </c>
      <c r="K130" s="1310" t="str">
        <f t="shared" si="1"/>
        <v>C</v>
      </c>
    </row>
    <row r="131" spans="1:11" ht="45" x14ac:dyDescent="0.25">
      <c r="A131" s="559" t="s">
        <v>26027</v>
      </c>
      <c r="B131" s="558" t="s">
        <v>2550</v>
      </c>
      <c r="C131" s="558" t="s">
        <v>4379</v>
      </c>
      <c r="D131" s="572" t="s">
        <v>2551</v>
      </c>
      <c r="E131" s="558" t="s">
        <v>5</v>
      </c>
      <c r="F131" s="565">
        <v>107.24</v>
      </c>
      <c r="G131" s="573">
        <v>41.99</v>
      </c>
      <c r="H131" s="573">
        <v>4503.01</v>
      </c>
      <c r="I131" s="1338">
        <v>2.0000000000000001E-4</v>
      </c>
      <c r="J131" s="1338">
        <v>0.99450000000000005</v>
      </c>
      <c r="K131" s="1310" t="str">
        <f t="shared" si="1"/>
        <v>C</v>
      </c>
    </row>
    <row r="132" spans="1:11" ht="30" x14ac:dyDescent="0.25">
      <c r="A132" s="559" t="s">
        <v>26031</v>
      </c>
      <c r="B132" s="558" t="s">
        <v>1425</v>
      </c>
      <c r="C132" s="558" t="s">
        <v>4379</v>
      </c>
      <c r="D132" s="572" t="s">
        <v>1426</v>
      </c>
      <c r="E132" s="558" t="s">
        <v>7</v>
      </c>
      <c r="F132" s="565">
        <v>60.76</v>
      </c>
      <c r="G132" s="573">
        <v>68</v>
      </c>
      <c r="H132" s="573">
        <v>4131.68</v>
      </c>
      <c r="I132" s="1338">
        <v>2.0000000000000001E-4</v>
      </c>
      <c r="J132" s="1338">
        <v>0.99470000000000003</v>
      </c>
      <c r="K132" s="1310" t="str">
        <f t="shared" si="1"/>
        <v>C</v>
      </c>
    </row>
    <row r="133" spans="1:11" ht="30" x14ac:dyDescent="0.25">
      <c r="A133" s="559" t="s">
        <v>26033</v>
      </c>
      <c r="B133" s="558" t="s">
        <v>1417</v>
      </c>
      <c r="C133" s="558" t="s">
        <v>4379</v>
      </c>
      <c r="D133" s="572" t="s">
        <v>1418</v>
      </c>
      <c r="E133" s="558" t="s">
        <v>7</v>
      </c>
      <c r="F133" s="565">
        <v>121.28</v>
      </c>
      <c r="G133" s="573">
        <v>25.02</v>
      </c>
      <c r="H133" s="573">
        <v>3034.43</v>
      </c>
      <c r="I133" s="1338">
        <v>2.0000000000000001E-4</v>
      </c>
      <c r="J133" s="1338">
        <v>0.99480000000000002</v>
      </c>
      <c r="K133" s="1310" t="str">
        <f t="shared" si="1"/>
        <v>C</v>
      </c>
    </row>
    <row r="134" spans="1:11" ht="30" x14ac:dyDescent="0.25">
      <c r="A134" s="559" t="s">
        <v>26060</v>
      </c>
      <c r="B134" s="558" t="s">
        <v>1451</v>
      </c>
      <c r="C134" s="558" t="s">
        <v>4379</v>
      </c>
      <c r="D134" s="572" t="s">
        <v>1452</v>
      </c>
      <c r="E134" s="558" t="s">
        <v>7</v>
      </c>
      <c r="F134" s="565">
        <v>79.2</v>
      </c>
      <c r="G134" s="573">
        <v>55.63</v>
      </c>
      <c r="H134" s="573">
        <v>4405.8999999999996</v>
      </c>
      <c r="I134" s="1338">
        <v>2.0000000000000001E-4</v>
      </c>
      <c r="J134" s="1338">
        <v>0.99509999999999998</v>
      </c>
      <c r="K134" s="1310" t="str">
        <f t="shared" si="1"/>
        <v>C</v>
      </c>
    </row>
    <row r="135" spans="1:11" ht="30" x14ac:dyDescent="0.25">
      <c r="A135" s="559" t="s">
        <v>26061</v>
      </c>
      <c r="B135" s="558" t="s">
        <v>1455</v>
      </c>
      <c r="C135" s="558" t="s">
        <v>4379</v>
      </c>
      <c r="D135" s="572" t="s">
        <v>1456</v>
      </c>
      <c r="E135" s="558" t="s">
        <v>7</v>
      </c>
      <c r="F135" s="565">
        <v>33.6</v>
      </c>
      <c r="G135" s="573">
        <v>88.86</v>
      </c>
      <c r="H135" s="573">
        <v>2985.7</v>
      </c>
      <c r="I135" s="1338">
        <v>2.0000000000000001E-4</v>
      </c>
      <c r="J135" s="1338">
        <v>0.99519999999999997</v>
      </c>
      <c r="K135" s="1310" t="str">
        <f t="shared" ref="K135:K198" si="2">IF(J135&lt;$J$2,$I$2,IF(J135&lt;$J$3,$I$3,$I$4))</f>
        <v>C</v>
      </c>
    </row>
    <row r="136" spans="1:11" ht="60" x14ac:dyDescent="0.25">
      <c r="A136" s="559" t="s">
        <v>26062</v>
      </c>
      <c r="B136" s="558" t="s">
        <v>1389</v>
      </c>
      <c r="C136" s="558" t="s">
        <v>4379</v>
      </c>
      <c r="D136" s="572" t="s">
        <v>50</v>
      </c>
      <c r="E136" s="558" t="s">
        <v>8</v>
      </c>
      <c r="F136" s="565">
        <v>4</v>
      </c>
      <c r="G136" s="573">
        <v>807.43</v>
      </c>
      <c r="H136" s="573">
        <v>3229.72</v>
      </c>
      <c r="I136" s="1338">
        <v>2.0000000000000001E-4</v>
      </c>
      <c r="J136" s="1338">
        <v>0.99539999999999995</v>
      </c>
      <c r="K136" s="1310" t="str">
        <f t="shared" si="2"/>
        <v>C</v>
      </c>
    </row>
    <row r="137" spans="1:11" ht="45" x14ac:dyDescent="0.25">
      <c r="A137" s="559" t="s">
        <v>26063</v>
      </c>
      <c r="B137" s="1312" t="s">
        <v>25094</v>
      </c>
      <c r="C137" s="558" t="s">
        <v>25079</v>
      </c>
      <c r="D137" s="572" t="s">
        <v>25095</v>
      </c>
      <c r="E137" s="558" t="s">
        <v>83</v>
      </c>
      <c r="F137" s="565">
        <v>16</v>
      </c>
      <c r="G137" s="573">
        <v>235.69</v>
      </c>
      <c r="H137" s="573">
        <v>3771.04</v>
      </c>
      <c r="I137" s="1338">
        <v>2.0000000000000001E-4</v>
      </c>
      <c r="J137" s="1338">
        <v>0.99560000000000004</v>
      </c>
      <c r="K137" s="1310" t="str">
        <f t="shared" si="2"/>
        <v>C</v>
      </c>
    </row>
    <row r="138" spans="1:11" x14ac:dyDescent="0.25">
      <c r="A138" s="559" t="s">
        <v>26115</v>
      </c>
      <c r="B138" s="558" t="s">
        <v>1791</v>
      </c>
      <c r="C138" s="558" t="s">
        <v>4379</v>
      </c>
      <c r="D138" s="572" t="s">
        <v>1792</v>
      </c>
      <c r="E138" s="558" t="s">
        <v>8</v>
      </c>
      <c r="F138" s="565">
        <v>20</v>
      </c>
      <c r="G138" s="573">
        <v>184.42</v>
      </c>
      <c r="H138" s="573">
        <v>3688.4</v>
      </c>
      <c r="I138" s="1338">
        <v>2.0000000000000001E-4</v>
      </c>
      <c r="J138" s="1338">
        <v>0.99580000000000002</v>
      </c>
      <c r="K138" s="1310" t="str">
        <f t="shared" si="2"/>
        <v>C</v>
      </c>
    </row>
    <row r="139" spans="1:11" ht="30" x14ac:dyDescent="0.25">
      <c r="A139" s="559" t="s">
        <v>26093</v>
      </c>
      <c r="B139" s="558" t="s">
        <v>2322</v>
      </c>
      <c r="C139" s="558" t="s">
        <v>4379</v>
      </c>
      <c r="D139" s="572" t="s">
        <v>99</v>
      </c>
      <c r="E139" s="558" t="s">
        <v>8</v>
      </c>
      <c r="F139" s="565">
        <v>8</v>
      </c>
      <c r="G139" s="573">
        <v>411.56</v>
      </c>
      <c r="H139" s="573">
        <v>3292.48</v>
      </c>
      <c r="I139" s="1338">
        <v>2.0000000000000001E-4</v>
      </c>
      <c r="J139" s="1338">
        <v>0.99590000000000001</v>
      </c>
      <c r="K139" s="1310" t="str">
        <f t="shared" si="2"/>
        <v>C</v>
      </c>
    </row>
    <row r="140" spans="1:11" ht="75" x14ac:dyDescent="0.25">
      <c r="A140" s="559" t="s">
        <v>26085</v>
      </c>
      <c r="B140" s="558" t="s">
        <v>1388</v>
      </c>
      <c r="C140" s="558" t="s">
        <v>4379</v>
      </c>
      <c r="D140" s="572" t="s">
        <v>49</v>
      </c>
      <c r="E140" s="558" t="s">
        <v>8</v>
      </c>
      <c r="F140" s="565">
        <v>4</v>
      </c>
      <c r="G140" s="573">
        <v>815.71</v>
      </c>
      <c r="H140" s="573">
        <v>3262.84</v>
      </c>
      <c r="I140" s="1338">
        <v>2.0000000000000001E-4</v>
      </c>
      <c r="J140" s="1338">
        <v>0.99609999999999999</v>
      </c>
      <c r="K140" s="1310" t="str">
        <f t="shared" si="2"/>
        <v>C</v>
      </c>
    </row>
    <row r="141" spans="1:11" ht="45" x14ac:dyDescent="0.25">
      <c r="A141" s="559" t="s">
        <v>26090</v>
      </c>
      <c r="B141" s="558" t="s">
        <v>25122</v>
      </c>
      <c r="C141" s="558" t="s">
        <v>4404</v>
      </c>
      <c r="D141" s="572" t="s">
        <v>25417</v>
      </c>
      <c r="E141" s="558" t="s">
        <v>8</v>
      </c>
      <c r="F141" s="565">
        <v>8</v>
      </c>
      <c r="G141" s="573">
        <v>361.34</v>
      </c>
      <c r="H141" s="573">
        <v>2890.72</v>
      </c>
      <c r="I141" s="1338">
        <v>2.0000000000000001E-4</v>
      </c>
      <c r="J141" s="1338">
        <v>0.99629999999999996</v>
      </c>
      <c r="K141" s="1310" t="str">
        <f t="shared" si="2"/>
        <v>C</v>
      </c>
    </row>
    <row r="142" spans="1:11" x14ac:dyDescent="0.25">
      <c r="A142" s="559" t="s">
        <v>26126</v>
      </c>
      <c r="B142" s="558" t="s">
        <v>2615</v>
      </c>
      <c r="C142" s="558" t="s">
        <v>4379</v>
      </c>
      <c r="D142" s="572" t="s">
        <v>2616</v>
      </c>
      <c r="E142" s="558" t="s">
        <v>5</v>
      </c>
      <c r="F142" s="565">
        <v>223.76</v>
      </c>
      <c r="G142" s="573">
        <v>12.62</v>
      </c>
      <c r="H142" s="573">
        <v>2823.85</v>
      </c>
      <c r="I142" s="1338">
        <v>1E-4</v>
      </c>
      <c r="J142" s="1338">
        <v>0.99639999999999995</v>
      </c>
      <c r="K142" s="1310" t="str">
        <f t="shared" si="2"/>
        <v>C</v>
      </c>
    </row>
    <row r="143" spans="1:11" ht="45" x14ac:dyDescent="0.25">
      <c r="A143" s="559" t="s">
        <v>26117</v>
      </c>
      <c r="B143" s="558" t="s">
        <v>25141</v>
      </c>
      <c r="C143" s="558" t="s">
        <v>4404</v>
      </c>
      <c r="D143" s="572" t="s">
        <v>25441</v>
      </c>
      <c r="E143" s="558" t="s">
        <v>82</v>
      </c>
      <c r="F143" s="565">
        <v>580.4</v>
      </c>
      <c r="G143" s="573">
        <v>4.82</v>
      </c>
      <c r="H143" s="573">
        <v>2797.53</v>
      </c>
      <c r="I143" s="1338">
        <v>1E-4</v>
      </c>
      <c r="J143" s="1338">
        <v>0.99660000000000004</v>
      </c>
      <c r="K143" s="1310" t="str">
        <f t="shared" si="2"/>
        <v>C</v>
      </c>
    </row>
    <row r="144" spans="1:11" ht="45" x14ac:dyDescent="0.25">
      <c r="A144" s="559" t="s">
        <v>26089</v>
      </c>
      <c r="B144" s="558" t="s">
        <v>25121</v>
      </c>
      <c r="C144" s="558" t="s">
        <v>4404</v>
      </c>
      <c r="D144" s="572" t="s">
        <v>25414</v>
      </c>
      <c r="E144" s="558" t="s">
        <v>8</v>
      </c>
      <c r="F144" s="565">
        <v>8</v>
      </c>
      <c r="G144" s="573">
        <v>347.59</v>
      </c>
      <c r="H144" s="573">
        <v>2780.72</v>
      </c>
      <c r="I144" s="1338">
        <v>1E-4</v>
      </c>
      <c r="J144" s="1338">
        <v>0.99670000000000003</v>
      </c>
      <c r="K144" s="1310" t="str">
        <f t="shared" si="2"/>
        <v>C</v>
      </c>
    </row>
    <row r="145" spans="1:11" ht="45" x14ac:dyDescent="0.25">
      <c r="A145" s="559" t="s">
        <v>26087</v>
      </c>
      <c r="B145" s="558" t="s">
        <v>25120</v>
      </c>
      <c r="C145" s="558" t="s">
        <v>4404</v>
      </c>
      <c r="D145" s="572" t="s">
        <v>25409</v>
      </c>
      <c r="E145" s="558" t="s">
        <v>8</v>
      </c>
      <c r="F145" s="565">
        <v>8</v>
      </c>
      <c r="G145" s="573">
        <v>317.38</v>
      </c>
      <c r="H145" s="573">
        <v>2539.04</v>
      </c>
      <c r="I145" s="1338">
        <v>1E-4</v>
      </c>
      <c r="J145" s="1338">
        <v>0.99680000000000002</v>
      </c>
      <c r="K145" s="1310" t="str">
        <f t="shared" si="2"/>
        <v>C</v>
      </c>
    </row>
    <row r="146" spans="1:11" ht="45" x14ac:dyDescent="0.25">
      <c r="A146" s="559" t="s">
        <v>26118</v>
      </c>
      <c r="B146" s="558" t="s">
        <v>25142</v>
      </c>
      <c r="C146" s="558" t="s">
        <v>4404</v>
      </c>
      <c r="D146" s="572" t="s">
        <v>25445</v>
      </c>
      <c r="E146" s="558" t="s">
        <v>82</v>
      </c>
      <c r="F146" s="565">
        <v>672.44</v>
      </c>
      <c r="G146" s="573">
        <v>3.28</v>
      </c>
      <c r="H146" s="573">
        <v>2205.6</v>
      </c>
      <c r="I146" s="1338">
        <v>1E-4</v>
      </c>
      <c r="J146" s="1338">
        <v>0.99690000000000001</v>
      </c>
      <c r="K146" s="1310" t="str">
        <f t="shared" si="2"/>
        <v>C</v>
      </c>
    </row>
    <row r="147" spans="1:11" ht="60" x14ac:dyDescent="0.25">
      <c r="A147" s="559" t="s">
        <v>25071</v>
      </c>
      <c r="B147" s="558" t="s">
        <v>736</v>
      </c>
      <c r="C147" s="558" t="s">
        <v>4379</v>
      </c>
      <c r="D147" s="572" t="s">
        <v>126</v>
      </c>
      <c r="E147" s="558" t="s">
        <v>7</v>
      </c>
      <c r="F147" s="565">
        <v>25</v>
      </c>
      <c r="G147" s="573">
        <v>60.93</v>
      </c>
      <c r="H147" s="573">
        <v>1523.25</v>
      </c>
      <c r="I147" s="1338">
        <v>1E-4</v>
      </c>
      <c r="J147" s="1338">
        <v>0.997</v>
      </c>
      <c r="K147" s="1310" t="str">
        <f t="shared" si="2"/>
        <v>C</v>
      </c>
    </row>
    <row r="148" spans="1:11" x14ac:dyDescent="0.25">
      <c r="A148" s="559" t="s">
        <v>25921</v>
      </c>
      <c r="B148" s="558">
        <v>40094</v>
      </c>
      <c r="C148" s="558" t="s">
        <v>4389</v>
      </c>
      <c r="D148" s="572" t="s">
        <v>3426</v>
      </c>
      <c r="E148" s="558" t="s">
        <v>5</v>
      </c>
      <c r="F148" s="565">
        <v>10</v>
      </c>
      <c r="G148" s="573">
        <v>118.83</v>
      </c>
      <c r="H148" s="573">
        <v>1188.3</v>
      </c>
      <c r="I148" s="1338">
        <v>1E-4</v>
      </c>
      <c r="J148" s="1338">
        <v>0.99709999999999999</v>
      </c>
      <c r="K148" s="1310" t="str">
        <f t="shared" si="2"/>
        <v>C</v>
      </c>
    </row>
    <row r="149" spans="1:11" ht="45" x14ac:dyDescent="0.25">
      <c r="A149" s="559" t="s">
        <v>25924</v>
      </c>
      <c r="B149" s="558" t="s">
        <v>4404</v>
      </c>
      <c r="C149" s="558" t="s">
        <v>24894</v>
      </c>
      <c r="D149" s="572" t="s">
        <v>295</v>
      </c>
      <c r="E149" s="558" t="s">
        <v>24755</v>
      </c>
      <c r="F149" s="565">
        <v>12</v>
      </c>
      <c r="G149" s="573">
        <v>232.51</v>
      </c>
      <c r="H149" s="573">
        <v>2790.12</v>
      </c>
      <c r="I149" s="1338">
        <v>1E-4</v>
      </c>
      <c r="J149" s="1338">
        <v>0.99719999999999998</v>
      </c>
      <c r="K149" s="1310" t="str">
        <f t="shared" si="2"/>
        <v>C</v>
      </c>
    </row>
    <row r="150" spans="1:11" x14ac:dyDescent="0.25">
      <c r="A150" s="559" t="s">
        <v>25929</v>
      </c>
      <c r="B150" s="558">
        <v>40093</v>
      </c>
      <c r="C150" s="558" t="s">
        <v>4389</v>
      </c>
      <c r="D150" s="572" t="s">
        <v>3445</v>
      </c>
      <c r="E150" s="558" t="s">
        <v>5</v>
      </c>
      <c r="F150" s="565">
        <v>14.56</v>
      </c>
      <c r="G150" s="573">
        <v>109.44</v>
      </c>
      <c r="H150" s="573">
        <v>1593.45</v>
      </c>
      <c r="I150" s="1338">
        <v>1E-4</v>
      </c>
      <c r="J150" s="1338">
        <v>0.99729999999999996</v>
      </c>
      <c r="K150" s="1310" t="str">
        <f t="shared" si="2"/>
        <v>C</v>
      </c>
    </row>
    <row r="151" spans="1:11" ht="60" x14ac:dyDescent="0.25">
      <c r="A151" s="559" t="s">
        <v>25933</v>
      </c>
      <c r="B151" s="558" t="s">
        <v>797</v>
      </c>
      <c r="C151" s="558" t="s">
        <v>4379</v>
      </c>
      <c r="D151" s="572" t="s">
        <v>798</v>
      </c>
      <c r="E151" s="558" t="s">
        <v>6</v>
      </c>
      <c r="F151" s="565">
        <v>25</v>
      </c>
      <c r="G151" s="573">
        <v>78.02</v>
      </c>
      <c r="H151" s="573">
        <v>1950.5</v>
      </c>
      <c r="I151" s="1338">
        <v>1E-4</v>
      </c>
      <c r="J151" s="1338">
        <v>0.99739999999999995</v>
      </c>
      <c r="K151" s="1310" t="str">
        <f t="shared" si="2"/>
        <v>C</v>
      </c>
    </row>
    <row r="152" spans="1:11" ht="30" x14ac:dyDescent="0.25">
      <c r="A152" s="559" t="s">
        <v>25957</v>
      </c>
      <c r="B152" s="558" t="s">
        <v>842</v>
      </c>
      <c r="C152" s="558" t="s">
        <v>4379</v>
      </c>
      <c r="D152" s="572" t="s">
        <v>21</v>
      </c>
      <c r="E152" s="558" t="s">
        <v>20</v>
      </c>
      <c r="F152" s="565">
        <v>73.2</v>
      </c>
      <c r="G152" s="573">
        <v>20.190000000000001</v>
      </c>
      <c r="H152" s="573">
        <v>1477.91</v>
      </c>
      <c r="I152" s="1338">
        <v>1E-4</v>
      </c>
      <c r="J152" s="1338">
        <v>0.99750000000000005</v>
      </c>
      <c r="K152" s="1310" t="str">
        <f t="shared" si="2"/>
        <v>C</v>
      </c>
    </row>
    <row r="153" spans="1:11" ht="30" x14ac:dyDescent="0.25">
      <c r="A153" s="559" t="s">
        <v>25971</v>
      </c>
      <c r="B153" s="558" t="s">
        <v>1825</v>
      </c>
      <c r="C153" s="558" t="s">
        <v>4379</v>
      </c>
      <c r="D153" s="572" t="s">
        <v>343</v>
      </c>
      <c r="E153" s="558" t="s">
        <v>7</v>
      </c>
      <c r="F153" s="565">
        <v>114.76</v>
      </c>
      <c r="G153" s="573">
        <v>11.76</v>
      </c>
      <c r="H153" s="573">
        <v>1349.58</v>
      </c>
      <c r="I153" s="1338">
        <v>1E-4</v>
      </c>
      <c r="J153" s="1338">
        <v>0.99760000000000004</v>
      </c>
      <c r="K153" s="1310" t="str">
        <f t="shared" si="2"/>
        <v>C</v>
      </c>
    </row>
    <row r="154" spans="1:11" x14ac:dyDescent="0.25">
      <c r="A154" s="559" t="s">
        <v>25997</v>
      </c>
      <c r="B154" s="558" t="s">
        <v>684</v>
      </c>
      <c r="C154" s="558" t="s">
        <v>4379</v>
      </c>
      <c r="D154" s="572" t="s">
        <v>10</v>
      </c>
      <c r="E154" s="558" t="s">
        <v>5</v>
      </c>
      <c r="F154" s="565">
        <v>128.52000000000001</v>
      </c>
      <c r="G154" s="573">
        <v>13.14</v>
      </c>
      <c r="H154" s="573">
        <v>1688.75</v>
      </c>
      <c r="I154" s="1338">
        <v>1E-4</v>
      </c>
      <c r="J154" s="1338">
        <v>0.99770000000000003</v>
      </c>
      <c r="K154" s="1310" t="str">
        <f t="shared" si="2"/>
        <v>C</v>
      </c>
    </row>
    <row r="155" spans="1:11" ht="30" x14ac:dyDescent="0.25">
      <c r="A155" s="559" t="s">
        <v>26012</v>
      </c>
      <c r="B155" s="558" t="s">
        <v>918</v>
      </c>
      <c r="C155" s="558" t="s">
        <v>4379</v>
      </c>
      <c r="D155" s="572" t="s">
        <v>26</v>
      </c>
      <c r="E155" s="558" t="s">
        <v>7</v>
      </c>
      <c r="F155" s="565">
        <v>112.56</v>
      </c>
      <c r="G155" s="573">
        <v>11.85</v>
      </c>
      <c r="H155" s="573">
        <v>1333.84</v>
      </c>
      <c r="I155" s="1338">
        <v>1E-4</v>
      </c>
      <c r="J155" s="1338">
        <v>0.99770000000000003</v>
      </c>
      <c r="K155" s="1310" t="str">
        <f t="shared" si="2"/>
        <v>C</v>
      </c>
    </row>
    <row r="156" spans="1:11" ht="75" x14ac:dyDescent="0.25">
      <c r="A156" s="559" t="s">
        <v>26028</v>
      </c>
      <c r="B156" s="558" t="s">
        <v>1328</v>
      </c>
      <c r="C156" s="558" t="s">
        <v>4379</v>
      </c>
      <c r="D156" s="572" t="s">
        <v>1329</v>
      </c>
      <c r="E156" s="558" t="s">
        <v>8</v>
      </c>
      <c r="F156" s="565">
        <v>4</v>
      </c>
      <c r="G156" s="573">
        <v>573.37</v>
      </c>
      <c r="H156" s="573">
        <v>2293.48</v>
      </c>
      <c r="I156" s="1338">
        <v>1E-4</v>
      </c>
      <c r="J156" s="1338">
        <v>0.99780000000000002</v>
      </c>
      <c r="K156" s="1310" t="str">
        <f t="shared" si="2"/>
        <v>C</v>
      </c>
    </row>
    <row r="157" spans="1:11" ht="30" x14ac:dyDescent="0.25">
      <c r="A157" s="559" t="s">
        <v>26032</v>
      </c>
      <c r="B157" s="558" t="s">
        <v>1421</v>
      </c>
      <c r="C157" s="558" t="s">
        <v>4379</v>
      </c>
      <c r="D157" s="572" t="s">
        <v>1422</v>
      </c>
      <c r="E157" s="558" t="s">
        <v>7</v>
      </c>
      <c r="F157" s="565">
        <v>48.44</v>
      </c>
      <c r="G157" s="573">
        <v>42.97</v>
      </c>
      <c r="H157" s="573">
        <v>2081.4699999999998</v>
      </c>
      <c r="I157" s="1338">
        <v>1E-4</v>
      </c>
      <c r="J157" s="1338">
        <v>0.998</v>
      </c>
      <c r="K157" s="1310" t="str">
        <f t="shared" si="2"/>
        <v>C</v>
      </c>
    </row>
    <row r="158" spans="1:11" ht="30" x14ac:dyDescent="0.25">
      <c r="A158" s="559" t="s">
        <v>26035</v>
      </c>
      <c r="B158" s="1312" t="s">
        <v>25081</v>
      </c>
      <c r="C158" s="558" t="s">
        <v>25079</v>
      </c>
      <c r="D158" s="572" t="s">
        <v>25082</v>
      </c>
      <c r="E158" s="558" t="s">
        <v>8</v>
      </c>
      <c r="F158" s="565">
        <v>16</v>
      </c>
      <c r="G158" s="573">
        <v>69.760000000000005</v>
      </c>
      <c r="H158" s="573">
        <v>1116.1600000000001</v>
      </c>
      <c r="I158" s="1338">
        <v>1E-4</v>
      </c>
      <c r="J158" s="1338">
        <v>0.998</v>
      </c>
      <c r="K158" s="1310" t="str">
        <f t="shared" si="2"/>
        <v>C</v>
      </c>
    </row>
    <row r="159" spans="1:11" ht="60" x14ac:dyDescent="0.25">
      <c r="A159" s="559" t="s">
        <v>26038</v>
      </c>
      <c r="B159" s="558" t="s">
        <v>24779</v>
      </c>
      <c r="C159" s="558" t="s">
        <v>4404</v>
      </c>
      <c r="D159" s="572" t="s">
        <v>25343</v>
      </c>
      <c r="E159" s="558" t="s">
        <v>24804</v>
      </c>
      <c r="F159" s="565">
        <v>32</v>
      </c>
      <c r="G159" s="573">
        <v>34.229999999999997</v>
      </c>
      <c r="H159" s="573">
        <v>1095.3599999999999</v>
      </c>
      <c r="I159" s="1338">
        <v>1E-4</v>
      </c>
      <c r="J159" s="1338">
        <v>0.99809999999999999</v>
      </c>
      <c r="K159" s="1310" t="str">
        <f t="shared" si="2"/>
        <v>C</v>
      </c>
    </row>
    <row r="160" spans="1:11" ht="45" x14ac:dyDescent="0.25">
      <c r="A160" s="559" t="s">
        <v>26042</v>
      </c>
      <c r="B160" s="558" t="s">
        <v>24787</v>
      </c>
      <c r="C160" s="558" t="s">
        <v>4404</v>
      </c>
      <c r="D160" s="572" t="s">
        <v>25349</v>
      </c>
      <c r="E160" s="558" t="s">
        <v>24804</v>
      </c>
      <c r="F160" s="565">
        <v>24</v>
      </c>
      <c r="G160" s="573">
        <v>40.630000000000003</v>
      </c>
      <c r="H160" s="573">
        <v>975.12</v>
      </c>
      <c r="I160" s="1338">
        <v>1E-4</v>
      </c>
      <c r="J160" s="1338">
        <v>0.99809999999999999</v>
      </c>
      <c r="K160" s="1310" t="str">
        <f t="shared" si="2"/>
        <v>C</v>
      </c>
    </row>
    <row r="161" spans="1:11" x14ac:dyDescent="0.25">
      <c r="A161" s="559" t="s">
        <v>26053</v>
      </c>
      <c r="B161" s="558" t="s">
        <v>2271</v>
      </c>
      <c r="C161" s="558" t="s">
        <v>4379</v>
      </c>
      <c r="D161" s="572" t="s">
        <v>2272</v>
      </c>
      <c r="E161" s="558" t="s">
        <v>8</v>
      </c>
      <c r="F161" s="565">
        <v>24</v>
      </c>
      <c r="G161" s="573">
        <v>76.69</v>
      </c>
      <c r="H161" s="573">
        <v>1840.56</v>
      </c>
      <c r="I161" s="1338">
        <v>1E-4</v>
      </c>
      <c r="J161" s="1338">
        <v>0.99819999999999998</v>
      </c>
      <c r="K161" s="1310" t="str">
        <f t="shared" si="2"/>
        <v>C</v>
      </c>
    </row>
    <row r="162" spans="1:11" x14ac:dyDescent="0.25">
      <c r="A162" s="559" t="s">
        <v>26054</v>
      </c>
      <c r="B162" s="558" t="s">
        <v>2275</v>
      </c>
      <c r="C162" s="558" t="s">
        <v>4379</v>
      </c>
      <c r="D162" s="572" t="s">
        <v>2276</v>
      </c>
      <c r="E162" s="558" t="s">
        <v>8</v>
      </c>
      <c r="F162" s="565">
        <v>12</v>
      </c>
      <c r="G162" s="573">
        <v>125.17</v>
      </c>
      <c r="H162" s="573">
        <v>1502.04</v>
      </c>
      <c r="I162" s="1338">
        <v>1E-4</v>
      </c>
      <c r="J162" s="1338">
        <v>0.99829999999999997</v>
      </c>
      <c r="K162" s="1310" t="str">
        <f t="shared" si="2"/>
        <v>C</v>
      </c>
    </row>
    <row r="163" spans="1:11" x14ac:dyDescent="0.25">
      <c r="A163" s="559" t="s">
        <v>26055</v>
      </c>
      <c r="B163" s="558" t="s">
        <v>2279</v>
      </c>
      <c r="C163" s="558" t="s">
        <v>4379</v>
      </c>
      <c r="D163" s="572" t="s">
        <v>2280</v>
      </c>
      <c r="E163" s="558" t="s">
        <v>8</v>
      </c>
      <c r="F163" s="565">
        <v>8</v>
      </c>
      <c r="G163" s="573">
        <v>236.16</v>
      </c>
      <c r="H163" s="573">
        <v>1889.28</v>
      </c>
      <c r="I163" s="1338">
        <v>1E-4</v>
      </c>
      <c r="J163" s="1338">
        <v>0.99839999999999995</v>
      </c>
      <c r="K163" s="1310" t="str">
        <f t="shared" si="2"/>
        <v>C</v>
      </c>
    </row>
    <row r="164" spans="1:11" ht="45" x14ac:dyDescent="0.25">
      <c r="A164" s="559" t="s">
        <v>26116</v>
      </c>
      <c r="B164" s="558" t="s">
        <v>1793</v>
      </c>
      <c r="C164" s="558" t="s">
        <v>4379</v>
      </c>
      <c r="D164" s="572" t="s">
        <v>1794</v>
      </c>
      <c r="E164" s="558" t="s">
        <v>8</v>
      </c>
      <c r="F164" s="565">
        <v>8</v>
      </c>
      <c r="G164" s="573">
        <v>237.35</v>
      </c>
      <c r="H164" s="573">
        <v>1898.8</v>
      </c>
      <c r="I164" s="1338">
        <v>1E-4</v>
      </c>
      <c r="J164" s="1338">
        <v>0.99850000000000005</v>
      </c>
      <c r="K164" s="1310" t="str">
        <f t="shared" si="2"/>
        <v>C</v>
      </c>
    </row>
    <row r="165" spans="1:11" ht="45" x14ac:dyDescent="0.25">
      <c r="A165" s="559" t="s">
        <v>26099</v>
      </c>
      <c r="B165" s="558" t="s">
        <v>25127</v>
      </c>
      <c r="C165" s="558" t="s">
        <v>4404</v>
      </c>
      <c r="D165" s="572" t="s">
        <v>25424</v>
      </c>
      <c r="E165" s="558" t="s">
        <v>82</v>
      </c>
      <c r="F165" s="565">
        <v>188.8</v>
      </c>
      <c r="G165" s="573">
        <v>9.5500000000000007</v>
      </c>
      <c r="H165" s="573">
        <v>1803.04</v>
      </c>
      <c r="I165" s="1338">
        <v>1E-4</v>
      </c>
      <c r="J165" s="1338">
        <v>0.99860000000000004</v>
      </c>
      <c r="K165" s="1310" t="str">
        <f t="shared" si="2"/>
        <v>C</v>
      </c>
    </row>
    <row r="166" spans="1:11" ht="45" x14ac:dyDescent="0.25">
      <c r="A166" s="559" t="s">
        <v>26088</v>
      </c>
      <c r="B166" s="558" t="s">
        <v>1094</v>
      </c>
      <c r="C166" s="558" t="s">
        <v>4379</v>
      </c>
      <c r="D166" s="572" t="s">
        <v>101</v>
      </c>
      <c r="E166" s="558" t="s">
        <v>5</v>
      </c>
      <c r="F166" s="565">
        <v>2</v>
      </c>
      <c r="G166" s="573">
        <v>855.75</v>
      </c>
      <c r="H166" s="573">
        <v>1711.5</v>
      </c>
      <c r="I166" s="1338">
        <v>1E-4</v>
      </c>
      <c r="J166" s="1338">
        <v>0.99870000000000003</v>
      </c>
      <c r="K166" s="1310" t="str">
        <f t="shared" si="2"/>
        <v>C</v>
      </c>
    </row>
    <row r="167" spans="1:11" ht="45" x14ac:dyDescent="0.25">
      <c r="A167" s="559" t="s">
        <v>26104</v>
      </c>
      <c r="B167" s="558" t="s">
        <v>25132</v>
      </c>
      <c r="C167" s="558" t="s">
        <v>4404</v>
      </c>
      <c r="D167" s="572" t="s">
        <v>25439</v>
      </c>
      <c r="E167" s="558" t="s">
        <v>24804</v>
      </c>
      <c r="F167" s="565">
        <v>44</v>
      </c>
      <c r="G167" s="573">
        <v>28.94</v>
      </c>
      <c r="H167" s="573">
        <v>1273.3599999999999</v>
      </c>
      <c r="I167" s="1338">
        <v>1E-4</v>
      </c>
      <c r="J167" s="1338">
        <v>0.99870000000000003</v>
      </c>
      <c r="K167" s="1310" t="str">
        <f t="shared" si="2"/>
        <v>C</v>
      </c>
    </row>
    <row r="168" spans="1:11" ht="30" x14ac:dyDescent="0.25">
      <c r="A168" s="559" t="s">
        <v>26106</v>
      </c>
      <c r="B168" s="558" t="s">
        <v>2420</v>
      </c>
      <c r="C168" s="558" t="s">
        <v>4379</v>
      </c>
      <c r="D168" s="572" t="s">
        <v>64</v>
      </c>
      <c r="E168" s="558" t="s">
        <v>8</v>
      </c>
      <c r="F168" s="565">
        <v>24</v>
      </c>
      <c r="G168" s="573">
        <v>43.43</v>
      </c>
      <c r="H168" s="573">
        <v>1042.32</v>
      </c>
      <c r="I168" s="1338">
        <v>1E-4</v>
      </c>
      <c r="J168" s="1338">
        <v>0.99880000000000002</v>
      </c>
      <c r="K168" s="1310" t="str">
        <f t="shared" si="2"/>
        <v>C</v>
      </c>
    </row>
    <row r="169" spans="1:11" ht="60" x14ac:dyDescent="0.25">
      <c r="A169" s="559" t="s">
        <v>26079</v>
      </c>
      <c r="B169" s="558" t="s">
        <v>25108</v>
      </c>
      <c r="C169" s="558" t="s">
        <v>4404</v>
      </c>
      <c r="D169" s="572" t="s">
        <v>25404</v>
      </c>
      <c r="E169" s="558" t="s">
        <v>8</v>
      </c>
      <c r="F169" s="565">
        <v>20</v>
      </c>
      <c r="G169" s="573">
        <v>45.62</v>
      </c>
      <c r="H169" s="573">
        <v>912.4</v>
      </c>
      <c r="I169" s="1338">
        <v>0</v>
      </c>
      <c r="J169" s="1338">
        <v>0.99880000000000002</v>
      </c>
      <c r="K169" s="1310" t="str">
        <f t="shared" si="2"/>
        <v>C</v>
      </c>
    </row>
    <row r="170" spans="1:11" ht="45" x14ac:dyDescent="0.25">
      <c r="A170" s="559" t="s">
        <v>26102</v>
      </c>
      <c r="B170" s="558" t="s">
        <v>25130</v>
      </c>
      <c r="C170" s="558" t="s">
        <v>4404</v>
      </c>
      <c r="D170" s="572" t="s">
        <v>25434</v>
      </c>
      <c r="E170" s="558" t="s">
        <v>24804</v>
      </c>
      <c r="F170" s="565">
        <v>32</v>
      </c>
      <c r="G170" s="573">
        <v>28.94</v>
      </c>
      <c r="H170" s="573">
        <v>926.08</v>
      </c>
      <c r="I170" s="1338">
        <v>0</v>
      </c>
      <c r="J170" s="1338">
        <v>0.99890000000000001</v>
      </c>
      <c r="K170" s="1310" t="str">
        <f t="shared" si="2"/>
        <v>C</v>
      </c>
    </row>
    <row r="171" spans="1:11" ht="30" x14ac:dyDescent="0.25">
      <c r="A171" s="559" t="s">
        <v>26073</v>
      </c>
      <c r="B171" s="1312" t="s">
        <v>25100</v>
      </c>
      <c r="C171" s="558" t="s">
        <v>25079</v>
      </c>
      <c r="D171" s="572" t="s">
        <v>25101</v>
      </c>
      <c r="E171" s="558" t="s">
        <v>83</v>
      </c>
      <c r="F171" s="565">
        <v>8</v>
      </c>
      <c r="G171" s="573">
        <v>101.37</v>
      </c>
      <c r="H171" s="573">
        <v>810.96</v>
      </c>
      <c r="I171" s="1338">
        <v>0</v>
      </c>
      <c r="J171" s="1338">
        <v>0.99890000000000001</v>
      </c>
      <c r="K171" s="1310" t="str">
        <f t="shared" si="2"/>
        <v>C</v>
      </c>
    </row>
    <row r="172" spans="1:11" ht="60" x14ac:dyDescent="0.25">
      <c r="A172" s="559" t="s">
        <v>26077</v>
      </c>
      <c r="B172" s="558" t="s">
        <v>25106</v>
      </c>
      <c r="C172" s="558" t="s">
        <v>4404</v>
      </c>
      <c r="D172" s="572" t="s">
        <v>25397</v>
      </c>
      <c r="E172" s="558" t="s">
        <v>8</v>
      </c>
      <c r="F172" s="565">
        <v>64</v>
      </c>
      <c r="G172" s="573">
        <v>12.3</v>
      </c>
      <c r="H172" s="573">
        <v>787.2</v>
      </c>
      <c r="I172" s="1338">
        <v>0</v>
      </c>
      <c r="J172" s="1338">
        <v>0.999</v>
      </c>
      <c r="K172" s="1310" t="str">
        <f t="shared" si="2"/>
        <v>C</v>
      </c>
    </row>
    <row r="173" spans="1:11" x14ac:dyDescent="0.25">
      <c r="A173" s="559" t="s">
        <v>26108</v>
      </c>
      <c r="B173" s="558" t="s">
        <v>25134</v>
      </c>
      <c r="C173" s="558" t="s">
        <v>4404</v>
      </c>
      <c r="D173" s="572" t="s">
        <v>25292</v>
      </c>
      <c r="E173" s="558" t="s">
        <v>8</v>
      </c>
      <c r="F173" s="565">
        <v>8</v>
      </c>
      <c r="G173" s="573">
        <v>99.04</v>
      </c>
      <c r="H173" s="573">
        <v>792.32</v>
      </c>
      <c r="I173" s="1338">
        <v>0</v>
      </c>
      <c r="J173" s="1338">
        <v>0.999</v>
      </c>
      <c r="K173" s="1310" t="str">
        <f t="shared" si="2"/>
        <v>C</v>
      </c>
    </row>
    <row r="174" spans="1:11" ht="45" x14ac:dyDescent="0.25">
      <c r="A174" s="559" t="s">
        <v>26081</v>
      </c>
      <c r="B174" s="1312" t="s">
        <v>25110</v>
      </c>
      <c r="C174" s="558" t="s">
        <v>25079</v>
      </c>
      <c r="D174" s="572" t="s">
        <v>25111</v>
      </c>
      <c r="E174" s="558" t="s">
        <v>83</v>
      </c>
      <c r="F174" s="565">
        <v>16</v>
      </c>
      <c r="G174" s="573">
        <v>40.409999999999997</v>
      </c>
      <c r="H174" s="573">
        <v>646.55999999999995</v>
      </c>
      <c r="I174" s="1338">
        <v>0</v>
      </c>
      <c r="J174" s="1338">
        <v>0.99909999999999999</v>
      </c>
      <c r="K174" s="1310" t="str">
        <f t="shared" si="2"/>
        <v>C</v>
      </c>
    </row>
    <row r="175" spans="1:11" ht="30" x14ac:dyDescent="0.25">
      <c r="A175" s="559" t="s">
        <v>26072</v>
      </c>
      <c r="B175" s="1312" t="s">
        <v>25098</v>
      </c>
      <c r="C175" s="558" t="s">
        <v>25079</v>
      </c>
      <c r="D175" s="572" t="s">
        <v>25099</v>
      </c>
      <c r="E175" s="558" t="s">
        <v>83</v>
      </c>
      <c r="F175" s="565">
        <v>8</v>
      </c>
      <c r="G175" s="573">
        <v>73.83</v>
      </c>
      <c r="H175" s="573">
        <v>590.64</v>
      </c>
      <c r="I175" s="1338">
        <v>0</v>
      </c>
      <c r="J175" s="1338">
        <v>0.99909999999999999</v>
      </c>
      <c r="K175" s="1310" t="str">
        <f t="shared" si="2"/>
        <v>C</v>
      </c>
    </row>
    <row r="176" spans="1:11" ht="45" x14ac:dyDescent="0.25">
      <c r="A176" s="559" t="s">
        <v>26100</v>
      </c>
      <c r="B176" s="558" t="s">
        <v>25128</v>
      </c>
      <c r="C176" s="558" t="s">
        <v>4404</v>
      </c>
      <c r="D176" s="572" t="s">
        <v>25427</v>
      </c>
      <c r="E176" s="558" t="s">
        <v>82</v>
      </c>
      <c r="F176" s="565">
        <v>79.56</v>
      </c>
      <c r="G176" s="573">
        <v>7.28</v>
      </c>
      <c r="H176" s="573">
        <v>579.20000000000005</v>
      </c>
      <c r="I176" s="1338">
        <v>0</v>
      </c>
      <c r="J176" s="1338">
        <v>0.99909999999999999</v>
      </c>
      <c r="K176" s="1310" t="str">
        <f t="shared" si="2"/>
        <v>C</v>
      </c>
    </row>
    <row r="177" spans="1:11" ht="60" x14ac:dyDescent="0.25">
      <c r="A177" s="559" t="s">
        <v>26067</v>
      </c>
      <c r="B177" s="558" t="s">
        <v>24931</v>
      </c>
      <c r="C177" s="558" t="s">
        <v>4404</v>
      </c>
      <c r="D177" s="572" t="s">
        <v>25373</v>
      </c>
      <c r="E177" s="558" t="s">
        <v>24804</v>
      </c>
      <c r="F177" s="565">
        <v>32</v>
      </c>
      <c r="G177" s="573">
        <v>17.190000000000001</v>
      </c>
      <c r="H177" s="573">
        <v>550.08000000000004</v>
      </c>
      <c r="I177" s="1338">
        <v>0</v>
      </c>
      <c r="J177" s="1338">
        <v>0.99909999999999999</v>
      </c>
      <c r="K177" s="1310" t="str">
        <f t="shared" si="2"/>
        <v>C</v>
      </c>
    </row>
    <row r="178" spans="1:11" x14ac:dyDescent="0.25">
      <c r="A178" s="559" t="s">
        <v>26097</v>
      </c>
      <c r="B178" s="558" t="s">
        <v>1569</v>
      </c>
      <c r="C178" s="558" t="s">
        <v>4379</v>
      </c>
      <c r="D178" s="572" t="s">
        <v>1570</v>
      </c>
      <c r="E178" s="558" t="s">
        <v>8</v>
      </c>
      <c r="F178" s="565">
        <v>28</v>
      </c>
      <c r="G178" s="573">
        <v>16.260000000000002</v>
      </c>
      <c r="H178" s="573">
        <v>455.28</v>
      </c>
      <c r="I178" s="1338">
        <v>0</v>
      </c>
      <c r="J178" s="1338">
        <v>0.99919999999999998</v>
      </c>
      <c r="K178" s="1310" t="str">
        <f t="shared" si="2"/>
        <v>C</v>
      </c>
    </row>
    <row r="179" spans="1:11" ht="60" x14ac:dyDescent="0.25">
      <c r="A179" s="559" t="s">
        <v>26070</v>
      </c>
      <c r="B179" s="558" t="s">
        <v>24934</v>
      </c>
      <c r="C179" s="558" t="s">
        <v>4404</v>
      </c>
      <c r="D179" s="572" t="s">
        <v>25384</v>
      </c>
      <c r="E179" s="558" t="s">
        <v>8</v>
      </c>
      <c r="F179" s="565">
        <v>32</v>
      </c>
      <c r="G179" s="573">
        <v>13.86</v>
      </c>
      <c r="H179" s="573">
        <v>443.52</v>
      </c>
      <c r="I179" s="1338">
        <v>0</v>
      </c>
      <c r="J179" s="1338">
        <v>0.99919999999999998</v>
      </c>
      <c r="K179" s="1310" t="str">
        <f t="shared" si="2"/>
        <v>C</v>
      </c>
    </row>
    <row r="180" spans="1:11" ht="60" x14ac:dyDescent="0.25">
      <c r="A180" s="559" t="s">
        <v>26076</v>
      </c>
      <c r="B180" s="558" t="s">
        <v>25063</v>
      </c>
      <c r="C180" s="558" t="s">
        <v>4404</v>
      </c>
      <c r="D180" s="572" t="s">
        <v>25392</v>
      </c>
      <c r="E180" s="558" t="s">
        <v>8</v>
      </c>
      <c r="F180" s="565">
        <v>20</v>
      </c>
      <c r="G180" s="573">
        <v>20.96</v>
      </c>
      <c r="H180" s="573">
        <v>419.2</v>
      </c>
      <c r="I180" s="1338">
        <v>0</v>
      </c>
      <c r="J180" s="1338">
        <v>0.99919999999999998</v>
      </c>
      <c r="K180" s="1310" t="str">
        <f t="shared" si="2"/>
        <v>C</v>
      </c>
    </row>
    <row r="181" spans="1:11" ht="30" x14ac:dyDescent="0.25">
      <c r="A181" s="559" t="s">
        <v>26074</v>
      </c>
      <c r="B181" s="1312" t="s">
        <v>25102</v>
      </c>
      <c r="C181" s="558" t="s">
        <v>25079</v>
      </c>
      <c r="D181" s="572" t="s">
        <v>25103</v>
      </c>
      <c r="E181" s="558" t="s">
        <v>83</v>
      </c>
      <c r="F181" s="565">
        <v>8</v>
      </c>
      <c r="G181" s="573">
        <v>45.58</v>
      </c>
      <c r="H181" s="573">
        <v>364.64</v>
      </c>
      <c r="I181" s="1338">
        <v>0</v>
      </c>
      <c r="J181" s="1338">
        <v>0.99919999999999998</v>
      </c>
      <c r="K181" s="1310" t="str">
        <f t="shared" si="2"/>
        <v>C</v>
      </c>
    </row>
    <row r="182" spans="1:11" x14ac:dyDescent="0.25">
      <c r="A182" s="559" t="s">
        <v>26111</v>
      </c>
      <c r="B182" s="558" t="s">
        <v>25137</v>
      </c>
      <c r="C182" s="558" t="s">
        <v>4404</v>
      </c>
      <c r="D182" s="572" t="s">
        <v>24823</v>
      </c>
      <c r="E182" s="558" t="s">
        <v>8</v>
      </c>
      <c r="F182" s="565">
        <v>12</v>
      </c>
      <c r="G182" s="573">
        <v>29.76</v>
      </c>
      <c r="H182" s="573">
        <v>357.12</v>
      </c>
      <c r="I182" s="1338">
        <v>0</v>
      </c>
      <c r="J182" s="1338">
        <v>0.99919999999999998</v>
      </c>
      <c r="K182" s="1310" t="str">
        <f t="shared" si="2"/>
        <v>C</v>
      </c>
    </row>
    <row r="183" spans="1:11" ht="30" x14ac:dyDescent="0.25">
      <c r="A183" s="559" t="s">
        <v>26075</v>
      </c>
      <c r="B183" s="1312" t="s">
        <v>25104</v>
      </c>
      <c r="C183" s="558" t="s">
        <v>25079</v>
      </c>
      <c r="D183" s="572" t="s">
        <v>25105</v>
      </c>
      <c r="E183" s="558" t="s">
        <v>83</v>
      </c>
      <c r="F183" s="565">
        <v>4</v>
      </c>
      <c r="G183" s="573">
        <v>85.69</v>
      </c>
      <c r="H183" s="573">
        <v>342.76</v>
      </c>
      <c r="I183" s="1338">
        <v>0</v>
      </c>
      <c r="J183" s="1338">
        <v>0.99929999999999997</v>
      </c>
      <c r="K183" s="1310" t="str">
        <f t="shared" si="2"/>
        <v>C</v>
      </c>
    </row>
    <row r="184" spans="1:11" ht="45" x14ac:dyDescent="0.25">
      <c r="A184" s="559" t="s">
        <v>26101</v>
      </c>
      <c r="B184" s="558" t="s">
        <v>25129</v>
      </c>
      <c r="C184" s="558" t="s">
        <v>4404</v>
      </c>
      <c r="D184" s="572" t="s">
        <v>25430</v>
      </c>
      <c r="E184" s="558" t="s">
        <v>24804</v>
      </c>
      <c r="F184" s="565">
        <v>4</v>
      </c>
      <c r="G184" s="573">
        <v>86.3</v>
      </c>
      <c r="H184" s="573">
        <v>345.2</v>
      </c>
      <c r="I184" s="1338">
        <v>0</v>
      </c>
      <c r="J184" s="1338">
        <v>0.99929999999999997</v>
      </c>
      <c r="K184" s="1310" t="str">
        <f t="shared" si="2"/>
        <v>C</v>
      </c>
    </row>
    <row r="185" spans="1:11" ht="30" x14ac:dyDescent="0.25">
      <c r="A185" s="559" t="s">
        <v>26084</v>
      </c>
      <c r="B185" s="1312" t="s">
        <v>25116</v>
      </c>
      <c r="C185" s="558" t="s">
        <v>25079</v>
      </c>
      <c r="D185" s="572" t="s">
        <v>25117</v>
      </c>
      <c r="E185" s="558" t="s">
        <v>83</v>
      </c>
      <c r="F185" s="565">
        <v>8</v>
      </c>
      <c r="G185" s="573">
        <v>39.9</v>
      </c>
      <c r="H185" s="573">
        <v>319.2</v>
      </c>
      <c r="I185" s="1338">
        <v>0</v>
      </c>
      <c r="J185" s="1338">
        <v>0.99929999999999997</v>
      </c>
      <c r="K185" s="1310" t="str">
        <f t="shared" si="2"/>
        <v>C</v>
      </c>
    </row>
    <row r="186" spans="1:11" x14ac:dyDescent="0.25">
      <c r="A186" s="559" t="s">
        <v>26080</v>
      </c>
      <c r="B186" s="558" t="s">
        <v>25109</v>
      </c>
      <c r="C186" s="558" t="s">
        <v>4404</v>
      </c>
      <c r="D186" s="572" t="s">
        <v>25243</v>
      </c>
      <c r="E186" s="558" t="s">
        <v>5</v>
      </c>
      <c r="F186" s="565">
        <v>16</v>
      </c>
      <c r="G186" s="573">
        <v>17.71</v>
      </c>
      <c r="H186" s="573">
        <v>283.36</v>
      </c>
      <c r="I186" s="1338">
        <v>0</v>
      </c>
      <c r="J186" s="1338">
        <v>0.99929999999999997</v>
      </c>
      <c r="K186" s="1310" t="str">
        <f t="shared" si="2"/>
        <v>C</v>
      </c>
    </row>
    <row r="187" spans="1:11" ht="30" x14ac:dyDescent="0.25">
      <c r="A187" s="559" t="s">
        <v>26082</v>
      </c>
      <c r="B187" s="1312" t="s">
        <v>25112</v>
      </c>
      <c r="C187" s="558" t="s">
        <v>25079</v>
      </c>
      <c r="D187" s="572" t="s">
        <v>25113</v>
      </c>
      <c r="E187" s="558" t="s">
        <v>83</v>
      </c>
      <c r="F187" s="565">
        <v>8</v>
      </c>
      <c r="G187" s="573">
        <v>35.659999999999997</v>
      </c>
      <c r="H187" s="573">
        <v>285.27999999999997</v>
      </c>
      <c r="I187" s="1338">
        <v>0</v>
      </c>
      <c r="J187" s="1338">
        <v>0.99929999999999997</v>
      </c>
      <c r="K187" s="1310" t="str">
        <f t="shared" si="2"/>
        <v>C</v>
      </c>
    </row>
    <row r="188" spans="1:11" x14ac:dyDescent="0.25">
      <c r="A188" s="559" t="s">
        <v>26096</v>
      </c>
      <c r="B188" s="558" t="s">
        <v>1567</v>
      </c>
      <c r="C188" s="558" t="s">
        <v>4379</v>
      </c>
      <c r="D188" s="572" t="s">
        <v>1568</v>
      </c>
      <c r="E188" s="558" t="s">
        <v>8</v>
      </c>
      <c r="F188" s="565">
        <v>24</v>
      </c>
      <c r="G188" s="573">
        <v>11.04</v>
      </c>
      <c r="H188" s="573">
        <v>264.95999999999998</v>
      </c>
      <c r="I188" s="1338">
        <v>0</v>
      </c>
      <c r="J188" s="1338">
        <v>0.99929999999999997</v>
      </c>
      <c r="K188" s="1310" t="str">
        <f t="shared" si="2"/>
        <v>C</v>
      </c>
    </row>
    <row r="189" spans="1:11" x14ac:dyDescent="0.25">
      <c r="A189" s="559" t="s">
        <v>26105</v>
      </c>
      <c r="B189" s="558" t="s">
        <v>1567</v>
      </c>
      <c r="C189" s="558" t="s">
        <v>4379</v>
      </c>
      <c r="D189" s="572" t="s">
        <v>1568</v>
      </c>
      <c r="E189" s="558" t="s">
        <v>8</v>
      </c>
      <c r="F189" s="565">
        <v>24</v>
      </c>
      <c r="G189" s="573">
        <v>11.04</v>
      </c>
      <c r="H189" s="573">
        <v>264.95999999999998</v>
      </c>
      <c r="I189" s="1338">
        <v>0</v>
      </c>
      <c r="J189" s="1338">
        <v>0.99939999999999996</v>
      </c>
      <c r="K189" s="1310" t="str">
        <f t="shared" si="2"/>
        <v>C</v>
      </c>
    </row>
    <row r="190" spans="1:11" ht="30" x14ac:dyDescent="0.25">
      <c r="A190" s="559" t="s">
        <v>26083</v>
      </c>
      <c r="B190" s="1312" t="s">
        <v>25114</v>
      </c>
      <c r="C190" s="558" t="s">
        <v>25079</v>
      </c>
      <c r="D190" s="572" t="s">
        <v>25115</v>
      </c>
      <c r="E190" s="558" t="s">
        <v>83</v>
      </c>
      <c r="F190" s="565">
        <v>4</v>
      </c>
      <c r="G190" s="573">
        <v>63.01</v>
      </c>
      <c r="H190" s="573">
        <v>252.04</v>
      </c>
      <c r="I190" s="1338">
        <v>0</v>
      </c>
      <c r="J190" s="1338">
        <v>0.99939999999999996</v>
      </c>
      <c r="K190" s="1310" t="str">
        <f t="shared" si="2"/>
        <v>C</v>
      </c>
    </row>
    <row r="191" spans="1:11" ht="60" x14ac:dyDescent="0.25">
      <c r="A191" s="559" t="s">
        <v>26071</v>
      </c>
      <c r="B191" s="558" t="s">
        <v>25062</v>
      </c>
      <c r="C191" s="558" t="s">
        <v>4404</v>
      </c>
      <c r="D191" s="572" t="s">
        <v>25387</v>
      </c>
      <c r="E191" s="558" t="s">
        <v>8</v>
      </c>
      <c r="F191" s="565">
        <v>16</v>
      </c>
      <c r="G191" s="573">
        <v>13.72</v>
      </c>
      <c r="H191" s="573">
        <v>219.52</v>
      </c>
      <c r="I191" s="1338">
        <v>0</v>
      </c>
      <c r="J191" s="1338">
        <v>0.99939999999999996</v>
      </c>
      <c r="K191" s="1310" t="str">
        <f t="shared" si="2"/>
        <v>C</v>
      </c>
    </row>
    <row r="192" spans="1:11" ht="60" x14ac:dyDescent="0.25">
      <c r="A192" s="559" t="s">
        <v>26066</v>
      </c>
      <c r="B192" s="558" t="s">
        <v>4414</v>
      </c>
      <c r="C192" s="558" t="s">
        <v>4404</v>
      </c>
      <c r="D192" s="572" t="s">
        <v>25370</v>
      </c>
      <c r="E192" s="558" t="s">
        <v>24804</v>
      </c>
      <c r="F192" s="565">
        <v>4</v>
      </c>
      <c r="G192" s="573">
        <v>37.119999999999997</v>
      </c>
      <c r="H192" s="573">
        <v>148.47999999999999</v>
      </c>
      <c r="I192" s="1338">
        <v>0</v>
      </c>
      <c r="J192" s="1338">
        <v>0.99939999999999996</v>
      </c>
      <c r="K192" s="1310" t="str">
        <f t="shared" si="2"/>
        <v>C</v>
      </c>
    </row>
    <row r="193" spans="1:11" ht="60" x14ac:dyDescent="0.25">
      <c r="A193" s="559" t="s">
        <v>26078</v>
      </c>
      <c r="B193" s="558" t="s">
        <v>25107</v>
      </c>
      <c r="C193" s="558" t="s">
        <v>4404</v>
      </c>
      <c r="D193" s="572" t="s">
        <v>25401</v>
      </c>
      <c r="E193" s="558" t="s">
        <v>8</v>
      </c>
      <c r="F193" s="565">
        <v>20</v>
      </c>
      <c r="G193" s="573">
        <v>7.94</v>
      </c>
      <c r="H193" s="573">
        <v>158.80000000000001</v>
      </c>
      <c r="I193" s="1338">
        <v>0</v>
      </c>
      <c r="J193" s="1338">
        <v>0.99939999999999996</v>
      </c>
      <c r="K193" s="1310" t="str">
        <f t="shared" si="2"/>
        <v>C</v>
      </c>
    </row>
    <row r="194" spans="1:11" ht="45" x14ac:dyDescent="0.25">
      <c r="A194" s="559" t="s">
        <v>26103</v>
      </c>
      <c r="B194" s="558" t="s">
        <v>25131</v>
      </c>
      <c r="C194" s="558" t="s">
        <v>4404</v>
      </c>
      <c r="D194" s="572" t="s">
        <v>25437</v>
      </c>
      <c r="E194" s="558" t="s">
        <v>24804</v>
      </c>
      <c r="F194" s="565">
        <v>4</v>
      </c>
      <c r="G194" s="573">
        <v>40.74</v>
      </c>
      <c r="H194" s="573">
        <v>162.96</v>
      </c>
      <c r="I194" s="1338">
        <v>0</v>
      </c>
      <c r="J194" s="1338">
        <v>0.99939999999999996</v>
      </c>
      <c r="K194" s="1310" t="str">
        <f t="shared" si="2"/>
        <v>C</v>
      </c>
    </row>
    <row r="195" spans="1:11" x14ac:dyDescent="0.25">
      <c r="A195" s="559" t="s">
        <v>26112</v>
      </c>
      <c r="B195" s="558" t="s">
        <v>25138</v>
      </c>
      <c r="C195" s="558" t="s">
        <v>4404</v>
      </c>
      <c r="D195" s="572" t="s">
        <v>24844</v>
      </c>
      <c r="E195" s="558" t="s">
        <v>8</v>
      </c>
      <c r="F195" s="565">
        <v>4</v>
      </c>
      <c r="G195" s="573">
        <v>40.520000000000003</v>
      </c>
      <c r="H195" s="573">
        <v>162.08000000000001</v>
      </c>
      <c r="I195" s="1338">
        <v>0</v>
      </c>
      <c r="J195" s="1338">
        <v>0.99939999999999996</v>
      </c>
      <c r="K195" s="1310" t="str">
        <f t="shared" si="2"/>
        <v>C</v>
      </c>
    </row>
    <row r="196" spans="1:11" ht="60" x14ac:dyDescent="0.25">
      <c r="A196" s="559" t="s">
        <v>26065</v>
      </c>
      <c r="B196" s="558" t="s">
        <v>4413</v>
      </c>
      <c r="C196" s="558" t="s">
        <v>4404</v>
      </c>
      <c r="D196" s="572" t="s">
        <v>25366</v>
      </c>
      <c r="E196" s="558" t="s">
        <v>24804</v>
      </c>
      <c r="F196" s="565">
        <v>4</v>
      </c>
      <c r="G196" s="573">
        <v>30.52</v>
      </c>
      <c r="H196" s="573">
        <v>122.08</v>
      </c>
      <c r="I196" s="1338">
        <v>0</v>
      </c>
      <c r="J196" s="1338">
        <v>0.99939999999999996</v>
      </c>
      <c r="K196" s="1310" t="str">
        <f t="shared" si="2"/>
        <v>C</v>
      </c>
    </row>
    <row r="197" spans="1:11" x14ac:dyDescent="0.25">
      <c r="A197" s="559" t="s">
        <v>26113</v>
      </c>
      <c r="B197" s="558" t="s">
        <v>25139</v>
      </c>
      <c r="C197" s="558" t="s">
        <v>4404</v>
      </c>
      <c r="D197" s="572" t="s">
        <v>24789</v>
      </c>
      <c r="E197" s="558" t="s">
        <v>8</v>
      </c>
      <c r="F197" s="565">
        <v>4</v>
      </c>
      <c r="G197" s="573">
        <v>29.08</v>
      </c>
      <c r="H197" s="573">
        <v>116.32</v>
      </c>
      <c r="I197" s="1338">
        <v>0</v>
      </c>
      <c r="J197" s="1338">
        <v>0.99939999999999996</v>
      </c>
      <c r="K197" s="1310" t="str">
        <f t="shared" si="2"/>
        <v>C</v>
      </c>
    </row>
    <row r="198" spans="1:11" x14ac:dyDescent="0.25">
      <c r="A198" s="559" t="s">
        <v>26114</v>
      </c>
      <c r="B198" s="558" t="s">
        <v>25140</v>
      </c>
      <c r="C198" s="558" t="s">
        <v>4404</v>
      </c>
      <c r="D198" s="572" t="s">
        <v>25315</v>
      </c>
      <c r="E198" s="558" t="s">
        <v>8</v>
      </c>
      <c r="F198" s="565">
        <v>4</v>
      </c>
      <c r="G198" s="573">
        <v>28.81</v>
      </c>
      <c r="H198" s="573">
        <v>115.24</v>
      </c>
      <c r="I198" s="1338">
        <v>0</v>
      </c>
      <c r="J198" s="1338">
        <v>0.99939999999999996</v>
      </c>
      <c r="K198" s="1310" t="str">
        <f t="shared" si="2"/>
        <v>C</v>
      </c>
    </row>
    <row r="199" spans="1:11" ht="60" x14ac:dyDescent="0.25">
      <c r="A199" s="559" t="s">
        <v>26069</v>
      </c>
      <c r="B199" s="558" t="s">
        <v>24933</v>
      </c>
      <c r="C199" s="558" t="s">
        <v>4404</v>
      </c>
      <c r="D199" s="572" t="s">
        <v>25381</v>
      </c>
      <c r="E199" s="558" t="s">
        <v>8</v>
      </c>
      <c r="F199" s="565">
        <v>4</v>
      </c>
      <c r="G199" s="573">
        <v>25.67</v>
      </c>
      <c r="H199" s="573">
        <v>102.68</v>
      </c>
      <c r="I199" s="1338">
        <v>0</v>
      </c>
      <c r="J199" s="1338">
        <v>0.99939999999999996</v>
      </c>
      <c r="K199" s="1310" t="str">
        <f t="shared" ref="K199:K232" si="3">IF(J199&lt;$J$2,$I$2,IF(J199&lt;$J$3,$I$3,$I$4))</f>
        <v>C</v>
      </c>
    </row>
    <row r="200" spans="1:11" x14ac:dyDescent="0.25">
      <c r="A200" s="559" t="s">
        <v>26110</v>
      </c>
      <c r="B200" s="558" t="s">
        <v>25136</v>
      </c>
      <c r="C200" s="558" t="s">
        <v>4404</v>
      </c>
      <c r="D200" s="572" t="s">
        <v>24830</v>
      </c>
      <c r="E200" s="558" t="s">
        <v>8</v>
      </c>
      <c r="F200" s="565">
        <v>4</v>
      </c>
      <c r="G200" s="573">
        <v>26.08</v>
      </c>
      <c r="H200" s="573">
        <v>104.32</v>
      </c>
      <c r="I200" s="1338">
        <v>0</v>
      </c>
      <c r="J200" s="1338">
        <v>0.99939999999999996</v>
      </c>
      <c r="K200" s="1310" t="str">
        <f t="shared" si="3"/>
        <v>C</v>
      </c>
    </row>
    <row r="201" spans="1:11" ht="60" x14ac:dyDescent="0.25">
      <c r="A201" s="559" t="s">
        <v>26068</v>
      </c>
      <c r="B201" s="558" t="s">
        <v>24932</v>
      </c>
      <c r="C201" s="558" t="s">
        <v>4404</v>
      </c>
      <c r="D201" s="572" t="s">
        <v>25376</v>
      </c>
      <c r="E201" s="558" t="s">
        <v>8</v>
      </c>
      <c r="F201" s="565">
        <v>8</v>
      </c>
      <c r="G201" s="573">
        <v>8.8000000000000007</v>
      </c>
      <c r="H201" s="573">
        <v>70.400000000000006</v>
      </c>
      <c r="I201" s="1338">
        <v>0</v>
      </c>
      <c r="J201" s="1338">
        <v>0.99939999999999996</v>
      </c>
      <c r="K201" s="1310" t="str">
        <f t="shared" si="3"/>
        <v>C</v>
      </c>
    </row>
    <row r="202" spans="1:11" ht="45" x14ac:dyDescent="0.25">
      <c r="A202" s="559" t="s">
        <v>26098</v>
      </c>
      <c r="B202" s="558" t="s">
        <v>25126</v>
      </c>
      <c r="C202" s="558" t="s">
        <v>4404</v>
      </c>
      <c r="D202" s="572" t="s">
        <v>25420</v>
      </c>
      <c r="E202" s="558" t="s">
        <v>82</v>
      </c>
      <c r="F202" s="565">
        <v>6.84</v>
      </c>
      <c r="G202" s="573">
        <v>8.65</v>
      </c>
      <c r="H202" s="573">
        <v>59.17</v>
      </c>
      <c r="I202" s="1338">
        <v>0</v>
      </c>
      <c r="J202" s="1338">
        <v>0.99950000000000006</v>
      </c>
      <c r="K202" s="1310" t="str">
        <f t="shared" si="3"/>
        <v>C</v>
      </c>
    </row>
    <row r="203" spans="1:11" ht="30" x14ac:dyDescent="0.25">
      <c r="A203" s="559" t="s">
        <v>25963</v>
      </c>
      <c r="B203" s="558" t="s">
        <v>4404</v>
      </c>
      <c r="C203" s="558" t="s">
        <v>24778</v>
      </c>
      <c r="D203" s="572" t="s">
        <v>24854</v>
      </c>
      <c r="E203" s="558" t="s">
        <v>8</v>
      </c>
      <c r="F203" s="565">
        <v>6</v>
      </c>
      <c r="G203" s="573">
        <v>53.17</v>
      </c>
      <c r="H203" s="573">
        <v>319.02</v>
      </c>
      <c r="I203" s="1338">
        <v>0</v>
      </c>
      <c r="J203" s="1338">
        <v>0.99950000000000006</v>
      </c>
      <c r="K203" s="1310" t="str">
        <f t="shared" si="3"/>
        <v>C</v>
      </c>
    </row>
    <row r="204" spans="1:11" ht="30" x14ac:dyDescent="0.25">
      <c r="A204" s="559" t="s">
        <v>25964</v>
      </c>
      <c r="B204" s="558" t="s">
        <v>4404</v>
      </c>
      <c r="C204" s="558" t="s">
        <v>24779</v>
      </c>
      <c r="D204" s="572" t="s">
        <v>25662</v>
      </c>
      <c r="E204" s="558" t="s">
        <v>8</v>
      </c>
      <c r="F204" s="565">
        <v>5</v>
      </c>
      <c r="G204" s="573">
        <v>29.08</v>
      </c>
      <c r="H204" s="573">
        <v>145.4</v>
      </c>
      <c r="I204" s="1338">
        <v>0</v>
      </c>
      <c r="J204" s="1338">
        <v>0.99950000000000006</v>
      </c>
      <c r="K204" s="1310" t="str">
        <f t="shared" si="3"/>
        <v>C</v>
      </c>
    </row>
    <row r="205" spans="1:11" ht="30" x14ac:dyDescent="0.25">
      <c r="A205" s="559" t="s">
        <v>25965</v>
      </c>
      <c r="B205" s="558" t="s">
        <v>4404</v>
      </c>
      <c r="C205" s="558" t="s">
        <v>24782</v>
      </c>
      <c r="D205" s="572" t="s">
        <v>25661</v>
      </c>
      <c r="E205" s="558" t="s">
        <v>8</v>
      </c>
      <c r="F205" s="565">
        <v>3</v>
      </c>
      <c r="G205" s="573">
        <v>99.63</v>
      </c>
      <c r="H205" s="573">
        <v>298.89</v>
      </c>
      <c r="I205" s="1338">
        <v>0</v>
      </c>
      <c r="J205" s="1338">
        <v>0.99950000000000006</v>
      </c>
      <c r="K205" s="1310" t="str">
        <f t="shared" si="3"/>
        <v>C</v>
      </c>
    </row>
    <row r="206" spans="1:11" ht="30" x14ac:dyDescent="0.25">
      <c r="A206" s="559" t="s">
        <v>25966</v>
      </c>
      <c r="B206" s="558" t="s">
        <v>4404</v>
      </c>
      <c r="C206" s="558" t="s">
        <v>24783</v>
      </c>
      <c r="D206" s="572" t="s">
        <v>25660</v>
      </c>
      <c r="E206" s="558" t="s">
        <v>8</v>
      </c>
      <c r="F206" s="565">
        <v>16</v>
      </c>
      <c r="G206" s="573">
        <v>29.76</v>
      </c>
      <c r="H206" s="573">
        <v>476.16</v>
      </c>
      <c r="I206" s="1338">
        <v>0</v>
      </c>
      <c r="J206" s="1338">
        <v>0.99950000000000006</v>
      </c>
      <c r="K206" s="1310" t="str">
        <f t="shared" si="3"/>
        <v>C</v>
      </c>
    </row>
    <row r="207" spans="1:11" ht="30" x14ac:dyDescent="0.25">
      <c r="A207" s="559" t="s">
        <v>25967</v>
      </c>
      <c r="B207" s="558" t="s">
        <v>4404</v>
      </c>
      <c r="C207" s="558" t="s">
        <v>24787</v>
      </c>
      <c r="D207" s="572" t="s">
        <v>25659</v>
      </c>
      <c r="E207" s="558" t="s">
        <v>8</v>
      </c>
      <c r="F207" s="565">
        <v>3</v>
      </c>
      <c r="G207" s="573">
        <v>26.08</v>
      </c>
      <c r="H207" s="573">
        <v>78.239999999999995</v>
      </c>
      <c r="I207" s="1338">
        <v>0</v>
      </c>
      <c r="J207" s="1338">
        <v>0.99950000000000006</v>
      </c>
      <c r="K207" s="1310" t="str">
        <f t="shared" si="3"/>
        <v>C</v>
      </c>
    </row>
    <row r="208" spans="1:11" ht="30" x14ac:dyDescent="0.25">
      <c r="A208" s="559" t="s">
        <v>25968</v>
      </c>
      <c r="B208" s="558" t="s">
        <v>4404</v>
      </c>
      <c r="C208" s="558" t="s">
        <v>24898</v>
      </c>
      <c r="D208" s="572" t="s">
        <v>25658</v>
      </c>
      <c r="E208" s="558" t="s">
        <v>8</v>
      </c>
      <c r="F208" s="565">
        <v>1</v>
      </c>
      <c r="G208" s="573">
        <v>36.94</v>
      </c>
      <c r="H208" s="573">
        <v>36.94</v>
      </c>
      <c r="I208" s="1338">
        <v>0</v>
      </c>
      <c r="J208" s="1338">
        <v>0.99950000000000006</v>
      </c>
      <c r="K208" s="1310" t="str">
        <f t="shared" si="3"/>
        <v>C</v>
      </c>
    </row>
    <row r="209" spans="1:11" ht="30" x14ac:dyDescent="0.25">
      <c r="A209" s="559" t="s">
        <v>25969</v>
      </c>
      <c r="B209" s="558" t="s">
        <v>4404</v>
      </c>
      <c r="C209" s="558" t="s">
        <v>4406</v>
      </c>
      <c r="D209" s="572" t="s">
        <v>25657</v>
      </c>
      <c r="E209" s="558" t="s">
        <v>8</v>
      </c>
      <c r="F209" s="565">
        <v>2</v>
      </c>
      <c r="G209" s="573">
        <v>40.520000000000003</v>
      </c>
      <c r="H209" s="573">
        <v>81.040000000000006</v>
      </c>
      <c r="I209" s="1338">
        <v>0</v>
      </c>
      <c r="J209" s="1338">
        <v>0.99950000000000006</v>
      </c>
      <c r="K209" s="1310" t="str">
        <f t="shared" si="3"/>
        <v>C</v>
      </c>
    </row>
    <row r="210" spans="1:11" ht="30" x14ac:dyDescent="0.25">
      <c r="A210" s="559" t="s">
        <v>25977</v>
      </c>
      <c r="B210" s="558" t="s">
        <v>4404</v>
      </c>
      <c r="C210" s="558" t="s">
        <v>25062</v>
      </c>
      <c r="D210" s="572" t="s">
        <v>25653</v>
      </c>
      <c r="E210" s="558" t="s">
        <v>8</v>
      </c>
      <c r="F210" s="565">
        <v>12</v>
      </c>
      <c r="G210" s="573">
        <v>60.94</v>
      </c>
      <c r="H210" s="573">
        <v>731.28</v>
      </c>
      <c r="I210" s="1338">
        <v>0</v>
      </c>
      <c r="J210" s="1338">
        <v>0.99960000000000004</v>
      </c>
      <c r="K210" s="1310" t="str">
        <f t="shared" si="3"/>
        <v>C</v>
      </c>
    </row>
    <row r="211" spans="1:11" ht="30" x14ac:dyDescent="0.25">
      <c r="A211" s="559" t="s">
        <v>25978</v>
      </c>
      <c r="B211" s="558" t="s">
        <v>4404</v>
      </c>
      <c r="C211" s="558" t="s">
        <v>25063</v>
      </c>
      <c r="D211" s="572" t="s">
        <v>25655</v>
      </c>
      <c r="E211" s="558" t="s">
        <v>8</v>
      </c>
      <c r="F211" s="565">
        <v>6</v>
      </c>
      <c r="G211" s="573">
        <v>102.23</v>
      </c>
      <c r="H211" s="573">
        <v>613.38</v>
      </c>
      <c r="I211" s="1338">
        <v>0</v>
      </c>
      <c r="J211" s="1338">
        <v>0.99960000000000004</v>
      </c>
      <c r="K211" s="1310" t="str">
        <f t="shared" si="3"/>
        <v>C</v>
      </c>
    </row>
    <row r="212" spans="1:11" ht="30" x14ac:dyDescent="0.25">
      <c r="A212" s="559" t="s">
        <v>26034</v>
      </c>
      <c r="B212" s="1312" t="s">
        <v>25078</v>
      </c>
      <c r="C212" s="558" t="s">
        <v>25079</v>
      </c>
      <c r="D212" s="572" t="s">
        <v>25080</v>
      </c>
      <c r="E212" s="558" t="s">
        <v>8</v>
      </c>
      <c r="F212" s="565">
        <v>4</v>
      </c>
      <c r="G212" s="573">
        <v>149.97</v>
      </c>
      <c r="H212" s="573">
        <v>599.88</v>
      </c>
      <c r="I212" s="1338">
        <v>0</v>
      </c>
      <c r="J212" s="1338">
        <v>0.99960000000000004</v>
      </c>
      <c r="K212" s="1310" t="str">
        <f t="shared" si="3"/>
        <v>C</v>
      </c>
    </row>
    <row r="213" spans="1:11" x14ac:dyDescent="0.25">
      <c r="A213" s="559" t="s">
        <v>26036</v>
      </c>
      <c r="B213" s="558" t="s">
        <v>24897</v>
      </c>
      <c r="C213" s="558" t="s">
        <v>4404</v>
      </c>
      <c r="D213" s="572" t="s">
        <v>25190</v>
      </c>
      <c r="E213" s="558" t="s">
        <v>8</v>
      </c>
      <c r="F213" s="565">
        <v>8</v>
      </c>
      <c r="G213" s="573">
        <v>31.88</v>
      </c>
      <c r="H213" s="573">
        <v>255.04</v>
      </c>
      <c r="I213" s="1338">
        <v>0</v>
      </c>
      <c r="J213" s="1338">
        <v>0.99960000000000004</v>
      </c>
      <c r="K213" s="1310" t="str">
        <f t="shared" si="3"/>
        <v>C</v>
      </c>
    </row>
    <row r="214" spans="1:11" ht="60" x14ac:dyDescent="0.25">
      <c r="A214" s="559" t="s">
        <v>26037</v>
      </c>
      <c r="B214" s="558" t="s">
        <v>24778</v>
      </c>
      <c r="C214" s="558" t="s">
        <v>4404</v>
      </c>
      <c r="D214" s="572" t="s">
        <v>25337</v>
      </c>
      <c r="E214" s="558" t="s">
        <v>24804</v>
      </c>
      <c r="F214" s="565">
        <v>48</v>
      </c>
      <c r="G214" s="573">
        <v>12.98</v>
      </c>
      <c r="H214" s="573">
        <v>623.04</v>
      </c>
      <c r="I214" s="1338">
        <v>0</v>
      </c>
      <c r="J214" s="1338">
        <v>0.99970000000000003</v>
      </c>
      <c r="K214" s="1310" t="str">
        <f t="shared" si="3"/>
        <v>C</v>
      </c>
    </row>
    <row r="215" spans="1:11" ht="60" x14ac:dyDescent="0.25">
      <c r="A215" s="559" t="s">
        <v>26039</v>
      </c>
      <c r="B215" s="558" t="s">
        <v>24782</v>
      </c>
      <c r="C215" s="558" t="s">
        <v>4404</v>
      </c>
      <c r="D215" s="572" t="s">
        <v>25345</v>
      </c>
      <c r="E215" s="558" t="s">
        <v>24804</v>
      </c>
      <c r="F215" s="565">
        <v>16</v>
      </c>
      <c r="G215" s="573">
        <v>16.98</v>
      </c>
      <c r="H215" s="573">
        <v>271.68</v>
      </c>
      <c r="I215" s="1338">
        <v>0</v>
      </c>
      <c r="J215" s="1338">
        <v>0.99970000000000003</v>
      </c>
      <c r="K215" s="1310" t="str">
        <f t="shared" si="3"/>
        <v>C</v>
      </c>
    </row>
    <row r="216" spans="1:11" ht="60" x14ac:dyDescent="0.25">
      <c r="A216" s="559" t="s">
        <v>26040</v>
      </c>
      <c r="B216" s="558" t="s">
        <v>24783</v>
      </c>
      <c r="C216" s="558" t="s">
        <v>4404</v>
      </c>
      <c r="D216" s="572" t="s">
        <v>25347</v>
      </c>
      <c r="E216" s="558" t="s">
        <v>24804</v>
      </c>
      <c r="F216" s="565">
        <v>8</v>
      </c>
      <c r="G216" s="573">
        <v>13</v>
      </c>
      <c r="H216" s="573">
        <v>104</v>
      </c>
      <c r="I216" s="1338">
        <v>0</v>
      </c>
      <c r="J216" s="1338">
        <v>0.99970000000000003</v>
      </c>
      <c r="K216" s="1310" t="str">
        <f t="shared" si="3"/>
        <v>C</v>
      </c>
    </row>
    <row r="217" spans="1:11" ht="45" x14ac:dyDescent="0.25">
      <c r="A217" s="559" t="s">
        <v>26041</v>
      </c>
      <c r="B217" s="1312" t="s">
        <v>25083</v>
      </c>
      <c r="C217" s="558" t="s">
        <v>25079</v>
      </c>
      <c r="D217" s="572" t="s">
        <v>25084</v>
      </c>
      <c r="E217" s="558" t="s">
        <v>83</v>
      </c>
      <c r="F217" s="565">
        <v>12</v>
      </c>
      <c r="G217" s="573">
        <v>8.77</v>
      </c>
      <c r="H217" s="573">
        <v>105.24</v>
      </c>
      <c r="I217" s="1338">
        <v>0</v>
      </c>
      <c r="J217" s="1338">
        <v>0.99970000000000003</v>
      </c>
      <c r="K217" s="1310" t="str">
        <f t="shared" si="3"/>
        <v>C</v>
      </c>
    </row>
    <row r="218" spans="1:11" ht="45" x14ac:dyDescent="0.25">
      <c r="A218" s="559" t="s">
        <v>26043</v>
      </c>
      <c r="B218" s="558" t="s">
        <v>24898</v>
      </c>
      <c r="C218" s="558" t="s">
        <v>4404</v>
      </c>
      <c r="D218" s="572" t="s">
        <v>25351</v>
      </c>
      <c r="E218" s="558" t="s">
        <v>24804</v>
      </c>
      <c r="F218" s="565">
        <v>44</v>
      </c>
      <c r="G218" s="573">
        <v>13.95</v>
      </c>
      <c r="H218" s="573">
        <v>613.79999999999995</v>
      </c>
      <c r="I218" s="1338">
        <v>0</v>
      </c>
      <c r="J218" s="1338">
        <v>0.99970000000000003</v>
      </c>
      <c r="K218" s="1310" t="str">
        <f t="shared" si="3"/>
        <v>C</v>
      </c>
    </row>
    <row r="219" spans="1:11" ht="45" x14ac:dyDescent="0.25">
      <c r="A219" s="559" t="s">
        <v>26044</v>
      </c>
      <c r="B219" s="558" t="s">
        <v>4406</v>
      </c>
      <c r="C219" s="558" t="s">
        <v>4404</v>
      </c>
      <c r="D219" s="572" t="s">
        <v>25353</v>
      </c>
      <c r="E219" s="558" t="s">
        <v>24804</v>
      </c>
      <c r="F219" s="565">
        <v>16</v>
      </c>
      <c r="G219" s="573">
        <v>27.03</v>
      </c>
      <c r="H219" s="573">
        <v>432.48</v>
      </c>
      <c r="I219" s="1338">
        <v>0</v>
      </c>
      <c r="J219" s="1338">
        <v>0.99980000000000002</v>
      </c>
      <c r="K219" s="1310" t="str">
        <f t="shared" si="3"/>
        <v>C</v>
      </c>
    </row>
    <row r="220" spans="1:11" ht="45" x14ac:dyDescent="0.25">
      <c r="A220" s="559" t="s">
        <v>26045</v>
      </c>
      <c r="B220" s="558" t="s">
        <v>4407</v>
      </c>
      <c r="C220" s="558" t="s">
        <v>4404</v>
      </c>
      <c r="D220" s="572" t="s">
        <v>25355</v>
      </c>
      <c r="E220" s="558" t="s">
        <v>24804</v>
      </c>
      <c r="F220" s="565">
        <v>12</v>
      </c>
      <c r="G220" s="573">
        <v>21.59</v>
      </c>
      <c r="H220" s="573">
        <v>259.08</v>
      </c>
      <c r="I220" s="1338">
        <v>0</v>
      </c>
      <c r="J220" s="1338">
        <v>0.99980000000000002</v>
      </c>
      <c r="K220" s="1310" t="str">
        <f t="shared" si="3"/>
        <v>C</v>
      </c>
    </row>
    <row r="221" spans="1:11" ht="45" x14ac:dyDescent="0.25">
      <c r="A221" s="559" t="s">
        <v>26046</v>
      </c>
      <c r="B221" s="558" t="s">
        <v>4408</v>
      </c>
      <c r="C221" s="558" t="s">
        <v>4404</v>
      </c>
      <c r="D221" s="572" t="s">
        <v>25357</v>
      </c>
      <c r="E221" s="558" t="s">
        <v>24804</v>
      </c>
      <c r="F221" s="565">
        <v>20</v>
      </c>
      <c r="G221" s="573">
        <v>17.41</v>
      </c>
      <c r="H221" s="573">
        <v>348.2</v>
      </c>
      <c r="I221" s="1338">
        <v>0</v>
      </c>
      <c r="J221" s="1338">
        <v>0.99980000000000002</v>
      </c>
      <c r="K221" s="1310" t="str">
        <f t="shared" si="3"/>
        <v>C</v>
      </c>
    </row>
    <row r="222" spans="1:11" x14ac:dyDescent="0.25">
      <c r="A222" s="559" t="s">
        <v>26046</v>
      </c>
      <c r="B222" s="558" t="s">
        <v>4409</v>
      </c>
      <c r="C222" s="558" t="s">
        <v>4404</v>
      </c>
      <c r="D222" s="572" t="s">
        <v>25185</v>
      </c>
      <c r="E222" s="558" t="s">
        <v>8</v>
      </c>
      <c r="F222" s="565">
        <v>20</v>
      </c>
      <c r="G222" s="573">
        <v>24.99</v>
      </c>
      <c r="H222" s="573">
        <v>499.8</v>
      </c>
      <c r="I222" s="1338">
        <v>0</v>
      </c>
      <c r="J222" s="1338">
        <v>0.99980000000000002</v>
      </c>
      <c r="K222" s="1310" t="str">
        <f t="shared" si="3"/>
        <v>C</v>
      </c>
    </row>
    <row r="223" spans="1:11" ht="30" x14ac:dyDescent="0.25">
      <c r="A223" s="559" t="s">
        <v>26047</v>
      </c>
      <c r="B223" s="1312" t="s">
        <v>25085</v>
      </c>
      <c r="C223" s="558" t="s">
        <v>25079</v>
      </c>
      <c r="D223" s="572" t="s">
        <v>25086</v>
      </c>
      <c r="E223" s="558" t="s">
        <v>83</v>
      </c>
      <c r="F223" s="565">
        <v>4</v>
      </c>
      <c r="G223" s="573">
        <v>26.32</v>
      </c>
      <c r="H223" s="573">
        <v>105.28</v>
      </c>
      <c r="I223" s="1338">
        <v>0</v>
      </c>
      <c r="J223" s="1338">
        <v>0.99980000000000002</v>
      </c>
      <c r="K223" s="1310" t="str">
        <f t="shared" si="3"/>
        <v>C</v>
      </c>
    </row>
    <row r="224" spans="1:11" ht="30" x14ac:dyDescent="0.25">
      <c r="A224" s="559" t="s">
        <v>26048</v>
      </c>
      <c r="B224" s="1312" t="s">
        <v>25087</v>
      </c>
      <c r="C224" s="558" t="s">
        <v>25079</v>
      </c>
      <c r="D224" s="572" t="s">
        <v>25088</v>
      </c>
      <c r="E224" s="558" t="s">
        <v>83</v>
      </c>
      <c r="F224" s="565">
        <v>4</v>
      </c>
      <c r="G224" s="573">
        <v>13.5</v>
      </c>
      <c r="H224" s="573">
        <v>54</v>
      </c>
      <c r="I224" s="1338">
        <v>0</v>
      </c>
      <c r="J224" s="1338">
        <v>0.99980000000000002</v>
      </c>
      <c r="K224" s="1310" t="str">
        <f t="shared" si="3"/>
        <v>C</v>
      </c>
    </row>
    <row r="225" spans="1:11" ht="60" x14ac:dyDescent="0.25">
      <c r="A225" s="559" t="s">
        <v>26049</v>
      </c>
      <c r="B225" s="558" t="s">
        <v>4410</v>
      </c>
      <c r="C225" s="558" t="s">
        <v>4404</v>
      </c>
      <c r="D225" s="572" t="s">
        <v>25359</v>
      </c>
      <c r="E225" s="558" t="s">
        <v>24804</v>
      </c>
      <c r="F225" s="565">
        <v>20</v>
      </c>
      <c r="G225" s="573">
        <v>21.16</v>
      </c>
      <c r="H225" s="573">
        <v>423.2</v>
      </c>
      <c r="I225" s="1338">
        <v>0</v>
      </c>
      <c r="J225" s="1338">
        <v>0.99980000000000002</v>
      </c>
      <c r="K225" s="1310" t="str">
        <f t="shared" si="3"/>
        <v>C</v>
      </c>
    </row>
    <row r="226" spans="1:11" ht="60" x14ac:dyDescent="0.25">
      <c r="A226" s="559" t="s">
        <v>26050</v>
      </c>
      <c r="B226" s="558" t="s">
        <v>4411</v>
      </c>
      <c r="C226" s="558" t="s">
        <v>4404</v>
      </c>
      <c r="D226" s="572" t="s">
        <v>25362</v>
      </c>
      <c r="E226" s="558" t="s">
        <v>24804</v>
      </c>
      <c r="F226" s="565">
        <v>8</v>
      </c>
      <c r="G226" s="573">
        <v>39.89</v>
      </c>
      <c r="H226" s="573">
        <v>319.12</v>
      </c>
      <c r="I226" s="1338">
        <v>0</v>
      </c>
      <c r="J226" s="1338">
        <v>0.99990000000000001</v>
      </c>
      <c r="K226" s="1310" t="str">
        <f t="shared" si="3"/>
        <v>C</v>
      </c>
    </row>
    <row r="227" spans="1:11" ht="30" x14ac:dyDescent="0.25">
      <c r="A227" s="559" t="s">
        <v>26051</v>
      </c>
      <c r="B227" s="1312" t="s">
        <v>25089</v>
      </c>
      <c r="C227" s="558" t="s">
        <v>25079</v>
      </c>
      <c r="D227" s="572" t="s">
        <v>25090</v>
      </c>
      <c r="E227" s="558" t="s">
        <v>24667</v>
      </c>
      <c r="F227" s="565">
        <v>8</v>
      </c>
      <c r="G227" s="573">
        <v>57.29</v>
      </c>
      <c r="H227" s="573">
        <v>458.32</v>
      </c>
      <c r="I227" s="1338">
        <v>0</v>
      </c>
      <c r="J227" s="1338">
        <v>0.99990000000000001</v>
      </c>
      <c r="K227" s="1310" t="str">
        <f t="shared" si="3"/>
        <v>C</v>
      </c>
    </row>
    <row r="228" spans="1:11" ht="60" x14ac:dyDescent="0.25">
      <c r="A228" s="559" t="s">
        <v>26052</v>
      </c>
      <c r="B228" s="558" t="s">
        <v>4412</v>
      </c>
      <c r="C228" s="558" t="s">
        <v>4404</v>
      </c>
      <c r="D228" s="572" t="s">
        <v>25364</v>
      </c>
      <c r="E228" s="558" t="s">
        <v>24804</v>
      </c>
      <c r="F228" s="565">
        <v>8</v>
      </c>
      <c r="G228" s="573">
        <v>25.17</v>
      </c>
      <c r="H228" s="573">
        <v>201.36</v>
      </c>
      <c r="I228" s="1338">
        <v>0</v>
      </c>
      <c r="J228" s="1338">
        <v>0.99990000000000001</v>
      </c>
      <c r="K228" s="1310" t="str">
        <f t="shared" si="3"/>
        <v>C</v>
      </c>
    </row>
    <row r="229" spans="1:11" ht="30" x14ac:dyDescent="0.25">
      <c r="A229" s="559" t="s">
        <v>26057</v>
      </c>
      <c r="B229" s="1312" t="s">
        <v>25091</v>
      </c>
      <c r="C229" s="558" t="s">
        <v>25079</v>
      </c>
      <c r="D229" s="572" t="s">
        <v>25092</v>
      </c>
      <c r="E229" s="558" t="s">
        <v>83</v>
      </c>
      <c r="F229" s="565">
        <v>8</v>
      </c>
      <c r="G229" s="573">
        <v>25.16</v>
      </c>
      <c r="H229" s="573">
        <v>201.28</v>
      </c>
      <c r="I229" s="1338">
        <v>0</v>
      </c>
      <c r="J229" s="1338">
        <v>0.99990000000000001</v>
      </c>
      <c r="K229" s="1310" t="str">
        <f t="shared" si="3"/>
        <v>C</v>
      </c>
    </row>
    <row r="230" spans="1:11" ht="30" x14ac:dyDescent="0.25">
      <c r="A230" s="559" t="s">
        <v>26058</v>
      </c>
      <c r="B230" s="558" t="s">
        <v>1449</v>
      </c>
      <c r="C230" s="558" t="s">
        <v>4379</v>
      </c>
      <c r="D230" s="572" t="s">
        <v>1450</v>
      </c>
      <c r="E230" s="558" t="s">
        <v>7</v>
      </c>
      <c r="F230" s="565">
        <v>14.4</v>
      </c>
      <c r="G230" s="573">
        <v>42.29</v>
      </c>
      <c r="H230" s="573">
        <v>608.98</v>
      </c>
      <c r="I230" s="1338">
        <v>0</v>
      </c>
      <c r="J230" s="1338">
        <v>0.99990000000000001</v>
      </c>
      <c r="K230" s="1310" t="str">
        <f t="shared" si="3"/>
        <v>C</v>
      </c>
    </row>
    <row r="231" spans="1:11" ht="30" x14ac:dyDescent="0.25">
      <c r="A231" s="559" t="s">
        <v>26059</v>
      </c>
      <c r="B231" s="558" t="s">
        <v>1453</v>
      </c>
      <c r="C231" s="558" t="s">
        <v>4379</v>
      </c>
      <c r="D231" s="572" t="s">
        <v>1454</v>
      </c>
      <c r="E231" s="558" t="s">
        <v>7</v>
      </c>
      <c r="F231" s="565">
        <v>4.8</v>
      </c>
      <c r="G231" s="573">
        <v>80.56</v>
      </c>
      <c r="H231" s="573">
        <v>386.69</v>
      </c>
      <c r="I231" s="1338">
        <v>0</v>
      </c>
      <c r="J231" s="1338">
        <v>1</v>
      </c>
      <c r="K231" s="1310" t="str">
        <f t="shared" si="3"/>
        <v>C</v>
      </c>
    </row>
    <row r="232" spans="1:11" ht="45.75" thickBot="1" x14ac:dyDescent="0.3">
      <c r="A232" s="579" t="s">
        <v>26064</v>
      </c>
      <c r="B232" s="1325" t="s">
        <v>25096</v>
      </c>
      <c r="C232" s="580" t="s">
        <v>25079</v>
      </c>
      <c r="D232" s="1326" t="s">
        <v>25097</v>
      </c>
      <c r="E232" s="580" t="s">
        <v>83</v>
      </c>
      <c r="F232" s="1327">
        <v>8</v>
      </c>
      <c r="G232" s="1328">
        <v>111.36</v>
      </c>
      <c r="H232" s="1328">
        <v>890.88</v>
      </c>
      <c r="I232" s="1339">
        <v>0</v>
      </c>
      <c r="J232" s="1339">
        <v>1</v>
      </c>
      <c r="K232" s="1329" t="str">
        <f t="shared" si="3"/>
        <v>C</v>
      </c>
    </row>
    <row r="233" spans="1:11" ht="18.75" thickBot="1" x14ac:dyDescent="0.3">
      <c r="A233" s="598"/>
      <c r="H233" s="593">
        <f>SUM(H6:H232)</f>
        <v>19174349.609999999</v>
      </c>
      <c r="K233" s="1347"/>
    </row>
    <row r="234" spans="1:11" ht="15" x14ac:dyDescent="0.25">
      <c r="A234" s="1330"/>
      <c r="B234" s="1348"/>
      <c r="C234" s="1348"/>
      <c r="D234" s="1349"/>
      <c r="E234" s="1348"/>
      <c r="F234" s="1350"/>
      <c r="G234" s="1350"/>
      <c r="H234" s="1350"/>
      <c r="I234" s="1351"/>
      <c r="J234" s="1348"/>
      <c r="K234" s="1331"/>
    </row>
    <row r="235" spans="1:11" ht="15" x14ac:dyDescent="0.25">
      <c r="A235" s="1540" t="s">
        <v>4393</v>
      </c>
      <c r="B235" s="1541"/>
      <c r="C235" s="1541"/>
      <c r="D235" s="1541"/>
      <c r="E235" s="1541"/>
      <c r="F235" s="1541"/>
      <c r="G235" s="1541"/>
      <c r="H235" s="1541"/>
      <c r="I235" s="1541"/>
      <c r="J235" s="1541"/>
      <c r="K235" s="1542"/>
    </row>
    <row r="236" spans="1:11" ht="15" x14ac:dyDescent="0.25">
      <c r="A236" s="1335"/>
      <c r="B236" s="1352"/>
      <c r="C236" s="1353"/>
      <c r="D236" s="1287"/>
      <c r="E236" s="1352"/>
      <c r="F236" s="950"/>
      <c r="G236" s="951"/>
      <c r="H236" s="951"/>
      <c r="I236" s="1342"/>
      <c r="J236" s="1354"/>
      <c r="K236" s="1336"/>
    </row>
    <row r="237" spans="1:11" ht="15" x14ac:dyDescent="0.25">
      <c r="A237" s="1540" t="s">
        <v>25156</v>
      </c>
      <c r="B237" s="1541"/>
      <c r="C237" s="1541"/>
      <c r="D237" s="1541"/>
      <c r="E237" s="1541"/>
      <c r="F237" s="1541"/>
      <c r="G237" s="1541"/>
      <c r="H237" s="1541"/>
      <c r="I237" s="1541"/>
      <c r="J237" s="1541"/>
      <c r="K237" s="1542"/>
    </row>
    <row r="238" spans="1:11" ht="15" x14ac:dyDescent="0.25">
      <c r="A238" s="850"/>
      <c r="B238" s="692"/>
      <c r="C238" s="692"/>
      <c r="D238" s="1287"/>
      <c r="E238" s="692"/>
      <c r="F238" s="950"/>
      <c r="G238" s="951"/>
      <c r="H238" s="951"/>
      <c r="I238" s="1342"/>
      <c r="J238" s="1354"/>
      <c r="K238" s="1332"/>
    </row>
    <row r="239" spans="1:11" ht="15" x14ac:dyDescent="0.25">
      <c r="A239" s="850"/>
      <c r="B239" s="692"/>
      <c r="C239" s="692"/>
      <c r="D239" s="1287"/>
      <c r="E239" s="692"/>
      <c r="F239" s="950"/>
      <c r="G239" s="951"/>
      <c r="H239" s="951"/>
      <c r="I239" s="1342"/>
      <c r="J239" s="1354"/>
      <c r="K239" s="1332"/>
    </row>
    <row r="240" spans="1:11" ht="15" x14ac:dyDescent="0.25">
      <c r="A240" s="850"/>
      <c r="B240" s="692"/>
      <c r="C240" s="692"/>
      <c r="D240" s="1287"/>
      <c r="E240" s="692"/>
      <c r="F240" s="950"/>
      <c r="G240" s="951"/>
      <c r="H240" s="951"/>
      <c r="I240" s="1342"/>
      <c r="J240" s="1354"/>
      <c r="K240" s="1332"/>
    </row>
    <row r="241" spans="1:11" ht="15" x14ac:dyDescent="0.25">
      <c r="A241" s="850"/>
      <c r="B241" s="692"/>
      <c r="C241" s="692"/>
      <c r="D241" s="1287"/>
      <c r="E241" s="692"/>
      <c r="F241" s="950"/>
      <c r="G241" s="951"/>
      <c r="H241" s="951"/>
      <c r="I241" s="1342"/>
      <c r="J241" s="1354"/>
      <c r="K241" s="1332"/>
    </row>
    <row r="242" spans="1:11" ht="15" x14ac:dyDescent="0.25">
      <c r="A242" s="850"/>
      <c r="B242" s="692"/>
      <c r="C242" s="692"/>
      <c r="D242" s="1287"/>
      <c r="E242" s="692"/>
      <c r="F242" s="950"/>
      <c r="G242" s="951"/>
      <c r="H242" s="951"/>
      <c r="I242" s="1342"/>
      <c r="J242" s="1354"/>
      <c r="K242" s="1332"/>
    </row>
    <row r="243" spans="1:11" ht="15" x14ac:dyDescent="0.25">
      <c r="A243" s="850"/>
      <c r="B243" s="692"/>
      <c r="C243" s="692"/>
      <c r="D243" s="1180" t="s">
        <v>25157</v>
      </c>
      <c r="E243" s="692"/>
      <c r="F243" s="1543"/>
      <c r="G243" s="1543"/>
      <c r="H243" s="1543"/>
      <c r="I243" s="1543"/>
      <c r="J243" s="1354"/>
      <c r="K243" s="1332"/>
    </row>
    <row r="244" spans="1:11" ht="15" x14ac:dyDescent="0.25">
      <c r="A244" s="850"/>
      <c r="B244" s="692"/>
      <c r="C244" s="692"/>
      <c r="D244" s="1181" t="s">
        <v>24941</v>
      </c>
      <c r="E244" s="692"/>
      <c r="F244" s="1538"/>
      <c r="G244" s="1538"/>
      <c r="H244" s="1538"/>
      <c r="I244" s="1538"/>
      <c r="J244" s="1354"/>
      <c r="K244" s="1332"/>
    </row>
    <row r="245" spans="1:11" ht="15.75" thickBot="1" x14ac:dyDescent="0.3">
      <c r="A245" s="855"/>
      <c r="B245" s="954"/>
      <c r="C245" s="954"/>
      <c r="D245" s="955" t="s">
        <v>24940</v>
      </c>
      <c r="E245" s="954"/>
      <c r="F245" s="1539"/>
      <c r="G245" s="1539"/>
      <c r="H245" s="1539"/>
      <c r="I245" s="1539"/>
      <c r="J245" s="1333"/>
      <c r="K245" s="1334"/>
    </row>
  </sheetData>
  <sortState xmlns:xlrd2="http://schemas.microsoft.com/office/spreadsheetml/2017/richdata2" ref="A6:I232">
    <sortCondition descending="1" ref="I6:I232"/>
  </sortState>
  <mergeCells count="8">
    <mergeCell ref="A1:H1"/>
    <mergeCell ref="B2:D2"/>
    <mergeCell ref="B3:D3"/>
    <mergeCell ref="F244:I244"/>
    <mergeCell ref="F245:I245"/>
    <mergeCell ref="A235:K235"/>
    <mergeCell ref="A237:K237"/>
    <mergeCell ref="F243:I243"/>
  </mergeCells>
  <pageMargins left="0.51181102362204722" right="0.51181102362204722" top="0.78740157480314965" bottom="0.78740157480314965" header="0.31496062992125984" footer="0.31496062992125984"/>
  <pageSetup paperSize="9" scale="66" orientation="landscape" r:id="rId1"/>
  <rowBreaks count="1" manualBreakCount="1">
    <brk id="233"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DC3879-5B5B-4FDB-94CF-FFFF0D0CC64C}">
  <sheetPr>
    <tabColor rgb="FF00B050"/>
    <pageSetUpPr fitToPage="1"/>
  </sheetPr>
  <dimension ref="A1:N189"/>
  <sheetViews>
    <sheetView view="pageBreakPreview" topLeftCell="A165" zoomScale="60" zoomScaleNormal="100" workbookViewId="0">
      <selection activeCell="J176" sqref="J176"/>
    </sheetView>
  </sheetViews>
  <sheetFormatPr defaultColWidth="9.140625" defaultRowHeight="18" x14ac:dyDescent="0.25"/>
  <cols>
    <col min="1" max="1" width="8.85546875" style="461" bestFit="1" customWidth="1"/>
    <col min="2" max="2" width="14" style="461" bestFit="1" customWidth="1"/>
    <col min="3" max="3" width="14.140625" style="461" customWidth="1"/>
    <col min="4" max="4" width="56.5703125" style="863" customWidth="1"/>
    <col min="5" max="5" width="6.85546875" style="461" bestFit="1" customWidth="1"/>
    <col min="6" max="6" width="10.42578125" style="950" bestFit="1" customWidth="1"/>
    <col min="7" max="7" width="14.140625" style="951" bestFit="1" customWidth="1"/>
    <col min="8" max="8" width="14.28515625" style="951" bestFit="1" customWidth="1"/>
    <col min="9" max="9" width="18" style="951" customWidth="1"/>
    <col min="10" max="10" width="18" style="948" customWidth="1"/>
    <col min="11" max="11" width="17.7109375" style="541" bestFit="1" customWidth="1"/>
    <col min="12" max="12" width="16.7109375" style="540" bestFit="1" customWidth="1"/>
    <col min="13" max="13" width="11.5703125" style="540" customWidth="1"/>
    <col min="14" max="14" width="10.5703125" style="541" bestFit="1" customWidth="1"/>
    <col min="15" max="15" width="14.28515625" style="541" bestFit="1" customWidth="1"/>
    <col min="16" max="16" width="11.5703125" style="541" bestFit="1" customWidth="1"/>
    <col min="17" max="16384" width="9.140625" style="541"/>
  </cols>
  <sheetData>
    <row r="1" spans="1:13" ht="57.75" customHeight="1" x14ac:dyDescent="0.25">
      <c r="A1" s="1547" t="s">
        <v>113</v>
      </c>
      <c r="B1" s="1548"/>
      <c r="C1" s="1548"/>
      <c r="D1" s="1548"/>
      <c r="E1" s="1548"/>
      <c r="F1" s="1548"/>
      <c r="G1" s="1548"/>
      <c r="H1" s="1548"/>
      <c r="I1" s="1549"/>
      <c r="J1" s="849"/>
    </row>
    <row r="2" spans="1:13" ht="15" customHeight="1" x14ac:dyDescent="0.25">
      <c r="A2" s="850" t="s">
        <v>114</v>
      </c>
      <c r="B2" s="1550" t="s">
        <v>273</v>
      </c>
      <c r="C2" s="1550"/>
      <c r="D2" s="1550"/>
      <c r="E2" s="1551" t="s">
        <v>116</v>
      </c>
      <c r="F2" s="1551"/>
      <c r="G2" s="851">
        <v>44501</v>
      </c>
      <c r="H2" s="852"/>
      <c r="I2" s="853"/>
      <c r="J2" s="854"/>
    </row>
    <row r="3" spans="1:13" ht="15.75" customHeight="1" thickBot="1" x14ac:dyDescent="0.3">
      <c r="A3" s="855" t="s">
        <v>115</v>
      </c>
      <c r="B3" s="1552" t="s">
        <v>274</v>
      </c>
      <c r="C3" s="1552"/>
      <c r="D3" s="1552"/>
      <c r="E3" s="856" t="s">
        <v>117</v>
      </c>
      <c r="F3" s="857">
        <v>1.5727</v>
      </c>
      <c r="G3" s="858"/>
      <c r="H3" s="1189" t="s">
        <v>118</v>
      </c>
      <c r="I3" s="1190">
        <v>0.28220000000000001</v>
      </c>
      <c r="J3" s="859"/>
    </row>
    <row r="4" spans="1:13" ht="15.75" customHeight="1" x14ac:dyDescent="0.25">
      <c r="A4" s="850"/>
      <c r="B4" s="860"/>
      <c r="C4" s="860"/>
      <c r="D4" s="860"/>
      <c r="E4" s="860"/>
      <c r="F4" s="861"/>
      <c r="G4" s="862"/>
      <c r="H4" s="1192" t="s">
        <v>25064</v>
      </c>
      <c r="I4" s="1191">
        <v>0.15570000000000001</v>
      </c>
      <c r="J4" s="859"/>
    </row>
    <row r="5" spans="1:13" ht="6" customHeight="1" thickBot="1" x14ac:dyDescent="0.3">
      <c r="A5" s="850"/>
      <c r="F5" s="864"/>
      <c r="G5" s="865"/>
      <c r="H5" s="865"/>
      <c r="I5" s="866"/>
      <c r="J5" s="867"/>
    </row>
    <row r="6" spans="1:13" ht="30.75" thickBot="1" x14ac:dyDescent="0.3">
      <c r="A6" s="868" t="s">
        <v>4384</v>
      </c>
      <c r="B6" s="868" t="s">
        <v>133</v>
      </c>
      <c r="C6" s="868" t="s">
        <v>4383</v>
      </c>
      <c r="D6" s="868" t="s">
        <v>4385</v>
      </c>
      <c r="E6" s="868" t="s">
        <v>4382</v>
      </c>
      <c r="F6" s="869" t="s">
        <v>4381</v>
      </c>
      <c r="G6" s="870" t="s">
        <v>4380</v>
      </c>
      <c r="H6" s="870" t="s">
        <v>4387</v>
      </c>
      <c r="I6" s="870" t="s">
        <v>4386</v>
      </c>
      <c r="J6" s="871"/>
    </row>
    <row r="7" spans="1:13" x14ac:dyDescent="0.25">
      <c r="A7" s="872"/>
      <c r="B7" s="873"/>
      <c r="C7" s="874"/>
      <c r="D7" s="875"/>
      <c r="E7" s="874"/>
      <c r="F7" s="876"/>
      <c r="G7" s="877"/>
      <c r="H7" s="878"/>
      <c r="I7" s="879"/>
      <c r="J7" s="880"/>
    </row>
    <row r="8" spans="1:13" x14ac:dyDescent="0.25">
      <c r="A8" s="881">
        <v>1</v>
      </c>
      <c r="B8" s="882"/>
      <c r="C8" s="883"/>
      <c r="D8" s="884" t="s">
        <v>25637</v>
      </c>
      <c r="E8" s="883"/>
      <c r="F8" s="885"/>
      <c r="G8" s="886"/>
      <c r="H8" s="887"/>
      <c r="I8" s="888">
        <f>I176</f>
        <v>1527778.12</v>
      </c>
      <c r="J8" s="889"/>
      <c r="L8" s="890"/>
      <c r="M8" s="890"/>
    </row>
    <row r="9" spans="1:13" x14ac:dyDescent="0.25">
      <c r="A9" s="726" t="s">
        <v>119</v>
      </c>
      <c r="B9" s="891" t="s">
        <v>98</v>
      </c>
      <c r="C9" s="891"/>
      <c r="D9" s="727" t="s">
        <v>9</v>
      </c>
      <c r="E9" s="728"/>
      <c r="F9" s="729"/>
      <c r="G9" s="730"/>
      <c r="H9" s="731"/>
      <c r="I9" s="892">
        <f>SUBTOTAL(9,I10)</f>
        <v>1688.75</v>
      </c>
      <c r="J9" s="893">
        <f>I9/I8</f>
        <v>1.1000000000000001E-3</v>
      </c>
      <c r="L9" s="890"/>
      <c r="M9" s="890"/>
    </row>
    <row r="10" spans="1:13" x14ac:dyDescent="0.25">
      <c r="A10" s="872" t="str">
        <f>CONCATENATE(A9,".",1)</f>
        <v>1.1.1</v>
      </c>
      <c r="B10" s="894" t="s">
        <v>684</v>
      </c>
      <c r="C10" s="874" t="s">
        <v>4379</v>
      </c>
      <c r="D10" s="875" t="str">
        <f>IF($C10="DER-ED",VLOOKUP($B10,'DER-ED'!$A:$H,2,FALSE),IF(C10="DER-RD",VLOOKUP($B10,'DER-RD'!$A:$F,2,FALSE),IF($C10="COMP.","&gt;&gt;&gt;&gt;&gt;&gt;&gt;&gt;&gt;&gt; Digite aqui a descrição e apresente a composição detalhada.","← Escolha o Orgão e digite o Código")))</f>
        <v>Locação de obra com gabarito de madeira</v>
      </c>
      <c r="E10" s="874" t="str">
        <f>IF($C10="DER-ED",VLOOKUP($B10,'DER-ED'!$A:$H,3,FALSE),IF($C10="DER-RD",LOWER(VLOOKUP($B10,'DER-RD'!$A:$F,3,FALSE)),IF($C10="COMP.","digite"," ")))</f>
        <v>m2</v>
      </c>
      <c r="F10" s="493">
        <f>'MEM QUIOSQUE - MOD 01'!F9</f>
        <v>128.52000000000001</v>
      </c>
      <c r="G10" s="494">
        <f>IF($C10="DER-ED",VLOOKUP($B10,'DER-ED'!$A:$H,6,FALSE),IF($C10="DER-RD",VLOOKUP($B10,'DER-RD'!$A:$H,7,FALSE),))</f>
        <v>10.25</v>
      </c>
      <c r="H10" s="495">
        <f t="shared" ref="H10" si="0">G10*(1+($I$3))</f>
        <v>13.14</v>
      </c>
      <c r="I10" s="496">
        <f t="shared" ref="I10" si="1">ROUND((F10*H10),2)</f>
        <v>1688.75</v>
      </c>
      <c r="J10" s="497">
        <f>I10/$I$8</f>
        <v>1.1000000000000001E-3</v>
      </c>
      <c r="K10" s="899">
        <v>128.52000000000001</v>
      </c>
      <c r="L10" s="890" t="b">
        <f>F10=K10</f>
        <v>1</v>
      </c>
      <c r="M10" s="890"/>
    </row>
    <row r="11" spans="1:13" x14ac:dyDescent="0.25">
      <c r="A11" s="872"/>
      <c r="B11" s="874"/>
      <c r="C11" s="874"/>
      <c r="D11" s="875"/>
      <c r="E11" s="874"/>
      <c r="F11" s="493"/>
      <c r="G11" s="494"/>
      <c r="H11" s="495"/>
      <c r="I11" s="895"/>
      <c r="J11" s="896"/>
      <c r="K11" s="899">
        <v>0</v>
      </c>
      <c r="L11" s="890" t="b">
        <f t="shared" ref="L11:L74" si="2">F11=K11</f>
        <v>1</v>
      </c>
      <c r="M11" s="890"/>
    </row>
    <row r="12" spans="1:13" x14ac:dyDescent="0.25">
      <c r="A12" s="897" t="s">
        <v>129</v>
      </c>
      <c r="B12" s="891" t="s">
        <v>98</v>
      </c>
      <c r="C12" s="891"/>
      <c r="D12" s="727" t="s">
        <v>11</v>
      </c>
      <c r="E12" s="728"/>
      <c r="F12" s="729"/>
      <c r="G12" s="730"/>
      <c r="H12" s="731"/>
      <c r="I12" s="892">
        <f>SUBTOTAL(9,I13:I15)</f>
        <v>53154.45</v>
      </c>
      <c r="J12" s="893">
        <f>I12/I8</f>
        <v>3.4799999999999998E-2</v>
      </c>
      <c r="K12" s="899">
        <v>0</v>
      </c>
      <c r="L12" s="890" t="b">
        <f t="shared" si="2"/>
        <v>1</v>
      </c>
      <c r="M12" s="890"/>
    </row>
    <row r="13" spans="1:13" ht="30" x14ac:dyDescent="0.25">
      <c r="A13" s="872" t="str">
        <f>CONCATENATE(A12,".",1)</f>
        <v>1.2.1</v>
      </c>
      <c r="B13" s="894" t="s">
        <v>768</v>
      </c>
      <c r="C13" s="874" t="s">
        <v>4379</v>
      </c>
      <c r="D13" s="875" t="str">
        <f>IF($C13="DER-ED",VLOOKUP($B13,'DER-ED'!$A:$H,2,FALSE),IF(C13="DER-RD",VLOOKUP($B13,'DER-RD'!$A:$F,2,FALSE),IF($C13="COMP.","&gt;&gt;&gt;&gt;&gt;&gt;&gt;&gt;&gt;&gt; Digite aqui a descrição e apresente a composição detalhada.","← Escolha o Orgão e digite o Código")))</f>
        <v>Escavação manual em material de 1a. categoria, até 1.50 m de profundidade</v>
      </c>
      <c r="E13" s="874" t="str">
        <f>IF($C13="DER-ED",VLOOKUP($B13,'DER-ED'!$A:$H,3,FALSE),IF($C13="DER-RD",LOWER(VLOOKUP($B13,'DER-RD'!$A:$F,3,FALSE)),IF($C13="COMP.","digite"," ")))</f>
        <v>m3</v>
      </c>
      <c r="F13" s="493">
        <f>'MEM QUIOSQUE - MOD 01'!F11</f>
        <v>597.91999999999996</v>
      </c>
      <c r="G13" s="494">
        <f>IF($C13="DER-ED",VLOOKUP($B13,'DER-ED'!$A:$H,6,FALSE),IF($C13="DER-RD",VLOOKUP($B13,'DER-RD'!$A:$H,7,FALSE),))</f>
        <v>45.66</v>
      </c>
      <c r="H13" s="495">
        <f t="shared" ref="H13:H15" si="3">G13*(1+($I$3))</f>
        <v>58.55</v>
      </c>
      <c r="I13" s="496">
        <f t="shared" ref="I13:I15" si="4">ROUND((F13*H13),2)</f>
        <v>35008.22</v>
      </c>
      <c r="J13" s="497">
        <f>I13/$I$8</f>
        <v>2.29E-2</v>
      </c>
      <c r="K13" s="899">
        <v>597.91999999999996</v>
      </c>
      <c r="L13" s="890" t="b">
        <f t="shared" si="2"/>
        <v>1</v>
      </c>
      <c r="M13" s="890"/>
    </row>
    <row r="14" spans="1:13" x14ac:dyDescent="0.25">
      <c r="A14" s="872" t="str">
        <f>CONCATENATE($A$12,".",RIGHT(A13,LEN(A13)-4)+1)</f>
        <v>1.2.2</v>
      </c>
      <c r="B14" s="894" t="s">
        <v>775</v>
      </c>
      <c r="C14" s="874" t="s">
        <v>4379</v>
      </c>
      <c r="D14" s="875" t="str">
        <f>IF($C14="DER-ED",VLOOKUP($B14,'DER-ED'!$A:$H,2,FALSE),IF(C14="DER-RD",VLOOKUP($B14,'DER-RD'!$A:$F,2,FALSE),IF($C14="COMP.","&gt;&gt;&gt;&gt;&gt;&gt;&gt;&gt;&gt;&gt; Digite aqui a descrição e apresente a composição detalhada.","← Escolha o Orgão e digite o Código")))</f>
        <v>Apiloamento do fundo de vala com maço de 30 a 60kg</v>
      </c>
      <c r="E14" s="874" t="str">
        <f>IF($C14="DER-ED",VLOOKUP($B14,'DER-ED'!$A:$H,3,FALSE),IF($C14="DER-RD",LOWER(VLOOKUP($B14,'DER-RD'!$A:$F,3,FALSE)),IF($C14="COMP.","digite"," ")))</f>
        <v>m2</v>
      </c>
      <c r="F14" s="493">
        <f>'MEM QUIOSQUE - MOD 01'!F19</f>
        <v>184.88</v>
      </c>
      <c r="G14" s="494">
        <f>IF($C14="DER-ED",VLOOKUP($B14,'DER-ED'!$A:$H,6,FALSE),IF($C14="DER-RD",VLOOKUP($B14,'DER-RD'!$A:$H,7,FALSE),))</f>
        <v>23.89</v>
      </c>
      <c r="H14" s="495">
        <f t="shared" si="3"/>
        <v>30.63</v>
      </c>
      <c r="I14" s="496">
        <f t="shared" si="4"/>
        <v>5662.87</v>
      </c>
      <c r="J14" s="497">
        <f t="shared" ref="J14:J15" si="5">I14/$I$8</f>
        <v>3.7000000000000002E-3</v>
      </c>
      <c r="K14" s="899">
        <v>184.88</v>
      </c>
      <c r="L14" s="890" t="b">
        <f t="shared" si="2"/>
        <v>1</v>
      </c>
      <c r="M14" s="890"/>
    </row>
    <row r="15" spans="1:13" ht="30" x14ac:dyDescent="0.25">
      <c r="A15" s="872" t="str">
        <f>CONCATENATE($A$12,".",RIGHT(A14,LEN(A14)-4)+1)</f>
        <v>1.2.3</v>
      </c>
      <c r="B15" s="894" t="s">
        <v>778</v>
      </c>
      <c r="C15" s="874" t="s">
        <v>4379</v>
      </c>
      <c r="D15" s="875" t="str">
        <f>IF($C15="DER-ED",VLOOKUP($B15,'DER-ED'!$A:$H,2,FALSE),IF(C15="DER-RD",VLOOKUP($B15,'DER-RD'!$A:$F,2,FALSE),IF($C15="COMP.","&gt;&gt;&gt;&gt;&gt;&gt;&gt;&gt;&gt;&gt; Digite aqui a descrição e apresente a composição detalhada.","← Escolha o Orgão e digite o Código")))</f>
        <v>Reaterro apiloado de cavas de fundação, em camadas de 20 cm</v>
      </c>
      <c r="E15" s="874" t="str">
        <f>IF($C15="DER-ED",VLOOKUP($B15,'DER-ED'!$A:$H,3,FALSE),IF($C15="DER-RD",LOWER(VLOOKUP($B15,'DER-RD'!$A:$F,3,FALSE)),IF($C15="COMP.","digite"," ")))</f>
        <v>m3</v>
      </c>
      <c r="F15" s="493">
        <f>'MEM QUIOSQUE - MOD 01'!F27</f>
        <v>197.96</v>
      </c>
      <c r="G15" s="494">
        <f>IF($C15="DER-ED",VLOOKUP($B15,'DER-ED'!$A:$H,6,FALSE),IF($C15="DER-RD",VLOOKUP($B15,'DER-RD'!$A:$H,7,FALSE),))</f>
        <v>49.18</v>
      </c>
      <c r="H15" s="495">
        <f t="shared" si="3"/>
        <v>63.06</v>
      </c>
      <c r="I15" s="496">
        <f t="shared" si="4"/>
        <v>12483.36</v>
      </c>
      <c r="J15" s="497">
        <f t="shared" si="5"/>
        <v>8.2000000000000007E-3</v>
      </c>
      <c r="K15" s="899">
        <v>197.96</v>
      </c>
      <c r="L15" s="890" t="b">
        <f t="shared" si="2"/>
        <v>1</v>
      </c>
      <c r="M15" s="890"/>
    </row>
    <row r="16" spans="1:13" x14ac:dyDescent="0.25">
      <c r="A16" s="898"/>
      <c r="B16" s="874"/>
      <c r="C16" s="874"/>
      <c r="D16" s="875"/>
      <c r="E16" s="874"/>
      <c r="F16" s="493"/>
      <c r="G16" s="494"/>
      <c r="H16" s="495"/>
      <c r="I16" s="496" t="s">
        <v>98</v>
      </c>
      <c r="J16" s="497"/>
      <c r="K16" s="899">
        <v>0</v>
      </c>
      <c r="L16" s="890" t="b">
        <f t="shared" si="2"/>
        <v>1</v>
      </c>
      <c r="M16" s="890"/>
    </row>
    <row r="17" spans="1:14" x14ac:dyDescent="0.25">
      <c r="A17" s="897" t="s">
        <v>25065</v>
      </c>
      <c r="B17" s="891" t="s">
        <v>98</v>
      </c>
      <c r="C17" s="891"/>
      <c r="D17" s="727" t="s">
        <v>15</v>
      </c>
      <c r="E17" s="728"/>
      <c r="F17" s="729"/>
      <c r="G17" s="730"/>
      <c r="H17" s="731"/>
      <c r="I17" s="892">
        <f>SUBTOTAL(9,I18:I23)</f>
        <v>278160.2</v>
      </c>
      <c r="J17" s="893">
        <f>I17/I8</f>
        <v>0.18210000000000001</v>
      </c>
      <c r="K17" s="899">
        <v>0</v>
      </c>
      <c r="L17" s="890" t="b">
        <f t="shared" si="2"/>
        <v>1</v>
      </c>
      <c r="M17" s="890"/>
    </row>
    <row r="18" spans="1:14" ht="45" x14ac:dyDescent="0.25">
      <c r="A18" s="872" t="str">
        <f>CONCATENATE(A17,".",1)</f>
        <v>1.3.1</v>
      </c>
      <c r="B18" s="894" t="s">
        <v>811</v>
      </c>
      <c r="C18" s="874" t="s">
        <v>4379</v>
      </c>
      <c r="D18" s="875" t="str">
        <f>IF($C18="DER-ED",VLOOKUP($B18,'DER-ED'!$A:$H,2,FALSE),IF(C18="DER-RD",VLOOKUP($B18,'DER-RD'!$A:$F,2,FALSE),IF($C18="COMP.","&gt;&gt;&gt;&gt;&gt;&gt;&gt;&gt;&gt;&gt; Digite aqui a descrição e apresente a composição detalhada.","← Escolha o Orgão e digite o Código")))</f>
        <v>Fornecimento, preparo e aplicação de concreto magro com consumo mínimo de cimento de 250 kg/m3 (brita 1 e 2) - (5% de perdas já incluído no custo)</v>
      </c>
      <c r="E18" s="874" t="str">
        <f>IF($C18="DER-ED",VLOOKUP($B18,'DER-ED'!$A:$H,3,FALSE),IF($C18="DER-RD",LOWER(VLOOKUP($B18,'DER-RD'!$A:$F,3,FALSE)),IF($C18="COMP.","digite"," ")))</f>
        <v>m3</v>
      </c>
      <c r="F18" s="493">
        <f>'MEM QUIOSQUE - MOD 01'!F31</f>
        <v>9.9600000000000009</v>
      </c>
      <c r="G18" s="494">
        <f>IF($C18="DER-ED",VLOOKUP($B18,'DER-ED'!$A:$H,6,FALSE),IF($C18="DER-RD",VLOOKUP($B18,'DER-RD'!$A:$H,7,FALSE),))</f>
        <v>527.91</v>
      </c>
      <c r="H18" s="495">
        <f t="shared" ref="H18:H23" si="6">G18*(1+($I$3))</f>
        <v>676.89</v>
      </c>
      <c r="I18" s="496">
        <f t="shared" ref="I18:I23" si="7">ROUND((F18*H18),2)</f>
        <v>6741.82</v>
      </c>
      <c r="J18" s="497">
        <f t="shared" ref="J18:J23" si="8">I18/$I$8</f>
        <v>4.4000000000000003E-3</v>
      </c>
      <c r="K18" s="899">
        <v>9.9600000000000009</v>
      </c>
      <c r="L18" s="890" t="b">
        <f t="shared" si="2"/>
        <v>1</v>
      </c>
      <c r="M18" s="890"/>
    </row>
    <row r="19" spans="1:14" ht="45" x14ac:dyDescent="0.25">
      <c r="A19" s="872" t="str">
        <f>CONCATENATE($A$17,".",RIGHT(A18,LEN(A18)-4)+1)</f>
        <v>1.3.2</v>
      </c>
      <c r="B19" s="894" t="s">
        <v>24893</v>
      </c>
      <c r="C19" s="874" t="s">
        <v>4404</v>
      </c>
      <c r="D19" s="875" t="str">
        <f>'COMP. - Quiosque'!C854</f>
        <v>Fornecimento e aplicação de concreto USINADO Fck=40 MPa - considerando lançamento MANUAL para INFRA-
ESTRUTURA (5% de perdas já incluído no custo)</v>
      </c>
      <c r="E19" s="874" t="str">
        <f>'COMP. - Quiosque'!C855</f>
        <v>m3</v>
      </c>
      <c r="F19" s="493">
        <f>'MEM QUIOSQUE - MOD 01'!F35</f>
        <v>202.04</v>
      </c>
      <c r="G19" s="494">
        <f>'COMP. - Quiosque'!N889</f>
        <v>484.12</v>
      </c>
      <c r="H19" s="495">
        <f t="shared" si="6"/>
        <v>620.74</v>
      </c>
      <c r="I19" s="496">
        <f t="shared" si="7"/>
        <v>125414.31</v>
      </c>
      <c r="J19" s="497">
        <f t="shared" si="8"/>
        <v>8.2100000000000006E-2</v>
      </c>
      <c r="K19" s="899">
        <v>202.04</v>
      </c>
      <c r="L19" s="890" t="b">
        <f t="shared" si="2"/>
        <v>1</v>
      </c>
      <c r="M19" s="890"/>
    </row>
    <row r="20" spans="1:14" ht="60" x14ac:dyDescent="0.25">
      <c r="A20" s="872" t="str">
        <f t="shared" ref="A20:A23" si="9">CONCATENATE($A$17,".",RIGHT(A19,LEN(A19)-4)+1)</f>
        <v>1.3.3</v>
      </c>
      <c r="B20" s="894" t="s">
        <v>808</v>
      </c>
      <c r="C20" s="874" t="s">
        <v>4379</v>
      </c>
      <c r="D20" s="875" t="str">
        <f>IF($C20="DER-ED",VLOOKUP($B20,'DER-ED'!$A:$H,2,FALSE),IF(C20="DER-RD",VLOOKUP($B20,'DER-RD'!$A:$F,2,FALSE),IF($C20="COMP.","&gt;&gt;&gt;&gt;&gt;&gt;&gt;&gt;&gt;&gt; Digite aqui a descrição e apresente a composição detalhada.","← Escolha o Orgão e digite o Código")))</f>
        <v>Fôrma de tábua de madeira de 2.5 x 30.0 cm para fundações, levando-se em conta a utilização 5 vezes (incluido o material, corte, montagem, escoramento e desforma)</v>
      </c>
      <c r="E20" s="874" t="str">
        <f>IF($C20="DER-ED",VLOOKUP($B20,'DER-ED'!$A:$H,3,FALSE),IF($C20="DER-RD",LOWER(VLOOKUP($B20,'DER-RD'!$A:$F,3,FALSE)),IF($C20="COMP.","digite"," ")))</f>
        <v>m2</v>
      </c>
      <c r="F20" s="493">
        <f>'MEM QUIOSQUE - MOD 01'!F42</f>
        <v>845</v>
      </c>
      <c r="G20" s="494">
        <f>IF($C20="DER-ED",VLOOKUP($B20,'DER-ED'!$A:$H,6,FALSE),IF($C20="DER-RD",VLOOKUP($B20,'DER-RD'!$A:$H,7,FALSE),))</f>
        <v>73.25</v>
      </c>
      <c r="H20" s="495">
        <f t="shared" si="6"/>
        <v>93.92</v>
      </c>
      <c r="I20" s="496">
        <f t="shared" si="7"/>
        <v>79362.399999999994</v>
      </c>
      <c r="J20" s="497">
        <f t="shared" si="8"/>
        <v>5.1900000000000002E-2</v>
      </c>
      <c r="K20" s="899">
        <v>845</v>
      </c>
      <c r="L20" s="890" t="b">
        <f t="shared" si="2"/>
        <v>1</v>
      </c>
      <c r="M20" s="890"/>
    </row>
    <row r="21" spans="1:14" ht="30" x14ac:dyDescent="0.25">
      <c r="A21" s="872" t="str">
        <f t="shared" si="9"/>
        <v>1.3.4</v>
      </c>
      <c r="B21" s="894" t="s">
        <v>819</v>
      </c>
      <c r="C21" s="874" t="s">
        <v>4379</v>
      </c>
      <c r="D21" s="875" t="str">
        <f>IF($C21="DER-ED",VLOOKUP($B21,'DER-ED'!$A:$H,2,FALSE),IF(C21="DER-RD",VLOOKUP($B21,'DER-RD'!$A:$F,2,FALSE),IF($C21="COMP.","&gt;&gt;&gt;&gt;&gt;&gt;&gt;&gt;&gt;&gt; Digite aqui a descrição e apresente a composição detalhada.","← Escolha o Orgão e digite o Código")))</f>
        <v>Fornecimento, dobragem e colocação em fôrma, de armadura CA-50 A média, diâmetro de 6.3 a 10.0 mm</v>
      </c>
      <c r="E21" s="874" t="str">
        <f>IF($C21="DER-ED",VLOOKUP($B21,'DER-ED'!$A:$H,3,FALSE),IF($C21="DER-RD",LOWER(VLOOKUP($B21,'DER-RD'!$A:$F,3,FALSE)),IF($C21="COMP.","digite"," ")))</f>
        <v>kg</v>
      </c>
      <c r="F21" s="493">
        <f>'MEM QUIOSQUE - MOD 01'!F49</f>
        <v>2096.6</v>
      </c>
      <c r="G21" s="494">
        <f>IF($C21="DER-ED",VLOOKUP($B21,'DER-ED'!$A:$H,6,FALSE),IF($C21="DER-RD",VLOOKUP($B21,'DER-RD'!$A:$H,7,FALSE),))</f>
        <v>12.94</v>
      </c>
      <c r="H21" s="495">
        <f t="shared" si="6"/>
        <v>16.59</v>
      </c>
      <c r="I21" s="496">
        <f t="shared" si="7"/>
        <v>34782.589999999997</v>
      </c>
      <c r="J21" s="497">
        <f t="shared" si="8"/>
        <v>2.2800000000000001E-2</v>
      </c>
      <c r="K21" s="899">
        <v>2096.6</v>
      </c>
      <c r="L21" s="890" t="b">
        <f t="shared" si="2"/>
        <v>1</v>
      </c>
      <c r="N21" s="541" t="s">
        <v>98</v>
      </c>
    </row>
    <row r="22" spans="1:14" ht="45" x14ac:dyDescent="0.25">
      <c r="A22" s="872" t="str">
        <f t="shared" si="9"/>
        <v>1.3.5</v>
      </c>
      <c r="B22" s="894" t="s">
        <v>820</v>
      </c>
      <c r="C22" s="874" t="s">
        <v>4379</v>
      </c>
      <c r="D22" s="875" t="str">
        <f>IF($C22="DER-ED",VLOOKUP($B22,'DER-ED'!$A:$H,2,FALSE),IF(C22="DER-RD",VLOOKUP($B22,'DER-RD'!$A:$F,2,FALSE),IF($C22="COMP.","&gt;&gt;&gt;&gt;&gt;&gt;&gt;&gt;&gt;&gt; Digite aqui a descrição e apresente a composição detalhada.","← Escolha o Orgão e digite o Código")))</f>
        <v>Fornecimento, dobragem e colocação em fôrma, de armadura CA-50 A grossa diâmetro de 12.5 a 25.0 mm (1/2 a 1")</v>
      </c>
      <c r="E22" s="874" t="str">
        <f>IF($C22="DER-ED",VLOOKUP($B22,'DER-ED'!$A:$H,3,FALSE),IF($C22="DER-RD",LOWER(VLOOKUP($B22,'DER-RD'!$A:$F,3,FALSE)),IF($C22="COMP.","digite"," ")))</f>
        <v>kg</v>
      </c>
      <c r="F22" s="493">
        <f>'MEM QUIOSQUE - MOD 01'!F50</f>
        <v>1295.4000000000001</v>
      </c>
      <c r="G22" s="494">
        <f>IF($C22="DER-ED",VLOOKUP($B22,'DER-ED'!$A:$H,6,FALSE),IF($C22="DER-RD",VLOOKUP($B22,'DER-RD'!$A:$H,7,FALSE),))</f>
        <v>13.04</v>
      </c>
      <c r="H22" s="495">
        <f t="shared" si="6"/>
        <v>16.72</v>
      </c>
      <c r="I22" s="496">
        <f t="shared" si="7"/>
        <v>21659.09</v>
      </c>
      <c r="J22" s="497">
        <f t="shared" si="8"/>
        <v>1.4200000000000001E-2</v>
      </c>
      <c r="K22" s="899">
        <v>1295.4000000000001</v>
      </c>
      <c r="L22" s="890" t="b">
        <f t="shared" si="2"/>
        <v>1</v>
      </c>
    </row>
    <row r="23" spans="1:14" ht="30" x14ac:dyDescent="0.25">
      <c r="A23" s="872" t="str">
        <f t="shared" si="9"/>
        <v>1.3.6</v>
      </c>
      <c r="B23" s="894" t="s">
        <v>822</v>
      </c>
      <c r="C23" s="874" t="s">
        <v>4379</v>
      </c>
      <c r="D23" s="875" t="str">
        <f>IF($C23="DER-ED",VLOOKUP($B23,'DER-ED'!$A:$H,2,FALSE),IF(C23="DER-RD",VLOOKUP($B23,'DER-RD'!$A:$F,2,FALSE),IF($C23="COMP.","&gt;&gt;&gt;&gt;&gt;&gt;&gt;&gt;&gt;&gt; Digite aqui a descrição e apresente a composição detalhada.","← Escolha o Orgão e digite o Código")))</f>
        <v>Fornecimento, dobragem e colocação em fôrma, de armadura CA-60 B fina, diâmetro de 4.0 a 7.0mm</v>
      </c>
      <c r="E23" s="874" t="str">
        <f>IF($C23="DER-ED",VLOOKUP($B23,'DER-ED'!$A:$H,3,FALSE),IF($C23="DER-RD",LOWER(VLOOKUP($B23,'DER-RD'!$A:$F,3,FALSE)),IF($C23="COMP.","digite"," ")))</f>
        <v>kg</v>
      </c>
      <c r="F23" s="493">
        <f>'MEM QUIOSQUE - MOD 01'!F51</f>
        <v>505.2</v>
      </c>
      <c r="G23" s="494">
        <f>IF($C23="DER-ED",VLOOKUP($B23,'DER-ED'!$A:$H,6,FALSE),IF($C23="DER-RD",VLOOKUP($B23,'DER-RD'!$A:$H,7,FALSE),))</f>
        <v>15.75</v>
      </c>
      <c r="H23" s="495">
        <f t="shared" si="6"/>
        <v>20.190000000000001</v>
      </c>
      <c r="I23" s="496">
        <f t="shared" si="7"/>
        <v>10199.99</v>
      </c>
      <c r="J23" s="497">
        <f t="shared" si="8"/>
        <v>6.7000000000000002E-3</v>
      </c>
      <c r="K23" s="899">
        <v>505.2</v>
      </c>
      <c r="L23" s="890" t="b">
        <f t="shared" si="2"/>
        <v>1</v>
      </c>
      <c r="N23" s="541" t="s">
        <v>98</v>
      </c>
    </row>
    <row r="24" spans="1:14" x14ac:dyDescent="0.25">
      <c r="A24" s="898"/>
      <c r="B24" s="874"/>
      <c r="C24" s="874"/>
      <c r="D24" s="875"/>
      <c r="E24" s="874"/>
      <c r="F24" s="493"/>
      <c r="G24" s="494"/>
      <c r="H24" s="495"/>
      <c r="I24" s="496" t="s">
        <v>98</v>
      </c>
      <c r="J24" s="497"/>
      <c r="K24" s="899"/>
      <c r="L24" s="890"/>
      <c r="N24" s="541" t="s">
        <v>98</v>
      </c>
    </row>
    <row r="25" spans="1:14" x14ac:dyDescent="0.25">
      <c r="A25" s="897" t="s">
        <v>25066</v>
      </c>
      <c r="B25" s="891" t="s">
        <v>98</v>
      </c>
      <c r="C25" s="891"/>
      <c r="D25" s="727" t="s">
        <v>22</v>
      </c>
      <c r="E25" s="728"/>
      <c r="F25" s="729"/>
      <c r="G25" s="730"/>
      <c r="H25" s="731"/>
      <c r="I25" s="892">
        <f>SUBTOTAL(9,I26:I30)</f>
        <v>216237.53</v>
      </c>
      <c r="J25" s="893">
        <f>I25/I8</f>
        <v>0.14149999999999999</v>
      </c>
      <c r="K25" s="899"/>
      <c r="L25" s="890"/>
    </row>
    <row r="26" spans="1:14" ht="45" x14ac:dyDescent="0.25">
      <c r="A26" s="872" t="str">
        <f>CONCATENATE(A25,".",1)</f>
        <v>1.4.1</v>
      </c>
      <c r="B26" s="894" t="s">
        <v>24894</v>
      </c>
      <c r="C26" s="874" t="s">
        <v>4404</v>
      </c>
      <c r="D26" s="875" t="str">
        <f>'COMP. - Quiosque'!C896</f>
        <v>Fornecimento e aplicação de concreto USINADO Fck=40 MPa - considerando BOMBEAMENTO (5% de perdas já incluído no custo) (6% de taxa p/ concr. bombeavel)</v>
      </c>
      <c r="E26" s="874" t="str">
        <f>'COMP. - Quiosque'!C897</f>
        <v>m3</v>
      </c>
      <c r="F26" s="493">
        <f>'MEM QUIOSQUE - MOD 01'!F53</f>
        <v>49.68</v>
      </c>
      <c r="G26" s="494">
        <f>'COMP. - Quiosque'!N932</f>
        <v>422.14</v>
      </c>
      <c r="H26" s="495">
        <f t="shared" ref="H26:H30" si="10">G26*(1+($I$3))</f>
        <v>541.27</v>
      </c>
      <c r="I26" s="496">
        <f t="shared" ref="I26:I30" si="11">ROUND((F26*H26),2)</f>
        <v>26890.29</v>
      </c>
      <c r="J26" s="497">
        <f t="shared" ref="J26:J30" si="12">I26/$I$8</f>
        <v>1.7600000000000001E-2</v>
      </c>
      <c r="K26" s="899">
        <v>49.68</v>
      </c>
      <c r="L26" s="890" t="b">
        <f t="shared" si="2"/>
        <v>1</v>
      </c>
    </row>
    <row r="27" spans="1:14" ht="30" x14ac:dyDescent="0.25">
      <c r="A27" s="872" t="str">
        <f>CONCATENATE($A$25,".",RIGHT(A26,LEN(A26)-4)+1)</f>
        <v>1.4.2</v>
      </c>
      <c r="B27" s="894" t="s">
        <v>834</v>
      </c>
      <c r="C27" s="874" t="s">
        <v>4379</v>
      </c>
      <c r="D27" s="875" t="str">
        <f>IF($C27="DER-ED",VLOOKUP($B27,'DER-ED'!$A:$H,2,FALSE),IF(C27="DER-RD",VLOOKUP($B27,'DER-RD'!$A:$F,2,FALSE),IF($C27="COMP.","&gt;&gt;&gt;&gt;&gt;&gt;&gt;&gt;&gt;&gt; Digite aqui a descrição e apresente a composição detalhada.","← Escolha o Orgão e digite o Código")))</f>
        <v>Fornecimento, dobragem e colocação em fôrma, de armadura CA-50 A média, diâmetro de 6.3 a 10.0 mm</v>
      </c>
      <c r="E27" s="874" t="str">
        <f>IF($C27="DER-ED",VLOOKUP($B27,'DER-ED'!$A:$H,3,FALSE),IF($C27="DER-RD",LOWER(VLOOKUP($B27,'DER-RD'!$A:$F,3,FALSE)),IF($C27="COMP.","digite"," ")))</f>
        <v>kg</v>
      </c>
      <c r="F27" s="493">
        <f>'MEM QUIOSQUE - MOD 01'!F58</f>
        <v>8060</v>
      </c>
      <c r="G27" s="494">
        <f>IF($C27="DER-ED",VLOOKUP($B27,'DER-ED'!$A:$H,6,FALSE),IF($C27="DER-RD",VLOOKUP($B27,'DER-RD'!$A:$H,7,FALSE),))</f>
        <v>12.94</v>
      </c>
      <c r="H27" s="495">
        <f t="shared" si="10"/>
        <v>16.59</v>
      </c>
      <c r="I27" s="496">
        <f t="shared" si="11"/>
        <v>133715.4</v>
      </c>
      <c r="J27" s="497">
        <f t="shared" si="12"/>
        <v>8.7499999999999994E-2</v>
      </c>
      <c r="K27" s="899">
        <v>8060</v>
      </c>
      <c r="L27" s="890" t="b">
        <f t="shared" si="2"/>
        <v>1</v>
      </c>
    </row>
    <row r="28" spans="1:14" ht="30" x14ac:dyDescent="0.25">
      <c r="A28" s="872" t="str">
        <f t="shared" ref="A28:A30" si="13">CONCATENATE($A$25,".",RIGHT(A27,LEN(A27)-4)+1)</f>
        <v>1.4.3</v>
      </c>
      <c r="B28" s="894" t="s">
        <v>841</v>
      </c>
      <c r="C28" s="874" t="s">
        <v>4379</v>
      </c>
      <c r="D28" s="875" t="str">
        <f>IF($C28="DER-ED",VLOOKUP($B28,'DER-ED'!$A:$H,2,FALSE),IF(C28="DER-RD",VLOOKUP($B28,'DER-RD'!$A:$F,2,FALSE),IF($C28="COMP.","&gt;&gt;&gt;&gt;&gt;&gt;&gt;&gt;&gt;&gt; Digite aqui a descrição e apresente a composição detalhada.","← Escolha o Orgão e digite o Código")))</f>
        <v>Fornecimento, dobragem e colocação em fôrma, de armadura CA-50 A grossa, diâmetro de 12.5 a 25.0mm</v>
      </c>
      <c r="E28" s="874" t="str">
        <f>IF($C28="DER-ED",VLOOKUP($B28,'DER-ED'!$A:$H,3,FALSE),IF($C28="DER-RD",LOWER(VLOOKUP($B28,'DER-RD'!$A:$F,3,FALSE)),IF($C28="COMP.","digite"," ")))</f>
        <v>kg</v>
      </c>
      <c r="F28" s="493">
        <f>'MEM QUIOSQUE - MOD 01'!F59</f>
        <v>365.2</v>
      </c>
      <c r="G28" s="494">
        <f>IF($C28="DER-ED",VLOOKUP($B28,'DER-ED'!$A:$H,6,FALSE),IF($C28="DER-RD",VLOOKUP($B28,'DER-RD'!$A:$H,7,FALSE),))</f>
        <v>13.04</v>
      </c>
      <c r="H28" s="495">
        <f t="shared" si="10"/>
        <v>16.72</v>
      </c>
      <c r="I28" s="496">
        <f t="shared" si="11"/>
        <v>6106.14</v>
      </c>
      <c r="J28" s="497">
        <f t="shared" si="12"/>
        <v>4.0000000000000001E-3</v>
      </c>
      <c r="K28" s="899">
        <v>365.2</v>
      </c>
      <c r="L28" s="890" t="b">
        <f t="shared" si="2"/>
        <v>1</v>
      </c>
      <c r="N28" s="899" t="s">
        <v>98</v>
      </c>
    </row>
    <row r="29" spans="1:14" ht="30" x14ac:dyDescent="0.25">
      <c r="A29" s="872" t="str">
        <f t="shared" si="13"/>
        <v>1.4.4</v>
      </c>
      <c r="B29" s="894" t="s">
        <v>842</v>
      </c>
      <c r="C29" s="874" t="s">
        <v>4379</v>
      </c>
      <c r="D29" s="875" t="str">
        <f>IF($C29="DER-ED",VLOOKUP($B29,'DER-ED'!$A:$H,2,FALSE),IF(C29="DER-RD",VLOOKUP($B29,'DER-RD'!$A:$F,2,FALSE),IF($C29="COMP.","&gt;&gt;&gt;&gt;&gt;&gt;&gt;&gt;&gt;&gt; Digite aqui a descrição e apresente a composição detalhada.","← Escolha o Orgão e digite o Código")))</f>
        <v>Fornecimento, dobragem e colocação em fôrma, de armadura CA-60 B fina, diâmetro de 4.0 a 7.0mm</v>
      </c>
      <c r="E29" s="874" t="str">
        <f>IF($C29="DER-ED",VLOOKUP($B29,'DER-ED'!$A:$H,3,FALSE),IF($C29="DER-RD",LOWER(VLOOKUP($B29,'DER-RD'!$A:$F,3,FALSE)),IF($C29="COMP.","digite"," ")))</f>
        <v>kg</v>
      </c>
      <c r="F29" s="493">
        <f>'MEM QUIOSQUE - MOD 01'!F60</f>
        <v>388.8</v>
      </c>
      <c r="G29" s="494">
        <f>IF($C29="DER-ED",VLOOKUP($B29,'DER-ED'!$A:$H,6,FALSE),IF($C29="DER-RD",VLOOKUP($B29,'DER-RD'!$A:$H,7,FALSE),))</f>
        <v>15.75</v>
      </c>
      <c r="H29" s="495">
        <f t="shared" si="10"/>
        <v>20.190000000000001</v>
      </c>
      <c r="I29" s="496">
        <f t="shared" si="11"/>
        <v>7849.87</v>
      </c>
      <c r="J29" s="497">
        <f t="shared" si="12"/>
        <v>5.1000000000000004E-3</v>
      </c>
      <c r="K29" s="899">
        <v>388.8</v>
      </c>
      <c r="L29" s="890" t="b">
        <f t="shared" si="2"/>
        <v>1</v>
      </c>
      <c r="N29" s="541" t="s">
        <v>98</v>
      </c>
    </row>
    <row r="30" spans="1:14" ht="75" x14ac:dyDescent="0.25">
      <c r="A30" s="872" t="str">
        <f t="shared" si="13"/>
        <v>1.4.5</v>
      </c>
      <c r="B30" s="894" t="s">
        <v>845</v>
      </c>
      <c r="C30" s="874" t="s">
        <v>4379</v>
      </c>
      <c r="D30" s="875" t="str">
        <f>IF($C30="DER-ED",VLOOKUP($B30,'DER-ED'!$A:$H,2,FALSE),IF(C30="DER-RD",VLOOKUP($B30,'DER-RD'!$A:$F,2,FALSE),IF($C30="COMP.","&gt;&gt;&gt;&gt;&gt;&gt;&gt;&gt;&gt;&gt; Digite aqui a descrição e apresente a composição detalhada.","← Escolha o Orgão e digite o Código")))</f>
        <v>Forma de chapas madeira compensada resinada, esp. 12mm, levando-se em conta a utilização 3 vezes, reforçadas com sarrafos de madeira de 2.5 x 10.0cm (incl material, corte, montagem, escoras em eucalipto e desforma)</v>
      </c>
      <c r="E30" s="874" t="str">
        <f>IF($C30="DER-ED",VLOOKUP($B30,'DER-ED'!$A:$H,3,FALSE),IF($C30="DER-RD",LOWER(VLOOKUP($B30,'DER-RD'!$A:$F,3,FALSE)),IF($C30="COMP.","digite"," ")))</f>
        <v>m2</v>
      </c>
      <c r="F30" s="493">
        <f>'MEM QUIOSQUE - MOD 01'!F61</f>
        <v>260.36</v>
      </c>
      <c r="G30" s="494">
        <f>IF($C30="DER-ED",VLOOKUP($B30,'DER-ED'!$A:$H,6,FALSE),IF($C30="DER-RD",VLOOKUP($B30,'DER-RD'!$A:$H,7,FALSE),))</f>
        <v>124.84</v>
      </c>
      <c r="H30" s="495">
        <f t="shared" si="10"/>
        <v>160.07</v>
      </c>
      <c r="I30" s="496">
        <f t="shared" si="11"/>
        <v>41675.83</v>
      </c>
      <c r="J30" s="497">
        <f t="shared" si="12"/>
        <v>2.7300000000000001E-2</v>
      </c>
      <c r="K30" s="899">
        <v>260.36</v>
      </c>
      <c r="L30" s="890" t="b">
        <f t="shared" si="2"/>
        <v>1</v>
      </c>
      <c r="N30" s="541" t="s">
        <v>98</v>
      </c>
    </row>
    <row r="31" spans="1:14" x14ac:dyDescent="0.25">
      <c r="A31" s="898"/>
      <c r="B31" s="874"/>
      <c r="C31" s="874"/>
      <c r="D31" s="875"/>
      <c r="E31" s="874"/>
      <c r="F31" s="493" t="s">
        <v>98</v>
      </c>
      <c r="G31" s="494"/>
      <c r="H31" s="495"/>
      <c r="I31" s="496" t="s">
        <v>98</v>
      </c>
      <c r="J31" s="497"/>
      <c r="K31" s="899"/>
      <c r="L31" s="890"/>
    </row>
    <row r="32" spans="1:14" x14ac:dyDescent="0.25">
      <c r="A32" s="897" t="s">
        <v>25067</v>
      </c>
      <c r="B32" s="891" t="s">
        <v>98</v>
      </c>
      <c r="C32" s="891"/>
      <c r="D32" s="727" t="s">
        <v>25</v>
      </c>
      <c r="E32" s="728"/>
      <c r="F32" s="729" t="s">
        <v>98</v>
      </c>
      <c r="G32" s="730"/>
      <c r="H32" s="731"/>
      <c r="I32" s="892">
        <f>SUBTOTAL(9,I33:I37)</f>
        <v>118657</v>
      </c>
      <c r="J32" s="893">
        <f>I32/I8</f>
        <v>7.7700000000000005E-2</v>
      </c>
      <c r="K32" s="899"/>
      <c r="L32" s="890"/>
    </row>
    <row r="33" spans="1:12" ht="30" x14ac:dyDescent="0.25">
      <c r="A33" s="872" t="str">
        <f>CONCATENATE(A32,".",1)</f>
        <v>1.5.1</v>
      </c>
      <c r="B33" s="894" t="s">
        <v>918</v>
      </c>
      <c r="C33" s="874" t="s">
        <v>4379</v>
      </c>
      <c r="D33" s="875" t="str">
        <f>IF($C33="DER-ED",VLOOKUP($B33,'DER-ED'!$A:$H,2,FALSE),IF(C33="DER-RD",VLOOKUP($B33,'DER-RD'!$A:$F,2,FALSE),IF($C33="COMP.","&gt;&gt;&gt;&gt;&gt;&gt;&gt;&gt;&gt;&gt; Digite aqui a descrição e apresente a composição detalhada.","← Escolha o Orgão e digite o Código")))</f>
        <v>Verga/contraverga reta de concreto armado 10 x 5 cm, Fck = 15 MPa, inclusive forma, armação e desforma</v>
      </c>
      <c r="E33" s="874" t="str">
        <f>IF($C33="DER-ED",VLOOKUP($B33,'DER-ED'!$A:$H,3,FALSE),IF($C33="DER-RD",LOWER(VLOOKUP($B33,'DER-RD'!$A:$F,3,FALSE)),IF($C33="COMP.","digite"," ")))</f>
        <v>m</v>
      </c>
      <c r="F33" s="493">
        <f>'MEM QUIOSQUE - MOD 01'!F66</f>
        <v>112.56</v>
      </c>
      <c r="G33" s="494">
        <f>IF($C33="DER-ED",VLOOKUP($B33,'DER-ED'!$A:$H,6,FALSE),IF($C33="DER-RD",VLOOKUP($B33,'DER-RD'!$A:$H,7,FALSE),))</f>
        <v>9.24</v>
      </c>
      <c r="H33" s="495">
        <f t="shared" ref="H33:H37" si="14">G33*(1+($I$3))</f>
        <v>11.85</v>
      </c>
      <c r="I33" s="496">
        <f t="shared" ref="I33:I37" si="15">ROUND((F33*H33),2)</f>
        <v>1333.84</v>
      </c>
      <c r="J33" s="497">
        <f t="shared" ref="J33:J37" si="16">I33/$I$8</f>
        <v>8.9999999999999998E-4</v>
      </c>
      <c r="K33" s="899">
        <v>112.56</v>
      </c>
      <c r="L33" s="890" t="b">
        <f t="shared" si="2"/>
        <v>1</v>
      </c>
    </row>
    <row r="34" spans="1:12" ht="60" x14ac:dyDescent="0.25">
      <c r="A34" s="872" t="str">
        <f>CONCATENATE($A$32,".",RIGHT(A33,LEN(A33)-4)+1)</f>
        <v>1.5.2</v>
      </c>
      <c r="B34" s="894" t="s">
        <v>932</v>
      </c>
      <c r="C34" s="874" t="s">
        <v>4379</v>
      </c>
      <c r="D34" s="875" t="str">
        <f>IF($C34="DER-ED",VLOOKUP($B34,'DER-ED'!$A:$H,2,FALSE),IF(C34="DER-RD",VLOOKUP($B34,'DER-RD'!$A:$F,2,FALSE),IF($C34="COMP.","&gt;&gt;&gt;&gt;&gt;&gt;&gt;&gt;&gt;&gt; Digite aqui a descrição e apresente a composição detalhada.","← Escolha o Orgão e digite o Código")))</f>
        <v>Alvenaria de blocos de concreto 14x19x39cm, c/ resist. mínimo a compres. 2.5 MPa, assent. c/ arg. de cimento, cal hidratada CH1 e areia no traço 1:0.5:8 esp. das juntas 10mm e esp. das paredes, s/ rev. 14cm</v>
      </c>
      <c r="E34" s="874" t="str">
        <f>IF($C34="DER-ED",VLOOKUP($B34,'DER-ED'!$A:$H,3,FALSE),IF($C34="DER-RD",LOWER(VLOOKUP($B34,'DER-RD'!$A:$F,3,FALSE)),IF($C34="COMP.","digite"," ")))</f>
        <v>m2</v>
      </c>
      <c r="F34" s="493">
        <f>'MEM QUIOSQUE - MOD 01'!F71</f>
        <v>310.60000000000002</v>
      </c>
      <c r="G34" s="494">
        <f>IF($C34="DER-ED",VLOOKUP($B34,'DER-ED'!$A:$H,6,FALSE),IF($C34="DER-RD",VLOOKUP($B34,'DER-RD'!$A:$H,7,FALSE),))</f>
        <v>66.83</v>
      </c>
      <c r="H34" s="495">
        <f t="shared" si="14"/>
        <v>85.69</v>
      </c>
      <c r="I34" s="496">
        <f t="shared" si="15"/>
        <v>26615.31</v>
      </c>
      <c r="J34" s="497">
        <f t="shared" si="16"/>
        <v>1.7399999999999999E-2</v>
      </c>
      <c r="K34" s="899">
        <v>310.60000000000002</v>
      </c>
      <c r="L34" s="890" t="b">
        <f t="shared" si="2"/>
        <v>1</v>
      </c>
    </row>
    <row r="35" spans="1:12" ht="45" x14ac:dyDescent="0.25">
      <c r="A35" s="872" t="str">
        <f t="shared" ref="A35:A37" si="17">CONCATENATE($A$32,".",RIGHT(A34,LEN(A34)-4)+1)</f>
        <v>1.5.3</v>
      </c>
      <c r="B35" s="894" t="s">
        <v>898</v>
      </c>
      <c r="C35" s="874" t="s">
        <v>4379</v>
      </c>
      <c r="D35" s="875" t="str">
        <f>IF($C35="DER-ED",VLOOKUP($B35,'DER-ED'!$A:$H,2,FALSE),IF(C35="DER-RD",VLOOKUP($B35,'DER-RD'!$A:$F,2,FALSE),IF($C35="COMP.","&gt;&gt;&gt;&gt;&gt;&gt;&gt;&gt;&gt;&gt; Digite aqui a descrição e apresente a composição detalhada.","← Escolha o Orgão e digite o Código")))</f>
        <v>Cobogó de concreto 40 x 40 x 10 cm, tipo reto, assentados com argamassa de cimento e areia no traço 1:3, espessura das juntas 15 mm</v>
      </c>
      <c r="E35" s="874" t="str">
        <f>IF($C35="DER-ED",VLOOKUP($B35,'DER-ED'!$A:$H,3,FALSE),IF($C35="DER-RD",LOWER(VLOOKUP($B35,'DER-RD'!$A:$F,3,FALSE)),IF($C35="COMP.","digite"," ")))</f>
        <v>m2</v>
      </c>
      <c r="F35" s="493">
        <f>'MEM QUIOSQUE - MOD 01'!F83</f>
        <v>73.84</v>
      </c>
      <c r="G35" s="494">
        <f>IF($C35="DER-ED",VLOOKUP($B35,'DER-ED'!$A:$H,6,FALSE),IF($C35="DER-RD",VLOOKUP($B35,'DER-RD'!$A:$H,7,FALSE),))</f>
        <v>128.46</v>
      </c>
      <c r="H35" s="495">
        <f t="shared" si="14"/>
        <v>164.71</v>
      </c>
      <c r="I35" s="496">
        <f t="shared" si="15"/>
        <v>12162.19</v>
      </c>
      <c r="J35" s="497">
        <f t="shared" si="16"/>
        <v>8.0000000000000002E-3</v>
      </c>
      <c r="K35" s="899">
        <v>73.84</v>
      </c>
      <c r="L35" s="890" t="b">
        <f t="shared" si="2"/>
        <v>1</v>
      </c>
    </row>
    <row r="36" spans="1:12" ht="45" x14ac:dyDescent="0.25">
      <c r="A36" s="872" t="str">
        <f t="shared" si="17"/>
        <v>1.5.4</v>
      </c>
      <c r="B36" s="894" t="s">
        <v>24895</v>
      </c>
      <c r="C36" s="874" t="s">
        <v>4404</v>
      </c>
      <c r="D36" s="875" t="str">
        <f>'COMP. - Quiosque'!C1348</f>
        <v>ALVENARIA DE VEDAÇÃO COM BLOCO DE VIDRO, TIPO CANELADO, DE 8X19X19CM E ARGAMASSA DE ASSENTAMENTO COM PREPARO EM BETONEIRA.</v>
      </c>
      <c r="E36" s="874" t="str">
        <f>'COMP. - Quiosque'!C1349</f>
        <v>m2</v>
      </c>
      <c r="F36" s="493">
        <f>'MEM QUIOSQUE - MOD 01'!F84</f>
        <v>4.5999999999999996</v>
      </c>
      <c r="G36" s="900">
        <f>'COMP. - Quiosque'!N1383</f>
        <v>582.87</v>
      </c>
      <c r="H36" s="495">
        <f t="shared" si="14"/>
        <v>747.36</v>
      </c>
      <c r="I36" s="496">
        <f t="shared" si="15"/>
        <v>3437.86</v>
      </c>
      <c r="J36" s="497">
        <f t="shared" si="16"/>
        <v>2.3E-3</v>
      </c>
      <c r="K36" s="899">
        <v>4.5999999999999996</v>
      </c>
      <c r="L36" s="890" t="b">
        <f t="shared" si="2"/>
        <v>1</v>
      </c>
    </row>
    <row r="37" spans="1:12" ht="30" x14ac:dyDescent="0.25">
      <c r="A37" s="872" t="str">
        <f t="shared" si="17"/>
        <v>1.5.5</v>
      </c>
      <c r="B37" s="894" t="s">
        <v>4405</v>
      </c>
      <c r="C37" s="874" t="s">
        <v>4404</v>
      </c>
      <c r="D37" s="875" t="str">
        <f>'COMP. - Quiosque'!C281</f>
        <v>Muxarabi em barra chata 2" x 1/8 inclusive requadro, soldagem, pintura e instalação.</v>
      </c>
      <c r="E37" s="874" t="str">
        <f>'COMP. - Quiosque'!C282</f>
        <v>und</v>
      </c>
      <c r="F37" s="493">
        <f>'MEM QUIOSQUE - MOD 01'!F85</f>
        <v>4</v>
      </c>
      <c r="G37" s="900">
        <f>'COMP. - Quiosque'!N328</f>
        <v>14644.32</v>
      </c>
      <c r="H37" s="495">
        <f t="shared" si="14"/>
        <v>18776.95</v>
      </c>
      <c r="I37" s="496">
        <f t="shared" si="15"/>
        <v>75107.8</v>
      </c>
      <c r="J37" s="497">
        <f t="shared" si="16"/>
        <v>4.9200000000000001E-2</v>
      </c>
      <c r="K37" s="899">
        <v>4</v>
      </c>
      <c r="L37" s="890" t="b">
        <f t="shared" si="2"/>
        <v>1</v>
      </c>
    </row>
    <row r="38" spans="1:12" x14ac:dyDescent="0.25">
      <c r="A38" s="872"/>
      <c r="B38" s="894"/>
      <c r="C38" s="874"/>
      <c r="D38" s="875"/>
      <c r="E38" s="874"/>
      <c r="F38" s="493"/>
      <c r="G38" s="900"/>
      <c r="H38" s="495"/>
      <c r="I38" s="496"/>
      <c r="J38" s="497"/>
      <c r="K38" s="899"/>
      <c r="L38" s="890"/>
    </row>
    <row r="39" spans="1:12" x14ac:dyDescent="0.25">
      <c r="A39" s="897" t="s">
        <v>25068</v>
      </c>
      <c r="B39" s="891" t="s">
        <v>98</v>
      </c>
      <c r="C39" s="891"/>
      <c r="D39" s="727" t="s">
        <v>29</v>
      </c>
      <c r="E39" s="728"/>
      <c r="F39" s="729" t="s">
        <v>98</v>
      </c>
      <c r="G39" s="730"/>
      <c r="H39" s="731"/>
      <c r="I39" s="892">
        <f>SUBTOTAL(9,I40:I43)</f>
        <v>62596.7</v>
      </c>
      <c r="J39" s="893">
        <f>I39/I8</f>
        <v>4.1000000000000002E-2</v>
      </c>
      <c r="K39" s="899"/>
      <c r="L39" s="890"/>
    </row>
    <row r="40" spans="1:12" ht="45" x14ac:dyDescent="0.25">
      <c r="A40" s="872" t="str">
        <f>CONCATENATE(A39,".",1)</f>
        <v>1.6.1</v>
      </c>
      <c r="B40" s="894" t="s">
        <v>2177</v>
      </c>
      <c r="C40" s="874" t="s">
        <v>4379</v>
      </c>
      <c r="D40" s="875" t="str">
        <f>IF($C40="DER-ED",VLOOKUP($B40,'DER-ED'!$A:$H,2,FALSE),IF(C40="DER-RD",VLOOKUP($B40,'DER-RD'!$A:$F,2,FALSE),IF($C40="COMP.","&gt;&gt;&gt;&gt;&gt;&gt;&gt;&gt;&gt;&gt; Digite aqui a descrição e apresente a composição detalhada.","← Escolha o Orgão e digite o Código")))</f>
        <v>Porta de correr de chapa galvanizada nº 14 - pintura com esmalte sintetico acetinado sobre zarcão, com tela quebra chama em malha 2 a 5mm</v>
      </c>
      <c r="E40" s="874" t="str">
        <f>IF($C40="DER-ED",VLOOKUP($B40,'DER-ED'!$A:$H,3,FALSE),IF($C40="DER-RD",LOWER(VLOOKUP($B40,'DER-RD'!$A:$F,3,FALSE)),IF($C40="COMP.","digite"," ")))</f>
        <v>m2</v>
      </c>
      <c r="F40" s="493">
        <f>'MEM QUIOSQUE - MOD 01'!F87</f>
        <v>7.56</v>
      </c>
      <c r="G40" s="494">
        <f>IF($C40="DER-ED",VLOOKUP($B40,'DER-ED'!$A:$H,6,FALSE),IF($C40="DER-RD",VLOOKUP($B40,'DER-RD'!$A:$H,7,FALSE),))</f>
        <v>654.09</v>
      </c>
      <c r="H40" s="495">
        <f t="shared" ref="H40:H43" si="18">G40*(1+($I$3))</f>
        <v>838.67</v>
      </c>
      <c r="I40" s="496">
        <f t="shared" ref="I40:I43" si="19">ROUND((F40*H40),2)</f>
        <v>6340.35</v>
      </c>
      <c r="J40" s="497">
        <f t="shared" ref="J40:J46" si="20">I40/$I$8</f>
        <v>4.1999999999999997E-3</v>
      </c>
      <c r="K40" s="899">
        <v>7.56</v>
      </c>
      <c r="L40" s="890" t="b">
        <f t="shared" si="2"/>
        <v>1</v>
      </c>
    </row>
    <row r="41" spans="1:12" ht="45" x14ac:dyDescent="0.25">
      <c r="A41" s="872" t="str">
        <f>CONCATENATE($A$39,".",RIGHT(A40,LEN(A40)-4)+1)</f>
        <v>1.6.2</v>
      </c>
      <c r="B41" s="894" t="s">
        <v>24756</v>
      </c>
      <c r="C41" s="874" t="s">
        <v>4404</v>
      </c>
      <c r="D41" s="875" t="str">
        <f>'COMP. - Quiosque'!C1263</f>
        <v>PORTA DE ALUMÍNIO DE ABRIR COM LAMBRI, COM GUARNIÇÃO, FIXAÇÃO COM PARAFUSOS - FORNECIMENTO E INSTALAÇÃO.</v>
      </c>
      <c r="E41" s="874" t="str">
        <f>'COMP. - Quiosque'!C1264</f>
        <v>m2</v>
      </c>
      <c r="F41" s="493">
        <f>'MEM QUIOSQUE - MOD 01'!F88</f>
        <v>15.12</v>
      </c>
      <c r="G41" s="494">
        <f>'COMP. - Quiosque'!N1299</f>
        <v>980.7</v>
      </c>
      <c r="H41" s="495">
        <f t="shared" si="18"/>
        <v>1257.45</v>
      </c>
      <c r="I41" s="496">
        <f t="shared" si="19"/>
        <v>19012.64</v>
      </c>
      <c r="J41" s="497">
        <f t="shared" si="20"/>
        <v>1.24E-2</v>
      </c>
      <c r="K41" s="899">
        <v>15.12</v>
      </c>
      <c r="L41" s="890" t="b">
        <f t="shared" si="2"/>
        <v>1</v>
      </c>
    </row>
    <row r="42" spans="1:12" ht="45" x14ac:dyDescent="0.25">
      <c r="A42" s="872" t="str">
        <f t="shared" ref="A42:A43" si="21">CONCATENATE($A$39,".",RIGHT(A41,LEN(A41)-4)+1)</f>
        <v>1.6.3</v>
      </c>
      <c r="B42" s="894" t="s">
        <v>24757</v>
      </c>
      <c r="C42" s="874" t="s">
        <v>4404</v>
      </c>
      <c r="D42" s="875" t="str">
        <f>'COMP. - Quiosque'!C1305</f>
        <v>PORTA DE ALUMÍNIO DE ABRIR COM LAMBRI, COM VENEZIANA, COM GUARNIÇÃO, FIXAÇÃO COM PARAFUSOS - FORNECIMENTO E INSTALAÇÃO.</v>
      </c>
      <c r="E42" s="874" t="str">
        <f>'COMP. - Quiosque'!C1306</f>
        <v>m2</v>
      </c>
      <c r="F42" s="493">
        <f>'MEM QUIOSQUE - MOD 01'!F89</f>
        <v>19.440000000000001</v>
      </c>
      <c r="G42" s="494">
        <f>'COMP. - Quiosque'!N1342</f>
        <v>990.11</v>
      </c>
      <c r="H42" s="495">
        <f t="shared" si="18"/>
        <v>1269.52</v>
      </c>
      <c r="I42" s="496">
        <f t="shared" si="19"/>
        <v>24679.47</v>
      </c>
      <c r="J42" s="497">
        <f t="shared" si="20"/>
        <v>1.6199999999999999E-2</v>
      </c>
      <c r="K42" s="899">
        <v>19.440000000000001</v>
      </c>
      <c r="L42" s="890" t="b">
        <f t="shared" si="2"/>
        <v>1</v>
      </c>
    </row>
    <row r="43" spans="1:12" ht="30" x14ac:dyDescent="0.25">
      <c r="A43" s="872" t="str">
        <f t="shared" si="21"/>
        <v>1.6.4</v>
      </c>
      <c r="B43" s="894" t="s">
        <v>24761</v>
      </c>
      <c r="C43" s="874" t="s">
        <v>4404</v>
      </c>
      <c r="D43" s="875" t="str">
        <f>'COMP. - Quiosque'!C230</f>
        <v xml:space="preserve">Janela de correr com estrutura em metalon e fechamento em chapas de alumínio </v>
      </c>
      <c r="E43" s="874" t="str">
        <f>'COMP. - Quiosque'!C231</f>
        <v>und</v>
      </c>
      <c r="F43" s="493">
        <f>'MEM QUIOSQUE - MOD 01'!F90</f>
        <v>8</v>
      </c>
      <c r="G43" s="494">
        <f>'COMP. - Quiosque'!N274</f>
        <v>1224.8699999999999</v>
      </c>
      <c r="H43" s="495">
        <f t="shared" si="18"/>
        <v>1570.53</v>
      </c>
      <c r="I43" s="496">
        <f t="shared" si="19"/>
        <v>12564.24</v>
      </c>
      <c r="J43" s="497">
        <f t="shared" si="20"/>
        <v>8.2000000000000007E-3</v>
      </c>
      <c r="K43" s="899">
        <v>8</v>
      </c>
      <c r="L43" s="890" t="b">
        <f t="shared" si="2"/>
        <v>1</v>
      </c>
    </row>
    <row r="44" spans="1:12" x14ac:dyDescent="0.25">
      <c r="A44" s="897" t="s">
        <v>25069</v>
      </c>
      <c r="B44" s="891" t="s">
        <v>98</v>
      </c>
      <c r="C44" s="891"/>
      <c r="D44" s="727" t="s">
        <v>25070</v>
      </c>
      <c r="E44" s="728"/>
      <c r="F44" s="729" t="s">
        <v>98</v>
      </c>
      <c r="G44" s="730"/>
      <c r="H44" s="731"/>
      <c r="I44" s="892">
        <f>SUBTOTAL(9,I45:I46)</f>
        <v>130069.64</v>
      </c>
      <c r="J44" s="893">
        <f>I44/I8</f>
        <v>8.5099999999999995E-2</v>
      </c>
      <c r="K44" s="899"/>
      <c r="L44" s="890"/>
    </row>
    <row r="45" spans="1:12" ht="30" x14ac:dyDescent="0.25">
      <c r="A45" s="872" t="str">
        <f>CONCATENATE(A44,".",1)</f>
        <v>1.7.1</v>
      </c>
      <c r="B45" s="894" t="s">
        <v>24758</v>
      </c>
      <c r="C45" s="874" t="s">
        <v>4404</v>
      </c>
      <c r="D45" s="875" t="str">
        <f>'COMP. - Quiosque'!C334</f>
        <v>Pergolado em alumínio branco, inclusive fornecimento e instalação conforme detalhamento em projeto</v>
      </c>
      <c r="E45" s="874" t="str">
        <f>'COMP. - Quiosque'!C335</f>
        <v>und</v>
      </c>
      <c r="F45" s="493">
        <f>'MEM QUIOSQUE - MOD 01'!F92</f>
        <v>4</v>
      </c>
      <c r="G45" s="494">
        <f>'COMP. - Quiosque'!N379</f>
        <v>16828.5</v>
      </c>
      <c r="H45" s="495">
        <f t="shared" ref="H45:H46" si="22">G45*(1+($I$3))</f>
        <v>21577.5</v>
      </c>
      <c r="I45" s="496">
        <f t="shared" ref="I45:I46" si="23">ROUND((F45*H45),2)</f>
        <v>86310</v>
      </c>
      <c r="J45" s="497">
        <f t="shared" si="20"/>
        <v>5.6500000000000002E-2</v>
      </c>
      <c r="K45" s="899">
        <v>4</v>
      </c>
      <c r="L45" s="890" t="b">
        <f t="shared" si="2"/>
        <v>1</v>
      </c>
    </row>
    <row r="46" spans="1:12" ht="30" x14ac:dyDescent="0.25">
      <c r="A46" s="872" t="str">
        <f>CONCATENATE($A$44,".",RIGHT(A45,LEN(A45)-4)+1)</f>
        <v>1.7.2</v>
      </c>
      <c r="B46" s="894" t="s">
        <v>24759</v>
      </c>
      <c r="C46" s="874" t="s">
        <v>4404</v>
      </c>
      <c r="D46" s="875" t="str">
        <f>'COMP. - Quiosque'!C182</f>
        <v>Brise em alumínio branco, perfis verticais 10x15 cm e perfis horizontais 03x10 cm, fornecimento e instalação</v>
      </c>
      <c r="E46" s="874" t="str">
        <f>'COMP. - Quiosque'!C183</f>
        <v>und</v>
      </c>
      <c r="F46" s="493">
        <f>'MEM QUIOSQUE - MOD 01'!F93</f>
        <v>4</v>
      </c>
      <c r="G46" s="877">
        <f>'COMP. - Quiosque'!N224</f>
        <v>8532.14</v>
      </c>
      <c r="H46" s="495">
        <f t="shared" si="22"/>
        <v>10939.91</v>
      </c>
      <c r="I46" s="496">
        <f t="shared" si="23"/>
        <v>43759.64</v>
      </c>
      <c r="J46" s="497">
        <f t="shared" si="20"/>
        <v>2.86E-2</v>
      </c>
      <c r="K46" s="899">
        <v>4</v>
      </c>
      <c r="L46" s="890" t="b">
        <f t="shared" si="2"/>
        <v>1</v>
      </c>
    </row>
    <row r="47" spans="1:12" x14ac:dyDescent="0.25">
      <c r="A47" s="898"/>
      <c r="B47" s="874"/>
      <c r="C47" s="874"/>
      <c r="D47" s="875"/>
      <c r="E47" s="874"/>
      <c r="F47" s="493"/>
      <c r="G47" s="494"/>
      <c r="H47" s="495"/>
      <c r="I47" s="496" t="s">
        <v>98</v>
      </c>
      <c r="J47" s="497"/>
      <c r="K47" s="899">
        <v>0</v>
      </c>
      <c r="L47" s="890" t="b">
        <f t="shared" si="2"/>
        <v>1</v>
      </c>
    </row>
    <row r="48" spans="1:12" x14ac:dyDescent="0.25">
      <c r="A48" s="897" t="s">
        <v>25071</v>
      </c>
      <c r="B48" s="891" t="s">
        <v>98</v>
      </c>
      <c r="C48" s="891"/>
      <c r="D48" s="727" t="s">
        <v>25072</v>
      </c>
      <c r="E48" s="728"/>
      <c r="F48" s="729" t="s">
        <v>98</v>
      </c>
      <c r="G48" s="730"/>
      <c r="H48" s="731"/>
      <c r="I48" s="892">
        <f>SUBTOTAL(9,I49:I49)</f>
        <v>66436.58</v>
      </c>
      <c r="J48" s="893">
        <f>I48/I8</f>
        <v>4.3499999999999997E-2</v>
      </c>
      <c r="K48" s="899"/>
      <c r="L48" s="890"/>
    </row>
    <row r="49" spans="1:12" ht="45" x14ac:dyDescent="0.25">
      <c r="A49" s="872" t="str">
        <f>CONCATENATE(A48,".",1)</f>
        <v>1.8.1</v>
      </c>
      <c r="B49" s="894" t="s">
        <v>24760</v>
      </c>
      <c r="C49" s="874" t="s">
        <v>4404</v>
      </c>
      <c r="D49" s="875" t="str">
        <f>'COMP. - Quiosque'!C1390</f>
        <v>IMPERMEABILIZAÇÃO DE SUPERFÍCIE COM MANTA ASFÁLTICA, DUAS CAMADAS, INCLUSIVE APLICAÇÃO DE PRIMER ASFÁLTICO, E=3MM E E=4MM</v>
      </c>
      <c r="E49" s="874" t="str">
        <f>'COMP. - Quiosque'!C1391</f>
        <v>m2</v>
      </c>
      <c r="F49" s="493">
        <f>'MEM QUIOSQUE - MOD 01'!F95</f>
        <v>223.76</v>
      </c>
      <c r="G49" s="900">
        <f>'COMP. - Quiosque'!N1426</f>
        <v>231.56</v>
      </c>
      <c r="H49" s="495">
        <f t="shared" ref="H49" si="24">G49*(1+($I$3))</f>
        <v>296.91000000000003</v>
      </c>
      <c r="I49" s="496">
        <f t="shared" ref="I49" si="25">ROUND((F49*H49),2)</f>
        <v>66436.58</v>
      </c>
      <c r="J49" s="497">
        <f t="shared" ref="J49" si="26">I49/$I$8</f>
        <v>4.3499999999999997E-2</v>
      </c>
      <c r="K49" s="899">
        <v>223.76</v>
      </c>
      <c r="L49" s="890" t="b">
        <f t="shared" si="2"/>
        <v>1</v>
      </c>
    </row>
    <row r="50" spans="1:12" x14ac:dyDescent="0.25">
      <c r="A50" s="898"/>
      <c r="B50" s="874"/>
      <c r="C50" s="874"/>
      <c r="D50" s="875"/>
      <c r="E50" s="874"/>
      <c r="F50" s="493"/>
      <c r="G50" s="494"/>
      <c r="H50" s="495"/>
      <c r="I50" s="496" t="s">
        <v>98</v>
      </c>
      <c r="J50" s="497"/>
      <c r="K50" s="899"/>
      <c r="L50" s="890"/>
    </row>
    <row r="51" spans="1:12" x14ac:dyDescent="0.25">
      <c r="A51" s="897" t="s">
        <v>25073</v>
      </c>
      <c r="B51" s="891" t="s">
        <v>98</v>
      </c>
      <c r="C51" s="891"/>
      <c r="D51" s="727" t="s">
        <v>25074</v>
      </c>
      <c r="E51" s="728"/>
      <c r="F51" s="729" t="s">
        <v>98</v>
      </c>
      <c r="G51" s="730"/>
      <c r="H51" s="731"/>
      <c r="I51" s="892">
        <f>SUBTOTAL(9,I52:I52)</f>
        <v>29357.91</v>
      </c>
      <c r="J51" s="893">
        <f>I51/I8</f>
        <v>1.9199999999999998E-2</v>
      </c>
      <c r="K51" s="899"/>
      <c r="L51" s="890"/>
    </row>
    <row r="52" spans="1:12" ht="60" x14ac:dyDescent="0.25">
      <c r="A52" s="872" t="str">
        <f>CONCATENATE(A51,".",1)</f>
        <v>1.9.1</v>
      </c>
      <c r="B52" s="894" t="s">
        <v>24896</v>
      </c>
      <c r="C52" s="874" t="s">
        <v>4404</v>
      </c>
      <c r="D52" s="875" t="str">
        <f>'COMP. - Quiosque'!C386</f>
        <v>Impermeabilização sobre bloco de concreto empregando nata de cimento e aditivo impermeabilizante tipo sika 1 ou equivalente, traço 1:1 a duas demãos.</v>
      </c>
      <c r="E52" s="874" t="str">
        <f>'COMP. - Quiosque'!C387</f>
        <v>m2</v>
      </c>
      <c r="F52" s="493">
        <f>'MEM QUIOSQUE - MOD 01'!F97</f>
        <v>621.20000000000005</v>
      </c>
      <c r="G52" s="494">
        <f>'COMP. - Quiosque'!N423</f>
        <v>36.86</v>
      </c>
      <c r="H52" s="495">
        <f t="shared" ref="H52" si="27">G52*(1+($I$3))</f>
        <v>47.26</v>
      </c>
      <c r="I52" s="496">
        <f t="shared" ref="I52" si="28">ROUND((F52*H52),2)</f>
        <v>29357.91</v>
      </c>
      <c r="J52" s="497">
        <f t="shared" ref="J52" si="29">I52/$I$8</f>
        <v>1.9199999999999998E-2</v>
      </c>
      <c r="K52" s="899">
        <v>621.20000000000005</v>
      </c>
      <c r="L52" s="890" t="b">
        <f t="shared" si="2"/>
        <v>1</v>
      </c>
    </row>
    <row r="53" spans="1:12" x14ac:dyDescent="0.25">
      <c r="A53" s="872"/>
      <c r="B53" s="894"/>
      <c r="C53" s="874"/>
      <c r="D53" s="875"/>
      <c r="E53" s="874"/>
      <c r="F53" s="493"/>
      <c r="G53" s="494"/>
      <c r="H53" s="495"/>
      <c r="I53" s="496"/>
      <c r="J53" s="497"/>
      <c r="K53" s="899"/>
      <c r="L53" s="890"/>
    </row>
    <row r="54" spans="1:12" x14ac:dyDescent="0.25">
      <c r="A54" s="897" t="s">
        <v>25075</v>
      </c>
      <c r="B54" s="891" t="s">
        <v>98</v>
      </c>
      <c r="C54" s="891"/>
      <c r="D54" s="727" t="s">
        <v>43</v>
      </c>
      <c r="E54" s="728"/>
      <c r="F54" s="729" t="s">
        <v>98</v>
      </c>
      <c r="G54" s="730"/>
      <c r="H54" s="731"/>
      <c r="I54" s="892">
        <f>SUBTOTAL(9,I55:I57)</f>
        <v>94941.55</v>
      </c>
      <c r="J54" s="893">
        <f>I54/I8</f>
        <v>6.2100000000000002E-2</v>
      </c>
      <c r="K54" s="899"/>
      <c r="L54" s="890"/>
    </row>
    <row r="55" spans="1:12" ht="30" x14ac:dyDescent="0.25">
      <c r="A55" s="872" t="str">
        <f>CONCATENATE(A54,".",1)</f>
        <v>1.10.1</v>
      </c>
      <c r="B55" s="894" t="s">
        <v>1245</v>
      </c>
      <c r="C55" s="874" t="s">
        <v>4379</v>
      </c>
      <c r="D55" s="875" t="str">
        <f>IF($C55="DER-ED",VLOOKUP($B55,'DER-ED'!$A:$H,2,FALSE),IF(C55="DER-RD",VLOOKUP($B55,'DER-RD'!$A:$F,2,FALSE),IF($C55="COMP.","&gt;&gt;&gt;&gt;&gt;&gt;&gt;&gt;&gt;&gt; Digite aqui a descrição e apresente a composição detalhada.","← Escolha o Orgão e digite o Código")))</f>
        <v>Lastro impermeabilizado de concreto não estrutural, espessura de 8cm</v>
      </c>
      <c r="E55" s="874" t="str">
        <f>IF($C55="DER-ED",VLOOKUP($B55,'DER-ED'!$A:$H,3,FALSE),IF($C55="DER-RD",LOWER(VLOOKUP($B55,'DER-RD'!$A:$F,3,FALSE)),IF($C55="COMP.","digite"," ")))</f>
        <v>m2</v>
      </c>
      <c r="F55" s="493">
        <f>'MEM QUIOSQUE - MOD 01'!F99</f>
        <v>107.24</v>
      </c>
      <c r="G55" s="494">
        <f>IF($C55="DER-ED",VLOOKUP($B55,'DER-ED'!$A:$H,6,FALSE),IF($C55="DER-RD",VLOOKUP($B55,'DER-RD'!$A:$H,7,FALSE),))</f>
        <v>66.84</v>
      </c>
      <c r="H55" s="495">
        <f t="shared" ref="H55:H56" si="30">G55*(1+($I$3))</f>
        <v>85.7</v>
      </c>
      <c r="I55" s="496">
        <f t="shared" ref="I55:I56" si="31">ROUND((F55*H55),2)</f>
        <v>9190.4699999999993</v>
      </c>
      <c r="J55" s="497">
        <f t="shared" ref="J55:J56" si="32">I55/$I$8</f>
        <v>6.0000000000000001E-3</v>
      </c>
      <c r="K55" s="899">
        <v>107.24</v>
      </c>
      <c r="L55" s="890" t="b">
        <f t="shared" si="2"/>
        <v>1</v>
      </c>
    </row>
    <row r="56" spans="1:12" ht="30" x14ac:dyDescent="0.25">
      <c r="A56" s="872" t="str">
        <f>CONCATENATE($A$54,".",RIGHT(A55,LEN(A55)-5)+1)</f>
        <v>1.10.2</v>
      </c>
      <c r="B56" s="894" t="s">
        <v>24863</v>
      </c>
      <c r="C56" s="874" t="s">
        <v>4404</v>
      </c>
      <c r="D56" s="875" t="str">
        <f>'COMP. - Quiosque'!C430</f>
        <v>Piso de concreto polido, espessura 3 cm, inclusive junta plástica de 17x3 mm</v>
      </c>
      <c r="E56" s="874" t="str">
        <f>'COMP. - Quiosque'!C431</f>
        <v>m2</v>
      </c>
      <c r="F56" s="493">
        <f>'MEM QUIOSQUE - MOD 01'!F100</f>
        <v>574.76</v>
      </c>
      <c r="G56" s="877">
        <f>'COMP. - Quiosque'!N471</f>
        <v>110.25</v>
      </c>
      <c r="H56" s="495">
        <f t="shared" si="30"/>
        <v>141.36000000000001</v>
      </c>
      <c r="I56" s="496">
        <f t="shared" si="31"/>
        <v>81248.070000000007</v>
      </c>
      <c r="J56" s="497">
        <f t="shared" si="32"/>
        <v>5.3199999999999997E-2</v>
      </c>
      <c r="K56" s="899">
        <v>574.76</v>
      </c>
      <c r="L56" s="890" t="b">
        <f t="shared" si="2"/>
        <v>1</v>
      </c>
    </row>
    <row r="57" spans="1:12" ht="45" x14ac:dyDescent="0.25">
      <c r="A57" s="872" t="str">
        <f>CONCATENATE($A$54,".",RIGHT(A56,LEN(A56)-5)+1)</f>
        <v>1.10.3</v>
      </c>
      <c r="B57" s="894" t="s">
        <v>2550</v>
      </c>
      <c r="C57" s="902" t="s">
        <v>4379</v>
      </c>
      <c r="D57" s="875" t="str">
        <f>IF($C57="DER-ED",VLOOKUP($B57,'DER-ED'!$A:$H,2,FALSE),IF(C57="DER-RD",VLOOKUP($B57,'DER-RD'!$A:$F,2,FALSE),IF($C57="COMP.","&gt;&gt;&gt;&gt;&gt;&gt;&gt;&gt;&gt;&gt; Digite aqui a descrição e apresente a composição detalhada.","← Escolha o Orgão e digite o Código")))</f>
        <v>Pintura com tinta à base de resinas acrílicas, marcas de referência Suvinil, Coral ou Metalatex, sobre piso de concreto, a duas demãos</v>
      </c>
      <c r="E57" s="874" t="str">
        <f>IF($C57="DER-ED",VLOOKUP($B57,'DER-ED'!$A:$H,3,FALSE),IF($C57="DER-RD",LOWER(VLOOKUP($B57,'DER-RD'!$A:$F,3,FALSE)),IF($C57="COMP.","digite"," ")))</f>
        <v>m2</v>
      </c>
      <c r="F57" s="493">
        <f>'MEM QUIOSQUE - MOD 01'!F103</f>
        <v>107.24</v>
      </c>
      <c r="G57" s="494">
        <f>IF($C57="DER-ED",VLOOKUP($B57,'DER-ED'!$A:$H,6,FALSE),IF($C57="DER-RD",VLOOKUP($B57,'DER-RD'!$A:$H,7,FALSE),))</f>
        <v>32.75</v>
      </c>
      <c r="H57" s="495">
        <f t="shared" ref="H57" si="33">G57*(1+($I$3))</f>
        <v>41.99</v>
      </c>
      <c r="I57" s="496">
        <f t="shared" ref="I57" si="34">ROUND((F57*H57),2)</f>
        <v>4503.01</v>
      </c>
      <c r="J57" s="497">
        <f t="shared" ref="J57" si="35">I57/$I$8</f>
        <v>2.8999999999999998E-3</v>
      </c>
      <c r="K57" s="899">
        <v>107.24</v>
      </c>
      <c r="L57" s="890" t="b">
        <f t="shared" si="2"/>
        <v>1</v>
      </c>
    </row>
    <row r="58" spans="1:12" x14ac:dyDescent="0.25">
      <c r="A58" s="901"/>
      <c r="B58" s="894"/>
      <c r="C58" s="902"/>
      <c r="D58" s="903"/>
      <c r="E58" s="902"/>
      <c r="F58" s="493"/>
      <c r="G58" s="904"/>
      <c r="H58" s="495"/>
      <c r="I58" s="496"/>
      <c r="J58" s="497"/>
      <c r="K58" s="899"/>
      <c r="L58" s="890"/>
    </row>
    <row r="59" spans="1:12" x14ac:dyDescent="0.25">
      <c r="A59" s="905" t="s">
        <v>25076</v>
      </c>
      <c r="B59" s="891" t="s">
        <v>98</v>
      </c>
      <c r="C59" s="906"/>
      <c r="D59" s="907" t="s">
        <v>44</v>
      </c>
      <c r="E59" s="906"/>
      <c r="F59" s="908"/>
      <c r="G59" s="909"/>
      <c r="H59" s="910"/>
      <c r="I59" s="892">
        <f>(I60+I64+I94+I124+I133)</f>
        <v>195847.76</v>
      </c>
      <c r="J59" s="893">
        <f>I59/I8</f>
        <v>0.12820000000000001</v>
      </c>
      <c r="K59" s="899"/>
      <c r="L59" s="890"/>
    </row>
    <row r="60" spans="1:12" x14ac:dyDescent="0.25">
      <c r="A60" s="898" t="s">
        <v>98</v>
      </c>
      <c r="B60" s="911" t="s">
        <v>98</v>
      </c>
      <c r="C60" s="911"/>
      <c r="D60" s="912" t="s">
        <v>45</v>
      </c>
      <c r="E60" s="874"/>
      <c r="F60" s="493"/>
      <c r="G60" s="494"/>
      <c r="H60" s="495"/>
      <c r="I60" s="913">
        <f>SUM(I61:I63)</f>
        <v>53080.480000000003</v>
      </c>
      <c r="J60" s="914"/>
      <c r="K60" s="899"/>
      <c r="L60" s="890"/>
    </row>
    <row r="61" spans="1:12" ht="75" x14ac:dyDescent="0.25">
      <c r="A61" s="872" t="str">
        <f>CONCATENATE(A59,".",1)</f>
        <v>1.11.1</v>
      </c>
      <c r="B61" s="894" t="s">
        <v>1328</v>
      </c>
      <c r="C61" s="874" t="s">
        <v>4379</v>
      </c>
      <c r="D61" s="875" t="str">
        <f>IF($C61="DER-ED",VLOOKUP($B61,'DER-ED'!$A:$H,2,FALSE),IF(C61="DER-RD",VLOOKUP($B61,'DER-RD'!$A:$F,2,FALSE),IF($C61="COMP.","&gt;&gt;&gt;&gt;&gt;&gt;&gt;&gt;&gt;&gt; Digite aqui a descrição e apresente a composição detalhada.","← Escolha o Orgão e digite o Código")))</f>
        <v>Padrão de entrada d'água com caixa termoplástica para hidrômetro de 3/4" - padrão 1B da CESAN. Instalado embutido na alvenaria. Inclusive tubulação, conexões, registro, tubo camisa e caixa com tampa transparente. Conferir detalhe.</v>
      </c>
      <c r="E61" s="874" t="str">
        <f>IF($C61="DER-ED",VLOOKUP($B61,'DER-ED'!$A:$H,3,FALSE),IF($C61="DER-RD",LOWER(VLOOKUP($B61,'DER-RD'!$A:$F,3,FALSE)),IF($C61="COMP.","digite"," ")))</f>
        <v>und</v>
      </c>
      <c r="F61" s="493">
        <f>'MEM QUIOSQUE - MOD 01'!F107</f>
        <v>4</v>
      </c>
      <c r="G61" s="494">
        <f>IF($C61="DER-ED",VLOOKUP($B61,'DER-ED'!$A:$H,6,FALSE),IF($C61="DER-RD",VLOOKUP($B61,'DER-RD'!$A:$H,7,FALSE),))</f>
        <v>447.18</v>
      </c>
      <c r="H61" s="495">
        <f t="shared" ref="H61:H63" si="36">G61*(1+($I$3))</f>
        <v>573.37</v>
      </c>
      <c r="I61" s="496">
        <f t="shared" ref="I61:I63" si="37">ROUND((F61*H61),2)</f>
        <v>2293.48</v>
      </c>
      <c r="J61" s="497">
        <f t="shared" ref="J61:J126" si="38">I61/$I$8</f>
        <v>1.5E-3</v>
      </c>
      <c r="K61" s="899">
        <v>4</v>
      </c>
      <c r="L61" s="890" t="b">
        <f t="shared" si="2"/>
        <v>1</v>
      </c>
    </row>
    <row r="62" spans="1:12" ht="60" x14ac:dyDescent="0.25">
      <c r="A62" s="872" t="str">
        <f>CONCATENATE($A$59,".",RIGHT(A61,LEN(A61)-5)+1)</f>
        <v>1.11.2</v>
      </c>
      <c r="B62" s="894" t="s">
        <v>736</v>
      </c>
      <c r="C62" s="874" t="s">
        <v>4379</v>
      </c>
      <c r="D62" s="875" t="str">
        <f>IF($C62="DER-ED",VLOOKUP($B62,'DER-ED'!$A:$H,2,FALSE),IF(C62="DER-RD",VLOOKUP($B62,'DER-RD'!$A:$F,2,FALSE),IF($C62="COMP.","&gt;&gt;&gt;&gt;&gt;&gt;&gt;&gt;&gt;&gt; Digite aqui a descrição e apresente a composição detalhada.","← Escolha o Orgão e digite o Código")))</f>
        <v>Rede de água com padrão de entrada d'água diâm. 3/4", conf. espec. CESAN, incl. tubos e conexões para alimentação, distribuição, extravasor e limpeza, cons. o padrão a 25m, conf. projeto (1 utilização)</v>
      </c>
      <c r="E62" s="874" t="str">
        <f>IF($C62="DER-ED",VLOOKUP($B62,'DER-ED'!$A:$H,3,FALSE),IF($C62="DER-RD",LOWER(VLOOKUP($B62,'DER-RD'!$A:$F,3,FALSE)),IF($C62="COMP.","digite"," ")))</f>
        <v>m</v>
      </c>
      <c r="F62" s="493">
        <f>'MEM QUIOSQUE - MOD 01'!F108</f>
        <v>100</v>
      </c>
      <c r="G62" s="494">
        <f>IF($C62="DER-ED",VLOOKUP($B62,'DER-ED'!$A:$H,6,FALSE),IF($C62="DER-RD",VLOOKUP($B62,'DER-RD'!$A:$H,7,FALSE),))</f>
        <v>47.52</v>
      </c>
      <c r="H62" s="495">
        <f t="shared" si="36"/>
        <v>60.93</v>
      </c>
      <c r="I62" s="496">
        <f t="shared" si="37"/>
        <v>6093</v>
      </c>
      <c r="J62" s="497">
        <f t="shared" si="38"/>
        <v>4.0000000000000001E-3</v>
      </c>
      <c r="K62" s="899">
        <v>100</v>
      </c>
      <c r="L62" s="890" t="b">
        <f t="shared" si="2"/>
        <v>1</v>
      </c>
    </row>
    <row r="63" spans="1:12" ht="45" x14ac:dyDescent="0.25">
      <c r="A63" s="872" t="str">
        <f>CONCATENATE($A$59,".",RIGHT(A62,LEN(A62)-5)+1)</f>
        <v>1.11.3</v>
      </c>
      <c r="B63" s="894" t="s">
        <v>738</v>
      </c>
      <c r="C63" s="874" t="s">
        <v>4379</v>
      </c>
      <c r="D63" s="875" t="str">
        <f>IF($C63="DER-ED",VLOOKUP($B63,'DER-ED'!$A:$H,2,FALSE),IF(C63="DER-RD",VLOOKUP($B63,'DER-RD'!$A:$F,2,FALSE),IF($C63="COMP.","&gt;&gt;&gt;&gt;&gt;&gt;&gt;&gt;&gt;&gt; Digite aqui a descrição e apresente a composição detalhada.","← Escolha o Orgão e digite o Código")))</f>
        <v>Rede de esgoto, contendo fossa e filtro, inclusive tubos e conexões de ligação entre caixas, considerando distância de 25m, conforme projeto (1 utilização)</v>
      </c>
      <c r="E63" s="874" t="str">
        <f>IF($C63="DER-ED",VLOOKUP($B63,'DER-ED'!$A:$H,3,FALSE),IF($C63="DER-RD",LOWER(VLOOKUP($B63,'DER-RD'!$A:$F,3,FALSE)),IF($C63="COMP.","digite"," ")))</f>
        <v>m</v>
      </c>
      <c r="F63" s="493">
        <f>'MEM QUIOSQUE - MOD 01'!F109</f>
        <v>100</v>
      </c>
      <c r="G63" s="494">
        <f>IF($C63="DER-ED",VLOOKUP($B63,'DER-ED'!$A:$H,6,FALSE),IF($C63="DER-RD",VLOOKUP($B63,'DER-RD'!$A:$H,7,FALSE),))</f>
        <v>348.57</v>
      </c>
      <c r="H63" s="495">
        <f t="shared" si="36"/>
        <v>446.94</v>
      </c>
      <c r="I63" s="496">
        <f t="shared" si="37"/>
        <v>44694</v>
      </c>
      <c r="J63" s="497">
        <f t="shared" si="38"/>
        <v>2.93E-2</v>
      </c>
      <c r="K63" s="899">
        <v>100</v>
      </c>
      <c r="L63" s="890" t="b">
        <f t="shared" si="2"/>
        <v>1</v>
      </c>
    </row>
    <row r="64" spans="1:12" x14ac:dyDescent="0.25">
      <c r="A64" s="872"/>
      <c r="B64" s="894"/>
      <c r="C64" s="874"/>
      <c r="D64" s="912" t="s">
        <v>25077</v>
      </c>
      <c r="E64" s="874"/>
      <c r="F64" s="493"/>
      <c r="G64" s="494"/>
      <c r="H64" s="495"/>
      <c r="I64" s="913">
        <f>SUM(I65:I93)</f>
        <v>35499.300000000003</v>
      </c>
      <c r="J64" s="914"/>
      <c r="K64" s="899"/>
      <c r="L64" s="890"/>
    </row>
    <row r="65" spans="1:12" ht="30" x14ac:dyDescent="0.25">
      <c r="A65" s="872" t="str">
        <f>CONCATENATE($A$59,".",RIGHT(A63,LEN(A63)-5)+1)</f>
        <v>1.11.4</v>
      </c>
      <c r="B65" s="894" t="s">
        <v>1425</v>
      </c>
      <c r="C65" s="874" t="s">
        <v>4379</v>
      </c>
      <c r="D65" s="875" t="str">
        <f>IF($C65="DER-ED",VLOOKUP($B65,'DER-ED'!$A:$H,2,FALSE),IF(C65="DER-RD",VLOOKUP($B65,'DER-RD'!$A:$F,2,FALSE),IF($C65="COMP.","&gt;&gt;&gt;&gt;&gt;&gt;&gt;&gt;&gt;&gt; Digite aqui a descrição e apresente a composição detalhada.","← Escolha o Orgão e digite o Código")))</f>
        <v>Tubo de PVC rígido soldável marrom, diâm. 50mm (11/2"), inclusive conexões</v>
      </c>
      <c r="E65" s="874" t="str">
        <f>IF($C65="DER-ED",VLOOKUP($B65,'DER-ED'!$A:$H,3,FALSE),IF($C65="DER-RD",LOWER(VLOOKUP($B65,'DER-RD'!$A:$F,3,FALSE)),IF($C65="COMP.","digite"," ")))</f>
        <v>m</v>
      </c>
      <c r="F65" s="493">
        <f>'MEM QUIOSQUE - MOD 01'!F111</f>
        <v>60.76</v>
      </c>
      <c r="G65" s="494">
        <f>IF($C65="DER-ED",VLOOKUP($B65,'DER-ED'!$A:$H,6,FALSE),IF($C65="DER-RD",VLOOKUP($B65,'DER-RD'!$A:$H,7,FALSE),))</f>
        <v>53.03</v>
      </c>
      <c r="H65" s="495">
        <f t="shared" ref="H65:H123" si="39">G65*(1+($I$3))</f>
        <v>68</v>
      </c>
      <c r="I65" s="496">
        <f t="shared" ref="I65:I123" si="40">ROUND((F65*H65),2)</f>
        <v>4131.68</v>
      </c>
      <c r="J65" s="497">
        <f t="shared" si="38"/>
        <v>2.7000000000000001E-3</v>
      </c>
      <c r="K65" s="899">
        <v>60.76</v>
      </c>
      <c r="L65" s="890" t="b">
        <f t="shared" si="2"/>
        <v>1</v>
      </c>
    </row>
    <row r="66" spans="1:12" ht="30" x14ac:dyDescent="0.25">
      <c r="A66" s="872" t="str">
        <f>CONCATENATE($A$59,".",RIGHT(A65,LEN(A65)-5)+1)</f>
        <v>1.11.5</v>
      </c>
      <c r="B66" s="894" t="s">
        <v>1421</v>
      </c>
      <c r="C66" s="874" t="s">
        <v>4379</v>
      </c>
      <c r="D66" s="875" t="str">
        <f>IF($C66="DER-ED",VLOOKUP($B66,'DER-ED'!$A:$H,2,FALSE),IF(C66="DER-RD",VLOOKUP($B66,'DER-RD'!$A:$F,2,FALSE),IF($C66="COMP.","&gt;&gt;&gt;&gt;&gt;&gt;&gt;&gt;&gt;&gt; Digite aqui a descrição e apresente a composição detalhada.","← Escolha o Orgão e digite o Código")))</f>
        <v>Tubo de PVC rigido soldável marrom, diâm. 32mm (1"), inclusive conexões</v>
      </c>
      <c r="E66" s="874" t="str">
        <f>IF($C66="DER-ED",VLOOKUP($B66,'DER-ED'!$A:$H,3,FALSE),IF($C66="DER-RD",LOWER(VLOOKUP($B66,'DER-RD'!$A:$F,3,FALSE)),IF($C66="COMP.","digite"," ")))</f>
        <v>m</v>
      </c>
      <c r="F66" s="493">
        <f>'MEM QUIOSQUE - MOD 01'!F112</f>
        <v>48.44</v>
      </c>
      <c r="G66" s="494">
        <f>IF($C66="DER-ED",VLOOKUP($B66,'DER-ED'!$A:$H,6,FALSE),IF($C66="DER-RD",VLOOKUP($B66,'DER-RD'!$A:$H,7,FALSE),))</f>
        <v>33.51</v>
      </c>
      <c r="H66" s="495">
        <f t="shared" si="39"/>
        <v>42.97</v>
      </c>
      <c r="I66" s="496">
        <f t="shared" si="40"/>
        <v>2081.4699999999998</v>
      </c>
      <c r="J66" s="497">
        <f t="shared" si="38"/>
        <v>1.4E-3</v>
      </c>
      <c r="K66" s="899">
        <v>48.44</v>
      </c>
      <c r="L66" s="890" t="b">
        <f t="shared" si="2"/>
        <v>1</v>
      </c>
    </row>
    <row r="67" spans="1:12" ht="30" x14ac:dyDescent="0.25">
      <c r="A67" s="872" t="str">
        <f t="shared" ref="A67:A93" si="41">CONCATENATE($A$59,".",RIGHT(A66,LEN(A66)-5)+1)</f>
        <v>1.11.6</v>
      </c>
      <c r="B67" s="894" t="s">
        <v>1417</v>
      </c>
      <c r="C67" s="874" t="s">
        <v>4379</v>
      </c>
      <c r="D67" s="875" t="str">
        <f>IF($C67="DER-ED",VLOOKUP($B67,'DER-ED'!$A:$H,2,FALSE),IF(C67="DER-RD",VLOOKUP($B67,'DER-RD'!$A:$F,2,FALSE),IF($C67="COMP.","&gt;&gt;&gt;&gt;&gt;&gt;&gt;&gt;&gt;&gt; Digite aqui a descrição e apresente a composição detalhada.","← Escolha o Orgão e digite o Código")))</f>
        <v>Tubo de PVC rígido soldável marrom, diâm. 20mm (1/2"), inclusive conexões</v>
      </c>
      <c r="E67" s="874" t="str">
        <f>IF($C67="DER-ED",VLOOKUP($B67,'DER-ED'!$A:$H,3,FALSE),IF($C67="DER-RD",LOWER(VLOOKUP($B67,'DER-RD'!$A:$F,3,FALSE)),IF($C67="COMP.","digite"," ")))</f>
        <v>m</v>
      </c>
      <c r="F67" s="493">
        <f>'MEM QUIOSQUE - MOD 01'!F113</f>
        <v>121.28</v>
      </c>
      <c r="G67" s="494">
        <f>IF($C67="DER-ED",VLOOKUP($B67,'DER-ED'!$A:$H,6,FALSE),IF($C67="DER-RD",VLOOKUP($B67,'DER-RD'!$A:$H,7,FALSE),))</f>
        <v>19.510000000000002</v>
      </c>
      <c r="H67" s="495">
        <f t="shared" si="39"/>
        <v>25.02</v>
      </c>
      <c r="I67" s="496">
        <f t="shared" si="40"/>
        <v>3034.43</v>
      </c>
      <c r="J67" s="497">
        <f t="shared" si="38"/>
        <v>2E-3</v>
      </c>
      <c r="K67" s="899">
        <v>121.28</v>
      </c>
      <c r="L67" s="890" t="b">
        <f t="shared" si="2"/>
        <v>1</v>
      </c>
    </row>
    <row r="68" spans="1:12" ht="30" x14ac:dyDescent="0.25">
      <c r="A68" s="872" t="str">
        <f t="shared" si="41"/>
        <v>1.11.7</v>
      </c>
      <c r="B68" s="894" t="s">
        <v>25078</v>
      </c>
      <c r="C68" s="874" t="s">
        <v>25079</v>
      </c>
      <c r="D68" s="875" t="s">
        <v>25080</v>
      </c>
      <c r="E68" s="874" t="s">
        <v>8</v>
      </c>
      <c r="F68" s="493">
        <f>'MEM QUIOSQUE - MOD 01'!F114</f>
        <v>4</v>
      </c>
      <c r="G68" s="494">
        <v>116.96</v>
      </c>
      <c r="H68" s="495">
        <f t="shared" si="39"/>
        <v>149.97</v>
      </c>
      <c r="I68" s="496">
        <f t="shared" si="40"/>
        <v>599.88</v>
      </c>
      <c r="J68" s="497">
        <f t="shared" si="38"/>
        <v>4.0000000000000002E-4</v>
      </c>
      <c r="K68" s="899">
        <v>4</v>
      </c>
      <c r="L68" s="890" t="b">
        <f t="shared" si="2"/>
        <v>1</v>
      </c>
    </row>
    <row r="69" spans="1:12" ht="30" x14ac:dyDescent="0.25">
      <c r="A69" s="872" t="str">
        <f t="shared" si="41"/>
        <v>1.11.8</v>
      </c>
      <c r="B69" s="894" t="s">
        <v>25081</v>
      </c>
      <c r="C69" s="874" t="s">
        <v>25079</v>
      </c>
      <c r="D69" s="875" t="s">
        <v>25082</v>
      </c>
      <c r="E69" s="874" t="s">
        <v>8</v>
      </c>
      <c r="F69" s="493">
        <f>'MEM QUIOSQUE - MOD 01'!F115</f>
        <v>16</v>
      </c>
      <c r="G69" s="494">
        <v>54.41</v>
      </c>
      <c r="H69" s="495">
        <f t="shared" si="39"/>
        <v>69.760000000000005</v>
      </c>
      <c r="I69" s="496">
        <f t="shared" si="40"/>
        <v>1116.1600000000001</v>
      </c>
      <c r="J69" s="497">
        <f t="shared" si="38"/>
        <v>6.9999999999999999E-4</v>
      </c>
      <c r="K69" s="899">
        <v>16</v>
      </c>
      <c r="L69" s="890" t="b">
        <f t="shared" si="2"/>
        <v>1</v>
      </c>
    </row>
    <row r="70" spans="1:12" x14ac:dyDescent="0.25">
      <c r="A70" s="872" t="str">
        <f t="shared" si="41"/>
        <v>1.11.9</v>
      </c>
      <c r="B70" s="894" t="s">
        <v>24897</v>
      </c>
      <c r="C70" s="874" t="s">
        <v>4404</v>
      </c>
      <c r="D70" s="875" t="str">
        <f>'COMP. - Quiosque'!C93</f>
        <v>Adaptador Flange Soldável p/ Caixa Dágua 20 mm X 1/2</v>
      </c>
      <c r="E70" s="874" t="str">
        <f>'COMP. - Quiosque'!C94</f>
        <v>und</v>
      </c>
      <c r="F70" s="493">
        <f>'MEM QUIOSQUE - MOD 01'!F116</f>
        <v>8</v>
      </c>
      <c r="G70" s="494">
        <f>'COMP. - Quiosque'!N132</f>
        <v>24.86</v>
      </c>
      <c r="H70" s="495">
        <f t="shared" si="39"/>
        <v>31.88</v>
      </c>
      <c r="I70" s="496">
        <f t="shared" si="40"/>
        <v>255.04</v>
      </c>
      <c r="J70" s="497">
        <f t="shared" si="38"/>
        <v>2.0000000000000001E-4</v>
      </c>
      <c r="K70" s="899">
        <v>8</v>
      </c>
      <c r="L70" s="890" t="b">
        <f t="shared" si="2"/>
        <v>1</v>
      </c>
    </row>
    <row r="71" spans="1:12" ht="60" x14ac:dyDescent="0.25">
      <c r="A71" s="872" t="str">
        <f t="shared" si="41"/>
        <v>1.11.10</v>
      </c>
      <c r="B71" s="894" t="s">
        <v>24778</v>
      </c>
      <c r="C71" s="874" t="s">
        <v>4404</v>
      </c>
      <c r="D71" s="875" t="str">
        <f>'COMP. - Quiosque'!C1432</f>
        <v>ADAPTADOR CURTO COM BOLSA E ROSCA PARA REGISTRO, PVC, SOLDÁVEL, DN 32MM X 1, INSTALADO EM RAMAL OU SUB-RAMAL DE ÁGUA - FORNECIMENTO E INSTALAÇÃO.</v>
      </c>
      <c r="E71" s="874" t="str">
        <f>'COMP. - Quiosque'!C1433</f>
        <v>UND</v>
      </c>
      <c r="F71" s="493">
        <f>'MEM QUIOSQUE - MOD 01'!F117</f>
        <v>48</v>
      </c>
      <c r="G71" s="900">
        <f>'COMP. - Quiosque'!N1468</f>
        <v>10.119999999999999</v>
      </c>
      <c r="H71" s="495">
        <f t="shared" si="39"/>
        <v>12.98</v>
      </c>
      <c r="I71" s="496">
        <f t="shared" si="40"/>
        <v>623.04</v>
      </c>
      <c r="J71" s="497">
        <f t="shared" si="38"/>
        <v>4.0000000000000002E-4</v>
      </c>
      <c r="K71" s="899">
        <v>48</v>
      </c>
      <c r="L71" s="890" t="b">
        <f t="shared" si="2"/>
        <v>1</v>
      </c>
    </row>
    <row r="72" spans="1:12" ht="60" x14ac:dyDescent="0.25">
      <c r="A72" s="872" t="str">
        <f t="shared" si="41"/>
        <v>1.11.11</v>
      </c>
      <c r="B72" s="894" t="s">
        <v>24779</v>
      </c>
      <c r="C72" s="874" t="s">
        <v>4404</v>
      </c>
      <c r="D72" s="875" t="str">
        <f>'COMP. - Quiosque'!C1473</f>
        <v>ADAPTADOR CURTO COM BOLSA E ROSCA PARA REGISTRO, PVC, SOLDÁVEL, DN 60MM X 2, INSTALADO EM PRUMADA DE ÁGUA - FORNECIMENTO E INSTALAÇÃO.</v>
      </c>
      <c r="E72" s="874" t="str">
        <f>'COMP. - Quiosque'!C1474</f>
        <v>UND</v>
      </c>
      <c r="F72" s="493">
        <f>'MEM QUIOSQUE - MOD 01'!F118</f>
        <v>32</v>
      </c>
      <c r="G72" s="900">
        <f>'COMP. - Quiosque'!N1509</f>
        <v>26.7</v>
      </c>
      <c r="H72" s="495">
        <f t="shared" si="39"/>
        <v>34.229999999999997</v>
      </c>
      <c r="I72" s="496">
        <f t="shared" si="40"/>
        <v>1095.3599999999999</v>
      </c>
      <c r="J72" s="497">
        <f t="shared" si="38"/>
        <v>6.9999999999999999E-4</v>
      </c>
      <c r="K72" s="899">
        <v>32</v>
      </c>
      <c r="L72" s="890" t="b">
        <f t="shared" si="2"/>
        <v>1</v>
      </c>
    </row>
    <row r="73" spans="1:12" ht="51" customHeight="1" x14ac:dyDescent="0.25">
      <c r="A73" s="872" t="str">
        <f t="shared" si="41"/>
        <v>1.11.12</v>
      </c>
      <c r="B73" s="894" t="s">
        <v>24782</v>
      </c>
      <c r="C73" s="874" t="s">
        <v>4404</v>
      </c>
      <c r="D73" s="875" t="str">
        <f>'COMP. - Quiosque'!C1515</f>
        <v>ADAPTADOR CURTO COM BOLSA E ROSCA PARA REGISTRO, PVC, SOLDÁVEL, DN 50MM X 1.1/2, INSTALADO EM PRUMADA DE ÁGUA - FORNECIMENTO E INSTALAÇÃO.</v>
      </c>
      <c r="E73" s="874" t="str">
        <f>'COMP. - Quiosque'!C1516</f>
        <v>UND</v>
      </c>
      <c r="F73" s="493">
        <f>'MEM QUIOSQUE - MOD 01'!F119</f>
        <v>16</v>
      </c>
      <c r="G73" s="900">
        <f>'COMP. - Quiosque'!N1551</f>
        <v>13.24</v>
      </c>
      <c r="H73" s="495">
        <f t="shared" si="39"/>
        <v>16.98</v>
      </c>
      <c r="I73" s="496">
        <f t="shared" si="40"/>
        <v>271.68</v>
      </c>
      <c r="J73" s="497">
        <f t="shared" si="38"/>
        <v>2.0000000000000001E-4</v>
      </c>
      <c r="K73" s="899">
        <v>16</v>
      </c>
      <c r="L73" s="890" t="b">
        <f t="shared" si="2"/>
        <v>1</v>
      </c>
    </row>
    <row r="74" spans="1:12" ht="51" customHeight="1" x14ac:dyDescent="0.25">
      <c r="A74" s="872" t="str">
        <f t="shared" si="41"/>
        <v>1.11.13</v>
      </c>
      <c r="B74" s="894" t="s">
        <v>24783</v>
      </c>
      <c r="C74" s="874" t="s">
        <v>4404</v>
      </c>
      <c r="D74" s="875" t="str">
        <f>'COMP. - Quiosque'!C1557</f>
        <v>ADAPTADOR CURTO COM BOLSA E ROSCA PARA REGISTRO, PVC, SOLDÁVEL, DN 40MM X 1.1/4, INSTALADO EM PRUMADA DE ÁGUA - FORNECIMENTO E INSTALAÇÃO.</v>
      </c>
      <c r="E74" s="874" t="str">
        <f>'COMP. - Quiosque'!C1558</f>
        <v>UND</v>
      </c>
      <c r="F74" s="493">
        <f>'MEM QUIOSQUE - MOD 01'!F120</f>
        <v>8</v>
      </c>
      <c r="G74" s="900">
        <f>'COMP. - Quiosque'!N1593</f>
        <v>10.14</v>
      </c>
      <c r="H74" s="495">
        <f t="shared" si="39"/>
        <v>13</v>
      </c>
      <c r="I74" s="496">
        <f t="shared" si="40"/>
        <v>104</v>
      </c>
      <c r="J74" s="497">
        <f t="shared" si="38"/>
        <v>1E-4</v>
      </c>
      <c r="K74" s="899">
        <v>8</v>
      </c>
      <c r="L74" s="890" t="b">
        <f t="shared" si="2"/>
        <v>1</v>
      </c>
    </row>
    <row r="75" spans="1:12" ht="45" x14ac:dyDescent="0.25">
      <c r="A75" s="872" t="str">
        <f t="shared" si="41"/>
        <v>1.11.14</v>
      </c>
      <c r="B75" s="894" t="s">
        <v>25083</v>
      </c>
      <c r="C75" s="874" t="s">
        <v>25079</v>
      </c>
      <c r="D75" s="875" t="s">
        <v>25084</v>
      </c>
      <c r="E75" s="874" t="s">
        <v>83</v>
      </c>
      <c r="F75" s="493">
        <f>'MEM QUIOSQUE - MOD 01'!F121</f>
        <v>12</v>
      </c>
      <c r="G75" s="915">
        <v>6.84</v>
      </c>
      <c r="H75" s="495">
        <f t="shared" si="39"/>
        <v>8.77</v>
      </c>
      <c r="I75" s="496">
        <f t="shared" si="40"/>
        <v>105.24</v>
      </c>
      <c r="J75" s="497">
        <f t="shared" si="38"/>
        <v>1E-4</v>
      </c>
      <c r="K75" s="899">
        <v>12</v>
      </c>
      <c r="L75" s="890" t="b">
        <f t="shared" ref="L75:L138" si="42">F75=K75</f>
        <v>1</v>
      </c>
    </row>
    <row r="76" spans="1:12" ht="45" x14ac:dyDescent="0.25">
      <c r="A76" s="872" t="str">
        <f t="shared" si="41"/>
        <v>1.11.15</v>
      </c>
      <c r="B76" s="894" t="s">
        <v>24787</v>
      </c>
      <c r="C76" s="874" t="s">
        <v>4404</v>
      </c>
      <c r="D76" s="875" t="str">
        <f>'COMP. - Quiosque'!C1599</f>
        <v>CURVA 90 GRAUS, PVC, SOLDÁVEL, DN 50MM, INSTALADO EM PRUMADA DE ÁGUA - FORNECIMENTO E INSTALAÇÃO.</v>
      </c>
      <c r="E76" s="874" t="str">
        <f>'COMP. - Quiosque'!C1600</f>
        <v>UND</v>
      </c>
      <c r="F76" s="493">
        <f>'MEM QUIOSQUE - MOD 01'!F122</f>
        <v>24</v>
      </c>
      <c r="G76" s="900">
        <f>'COMP. - Quiosque'!N1635</f>
        <v>31.69</v>
      </c>
      <c r="H76" s="495">
        <f t="shared" si="39"/>
        <v>40.630000000000003</v>
      </c>
      <c r="I76" s="496">
        <f t="shared" si="40"/>
        <v>975.12</v>
      </c>
      <c r="J76" s="497">
        <f t="shared" si="38"/>
        <v>5.9999999999999995E-4</v>
      </c>
      <c r="K76" s="899">
        <v>24</v>
      </c>
      <c r="L76" s="890" t="b">
        <f t="shared" si="42"/>
        <v>1</v>
      </c>
    </row>
    <row r="77" spans="1:12" ht="45" x14ac:dyDescent="0.25">
      <c r="A77" s="872" t="str">
        <f t="shared" si="41"/>
        <v>1.11.16</v>
      </c>
      <c r="B77" s="894" t="s">
        <v>24898</v>
      </c>
      <c r="C77" s="874" t="s">
        <v>4404</v>
      </c>
      <c r="D77" s="875" t="str">
        <f>'COMP. - Quiosque'!C1641</f>
        <v>CURVA 90 GRAUS, PVC, SOLDÁVEL, DN 20MM, INSTALADO EM RAMAL OU SUB-RAMAL DE ÁGUA - FORNECIMENTO E INSTALAÇÃO.</v>
      </c>
      <c r="E77" s="874" t="str">
        <f>'COMP. - Quiosque'!C1642</f>
        <v>UND</v>
      </c>
      <c r="F77" s="493">
        <f>'MEM QUIOSQUE - MOD 01'!F123</f>
        <v>44</v>
      </c>
      <c r="G77" s="900">
        <f>'COMP. - Quiosque'!N1677</f>
        <v>10.88</v>
      </c>
      <c r="H77" s="495">
        <f t="shared" si="39"/>
        <v>13.95</v>
      </c>
      <c r="I77" s="496">
        <f t="shared" si="40"/>
        <v>613.79999999999995</v>
      </c>
      <c r="J77" s="497">
        <f t="shared" si="38"/>
        <v>4.0000000000000002E-4</v>
      </c>
      <c r="K77" s="899">
        <v>44</v>
      </c>
      <c r="L77" s="890" t="b">
        <f t="shared" si="42"/>
        <v>1</v>
      </c>
    </row>
    <row r="78" spans="1:12" ht="45" x14ac:dyDescent="0.25">
      <c r="A78" s="872" t="str">
        <f t="shared" si="41"/>
        <v>1.11.17</v>
      </c>
      <c r="B78" s="894" t="s">
        <v>4406</v>
      </c>
      <c r="C78" s="874" t="s">
        <v>4404</v>
      </c>
      <c r="D78" s="875" t="str">
        <f>'COMP. - Quiosque'!C1683</f>
        <v>CURVA 90 GRAUS, PVC, SOLDÁVEL, DN 32MM, INSTALADO EM RAMAL OU SUB-RAMAL DE ÁGUA - FORNECIMENTO E INSTALAÇÃO.</v>
      </c>
      <c r="E78" s="874" t="str">
        <f>'COMP. - Quiosque'!C1684</f>
        <v>UND</v>
      </c>
      <c r="F78" s="493">
        <f>'MEM QUIOSQUE - MOD 01'!F124</f>
        <v>16</v>
      </c>
      <c r="G78" s="900">
        <f>'COMP. - Quiosque'!N1719</f>
        <v>21.08</v>
      </c>
      <c r="H78" s="495">
        <f t="shared" si="39"/>
        <v>27.03</v>
      </c>
      <c r="I78" s="496">
        <f t="shared" si="40"/>
        <v>432.48</v>
      </c>
      <c r="J78" s="497">
        <f t="shared" si="38"/>
        <v>2.9999999999999997E-4</v>
      </c>
      <c r="K78" s="899">
        <v>16</v>
      </c>
      <c r="L78" s="890" t="b">
        <f t="shared" si="42"/>
        <v>1</v>
      </c>
    </row>
    <row r="79" spans="1:12" ht="45" x14ac:dyDescent="0.25">
      <c r="A79" s="872" t="str">
        <f t="shared" si="41"/>
        <v>1.11.18</v>
      </c>
      <c r="B79" s="894" t="s">
        <v>4407</v>
      </c>
      <c r="C79" s="874" t="s">
        <v>4404</v>
      </c>
      <c r="D79" s="875" t="str">
        <f>'COMP. - Quiosque'!C1725</f>
        <v>JOELHO 90 GRAUS, PVC, SOLDÁVEL, DN 50MM, INSTALADO EM PRUMADA DE ÁGUA - FORNECIMENTO E INSTALAÇÃO.</v>
      </c>
      <c r="E79" s="874" t="str">
        <f>'COMP. - Quiosque'!C1726</f>
        <v>UND</v>
      </c>
      <c r="F79" s="493">
        <f>'MEM QUIOSQUE - MOD 01'!F125</f>
        <v>12</v>
      </c>
      <c r="G79" s="900">
        <f>'COMP. - Quiosque'!N1761</f>
        <v>16.84</v>
      </c>
      <c r="H79" s="495">
        <f t="shared" si="39"/>
        <v>21.59</v>
      </c>
      <c r="I79" s="496">
        <f t="shared" si="40"/>
        <v>259.08</v>
      </c>
      <c r="J79" s="497">
        <f t="shared" si="38"/>
        <v>2.0000000000000001E-4</v>
      </c>
      <c r="K79" s="899">
        <v>12</v>
      </c>
      <c r="L79" s="890" t="b">
        <f t="shared" si="42"/>
        <v>1</v>
      </c>
    </row>
    <row r="80" spans="1:12" ht="45" x14ac:dyDescent="0.25">
      <c r="A80" s="872" t="str">
        <f t="shared" si="41"/>
        <v>1.11.19</v>
      </c>
      <c r="B80" s="894" t="s">
        <v>4408</v>
      </c>
      <c r="C80" s="874" t="s">
        <v>4404</v>
      </c>
      <c r="D80" s="875" t="str">
        <f>'COMP. - Quiosque'!C1767</f>
        <v>JOELHO 90 GRAUS, PVC, SOLDÁVEL, DN 32MM, INSTALADO EM RAMAL OU SUB-RAMAL DE ÁGUA - FORNECIMENTO E INSTALAÇÃO.</v>
      </c>
      <c r="E80" s="874" t="str">
        <f>'COMP. - Quiosque'!C1768</f>
        <v>UND</v>
      </c>
      <c r="F80" s="493">
        <f>'MEM QUIOSQUE - MOD 01'!F126</f>
        <v>20</v>
      </c>
      <c r="G80" s="900">
        <f>'COMP. - Quiosque'!N1803</f>
        <v>13.58</v>
      </c>
      <c r="H80" s="495">
        <f t="shared" si="39"/>
        <v>17.41</v>
      </c>
      <c r="I80" s="496">
        <f t="shared" si="40"/>
        <v>348.2</v>
      </c>
      <c r="J80" s="497">
        <f t="shared" si="38"/>
        <v>2.0000000000000001E-4</v>
      </c>
      <c r="K80" s="899">
        <v>20</v>
      </c>
      <c r="L80" s="890" t="b">
        <f t="shared" si="42"/>
        <v>1</v>
      </c>
    </row>
    <row r="81" spans="1:12" x14ac:dyDescent="0.25">
      <c r="A81" s="872" t="str">
        <f>CONCATENATE($A$59,".",RIGHT(A79,LEN(A79)-5)+1)</f>
        <v>1.11.19</v>
      </c>
      <c r="B81" s="894" t="s">
        <v>4409</v>
      </c>
      <c r="C81" s="874" t="s">
        <v>4404</v>
      </c>
      <c r="D81" s="875" t="str">
        <f>'COMP. - Quiosque'!C47</f>
        <v>Joelho com bucha de latão 20mm x 1/2"</v>
      </c>
      <c r="E81" s="874" t="str">
        <f>'COMP. - Quiosque'!C48</f>
        <v>und</v>
      </c>
      <c r="F81" s="493">
        <f>'MEM QUIOSQUE - MOD 01'!F127</f>
        <v>20</v>
      </c>
      <c r="G81" s="915">
        <f>'COMP. - Quiosque'!N85</f>
        <v>19.489999999999998</v>
      </c>
      <c r="H81" s="495">
        <f t="shared" si="39"/>
        <v>24.99</v>
      </c>
      <c r="I81" s="496">
        <f t="shared" si="40"/>
        <v>499.8</v>
      </c>
      <c r="J81" s="497">
        <f t="shared" si="38"/>
        <v>2.9999999999999997E-4</v>
      </c>
      <c r="K81" s="899">
        <v>20</v>
      </c>
      <c r="L81" s="890" t="b">
        <f t="shared" si="42"/>
        <v>1</v>
      </c>
    </row>
    <row r="82" spans="1:12" ht="30" x14ac:dyDescent="0.25">
      <c r="A82" s="872" t="str">
        <f t="shared" si="41"/>
        <v>1.11.20</v>
      </c>
      <c r="B82" s="894" t="s">
        <v>25085</v>
      </c>
      <c r="C82" s="874" t="s">
        <v>25079</v>
      </c>
      <c r="D82" s="875" t="s">
        <v>25086</v>
      </c>
      <c r="E82" s="874" t="s">
        <v>83</v>
      </c>
      <c r="F82" s="493">
        <f>'MEM QUIOSQUE - MOD 01'!F128</f>
        <v>4</v>
      </c>
      <c r="G82" s="916">
        <v>20.53</v>
      </c>
      <c r="H82" s="495">
        <f t="shared" si="39"/>
        <v>26.32</v>
      </c>
      <c r="I82" s="496">
        <f t="shared" si="40"/>
        <v>105.28</v>
      </c>
      <c r="J82" s="497">
        <f t="shared" si="38"/>
        <v>1E-4</v>
      </c>
      <c r="K82" s="899">
        <v>4</v>
      </c>
      <c r="L82" s="890" t="b">
        <f t="shared" si="42"/>
        <v>1</v>
      </c>
    </row>
    <row r="83" spans="1:12" ht="30" x14ac:dyDescent="0.25">
      <c r="A83" s="872" t="str">
        <f t="shared" si="41"/>
        <v>1.11.21</v>
      </c>
      <c r="B83" s="894" t="s">
        <v>25087</v>
      </c>
      <c r="C83" s="874" t="s">
        <v>25079</v>
      </c>
      <c r="D83" s="875" t="s">
        <v>25088</v>
      </c>
      <c r="E83" s="874" t="s">
        <v>83</v>
      </c>
      <c r="F83" s="493">
        <f>'MEM QUIOSQUE - MOD 01'!F129</f>
        <v>4</v>
      </c>
      <c r="G83" s="916">
        <v>10.53</v>
      </c>
      <c r="H83" s="495">
        <f t="shared" si="39"/>
        <v>13.5</v>
      </c>
      <c r="I83" s="496">
        <f t="shared" si="40"/>
        <v>54</v>
      </c>
      <c r="J83" s="497">
        <f t="shared" si="38"/>
        <v>0</v>
      </c>
      <c r="K83" s="899">
        <v>4</v>
      </c>
      <c r="L83" s="890" t="b">
        <f t="shared" si="42"/>
        <v>1</v>
      </c>
    </row>
    <row r="84" spans="1:12" ht="60" x14ac:dyDescent="0.25">
      <c r="A84" s="872" t="str">
        <f t="shared" si="41"/>
        <v>1.11.22</v>
      </c>
      <c r="B84" s="894" t="s">
        <v>4410</v>
      </c>
      <c r="C84" s="874" t="s">
        <v>4404</v>
      </c>
      <c r="D84" s="875" t="str">
        <f>'COMP. - Quiosque'!C1809</f>
        <v>TÊ, PVC, SOLDÁVEL, DN 32 MM INSTALADO EM RESERVAÇÃO DE ÁGUA DE EDIFICAÇÃO QUE POSSUA RESERVATÓRIO DE FIBRA/FIBROCIMENTO FORNECIMENTO E INSTALAÇÃO.</v>
      </c>
      <c r="E84" s="874" t="str">
        <f>'COMP. - Quiosque'!C1810</f>
        <v>UND</v>
      </c>
      <c r="F84" s="493">
        <f>'MEM QUIOSQUE - MOD 01'!F130</f>
        <v>20</v>
      </c>
      <c r="G84" s="900">
        <f>'COMP. - Quiosque'!N1845</f>
        <v>16.5</v>
      </c>
      <c r="H84" s="495">
        <f t="shared" si="39"/>
        <v>21.16</v>
      </c>
      <c r="I84" s="496">
        <f t="shared" si="40"/>
        <v>423.2</v>
      </c>
      <c r="J84" s="497">
        <f t="shared" si="38"/>
        <v>2.9999999999999997E-4</v>
      </c>
      <c r="K84" s="899">
        <v>20</v>
      </c>
      <c r="L84" s="890" t="b">
        <f t="shared" si="42"/>
        <v>1</v>
      </c>
    </row>
    <row r="85" spans="1:12" ht="60" x14ac:dyDescent="0.25">
      <c r="A85" s="872" t="str">
        <f t="shared" si="41"/>
        <v>1.11.23</v>
      </c>
      <c r="B85" s="894" t="s">
        <v>4411</v>
      </c>
      <c r="C85" s="874" t="s">
        <v>4404</v>
      </c>
      <c r="D85" s="875" t="str">
        <f>'COMP. - Quiosque'!C1851</f>
        <v>TÊ, PVC, SOLDÁVEL, DN 50 MM INSTALADO EM RESERVAÇÃO DE ÁGUA DE EDIFICAÇÃO QUE POSSUA RESERVATÓRIO DE FIBRA/FIBROCIMENTO FORNECIMENTO E INSTALAÇÃO.</v>
      </c>
      <c r="E85" s="874" t="str">
        <f>'COMP. - Quiosque'!C1852</f>
        <v>UND</v>
      </c>
      <c r="F85" s="493">
        <f>'MEM QUIOSQUE - MOD 01'!F131</f>
        <v>8</v>
      </c>
      <c r="G85" s="900">
        <f>'COMP. - Quiosque'!N1887</f>
        <v>31.11</v>
      </c>
      <c r="H85" s="495">
        <f t="shared" si="39"/>
        <v>39.89</v>
      </c>
      <c r="I85" s="496">
        <f t="shared" si="40"/>
        <v>319.12</v>
      </c>
      <c r="J85" s="497">
        <f t="shared" si="38"/>
        <v>2.0000000000000001E-4</v>
      </c>
      <c r="K85" s="899">
        <v>8</v>
      </c>
      <c r="L85" s="890" t="b">
        <f t="shared" si="42"/>
        <v>1</v>
      </c>
    </row>
    <row r="86" spans="1:12" ht="30" x14ac:dyDescent="0.25">
      <c r="A86" s="872" t="str">
        <f t="shared" si="41"/>
        <v>1.11.24</v>
      </c>
      <c r="B86" s="894" t="s">
        <v>25089</v>
      </c>
      <c r="C86" s="874" t="s">
        <v>25079</v>
      </c>
      <c r="D86" s="875" t="s">
        <v>25090</v>
      </c>
      <c r="E86" s="874" t="s">
        <v>24667</v>
      </c>
      <c r="F86" s="493">
        <f>'MEM QUIOSQUE - MOD 01'!F132</f>
        <v>8</v>
      </c>
      <c r="G86" s="900">
        <v>44.68</v>
      </c>
      <c r="H86" s="495">
        <f t="shared" si="39"/>
        <v>57.29</v>
      </c>
      <c r="I86" s="496">
        <f t="shared" si="40"/>
        <v>458.32</v>
      </c>
      <c r="J86" s="497">
        <f t="shared" si="38"/>
        <v>2.9999999999999997E-4</v>
      </c>
      <c r="K86" s="899">
        <v>8</v>
      </c>
      <c r="L86" s="890" t="b">
        <f t="shared" si="42"/>
        <v>1</v>
      </c>
    </row>
    <row r="87" spans="1:12" ht="60" x14ac:dyDescent="0.25">
      <c r="A87" s="872" t="str">
        <f t="shared" si="41"/>
        <v>1.11.25</v>
      </c>
      <c r="B87" s="894" t="s">
        <v>4412</v>
      </c>
      <c r="C87" s="874" t="s">
        <v>4404</v>
      </c>
      <c r="D87" s="875" t="str">
        <f>'COMP. - Quiosque'!C1893</f>
        <v>TÊ DE REDUÇÃO, PVC, SOLDÁVEL, DN 32 MM X 25 MM, INSTALADO EM RESERVAÇÃO DE ÁGUA DE EDIFICAÇÃO QUE POSSUA RESERVATÓRIO DE FIBRA/FIBROCIMENTO FORNECIMENTO E INSTALAÇÃO.</v>
      </c>
      <c r="E87" s="874" t="str">
        <f>'COMP. - Quiosque'!C1894</f>
        <v>UND</v>
      </c>
      <c r="F87" s="493">
        <f>'MEM QUIOSQUE - MOD 01'!F133</f>
        <v>8</v>
      </c>
      <c r="G87" s="900">
        <f>'COMP. - Quiosque'!N1929</f>
        <v>19.63</v>
      </c>
      <c r="H87" s="495">
        <f t="shared" si="39"/>
        <v>25.17</v>
      </c>
      <c r="I87" s="496">
        <f t="shared" si="40"/>
        <v>201.36</v>
      </c>
      <c r="J87" s="497">
        <f t="shared" si="38"/>
        <v>1E-4</v>
      </c>
      <c r="K87" s="899">
        <v>8</v>
      </c>
      <c r="L87" s="890" t="b">
        <f t="shared" si="42"/>
        <v>1</v>
      </c>
    </row>
    <row r="88" spans="1:12" x14ac:dyDescent="0.25">
      <c r="A88" s="872" t="str">
        <f t="shared" si="41"/>
        <v>1.11.26</v>
      </c>
      <c r="B88" s="894" t="s">
        <v>2271</v>
      </c>
      <c r="C88" s="874" t="s">
        <v>4379</v>
      </c>
      <c r="D88" s="875" t="str">
        <f>IF($C88="DER-ED",VLOOKUP($B88,'DER-ED'!$A:$H,2,FALSE),IF(C88="DER-RD",VLOOKUP($B88,'DER-RD'!$A:$F,2,FALSE),IF($C88="COMP.","&gt;&gt;&gt;&gt;&gt;&gt;&gt;&gt;&gt;&gt; Digite aqui a descrição e apresente a composição detalhada.","← Escolha o Orgão e digite o Código")))</f>
        <v>Registro de gaveta bruto diam. 20mm (3/4")</v>
      </c>
      <c r="E88" s="874" t="str">
        <f>IF($C88="DER-ED",VLOOKUP($B88,'DER-ED'!$A:$H,3,FALSE),IF($C88="DER-RD",LOWER(VLOOKUP($B88,'DER-RD'!$A:$F,3,FALSE)),IF($C88="COMP.","digite"," ")))</f>
        <v>und</v>
      </c>
      <c r="F88" s="493">
        <f>'MEM QUIOSQUE - MOD 01'!F134</f>
        <v>24</v>
      </c>
      <c r="G88" s="494">
        <f>IF($C88="DER-ED",VLOOKUP($B88,'DER-ED'!$A:$H,6,FALSE),IF($C88="DER-RD",VLOOKUP($B88,'DER-RD'!$A:$H,7,FALSE),))</f>
        <v>59.81</v>
      </c>
      <c r="H88" s="495">
        <f t="shared" si="39"/>
        <v>76.69</v>
      </c>
      <c r="I88" s="496">
        <f t="shared" si="40"/>
        <v>1840.56</v>
      </c>
      <c r="J88" s="497">
        <f t="shared" si="38"/>
        <v>1.1999999999999999E-3</v>
      </c>
      <c r="K88" s="899">
        <v>24</v>
      </c>
      <c r="L88" s="890" t="b">
        <f t="shared" si="42"/>
        <v>1</v>
      </c>
    </row>
    <row r="89" spans="1:12" x14ac:dyDescent="0.25">
      <c r="A89" s="872" t="str">
        <f t="shared" si="41"/>
        <v>1.11.27</v>
      </c>
      <c r="B89" s="894" t="s">
        <v>2275</v>
      </c>
      <c r="C89" s="874" t="s">
        <v>4379</v>
      </c>
      <c r="D89" s="875" t="str">
        <f>IF($C89="DER-ED",VLOOKUP($B89,'DER-ED'!$A:$H,2,FALSE),IF(C89="DER-RD",VLOOKUP($B89,'DER-RD'!$A:$F,2,FALSE),IF($C89="COMP.","&gt;&gt;&gt;&gt;&gt;&gt;&gt;&gt;&gt;&gt; Digite aqui a descrição e apresente a composição detalhada.","← Escolha o Orgão e digite o Código")))</f>
        <v>Registro de gaveta bruto diam. 32mm (11/4")</v>
      </c>
      <c r="E89" s="874" t="str">
        <f>IF($C89="DER-ED",VLOOKUP($B89,'DER-ED'!$A:$H,3,FALSE),IF($C89="DER-RD",LOWER(VLOOKUP($B89,'DER-RD'!$A:$F,3,FALSE)),IF($C89="COMP.","digite"," ")))</f>
        <v>und</v>
      </c>
      <c r="F89" s="493">
        <f>'MEM QUIOSQUE - MOD 01'!F135</f>
        <v>12</v>
      </c>
      <c r="G89" s="494">
        <f>IF($C89="DER-ED",VLOOKUP($B89,'DER-ED'!$A:$H,6,FALSE),IF($C89="DER-RD",VLOOKUP($B89,'DER-RD'!$A:$H,7,FALSE),))</f>
        <v>97.62</v>
      </c>
      <c r="H89" s="495">
        <f t="shared" si="39"/>
        <v>125.17</v>
      </c>
      <c r="I89" s="496">
        <f t="shared" si="40"/>
        <v>1502.04</v>
      </c>
      <c r="J89" s="497">
        <f t="shared" si="38"/>
        <v>1E-3</v>
      </c>
      <c r="K89" s="899">
        <v>12</v>
      </c>
      <c r="L89" s="890" t="b">
        <f t="shared" si="42"/>
        <v>1</v>
      </c>
    </row>
    <row r="90" spans="1:12" x14ac:dyDescent="0.25">
      <c r="A90" s="872" t="str">
        <f t="shared" si="41"/>
        <v>1.11.28</v>
      </c>
      <c r="B90" s="894" t="s">
        <v>2279</v>
      </c>
      <c r="C90" s="874" t="s">
        <v>4379</v>
      </c>
      <c r="D90" s="875" t="str">
        <f>IF($C90="DER-ED",VLOOKUP($B90,'DER-ED'!$A:$H,2,FALSE),IF(C90="DER-RD",VLOOKUP($B90,'DER-RD'!$A:$F,2,FALSE),IF($C90="COMP.","&gt;&gt;&gt;&gt;&gt;&gt;&gt;&gt;&gt;&gt; Digite aqui a descrição e apresente a composição detalhada.","← Escolha o Orgão e digite o Código")))</f>
        <v>Registro de gaveta bruto diam. 50mm (2")</v>
      </c>
      <c r="E90" s="874" t="str">
        <f>IF($C90="DER-ED",VLOOKUP($B90,'DER-ED'!$A:$H,3,FALSE),IF($C90="DER-RD",LOWER(VLOOKUP($B90,'DER-RD'!$A:$F,3,FALSE)),IF($C90="COMP.","digite"," ")))</f>
        <v>und</v>
      </c>
      <c r="F90" s="493">
        <f>'MEM QUIOSQUE - MOD 01'!F136</f>
        <v>8</v>
      </c>
      <c r="G90" s="494">
        <f>IF($C90="DER-ED",VLOOKUP($B90,'DER-ED'!$A:$H,6,FALSE),IF($C90="DER-RD",VLOOKUP($B90,'DER-RD'!$A:$H,7,FALSE),))</f>
        <v>184.18</v>
      </c>
      <c r="H90" s="495">
        <f t="shared" si="39"/>
        <v>236.16</v>
      </c>
      <c r="I90" s="496">
        <f t="shared" si="40"/>
        <v>1889.28</v>
      </c>
      <c r="J90" s="497">
        <f t="shared" si="38"/>
        <v>1.1999999999999999E-3</v>
      </c>
      <c r="K90" s="899">
        <v>8</v>
      </c>
      <c r="L90" s="890" t="b">
        <f t="shared" si="42"/>
        <v>1</v>
      </c>
    </row>
    <row r="91" spans="1:12" ht="30" x14ac:dyDescent="0.25">
      <c r="A91" s="872" t="str">
        <f t="shared" si="41"/>
        <v>1.11.29</v>
      </c>
      <c r="B91" s="894" t="s">
        <v>2323</v>
      </c>
      <c r="C91" s="874" t="s">
        <v>4379</v>
      </c>
      <c r="D91" s="875" t="str">
        <f>IF($C91="DER-ED",VLOOKUP($B91,'DER-ED'!$A:$H,2,FALSE),IF(C91="DER-RD",VLOOKUP($B91,'DER-RD'!$A:$F,2,FALSE),IF($C91="COMP.","&gt;&gt;&gt;&gt;&gt;&gt;&gt;&gt;&gt;&gt; Digite aqui a descrição e apresente a composição detalhada.","← Escolha o Orgão e digite o Código")))</f>
        <v>Válvula de Descarga com acabamento anti-vandalismo, marcas de referência Fabrimar, Deca ou Docol</v>
      </c>
      <c r="E91" s="874" t="str">
        <f>IF($C91="DER-ED",VLOOKUP($B91,'DER-ED'!$A:$H,3,FALSE),IF($C91="DER-RD",LOWER(VLOOKUP($B91,'DER-RD'!$A:$F,3,FALSE)),IF($C91="COMP.","digite"," ")))</f>
        <v>und</v>
      </c>
      <c r="F91" s="493">
        <f>'MEM QUIOSQUE - MOD 01'!F137</f>
        <v>8</v>
      </c>
      <c r="G91" s="494">
        <f>IF($C91="DER-ED",VLOOKUP($B91,'DER-ED'!$A:$H,6,FALSE),IF($C91="DER-RD",VLOOKUP($B91,'DER-RD'!$A:$H,7,FALSE),))</f>
        <v>551.70000000000005</v>
      </c>
      <c r="H91" s="495">
        <f t="shared" si="39"/>
        <v>707.39</v>
      </c>
      <c r="I91" s="496">
        <f t="shared" si="40"/>
        <v>5659.12</v>
      </c>
      <c r="J91" s="497">
        <f t="shared" si="38"/>
        <v>3.7000000000000002E-3</v>
      </c>
      <c r="K91" s="899">
        <v>8</v>
      </c>
      <c r="L91" s="890" t="b">
        <f t="shared" si="42"/>
        <v>1</v>
      </c>
    </row>
    <row r="92" spans="1:12" ht="30" x14ac:dyDescent="0.25">
      <c r="A92" s="872" t="str">
        <f t="shared" si="41"/>
        <v>1.11.30</v>
      </c>
      <c r="B92" s="894" t="s">
        <v>25091</v>
      </c>
      <c r="C92" s="874" t="s">
        <v>25079</v>
      </c>
      <c r="D92" s="875" t="s">
        <v>25092</v>
      </c>
      <c r="E92" s="874" t="s">
        <v>83</v>
      </c>
      <c r="F92" s="493">
        <f>'MEM QUIOSQUE - MOD 01'!F138</f>
        <v>8</v>
      </c>
      <c r="G92" s="494">
        <v>19.62</v>
      </c>
      <c r="H92" s="495">
        <f t="shared" si="39"/>
        <v>25.16</v>
      </c>
      <c r="I92" s="496">
        <f t="shared" si="40"/>
        <v>201.28</v>
      </c>
      <c r="J92" s="497">
        <f t="shared" si="38"/>
        <v>1E-4</v>
      </c>
      <c r="K92" s="899">
        <v>8</v>
      </c>
      <c r="L92" s="890" t="b">
        <f t="shared" si="42"/>
        <v>1</v>
      </c>
    </row>
    <row r="93" spans="1:12" ht="45" x14ac:dyDescent="0.25">
      <c r="A93" s="872" t="str">
        <f t="shared" si="41"/>
        <v>1.11.31</v>
      </c>
      <c r="B93" s="894" t="s">
        <v>2334</v>
      </c>
      <c r="C93" s="874" t="s">
        <v>4379</v>
      </c>
      <c r="D93" s="875" t="str">
        <f>IF($C93="DER-ED",VLOOKUP($B93,'DER-ED'!$A:$H,2,FALSE),IF(C93="DER-RD",VLOOKUP($B93,'DER-RD'!$A:$F,2,FALSE),IF($C93="COMP.","&gt;&gt;&gt;&gt;&gt;&gt;&gt;&gt;&gt;&gt; Digite aqui a descrição e apresente a composição detalhada.","← Escolha o Orgão e digite o Código")))</f>
        <v>Reservatório de polietileno de 500 L, inclusive adaptadores com flanges de PVC e torneira de bóia de 3/4"</v>
      </c>
      <c r="E93" s="874" t="str">
        <f>IF($C93="DER-ED",VLOOKUP($B93,'DER-ED'!$A:$H,3,FALSE),IF($C93="DER-RD",LOWER(VLOOKUP($B93,'DER-RD'!$A:$F,3,FALSE)),IF($C93="COMP.","digite"," ")))</f>
        <v>und</v>
      </c>
      <c r="F93" s="493">
        <f>'MEM QUIOSQUE - MOD 01'!F139</f>
        <v>8</v>
      </c>
      <c r="G93" s="494">
        <f>IF($C93="DER-ED",VLOOKUP($B93,'DER-ED'!$A:$H,6,FALSE),IF($C93="DER-RD",VLOOKUP($B93,'DER-RD'!$A:$H,7,FALSE),))</f>
        <v>614.11</v>
      </c>
      <c r="H93" s="495">
        <f t="shared" si="39"/>
        <v>787.41</v>
      </c>
      <c r="I93" s="496">
        <f t="shared" si="40"/>
        <v>6299.28</v>
      </c>
      <c r="J93" s="497">
        <f t="shared" si="38"/>
        <v>4.1000000000000003E-3</v>
      </c>
      <c r="K93" s="899">
        <v>8</v>
      </c>
      <c r="L93" s="890" t="b">
        <f t="shared" si="42"/>
        <v>1</v>
      </c>
    </row>
    <row r="94" spans="1:12" x14ac:dyDescent="0.25">
      <c r="A94" s="872"/>
      <c r="B94" s="894"/>
      <c r="C94" s="874"/>
      <c r="D94" s="912" t="s">
        <v>25093</v>
      </c>
      <c r="E94" s="874" t="str">
        <f>IF($C94="DER-ED",VLOOKUP($B94,'[2]DER-ED'!$A:$H,3,FALSE),IF($C94="SINAPI",VLOOKUP($B94,[2]SINAPI!A:D,3,FALSE),IF($C94="DER-RD",LOWER(VLOOKUP($B94,'[2]DER-RD'!$A:$F,3,FALSE)),IF($C94="COMP.","digite"," "))))</f>
        <v xml:space="preserve"> </v>
      </c>
      <c r="F94" s="493"/>
      <c r="G94" s="900"/>
      <c r="H94" s="495"/>
      <c r="I94" s="913">
        <f>SUM(I95:I123)</f>
        <v>31779.59</v>
      </c>
      <c r="J94" s="914"/>
      <c r="K94" s="899"/>
      <c r="L94" s="890"/>
    </row>
    <row r="95" spans="1:12" ht="30" x14ac:dyDescent="0.25">
      <c r="A95" s="872" t="str">
        <f>CONCATENATE($A$59,".",RIGHT(A92,LEN(A92)-5)+1)</f>
        <v>1.11.31</v>
      </c>
      <c r="B95" s="894" t="s">
        <v>1449</v>
      </c>
      <c r="C95" s="874" t="s">
        <v>4379</v>
      </c>
      <c r="D95" s="875" t="str">
        <f>IF($C95="DER-ED",VLOOKUP($B95,'DER-ED'!$A:$H,2,FALSE),IF(C95="DER-RD",VLOOKUP($B95,'DER-RD'!$A:$F,2,FALSE),IF($C95="COMP.","&gt;&gt;&gt;&gt;&gt;&gt;&gt;&gt;&gt;&gt; Digite aqui a descrição e apresente a composição detalhada.","← Escolha o Orgão e digite o Código")))</f>
        <v>Tubo de PVC rígido soldável branco, para esgoto, diâmetro 40mm (1 1/2"), inclusive conexões</v>
      </c>
      <c r="E95" s="874" t="str">
        <f>IF($C95="DER-ED",VLOOKUP($B95,'DER-ED'!$A:$H,3,FALSE),IF($C95="DER-RD",LOWER(VLOOKUP($B95,'DER-RD'!$A:$F,3,FALSE)),IF($C95="COMP.","digite"," ")))</f>
        <v>m</v>
      </c>
      <c r="F95" s="917">
        <f>'MEM QUIOSQUE - MOD 01'!F141</f>
        <v>14.4</v>
      </c>
      <c r="G95" s="494">
        <f>IF($C95="DER-ED",VLOOKUP($B95,'DER-ED'!$A:$H,6,FALSE),IF($C95="DER-RD",VLOOKUP($B95,'DER-RD'!$A:$H,7,FALSE),))</f>
        <v>32.979999999999997</v>
      </c>
      <c r="H95" s="495">
        <f t="shared" si="39"/>
        <v>42.29</v>
      </c>
      <c r="I95" s="496">
        <f t="shared" si="40"/>
        <v>608.98</v>
      </c>
      <c r="J95" s="497">
        <f t="shared" si="38"/>
        <v>4.0000000000000002E-4</v>
      </c>
      <c r="K95" s="899">
        <v>14.4</v>
      </c>
      <c r="L95" s="890" t="b">
        <f t="shared" si="42"/>
        <v>1</v>
      </c>
    </row>
    <row r="96" spans="1:12" ht="30" x14ac:dyDescent="0.25">
      <c r="A96" s="872" t="str">
        <f>CONCATENATE($A$59,".",RIGHT(A95,LEN(A95)-5)+1)</f>
        <v>1.11.32</v>
      </c>
      <c r="B96" s="894" t="s">
        <v>1453</v>
      </c>
      <c r="C96" s="874" t="s">
        <v>4379</v>
      </c>
      <c r="D96" s="875" t="str">
        <f>IF($C96="DER-ED",VLOOKUP($B96,'DER-ED'!$A:$H,2,FALSE),IF(C96="DER-RD",VLOOKUP($B96,'DER-RD'!$A:$F,2,FALSE),IF($C96="COMP.","&gt;&gt;&gt;&gt;&gt;&gt;&gt;&gt;&gt;&gt; Digite aqui a descrição e apresente a composição detalhada.","← Escolha o Orgão e digite o Código")))</f>
        <v>Tubo de PVC rígido soldável branco, para esgoto, diâmetro 75mm (3"), inclusive conexões</v>
      </c>
      <c r="E96" s="874" t="str">
        <f>IF($C96="DER-ED",VLOOKUP($B96,'DER-ED'!$A:$H,3,FALSE),IF($C96="DER-RD",LOWER(VLOOKUP($B96,'DER-RD'!$A:$F,3,FALSE)),IF($C96="COMP.","digite"," ")))</f>
        <v>m</v>
      </c>
      <c r="F96" s="917">
        <f>'MEM QUIOSQUE - MOD 01'!F142</f>
        <v>4.8</v>
      </c>
      <c r="G96" s="494">
        <f>IF($C96="DER-ED",VLOOKUP($B96,'DER-ED'!$A:$H,6,FALSE),IF($C96="DER-RD",VLOOKUP($B96,'DER-RD'!$A:$H,7,FALSE),))</f>
        <v>62.83</v>
      </c>
      <c r="H96" s="495">
        <f t="shared" si="39"/>
        <v>80.56</v>
      </c>
      <c r="I96" s="496">
        <f t="shared" si="40"/>
        <v>386.69</v>
      </c>
      <c r="J96" s="497">
        <f t="shared" si="38"/>
        <v>2.9999999999999997E-4</v>
      </c>
      <c r="K96" s="899">
        <v>4.8</v>
      </c>
      <c r="L96" s="890" t="b">
        <f t="shared" si="42"/>
        <v>1</v>
      </c>
    </row>
    <row r="97" spans="1:12" ht="30" x14ac:dyDescent="0.25">
      <c r="A97" s="872" t="str">
        <f t="shared" ref="A97:A123" si="43">CONCATENATE($A$59,".",RIGHT(A96,LEN(A96)-5)+1)</f>
        <v>1.11.33</v>
      </c>
      <c r="B97" s="894" t="s">
        <v>1451</v>
      </c>
      <c r="C97" s="874" t="s">
        <v>4379</v>
      </c>
      <c r="D97" s="875" t="str">
        <f>IF($C97="DER-ED",VLOOKUP($B97,'DER-ED'!$A:$H,2,FALSE),IF(C97="DER-RD",VLOOKUP($B97,'DER-RD'!$A:$F,2,FALSE),IF($C97="COMP.","&gt;&gt;&gt;&gt;&gt;&gt;&gt;&gt;&gt;&gt; Digite aqui a descrição e apresente a composição detalhada.","← Escolha o Orgão e digite o Código")))</f>
        <v>Tubo de PVC rígido soldável branco, para esgoto, diâmetro 50mm (2"), inclusive conexões</v>
      </c>
      <c r="E97" s="874" t="str">
        <f>IF($C97="DER-ED",VLOOKUP($B97,'DER-ED'!$A:$H,3,FALSE),IF($C97="DER-RD",LOWER(VLOOKUP($B97,'DER-RD'!$A:$F,3,FALSE)),IF($C97="COMP.","digite"," ")))</f>
        <v>m</v>
      </c>
      <c r="F97" s="917">
        <f>'MEM QUIOSQUE - MOD 01'!F143</f>
        <v>79.2</v>
      </c>
      <c r="G97" s="494">
        <f>IF($C97="DER-ED",VLOOKUP($B97,'DER-ED'!$A:$H,6,FALSE),IF($C97="DER-RD",VLOOKUP($B97,'DER-RD'!$A:$H,7,FALSE),))</f>
        <v>43.39</v>
      </c>
      <c r="H97" s="495">
        <f t="shared" si="39"/>
        <v>55.63</v>
      </c>
      <c r="I97" s="496">
        <f t="shared" si="40"/>
        <v>4405.8999999999996</v>
      </c>
      <c r="J97" s="497">
        <f t="shared" si="38"/>
        <v>2.8999999999999998E-3</v>
      </c>
      <c r="K97" s="899">
        <v>79.2</v>
      </c>
      <c r="L97" s="890" t="b">
        <f t="shared" si="42"/>
        <v>1</v>
      </c>
    </row>
    <row r="98" spans="1:12" ht="30" x14ac:dyDescent="0.25">
      <c r="A98" s="872" t="str">
        <f t="shared" si="43"/>
        <v>1.11.34</v>
      </c>
      <c r="B98" s="894" t="s">
        <v>1455</v>
      </c>
      <c r="C98" s="874" t="s">
        <v>4379</v>
      </c>
      <c r="D98" s="875" t="str">
        <f>IF($C98="DER-ED",VLOOKUP($B98,'DER-ED'!$A:$H,2,FALSE),IF(C98="DER-RD",VLOOKUP($B98,'DER-RD'!$A:$F,2,FALSE),IF($C98="COMP.","&gt;&gt;&gt;&gt;&gt;&gt;&gt;&gt;&gt;&gt; Digite aqui a descrição e apresente a composição detalhada.","← Escolha o Orgão e digite o Código")))</f>
        <v>Tubo de PVC rígido soldável branco, para esgoto, diâmetro 100mm (4"), inclusive conexões</v>
      </c>
      <c r="E98" s="874" t="str">
        <f>IF($C98="DER-ED",VLOOKUP($B98,'DER-ED'!$A:$H,3,FALSE),IF($C98="DER-RD",LOWER(VLOOKUP($B98,'DER-RD'!$A:$F,3,FALSE)),IF($C98="COMP.","digite"," ")))</f>
        <v>m</v>
      </c>
      <c r="F98" s="917">
        <f>'MEM QUIOSQUE - MOD 01'!F144</f>
        <v>33.6</v>
      </c>
      <c r="G98" s="494">
        <f>IF($C98="DER-ED",VLOOKUP($B98,'DER-ED'!$A:$H,6,FALSE),IF($C98="DER-RD",VLOOKUP($B98,'DER-RD'!$A:$H,7,FALSE),))</f>
        <v>69.3</v>
      </c>
      <c r="H98" s="495">
        <f t="shared" si="39"/>
        <v>88.86</v>
      </c>
      <c r="I98" s="496">
        <f t="shared" si="40"/>
        <v>2985.7</v>
      </c>
      <c r="J98" s="497">
        <f t="shared" si="38"/>
        <v>2E-3</v>
      </c>
      <c r="K98" s="899">
        <v>33.6</v>
      </c>
      <c r="L98" s="890" t="b">
        <f t="shared" si="42"/>
        <v>1</v>
      </c>
    </row>
    <row r="99" spans="1:12" ht="60" x14ac:dyDescent="0.25">
      <c r="A99" s="872" t="str">
        <f t="shared" si="43"/>
        <v>1.11.35</v>
      </c>
      <c r="B99" s="894" t="s">
        <v>1389</v>
      </c>
      <c r="C99" s="874" t="s">
        <v>4379</v>
      </c>
      <c r="D99" s="875" t="str">
        <f>IF($C99="DER-ED",VLOOKUP($B99,'DER-ED'!$A:$H,2,FALSE),IF(C99="DER-RD",VLOOKUP($B99,'DER-RD'!$A:$F,2,FALSE),IF($C99="COMP.","&gt;&gt;&gt;&gt;&gt;&gt;&gt;&gt;&gt;&gt; Digite aqui a descrição e apresente a composição detalhada.","← Escolha o Orgão e digite o Código")))</f>
        <v>Caixa de areia em alv. de bloco de concreto 9x19x39, dim. 60x60cm e Hmáx=1m, c/ tampa em ferro fundido, lastro de concreto esp. 10cm, revest. int. c/ chapisco e reboco impermeabilizado, incl. escavação e reaterro</v>
      </c>
      <c r="E99" s="874" t="str">
        <f>IF($C99="DER-ED",VLOOKUP($B99,'DER-ED'!$A:$H,3,FALSE),IF($C99="DER-RD",LOWER(VLOOKUP($B99,'DER-RD'!$A:$F,3,FALSE)),IF($C99="COMP.","digite"," ")))</f>
        <v>und</v>
      </c>
      <c r="F99" s="917">
        <f>'MEM QUIOSQUE - MOD 01'!F145</f>
        <v>4</v>
      </c>
      <c r="G99" s="494">
        <f>IF($C99="DER-ED",VLOOKUP($B99,'DER-ED'!$A:$H,6,FALSE),IF($C99="DER-RD",VLOOKUP($B99,'DER-RD'!$A:$H,7,FALSE),))</f>
        <v>629.72</v>
      </c>
      <c r="H99" s="495">
        <f t="shared" si="39"/>
        <v>807.43</v>
      </c>
      <c r="I99" s="496">
        <f t="shared" si="40"/>
        <v>3229.72</v>
      </c>
      <c r="J99" s="497">
        <f t="shared" si="38"/>
        <v>2.0999999999999999E-3</v>
      </c>
      <c r="K99" s="899">
        <v>4</v>
      </c>
      <c r="L99" s="890" t="b">
        <f t="shared" si="42"/>
        <v>1</v>
      </c>
    </row>
    <row r="100" spans="1:12" ht="45" x14ac:dyDescent="0.25">
      <c r="A100" s="872" t="str">
        <f t="shared" si="43"/>
        <v>1.11.36</v>
      </c>
      <c r="B100" s="894" t="s">
        <v>25094</v>
      </c>
      <c r="C100" s="874" t="s">
        <v>25079</v>
      </c>
      <c r="D100" s="875" t="s">
        <v>25095</v>
      </c>
      <c r="E100" s="874" t="s">
        <v>83</v>
      </c>
      <c r="F100" s="917">
        <f>'MEM QUIOSQUE - MOD 01'!F146</f>
        <v>16</v>
      </c>
      <c r="G100" s="900">
        <v>183.82</v>
      </c>
      <c r="H100" s="495">
        <f t="shared" si="39"/>
        <v>235.69</v>
      </c>
      <c r="I100" s="496">
        <f t="shared" si="40"/>
        <v>3771.04</v>
      </c>
      <c r="J100" s="497">
        <f t="shared" si="38"/>
        <v>2.5000000000000001E-3</v>
      </c>
      <c r="K100" s="899">
        <v>16</v>
      </c>
      <c r="L100" s="890" t="b">
        <f t="shared" si="42"/>
        <v>1</v>
      </c>
    </row>
    <row r="101" spans="1:12" ht="45" x14ac:dyDescent="0.25">
      <c r="A101" s="872" t="str">
        <f t="shared" si="43"/>
        <v>1.11.37</v>
      </c>
      <c r="B101" s="894" t="s">
        <v>25096</v>
      </c>
      <c r="C101" s="874" t="s">
        <v>25079</v>
      </c>
      <c r="D101" s="875" t="s">
        <v>25097</v>
      </c>
      <c r="E101" s="874" t="s">
        <v>83</v>
      </c>
      <c r="F101" s="917">
        <f>'MEM QUIOSQUE - MOD 01'!F147</f>
        <v>8</v>
      </c>
      <c r="G101" s="900">
        <v>86.85</v>
      </c>
      <c r="H101" s="495">
        <f t="shared" si="39"/>
        <v>111.36</v>
      </c>
      <c r="I101" s="496">
        <f t="shared" si="40"/>
        <v>890.88</v>
      </c>
      <c r="J101" s="497">
        <f t="shared" si="38"/>
        <v>5.9999999999999995E-4</v>
      </c>
      <c r="K101" s="899">
        <v>8</v>
      </c>
      <c r="L101" s="890" t="b">
        <f t="shared" si="42"/>
        <v>1</v>
      </c>
    </row>
    <row r="102" spans="1:12" ht="60" x14ac:dyDescent="0.25">
      <c r="A102" s="872" t="str">
        <f t="shared" si="43"/>
        <v>1.11.38</v>
      </c>
      <c r="B102" s="894" t="s">
        <v>4413</v>
      </c>
      <c r="C102" s="874" t="s">
        <v>4404</v>
      </c>
      <c r="D102" s="875" t="str">
        <f>'COMP. - Quiosque'!C1935</f>
        <v>JOELHO 45 GRAUS, PVC, SERIE NORMAL, ESGOTO PREDIAL, DN 75 MM, JUNTA ELÁSTICA, FORNECIDO E INSTALADO EM RAMAL DE DESCARGA OU RAMAL DE ESGOTO SANITÁRIO</v>
      </c>
      <c r="E102" s="874" t="str">
        <f>'COMP. - Quiosque'!C1936</f>
        <v>UND</v>
      </c>
      <c r="F102" s="917">
        <f>'MEM QUIOSQUE - MOD 01'!F148</f>
        <v>4</v>
      </c>
      <c r="G102" s="900">
        <f>'COMP. - Quiosque'!N1970</f>
        <v>23.8</v>
      </c>
      <c r="H102" s="495">
        <f t="shared" si="39"/>
        <v>30.52</v>
      </c>
      <c r="I102" s="496">
        <f t="shared" si="40"/>
        <v>122.08</v>
      </c>
      <c r="J102" s="497">
        <f t="shared" si="38"/>
        <v>1E-4</v>
      </c>
      <c r="K102" s="899">
        <v>4</v>
      </c>
      <c r="L102" s="890" t="b">
        <f t="shared" si="42"/>
        <v>1</v>
      </c>
    </row>
    <row r="103" spans="1:12" ht="60" x14ac:dyDescent="0.25">
      <c r="A103" s="872" t="str">
        <f t="shared" si="43"/>
        <v>1.11.39</v>
      </c>
      <c r="B103" s="894" t="s">
        <v>4414</v>
      </c>
      <c r="C103" s="874" t="s">
        <v>4404</v>
      </c>
      <c r="D103" s="875" t="str">
        <f>'COMP. - Quiosque'!C1976</f>
        <v>JOELHO 45 GRAUS, PVC, SERIE NORMAL, ESGOTO PREDIAL, DN 100 MM, JUNTA ELÁSTICA, FORNECIDO E INSTALADO EM RAMAL DE DESCARGA OU RAMAL DE ESGOTO SANITÁRIO</v>
      </c>
      <c r="E103" s="874" t="str">
        <f>'COMP. - Quiosque'!C1977</f>
        <v>UND</v>
      </c>
      <c r="F103" s="917">
        <f>'MEM QUIOSQUE - MOD 01'!F149</f>
        <v>4</v>
      </c>
      <c r="G103" s="900">
        <f>'COMP. - Quiosque'!N2011</f>
        <v>28.95</v>
      </c>
      <c r="H103" s="495">
        <f t="shared" si="39"/>
        <v>37.119999999999997</v>
      </c>
      <c r="I103" s="496">
        <f t="shared" si="40"/>
        <v>148.47999999999999</v>
      </c>
      <c r="J103" s="497">
        <f t="shared" si="38"/>
        <v>1E-4</v>
      </c>
      <c r="K103" s="899">
        <v>4</v>
      </c>
      <c r="L103" s="890" t="b">
        <f t="shared" si="42"/>
        <v>1</v>
      </c>
    </row>
    <row r="104" spans="1:12" ht="60" x14ac:dyDescent="0.25">
      <c r="A104" s="872" t="str">
        <f t="shared" si="43"/>
        <v>1.11.40</v>
      </c>
      <c r="B104" s="894" t="s">
        <v>24931</v>
      </c>
      <c r="C104" s="874" t="s">
        <v>4404</v>
      </c>
      <c r="D104" s="875" t="str">
        <f>'COMP. - Quiosque'!C2017</f>
        <v>JOELHO 45 GRAUS, PVC, SERIE NORMAL, ESGOTO PREDIAL, DN 50 MM, JUNTA ELÁSTICA, FORNECIDO E INSTALADO EM RAMAL DE DESCARGA OU RAMAL DE ESGOTO SANITÁRIO</v>
      </c>
      <c r="E104" s="874" t="str">
        <f>'COMP. - Quiosque'!C2018</f>
        <v>UND</v>
      </c>
      <c r="F104" s="917">
        <f>'MEM QUIOSQUE - MOD 01'!F150</f>
        <v>32</v>
      </c>
      <c r="G104" s="900">
        <f>'COMP. - Quiosque'!N2052</f>
        <v>13.41</v>
      </c>
      <c r="H104" s="495">
        <f t="shared" si="39"/>
        <v>17.190000000000001</v>
      </c>
      <c r="I104" s="496">
        <f t="shared" si="40"/>
        <v>550.08000000000004</v>
      </c>
      <c r="J104" s="497">
        <f t="shared" si="38"/>
        <v>4.0000000000000002E-4</v>
      </c>
      <c r="K104" s="899">
        <v>32</v>
      </c>
      <c r="L104" s="890" t="b">
        <f t="shared" si="42"/>
        <v>1</v>
      </c>
    </row>
    <row r="105" spans="1:12" ht="60" x14ac:dyDescent="0.25">
      <c r="A105" s="872" t="str">
        <f t="shared" si="43"/>
        <v>1.11.41</v>
      </c>
      <c r="B105" s="894" t="s">
        <v>24932</v>
      </c>
      <c r="C105" s="874" t="s">
        <v>4404</v>
      </c>
      <c r="D105" s="875" t="str">
        <f>'COMP. - Quiosque'!C2057</f>
        <v>JOELHO 45 GRAUS, PVC, SERIE NORMAL, ESGOTO PREDIAL, DN 40 MM, JUNTA SOLDÁVEL, FORNECIDO E INSTALADO EM RAMAL DE DESCARGA OU RAMAL DE ESGOTO SANITÁRIO.</v>
      </c>
      <c r="E105" s="874" t="str">
        <f>'COMP. - Quiosque'!C2058</f>
        <v>und</v>
      </c>
      <c r="F105" s="917">
        <f>'MEM QUIOSQUE - MOD 01'!F151</f>
        <v>8</v>
      </c>
      <c r="G105" s="900">
        <f>'COMP. - Quiosque'!N2096</f>
        <v>6.86</v>
      </c>
      <c r="H105" s="495">
        <f t="shared" si="39"/>
        <v>8.8000000000000007</v>
      </c>
      <c r="I105" s="496">
        <f t="shared" si="40"/>
        <v>70.400000000000006</v>
      </c>
      <c r="J105" s="497">
        <f t="shared" si="38"/>
        <v>0</v>
      </c>
      <c r="K105" s="899">
        <v>8</v>
      </c>
      <c r="L105" s="890" t="b">
        <f t="shared" si="42"/>
        <v>1</v>
      </c>
    </row>
    <row r="106" spans="1:12" ht="60" x14ac:dyDescent="0.25">
      <c r="A106" s="872" t="str">
        <f t="shared" si="43"/>
        <v>1.11.42</v>
      </c>
      <c r="B106" s="894" t="s">
        <v>24933</v>
      </c>
      <c r="C106" s="874" t="s">
        <v>4404</v>
      </c>
      <c r="D106" s="875" t="str">
        <f>'COMP. - Quiosque'!C2102</f>
        <v>JOELHO 90 GRAUS, PVC, SERIE NORMAL, ESGOTO PREDIAL, DN 75 MM, JUNTA ELÁSTI CA, FORNECIDO E INSTALADO EM RAMAL DE DESCARGA OU RAMAL DE ESGOTO SANITÁRIO.</v>
      </c>
      <c r="E106" s="874" t="str">
        <f>'COMP. - Quiosque'!C2103</f>
        <v>und</v>
      </c>
      <c r="F106" s="917">
        <f>'MEM QUIOSQUE - MOD 01'!F152</f>
        <v>4</v>
      </c>
      <c r="G106" s="900">
        <f>'COMP. - Quiosque'!N2140</f>
        <v>20.02</v>
      </c>
      <c r="H106" s="495">
        <f t="shared" si="39"/>
        <v>25.67</v>
      </c>
      <c r="I106" s="496">
        <f t="shared" si="40"/>
        <v>102.68</v>
      </c>
      <c r="J106" s="497">
        <f t="shared" si="38"/>
        <v>1E-4</v>
      </c>
      <c r="K106" s="899">
        <v>4</v>
      </c>
      <c r="L106" s="890" t="b">
        <f t="shared" si="42"/>
        <v>1</v>
      </c>
    </row>
    <row r="107" spans="1:12" ht="60" x14ac:dyDescent="0.25">
      <c r="A107" s="872" t="str">
        <f t="shared" si="43"/>
        <v>1.11.43</v>
      </c>
      <c r="B107" s="894" t="s">
        <v>24934</v>
      </c>
      <c r="C107" s="874" t="s">
        <v>4404</v>
      </c>
      <c r="D107" s="875" t="str">
        <f>'COMP. - Quiosque'!C2146</f>
        <v>JOELHO 90 GRAUS, PVC, SERIE NORMAL, ESGOTO PREDIAL, DN 50 MM, JUNTA ELÁSTICA, FORNECIDO E INSTALADO EM RAMAL DE DESCARGA OU RAMAL DE ESGOTO SANITÁRIO.</v>
      </c>
      <c r="E107" s="874" t="str">
        <f>'COMP. - Quiosque'!C2147</f>
        <v>und</v>
      </c>
      <c r="F107" s="917">
        <f>'MEM QUIOSQUE - MOD 01'!F153</f>
        <v>32</v>
      </c>
      <c r="G107" s="900">
        <f>'COMP. - Quiosque'!N2184</f>
        <v>10.81</v>
      </c>
      <c r="H107" s="495">
        <f t="shared" si="39"/>
        <v>13.86</v>
      </c>
      <c r="I107" s="496">
        <f t="shared" si="40"/>
        <v>443.52</v>
      </c>
      <c r="J107" s="497">
        <f t="shared" si="38"/>
        <v>2.9999999999999997E-4</v>
      </c>
      <c r="K107" s="899">
        <v>32</v>
      </c>
      <c r="L107" s="890" t="b">
        <f t="shared" si="42"/>
        <v>1</v>
      </c>
    </row>
    <row r="108" spans="1:12" ht="60" x14ac:dyDescent="0.25">
      <c r="A108" s="872" t="str">
        <f t="shared" si="43"/>
        <v>1.11.44</v>
      </c>
      <c r="B108" s="894" t="s">
        <v>25062</v>
      </c>
      <c r="C108" s="874" t="s">
        <v>4404</v>
      </c>
      <c r="D108" s="875" t="str">
        <f>'COMP. - Quiosque'!C2190</f>
        <v>JOELHO 90 GRAUS, PVC, SERIE NORMAL, ESGOTO PREDIAL, DN 40 MM, JUNTA SOLDÁV EL, FORNECIDO E INSTALADO EM RAMAL DE DESCARGA OU RAMAL DE ESGOTO SANITÁRIO.</v>
      </c>
      <c r="E108" s="874" t="str">
        <f>'COMP. - Quiosque'!C2191</f>
        <v>und</v>
      </c>
      <c r="F108" s="917">
        <f>'MEM QUIOSQUE - MOD 01'!F154</f>
        <v>16</v>
      </c>
      <c r="G108" s="900">
        <f>'COMP. - Quiosque'!N2229</f>
        <v>10.7</v>
      </c>
      <c r="H108" s="495">
        <f t="shared" si="39"/>
        <v>13.72</v>
      </c>
      <c r="I108" s="496">
        <f t="shared" si="40"/>
        <v>219.52</v>
      </c>
      <c r="J108" s="497">
        <f t="shared" si="38"/>
        <v>1E-4</v>
      </c>
      <c r="K108" s="899">
        <v>16</v>
      </c>
      <c r="L108" s="890" t="b">
        <f t="shared" si="42"/>
        <v>1</v>
      </c>
    </row>
    <row r="109" spans="1:12" ht="30" x14ac:dyDescent="0.25">
      <c r="A109" s="872" t="str">
        <f t="shared" si="43"/>
        <v>1.11.45</v>
      </c>
      <c r="B109" s="894" t="s">
        <v>25098</v>
      </c>
      <c r="C109" s="874" t="s">
        <v>25079</v>
      </c>
      <c r="D109" s="875" t="s">
        <v>25099</v>
      </c>
      <c r="E109" s="874" t="s">
        <v>83</v>
      </c>
      <c r="F109" s="917">
        <f>'MEM QUIOSQUE - MOD 01'!F155</f>
        <v>8</v>
      </c>
      <c r="G109" s="900">
        <v>57.58</v>
      </c>
      <c r="H109" s="495">
        <f t="shared" si="39"/>
        <v>73.83</v>
      </c>
      <c r="I109" s="496">
        <f t="shared" si="40"/>
        <v>590.64</v>
      </c>
      <c r="J109" s="497">
        <f t="shared" si="38"/>
        <v>4.0000000000000002E-4</v>
      </c>
      <c r="K109" s="899">
        <v>8</v>
      </c>
      <c r="L109" s="890" t="b">
        <f t="shared" si="42"/>
        <v>1</v>
      </c>
    </row>
    <row r="110" spans="1:12" ht="30" x14ac:dyDescent="0.25">
      <c r="A110" s="872" t="str">
        <f t="shared" si="43"/>
        <v>1.11.46</v>
      </c>
      <c r="B110" s="894" t="s">
        <v>25100</v>
      </c>
      <c r="C110" s="874" t="s">
        <v>25079</v>
      </c>
      <c r="D110" s="875" t="s">
        <v>25101</v>
      </c>
      <c r="E110" s="874" t="s">
        <v>83</v>
      </c>
      <c r="F110" s="917">
        <f>'MEM QUIOSQUE - MOD 01'!F156</f>
        <v>8</v>
      </c>
      <c r="G110" s="900">
        <v>79.06</v>
      </c>
      <c r="H110" s="495">
        <f t="shared" si="39"/>
        <v>101.37</v>
      </c>
      <c r="I110" s="496">
        <f t="shared" si="40"/>
        <v>810.96</v>
      </c>
      <c r="J110" s="497">
        <f t="shared" si="38"/>
        <v>5.0000000000000001E-4</v>
      </c>
      <c r="K110" s="899">
        <v>8</v>
      </c>
      <c r="L110" s="890" t="b">
        <f t="shared" si="42"/>
        <v>1</v>
      </c>
    </row>
    <row r="111" spans="1:12" ht="30" x14ac:dyDescent="0.25">
      <c r="A111" s="872" t="str">
        <f t="shared" si="43"/>
        <v>1.11.47</v>
      </c>
      <c r="B111" s="894" t="s">
        <v>25102</v>
      </c>
      <c r="C111" s="874" t="s">
        <v>25079</v>
      </c>
      <c r="D111" s="875" t="s">
        <v>25103</v>
      </c>
      <c r="E111" s="874" t="s">
        <v>83</v>
      </c>
      <c r="F111" s="917">
        <f>'MEM QUIOSQUE - MOD 01'!F157</f>
        <v>8</v>
      </c>
      <c r="G111" s="900">
        <v>35.549999999999997</v>
      </c>
      <c r="H111" s="495">
        <f t="shared" si="39"/>
        <v>45.58</v>
      </c>
      <c r="I111" s="496">
        <f t="shared" si="40"/>
        <v>364.64</v>
      </c>
      <c r="J111" s="497">
        <f t="shared" si="38"/>
        <v>2.0000000000000001E-4</v>
      </c>
      <c r="K111" s="899">
        <v>8</v>
      </c>
      <c r="L111" s="890" t="b">
        <f t="shared" si="42"/>
        <v>1</v>
      </c>
    </row>
    <row r="112" spans="1:12" ht="30" x14ac:dyDescent="0.25">
      <c r="A112" s="872" t="str">
        <f t="shared" si="43"/>
        <v>1.11.48</v>
      </c>
      <c r="B112" s="894" t="s">
        <v>25104</v>
      </c>
      <c r="C112" s="874" t="s">
        <v>25079</v>
      </c>
      <c r="D112" s="875" t="s">
        <v>25105</v>
      </c>
      <c r="E112" s="874" t="s">
        <v>83</v>
      </c>
      <c r="F112" s="917">
        <f>'MEM QUIOSQUE - MOD 01'!F158</f>
        <v>4</v>
      </c>
      <c r="G112" s="900">
        <v>66.83</v>
      </c>
      <c r="H112" s="495">
        <f t="shared" si="39"/>
        <v>85.69</v>
      </c>
      <c r="I112" s="496">
        <f t="shared" si="40"/>
        <v>342.76</v>
      </c>
      <c r="J112" s="497">
        <f t="shared" si="38"/>
        <v>2.0000000000000001E-4</v>
      </c>
      <c r="K112" s="899">
        <v>4</v>
      </c>
      <c r="L112" s="890" t="b">
        <f t="shared" si="42"/>
        <v>1</v>
      </c>
    </row>
    <row r="113" spans="1:13" ht="51.75" customHeight="1" x14ac:dyDescent="0.25">
      <c r="A113" s="872" t="str">
        <f t="shared" si="43"/>
        <v>1.11.49</v>
      </c>
      <c r="B113" s="894" t="s">
        <v>25063</v>
      </c>
      <c r="C113" s="874" t="s">
        <v>4404</v>
      </c>
      <c r="D113" s="875" t="str">
        <f>'COMP. - Quiosque'!C2235</f>
        <v>LUVA SIMPLES, PVC, SERIE NORMAL, ESGOTO PREDIAL, DN 75 MM, JUNTA ELÁSTICA, FORNECIDO E INSTALADO EM RAMAL DE DESCARGA OU RAMAL DE ESGOTO SANITÁRIO.</v>
      </c>
      <c r="E113" s="874" t="str">
        <f>'COMP. - Quiosque'!C2236</f>
        <v>und</v>
      </c>
      <c r="F113" s="917">
        <f>'MEM QUIOSQUE - MOD 01'!F159</f>
        <v>20</v>
      </c>
      <c r="G113" s="900">
        <f>'COMP. - Quiosque'!N2273</f>
        <v>16.350000000000001</v>
      </c>
      <c r="H113" s="495">
        <f t="shared" si="39"/>
        <v>20.96</v>
      </c>
      <c r="I113" s="496">
        <f t="shared" si="40"/>
        <v>419.2</v>
      </c>
      <c r="J113" s="497">
        <f t="shared" si="38"/>
        <v>2.9999999999999997E-4</v>
      </c>
      <c r="K113" s="899">
        <v>20</v>
      </c>
      <c r="L113" s="890" t="b">
        <f t="shared" si="42"/>
        <v>1</v>
      </c>
    </row>
    <row r="114" spans="1:13" ht="60" x14ac:dyDescent="0.25">
      <c r="A114" s="872" t="str">
        <f t="shared" si="43"/>
        <v>1.11.50</v>
      </c>
      <c r="B114" s="894" t="s">
        <v>25106</v>
      </c>
      <c r="C114" s="874" t="s">
        <v>4404</v>
      </c>
      <c r="D114" s="875" t="str">
        <f>'COMP. - Quiosque'!C2279</f>
        <v>LUVA SIMPLES, PVC, SERIE NORMAL, ESGOTO PREDIAL, DN 50 MM, JUNTA ELÁSTICA, FORNECIDO E INSTALADO EM RAMAL DE DESCARGA OU RAMAL DE ESGOTO SANITÁRIO.</v>
      </c>
      <c r="E114" s="874" t="str">
        <f>'COMP. - Quiosque'!C2280</f>
        <v>und</v>
      </c>
      <c r="F114" s="917">
        <f>'MEM QUIOSQUE - MOD 01'!F160</f>
        <v>64</v>
      </c>
      <c r="G114" s="900">
        <f>'COMP. - Quiosque'!N2317</f>
        <v>9.59</v>
      </c>
      <c r="H114" s="495">
        <f t="shared" si="39"/>
        <v>12.3</v>
      </c>
      <c r="I114" s="496">
        <f t="shared" si="40"/>
        <v>787.2</v>
      </c>
      <c r="J114" s="497">
        <f t="shared" si="38"/>
        <v>5.0000000000000001E-4</v>
      </c>
      <c r="K114" s="899">
        <v>64</v>
      </c>
      <c r="L114" s="890" t="b">
        <f t="shared" si="42"/>
        <v>1</v>
      </c>
    </row>
    <row r="115" spans="1:13" ht="60" x14ac:dyDescent="0.25">
      <c r="A115" s="872" t="str">
        <f t="shared" si="43"/>
        <v>1.11.51</v>
      </c>
      <c r="B115" s="894" t="s">
        <v>25107</v>
      </c>
      <c r="C115" s="874" t="s">
        <v>4404</v>
      </c>
      <c r="D115" s="875" t="str">
        <f>'COMP. - Quiosque'!C2323</f>
        <v>LUVA SIMPLES, PVC, SERIE NORMAL, ESGOTO PREDIAL, DN 40 MM, JUNTA SOLDÁVEL, FORNECIDO E INSTALADO EM RAMAL DE DESCARGA OU RAMAL DE ESGOTO SANITÁRIO.</v>
      </c>
      <c r="E115" s="918" t="str">
        <f>'COMP. - Quiosque'!C2324</f>
        <v>und</v>
      </c>
      <c r="F115" s="917">
        <f>'MEM QUIOSQUE - MOD 01'!F161</f>
        <v>20</v>
      </c>
      <c r="G115" s="900">
        <f>'COMP. - Quiosque'!N2361</f>
        <v>6.19</v>
      </c>
      <c r="H115" s="495">
        <f t="shared" si="39"/>
        <v>7.94</v>
      </c>
      <c r="I115" s="496">
        <f t="shared" si="40"/>
        <v>158.80000000000001</v>
      </c>
      <c r="J115" s="497">
        <f t="shared" si="38"/>
        <v>1E-4</v>
      </c>
      <c r="K115" s="899">
        <v>20</v>
      </c>
      <c r="L115" s="890" t="b">
        <f t="shared" si="42"/>
        <v>1</v>
      </c>
    </row>
    <row r="116" spans="1:13" ht="60" x14ac:dyDescent="0.25">
      <c r="A116" s="872" t="str">
        <f t="shared" si="43"/>
        <v>1.11.52</v>
      </c>
      <c r="B116" s="894" t="s">
        <v>25108</v>
      </c>
      <c r="C116" s="874" t="s">
        <v>4404</v>
      </c>
      <c r="D116" s="875" t="str">
        <f>'COMP. - Quiosque'!C2368</f>
        <v>LUVA DE CORRER, PVC, SERIE NORMAL, ESGOTO PREDIAL, DN 100 MM, JUNTA ELÁSTICA, FORNECIDO E INSTALADO EM RAMAL DE DESCARGA OU RAMAL DE ESGOTO SANITÁRIO.</v>
      </c>
      <c r="E116" s="874" t="str">
        <f>'COMP. - Quiosque'!C2369</f>
        <v>und</v>
      </c>
      <c r="F116" s="917">
        <f>'MEM QUIOSQUE - MOD 01'!F162</f>
        <v>20</v>
      </c>
      <c r="G116" s="900">
        <f>'COMP. - Quiosque'!N2406</f>
        <v>35.58</v>
      </c>
      <c r="H116" s="495">
        <f t="shared" si="39"/>
        <v>45.62</v>
      </c>
      <c r="I116" s="496">
        <f t="shared" si="40"/>
        <v>912.4</v>
      </c>
      <c r="J116" s="497">
        <f t="shared" si="38"/>
        <v>5.9999999999999995E-4</v>
      </c>
      <c r="K116" s="899">
        <v>20</v>
      </c>
      <c r="L116" s="890" t="b">
        <f t="shared" si="42"/>
        <v>1</v>
      </c>
    </row>
    <row r="117" spans="1:13" x14ac:dyDescent="0.25">
      <c r="A117" s="872" t="str">
        <f t="shared" si="43"/>
        <v>1.11.53</v>
      </c>
      <c r="B117" s="894" t="s">
        <v>25109</v>
      </c>
      <c r="C117" s="874" t="s">
        <v>4404</v>
      </c>
      <c r="D117" s="875" t="str">
        <f>'COMP. - Quiosque'!C478</f>
        <v>Redução 50mm x 40mm</v>
      </c>
      <c r="E117" s="874" t="str">
        <f>'COMP. - Quiosque'!C479</f>
        <v>m2</v>
      </c>
      <c r="F117" s="917">
        <f>'MEM QUIOSQUE - MOD 01'!F163</f>
        <v>16</v>
      </c>
      <c r="G117" s="900">
        <f>'COMP. - Quiosque'!N518</f>
        <v>13.81</v>
      </c>
      <c r="H117" s="495">
        <f t="shared" si="39"/>
        <v>17.71</v>
      </c>
      <c r="I117" s="496">
        <f t="shared" si="40"/>
        <v>283.36</v>
      </c>
      <c r="J117" s="497">
        <f t="shared" si="38"/>
        <v>2.0000000000000001E-4</v>
      </c>
      <c r="K117" s="899">
        <v>16</v>
      </c>
      <c r="L117" s="890" t="b">
        <f t="shared" si="42"/>
        <v>1</v>
      </c>
    </row>
    <row r="118" spans="1:13" ht="45" x14ac:dyDescent="0.25">
      <c r="A118" s="872" t="str">
        <f t="shared" si="43"/>
        <v>1.11.54</v>
      </c>
      <c r="B118" s="894" t="s">
        <v>25110</v>
      </c>
      <c r="C118" s="874" t="s">
        <v>25079</v>
      </c>
      <c r="D118" s="875" t="s">
        <v>25111</v>
      </c>
      <c r="E118" s="874" t="s">
        <v>83</v>
      </c>
      <c r="F118" s="917">
        <f>'MEM QUIOSQUE - MOD 01'!F164</f>
        <v>16</v>
      </c>
      <c r="G118" s="900">
        <v>31.52</v>
      </c>
      <c r="H118" s="495">
        <f t="shared" si="39"/>
        <v>40.409999999999997</v>
      </c>
      <c r="I118" s="496">
        <f t="shared" si="40"/>
        <v>646.55999999999995</v>
      </c>
      <c r="J118" s="497">
        <f t="shared" si="38"/>
        <v>4.0000000000000002E-4</v>
      </c>
      <c r="K118" s="899">
        <v>16</v>
      </c>
      <c r="L118" s="890" t="b">
        <f t="shared" si="42"/>
        <v>1</v>
      </c>
    </row>
    <row r="119" spans="1:13" ht="30" x14ac:dyDescent="0.25">
      <c r="A119" s="872" t="str">
        <f t="shared" si="43"/>
        <v>1.11.55</v>
      </c>
      <c r="B119" s="894" t="s">
        <v>25112</v>
      </c>
      <c r="C119" s="874" t="s">
        <v>25079</v>
      </c>
      <c r="D119" s="875" t="s">
        <v>25113</v>
      </c>
      <c r="E119" s="874" t="s">
        <v>83</v>
      </c>
      <c r="F119" s="917">
        <f>'MEM QUIOSQUE - MOD 01'!F165</f>
        <v>8</v>
      </c>
      <c r="G119" s="900">
        <v>27.81</v>
      </c>
      <c r="H119" s="495">
        <f t="shared" si="39"/>
        <v>35.659999999999997</v>
      </c>
      <c r="I119" s="496">
        <f t="shared" si="40"/>
        <v>285.27999999999997</v>
      </c>
      <c r="J119" s="497">
        <f t="shared" si="38"/>
        <v>2.0000000000000001E-4</v>
      </c>
      <c r="K119" s="899">
        <v>8</v>
      </c>
      <c r="L119" s="890" t="b">
        <f t="shared" si="42"/>
        <v>1</v>
      </c>
    </row>
    <row r="120" spans="1:13" ht="30" x14ac:dyDescent="0.25">
      <c r="A120" s="872" t="str">
        <f t="shared" si="43"/>
        <v>1.11.56</v>
      </c>
      <c r="B120" s="894" t="s">
        <v>25114</v>
      </c>
      <c r="C120" s="874" t="s">
        <v>25079</v>
      </c>
      <c r="D120" s="875" t="s">
        <v>25115</v>
      </c>
      <c r="E120" s="874" t="s">
        <v>83</v>
      </c>
      <c r="F120" s="917">
        <f>'MEM QUIOSQUE - MOD 01'!F166</f>
        <v>4</v>
      </c>
      <c r="G120" s="900">
        <v>49.14</v>
      </c>
      <c r="H120" s="495">
        <f t="shared" si="39"/>
        <v>63.01</v>
      </c>
      <c r="I120" s="496">
        <f t="shared" si="40"/>
        <v>252.04</v>
      </c>
      <c r="J120" s="497">
        <f t="shared" si="38"/>
        <v>2.0000000000000001E-4</v>
      </c>
      <c r="K120" s="899">
        <v>4</v>
      </c>
      <c r="L120" s="890" t="b">
        <f t="shared" si="42"/>
        <v>1</v>
      </c>
    </row>
    <row r="121" spans="1:13" ht="30" x14ac:dyDescent="0.25">
      <c r="A121" s="872" t="str">
        <f t="shared" si="43"/>
        <v>1.11.57</v>
      </c>
      <c r="B121" s="894" t="s">
        <v>25116</v>
      </c>
      <c r="C121" s="874" t="s">
        <v>25079</v>
      </c>
      <c r="D121" s="875" t="s">
        <v>25117</v>
      </c>
      <c r="E121" s="874" t="s">
        <v>83</v>
      </c>
      <c r="F121" s="917">
        <f>'MEM QUIOSQUE - MOD 01'!F167</f>
        <v>8</v>
      </c>
      <c r="G121" s="900">
        <v>31.12</v>
      </c>
      <c r="H121" s="495">
        <f t="shared" si="39"/>
        <v>39.9</v>
      </c>
      <c r="I121" s="496">
        <f t="shared" si="40"/>
        <v>319.2</v>
      </c>
      <c r="J121" s="497">
        <f t="shared" si="38"/>
        <v>2.0000000000000001E-4</v>
      </c>
      <c r="K121" s="899">
        <v>8</v>
      </c>
      <c r="L121" s="890" t="b">
        <f t="shared" si="42"/>
        <v>1</v>
      </c>
    </row>
    <row r="122" spans="1:13" ht="75" x14ac:dyDescent="0.25">
      <c r="A122" s="872" t="str">
        <f t="shared" si="43"/>
        <v>1.11.58</v>
      </c>
      <c r="B122" s="894" t="s">
        <v>1388</v>
      </c>
      <c r="C122" s="874" t="s">
        <v>4379</v>
      </c>
      <c r="D122" s="875" t="str">
        <f>IF($C122="DER-ED",VLOOKUP($B122,'DER-ED'!$A:$H,2,FALSE),IF(C122="DER-RD",VLOOKUP($B122,'DER-RD'!$A:$F,2,FALSE),IF($C122="COMP.","&gt;&gt;&gt;&gt;&gt;&gt;&gt;&gt;&gt;&gt; Digite aqui a descrição e apresente a composição detalhada.","← Escolha o Orgão e digite o Código")))</f>
        <v>Caixa de inspeção em alv. bloco concreto 9x19x39cm, dim. 60x60cm e Hmáx=1m, c/ tampa de ferro fundido 40x40cm, lastro de concreto esp.10cm, revest. interno c/ chapisco e reboco impermeabiliz, incl. escavação, reaterro e enchimento</v>
      </c>
      <c r="E122" s="874" t="str">
        <f>IF($C122="DER-ED",VLOOKUP($B122,'DER-ED'!$A:$H,3,FALSE),IF($C122="DER-RD",LOWER(VLOOKUP($B122,'DER-RD'!$A:$F,3,FALSE)),IF($C122="COMP.","digite"," ")))</f>
        <v>und</v>
      </c>
      <c r="F122" s="917">
        <f>'MEM QUIOSQUE - MOD 01'!F168</f>
        <v>4</v>
      </c>
      <c r="G122" s="494">
        <f>IF($C122="DER-ED",VLOOKUP($B122,'DER-ED'!$A:$H,6,FALSE),IF($C122="DER-RD",VLOOKUP($B122,'DER-RD'!$A:$H,7,FALSE),))</f>
        <v>636.17999999999995</v>
      </c>
      <c r="H122" s="495">
        <f t="shared" si="39"/>
        <v>815.71</v>
      </c>
      <c r="I122" s="496">
        <f t="shared" si="40"/>
        <v>3262.84</v>
      </c>
      <c r="J122" s="497">
        <f t="shared" si="38"/>
        <v>2.0999999999999999E-3</v>
      </c>
      <c r="K122" s="899">
        <v>4</v>
      </c>
      <c r="L122" s="890" t="b">
        <f t="shared" si="42"/>
        <v>1</v>
      </c>
    </row>
    <row r="123" spans="1:13" ht="75" x14ac:dyDescent="0.25">
      <c r="A123" s="872" t="str">
        <f t="shared" si="43"/>
        <v>1.11.59</v>
      </c>
      <c r="B123" s="894" t="s">
        <v>25118</v>
      </c>
      <c r="C123" s="874" t="s">
        <v>4404</v>
      </c>
      <c r="D123" s="875" t="str">
        <f>'COMP. - Quiosque'!C667</f>
        <v>Caixa de gordura simples de alv. bloco concr.9x19x39cm, dim.1250mmx550mm e Hmáx=1m, com tampa em concr.esp.5cm, lastro concr. esp. 10cm, revestida intern. c/ chapisco e reboco impermeab, escavação, reaterro e parede interna em concr.</v>
      </c>
      <c r="E123" s="874" t="str">
        <f>'COMP. - Quiosque'!C668</f>
        <v>und</v>
      </c>
      <c r="F123" s="917">
        <f>'MEM QUIOSQUE - MOD 01'!F169</f>
        <v>4</v>
      </c>
      <c r="G123" s="900">
        <f>'COMP. - Quiosque'!N721</f>
        <v>859.47</v>
      </c>
      <c r="H123" s="495">
        <f t="shared" si="39"/>
        <v>1102.01</v>
      </c>
      <c r="I123" s="496">
        <f t="shared" si="40"/>
        <v>4408.04</v>
      </c>
      <c r="J123" s="497">
        <f t="shared" si="38"/>
        <v>2.8999999999999998E-3</v>
      </c>
      <c r="K123" s="899">
        <v>4</v>
      </c>
      <c r="L123" s="890" t="b">
        <f t="shared" si="42"/>
        <v>1</v>
      </c>
    </row>
    <row r="124" spans="1:13" s="924" customFormat="1" x14ac:dyDescent="0.25">
      <c r="A124" s="919"/>
      <c r="B124" s="920"/>
      <c r="C124" s="911"/>
      <c r="D124" s="912" t="s">
        <v>25119</v>
      </c>
      <c r="E124" s="911"/>
      <c r="F124" s="921"/>
      <c r="G124" s="922"/>
      <c r="H124" s="923"/>
      <c r="I124" s="913">
        <f>SUM(I125:I132)</f>
        <v>50504.3</v>
      </c>
      <c r="J124" s="914"/>
      <c r="K124" s="899"/>
      <c r="L124" s="890"/>
      <c r="M124" s="925"/>
    </row>
    <row r="125" spans="1:13" s="924" customFormat="1" ht="60" x14ac:dyDescent="0.25">
      <c r="A125" s="872" t="str">
        <f>CONCATENATE($A$59,".",RIGHT(A122,LEN(A122)-5)+1)</f>
        <v>1.11.59</v>
      </c>
      <c r="B125" s="894" t="s">
        <v>2237</v>
      </c>
      <c r="C125" s="874" t="s">
        <v>4379</v>
      </c>
      <c r="D125" s="875" t="str">
        <f>IF($C125="DER-ED",VLOOKUP($B125,'DER-ED'!$A:$H,2,FALSE),IF(C125="DER-RD",VLOOKUP($B125,'DER-RD'!$A:$F,2,FALSE),IF($C125="COMP.","&gt;&gt;&gt;&gt;&gt;&gt;&gt;&gt;&gt;&gt; Digite aqui a descrição e apresente a composição detalhada.","← Escolha o Orgão e digite o Código")))</f>
        <v>Bacia sifonada de louça branca para portadores de necessidades especiais, Vogue Plus Conforto - Linha Conforto, mod P51, incl. assento com abertura frontal, ref.AP52,marca de ref. Deca ou equivalente</v>
      </c>
      <c r="E125" s="874" t="str">
        <f>IF($C125="DER-ED",VLOOKUP($B125,'DER-ED'!$A:$H,3,FALSE),IF($C125="DER-RD",LOWER(VLOOKUP($B125,'DER-RD'!$A:$F,3,FALSE)),IF($C125="COMP.","digite"," ")))</f>
        <v>und</v>
      </c>
      <c r="F125" s="493">
        <f>'MEM QUIOSQUE - MOD 01'!F171</f>
        <v>8</v>
      </c>
      <c r="G125" s="494">
        <f>IF($C125="DER-ED",VLOOKUP($B125,'DER-ED'!$A:$H,6,FALSE),IF($C125="DER-RD",VLOOKUP($B125,'DER-RD'!$A:$H,7,FALSE),))</f>
        <v>2196.1</v>
      </c>
      <c r="H125" s="495">
        <f t="shared" ref="H125:H132" si="44">G125*(1+($I$3))</f>
        <v>2815.84</v>
      </c>
      <c r="I125" s="496">
        <f t="shared" ref="I125:I132" si="45">ROUND((F125*H125),2)</f>
        <v>22526.720000000001</v>
      </c>
      <c r="J125" s="497">
        <f t="shared" si="38"/>
        <v>1.47E-2</v>
      </c>
      <c r="K125" s="899">
        <v>8</v>
      </c>
      <c r="L125" s="890" t="b">
        <f t="shared" si="42"/>
        <v>1</v>
      </c>
      <c r="M125" s="925"/>
    </row>
    <row r="126" spans="1:13" s="924" customFormat="1" ht="45" x14ac:dyDescent="0.25">
      <c r="A126" s="872" t="str">
        <f t="shared" ref="A126:A132" si="46">CONCATENATE($A$59,".",RIGHT(A125,LEN(A125)-5)+1)</f>
        <v>1.11.60</v>
      </c>
      <c r="B126" s="894" t="s">
        <v>25120</v>
      </c>
      <c r="C126" s="874" t="s">
        <v>4404</v>
      </c>
      <c r="D126" s="875" t="str">
        <f>'COMP. - Quiosque'!C2412</f>
        <v>LAVATÓRIO LOUÇA BRANCA COM COLUNA, *44 X 35,5* CM, PADRÃO POPULAR - FORNECIMENTO E INSTALAÇÃO.</v>
      </c>
      <c r="E126" s="874" t="str">
        <f>'COMP. - Quiosque'!C2413</f>
        <v>und</v>
      </c>
      <c r="F126" s="493">
        <f>'MEM QUIOSQUE - MOD 01'!F172</f>
        <v>8</v>
      </c>
      <c r="G126" s="900">
        <f>'COMP. - Quiosque'!N2450</f>
        <v>247.53</v>
      </c>
      <c r="H126" s="495">
        <f t="shared" si="44"/>
        <v>317.38</v>
      </c>
      <c r="I126" s="496">
        <f t="shared" si="45"/>
        <v>2539.04</v>
      </c>
      <c r="J126" s="497">
        <f t="shared" si="38"/>
        <v>1.6999999999999999E-3</v>
      </c>
      <c r="K126" s="899">
        <v>8</v>
      </c>
      <c r="L126" s="890" t="b">
        <f t="shared" si="42"/>
        <v>1</v>
      </c>
      <c r="M126" s="925"/>
    </row>
    <row r="127" spans="1:13" s="924" customFormat="1" ht="42" customHeight="1" x14ac:dyDescent="0.25">
      <c r="A127" s="872" t="str">
        <f t="shared" si="46"/>
        <v>1.11.61</v>
      </c>
      <c r="B127" s="894" t="s">
        <v>1094</v>
      </c>
      <c r="C127" s="874" t="s">
        <v>4379</v>
      </c>
      <c r="D127" s="875" t="str">
        <f>IF($C127="DER-ED",VLOOKUP($B127,'DER-ED'!$A:$H,2,FALSE),IF(C127="DER-RD",VLOOKUP($B127,'DER-RD'!$A:$F,2,FALSE),IF($C127="COMP.","&gt;&gt;&gt;&gt;&gt;&gt;&gt;&gt;&gt;&gt; Digite aqui a descrição e apresente a composição detalhada.","← Escolha o Orgão e digite o Código")))</f>
        <v>Espelho para banheiros espessura 4 mm, incluindo chapa compensada 10 mm, moldura de alumínio em perfil L 3/4", fixado com parafusos cromados</v>
      </c>
      <c r="E127" s="874" t="str">
        <f>IF($C127="DER-ED",VLOOKUP($B127,'DER-ED'!$A:$H,3,FALSE),IF($C127="DER-RD",LOWER(VLOOKUP($B127,'DER-RD'!$A:$F,3,FALSE)),IF($C127="COMP.","digite"," ")))</f>
        <v>m2</v>
      </c>
      <c r="F127" s="493">
        <f>'MEM QUIOSQUE - MOD 01'!F173</f>
        <v>2</v>
      </c>
      <c r="G127" s="494">
        <f>IF($C127="DER-ED",VLOOKUP($B127,'DER-ED'!$A:$H,6,FALSE),IF($C127="DER-RD",VLOOKUP($B127,'DER-RD'!$A:$H,7,FALSE),))</f>
        <v>667.41</v>
      </c>
      <c r="H127" s="495">
        <f t="shared" si="44"/>
        <v>855.75</v>
      </c>
      <c r="I127" s="496">
        <f t="shared" si="45"/>
        <v>1711.5</v>
      </c>
      <c r="J127" s="497">
        <f t="shared" ref="J127:J159" si="47">I127/$I$8</f>
        <v>1.1000000000000001E-3</v>
      </c>
      <c r="K127" s="899">
        <v>2</v>
      </c>
      <c r="L127" s="890" t="b">
        <f t="shared" si="42"/>
        <v>1</v>
      </c>
      <c r="M127" s="925"/>
    </row>
    <row r="128" spans="1:13" ht="45" x14ac:dyDescent="0.25">
      <c r="A128" s="872" t="str">
        <f t="shared" si="46"/>
        <v>1.11.62</v>
      </c>
      <c r="B128" s="894" t="s">
        <v>25121</v>
      </c>
      <c r="C128" s="874" t="s">
        <v>4404</v>
      </c>
      <c r="D128" s="875" t="str">
        <f>'COMP. - Quiosque'!C2457</f>
        <v>BARRA DE APOIO RETA, EM ACO INOX POLIDO, COMPRIMENTO 70 CM,  FIXADA NA PAREDE - FORNECIMENTO E INSTALAÇÃO.</v>
      </c>
      <c r="E128" s="874" t="str">
        <f>'COMP. - Quiosque'!C2458</f>
        <v>und</v>
      </c>
      <c r="F128" s="493">
        <f>'MEM QUIOSQUE - MOD 01'!F174</f>
        <v>8</v>
      </c>
      <c r="G128" s="900">
        <f>'COMP. - Quiosque'!N2494</f>
        <v>271.08999999999997</v>
      </c>
      <c r="H128" s="495">
        <f t="shared" si="44"/>
        <v>347.59</v>
      </c>
      <c r="I128" s="496">
        <f t="shared" si="45"/>
        <v>2780.72</v>
      </c>
      <c r="J128" s="497">
        <f t="shared" si="47"/>
        <v>1.8E-3</v>
      </c>
      <c r="K128" s="899">
        <v>8</v>
      </c>
      <c r="L128" s="890" t="b">
        <f t="shared" si="42"/>
        <v>1</v>
      </c>
    </row>
    <row r="129" spans="1:12" ht="45" x14ac:dyDescent="0.25">
      <c r="A129" s="872" t="str">
        <f t="shared" si="46"/>
        <v>1.11.63</v>
      </c>
      <c r="B129" s="894" t="s">
        <v>25122</v>
      </c>
      <c r="C129" s="874" t="s">
        <v>4404</v>
      </c>
      <c r="D129" s="875" t="str">
        <f>'COMP. - Quiosque'!C2501</f>
        <v>BARRA DE APOIO RETA, EM ACO INOX POLIDO, COMPRIMENTO 80 CM,  FIXADA NA PAR EDE - FORNECIMENTO E INSTALAÇÃO.</v>
      </c>
      <c r="E129" s="874" t="str">
        <f>'COMP. - Quiosque'!C2502</f>
        <v>und</v>
      </c>
      <c r="F129" s="493">
        <f>'MEM QUIOSQUE - MOD 01'!F175</f>
        <v>8</v>
      </c>
      <c r="G129" s="900">
        <f>'COMP. - Quiosque'!N2538</f>
        <v>281.81</v>
      </c>
      <c r="H129" s="495">
        <f t="shared" si="44"/>
        <v>361.34</v>
      </c>
      <c r="I129" s="496">
        <f t="shared" si="45"/>
        <v>2890.72</v>
      </c>
      <c r="J129" s="497">
        <f t="shared" si="47"/>
        <v>1.9E-3</v>
      </c>
      <c r="K129" s="899">
        <v>8</v>
      </c>
      <c r="L129" s="890" t="b">
        <f t="shared" si="42"/>
        <v>1</v>
      </c>
    </row>
    <row r="130" spans="1:12" ht="30" x14ac:dyDescent="0.25">
      <c r="A130" s="872" t="str">
        <f t="shared" si="46"/>
        <v>1.11.64</v>
      </c>
      <c r="B130" s="894" t="s">
        <v>2325</v>
      </c>
      <c r="C130" s="874" t="s">
        <v>4379</v>
      </c>
      <c r="D130" s="875" t="str">
        <f>IF($C130="DER-ED",VLOOKUP($B130,'DER-ED'!$A:$H,2,FALSE),IF(C130="DER-RD",VLOOKUP($B130,'DER-RD'!$A:$F,2,FALSE),IF($C130="COMP.","&gt;&gt;&gt;&gt;&gt;&gt;&gt;&gt;&gt;&gt; Digite aqui a descrição e apresente a composição detalhada.","← Escolha o Orgão e digite o Código")))</f>
        <v>Torneira para lavatório linha anti-vandalismo, marcas de referência Fabrimar, Deca ou Docol</v>
      </c>
      <c r="E130" s="874" t="str">
        <f>IF($C130="DER-ED",VLOOKUP($B130,'DER-ED'!$A:$H,3,FALSE),IF($C130="DER-RD",LOWER(VLOOKUP($B130,'DER-RD'!$A:$F,3,FALSE)),IF($C130="COMP.","digite"," ")))</f>
        <v>und</v>
      </c>
      <c r="F130" s="493">
        <f>'MEM QUIOSQUE - MOD 01'!F176</f>
        <v>8</v>
      </c>
      <c r="G130" s="494">
        <f>IF($C130="DER-ED",VLOOKUP($B130,'DER-ED'!$A:$H,6,FALSE),IF($C130="DER-RD",VLOOKUP($B130,'DER-RD'!$A:$H,7,FALSE),))</f>
        <v>856.92</v>
      </c>
      <c r="H130" s="495">
        <f t="shared" si="44"/>
        <v>1098.74</v>
      </c>
      <c r="I130" s="496">
        <f t="shared" si="45"/>
        <v>8789.92</v>
      </c>
      <c r="J130" s="497">
        <f t="shared" si="47"/>
        <v>5.7999999999999996E-3</v>
      </c>
      <c r="K130" s="899">
        <v>8</v>
      </c>
      <c r="L130" s="890" t="b">
        <f t="shared" si="42"/>
        <v>1</v>
      </c>
    </row>
    <row r="131" spans="1:12" ht="45" x14ac:dyDescent="0.25">
      <c r="A131" s="872" t="str">
        <f t="shared" si="46"/>
        <v>1.11.65</v>
      </c>
      <c r="B131" s="894" t="s">
        <v>2346</v>
      </c>
      <c r="C131" s="874" t="s">
        <v>4379</v>
      </c>
      <c r="D131" s="875" t="str">
        <f>IF($C131="DER-ED",VLOOKUP($B131,'DER-ED'!$A:$H,2,FALSE),IF(C131="DER-RD",VLOOKUP($B131,'DER-RD'!$A:$F,2,FALSE),IF($C131="COMP.","&gt;&gt;&gt;&gt;&gt;&gt;&gt;&gt;&gt;&gt; Digite aqui a descrição e apresente a composição detalhada.","← Escolha o Orgão e digite o Código")))</f>
        <v>Cuba de aço inox n° 1(dim.460x300x150)mm, marcas de referência Franke, Strake, tramontina, inclusive válvula de metal 31/2" e sifão cromado 1 x 1/2", excl. torneira</v>
      </c>
      <c r="E131" s="874" t="str">
        <f>IF($C131="DER-ED",VLOOKUP($B131,'DER-ED'!$A:$H,3,FALSE),IF($C131="DER-RD",LOWER(VLOOKUP($B131,'DER-RD'!$A:$F,3,FALSE)),IF($C131="COMP.","digite"," ")))</f>
        <v>und</v>
      </c>
      <c r="F131" s="493">
        <f>'MEM QUIOSQUE - MOD 01'!F177</f>
        <v>8</v>
      </c>
      <c r="G131" s="494">
        <f>IF($C131="DER-ED",VLOOKUP($B131,'DER-ED'!$A:$H,6,FALSE),IF($C131="DER-RD",VLOOKUP($B131,'DER-RD'!$A:$H,7,FALSE),))</f>
        <v>582.32000000000005</v>
      </c>
      <c r="H131" s="495">
        <f t="shared" si="44"/>
        <v>746.65</v>
      </c>
      <c r="I131" s="496">
        <f t="shared" si="45"/>
        <v>5973.2</v>
      </c>
      <c r="J131" s="497">
        <f t="shared" si="47"/>
        <v>3.8999999999999998E-3</v>
      </c>
      <c r="K131" s="899">
        <v>8</v>
      </c>
      <c r="L131" s="890" t="b">
        <f t="shared" si="42"/>
        <v>1</v>
      </c>
    </row>
    <row r="132" spans="1:12" ht="30" x14ac:dyDescent="0.25">
      <c r="A132" s="872" t="str">
        <f t="shared" si="46"/>
        <v>1.11.66</v>
      </c>
      <c r="B132" s="894" t="s">
        <v>2322</v>
      </c>
      <c r="C132" s="874" t="s">
        <v>4379</v>
      </c>
      <c r="D132" s="875" t="str">
        <f>IF($C132="DER-ED",VLOOKUP($B132,'DER-ED'!$A:$H,2,FALSE),IF(C132="DER-RD",VLOOKUP($B132,'DER-RD'!$A:$F,2,FALSE),IF($C132="COMP.","&gt;&gt;&gt;&gt;&gt;&gt;&gt;&gt;&gt;&gt; Digite aqui a descrição e apresente a composição detalhada.","← Escolha o Orgão e digite o Código")))</f>
        <v>Torneira de parede cromada, marcas de referência Fabrimar (linha prática, ref.1157) , Deca ou Docol</v>
      </c>
      <c r="E132" s="874" t="str">
        <f>IF($C132="DER-ED",VLOOKUP($B132,'DER-ED'!$A:$H,3,FALSE),IF($C132="DER-RD",LOWER(VLOOKUP($B132,'DER-RD'!$A:$F,3,FALSE)),IF($C132="COMP.","digite"," ")))</f>
        <v>und</v>
      </c>
      <c r="F132" s="493">
        <f>'MEM QUIOSQUE - MOD 01'!F178</f>
        <v>8</v>
      </c>
      <c r="G132" s="494">
        <f>IF($C132="DER-ED",VLOOKUP($B132,'DER-ED'!$A:$H,6,FALSE),IF($C132="DER-RD",VLOOKUP($B132,'DER-RD'!$A:$H,7,FALSE),))</f>
        <v>320.98</v>
      </c>
      <c r="H132" s="495">
        <f t="shared" si="44"/>
        <v>411.56</v>
      </c>
      <c r="I132" s="496">
        <f t="shared" si="45"/>
        <v>3292.48</v>
      </c>
      <c r="J132" s="497">
        <f t="shared" si="47"/>
        <v>2.2000000000000001E-3</v>
      </c>
      <c r="K132" s="899">
        <v>8</v>
      </c>
      <c r="L132" s="890" t="b">
        <f t="shared" si="42"/>
        <v>1</v>
      </c>
    </row>
    <row r="133" spans="1:12" x14ac:dyDescent="0.25">
      <c r="A133" s="901"/>
      <c r="B133" s="894"/>
      <c r="C133" s="902"/>
      <c r="D133" s="926" t="s">
        <v>60</v>
      </c>
      <c r="E133" s="902"/>
      <c r="F133" s="493"/>
      <c r="G133" s="927"/>
      <c r="H133" s="495"/>
      <c r="I133" s="913">
        <f>SUM(I134:I135)</f>
        <v>24984.09</v>
      </c>
      <c r="J133" s="914"/>
      <c r="K133" s="899">
        <v>0</v>
      </c>
      <c r="L133" s="890" t="b">
        <f t="shared" si="42"/>
        <v>1</v>
      </c>
    </row>
    <row r="134" spans="1:12" ht="45" x14ac:dyDescent="0.25">
      <c r="A134" s="872" t="str">
        <f>CONCATENATE($A$59,".",RIGHT(A132,LEN(A132)-5)+1)</f>
        <v>1.11.67</v>
      </c>
      <c r="B134" s="874" t="s">
        <v>25123</v>
      </c>
      <c r="C134" s="874" t="s">
        <v>4404</v>
      </c>
      <c r="D134" s="875" t="str">
        <f>'COMP. - Quiosque'!C940</f>
        <v>Bancada e rodabanca em granito Branco Siena, acabamento polido e impermeabilizado, conforme detalhes em projeto</v>
      </c>
      <c r="E134" s="874" t="str">
        <f>'COMP. - Quiosque'!C941</f>
        <v>m2</v>
      </c>
      <c r="F134" s="493">
        <f>'MEM QUIOSQUE - MOD 01'!F180</f>
        <v>17.760000000000002</v>
      </c>
      <c r="G134" s="877">
        <f>'COMP. - Quiosque'!N978</f>
        <v>702.92</v>
      </c>
      <c r="H134" s="495">
        <f t="shared" ref="H134:H135" si="48">G134*(1+($I$3))</f>
        <v>901.28</v>
      </c>
      <c r="I134" s="496">
        <f t="shared" ref="I134:I135" si="49">ROUND((F134*H134),2)</f>
        <v>16006.73</v>
      </c>
      <c r="J134" s="497">
        <f t="shared" si="47"/>
        <v>1.0500000000000001E-2</v>
      </c>
      <c r="K134" s="899">
        <v>17.760000000000002</v>
      </c>
      <c r="L134" s="890" t="b">
        <f t="shared" si="42"/>
        <v>1</v>
      </c>
    </row>
    <row r="135" spans="1:12" ht="45" x14ac:dyDescent="0.25">
      <c r="A135" s="872" t="str">
        <f>CONCATENATE($A$59,".",RIGHT(A134,LEN(A134)-5)+1)</f>
        <v>1.11.68</v>
      </c>
      <c r="B135" s="874" t="s">
        <v>25124</v>
      </c>
      <c r="C135" s="874" t="s">
        <v>4404</v>
      </c>
      <c r="D135" s="875" t="str">
        <f>'COMP. - Quiosque'!C984</f>
        <v>Balcão de Atendimento em granito Branco Siena, acabamento polido e impermeabilizado, conforme detalhes em projeto</v>
      </c>
      <c r="E135" s="874" t="str">
        <f>'COMP. - Quiosque'!C985</f>
        <v>m2</v>
      </c>
      <c r="F135" s="493">
        <f>'MEM QUIOSQUE - MOD 01'!F187</f>
        <v>6.8</v>
      </c>
      <c r="G135" s="877">
        <f>'COMP. - Quiosque'!N1022</f>
        <v>1029.6400000000001</v>
      </c>
      <c r="H135" s="495">
        <f t="shared" si="48"/>
        <v>1320.2</v>
      </c>
      <c r="I135" s="496">
        <f t="shared" si="49"/>
        <v>8977.36</v>
      </c>
      <c r="J135" s="497">
        <f t="shared" si="47"/>
        <v>5.8999999999999999E-3</v>
      </c>
      <c r="K135" s="899">
        <v>6.8</v>
      </c>
      <c r="L135" s="890" t="b">
        <f t="shared" si="42"/>
        <v>1</v>
      </c>
    </row>
    <row r="136" spans="1:12" x14ac:dyDescent="0.25">
      <c r="A136" s="905" t="s">
        <v>25125</v>
      </c>
      <c r="B136" s="891" t="s">
        <v>98</v>
      </c>
      <c r="C136" s="906"/>
      <c r="D136" s="907" t="s">
        <v>1522</v>
      </c>
      <c r="E136" s="906"/>
      <c r="F136" s="908"/>
      <c r="G136" s="909"/>
      <c r="H136" s="910"/>
      <c r="I136" s="892">
        <f>SUBTOTAL(9,I137:I159)</f>
        <v>28626.5</v>
      </c>
      <c r="J136" s="893">
        <f>I136/I8</f>
        <v>1.8700000000000001E-2</v>
      </c>
      <c r="K136" s="899"/>
      <c r="L136" s="890"/>
    </row>
    <row r="137" spans="1:12" x14ac:dyDescent="0.25">
      <c r="A137" s="872" t="str">
        <f>CONCATENATE(A136,".",1)</f>
        <v>1.12.1</v>
      </c>
      <c r="B137" s="894" t="s">
        <v>1567</v>
      </c>
      <c r="C137" s="874" t="s">
        <v>4379</v>
      </c>
      <c r="D137" s="875" t="str">
        <f>IF($C137="DER-ED",VLOOKUP($B137,'DER-ED'!$A:$H,2,FALSE),IF(C137="DER-RD",VLOOKUP($B137,'DER-RD'!$A:$F,2,FALSE),IF($C137="COMP.","&gt;&gt;&gt;&gt;&gt;&gt;&gt;&gt;&gt;&gt; Digite aqui a descrição e apresente a composição detalhada.","← Escolha o Orgão e digite o Código")))</f>
        <v>Caixa de embutir marca de referência Tigreflex, 4x2"</v>
      </c>
      <c r="E137" s="874" t="str">
        <f>IF($C137="DER-ED",VLOOKUP($B137,'DER-ED'!$A:$H,3,FALSE),IF($C137="DER-RD",LOWER(VLOOKUP($B137,'DER-RD'!$A:$F,3,FALSE)),IF($C137="COMP.","digite"," ")))</f>
        <v>und</v>
      </c>
      <c r="F137" s="493">
        <f>'MEM QUIOSQUE - MOD 01'!F189</f>
        <v>24</v>
      </c>
      <c r="G137" s="494">
        <f>IF($C137="DER-ED",VLOOKUP($B137,'DER-ED'!$A:$H,6,FALSE),IF($C137="DER-RD",VLOOKUP($B137,'DER-RD'!$A:$H,7,FALSE),))</f>
        <v>8.61</v>
      </c>
      <c r="H137" s="495">
        <f t="shared" ref="H137:H159" si="50">G137*(1+($I$3))</f>
        <v>11.04</v>
      </c>
      <c r="I137" s="496">
        <f t="shared" ref="I137:I159" si="51">ROUND((F137*H137),2)</f>
        <v>264.95999999999998</v>
      </c>
      <c r="J137" s="497">
        <f t="shared" si="47"/>
        <v>2.0000000000000001E-4</v>
      </c>
      <c r="K137" s="899">
        <v>24</v>
      </c>
      <c r="L137" s="890" t="b">
        <f t="shared" si="42"/>
        <v>1</v>
      </c>
    </row>
    <row r="138" spans="1:12" x14ac:dyDescent="0.25">
      <c r="A138" s="872" t="str">
        <f>CONCATENATE($A$136,".",RIGHT(A137,LEN(A137)-5)+1)</f>
        <v>1.12.2</v>
      </c>
      <c r="B138" s="894" t="s">
        <v>1569</v>
      </c>
      <c r="C138" s="874" t="s">
        <v>4379</v>
      </c>
      <c r="D138" s="875" t="str">
        <f>IF($C138="DER-ED",VLOOKUP($B138,'DER-ED'!$A:$H,2,FALSE),IF(C138="DER-RD",VLOOKUP($B138,'DER-RD'!$A:$F,2,FALSE),IF($C138="COMP.","&gt;&gt;&gt;&gt;&gt;&gt;&gt;&gt;&gt;&gt; Digite aqui a descrição e apresente a composição detalhada.","← Escolha o Orgão e digite o Código")))</f>
        <v>Caixa de embutir marca de referência Tigreflex, 4x4"</v>
      </c>
      <c r="E138" s="874" t="str">
        <f>IF($C138="DER-ED",VLOOKUP($B138,'DER-ED'!$A:$H,3,FALSE),IF($C138="DER-RD",LOWER(VLOOKUP($B138,'DER-RD'!$A:$F,3,FALSE)),IF($C138="COMP.","digite"," ")))</f>
        <v>und</v>
      </c>
      <c r="F138" s="493">
        <f>'MEM QUIOSQUE - MOD 01'!F190</f>
        <v>28</v>
      </c>
      <c r="G138" s="494">
        <f>IF($C138="DER-ED",VLOOKUP($B138,'DER-ED'!$A:$H,6,FALSE),IF($C138="DER-RD",VLOOKUP($B138,'DER-RD'!$A:$H,7,FALSE),))</f>
        <v>12.68</v>
      </c>
      <c r="H138" s="495">
        <f t="shared" si="50"/>
        <v>16.260000000000002</v>
      </c>
      <c r="I138" s="496">
        <f t="shared" si="51"/>
        <v>455.28</v>
      </c>
      <c r="J138" s="497">
        <f t="shared" si="47"/>
        <v>2.9999999999999997E-4</v>
      </c>
      <c r="K138" s="899">
        <v>28</v>
      </c>
      <c r="L138" s="890" t="b">
        <f t="shared" si="42"/>
        <v>1</v>
      </c>
    </row>
    <row r="139" spans="1:12" ht="45" x14ac:dyDescent="0.25">
      <c r="A139" s="872" t="str">
        <f>CONCATENATE($A$136,".",RIGHT(A138,LEN(A138)-5)+1)</f>
        <v>1.12.3</v>
      </c>
      <c r="B139" s="894" t="s">
        <v>25126</v>
      </c>
      <c r="C139" s="874" t="s">
        <v>4404</v>
      </c>
      <c r="D139" s="875" t="str">
        <f>'COMP. - Quiosque'!C2544</f>
        <v>ELETRODUTO FLEXÍVEL CORRUGADO, PVC, DN 20 MM (1/2"), PARA CIRCUITOS TERMINAIS, INSTALADO EM PAREDE - FORNECIMENTO E INSTALAÇÃO.</v>
      </c>
      <c r="E139" s="874" t="str">
        <f>'COMP. - Quiosque'!C2545</f>
        <v>M</v>
      </c>
      <c r="F139" s="493">
        <f>'MEM QUIOSQUE - MOD 01'!F191</f>
        <v>6.84</v>
      </c>
      <c r="G139" s="900">
        <f>'COMP. - Quiosque'!N2580</f>
        <v>6.75</v>
      </c>
      <c r="H139" s="495">
        <f t="shared" si="50"/>
        <v>8.65</v>
      </c>
      <c r="I139" s="496">
        <f t="shared" si="51"/>
        <v>59.17</v>
      </c>
      <c r="J139" s="497">
        <f t="shared" si="47"/>
        <v>0</v>
      </c>
      <c r="K139" s="899">
        <v>6.84</v>
      </c>
      <c r="L139" s="890" t="b">
        <f t="shared" ref="L139:L174" si="52">F139=K139</f>
        <v>1</v>
      </c>
    </row>
    <row r="140" spans="1:12" ht="45" x14ac:dyDescent="0.25">
      <c r="A140" s="872" t="str">
        <f t="shared" ref="A140:A141" si="53">CONCATENATE($A$136,".",RIGHT(A139,LEN(A139)-5)+1)</f>
        <v>1.12.4</v>
      </c>
      <c r="B140" s="894" t="s">
        <v>25127</v>
      </c>
      <c r="C140" s="874" t="s">
        <v>4404</v>
      </c>
      <c r="D140" s="875" t="str">
        <f>'COMP. - Quiosque'!C2587</f>
        <v>ELETRODUTO FLEXÍVEL CORRUGADO, PVC, DN 25 MM (3/4"), PARA CIRCUITOS TERMINAIS, INSTALADO EM PAREDE - FORNECIMENTO E INSTALAÇÃO.</v>
      </c>
      <c r="E140" s="874" t="str">
        <f>'COMP. - Quiosque'!C2588</f>
        <v>M</v>
      </c>
      <c r="F140" s="493">
        <f>'MEM QUIOSQUE - MOD 01'!F192</f>
        <v>188.8</v>
      </c>
      <c r="G140" s="900">
        <f>'COMP. - Quiosque'!N2623</f>
        <v>7.45</v>
      </c>
      <c r="H140" s="495">
        <f t="shared" si="50"/>
        <v>9.5500000000000007</v>
      </c>
      <c r="I140" s="496">
        <f t="shared" si="51"/>
        <v>1803.04</v>
      </c>
      <c r="J140" s="497">
        <f t="shared" si="47"/>
        <v>1.1999999999999999E-3</v>
      </c>
      <c r="K140" s="899">
        <v>188.8</v>
      </c>
      <c r="L140" s="890" t="b">
        <f t="shared" si="52"/>
        <v>1</v>
      </c>
    </row>
    <row r="141" spans="1:12" ht="45" x14ac:dyDescent="0.25">
      <c r="A141" s="872" t="str">
        <f t="shared" si="53"/>
        <v>1.12.5</v>
      </c>
      <c r="B141" s="894" t="s">
        <v>25128</v>
      </c>
      <c r="C141" s="874" t="s">
        <v>4404</v>
      </c>
      <c r="D141" s="875" t="str">
        <f>'COMP. - Quiosque'!C2630</f>
        <v>ELETRODUTO FLEXÍVEL CORRUGADO, PVC, DN 25 MM (3/4"), PARA CIRCUITOS TERMINAIS, INSTALADO EM LAJE - FORNECIMENTO E INSTALAÇÃO.</v>
      </c>
      <c r="E141" s="874" t="str">
        <f>'COMP. - Quiosque'!C2631</f>
        <v>M</v>
      </c>
      <c r="F141" s="493">
        <f>'MEM QUIOSQUE - MOD 01'!F193</f>
        <v>79.56</v>
      </c>
      <c r="G141" s="900">
        <f>'COMP. - Quiosque'!N2667</f>
        <v>5.68</v>
      </c>
      <c r="H141" s="495">
        <f t="shared" si="50"/>
        <v>7.28</v>
      </c>
      <c r="I141" s="496">
        <f t="shared" si="51"/>
        <v>579.20000000000005</v>
      </c>
      <c r="J141" s="497">
        <f t="shared" si="47"/>
        <v>4.0000000000000002E-4</v>
      </c>
      <c r="K141" s="899">
        <v>79.56</v>
      </c>
      <c r="L141" s="890" t="b">
        <f t="shared" si="52"/>
        <v>1</v>
      </c>
    </row>
    <row r="142" spans="1:12" ht="45" x14ac:dyDescent="0.25">
      <c r="A142" s="872" t="str">
        <f>CONCATENATE($A$136,".",RIGHT(A141,LEN(A141)-5)+1)</f>
        <v>1.12.6</v>
      </c>
      <c r="B142" s="894" t="s">
        <v>25129</v>
      </c>
      <c r="C142" s="874" t="s">
        <v>4404</v>
      </c>
      <c r="D142" s="875" t="str">
        <f>'COMP. - Quiosque'!C2673</f>
        <v>QUADRO DE DISTRIBUIÇÃO DE ENERGIA EM PVC, DE EMBUTIR, SEM BARRAMENTO, PARA  6 DISJUNTORES - FORNECIMENTO E INSTALAÇÃO.</v>
      </c>
      <c r="E142" s="874" t="str">
        <f>'COMP. - Quiosque'!C2674</f>
        <v>UND</v>
      </c>
      <c r="F142" s="493">
        <f>'MEM QUIOSQUE - MOD 01'!F194</f>
        <v>4</v>
      </c>
      <c r="G142" s="900">
        <f>'COMP. - Quiosque'!N2710</f>
        <v>67.31</v>
      </c>
      <c r="H142" s="495">
        <f t="shared" si="50"/>
        <v>86.3</v>
      </c>
      <c r="I142" s="496">
        <f t="shared" si="51"/>
        <v>345.2</v>
      </c>
      <c r="J142" s="497">
        <f t="shared" si="47"/>
        <v>2.0000000000000001E-4</v>
      </c>
      <c r="K142" s="899">
        <v>4</v>
      </c>
      <c r="L142" s="890" t="b">
        <f t="shared" si="52"/>
        <v>1</v>
      </c>
    </row>
    <row r="143" spans="1:12" ht="45" x14ac:dyDescent="0.25">
      <c r="A143" s="872" t="str">
        <f>CONCATENATE($A$136,".",RIGHT(A142,LEN(A142)-5)+1)</f>
        <v>1.12.7</v>
      </c>
      <c r="B143" s="894" t="s">
        <v>25130</v>
      </c>
      <c r="C143" s="874" t="s">
        <v>4404</v>
      </c>
      <c r="D143" s="875" t="str">
        <f>'COMP. - Quiosque'!C2717</f>
        <v>TOMADA MÉDIA DE EMBUTIR (1 MÓDULO), 2P+T 20 A, INCLUINDO SUPORTE E PLACA -   FORNECIMENTO E INSTALAÇÃO.</v>
      </c>
      <c r="E143" s="874" t="str">
        <f>'COMP. - Quiosque'!C2718</f>
        <v>UND</v>
      </c>
      <c r="F143" s="493">
        <f>'MEM QUIOSQUE - MOD 01'!F195</f>
        <v>32</v>
      </c>
      <c r="G143" s="900">
        <f>'COMP. - Quiosque'!N2753</f>
        <v>22.57</v>
      </c>
      <c r="H143" s="495">
        <f t="shared" si="50"/>
        <v>28.94</v>
      </c>
      <c r="I143" s="496">
        <f t="shared" si="51"/>
        <v>926.08</v>
      </c>
      <c r="J143" s="497">
        <f t="shared" si="47"/>
        <v>5.9999999999999995E-4</v>
      </c>
      <c r="K143" s="899">
        <v>32</v>
      </c>
      <c r="L143" s="890" t="b">
        <f t="shared" si="52"/>
        <v>1</v>
      </c>
    </row>
    <row r="144" spans="1:12" ht="45" x14ac:dyDescent="0.25">
      <c r="A144" s="872" t="str">
        <f t="shared" ref="A144:A146" si="54">CONCATENATE($A$136,".",RIGHT(A143,LEN(A143)-5)+1)</f>
        <v>1.12.8</v>
      </c>
      <c r="B144" s="894" t="s">
        <v>25131</v>
      </c>
      <c r="C144" s="874" t="s">
        <v>4404</v>
      </c>
      <c r="D144" s="875" t="str">
        <f>'COMP. - Quiosque'!C2759</f>
        <v>TOMADA ALTA DE EMBUTIR (1 MÓDULO), 2P+T 20 A, INCLUINDO SUPORTE E PLACA -FORNECIMENTO E INSTALAÇÃO.</v>
      </c>
      <c r="E144" s="874" t="str">
        <f>'COMP. - Quiosque'!C2760</f>
        <v>UND</v>
      </c>
      <c r="F144" s="493">
        <f>'MEM QUIOSQUE - MOD 01'!F196</f>
        <v>4</v>
      </c>
      <c r="G144" s="900">
        <f>'COMP. - Quiosque'!N2795</f>
        <v>31.77</v>
      </c>
      <c r="H144" s="495">
        <f t="shared" si="50"/>
        <v>40.74</v>
      </c>
      <c r="I144" s="496">
        <f t="shared" si="51"/>
        <v>162.96</v>
      </c>
      <c r="J144" s="497">
        <f t="shared" si="47"/>
        <v>1E-4</v>
      </c>
      <c r="K144" s="899">
        <v>4</v>
      </c>
      <c r="L144" s="890" t="b">
        <f t="shared" si="52"/>
        <v>1</v>
      </c>
    </row>
    <row r="145" spans="1:12" ht="45" x14ac:dyDescent="0.25">
      <c r="A145" s="872" t="str">
        <f t="shared" si="54"/>
        <v>1.12.9</v>
      </c>
      <c r="B145" s="894" t="s">
        <v>25132</v>
      </c>
      <c r="C145" s="874" t="s">
        <v>4404</v>
      </c>
      <c r="D145" s="875" t="str">
        <f>'COMP. - Quiosque'!C2801</f>
        <v>TOMADA BAIXA DE EMBUTIR (2 MÓDULOS), 2P+T 20 A, INCLUINDO SUPORTE E PLACA  - FORNECIMENTO E INSTALAÇÃO.</v>
      </c>
      <c r="E145" s="874" t="str">
        <f>'COMP. - Quiosque'!C2802</f>
        <v>UND</v>
      </c>
      <c r="F145" s="493">
        <f>'MEM QUIOSQUE - MOD 01'!F197</f>
        <v>44</v>
      </c>
      <c r="G145" s="900">
        <f>'COMP. - Quiosque'!N2837</f>
        <v>22.57</v>
      </c>
      <c r="H145" s="495">
        <f t="shared" si="50"/>
        <v>28.94</v>
      </c>
      <c r="I145" s="496">
        <f t="shared" si="51"/>
        <v>1273.3599999999999</v>
      </c>
      <c r="J145" s="497">
        <f t="shared" si="47"/>
        <v>8.0000000000000004E-4</v>
      </c>
      <c r="K145" s="899">
        <v>44</v>
      </c>
      <c r="L145" s="890" t="b">
        <f t="shared" si="52"/>
        <v>1</v>
      </c>
    </row>
    <row r="146" spans="1:12" x14ac:dyDescent="0.25">
      <c r="A146" s="872" t="str">
        <f t="shared" si="54"/>
        <v>1.12.10</v>
      </c>
      <c r="B146" s="894" t="s">
        <v>1567</v>
      </c>
      <c r="C146" s="874" t="s">
        <v>4379</v>
      </c>
      <c r="D146" s="875" t="str">
        <f>IF($C146="DER-ED",VLOOKUP($B146,'DER-ED'!$A:$H,2,FALSE),IF(C146="DER-RD",VLOOKUP($B146,'DER-RD'!$A:$F,2,FALSE),IF($C146="COMP.","&gt;&gt;&gt;&gt;&gt;&gt;&gt;&gt;&gt;&gt; Digite aqui a descrição e apresente a composição detalhada.","← Escolha o Orgão e digite o Código")))</f>
        <v>Caixa de embutir marca de referência Tigreflex, 4x2"</v>
      </c>
      <c r="E146" s="874" t="str">
        <f>IF($C146="DER-ED",VLOOKUP($B146,'DER-ED'!$A:$H,3,FALSE),IF($C146="DER-RD",LOWER(VLOOKUP($B146,'DER-RD'!$A:$F,3,FALSE)),IF($C146="COMP.","digite"," ")))</f>
        <v>und</v>
      </c>
      <c r="F146" s="493">
        <f>'MEM QUIOSQUE - MOD 01'!F198</f>
        <v>24</v>
      </c>
      <c r="G146" s="494">
        <f>IF($C146="DER-ED",VLOOKUP($B146,'DER-ED'!$A:$H,6,FALSE),IF($C146="DER-RD",VLOOKUP($B146,'DER-RD'!$A:$H,7,FALSE),))</f>
        <v>8.61</v>
      </c>
      <c r="H146" s="495">
        <f t="shared" si="50"/>
        <v>11.04</v>
      </c>
      <c r="I146" s="496">
        <f t="shared" si="51"/>
        <v>264.95999999999998</v>
      </c>
      <c r="J146" s="497">
        <f t="shared" si="47"/>
        <v>2.0000000000000001E-4</v>
      </c>
      <c r="K146" s="899">
        <v>24</v>
      </c>
      <c r="L146" s="890" t="b">
        <f t="shared" si="52"/>
        <v>1</v>
      </c>
    </row>
    <row r="147" spans="1:12" ht="30" x14ac:dyDescent="0.25">
      <c r="A147" s="872" t="str">
        <f>CONCATENATE($A$136,".",RIGHT(A146,LEN(A146)-5)+1)</f>
        <v>1.12.11</v>
      </c>
      <c r="B147" s="894" t="s">
        <v>2420</v>
      </c>
      <c r="C147" s="874" t="s">
        <v>4379</v>
      </c>
      <c r="D147" s="875" t="str">
        <f>IF($C147="DER-ED",VLOOKUP($B147,'DER-ED'!$A:$H,2,FALSE),IF(C147="DER-RD",VLOOKUP($B147,'DER-RD'!$A:$F,2,FALSE),IF($C147="COMP.","&gt;&gt;&gt;&gt;&gt;&gt;&gt;&gt;&gt;&gt; Digite aqui a descrição e apresente a composição detalhada.","← Escolha o Orgão e digite o Código")))</f>
        <v>Interruptor de uma tecla simples 10A/250V, com placa 4x2"</v>
      </c>
      <c r="E147" s="874" t="str">
        <f>IF($C147="DER-ED",VLOOKUP($B147,'DER-ED'!$A:$H,3,FALSE),IF($C147="DER-RD",LOWER(VLOOKUP($B147,'DER-RD'!$A:$F,3,FALSE)),IF($C147="COMP.","digite"," ")))</f>
        <v>und</v>
      </c>
      <c r="F147" s="493">
        <f>'MEM QUIOSQUE - MOD 01'!F199</f>
        <v>24</v>
      </c>
      <c r="G147" s="494">
        <f>IF($C147="DER-ED",VLOOKUP($B147,'DER-ED'!$A:$H,6,FALSE),IF($C147="DER-RD",VLOOKUP($B147,'DER-RD'!$A:$H,7,FALSE),))</f>
        <v>33.869999999999997</v>
      </c>
      <c r="H147" s="495">
        <f t="shared" si="50"/>
        <v>43.43</v>
      </c>
      <c r="I147" s="496">
        <f t="shared" si="51"/>
        <v>1042.32</v>
      </c>
      <c r="J147" s="497">
        <f t="shared" si="47"/>
        <v>6.9999999999999999E-4</v>
      </c>
      <c r="K147" s="899">
        <v>24</v>
      </c>
      <c r="L147" s="890" t="b">
        <f t="shared" si="52"/>
        <v>1</v>
      </c>
    </row>
    <row r="148" spans="1:12" x14ac:dyDescent="0.25">
      <c r="A148" s="872" t="str">
        <f>CONCATENATE($A$136,".",RIGHT(A147,LEN(A147)-5)+1)</f>
        <v>1.12.12</v>
      </c>
      <c r="B148" s="894" t="s">
        <v>25133</v>
      </c>
      <c r="C148" s="874" t="s">
        <v>4404</v>
      </c>
      <c r="D148" s="875" t="str">
        <f>'COMP. - Quiosque'!C728</f>
        <v>Arandela quadrada led 12w.</v>
      </c>
      <c r="E148" s="874" t="str">
        <f>'COMP. - Quiosque'!C729</f>
        <v>und</v>
      </c>
      <c r="F148" s="493">
        <f>'MEM QUIOSQUE - MOD 01'!F200</f>
        <v>36</v>
      </c>
      <c r="G148" s="494">
        <f>'COMP. - Quiosque'!N763</f>
        <v>101.84</v>
      </c>
      <c r="H148" s="495">
        <f t="shared" si="50"/>
        <v>130.58000000000001</v>
      </c>
      <c r="I148" s="496">
        <f t="shared" si="51"/>
        <v>4700.88</v>
      </c>
      <c r="J148" s="497">
        <f t="shared" si="47"/>
        <v>3.0999999999999999E-3</v>
      </c>
      <c r="K148" s="899">
        <v>36</v>
      </c>
      <c r="L148" s="890" t="b">
        <f t="shared" si="52"/>
        <v>1</v>
      </c>
    </row>
    <row r="149" spans="1:12" ht="15" customHeight="1" x14ac:dyDescent="0.25">
      <c r="A149" s="872" t="str">
        <f t="shared" ref="A149:A154" si="55">CONCATENATE($A$136,".",RIGHT(A148,LEN(A148)-5)+1)</f>
        <v>1.12.13</v>
      </c>
      <c r="B149" s="894" t="s">
        <v>25134</v>
      </c>
      <c r="C149" s="874" t="s">
        <v>4404</v>
      </c>
      <c r="D149" s="875" t="str">
        <f>'COMP. - Quiosque'!C770</f>
        <v>Painel plafon de sobrepor 25w led quadrado 30x30 cm.</v>
      </c>
      <c r="E149" s="874" t="str">
        <f>'COMP. - Quiosque'!C771</f>
        <v>und</v>
      </c>
      <c r="F149" s="493">
        <f>'MEM QUIOSQUE - MOD 01'!F201</f>
        <v>8</v>
      </c>
      <c r="G149" s="494">
        <f>'COMP. - Quiosque'!N805</f>
        <v>77.239999999999995</v>
      </c>
      <c r="H149" s="495">
        <f t="shared" si="50"/>
        <v>99.04</v>
      </c>
      <c r="I149" s="496">
        <f t="shared" si="51"/>
        <v>792.32</v>
      </c>
      <c r="J149" s="497">
        <f t="shared" si="47"/>
        <v>5.0000000000000001E-4</v>
      </c>
      <c r="K149" s="899">
        <v>8</v>
      </c>
      <c r="L149" s="890" t="b">
        <f t="shared" si="52"/>
        <v>1</v>
      </c>
    </row>
    <row r="150" spans="1:12" x14ac:dyDescent="0.25">
      <c r="A150" s="872" t="str">
        <f t="shared" si="55"/>
        <v>1.12.14</v>
      </c>
      <c r="B150" s="894" t="s">
        <v>25135</v>
      </c>
      <c r="C150" s="874" t="s">
        <v>4404</v>
      </c>
      <c r="D150" s="875" t="str">
        <f>'COMP. - Quiosque'!C812</f>
        <v>Painel plafon de sobrepor 36w led quadrado 40x40 cm.</v>
      </c>
      <c r="E150" s="874" t="str">
        <f>'COMP. - Quiosque'!C813</f>
        <v>und</v>
      </c>
      <c r="F150" s="493">
        <f>'MEM QUIOSQUE - MOD 01'!F202</f>
        <v>16</v>
      </c>
      <c r="G150" s="494">
        <f>'COMP. - Quiosque'!N847</f>
        <v>219.9</v>
      </c>
      <c r="H150" s="495">
        <f t="shared" si="50"/>
        <v>281.95999999999998</v>
      </c>
      <c r="I150" s="496">
        <f t="shared" si="51"/>
        <v>4511.3599999999997</v>
      </c>
      <c r="J150" s="497">
        <f t="shared" si="47"/>
        <v>3.0000000000000001E-3</v>
      </c>
      <c r="K150" s="899">
        <v>16</v>
      </c>
      <c r="L150" s="890" t="b">
        <f t="shared" si="52"/>
        <v>1</v>
      </c>
    </row>
    <row r="151" spans="1:12" x14ac:dyDescent="0.25">
      <c r="A151" s="872" t="str">
        <f t="shared" si="55"/>
        <v>1.12.15</v>
      </c>
      <c r="B151" s="894" t="s">
        <v>25136</v>
      </c>
      <c r="C151" s="874" t="s">
        <v>4404</v>
      </c>
      <c r="D151" s="875" t="str">
        <f>'COMP. - Quiosque'!C1028</f>
        <v>Disjuntor a Seco 1 Polo, 16A, Curva B</v>
      </c>
      <c r="E151" s="874" t="str">
        <f>'COMP. - Quiosque'!C1029</f>
        <v>und</v>
      </c>
      <c r="F151" s="493">
        <f>'MEM QUIOSQUE - MOD 01'!F203</f>
        <v>4</v>
      </c>
      <c r="G151" s="494">
        <f>'COMP. - Quiosque'!N1061</f>
        <v>20.34</v>
      </c>
      <c r="H151" s="495">
        <f t="shared" si="50"/>
        <v>26.08</v>
      </c>
      <c r="I151" s="496">
        <f t="shared" si="51"/>
        <v>104.32</v>
      </c>
      <c r="J151" s="497">
        <f t="shared" si="47"/>
        <v>1E-4</v>
      </c>
      <c r="K151" s="899">
        <v>4</v>
      </c>
      <c r="L151" s="890" t="b">
        <f t="shared" si="52"/>
        <v>1</v>
      </c>
    </row>
    <row r="152" spans="1:12" x14ac:dyDescent="0.25">
      <c r="A152" s="872" t="str">
        <f>CONCATENATE($A$136,".",RIGHT(A151,LEN(A151)-5)+1)</f>
        <v>1.12.16</v>
      </c>
      <c r="B152" s="894" t="s">
        <v>25137</v>
      </c>
      <c r="C152" s="874" t="s">
        <v>4404</v>
      </c>
      <c r="D152" s="875" t="str">
        <f>'COMP. - Quiosque'!C1067</f>
        <v>Disjuntor a Seco 1 Polo, 20A, Curva B</v>
      </c>
      <c r="E152" s="874" t="str">
        <f>'COMP. - Quiosque'!C1068</f>
        <v>und</v>
      </c>
      <c r="F152" s="493">
        <f>'MEM QUIOSQUE - MOD 01'!F204</f>
        <v>12</v>
      </c>
      <c r="G152" s="494">
        <f>'COMP. - Quiosque'!N1100</f>
        <v>23.21</v>
      </c>
      <c r="H152" s="495">
        <f t="shared" si="50"/>
        <v>29.76</v>
      </c>
      <c r="I152" s="496">
        <f t="shared" si="51"/>
        <v>357.12</v>
      </c>
      <c r="J152" s="497">
        <f t="shared" si="47"/>
        <v>2.0000000000000001E-4</v>
      </c>
      <c r="K152" s="899">
        <v>12</v>
      </c>
      <c r="L152" s="890" t="b">
        <f t="shared" si="52"/>
        <v>1</v>
      </c>
    </row>
    <row r="153" spans="1:12" x14ac:dyDescent="0.25">
      <c r="A153" s="872" t="str">
        <f t="shared" si="55"/>
        <v>1.12.17</v>
      </c>
      <c r="B153" s="894" t="s">
        <v>25138</v>
      </c>
      <c r="C153" s="874" t="s">
        <v>4404</v>
      </c>
      <c r="D153" s="875" t="str">
        <f>'COMP. - Quiosque'!C1106</f>
        <v>Disjuntor a Seco 1 Polo, 70A, Curva C</v>
      </c>
      <c r="E153" s="874" t="str">
        <f>'COMP. - Quiosque'!C1107</f>
        <v>und</v>
      </c>
      <c r="F153" s="493">
        <f>'MEM QUIOSQUE - MOD 01'!F205</f>
        <v>4</v>
      </c>
      <c r="G153" s="494">
        <f>'COMP. - Quiosque'!N1139</f>
        <v>31.6</v>
      </c>
      <c r="H153" s="495">
        <f t="shared" si="50"/>
        <v>40.520000000000003</v>
      </c>
      <c r="I153" s="496">
        <f t="shared" si="51"/>
        <v>162.08000000000001</v>
      </c>
      <c r="J153" s="497">
        <f t="shared" si="47"/>
        <v>1E-4</v>
      </c>
      <c r="K153" s="899">
        <v>4</v>
      </c>
      <c r="L153" s="890" t="b">
        <f t="shared" si="52"/>
        <v>1</v>
      </c>
    </row>
    <row r="154" spans="1:12" x14ac:dyDescent="0.25">
      <c r="A154" s="872" t="str">
        <f t="shared" si="55"/>
        <v>1.12.18</v>
      </c>
      <c r="B154" s="894" t="s">
        <v>25139</v>
      </c>
      <c r="C154" s="874" t="s">
        <v>4404</v>
      </c>
      <c r="D154" s="875" t="str">
        <f>'COMP. - Quiosque'!C1145</f>
        <v>Disjuntor a Seco 1 Polo, 25A, Curva B</v>
      </c>
      <c r="E154" s="874" t="str">
        <f>'COMP. - Quiosque'!C1146</f>
        <v>und</v>
      </c>
      <c r="F154" s="493">
        <f>'MEM QUIOSQUE - MOD 01'!F206</f>
        <v>4</v>
      </c>
      <c r="G154" s="494">
        <f>'COMP. - Quiosque'!N1178</f>
        <v>22.68</v>
      </c>
      <c r="H154" s="495">
        <f t="shared" si="50"/>
        <v>29.08</v>
      </c>
      <c r="I154" s="496">
        <f t="shared" si="51"/>
        <v>116.32</v>
      </c>
      <c r="J154" s="497">
        <f t="shared" si="47"/>
        <v>1E-4</v>
      </c>
      <c r="K154" s="899">
        <v>4</v>
      </c>
      <c r="L154" s="890" t="b">
        <f t="shared" si="52"/>
        <v>1</v>
      </c>
    </row>
    <row r="155" spans="1:12" x14ac:dyDescent="0.25">
      <c r="A155" s="872" t="str">
        <f>CONCATENATE($A$136,".",RIGHT(A154,LEN(A154)-5)+1)</f>
        <v>1.12.19</v>
      </c>
      <c r="B155" s="894" t="s">
        <v>25140</v>
      </c>
      <c r="C155" s="874" t="s">
        <v>4404</v>
      </c>
      <c r="D155" s="875" t="str">
        <f>'COMP. - Quiosque'!C1184</f>
        <v>Disjuntor a Seco 1 Polo, 10A, Curva B</v>
      </c>
      <c r="E155" s="874" t="str">
        <f>'COMP. - Quiosque'!C1185</f>
        <v>und</v>
      </c>
      <c r="F155" s="493">
        <f>'MEM QUIOSQUE - MOD 01'!F207</f>
        <v>4</v>
      </c>
      <c r="G155" s="494">
        <f>'COMP. - Quiosque'!N1217</f>
        <v>22.47</v>
      </c>
      <c r="H155" s="495">
        <f t="shared" si="50"/>
        <v>28.81</v>
      </c>
      <c r="I155" s="496">
        <f t="shared" si="51"/>
        <v>115.24</v>
      </c>
      <c r="J155" s="497">
        <f t="shared" si="47"/>
        <v>1E-4</v>
      </c>
      <c r="K155" s="899">
        <v>4</v>
      </c>
      <c r="L155" s="890" t="b">
        <f t="shared" si="52"/>
        <v>1</v>
      </c>
    </row>
    <row r="156" spans="1:12" x14ac:dyDescent="0.25">
      <c r="A156" s="872" t="str">
        <f t="shared" ref="A156:A159" si="56">CONCATENATE($A$136,".",RIGHT(A155,LEN(A155)-5)+1)</f>
        <v>1.12.20</v>
      </c>
      <c r="B156" s="894" t="s">
        <v>1791</v>
      </c>
      <c r="C156" s="874" t="s">
        <v>4379</v>
      </c>
      <c r="D156" s="875" t="str">
        <f>IF($C156="DER-ED",VLOOKUP($B156,'DER-ED'!$A:$H,2,FALSE),IF(C156="DER-RD",VLOOKUP($B156,'DER-RD'!$A:$F,2,FALSE),IF($C156="COMP.","&gt;&gt;&gt;&gt;&gt;&gt;&gt;&gt;&gt;&gt; Digite aqui a descrição e apresente a composição detalhada.","← Escolha o Orgão e digite o Código")))</f>
        <v>Disjuntor DR bipolar 16A a 25A, corrente nominal 30 mA</v>
      </c>
      <c r="E156" s="874" t="str">
        <f>IF($C156="DER-ED",VLOOKUP($B156,'DER-ED'!$A:$H,3,FALSE),IF($C156="DER-RD",LOWER(VLOOKUP($B156,'DER-RD'!$A:$F,3,FALSE)),IF($C156="COMP.","digite"," ")))</f>
        <v>und</v>
      </c>
      <c r="F156" s="493">
        <f>'MEM QUIOSQUE - MOD 01'!F208</f>
        <v>20</v>
      </c>
      <c r="G156" s="494">
        <f>IF($C156="DER-ED",VLOOKUP($B156,'DER-ED'!$A:$H,6,FALSE),IF($C156="DER-RD",VLOOKUP($B156,'DER-RD'!$A:$H,7,FALSE),))</f>
        <v>143.83000000000001</v>
      </c>
      <c r="H156" s="495">
        <f t="shared" si="50"/>
        <v>184.42</v>
      </c>
      <c r="I156" s="496">
        <f t="shared" si="51"/>
        <v>3688.4</v>
      </c>
      <c r="J156" s="497">
        <f t="shared" si="47"/>
        <v>2.3999999999999998E-3</v>
      </c>
      <c r="K156" s="899">
        <v>20</v>
      </c>
      <c r="L156" s="890" t="b">
        <f t="shared" si="52"/>
        <v>1</v>
      </c>
    </row>
    <row r="157" spans="1:12" ht="45" x14ac:dyDescent="0.25">
      <c r="A157" s="872" t="str">
        <f t="shared" si="56"/>
        <v>1.12.21</v>
      </c>
      <c r="B157" s="894" t="s">
        <v>1793</v>
      </c>
      <c r="C157" s="874" t="s">
        <v>4379</v>
      </c>
      <c r="D157" s="875" t="str">
        <f>IF($C157="DER-ED",VLOOKUP($B157,'DER-ED'!$A:$H,2,FALSE),IF(C157="DER-RD",VLOOKUP($B157,'DER-RD'!$A:$F,2,FALSE),IF($C157="COMP.","&gt;&gt;&gt;&gt;&gt;&gt;&gt;&gt;&gt;&gt; Digite aqui a descrição e apresente a composição detalhada.","← Escolha o Orgão e digite o Código")))</f>
        <v>Dispositivo de proteção contra surto (DPS) bipolar, tensão nominal máxima 275VCA, corente de surto máxima 40KA.</v>
      </c>
      <c r="E157" s="874" t="str">
        <f>IF($C157="DER-ED",VLOOKUP($B157,'DER-ED'!$A:$H,3,FALSE),IF($C157="DER-RD",LOWER(VLOOKUP($B157,'DER-RD'!$A:$F,3,FALSE)),IF($C157="COMP.","digite"," ")))</f>
        <v>und</v>
      </c>
      <c r="F157" s="493">
        <f>'MEM QUIOSQUE - MOD 01'!F209</f>
        <v>8</v>
      </c>
      <c r="G157" s="494">
        <f>IF($C157="DER-ED",VLOOKUP($B157,'DER-ED'!$A:$H,6,FALSE),IF($C157="DER-RD",VLOOKUP($B157,'DER-RD'!$A:$H,7,FALSE),))</f>
        <v>185.11</v>
      </c>
      <c r="H157" s="495">
        <f t="shared" si="50"/>
        <v>237.35</v>
      </c>
      <c r="I157" s="496">
        <f t="shared" si="51"/>
        <v>1898.8</v>
      </c>
      <c r="J157" s="497">
        <f t="shared" si="47"/>
        <v>1.1999999999999999E-3</v>
      </c>
      <c r="K157" s="899">
        <v>8</v>
      </c>
      <c r="L157" s="890" t="b">
        <f t="shared" si="52"/>
        <v>1</v>
      </c>
    </row>
    <row r="158" spans="1:12" ht="45" x14ac:dyDescent="0.25">
      <c r="A158" s="872" t="str">
        <f t="shared" si="56"/>
        <v>1.12.22</v>
      </c>
      <c r="B158" s="894" t="s">
        <v>25141</v>
      </c>
      <c r="C158" s="874" t="s">
        <v>4404</v>
      </c>
      <c r="D158" s="875" t="str">
        <f>'COMP. - Quiosque'!C2843</f>
        <v>CABO DE COBRE FLEXÍVEL ISOLADO, 2,5 MM², ANTI-CHAMA 450/750 V, PARA CIRCUITOS TERMINAIS - FORNECIMENTO E INSTALAÇÃO.</v>
      </c>
      <c r="E158" s="874" t="str">
        <f>'COMP. - Quiosque'!C2844</f>
        <v>M</v>
      </c>
      <c r="F158" s="493">
        <f>'MEM QUIOSQUE - MOD 01'!F210</f>
        <v>580.4</v>
      </c>
      <c r="G158" s="494">
        <f>'COMP. - Quiosque'!N2880</f>
        <v>3.76</v>
      </c>
      <c r="H158" s="495">
        <f t="shared" si="50"/>
        <v>4.82</v>
      </c>
      <c r="I158" s="496">
        <f t="shared" si="51"/>
        <v>2797.53</v>
      </c>
      <c r="J158" s="497">
        <f t="shared" si="47"/>
        <v>1.8E-3</v>
      </c>
      <c r="K158" s="899">
        <v>580.4</v>
      </c>
      <c r="L158" s="890" t="b">
        <f t="shared" si="52"/>
        <v>1</v>
      </c>
    </row>
    <row r="159" spans="1:12" ht="45" x14ac:dyDescent="0.25">
      <c r="A159" s="872" t="str">
        <f t="shared" si="56"/>
        <v>1.12.23</v>
      </c>
      <c r="B159" s="894" t="s">
        <v>25142</v>
      </c>
      <c r="C159" s="874" t="s">
        <v>4404</v>
      </c>
      <c r="D159" s="875" t="str">
        <f>'COMP. - Quiosque'!C2887</f>
        <v>CABO DE COBRE FLEXÍVEL ISOLADO, 1,5 MM², ANTI-CHAMA 450/750 V, PARA CIRCUITOS TERMINAIS - FORNECIMENTO E INSTALAÇÃO.</v>
      </c>
      <c r="E159" s="874" t="str">
        <f>'COMP. - Quiosque'!C2888</f>
        <v>M</v>
      </c>
      <c r="F159" s="493">
        <f>'MEM QUIOSQUE - MOD 01'!F215</f>
        <v>672.44</v>
      </c>
      <c r="G159" s="494">
        <f>'COMP. - Quiosque'!N2924</f>
        <v>2.56</v>
      </c>
      <c r="H159" s="495">
        <f t="shared" si="50"/>
        <v>3.28</v>
      </c>
      <c r="I159" s="496">
        <f t="shared" si="51"/>
        <v>2205.6</v>
      </c>
      <c r="J159" s="497">
        <f t="shared" si="47"/>
        <v>1.4E-3</v>
      </c>
      <c r="K159" s="899">
        <v>672.44</v>
      </c>
      <c r="L159" s="890" t="b">
        <f t="shared" si="52"/>
        <v>1</v>
      </c>
    </row>
    <row r="160" spans="1:12" x14ac:dyDescent="0.25">
      <c r="A160" s="898"/>
      <c r="B160" s="911"/>
      <c r="C160" s="911"/>
      <c r="D160" s="912"/>
      <c r="E160" s="874"/>
      <c r="F160" s="493"/>
      <c r="G160" s="494"/>
      <c r="H160" s="495"/>
      <c r="I160" s="496" t="s">
        <v>98</v>
      </c>
      <c r="J160" s="497"/>
      <c r="K160" s="899"/>
      <c r="L160" s="890"/>
    </row>
    <row r="161" spans="1:14" x14ac:dyDescent="0.25">
      <c r="A161" s="726" t="s">
        <v>25143</v>
      </c>
      <c r="B161" s="891" t="s">
        <v>98</v>
      </c>
      <c r="C161" s="891"/>
      <c r="D161" s="727" t="s">
        <v>65</v>
      </c>
      <c r="E161" s="728"/>
      <c r="F161" s="729"/>
      <c r="G161" s="730"/>
      <c r="H161" s="731"/>
      <c r="I161" s="892">
        <f>SUBTOTAL(9,I162:I164)</f>
        <v>43160.56</v>
      </c>
      <c r="J161" s="893">
        <f>I161/I8</f>
        <v>2.8299999999999999E-2</v>
      </c>
      <c r="K161" s="899"/>
      <c r="L161" s="890"/>
    </row>
    <row r="162" spans="1:14" x14ac:dyDescent="0.25">
      <c r="A162" s="898"/>
      <c r="B162" s="911" t="s">
        <v>98</v>
      </c>
      <c r="C162" s="911"/>
      <c r="D162" s="912" t="s">
        <v>25144</v>
      </c>
      <c r="E162" s="874"/>
      <c r="F162" s="493"/>
      <c r="G162" s="494"/>
      <c r="H162" s="495"/>
      <c r="I162" s="496" t="s">
        <v>98</v>
      </c>
      <c r="J162" s="497"/>
      <c r="K162" s="899"/>
      <c r="L162" s="890"/>
    </row>
    <row r="163" spans="1:14" ht="30" x14ac:dyDescent="0.25">
      <c r="A163" s="872" t="str">
        <f>CONCATENATE(A161,".",1)</f>
        <v>1.13.1</v>
      </c>
      <c r="B163" s="894" t="s">
        <v>25145</v>
      </c>
      <c r="C163" s="874" t="s">
        <v>4404</v>
      </c>
      <c r="D163" s="875" t="str">
        <f>'COMP. - Quiosque'!C3</f>
        <v>Pintura acabamento cimento queimado, sobre bloco de concreto, a duas demãos.</v>
      </c>
      <c r="E163" s="874" t="str">
        <f>'COMP. - Quiosque'!C4</f>
        <v>m2</v>
      </c>
      <c r="F163" s="493">
        <f>'MEM QUIOSQUE - MOD 01'!F222</f>
        <v>844.96</v>
      </c>
      <c r="G163" s="494">
        <f>'COMP. - Quiosque'!N39</f>
        <v>39.840000000000003</v>
      </c>
      <c r="H163" s="495">
        <f t="shared" ref="H163" si="57">G163*(1+($I$3))</f>
        <v>51.08</v>
      </c>
      <c r="I163" s="496">
        <f t="shared" ref="I163" si="58">ROUND((F163*H163),2)</f>
        <v>43160.56</v>
      </c>
      <c r="J163" s="497">
        <f t="shared" ref="J163" si="59">I163/$I$8</f>
        <v>2.8299999999999999E-2</v>
      </c>
      <c r="K163" s="899">
        <v>844.96</v>
      </c>
      <c r="L163" s="890" t="b">
        <f t="shared" si="52"/>
        <v>1</v>
      </c>
    </row>
    <row r="164" spans="1:14" x14ac:dyDescent="0.25">
      <c r="A164" s="872"/>
      <c r="B164" s="894"/>
      <c r="C164" s="874"/>
      <c r="D164" s="875"/>
      <c r="E164" s="874"/>
      <c r="F164" s="493"/>
      <c r="G164" s="494"/>
      <c r="H164" s="495"/>
      <c r="I164" s="496"/>
      <c r="J164" s="497"/>
      <c r="K164" s="899"/>
      <c r="L164" s="890"/>
    </row>
    <row r="165" spans="1:14" x14ac:dyDescent="0.25">
      <c r="A165" s="726" t="s">
        <v>25146</v>
      </c>
      <c r="B165" s="891" t="s">
        <v>98</v>
      </c>
      <c r="C165" s="891"/>
      <c r="D165" s="727" t="s">
        <v>25147</v>
      </c>
      <c r="E165" s="728"/>
      <c r="F165" s="729"/>
      <c r="G165" s="730"/>
      <c r="H165" s="731"/>
      <c r="I165" s="892">
        <f>SUBTOTAL(9,I166:I171)</f>
        <v>206019.14</v>
      </c>
      <c r="J165" s="893">
        <f>I165/I176</f>
        <v>0.1348</v>
      </c>
      <c r="K165" s="899"/>
      <c r="L165" s="890"/>
    </row>
    <row r="166" spans="1:14" x14ac:dyDescent="0.25">
      <c r="A166" s="872" t="str">
        <f>CONCATENATE(A165,".",1)</f>
        <v>1.14.1</v>
      </c>
      <c r="B166" s="894" t="s">
        <v>25148</v>
      </c>
      <c r="C166" s="874" t="s">
        <v>4404</v>
      </c>
      <c r="D166" s="875" t="str">
        <f>'COMP. - Quiosque'!C139</f>
        <v>Toldo articulado com braço retrátil cores</v>
      </c>
      <c r="E166" s="874" t="str">
        <f>'COMP. - Quiosque'!C140</f>
        <v>m2</v>
      </c>
      <c r="F166" s="493">
        <f>'MEM QUIOSQUE - MOD 01'!F226</f>
        <v>177.6</v>
      </c>
      <c r="G166" s="494">
        <f>'COMP. - Quiosque'!N175</f>
        <v>621.74</v>
      </c>
      <c r="H166" s="495">
        <f t="shared" ref="H166:H168" si="60">G166*(1+($I$3))</f>
        <v>797.2</v>
      </c>
      <c r="I166" s="496">
        <f t="shared" ref="I166:I171" si="61">ROUND((F166*H166),2)</f>
        <v>141582.72</v>
      </c>
      <c r="J166" s="497">
        <f t="shared" ref="J166:J171" si="62">I166/$I$8</f>
        <v>9.2700000000000005E-2</v>
      </c>
      <c r="K166" s="899">
        <v>177.6</v>
      </c>
      <c r="L166" s="890" t="b">
        <f t="shared" si="52"/>
        <v>1</v>
      </c>
    </row>
    <row r="167" spans="1:14" ht="30" x14ac:dyDescent="0.25">
      <c r="A167" s="872" t="str">
        <f>CONCATENATE($A$165,".",RIGHT(A166,LEN(A166)-5)+1)</f>
        <v>1.14.2</v>
      </c>
      <c r="B167" s="894" t="s">
        <v>25149</v>
      </c>
      <c r="C167" s="874" t="s">
        <v>4404</v>
      </c>
      <c r="D167" s="875" t="str">
        <f>'COMP. - Quiosque'!C526</f>
        <v>Plantio de muda de piteira agave, inclusive terra vegetal e vaso para plantio.</v>
      </c>
      <c r="E167" s="874" t="str">
        <f>'COMP. - Quiosque'!C527</f>
        <v>und</v>
      </c>
      <c r="F167" s="493">
        <f>'MEM QUIOSQUE - MOD 01'!F227</f>
        <v>16</v>
      </c>
      <c r="G167" s="494">
        <f>'COMP. - Quiosque'!N562</f>
        <v>1019.7</v>
      </c>
      <c r="H167" s="495">
        <f t="shared" si="60"/>
        <v>1307.46</v>
      </c>
      <c r="I167" s="496">
        <f t="shared" si="61"/>
        <v>20919.36</v>
      </c>
      <c r="J167" s="497">
        <f t="shared" si="62"/>
        <v>1.37E-2</v>
      </c>
      <c r="K167" s="899">
        <v>16</v>
      </c>
      <c r="L167" s="890" t="b">
        <f t="shared" si="52"/>
        <v>1</v>
      </c>
    </row>
    <row r="168" spans="1:14" ht="30" x14ac:dyDescent="0.25">
      <c r="A168" s="872" t="str">
        <f t="shared" ref="A168:A171" si="63">CONCATENATE($A$165,".",RIGHT(A167,LEN(A167)-5)+1)</f>
        <v>1.14.3</v>
      </c>
      <c r="B168" s="894" t="s">
        <v>25150</v>
      </c>
      <c r="C168" s="874" t="s">
        <v>4404</v>
      </c>
      <c r="D168" s="875" t="str">
        <f>'COMP. - Quiosque'!C569</f>
        <v>Plantio de muda bromélia inclusive terra vegetal, vaso e suporte para vaso.</v>
      </c>
      <c r="E168" s="874" t="str">
        <f>'COMP. - Quiosque'!C570</f>
        <v>und</v>
      </c>
      <c r="F168" s="493">
        <f>'MEM QUIOSQUE - MOD 01'!F228</f>
        <v>28</v>
      </c>
      <c r="G168" s="494">
        <f>'COMP. - Quiosque'!N606</f>
        <v>324.48</v>
      </c>
      <c r="H168" s="495">
        <f t="shared" si="60"/>
        <v>416.05</v>
      </c>
      <c r="I168" s="496">
        <f t="shared" si="61"/>
        <v>11649.4</v>
      </c>
      <c r="J168" s="497">
        <f t="shared" si="62"/>
        <v>7.6E-3</v>
      </c>
      <c r="K168" s="899">
        <v>28</v>
      </c>
      <c r="L168" s="890" t="b">
        <f t="shared" si="52"/>
        <v>1</v>
      </c>
    </row>
    <row r="169" spans="1:14" ht="30" x14ac:dyDescent="0.25">
      <c r="A169" s="872" t="str">
        <f t="shared" si="63"/>
        <v>1.14.4</v>
      </c>
      <c r="B169" s="894" t="s">
        <v>25151</v>
      </c>
      <c r="C169" s="874" t="s">
        <v>4404</v>
      </c>
      <c r="D169" s="875" t="str">
        <f>'COMP. - Quiosque'!C1224</f>
        <v>Coifa de parede pirâmide com 90 cm, inclusive fornecimento e instalação</v>
      </c>
      <c r="E169" s="874" t="str">
        <f>'COMP. - Quiosque'!C1225</f>
        <v>und</v>
      </c>
      <c r="F169" s="493">
        <f>'MEM QUIOSQUE - MOD 01'!F229</f>
        <v>8</v>
      </c>
      <c r="G169" s="494">
        <f>'COMP. - Quiosque'!N1256</f>
        <v>672.08</v>
      </c>
      <c r="H169" s="495">
        <f>G169*(1+($I$4))</f>
        <v>776.72</v>
      </c>
      <c r="I169" s="496">
        <f t="shared" si="61"/>
        <v>6213.76</v>
      </c>
      <c r="J169" s="497">
        <f t="shared" si="62"/>
        <v>4.1000000000000003E-3</v>
      </c>
      <c r="K169" s="899">
        <v>8</v>
      </c>
      <c r="L169" s="890" t="b">
        <f t="shared" si="52"/>
        <v>1</v>
      </c>
    </row>
    <row r="170" spans="1:14" ht="45" x14ac:dyDescent="0.25">
      <c r="A170" s="872" t="str">
        <f t="shared" si="63"/>
        <v>1.14.5</v>
      </c>
      <c r="B170" s="894" t="s">
        <v>25152</v>
      </c>
      <c r="C170" s="874" t="s">
        <v>4404</v>
      </c>
      <c r="D170" s="875" t="str">
        <f>'COMP. - Quiosque'!C614</f>
        <v>Chapa Expandida 1/8mm, inclusive soldagem, pintura epóxi e plantio de muda arbusto/trepadeira ou equivalente</v>
      </c>
      <c r="E170" s="874" t="str">
        <f>'COMP. - Quiosque'!C615</f>
        <v>m2</v>
      </c>
      <c r="F170" s="493">
        <f>'MEM QUIOSQUE - MOD 01'!F230</f>
        <v>38.44</v>
      </c>
      <c r="G170" s="494">
        <f>'COMP. - Quiosque'!N660</f>
        <v>259.64</v>
      </c>
      <c r="H170" s="495">
        <f t="shared" ref="H170" si="64">G170*(1+($I$3))</f>
        <v>332.91</v>
      </c>
      <c r="I170" s="496">
        <f t="shared" si="61"/>
        <v>12797.06</v>
      </c>
      <c r="J170" s="497">
        <f t="shared" si="62"/>
        <v>8.3999999999999995E-3</v>
      </c>
      <c r="K170" s="899">
        <v>38.44</v>
      </c>
      <c r="L170" s="890" t="b">
        <f t="shared" si="52"/>
        <v>1</v>
      </c>
    </row>
    <row r="171" spans="1:14" ht="27" customHeight="1" x14ac:dyDescent="0.25">
      <c r="A171" s="872" t="str">
        <f t="shared" si="63"/>
        <v>1.14.6</v>
      </c>
      <c r="B171" s="894" t="s">
        <v>25798</v>
      </c>
      <c r="C171" s="874" t="s">
        <v>4404</v>
      </c>
      <c r="D171" s="875" t="str">
        <f>'COMP. - Quiosque'!C2969</f>
        <v>Chuveiro para praia, de aço inoxidável 25x25cm</v>
      </c>
      <c r="E171" s="874" t="str">
        <f>'COMP. - Quiosque'!C2970</f>
        <v>und</v>
      </c>
      <c r="F171" s="493">
        <f>'MEM QUIOSQUE - MOD 01'!F231</f>
        <v>4</v>
      </c>
      <c r="G171" s="494">
        <f>'COMP. - Quiosque'!N3005</f>
        <v>2781.18</v>
      </c>
      <c r="H171" s="495">
        <f>G171*(1+($I$4))</f>
        <v>3214.21</v>
      </c>
      <c r="I171" s="496">
        <f t="shared" si="61"/>
        <v>12856.84</v>
      </c>
      <c r="J171" s="497">
        <f t="shared" si="62"/>
        <v>8.3999999999999995E-3</v>
      </c>
      <c r="K171" s="899">
        <v>4</v>
      </c>
      <c r="L171" s="890" t="b">
        <f t="shared" si="52"/>
        <v>1</v>
      </c>
    </row>
    <row r="172" spans="1:14" x14ac:dyDescent="0.25">
      <c r="A172" s="872"/>
      <c r="B172" s="894"/>
      <c r="C172" s="874"/>
      <c r="D172" s="875"/>
      <c r="E172" s="874"/>
      <c r="F172" s="493"/>
      <c r="G172" s="494"/>
      <c r="H172" s="495"/>
      <c r="I172" s="496"/>
      <c r="J172" s="497"/>
      <c r="K172" s="899"/>
      <c r="L172" s="890"/>
    </row>
    <row r="173" spans="1:14" x14ac:dyDescent="0.25">
      <c r="A173" s="726" t="s">
        <v>25153</v>
      </c>
      <c r="B173" s="891" t="s">
        <v>98</v>
      </c>
      <c r="C173" s="891"/>
      <c r="D173" s="727" t="s">
        <v>25154</v>
      </c>
      <c r="E173" s="728"/>
      <c r="F173" s="729"/>
      <c r="G173" s="730"/>
      <c r="H173" s="731"/>
      <c r="I173" s="892">
        <f>SUBTOTAL(9,I174:I174)</f>
        <v>2823.85</v>
      </c>
      <c r="J173" s="893">
        <f>I173/I176</f>
        <v>1.8E-3</v>
      </c>
      <c r="K173" s="899"/>
      <c r="L173" s="890"/>
    </row>
    <row r="174" spans="1:14" x14ac:dyDescent="0.25">
      <c r="A174" s="872" t="str">
        <f>CONCATENATE(A173,".",1)</f>
        <v>1.15.1</v>
      </c>
      <c r="B174" s="894" t="s">
        <v>2615</v>
      </c>
      <c r="C174" s="874" t="s">
        <v>4379</v>
      </c>
      <c r="D174" s="875" t="str">
        <f>IF($C174="DER-ED",VLOOKUP($B174,'DER-ED'!$A:$H,2,FALSE),IF(C174="DER-RD",VLOOKUP($B174,'DER-RD'!$A:$F,2,FALSE),IF($C174="COMP.","&gt;&gt;&gt;&gt;&gt;&gt;&gt;&gt;&gt;&gt; Digite aqui a descrição e apresente a composição detalhada.","← Escolha o Orgão e digite o Código")))</f>
        <v>Limpeza geral da obra (edificação)</v>
      </c>
      <c r="E174" s="874" t="str">
        <f>IF($C174="DER-ED",VLOOKUP($B174,'DER-ED'!$A:$H,3,FALSE),IF($C174="DER-RD",LOWER(VLOOKUP($B174,'DER-RD'!$A:$F,3,FALSE)),IF($C174="COMP.","digite"," ")))</f>
        <v>m2</v>
      </c>
      <c r="F174" s="493">
        <f>'MEM QUIOSQUE - MOD 01'!F233</f>
        <v>223.76</v>
      </c>
      <c r="G174" s="494">
        <f>IF($C174="DER-ED",VLOOKUP($B174,'DER-ED'!$A:$H,6,FALSE),IF($C174="DER-RD",VLOOKUP($B174,'DER-RD'!$A:$H,7,FALSE),))</f>
        <v>9.84</v>
      </c>
      <c r="H174" s="495">
        <f t="shared" ref="H174" si="65">G174*(1+($I$3))</f>
        <v>12.62</v>
      </c>
      <c r="I174" s="496">
        <f t="shared" ref="I174" si="66">ROUND((F174*H174),2)</f>
        <v>2823.85</v>
      </c>
      <c r="J174" s="497">
        <f t="shared" ref="J174" si="67">I174/$I$8</f>
        <v>1.8E-3</v>
      </c>
      <c r="K174" s="899">
        <v>223.76</v>
      </c>
      <c r="L174" s="890" t="b">
        <f t="shared" si="52"/>
        <v>1</v>
      </c>
      <c r="N174" s="899" t="s">
        <v>98</v>
      </c>
    </row>
    <row r="175" spans="1:14" x14ac:dyDescent="0.25">
      <c r="A175" s="898"/>
      <c r="B175" s="928"/>
      <c r="C175" s="928"/>
      <c r="D175" s="875"/>
      <c r="E175" s="928"/>
      <c r="F175" s="929"/>
      <c r="G175" s="930"/>
      <c r="H175" s="931"/>
      <c r="I175" s="932"/>
      <c r="J175" s="933"/>
    </row>
    <row r="176" spans="1:14" ht="18.75" thickBot="1" x14ac:dyDescent="0.3">
      <c r="A176" s="934"/>
      <c r="B176" s="935"/>
      <c r="C176" s="935"/>
      <c r="D176" s="936" t="s">
        <v>25155</v>
      </c>
      <c r="E176" s="937"/>
      <c r="F176" s="938"/>
      <c r="G176" s="939"/>
      <c r="H176" s="940"/>
      <c r="I176" s="941">
        <f>I173+I165+I161+I136+I59+I54+I51+I48+I44+I39+I32+I25+I17+I12+I9</f>
        <v>1527778.12</v>
      </c>
      <c r="J176" s="941"/>
      <c r="K176" s="1301">
        <f>J176*4</f>
        <v>0</v>
      </c>
    </row>
    <row r="177" spans="1:10" x14ac:dyDescent="0.25">
      <c r="A177" s="942"/>
      <c r="B177" s="943"/>
      <c r="C177" s="943"/>
      <c r="D177" s="944"/>
      <c r="E177" s="943"/>
      <c r="F177" s="945"/>
      <c r="G177" s="946"/>
      <c r="H177" s="946"/>
      <c r="I177" s="947"/>
    </row>
    <row r="178" spans="1:10" ht="32.25" customHeight="1" x14ac:dyDescent="0.25">
      <c r="A178" s="850"/>
      <c r="B178" s="1553" t="s">
        <v>4393</v>
      </c>
      <c r="C178" s="1553"/>
      <c r="D178" s="1553"/>
      <c r="E178" s="1553"/>
      <c r="F178" s="1553"/>
      <c r="G178" s="1553"/>
      <c r="H178" s="1553"/>
      <c r="I178" s="1554"/>
      <c r="J178" s="949"/>
    </row>
    <row r="179" spans="1:10" x14ac:dyDescent="0.25">
      <c r="A179" s="850"/>
      <c r="C179" s="708"/>
      <c r="I179" s="952"/>
    </row>
    <row r="180" spans="1:10" ht="30" customHeight="1" x14ac:dyDescent="0.25">
      <c r="A180" s="850"/>
      <c r="B180" s="1553" t="s">
        <v>25156</v>
      </c>
      <c r="C180" s="1553"/>
      <c r="D180" s="1553"/>
      <c r="E180" s="1553"/>
      <c r="F180" s="1553"/>
      <c r="G180" s="1553"/>
      <c r="H180" s="1553"/>
      <c r="I180" s="1554"/>
    </row>
    <row r="181" spans="1:10" x14ac:dyDescent="0.25">
      <c r="A181" s="850"/>
      <c r="I181" s="952"/>
    </row>
    <row r="182" spans="1:10" x14ac:dyDescent="0.25">
      <c r="A182" s="850"/>
      <c r="I182" s="952"/>
    </row>
    <row r="183" spans="1:10" x14ac:dyDescent="0.25">
      <c r="A183" s="850"/>
      <c r="I183" s="952"/>
    </row>
    <row r="184" spans="1:10" x14ac:dyDescent="0.25">
      <c r="A184" s="850"/>
      <c r="I184" s="952"/>
    </row>
    <row r="185" spans="1:10" x14ac:dyDescent="0.25">
      <c r="A185" s="850"/>
      <c r="I185" s="952"/>
    </row>
    <row r="186" spans="1:10" x14ac:dyDescent="0.25">
      <c r="A186" s="850"/>
      <c r="I186" s="952"/>
    </row>
    <row r="187" spans="1:10" x14ac:dyDescent="0.25">
      <c r="A187" s="850"/>
      <c r="D187" s="953" t="s">
        <v>25157</v>
      </c>
      <c r="F187" s="1543"/>
      <c r="G187" s="1543"/>
      <c r="H187" s="1543"/>
      <c r="I187" s="1544"/>
    </row>
    <row r="188" spans="1:10" x14ac:dyDescent="0.25">
      <c r="A188" s="850"/>
      <c r="D188" s="695" t="s">
        <v>24941</v>
      </c>
      <c r="F188" s="1538"/>
      <c r="G188" s="1538"/>
      <c r="H188" s="1538"/>
      <c r="I188" s="1545"/>
    </row>
    <row r="189" spans="1:10" ht="18.75" thickBot="1" x14ac:dyDescent="0.3">
      <c r="A189" s="855"/>
      <c r="B189" s="954"/>
      <c r="C189" s="954"/>
      <c r="D189" s="955" t="s">
        <v>24940</v>
      </c>
      <c r="E189" s="954"/>
      <c r="F189" s="1539"/>
      <c r="G189" s="1539"/>
      <c r="H189" s="1539"/>
      <c r="I189" s="1546"/>
    </row>
  </sheetData>
  <autoFilter ref="A8:L8" xr:uid="{D1DC3879-5B5B-4FDB-94CF-FFFF0D0CC64C}"/>
  <mergeCells count="9">
    <mergeCell ref="F187:I187"/>
    <mergeCell ref="F188:I188"/>
    <mergeCell ref="F189:I189"/>
    <mergeCell ref="A1:I1"/>
    <mergeCell ref="B2:D2"/>
    <mergeCell ref="E2:F2"/>
    <mergeCell ref="B3:D3"/>
    <mergeCell ref="B178:I178"/>
    <mergeCell ref="B180:I180"/>
  </mergeCells>
  <phoneticPr fontId="12" type="noConversion"/>
  <printOptions horizontalCentered="1"/>
  <pageMargins left="0.51181102362204722" right="0.31496062992125984" top="1.1811023622047245" bottom="0.59055118110236227" header="0.31496062992125984" footer="0.31496062992125984"/>
  <pageSetup paperSize="9" scale="79" fitToHeight="0" orientation="landscape" r:id="rId1"/>
  <headerFooter>
    <oddFooter>&amp;R&amp;P/&amp;N</oddFooter>
  </headerFooter>
  <rowBreaks count="1" manualBreakCount="1">
    <brk id="138" max="9"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52DF49-10A2-495B-A12C-1D09E89866C6}">
  <sheetPr>
    <tabColor rgb="FF00B050"/>
    <pageSetUpPr fitToPage="1"/>
  </sheetPr>
  <dimension ref="A1:AU239"/>
  <sheetViews>
    <sheetView view="pageBreakPreview" topLeftCell="A222" zoomScale="60" zoomScaleNormal="80" workbookViewId="0">
      <selection activeCell="D247" sqref="D247"/>
    </sheetView>
  </sheetViews>
  <sheetFormatPr defaultColWidth="9.140625" defaultRowHeight="15" x14ac:dyDescent="0.3"/>
  <cols>
    <col min="1" max="1" width="12.140625" style="691" bestFit="1" customWidth="1"/>
    <col min="2" max="2" width="24.5703125" style="1069" customWidth="1"/>
    <col min="3" max="3" width="34.140625" style="1083" customWidth="1"/>
    <col min="4" max="4" width="75.7109375" style="691" customWidth="1"/>
    <col min="5" max="5" width="19.140625" style="1084" bestFit="1" customWidth="1"/>
    <col min="6" max="6" width="23.28515625" style="1072" customWidth="1"/>
    <col min="7" max="7" width="75" style="1073" customWidth="1"/>
    <col min="8" max="8" width="34.5703125" style="691" customWidth="1"/>
    <col min="9" max="16384" width="9.140625" style="691"/>
  </cols>
  <sheetData>
    <row r="1" spans="1:10" ht="101.25" customHeight="1" thickBot="1" x14ac:dyDescent="0.35">
      <c r="A1" s="1575" t="s">
        <v>4425</v>
      </c>
      <c r="B1" s="1576"/>
      <c r="C1" s="1576"/>
      <c r="D1" s="1576"/>
      <c r="E1" s="1576"/>
      <c r="F1" s="1576"/>
      <c r="G1" s="1576"/>
      <c r="H1" s="1577"/>
    </row>
    <row r="2" spans="1:10" s="960" customFormat="1" ht="15.75" thickBot="1" x14ac:dyDescent="0.35">
      <c r="A2" s="1562" t="s">
        <v>4422</v>
      </c>
      <c r="B2" s="1563"/>
      <c r="C2" s="1578" t="str">
        <f>[2]BDI!B3</f>
        <v>SECRETARIA DE ESTADO DE SANEAMENTO, HABITAÇÃO E DESENVOLVIMENTO URBANO</v>
      </c>
      <c r="D2" s="1578"/>
      <c r="E2" s="1578"/>
      <c r="F2" s="1578"/>
      <c r="G2" s="956" t="s">
        <v>118</v>
      </c>
      <c r="H2" s="957">
        <f>[2]Planilha!I3</f>
        <v>0.28220000000000001</v>
      </c>
      <c r="I2" s="958"/>
      <c r="J2" s="959"/>
    </row>
    <row r="3" spans="1:10" s="960" customFormat="1" ht="36.75" customHeight="1" thickBot="1" x14ac:dyDescent="0.35">
      <c r="A3" s="1562" t="s">
        <v>4423</v>
      </c>
      <c r="B3" s="1563"/>
      <c r="C3" s="1579" t="str">
        <f>[2]Planilha!B2</f>
        <v>Urbanização da Orla de Piúma</v>
      </c>
      <c r="D3" s="1579"/>
      <c r="E3" s="1579"/>
      <c r="F3" s="1579"/>
      <c r="G3" s="961" t="s">
        <v>4426</v>
      </c>
      <c r="H3" s="962">
        <f>[2]Planilha!F3</f>
        <v>1.5727</v>
      </c>
      <c r="I3" s="958"/>
      <c r="J3" s="959"/>
    </row>
    <row r="4" spans="1:10" s="960" customFormat="1" ht="26.25" customHeight="1" thickBot="1" x14ac:dyDescent="0.3">
      <c r="A4" s="1562" t="s">
        <v>4424</v>
      </c>
      <c r="B4" s="1563"/>
      <c r="C4" s="963"/>
      <c r="D4" s="964"/>
      <c r="E4" s="1564"/>
      <c r="F4" s="1565"/>
      <c r="G4" s="965" t="s">
        <v>4427</v>
      </c>
      <c r="H4" s="966">
        <f ca="1">TODAY()</f>
        <v>44685</v>
      </c>
      <c r="J4" s="959"/>
    </row>
    <row r="5" spans="1:10" s="960" customFormat="1" x14ac:dyDescent="0.25">
      <c r="A5" s="1566" t="s">
        <v>4384</v>
      </c>
      <c r="B5" s="1568" t="s">
        <v>4383</v>
      </c>
      <c r="C5" s="1569"/>
      <c r="D5" s="1570" t="s">
        <v>4385</v>
      </c>
      <c r="E5" s="1572" t="s">
        <v>140</v>
      </c>
      <c r="F5" s="1573" t="s">
        <v>4381</v>
      </c>
      <c r="G5" s="1555" t="s">
        <v>4428</v>
      </c>
      <c r="H5" s="1557" t="s">
        <v>4429</v>
      </c>
    </row>
    <row r="6" spans="1:10" s="953" customFormat="1" x14ac:dyDescent="0.25">
      <c r="A6" s="1567"/>
      <c r="B6" s="967" t="s">
        <v>4430</v>
      </c>
      <c r="C6" s="968" t="s">
        <v>133</v>
      </c>
      <c r="D6" s="1571"/>
      <c r="E6" s="1556"/>
      <c r="F6" s="1574"/>
      <c r="G6" s="1556"/>
      <c r="H6" s="1558"/>
    </row>
    <row r="7" spans="1:10" s="958" customFormat="1" x14ac:dyDescent="0.3">
      <c r="A7" s="969">
        <f>'QUIOSQUE - MOD 01'!A8</f>
        <v>1</v>
      </c>
      <c r="B7" s="969"/>
      <c r="C7" s="969"/>
      <c r="D7" s="969" t="str">
        <f>'QUIOSQUE - MOD 01'!D8</f>
        <v>MÓDULO QUIOSQUES (Quantidades para 1 Quiosque)</v>
      </c>
      <c r="E7" s="969"/>
      <c r="F7" s="971"/>
      <c r="G7" s="972"/>
      <c r="H7" s="973"/>
    </row>
    <row r="8" spans="1:10" s="981" customFormat="1" x14ac:dyDescent="0.3">
      <c r="A8" s="974" t="str">
        <f>'QUIOSQUE - MOD 01'!A9</f>
        <v>1.1</v>
      </c>
      <c r="B8" s="975"/>
      <c r="C8" s="976"/>
      <c r="D8" s="970" t="str">
        <f>'QUIOSQUE - MOD 01'!D9</f>
        <v>LOCAÇÃO</v>
      </c>
      <c r="E8" s="977"/>
      <c r="F8" s="978"/>
      <c r="G8" s="979"/>
      <c r="H8" s="980"/>
    </row>
    <row r="9" spans="1:10" ht="90" x14ac:dyDescent="0.3">
      <c r="A9" s="982" t="str">
        <f>'QUIOSQUE - MOD 01'!A10</f>
        <v>1.1.1</v>
      </c>
      <c r="B9" s="982" t="str">
        <f>'QUIOSQUE - MOD 01'!B10</f>
        <v>010501</v>
      </c>
      <c r="C9" s="982" t="str">
        <f>'QUIOSQUE - MOD 01'!C10</f>
        <v>DER-ED</v>
      </c>
      <c r="D9" s="982" t="str">
        <f>'QUIOSQUE - MOD 01'!D10</f>
        <v>Locação de obra com gabarito de madeira</v>
      </c>
      <c r="E9" s="982" t="str">
        <f>'QUIOSQUE - MOD 01'!E10</f>
        <v>m2</v>
      </c>
      <c r="F9" s="984">
        <f>12.75*2.52*4</f>
        <v>128.52000000000001</v>
      </c>
      <c r="G9" s="985" t="s">
        <v>25802</v>
      </c>
      <c r="H9" s="986" t="s">
        <v>25158</v>
      </c>
    </row>
    <row r="10" spans="1:10" s="981" customFormat="1" x14ac:dyDescent="0.3">
      <c r="A10" s="974" t="str">
        <f>'QUIOSQUE - MOD 01'!A12</f>
        <v>1.2</v>
      </c>
      <c r="B10" s="975"/>
      <c r="C10" s="976"/>
      <c r="D10" s="970" t="str">
        <f>'QUIOSQUE - MOD 01'!D12</f>
        <v>MOVIMENTO DE TERRA</v>
      </c>
      <c r="E10" s="977"/>
      <c r="F10" s="978"/>
      <c r="G10" s="979"/>
      <c r="H10" s="980"/>
    </row>
    <row r="11" spans="1:10" ht="19.5" customHeight="1" x14ac:dyDescent="0.3">
      <c r="A11" s="982" t="str">
        <f>'QUIOSQUE - MOD 01'!A13</f>
        <v>1.2.1</v>
      </c>
      <c r="B11" s="982" t="str">
        <f>'QUIOSQUE - MOD 01'!B13</f>
        <v>030101</v>
      </c>
      <c r="C11" s="982" t="str">
        <f>'QUIOSQUE - MOD 01'!C13</f>
        <v>DER-ED</v>
      </c>
      <c r="D11" s="1061" t="str">
        <f>'QUIOSQUE - MOD 01'!D13</f>
        <v>Escavação manual em material de 1a. categoria, até 1.50 m de profundidade</v>
      </c>
      <c r="E11" s="982" t="str">
        <f>'QUIOSQUE - MOD 01'!E13</f>
        <v>m3</v>
      </c>
      <c r="F11" s="984">
        <f>SUM(F12:F17)/2+0.01</f>
        <v>597.91999999999996</v>
      </c>
      <c r="G11" s="985" t="s">
        <v>25159</v>
      </c>
      <c r="H11" s="1559" t="s">
        <v>25160</v>
      </c>
    </row>
    <row r="12" spans="1:10" ht="30" x14ac:dyDescent="0.3">
      <c r="A12" s="987"/>
      <c r="B12" s="988"/>
      <c r="C12" s="989"/>
      <c r="D12" s="990"/>
      <c r="E12" s="991"/>
      <c r="F12" s="984">
        <f>(((1.5+0.4)*(1.5+0.4)*(2+0.1))*2)*4</f>
        <v>60.65</v>
      </c>
      <c r="G12" s="985" t="s">
        <v>25803</v>
      </c>
      <c r="H12" s="1560"/>
    </row>
    <row r="13" spans="1:10" ht="30" x14ac:dyDescent="0.3">
      <c r="A13" s="987"/>
      <c r="B13" s="988"/>
      <c r="C13" s="989"/>
      <c r="D13" s="990"/>
      <c r="E13" s="991"/>
      <c r="F13" s="984">
        <f>(((1.9+0.4)*(1.9+0.4)*(2+0.1))*4)*4</f>
        <v>177.74</v>
      </c>
      <c r="G13" s="985" t="s">
        <v>25804</v>
      </c>
      <c r="H13" s="1560"/>
    </row>
    <row r="14" spans="1:10" ht="30" x14ac:dyDescent="0.3">
      <c r="A14" s="987"/>
      <c r="B14" s="988"/>
      <c r="C14" s="989"/>
      <c r="D14" s="990"/>
      <c r="E14" s="991"/>
      <c r="F14" s="984">
        <f>(((1.6+0.4)*(1.6+0.4)*(2+0.1))*4)*4</f>
        <v>134.4</v>
      </c>
      <c r="G14" s="985" t="s">
        <v>25161</v>
      </c>
      <c r="H14" s="1560"/>
    </row>
    <row r="15" spans="1:10" ht="30" x14ac:dyDescent="0.3">
      <c r="A15" s="987"/>
      <c r="B15" s="988"/>
      <c r="C15" s="989"/>
      <c r="D15" s="990"/>
      <c r="E15" s="991"/>
      <c r="F15" s="984">
        <f>(((2.1+0.4)*(2.1+0.4)*(2+0.1))*4)*4</f>
        <v>210</v>
      </c>
      <c r="G15" s="985" t="s">
        <v>25805</v>
      </c>
      <c r="H15" s="1560"/>
    </row>
    <row r="16" spans="1:10" ht="30" x14ac:dyDescent="0.3">
      <c r="A16" s="987"/>
      <c r="B16" s="988"/>
      <c r="C16" s="989"/>
      <c r="D16" s="990"/>
      <c r="E16" s="991"/>
      <c r="F16" s="984">
        <f>(((1.6+0.4)*(1.6+0.4)*(2+0.1))*2)*4</f>
        <v>67.2</v>
      </c>
      <c r="G16" s="985" t="s">
        <v>25806</v>
      </c>
      <c r="H16" s="1560"/>
    </row>
    <row r="17" spans="1:8" ht="45" x14ac:dyDescent="0.3">
      <c r="A17" s="987"/>
      <c r="B17" s="988"/>
      <c r="C17" s="989"/>
      <c r="D17" s="990"/>
      <c r="E17" s="991"/>
      <c r="F17" s="984">
        <f>(((1.5+0.4)*(1.5+0.4)*(2+0.1))*18)*4</f>
        <v>545.83000000000004</v>
      </c>
      <c r="G17" s="985" t="s">
        <v>25807</v>
      </c>
      <c r="H17" s="1561"/>
    </row>
    <row r="18" spans="1:8" x14ac:dyDescent="0.3">
      <c r="A18" s="987"/>
      <c r="B18" s="988"/>
      <c r="C18" s="989"/>
      <c r="D18" s="990"/>
      <c r="E18" s="991"/>
      <c r="F18" s="992"/>
      <c r="G18" s="985"/>
      <c r="H18" s="993"/>
    </row>
    <row r="19" spans="1:8" x14ac:dyDescent="0.3">
      <c r="A19" s="982" t="str">
        <f>'QUIOSQUE - MOD 01'!A14</f>
        <v>1.2.2</v>
      </c>
      <c r="B19" s="982" t="str">
        <f>'QUIOSQUE - MOD 01'!B14</f>
        <v>030119</v>
      </c>
      <c r="C19" s="982" t="str">
        <f>'QUIOSQUE - MOD 01'!C14</f>
        <v>DER-ED</v>
      </c>
      <c r="D19" s="982" t="str">
        <f>'QUIOSQUE - MOD 01'!D14</f>
        <v>Apiloamento do fundo de vala com maço de 30 a 60kg</v>
      </c>
      <c r="E19" s="982" t="str">
        <f>'QUIOSQUE - MOD 01'!E14</f>
        <v>m2</v>
      </c>
      <c r="F19" s="984">
        <f>SUM(F20:F25)/2</f>
        <v>184.88</v>
      </c>
      <c r="G19" s="985" t="s">
        <v>25162</v>
      </c>
      <c r="H19" s="993"/>
    </row>
    <row r="20" spans="1:8" ht="30" x14ac:dyDescent="0.3">
      <c r="A20" s="987"/>
      <c r="B20" s="988"/>
      <c r="C20" s="989"/>
      <c r="D20" s="990"/>
      <c r="E20" s="991"/>
      <c r="F20" s="984">
        <f>((1.5*1.5)*2)*4</f>
        <v>18</v>
      </c>
      <c r="G20" s="985" t="s">
        <v>25808</v>
      </c>
      <c r="H20" s="993"/>
    </row>
    <row r="21" spans="1:8" ht="30" x14ac:dyDescent="0.3">
      <c r="A21" s="987"/>
      <c r="B21" s="988"/>
      <c r="C21" s="989"/>
      <c r="D21" s="990"/>
      <c r="E21" s="991"/>
      <c r="F21" s="984">
        <f>(1.9*1.9)*4*4</f>
        <v>57.76</v>
      </c>
      <c r="G21" s="985" t="s">
        <v>25809</v>
      </c>
      <c r="H21" s="993"/>
    </row>
    <row r="22" spans="1:8" ht="30" x14ac:dyDescent="0.3">
      <c r="A22" s="987"/>
      <c r="B22" s="988"/>
      <c r="C22" s="989"/>
      <c r="D22" s="990"/>
      <c r="E22" s="991"/>
      <c r="F22" s="984">
        <f>(1.6*1.6)*4*4</f>
        <v>40.96</v>
      </c>
      <c r="G22" s="985" t="s">
        <v>25810</v>
      </c>
      <c r="H22" s="993"/>
    </row>
    <row r="23" spans="1:8" ht="30" x14ac:dyDescent="0.3">
      <c r="A23" s="987"/>
      <c r="B23" s="988"/>
      <c r="C23" s="989"/>
      <c r="D23" s="990"/>
      <c r="E23" s="991"/>
      <c r="F23" s="984">
        <f>(2.1*2.1)*4*4</f>
        <v>70.56</v>
      </c>
      <c r="G23" s="985" t="s">
        <v>25811</v>
      </c>
      <c r="H23" s="993"/>
    </row>
    <row r="24" spans="1:8" ht="30" x14ac:dyDescent="0.3">
      <c r="A24" s="987"/>
      <c r="B24" s="988"/>
      <c r="C24" s="989"/>
      <c r="D24" s="990"/>
      <c r="E24" s="991"/>
      <c r="F24" s="984">
        <f>(1.6*1.6)*2*4</f>
        <v>20.48</v>
      </c>
      <c r="G24" s="985" t="s">
        <v>25812</v>
      </c>
      <c r="H24" s="993"/>
    </row>
    <row r="25" spans="1:8" ht="45" x14ac:dyDescent="0.3">
      <c r="A25" s="987"/>
      <c r="B25" s="988"/>
      <c r="C25" s="989"/>
      <c r="D25" s="990"/>
      <c r="E25" s="991"/>
      <c r="F25" s="984">
        <f>(1.5*1.5)*18*4</f>
        <v>162</v>
      </c>
      <c r="G25" s="985" t="s">
        <v>25813</v>
      </c>
      <c r="H25" s="993"/>
    </row>
    <row r="26" spans="1:8" x14ac:dyDescent="0.3">
      <c r="A26" s="987"/>
      <c r="B26" s="988"/>
      <c r="C26" s="989"/>
      <c r="D26" s="990"/>
      <c r="E26" s="991"/>
      <c r="F26" s="992"/>
      <c r="G26" s="985"/>
      <c r="H26" s="993"/>
    </row>
    <row r="27" spans="1:8" x14ac:dyDescent="0.3">
      <c r="A27" s="982" t="str">
        <f>'QUIOSQUE - MOD 01'!A15</f>
        <v>1.2.3</v>
      </c>
      <c r="B27" s="982" t="str">
        <f>'QUIOSQUE - MOD 01'!B15</f>
        <v>030201</v>
      </c>
      <c r="C27" s="982" t="str">
        <f>'QUIOSQUE - MOD 01'!C15</f>
        <v>DER-ED</v>
      </c>
      <c r="D27" s="982" t="str">
        <f>'QUIOSQUE - MOD 01'!D15</f>
        <v>Reaterro apiloado de cavas de fundação, em camadas de 20 cm</v>
      </c>
      <c r="E27" s="982" t="str">
        <f>'QUIOSQUE - MOD 01'!E15</f>
        <v>m3</v>
      </c>
      <c r="F27" s="984">
        <f>SUM(F28)/2+0.02</f>
        <v>197.96</v>
      </c>
      <c r="G27" s="985" t="s">
        <v>25163</v>
      </c>
      <c r="H27" s="993"/>
    </row>
    <row r="28" spans="1:8" x14ac:dyDescent="0.3">
      <c r="A28" s="987"/>
      <c r="B28" s="988"/>
      <c r="C28" s="989"/>
      <c r="D28" s="990"/>
      <c r="E28" s="991"/>
      <c r="F28" s="984">
        <f>F11-F35</f>
        <v>395.88</v>
      </c>
      <c r="G28" s="985" t="s">
        <v>25164</v>
      </c>
      <c r="H28" s="993"/>
    </row>
    <row r="29" spans="1:8" x14ac:dyDescent="0.3">
      <c r="A29" s="987"/>
      <c r="B29" s="988"/>
      <c r="C29" s="989"/>
      <c r="D29" s="990"/>
      <c r="E29" s="991"/>
      <c r="F29" s="992"/>
      <c r="G29" s="985"/>
      <c r="H29" s="993"/>
    </row>
    <row r="30" spans="1:8" s="981" customFormat="1" x14ac:dyDescent="0.3">
      <c r="A30" s="994" t="str">
        <f>'QUIOSQUE - MOD 01'!A17</f>
        <v>1.3</v>
      </c>
      <c r="B30" s="995"/>
      <c r="C30" s="996"/>
      <c r="D30" s="997" t="str">
        <f>'QUIOSQUE - MOD 01'!D17</f>
        <v>INFRA-ESTRUTURA (FUNDAÇÃO)</v>
      </c>
      <c r="E30" s="998"/>
      <c r="F30" s="978"/>
      <c r="G30" s="979"/>
      <c r="H30" s="980"/>
    </row>
    <row r="31" spans="1:8" ht="45" x14ac:dyDescent="0.3">
      <c r="A31" s="982" t="str">
        <f>'QUIOSQUE - MOD 01'!A18</f>
        <v>1.3.1</v>
      </c>
      <c r="B31" s="982" t="str">
        <f>'QUIOSQUE - MOD 01'!B18</f>
        <v>040231</v>
      </c>
      <c r="C31" s="982" t="str">
        <f>'QUIOSQUE - MOD 01'!C18</f>
        <v>DER-ED</v>
      </c>
      <c r="D31" s="1061" t="str">
        <f>'QUIOSQUE - MOD 01'!D18</f>
        <v>Fornecimento, preparo e aplicação de concreto magro com consumo mínimo de cimento de 250 kg/m3 (brita 1 e 2) - (5% de perdas já incluído no custo)</v>
      </c>
      <c r="E31" s="982" t="str">
        <f>'QUIOSQUE - MOD 01'!E18</f>
        <v>m3</v>
      </c>
      <c r="F31" s="984">
        <f>(F33/2)+F32</f>
        <v>9.9600000000000009</v>
      </c>
      <c r="G31" s="985"/>
      <c r="H31" s="993"/>
    </row>
    <row r="32" spans="1:8" x14ac:dyDescent="0.3">
      <c r="A32" s="999"/>
      <c r="B32" s="1000"/>
      <c r="C32" s="1001"/>
      <c r="D32" s="1002"/>
      <c r="E32" s="1003"/>
      <c r="F32" s="1004">
        <f>0.63*4</f>
        <v>2.52</v>
      </c>
      <c r="G32" s="985" t="s">
        <v>25814</v>
      </c>
      <c r="H32" s="993" t="s">
        <v>24910</v>
      </c>
    </row>
    <row r="33" spans="1:11" x14ac:dyDescent="0.3">
      <c r="A33" s="987"/>
      <c r="B33" s="988"/>
      <c r="C33" s="989"/>
      <c r="D33" s="990"/>
      <c r="E33" s="1005"/>
      <c r="F33" s="1004">
        <f>3.72*4</f>
        <v>14.88</v>
      </c>
      <c r="G33" s="985" t="s">
        <v>25815</v>
      </c>
      <c r="H33" s="993" t="s">
        <v>24910</v>
      </c>
    </row>
    <row r="34" spans="1:11" x14ac:dyDescent="0.3">
      <c r="A34" s="1006"/>
      <c r="B34" s="1007"/>
      <c r="C34" s="1008"/>
      <c r="D34" s="1009"/>
      <c r="E34" s="1010"/>
      <c r="F34" s="1011"/>
      <c r="G34" s="985"/>
      <c r="H34" s="993"/>
    </row>
    <row r="35" spans="1:11" x14ac:dyDescent="0.3">
      <c r="A35" s="982" t="str">
        <f>'QUIOSQUE - MOD 01'!A19</f>
        <v>1.3.2</v>
      </c>
      <c r="B35" s="982" t="str">
        <f>'QUIOSQUE - MOD 01'!B19</f>
        <v>CP-001</v>
      </c>
      <c r="C35" s="982" t="str">
        <f>'QUIOSQUE - MOD 01'!C19</f>
        <v>COMP.</v>
      </c>
      <c r="D35" s="982" t="str">
        <f>'QUIOSQUE - MOD 01'!D19</f>
        <v>Fornecimento e aplicação de concreto USINADO Fck=40 MPa - considerando lançamento MANUAL para INFRA-
ESTRUTURA (5% de perdas já incluído no custo)</v>
      </c>
      <c r="E35" s="982" t="str">
        <f>'QUIOSQUE - MOD 01'!E19</f>
        <v>m3</v>
      </c>
      <c r="F35" s="984">
        <f>((F36+F38+F39+F40)/2)+(F37)</f>
        <v>202.04</v>
      </c>
      <c r="G35" s="985" t="s">
        <v>25159</v>
      </c>
      <c r="H35" s="993"/>
    </row>
    <row r="36" spans="1:11" x14ac:dyDescent="0.3">
      <c r="A36" s="999"/>
      <c r="B36" s="1000"/>
      <c r="C36" s="1001"/>
      <c r="D36" s="1002"/>
      <c r="E36" s="1003"/>
      <c r="F36" s="1004">
        <f>38.7*4</f>
        <v>154.80000000000001</v>
      </c>
      <c r="G36" s="985" t="s">
        <v>25816</v>
      </c>
      <c r="H36" s="993" t="s">
        <v>24910</v>
      </c>
    </row>
    <row r="37" spans="1:11" x14ac:dyDescent="0.3">
      <c r="A37" s="987"/>
      <c r="B37" s="988"/>
      <c r="C37" s="989"/>
      <c r="D37" s="990"/>
      <c r="E37" s="1005"/>
      <c r="F37" s="1004">
        <f>5.04*4</f>
        <v>20.16</v>
      </c>
      <c r="G37" s="985" t="s">
        <v>25817</v>
      </c>
      <c r="H37" s="993" t="s">
        <v>24910</v>
      </c>
    </row>
    <row r="38" spans="1:11" x14ac:dyDescent="0.3">
      <c r="A38" s="987"/>
      <c r="B38" s="988"/>
      <c r="C38" s="989"/>
      <c r="D38" s="990"/>
      <c r="E38" s="1005"/>
      <c r="F38" s="1004">
        <f>32.16*4</f>
        <v>128.63999999999999</v>
      </c>
      <c r="G38" s="985" t="s">
        <v>25818</v>
      </c>
      <c r="H38" s="993" t="s">
        <v>24910</v>
      </c>
    </row>
    <row r="39" spans="1:11" x14ac:dyDescent="0.3">
      <c r="A39" s="987"/>
      <c r="B39" s="988"/>
      <c r="C39" s="989"/>
      <c r="D39" s="990"/>
      <c r="E39" s="1005"/>
      <c r="F39" s="1004">
        <f>16.68*4</f>
        <v>66.72</v>
      </c>
      <c r="G39" s="985" t="s">
        <v>25819</v>
      </c>
      <c r="H39" s="993" t="s">
        <v>24910</v>
      </c>
    </row>
    <row r="40" spans="1:11" x14ac:dyDescent="0.3">
      <c r="A40" s="987"/>
      <c r="B40" s="988"/>
      <c r="C40" s="989"/>
      <c r="D40" s="990"/>
      <c r="E40" s="1005"/>
      <c r="F40" s="1004">
        <f>3.4*4</f>
        <v>13.6</v>
      </c>
      <c r="G40" s="985" t="s">
        <v>25820</v>
      </c>
      <c r="H40" s="993" t="s">
        <v>24910</v>
      </c>
    </row>
    <row r="41" spans="1:11" x14ac:dyDescent="0.3">
      <c r="A41" s="1006"/>
      <c r="B41" s="1007"/>
      <c r="C41" s="1008"/>
      <c r="D41" s="1009"/>
      <c r="E41" s="1010"/>
      <c r="F41" s="1011"/>
      <c r="G41" s="985"/>
      <c r="H41" s="993"/>
    </row>
    <row r="42" spans="1:11" ht="45" x14ac:dyDescent="0.3">
      <c r="A42" s="1013" t="str">
        <f>'QUIOSQUE - MOD 01'!A20</f>
        <v>1.3.3</v>
      </c>
      <c r="B42" s="1013" t="str">
        <f>'QUIOSQUE - MOD 01'!B20</f>
        <v>040206</v>
      </c>
      <c r="C42" s="1013" t="str">
        <f>'QUIOSQUE - MOD 01'!C20</f>
        <v>DER-ED</v>
      </c>
      <c r="D42" s="1177" t="str">
        <f>'QUIOSQUE - MOD 01'!D20</f>
        <v>Fôrma de tábua de madeira de 2.5 x 30.0 cm para fundações, levando-se em conta a utilização 5 vezes (incluido o material, corte, montagem, escoramento e desforma)</v>
      </c>
      <c r="E42" s="1013" t="str">
        <f>'QUIOSQUE - MOD 01'!E20</f>
        <v>m2</v>
      </c>
      <c r="F42" s="984">
        <f>((F43+F45+F46+F47)/2)+(F44)</f>
        <v>845</v>
      </c>
      <c r="G42" s="985"/>
      <c r="H42" s="993"/>
    </row>
    <row r="43" spans="1:11" x14ac:dyDescent="0.3">
      <c r="A43" s="999"/>
      <c r="B43" s="1000"/>
      <c r="C43" s="1001"/>
      <c r="D43" s="1002"/>
      <c r="E43" s="1003"/>
      <c r="F43" s="1004">
        <v>384.8</v>
      </c>
      <c r="G43" s="985" t="s">
        <v>25821</v>
      </c>
      <c r="H43" s="993" t="s">
        <v>24910</v>
      </c>
      <c r="J43" s="1004">
        <v>96.2</v>
      </c>
      <c r="K43" s="691">
        <f>J43*4</f>
        <v>384.8</v>
      </c>
    </row>
    <row r="44" spans="1:11" x14ac:dyDescent="0.3">
      <c r="A44" s="987"/>
      <c r="B44" s="988"/>
      <c r="C44" s="989"/>
      <c r="D44" s="990"/>
      <c r="E44" s="1005"/>
      <c r="F44" s="1004">
        <v>37.6</v>
      </c>
      <c r="G44" s="985" t="s">
        <v>25822</v>
      </c>
      <c r="H44" s="993" t="s">
        <v>24910</v>
      </c>
      <c r="J44" s="1004">
        <v>9.4</v>
      </c>
      <c r="K44" s="691">
        <f t="shared" ref="K44:K47" si="0">J44*4</f>
        <v>37.6</v>
      </c>
    </row>
    <row r="45" spans="1:11" x14ac:dyDescent="0.3">
      <c r="A45" s="987"/>
      <c r="B45" s="988"/>
      <c r="C45" s="989"/>
      <c r="D45" s="990"/>
      <c r="E45" s="1005"/>
      <c r="F45" s="1004">
        <v>857.6</v>
      </c>
      <c r="G45" s="985" t="s">
        <v>25823</v>
      </c>
      <c r="H45" s="993" t="s">
        <v>24910</v>
      </c>
      <c r="J45" s="1004">
        <v>214.4</v>
      </c>
      <c r="K45" s="691">
        <f t="shared" si="0"/>
        <v>857.6</v>
      </c>
    </row>
    <row r="46" spans="1:11" x14ac:dyDescent="0.3">
      <c r="A46" s="987"/>
      <c r="B46" s="988"/>
      <c r="C46" s="989"/>
      <c r="D46" s="990"/>
      <c r="E46" s="1005"/>
      <c r="F46" s="1004">
        <v>154.80000000000001</v>
      </c>
      <c r="G46" s="985" t="s">
        <v>25824</v>
      </c>
      <c r="H46" s="993" t="s">
        <v>24910</v>
      </c>
      <c r="J46" s="1004">
        <v>38.700000000000003</v>
      </c>
      <c r="K46" s="691">
        <f t="shared" si="0"/>
        <v>154.80000000000001</v>
      </c>
    </row>
    <row r="47" spans="1:11" x14ac:dyDescent="0.3">
      <c r="A47" s="987"/>
      <c r="B47" s="988"/>
      <c r="C47" s="989"/>
      <c r="D47" s="990"/>
      <c r="E47" s="1005"/>
      <c r="F47" s="1004">
        <v>217.6</v>
      </c>
      <c r="G47" s="985" t="s">
        <v>25825</v>
      </c>
      <c r="H47" s="993" t="s">
        <v>24910</v>
      </c>
      <c r="J47" s="1004">
        <v>54.4</v>
      </c>
      <c r="K47" s="691">
        <f t="shared" si="0"/>
        <v>217.6</v>
      </c>
    </row>
    <row r="48" spans="1:11" x14ac:dyDescent="0.3">
      <c r="A48" s="1006"/>
      <c r="B48" s="1007"/>
      <c r="C48" s="1008"/>
      <c r="D48" s="1009"/>
      <c r="E48" s="1010"/>
      <c r="F48" s="1011"/>
      <c r="G48" s="985"/>
      <c r="H48" s="993"/>
    </row>
    <row r="49" spans="1:11" ht="30" x14ac:dyDescent="0.3">
      <c r="A49" s="1014" t="str">
        <f>'QUIOSQUE - MOD 01'!A21</f>
        <v>1.3.4</v>
      </c>
      <c r="B49" s="1014" t="str">
        <f>'QUIOSQUE - MOD 01'!B21</f>
        <v>040243</v>
      </c>
      <c r="C49" s="1014" t="str">
        <f>'QUIOSQUE - MOD 01'!C21</f>
        <v>DER-ED</v>
      </c>
      <c r="D49" s="1178" t="str">
        <f>'QUIOSQUE - MOD 01'!D21</f>
        <v>Fornecimento, dobragem e colocação em fôrma, de armadura CA-50 A média, diâmetro de 6.3 a 10.0 mm</v>
      </c>
      <c r="E49" s="1014" t="str">
        <f>'QUIOSQUE - MOD 01'!E21</f>
        <v>kg</v>
      </c>
      <c r="F49" s="984">
        <f>1048.3*4/2</f>
        <v>2096.6</v>
      </c>
      <c r="G49" s="985" t="s">
        <v>25826</v>
      </c>
      <c r="H49" s="993" t="s">
        <v>24910</v>
      </c>
      <c r="J49" s="984">
        <f>1048.3/2</f>
        <v>524.15</v>
      </c>
    </row>
    <row r="50" spans="1:11" ht="30" x14ac:dyDescent="0.3">
      <c r="A50" s="1014" t="str">
        <f>'QUIOSQUE - MOD 01'!A22</f>
        <v>1.3.5</v>
      </c>
      <c r="B50" s="1014" t="str">
        <f>'QUIOSQUE - MOD 01'!B22</f>
        <v>040245</v>
      </c>
      <c r="C50" s="1014" t="str">
        <f>'QUIOSQUE - MOD 01'!C22</f>
        <v>DER-ED</v>
      </c>
      <c r="D50" s="1178" t="str">
        <f>'QUIOSQUE - MOD 01'!D22</f>
        <v>Fornecimento, dobragem e colocação em fôrma, de armadura CA-50 A grossa diâmetro de 12.5 a 25.0 mm (1/2 a 1")</v>
      </c>
      <c r="E50" s="1014" t="str">
        <f>'QUIOSQUE - MOD 01'!E22</f>
        <v>kg</v>
      </c>
      <c r="F50" s="984">
        <f>647.7*4/2</f>
        <v>1295.4000000000001</v>
      </c>
      <c r="G50" s="985" t="s">
        <v>25827</v>
      </c>
      <c r="H50" s="993" t="s">
        <v>24910</v>
      </c>
      <c r="J50" s="984">
        <f>647.7/2</f>
        <v>323.85000000000002</v>
      </c>
    </row>
    <row r="51" spans="1:11" ht="30" x14ac:dyDescent="0.3">
      <c r="A51" s="1014" t="str">
        <f>'QUIOSQUE - MOD 01'!A23</f>
        <v>1.3.6</v>
      </c>
      <c r="B51" s="1014" t="str">
        <f>'QUIOSQUE - MOD 01'!B23</f>
        <v>040246</v>
      </c>
      <c r="C51" s="1014" t="str">
        <f>'QUIOSQUE - MOD 01'!C23</f>
        <v>DER-ED</v>
      </c>
      <c r="D51" s="1178" t="str">
        <f>'QUIOSQUE - MOD 01'!D23</f>
        <v>Fornecimento, dobragem e colocação em fôrma, de armadura CA-60 B fina, diâmetro de 4.0 a 7.0mm</v>
      </c>
      <c r="E51" s="1014" t="str">
        <f>'QUIOSQUE - MOD 01'!E23</f>
        <v>kg</v>
      </c>
      <c r="F51" s="984">
        <f>252.6*4/2</f>
        <v>505.2</v>
      </c>
      <c r="G51" s="985" t="s">
        <v>25828</v>
      </c>
      <c r="H51" s="993" t="s">
        <v>24910</v>
      </c>
      <c r="J51" s="984">
        <f>252.6/2</f>
        <v>126.3</v>
      </c>
    </row>
    <row r="52" spans="1:11" s="981" customFormat="1" x14ac:dyDescent="0.3">
      <c r="A52" s="974" t="str">
        <f>'QUIOSQUE - MOD 01'!A25</f>
        <v>1.4</v>
      </c>
      <c r="B52" s="975"/>
      <c r="C52" s="976"/>
      <c r="D52" s="1015" t="str">
        <f>'QUIOSQUE - MOD 01'!D25</f>
        <v>SUPER-ESTRUTURA</v>
      </c>
      <c r="E52" s="977"/>
      <c r="F52" s="978"/>
      <c r="G52" s="979"/>
      <c r="H52" s="980"/>
    </row>
    <row r="53" spans="1:11" x14ac:dyDescent="0.3">
      <c r="A53" s="982" t="str">
        <f>'QUIOSQUE - MOD 01'!A26</f>
        <v>1.4.1</v>
      </c>
      <c r="B53" s="982" t="str">
        <f>'QUIOSQUE - MOD 01'!B26</f>
        <v>CP-002</v>
      </c>
      <c r="C53" s="982" t="str">
        <f>'QUIOSQUE - MOD 01'!C26</f>
        <v>COMP.</v>
      </c>
      <c r="D53" s="982" t="str">
        <f>'QUIOSQUE - MOD 01'!D26</f>
        <v>Fornecimento e aplicação de concreto USINADO Fck=40 MPa - considerando BOMBEAMENTO (5% de perdas já incluído no custo) (6% de taxa p/ concr. bombeavel)</v>
      </c>
      <c r="E53" s="982" t="str">
        <f>'QUIOSQUE - MOD 01'!E26</f>
        <v>m3</v>
      </c>
      <c r="F53" s="984">
        <f>SUM(F54:F56)/2+0.02</f>
        <v>49.68</v>
      </c>
      <c r="G53" s="985"/>
      <c r="H53" s="993"/>
    </row>
    <row r="54" spans="1:11" x14ac:dyDescent="0.3">
      <c r="A54" s="999"/>
      <c r="B54" s="1000"/>
      <c r="C54" s="1001"/>
      <c r="D54" s="1002"/>
      <c r="E54" s="1003"/>
      <c r="F54" s="1004">
        <v>57.8</v>
      </c>
      <c r="G54" s="985" t="s">
        <v>25829</v>
      </c>
      <c r="H54" s="993" t="s">
        <v>24910</v>
      </c>
      <c r="J54" s="1004">
        <v>14.45</v>
      </c>
      <c r="K54" s="691">
        <f t="shared" ref="K54:K56" si="1">J54*4</f>
        <v>57.8</v>
      </c>
    </row>
    <row r="55" spans="1:11" x14ac:dyDescent="0.3">
      <c r="A55" s="987"/>
      <c r="B55" s="988"/>
      <c r="C55" s="989"/>
      <c r="D55" s="990"/>
      <c r="E55" s="1005"/>
      <c r="F55" s="1004">
        <v>32.24</v>
      </c>
      <c r="G55" s="985" t="s">
        <v>25830</v>
      </c>
      <c r="H55" s="993" t="s">
        <v>24910</v>
      </c>
      <c r="J55" s="1004">
        <v>8.06</v>
      </c>
      <c r="K55" s="691">
        <f t="shared" si="1"/>
        <v>32.24</v>
      </c>
    </row>
    <row r="56" spans="1:11" x14ac:dyDescent="0.3">
      <c r="A56" s="987"/>
      <c r="B56" s="988"/>
      <c r="C56" s="989"/>
      <c r="D56" s="990"/>
      <c r="E56" s="1005"/>
      <c r="F56" s="1004">
        <v>9.2799999999999994</v>
      </c>
      <c r="G56" s="985" t="s">
        <v>25831</v>
      </c>
      <c r="H56" s="993" t="s">
        <v>24910</v>
      </c>
      <c r="J56" s="1004">
        <v>2.3199999999999998</v>
      </c>
      <c r="K56" s="691">
        <f t="shared" si="1"/>
        <v>9.2799999999999994</v>
      </c>
    </row>
    <row r="57" spans="1:11" x14ac:dyDescent="0.3">
      <c r="A57" s="1006"/>
      <c r="B57" s="1007"/>
      <c r="C57" s="1008"/>
      <c r="D57" s="1009"/>
      <c r="E57" s="1010"/>
      <c r="F57" s="1011"/>
      <c r="G57" s="985"/>
      <c r="H57" s="993"/>
    </row>
    <row r="58" spans="1:11" ht="30" x14ac:dyDescent="0.3">
      <c r="A58" s="1014" t="str">
        <f>'QUIOSQUE - MOD 01'!A27</f>
        <v>1.4.2</v>
      </c>
      <c r="B58" s="1014" t="str">
        <f>'QUIOSQUE - MOD 01'!B27</f>
        <v>040328</v>
      </c>
      <c r="C58" s="1014" t="str">
        <f>'QUIOSQUE - MOD 01'!C27</f>
        <v>DER-ED</v>
      </c>
      <c r="D58" s="1178" t="str">
        <f>'QUIOSQUE - MOD 01'!D27</f>
        <v>Fornecimento, dobragem e colocação em fôrma, de armadura CA-50 A média, diâmetro de 6.3 a 10.0 mm</v>
      </c>
      <c r="E58" s="1014" t="str">
        <f>'QUIOSQUE - MOD 01'!E27</f>
        <v>kg</v>
      </c>
      <c r="F58" s="984">
        <f>4030*4/2</f>
        <v>8060</v>
      </c>
      <c r="G58" s="992" t="s">
        <v>25832</v>
      </c>
      <c r="H58" s="993" t="s">
        <v>24910</v>
      </c>
    </row>
    <row r="59" spans="1:11" ht="30" x14ac:dyDescent="0.3">
      <c r="A59" s="1014" t="str">
        <f>'QUIOSQUE - MOD 01'!A28</f>
        <v>1.4.3</v>
      </c>
      <c r="B59" s="1014" t="str">
        <f>'QUIOSQUE - MOD 01'!B28</f>
        <v>040332</v>
      </c>
      <c r="C59" s="1014" t="str">
        <f>'QUIOSQUE - MOD 01'!C28</f>
        <v>DER-ED</v>
      </c>
      <c r="D59" s="1178" t="str">
        <f>'QUIOSQUE - MOD 01'!D28</f>
        <v>Fornecimento, dobragem e colocação em fôrma, de armadura CA-50 A grossa, diâmetro de 12.5 a 25.0mm</v>
      </c>
      <c r="E59" s="1014" t="str">
        <f>'QUIOSQUE - MOD 01'!E28</f>
        <v>kg</v>
      </c>
      <c r="F59" s="984">
        <f>182.6*4/2</f>
        <v>365.2</v>
      </c>
      <c r="G59" s="985" t="s">
        <v>25833</v>
      </c>
      <c r="H59" s="993" t="s">
        <v>24910</v>
      </c>
    </row>
    <row r="60" spans="1:11" ht="30" x14ac:dyDescent="0.3">
      <c r="A60" s="1014" t="str">
        <f>'QUIOSQUE - MOD 01'!A29</f>
        <v>1.4.4</v>
      </c>
      <c r="B60" s="1014" t="str">
        <f>'QUIOSQUE - MOD 01'!B29</f>
        <v>040333</v>
      </c>
      <c r="C60" s="1014" t="str">
        <f>'QUIOSQUE - MOD 01'!C29</f>
        <v>DER-ED</v>
      </c>
      <c r="D60" s="1178" t="str">
        <f>'QUIOSQUE - MOD 01'!D29</f>
        <v>Fornecimento, dobragem e colocação em fôrma, de armadura CA-60 B fina, diâmetro de 4.0 a 7.0mm</v>
      </c>
      <c r="E60" s="1014" t="str">
        <f>'QUIOSQUE - MOD 01'!E29</f>
        <v>kg</v>
      </c>
      <c r="F60" s="984">
        <f>194.4*4/2</f>
        <v>388.8</v>
      </c>
      <c r="G60" s="985" t="s">
        <v>25834</v>
      </c>
      <c r="H60" s="993" t="s">
        <v>24910</v>
      </c>
    </row>
    <row r="61" spans="1:11" ht="45" x14ac:dyDescent="0.3">
      <c r="A61" s="1014" t="str">
        <f>'QUIOSQUE - MOD 01'!A30</f>
        <v>1.4.5</v>
      </c>
      <c r="B61" s="1014" t="str">
        <f>'QUIOSQUE - MOD 01'!B30</f>
        <v>040339</v>
      </c>
      <c r="C61" s="1014" t="str">
        <f>'QUIOSQUE - MOD 01'!C30</f>
        <v>DER-ED</v>
      </c>
      <c r="D61" s="1178" t="str">
        <f>'QUIOSQUE - MOD 01'!D30</f>
        <v>Forma de chapas madeira compensada resinada, esp. 12mm, levando-se em conta a utilização 3 vezes, reforçadas com sarrafos de madeira de 2.5 x 10.0cm (incl material, corte, montagem, escoras em eucalipto e desforma)</v>
      </c>
      <c r="E61" s="1014" t="str">
        <f>'QUIOSQUE - MOD 01'!E30</f>
        <v>m2</v>
      </c>
      <c r="F61" s="984">
        <f>SUM(F62:F64)/2+0.02</f>
        <v>260.36</v>
      </c>
      <c r="G61" s="985"/>
      <c r="H61" s="993"/>
    </row>
    <row r="62" spans="1:11" x14ac:dyDescent="0.3">
      <c r="A62" s="999"/>
      <c r="B62" s="1000"/>
      <c r="C62" s="1001"/>
      <c r="D62" s="1002"/>
      <c r="E62" s="1003"/>
      <c r="F62" s="1004">
        <v>385.24</v>
      </c>
      <c r="G62" s="985" t="s">
        <v>25835</v>
      </c>
      <c r="H62" s="993" t="s">
        <v>24910</v>
      </c>
      <c r="J62" s="1004">
        <v>96.31</v>
      </c>
      <c r="K62" s="691">
        <f t="shared" ref="K62:K64" si="2">J62*4</f>
        <v>385.24</v>
      </c>
    </row>
    <row r="63" spans="1:11" x14ac:dyDescent="0.3">
      <c r="A63" s="987"/>
      <c r="B63" s="988"/>
      <c r="C63" s="989"/>
      <c r="D63" s="990"/>
      <c r="E63" s="1005"/>
      <c r="F63" s="1004">
        <v>58.64</v>
      </c>
      <c r="G63" s="985" t="s">
        <v>25836</v>
      </c>
      <c r="H63" s="993" t="s">
        <v>24910</v>
      </c>
      <c r="J63" s="1004">
        <v>14.66</v>
      </c>
      <c r="K63" s="691">
        <f t="shared" si="2"/>
        <v>58.64</v>
      </c>
    </row>
    <row r="64" spans="1:11" x14ac:dyDescent="0.3">
      <c r="A64" s="1006"/>
      <c r="B64" s="1007"/>
      <c r="C64" s="1008"/>
      <c r="D64" s="1009"/>
      <c r="E64" s="1010"/>
      <c r="F64" s="1004">
        <v>76.8</v>
      </c>
      <c r="G64" s="985" t="s">
        <v>25837</v>
      </c>
      <c r="H64" s="993" t="s">
        <v>24910</v>
      </c>
      <c r="J64" s="1004">
        <v>19.2</v>
      </c>
      <c r="K64" s="691">
        <f t="shared" si="2"/>
        <v>76.8</v>
      </c>
    </row>
    <row r="65" spans="1:8" s="981" customFormat="1" x14ac:dyDescent="0.3">
      <c r="A65" s="994" t="str">
        <f>'QUIOSQUE - MOD 01'!A32</f>
        <v>1.5</v>
      </c>
      <c r="B65" s="995"/>
      <c r="C65" s="996"/>
      <c r="D65" s="997" t="str">
        <f>'QUIOSQUE - MOD 01'!D32</f>
        <v>PAREDES E PAINÉIS</v>
      </c>
      <c r="E65" s="998"/>
      <c r="F65" s="978"/>
      <c r="G65" s="979"/>
      <c r="H65" s="980"/>
    </row>
    <row r="66" spans="1:8" ht="30" x14ac:dyDescent="0.3">
      <c r="A66" s="1013" t="str">
        <f>'QUIOSQUE - MOD 01'!A33</f>
        <v>1.5.1</v>
      </c>
      <c r="B66" s="1013" t="str">
        <f>'QUIOSQUE - MOD 01'!B33</f>
        <v>050301</v>
      </c>
      <c r="C66" s="1013" t="str">
        <f>'QUIOSQUE - MOD 01'!C33</f>
        <v>DER-ED</v>
      </c>
      <c r="D66" s="1177" t="str">
        <f>'QUIOSQUE - MOD 01'!D33</f>
        <v>Verga/contraverga reta de concreto armado 10 x 5 cm, Fck = 15 MPa, inclusive forma, armação e desforma</v>
      </c>
      <c r="E66" s="1013" t="str">
        <f>'QUIOSQUE - MOD 01'!E33</f>
        <v>m</v>
      </c>
      <c r="F66" s="984">
        <f>SUM(F67:F69)</f>
        <v>112.56</v>
      </c>
      <c r="G66" s="985"/>
      <c r="H66" s="993"/>
    </row>
    <row r="67" spans="1:8" ht="45" x14ac:dyDescent="0.3">
      <c r="A67" s="999"/>
      <c r="B67" s="1000"/>
      <c r="C67" s="1001"/>
      <c r="D67" s="1002"/>
      <c r="E67" s="1003"/>
      <c r="F67" s="1004">
        <f>((5.83+0.4)*2*1)*4</f>
        <v>49.84</v>
      </c>
      <c r="G67" s="985" t="s">
        <v>25838</v>
      </c>
      <c r="H67" s="993" t="s">
        <v>25165</v>
      </c>
    </row>
    <row r="68" spans="1:8" ht="30" x14ac:dyDescent="0.3">
      <c r="A68" s="987"/>
      <c r="B68" s="988"/>
      <c r="C68" s="989"/>
      <c r="D68" s="990"/>
      <c r="E68" s="1005"/>
      <c r="F68" s="1004">
        <f>((0.9+0.4)*4)*4</f>
        <v>20.8</v>
      </c>
      <c r="G68" s="985" t="s">
        <v>25839</v>
      </c>
      <c r="H68" s="993" t="s">
        <v>25166</v>
      </c>
    </row>
    <row r="69" spans="1:8" ht="45" x14ac:dyDescent="0.3">
      <c r="A69" s="987"/>
      <c r="B69" s="988"/>
      <c r="C69" s="989"/>
      <c r="D69" s="990"/>
      <c r="E69" s="1005"/>
      <c r="F69" s="1004">
        <f>(((4.23+0.4)*2)+((0.21+0.4)*2))*4</f>
        <v>41.92</v>
      </c>
      <c r="G69" s="985" t="s">
        <v>25840</v>
      </c>
      <c r="H69" s="993" t="s">
        <v>25167</v>
      </c>
    </row>
    <row r="70" spans="1:8" x14ac:dyDescent="0.3">
      <c r="A70" s="1006"/>
      <c r="B70" s="1007"/>
      <c r="C70" s="1008"/>
      <c r="D70" s="1009"/>
      <c r="E70" s="1010"/>
      <c r="F70" s="1004"/>
      <c r="G70" s="985"/>
      <c r="H70" s="1018"/>
    </row>
    <row r="71" spans="1:8" ht="72" customHeight="1" x14ac:dyDescent="0.3">
      <c r="A71" s="1017" t="str">
        <f>'QUIOSQUE - MOD 01'!A34</f>
        <v>1.5.2</v>
      </c>
      <c r="B71" s="1017" t="str">
        <f>'QUIOSQUE - MOD 01'!B34</f>
        <v>050602</v>
      </c>
      <c r="C71" s="1017" t="str">
        <f>'QUIOSQUE - MOD 01'!C34</f>
        <v>DER-ED</v>
      </c>
      <c r="D71" s="1179" t="str">
        <f>'QUIOSQUE - MOD 01'!D34</f>
        <v>Alvenaria de blocos de concreto 14x19x39cm, c/ resist. mínimo a compres. 2.5 MPa, assent. c/ arg. de cimento, cal hidratada CH1 e areia no traço 1:0.5:8 esp. das juntas 10mm e esp. das paredes, s/ rev. 14cm</v>
      </c>
      <c r="E71" s="1017" t="str">
        <f>'QUIOSQUE - MOD 01'!E34</f>
        <v>m2</v>
      </c>
      <c r="F71" s="984">
        <f>SUM(F72:F82)-0.02</f>
        <v>310.60000000000002</v>
      </c>
      <c r="G71" s="985" t="s">
        <v>25168</v>
      </c>
      <c r="H71" s="1559" t="s">
        <v>25169</v>
      </c>
    </row>
    <row r="72" spans="1:8" x14ac:dyDescent="0.3">
      <c r="A72" s="999"/>
      <c r="B72" s="1000"/>
      <c r="C72" s="1001"/>
      <c r="D72" s="1002"/>
      <c r="E72" s="1003"/>
      <c r="F72" s="1004">
        <f>(2.58*3) *4</f>
        <v>30.96</v>
      </c>
      <c r="G72" s="985" t="s">
        <v>25841</v>
      </c>
      <c r="H72" s="1560"/>
    </row>
    <row r="73" spans="1:8" ht="35.25" customHeight="1" x14ac:dyDescent="0.3">
      <c r="A73" s="987"/>
      <c r="B73" s="988"/>
      <c r="C73" s="989"/>
      <c r="D73" s="990"/>
      <c r="E73" s="1005"/>
      <c r="F73" s="1004">
        <f>(1.69*3)*4</f>
        <v>20.28</v>
      </c>
      <c r="G73" s="985" t="s">
        <v>25842</v>
      </c>
      <c r="H73" s="1560"/>
    </row>
    <row r="74" spans="1:8" x14ac:dyDescent="0.3">
      <c r="A74" s="987"/>
      <c r="B74" s="988"/>
      <c r="C74" s="989"/>
      <c r="D74" s="990"/>
      <c r="E74" s="1005"/>
      <c r="F74" s="1004">
        <f>(2.58*3)*4</f>
        <v>30.96</v>
      </c>
      <c r="G74" s="985" t="s">
        <v>25843</v>
      </c>
      <c r="H74" s="1560"/>
    </row>
    <row r="75" spans="1:8" ht="38.25" customHeight="1" x14ac:dyDescent="0.3">
      <c r="A75" s="987"/>
      <c r="B75" s="988"/>
      <c r="C75" s="989"/>
      <c r="D75" s="990"/>
      <c r="E75" s="1005"/>
      <c r="F75" s="1004">
        <f>(2.3*3)*4</f>
        <v>27.6</v>
      </c>
      <c r="G75" s="985" t="s">
        <v>25844</v>
      </c>
      <c r="H75" s="1560"/>
    </row>
    <row r="76" spans="1:8" x14ac:dyDescent="0.3">
      <c r="A76" s="987"/>
      <c r="B76" s="988"/>
      <c r="C76" s="989"/>
      <c r="D76" s="990"/>
      <c r="E76" s="1005"/>
      <c r="F76" s="1004">
        <f>(2.3*3)*4</f>
        <v>27.6</v>
      </c>
      <c r="G76" s="985" t="s">
        <v>25845</v>
      </c>
      <c r="H76" s="1560"/>
    </row>
    <row r="77" spans="1:8" x14ac:dyDescent="0.3">
      <c r="A77" s="987"/>
      <c r="B77" s="988"/>
      <c r="C77" s="989"/>
      <c r="D77" s="990"/>
      <c r="E77" s="1005"/>
      <c r="F77" s="1004">
        <f>((1.9*3)-((1.9*1.6)-2))*4</f>
        <v>18.64</v>
      </c>
      <c r="G77" s="985" t="s">
        <v>25846</v>
      </c>
      <c r="H77" s="1560"/>
    </row>
    <row r="78" spans="1:8" ht="30.75" customHeight="1" x14ac:dyDescent="0.3">
      <c r="A78" s="987"/>
      <c r="B78" s="988"/>
      <c r="C78" s="989"/>
      <c r="D78" s="990"/>
      <c r="E78" s="1005"/>
      <c r="F78" s="1004"/>
      <c r="G78" s="985" t="s">
        <v>25847</v>
      </c>
      <c r="H78" s="1560"/>
    </row>
    <row r="79" spans="1:8" x14ac:dyDescent="0.3">
      <c r="A79" s="987"/>
      <c r="B79" s="988"/>
      <c r="C79" s="989"/>
      <c r="D79" s="990"/>
      <c r="E79" s="1005"/>
      <c r="F79" s="1004"/>
      <c r="G79" s="985" t="s">
        <v>25848</v>
      </c>
      <c r="H79" s="1560"/>
    </row>
    <row r="80" spans="1:8" x14ac:dyDescent="0.3">
      <c r="A80" s="987"/>
      <c r="B80" s="988"/>
      <c r="C80" s="989"/>
      <c r="D80" s="990"/>
      <c r="E80" s="1005"/>
      <c r="F80" s="1004">
        <f>((1.97*3)-((1.98*1.6)-2))*4</f>
        <v>18.97</v>
      </c>
      <c r="G80" s="985" t="s">
        <v>25849</v>
      </c>
      <c r="H80" s="1560"/>
    </row>
    <row r="81" spans="1:8" ht="30" x14ac:dyDescent="0.3">
      <c r="A81" s="987"/>
      <c r="B81" s="988"/>
      <c r="C81" s="989"/>
      <c r="D81" s="990"/>
      <c r="E81" s="1005"/>
      <c r="F81" s="1004">
        <f>((11.62*3)-((((0.9*2.7)*2)+(0.9*2.1))-2))*4</f>
        <v>120.44</v>
      </c>
      <c r="G81" s="985" t="s">
        <v>25850</v>
      </c>
      <c r="H81" s="1560"/>
    </row>
    <row r="82" spans="1:8" x14ac:dyDescent="0.3">
      <c r="A82" s="1006"/>
      <c r="B82" s="1007"/>
      <c r="C82" s="1008"/>
      <c r="D82" s="1009"/>
      <c r="E82" s="1010"/>
      <c r="F82" s="1004">
        <f>((1.28*3)-(((1.28*1.6)-2)))*4</f>
        <v>15.17</v>
      </c>
      <c r="G82" s="985" t="s">
        <v>25851</v>
      </c>
      <c r="H82" s="1561"/>
    </row>
    <row r="83" spans="1:8" ht="30" x14ac:dyDescent="0.3">
      <c r="A83" s="982" t="str">
        <f>'QUIOSQUE - MOD 01'!A35</f>
        <v>1.5.3</v>
      </c>
      <c r="B83" s="982" t="str">
        <f>'QUIOSQUE - MOD 01'!B35</f>
        <v>050112</v>
      </c>
      <c r="C83" s="982" t="str">
        <f>'QUIOSQUE - MOD 01'!C35</f>
        <v>DER-ED</v>
      </c>
      <c r="D83" s="1061" t="str">
        <f>'QUIOSQUE - MOD 01'!D35</f>
        <v>Cobogó de concreto 40 x 40 x 10 cm, tipo reto, assentados com argamassa de cimento e areia no traço 1:3, espessura das juntas 15 mm</v>
      </c>
      <c r="E83" s="982" t="str">
        <f>'QUIOSQUE - MOD 01'!E35</f>
        <v>m2</v>
      </c>
      <c r="F83" s="984">
        <f>(9.23*2)*4</f>
        <v>73.84</v>
      </c>
      <c r="G83" s="985" t="s">
        <v>25852</v>
      </c>
      <c r="H83" s="1019"/>
    </row>
    <row r="84" spans="1:8" ht="45" x14ac:dyDescent="0.3">
      <c r="A84" s="982" t="str">
        <f>'QUIOSQUE - MOD 01'!A36</f>
        <v>1.5.4</v>
      </c>
      <c r="B84" s="982" t="str">
        <f>'QUIOSQUE - MOD 01'!B36</f>
        <v>CP-003</v>
      </c>
      <c r="C84" s="982" t="str">
        <f>'QUIOSQUE - MOD 01'!C36</f>
        <v>COMP.</v>
      </c>
      <c r="D84" s="1061" t="str">
        <f>'QUIOSQUE - MOD 01'!D36</f>
        <v>ALVENARIA DE VEDAÇÃO COM BLOCO DE VIDRO, TIPO CANELADO, DE 8X19X19CM E ARGAMASSA DE ASSENTAMENTO COM PREPARO EM BETONEIRA.</v>
      </c>
      <c r="E84" s="982" t="str">
        <f>'QUIOSQUE - MOD 01'!E36</f>
        <v>m2</v>
      </c>
      <c r="F84" s="984">
        <f>(0.21*2.73)*2*4+0.01</f>
        <v>4.5999999999999996</v>
      </c>
      <c r="G84" s="985" t="s">
        <v>25853</v>
      </c>
      <c r="H84" s="1019"/>
    </row>
    <row r="85" spans="1:8" ht="30" x14ac:dyDescent="0.3">
      <c r="A85" s="982" t="str">
        <f>'QUIOSQUE - MOD 01'!A37</f>
        <v>1.5.5</v>
      </c>
      <c r="B85" s="982" t="str">
        <f>'QUIOSQUE - MOD 01'!B37</f>
        <v>CP-004</v>
      </c>
      <c r="C85" s="982" t="str">
        <f>'QUIOSQUE - MOD 01'!C37</f>
        <v>COMP.</v>
      </c>
      <c r="D85" s="1061" t="str">
        <f>'QUIOSQUE - MOD 01'!D37</f>
        <v>Muxarabi em barra chata 2" x 1/8 inclusive requadro, soldagem, pintura e instalação.</v>
      </c>
      <c r="E85" s="982" t="str">
        <f>'QUIOSQUE - MOD 01'!E37</f>
        <v>und</v>
      </c>
      <c r="F85" s="984">
        <f>1*4</f>
        <v>4</v>
      </c>
      <c r="G85" s="985" t="s">
        <v>25854</v>
      </c>
      <c r="H85" s="1019" t="s">
        <v>25170</v>
      </c>
    </row>
    <row r="86" spans="1:8" s="981" customFormat="1" x14ac:dyDescent="0.3">
      <c r="A86" s="974" t="str">
        <f>'QUIOSQUE - MOD 01'!A39</f>
        <v>1.6</v>
      </c>
      <c r="B86" s="975"/>
      <c r="C86" s="976"/>
      <c r="D86" s="1015" t="str">
        <f>'QUIOSQUE - MOD 01'!D39</f>
        <v>ESQUADRIAS METÁLICAS</v>
      </c>
      <c r="E86" s="977"/>
      <c r="F86" s="978"/>
      <c r="G86" s="979"/>
      <c r="H86" s="980"/>
    </row>
    <row r="87" spans="1:8" ht="30" x14ac:dyDescent="0.3">
      <c r="A87" s="982" t="str">
        <f>'QUIOSQUE - MOD 01'!A40</f>
        <v>1.6.1</v>
      </c>
      <c r="B87" s="982" t="str">
        <f>'QUIOSQUE - MOD 01'!B40</f>
        <v>160713</v>
      </c>
      <c r="C87" s="982" t="str">
        <f>'QUIOSQUE - MOD 01'!C40</f>
        <v>DER-ED</v>
      </c>
      <c r="D87" s="1061" t="str">
        <f>'QUIOSQUE - MOD 01'!D40</f>
        <v>Porta de correr de chapa galvanizada nº 14 - pintura com esmalte sintetico acetinado sobre zarcão, com tela quebra chama em malha 2 a 5mm</v>
      </c>
      <c r="E87" s="982" t="str">
        <f>'QUIOSQUE - MOD 01'!E40</f>
        <v>m2</v>
      </c>
      <c r="F87" s="984">
        <f>0.9*2.1*4</f>
        <v>7.56</v>
      </c>
      <c r="G87" s="985" t="s">
        <v>25855</v>
      </c>
      <c r="H87" s="1019" t="s">
        <v>25170</v>
      </c>
    </row>
    <row r="88" spans="1:8" ht="30" x14ac:dyDescent="0.3">
      <c r="A88" s="982" t="str">
        <f>'QUIOSQUE - MOD 01'!A41</f>
        <v>1.6.2</v>
      </c>
      <c r="B88" s="982" t="str">
        <f>'QUIOSQUE - MOD 01'!B41</f>
        <v>CP-005</v>
      </c>
      <c r="C88" s="982" t="str">
        <f>'QUIOSQUE - MOD 01'!C41</f>
        <v>COMP.</v>
      </c>
      <c r="D88" s="1061" t="str">
        <f>'QUIOSQUE - MOD 01'!D41</f>
        <v>PORTA DE ALUMÍNIO DE ABRIR COM LAMBRI, COM GUARNIÇÃO, FIXAÇÃO COM PARAFUSOS - FORNECIMENTO E INSTALAÇÃO.</v>
      </c>
      <c r="E88" s="982" t="str">
        <f>'QUIOSQUE - MOD 01'!E41</f>
        <v>m2</v>
      </c>
      <c r="F88" s="984">
        <f>(0.9*2.1)*2*4</f>
        <v>15.12</v>
      </c>
      <c r="G88" s="985" t="s">
        <v>25856</v>
      </c>
      <c r="H88" s="1019" t="s">
        <v>25170</v>
      </c>
    </row>
    <row r="89" spans="1:8" ht="30" x14ac:dyDescent="0.3">
      <c r="A89" s="982" t="str">
        <f>'QUIOSQUE - MOD 01'!A42</f>
        <v>1.6.3</v>
      </c>
      <c r="B89" s="982" t="str">
        <f>'QUIOSQUE - MOD 01'!B42</f>
        <v>CP-006</v>
      </c>
      <c r="C89" s="982" t="str">
        <f>'QUIOSQUE - MOD 01'!C42</f>
        <v>COMP.</v>
      </c>
      <c r="D89" s="1061" t="str">
        <f>'QUIOSQUE - MOD 01'!D42</f>
        <v>PORTA DE ALUMÍNIO DE ABRIR COM LAMBRI, COM VENEZIANA, COM GUARNIÇÃO, FIXAÇÃO COM PARAFUSOS - FORNECIMENTO E INSTALAÇÃO.</v>
      </c>
      <c r="E89" s="982" t="str">
        <f>'QUIOSQUE - MOD 01'!E42</f>
        <v>m2</v>
      </c>
      <c r="F89" s="984">
        <f>(0.9*2.7)*2*4</f>
        <v>19.440000000000001</v>
      </c>
      <c r="G89" s="985" t="s">
        <v>25856</v>
      </c>
      <c r="H89" s="1019" t="s">
        <v>25170</v>
      </c>
    </row>
    <row r="90" spans="1:8" ht="30" x14ac:dyDescent="0.3">
      <c r="A90" s="982" t="str">
        <f>'QUIOSQUE - MOD 01'!A43</f>
        <v>1.6.4</v>
      </c>
      <c r="B90" s="982" t="str">
        <f>'QUIOSQUE - MOD 01'!B43</f>
        <v>CP-007</v>
      </c>
      <c r="C90" s="982" t="str">
        <f>'QUIOSQUE - MOD 01'!C43</f>
        <v>COMP.</v>
      </c>
      <c r="D90" s="1061" t="str">
        <f>'QUIOSQUE - MOD 01'!D43</f>
        <v xml:space="preserve">Janela de correr com estrutura em metalon e fechamento em chapas de alumínio </v>
      </c>
      <c r="E90" s="982" t="str">
        <f>'QUIOSQUE - MOD 01'!E43</f>
        <v>und</v>
      </c>
      <c r="F90" s="984">
        <f>2*4</f>
        <v>8</v>
      </c>
      <c r="G90" s="985" t="s">
        <v>25857</v>
      </c>
      <c r="H90" s="1019" t="s">
        <v>25170</v>
      </c>
    </row>
    <row r="91" spans="1:8" s="981" customFormat="1" x14ac:dyDescent="0.3">
      <c r="A91" s="974" t="str">
        <f>'QUIOSQUE - MOD 01'!A44</f>
        <v>1.7</v>
      </c>
      <c r="B91" s="975"/>
      <c r="C91" s="976"/>
      <c r="D91" s="1015" t="str">
        <f>'QUIOSQUE - MOD 01'!D44</f>
        <v>ESTRUTURAS EM ALUMÍNIO</v>
      </c>
      <c r="E91" s="977"/>
      <c r="F91" s="978"/>
      <c r="G91" s="979"/>
      <c r="H91" s="980"/>
    </row>
    <row r="92" spans="1:8" ht="30" x14ac:dyDescent="0.3">
      <c r="A92" s="982" t="str">
        <f>'QUIOSQUE - MOD 01'!A45</f>
        <v>1.7.1</v>
      </c>
      <c r="B92" s="982" t="str">
        <f>'QUIOSQUE - MOD 01'!B45</f>
        <v>CP-008</v>
      </c>
      <c r="C92" s="982" t="str">
        <f>'QUIOSQUE - MOD 01'!C45</f>
        <v>COMP.</v>
      </c>
      <c r="D92" s="1061" t="str">
        <f>'QUIOSQUE - MOD 01'!D45</f>
        <v>Pergolado em alumínio branco, inclusive fornecimento e instalação conforme detalhamento em projeto</v>
      </c>
      <c r="E92" s="982" t="str">
        <f>'QUIOSQUE - MOD 01'!E45</f>
        <v>und</v>
      </c>
      <c r="F92" s="992">
        <v>4</v>
      </c>
      <c r="G92" s="985" t="s">
        <v>25858</v>
      </c>
      <c r="H92" s="993" t="s">
        <v>25170</v>
      </c>
    </row>
    <row r="93" spans="1:8" x14ac:dyDescent="0.3">
      <c r="A93" s="982" t="str">
        <f>'QUIOSQUE - MOD 01'!A46</f>
        <v>1.7.2</v>
      </c>
      <c r="B93" s="982" t="str">
        <f>'QUIOSQUE - MOD 01'!B46</f>
        <v>CP-009</v>
      </c>
      <c r="C93" s="982" t="str">
        <f>'QUIOSQUE - MOD 01'!C46</f>
        <v>COMP.</v>
      </c>
      <c r="D93" s="982" t="str">
        <f>'QUIOSQUE - MOD 01'!D46</f>
        <v>Brise em alumínio branco, perfis verticais 10x15 cm e perfis horizontais 03x10 cm, fornecimento e instalação</v>
      </c>
      <c r="E93" s="982" t="str">
        <f>'QUIOSQUE - MOD 01'!E46</f>
        <v>und</v>
      </c>
      <c r="F93" s="992">
        <v>4</v>
      </c>
      <c r="G93" s="985" t="s">
        <v>25859</v>
      </c>
      <c r="H93" s="993" t="s">
        <v>25170</v>
      </c>
    </row>
    <row r="94" spans="1:8" s="981" customFormat="1" x14ac:dyDescent="0.3">
      <c r="A94" s="974" t="str">
        <f>'QUIOSQUE - MOD 01'!A48</f>
        <v>1.8</v>
      </c>
      <c r="B94" s="975"/>
      <c r="C94" s="976"/>
      <c r="D94" s="1015" t="str">
        <f>'QUIOSQUE - MOD 01'!D48</f>
        <v>IMPERMEABILIZAÇÃO DA LAJE</v>
      </c>
      <c r="E94" s="977"/>
      <c r="F94" s="978"/>
      <c r="G94" s="979"/>
      <c r="H94" s="980"/>
    </row>
    <row r="95" spans="1:8" ht="30" x14ac:dyDescent="0.3">
      <c r="A95" s="982" t="str">
        <f>'QUIOSQUE - MOD 01'!A49</f>
        <v>1.8.1</v>
      </c>
      <c r="B95" s="982" t="str">
        <f>'QUIOSQUE - MOD 01'!B49</f>
        <v>CP-010</v>
      </c>
      <c r="C95" s="982" t="str">
        <f>'QUIOSQUE - MOD 01'!C49</f>
        <v>COMP.</v>
      </c>
      <c r="D95" s="1061" t="str">
        <f>'QUIOSQUE - MOD 01'!D49</f>
        <v>IMPERMEABILIZAÇÃO DE SUPERFÍCIE COM MANTA ASFÁLTICA, DUAS CAMADAS, INCLUSIVE APLICAÇÃO DE PRIMER ASFÁLTICO, E=3MM E E=4MM</v>
      </c>
      <c r="E95" s="982" t="str">
        <f>'QUIOSQUE - MOD 01'!E49</f>
        <v>m2</v>
      </c>
      <c r="F95" s="984">
        <f>(14.8*3.78*4)-0.02</f>
        <v>223.76</v>
      </c>
      <c r="G95" s="985" t="s">
        <v>25860</v>
      </c>
      <c r="H95" s="993"/>
    </row>
    <row r="96" spans="1:8" s="981" customFormat="1" x14ac:dyDescent="0.3">
      <c r="A96" s="974" t="str">
        <f>'QUIOSQUE - MOD 01'!A51</f>
        <v>1.9</v>
      </c>
      <c r="B96" s="975"/>
      <c r="C96" s="976"/>
      <c r="D96" s="1015" t="str">
        <f>'QUIOSQUE - MOD 01'!D51</f>
        <v>REVESTIMENTO PAREDES</v>
      </c>
      <c r="E96" s="977"/>
      <c r="F96" s="978"/>
      <c r="G96" s="979"/>
      <c r="H96" s="980"/>
    </row>
    <row r="97" spans="1:11" ht="30" x14ac:dyDescent="0.3">
      <c r="A97" s="982" t="str">
        <f>'QUIOSQUE - MOD 01'!A52</f>
        <v>1.9.1</v>
      </c>
      <c r="B97" s="982" t="str">
        <f>'QUIOSQUE - MOD 01'!B52</f>
        <v>CP-011</v>
      </c>
      <c r="C97" s="982" t="str">
        <f>'QUIOSQUE - MOD 01'!C52</f>
        <v>COMP.</v>
      </c>
      <c r="D97" s="1061" t="str">
        <f>'QUIOSQUE - MOD 01'!D52</f>
        <v>Impermeabilização sobre bloco de concreto empregando nata de cimento e aditivo impermeabilizante tipo sika 1 ou equivalente, traço 1:1 a duas demãos.</v>
      </c>
      <c r="E97" s="982" t="str">
        <f>'QUIOSQUE - MOD 01'!E52</f>
        <v>m2</v>
      </c>
      <c r="F97" s="984">
        <f>F71*2</f>
        <v>621.20000000000005</v>
      </c>
      <c r="G97" s="985" t="s">
        <v>25861</v>
      </c>
      <c r="H97" s="993"/>
    </row>
    <row r="98" spans="1:11" s="981" customFormat="1" x14ac:dyDescent="0.3">
      <c r="A98" s="974" t="str">
        <f>'QUIOSQUE - MOD 01'!A54</f>
        <v>1.10</v>
      </c>
      <c r="B98" s="975"/>
      <c r="C98" s="976"/>
      <c r="D98" s="1015" t="str">
        <f>'QUIOSQUE - MOD 01'!D54</f>
        <v>PISOS INTERNOS E EXTERNOS</v>
      </c>
      <c r="E98" s="977"/>
      <c r="F98" s="978"/>
      <c r="G98" s="979"/>
      <c r="H98" s="980"/>
    </row>
    <row r="99" spans="1:11" x14ac:dyDescent="0.3">
      <c r="A99" s="982" t="str">
        <f>'QUIOSQUE - MOD 01'!A55</f>
        <v>1.10.1</v>
      </c>
      <c r="B99" s="982" t="str">
        <f>'QUIOSQUE - MOD 01'!B55</f>
        <v>130113</v>
      </c>
      <c r="C99" s="982" t="str">
        <f>'QUIOSQUE - MOD 01'!C55</f>
        <v>DER-ED</v>
      </c>
      <c r="D99" s="1061" t="str">
        <f>'QUIOSQUE - MOD 01'!D55</f>
        <v>Lastro impermeabilizado de concreto não estrutural, espessura de 8cm</v>
      </c>
      <c r="E99" s="982" t="str">
        <f>'QUIOSQUE - MOD 01'!E55</f>
        <v>m2</v>
      </c>
      <c r="F99" s="984">
        <f>26.81*4</f>
        <v>107.24</v>
      </c>
      <c r="G99" s="985" t="s">
        <v>25862</v>
      </c>
      <c r="H99" s="993"/>
    </row>
    <row r="100" spans="1:11" x14ac:dyDescent="0.3">
      <c r="A100" s="982" t="str">
        <f>'QUIOSQUE - MOD 01'!A56</f>
        <v>1.10.2</v>
      </c>
      <c r="B100" s="982" t="str">
        <f>'QUIOSQUE - MOD 01'!B56</f>
        <v>CP-012</v>
      </c>
      <c r="C100" s="982" t="str">
        <f>'QUIOSQUE - MOD 01'!C56</f>
        <v>COMP.</v>
      </c>
      <c r="D100" s="1061" t="str">
        <f>'QUIOSQUE - MOD 01'!D56</f>
        <v>Piso de concreto polido, espessura 3 cm, inclusive junta plástica de 17x3 mm</v>
      </c>
      <c r="E100" s="982" t="str">
        <f>'QUIOSQUE - MOD 01'!E56</f>
        <v>m2</v>
      </c>
      <c r="F100" s="1021">
        <f>SUM(F101:F102)</f>
        <v>574.76</v>
      </c>
      <c r="G100" s="1258"/>
      <c r="H100" s="993"/>
    </row>
    <row r="101" spans="1:11" x14ac:dyDescent="0.3">
      <c r="A101" s="982"/>
      <c r="B101" s="1012"/>
      <c r="C101" s="1012"/>
      <c r="D101" s="1016"/>
      <c r="E101" s="1020"/>
      <c r="F101" s="992">
        <v>107.24</v>
      </c>
      <c r="G101" s="985" t="s">
        <v>25862</v>
      </c>
      <c r="H101" s="993"/>
      <c r="J101" s="992">
        <v>26.81</v>
      </c>
      <c r="K101" s="691">
        <f>J101*4</f>
        <v>107.24</v>
      </c>
    </row>
    <row r="102" spans="1:11" x14ac:dyDescent="0.3">
      <c r="A102" s="982"/>
      <c r="B102" s="1012"/>
      <c r="C102" s="1012"/>
      <c r="D102" s="1016"/>
      <c r="E102" s="1020"/>
      <c r="F102" s="992">
        <v>467.52</v>
      </c>
      <c r="G102" s="985" t="s">
        <v>25863</v>
      </c>
      <c r="H102" s="993"/>
      <c r="J102" s="992">
        <v>116.88</v>
      </c>
      <c r="K102" s="691">
        <f>J102*4</f>
        <v>467.52</v>
      </c>
    </row>
    <row r="103" spans="1:11" ht="30" x14ac:dyDescent="0.3">
      <c r="A103" s="982" t="str">
        <f>'QUIOSQUE - MOD 01'!A57</f>
        <v>1.10.3</v>
      </c>
      <c r="B103" s="982" t="str">
        <f>'QUIOSQUE - MOD 01'!B57</f>
        <v>190602</v>
      </c>
      <c r="C103" s="982" t="str">
        <f>'QUIOSQUE - MOD 01'!C57</f>
        <v>DER-ED</v>
      </c>
      <c r="D103" s="1061" t="str">
        <f>'QUIOSQUE - MOD 01'!D57</f>
        <v>Pintura com tinta à base de resinas acrílicas, marcas de referência Suvinil, Coral ou Metalatex, sobre piso de concreto, a duas demãos</v>
      </c>
      <c r="E103" s="982" t="str">
        <f>'QUIOSQUE - MOD 01'!E57</f>
        <v>m2</v>
      </c>
      <c r="F103" s="1021">
        <f>SUM(F104:F104)</f>
        <v>107.24</v>
      </c>
      <c r="G103" s="1258"/>
      <c r="H103" s="993"/>
    </row>
    <row r="104" spans="1:11" x14ac:dyDescent="0.3">
      <c r="A104" s="982"/>
      <c r="B104" s="1012"/>
      <c r="C104" s="1012"/>
      <c r="D104" s="1016"/>
      <c r="E104" s="1020"/>
      <c r="F104" s="984">
        <f>26.81*4</f>
        <v>107.24</v>
      </c>
      <c r="G104" s="985" t="s">
        <v>25862</v>
      </c>
      <c r="H104" s="993"/>
    </row>
    <row r="105" spans="1:11" s="981" customFormat="1" x14ac:dyDescent="0.3">
      <c r="A105" s="974" t="str">
        <f>'QUIOSQUE - MOD 01'!A59</f>
        <v>1.11</v>
      </c>
      <c r="B105" s="975"/>
      <c r="C105" s="976"/>
      <c r="D105" s="1015" t="str">
        <f>'QUIOSQUE - MOD 01'!D59</f>
        <v>INSTALAÇÕES HIDRO-SANITÁRIAS</v>
      </c>
      <c r="E105" s="977"/>
      <c r="F105" s="978"/>
      <c r="G105" s="979"/>
      <c r="H105" s="980"/>
    </row>
    <row r="106" spans="1:11" s="958" customFormat="1" x14ac:dyDescent="0.3">
      <c r="A106" s="1022" t="str">
        <f>[2]Planilha!A59</f>
        <v xml:space="preserve"> </v>
      </c>
      <c r="B106" s="1023" t="str">
        <f>[2]Planilha!B59</f>
        <v xml:space="preserve"> </v>
      </c>
      <c r="C106" s="1023"/>
      <c r="D106" s="1023" t="str">
        <f>'QUIOSQUE - MOD 01'!D60</f>
        <v>ENTRADA DE ÁGUA</v>
      </c>
      <c r="E106" s="1024"/>
      <c r="F106" s="1025"/>
      <c r="G106" s="1026"/>
      <c r="H106" s="1027"/>
    </row>
    <row r="107" spans="1:11" ht="60" x14ac:dyDescent="0.3">
      <c r="A107" s="982" t="str">
        <f>'QUIOSQUE - MOD 01'!A61</f>
        <v>1.11.1</v>
      </c>
      <c r="B107" s="982" t="str">
        <f>'QUIOSQUE - MOD 01'!B61</f>
        <v>140207</v>
      </c>
      <c r="C107" s="982" t="str">
        <f>'QUIOSQUE - MOD 01'!C61</f>
        <v>DER-ED</v>
      </c>
      <c r="D107" s="1061" t="str">
        <f>'QUIOSQUE - MOD 01'!D61</f>
        <v>Padrão de entrada d'água com caixa termoplástica para hidrômetro de 3/4" - padrão 1B da CESAN. Instalado embutido na alvenaria. Inclusive tubulação, conexões, registro, tubo camisa e caixa com tampa transparente. Conferir detalhe.</v>
      </c>
      <c r="E107" s="982" t="str">
        <f>'QUIOSQUE - MOD 01'!E61</f>
        <v>und</v>
      </c>
      <c r="F107" s="1028">
        <v>4</v>
      </c>
      <c r="G107" s="983" t="s">
        <v>25864</v>
      </c>
      <c r="H107" s="1029"/>
      <c r="J107" s="1028">
        <v>1</v>
      </c>
      <c r="K107" s="1033">
        <f>J107*4</f>
        <v>4</v>
      </c>
    </row>
    <row r="108" spans="1:11" ht="45" x14ac:dyDescent="0.3">
      <c r="A108" s="982" t="str">
        <f>'QUIOSQUE - MOD 01'!A62</f>
        <v>1.11.2</v>
      </c>
      <c r="B108" s="982" t="str">
        <f>'QUIOSQUE - MOD 01'!B62</f>
        <v>020712</v>
      </c>
      <c r="C108" s="982" t="str">
        <f>'QUIOSQUE - MOD 01'!C62</f>
        <v>DER-ED</v>
      </c>
      <c r="D108" s="1061" t="str">
        <f>'QUIOSQUE - MOD 01'!D62</f>
        <v>Rede de água com padrão de entrada d'água diâm. 3/4", conf. espec. CESAN, incl. tubos e conexões para alimentação, distribuição, extravasor e limpeza, cons. o padrão a 25m, conf. projeto (1 utilização)</v>
      </c>
      <c r="E108" s="982" t="str">
        <f>'QUIOSQUE - MOD 01'!E62</f>
        <v>m</v>
      </c>
      <c r="F108" s="1028">
        <v>100</v>
      </c>
      <c r="G108" s="983" t="s">
        <v>25865</v>
      </c>
      <c r="H108" s="1029"/>
      <c r="J108" s="1028">
        <v>25</v>
      </c>
      <c r="K108" s="1033">
        <f t="shared" ref="K108:K171" si="3">J108*4</f>
        <v>100</v>
      </c>
    </row>
    <row r="109" spans="1:11" ht="30" x14ac:dyDescent="0.3">
      <c r="A109" s="982" t="str">
        <f>'QUIOSQUE - MOD 01'!A63</f>
        <v>1.11.3</v>
      </c>
      <c r="B109" s="982" t="str">
        <f>'QUIOSQUE - MOD 01'!B63</f>
        <v>020714</v>
      </c>
      <c r="C109" s="982" t="str">
        <f>'QUIOSQUE - MOD 01'!C63</f>
        <v>DER-ED</v>
      </c>
      <c r="D109" s="1061" t="str">
        <f>'QUIOSQUE - MOD 01'!D63</f>
        <v>Rede de esgoto, contendo fossa e filtro, inclusive tubos e conexões de ligação entre caixas, considerando distância de 25m, conforme projeto (1 utilização)</v>
      </c>
      <c r="E109" s="982" t="str">
        <f>'QUIOSQUE - MOD 01'!E63</f>
        <v>m</v>
      </c>
      <c r="F109" s="1028">
        <v>100</v>
      </c>
      <c r="G109" s="983" t="s">
        <v>25865</v>
      </c>
      <c r="H109" s="1029"/>
      <c r="J109" s="1028">
        <v>25</v>
      </c>
      <c r="K109" s="1033">
        <f t="shared" si="3"/>
        <v>100</v>
      </c>
    </row>
    <row r="110" spans="1:11" x14ac:dyDescent="0.3">
      <c r="A110" s="982"/>
      <c r="B110" s="1012"/>
      <c r="C110" s="1012"/>
      <c r="D110" s="1030" t="str">
        <f>'QUIOSQUE - MOD 01'!D64</f>
        <v>INSTALAÇÃO ÁGUA FRIA</v>
      </c>
      <c r="E110" s="1020"/>
      <c r="F110" s="1031"/>
      <c r="G110" s="1032"/>
      <c r="H110" s="1029"/>
      <c r="J110" s="1031"/>
      <c r="K110" s="1033">
        <f t="shared" si="3"/>
        <v>0</v>
      </c>
    </row>
    <row r="111" spans="1:11" x14ac:dyDescent="0.3">
      <c r="A111" s="982" t="str">
        <f>'QUIOSQUE - MOD 01'!A65</f>
        <v>1.11.4</v>
      </c>
      <c r="B111" s="982" t="str">
        <f>'QUIOSQUE - MOD 01'!B65</f>
        <v>141413</v>
      </c>
      <c r="C111" s="982" t="str">
        <f>'QUIOSQUE - MOD 01'!C65</f>
        <v>DER-ED</v>
      </c>
      <c r="D111" s="1061" t="str">
        <f>'QUIOSQUE - MOD 01'!D65</f>
        <v>Tubo de PVC rígido soldável marrom, diâm. 50mm (11/2"), inclusive conexões</v>
      </c>
      <c r="E111" s="982" t="str">
        <f>'QUIOSQUE - MOD 01'!E65</f>
        <v>m</v>
      </c>
      <c r="F111" s="1033">
        <v>60.76</v>
      </c>
      <c r="G111" s="983" t="s">
        <v>24910</v>
      </c>
      <c r="H111" s="1029"/>
      <c r="J111" s="1033">
        <v>15.19</v>
      </c>
      <c r="K111" s="1033">
        <f t="shared" si="3"/>
        <v>60.76</v>
      </c>
    </row>
    <row r="112" spans="1:11" x14ac:dyDescent="0.3">
      <c r="A112" s="982" t="str">
        <f>'QUIOSQUE - MOD 01'!A66</f>
        <v>1.11.5</v>
      </c>
      <c r="B112" s="982" t="str">
        <f>'QUIOSQUE - MOD 01'!B66</f>
        <v>141411</v>
      </c>
      <c r="C112" s="982" t="str">
        <f>'QUIOSQUE - MOD 01'!C66</f>
        <v>DER-ED</v>
      </c>
      <c r="D112" s="1061" t="str">
        <f>'QUIOSQUE - MOD 01'!D66</f>
        <v>Tubo de PVC rigido soldável marrom, diâm. 32mm (1"), inclusive conexões</v>
      </c>
      <c r="E112" s="982" t="str">
        <f>'QUIOSQUE - MOD 01'!E66</f>
        <v>m</v>
      </c>
      <c r="F112" s="1033">
        <v>48.44</v>
      </c>
      <c r="G112" s="983" t="s">
        <v>24910</v>
      </c>
      <c r="H112" s="1029"/>
      <c r="J112" s="1033">
        <v>12.11</v>
      </c>
      <c r="K112" s="1033">
        <f t="shared" si="3"/>
        <v>48.44</v>
      </c>
    </row>
    <row r="113" spans="1:11" x14ac:dyDescent="0.3">
      <c r="A113" s="982" t="str">
        <f>'QUIOSQUE - MOD 01'!A67</f>
        <v>1.11.6</v>
      </c>
      <c r="B113" s="982" t="str">
        <f>'QUIOSQUE - MOD 01'!B67</f>
        <v>141409</v>
      </c>
      <c r="C113" s="982" t="str">
        <f>'QUIOSQUE - MOD 01'!C67</f>
        <v>DER-ED</v>
      </c>
      <c r="D113" s="1061" t="str">
        <f>'QUIOSQUE - MOD 01'!D67</f>
        <v>Tubo de PVC rígido soldável marrom, diâm. 20mm (1/2"), inclusive conexões</v>
      </c>
      <c r="E113" s="982" t="str">
        <f>'QUIOSQUE - MOD 01'!E67</f>
        <v>m</v>
      </c>
      <c r="F113" s="1033">
        <v>121.28</v>
      </c>
      <c r="G113" s="983" t="s">
        <v>24910</v>
      </c>
      <c r="H113" s="1029"/>
      <c r="J113" s="1033">
        <v>30.32</v>
      </c>
      <c r="K113" s="1033">
        <f t="shared" si="3"/>
        <v>121.28</v>
      </c>
    </row>
    <row r="114" spans="1:11" ht="30" x14ac:dyDescent="0.3">
      <c r="A114" s="982" t="str">
        <f>'QUIOSQUE - MOD 01'!A68</f>
        <v>1.11.7</v>
      </c>
      <c r="B114" s="982" t="str">
        <f>'QUIOSQUE - MOD 01'!B68</f>
        <v>3R 23 12 00 00 10 13 04 15</v>
      </c>
      <c r="C114" s="982" t="str">
        <f>'QUIOSQUE - MOD 01'!C68</f>
        <v>PINI / TCPO</v>
      </c>
      <c r="D114" s="1061" t="str">
        <f>'QUIOSQUE - MOD 01'!D68</f>
        <v>Adaptador soldável longo PVC com flanges livres para caixa d'água Ø 50 mm x 1 1/2"</v>
      </c>
      <c r="E114" s="982" t="str">
        <f>'QUIOSQUE - MOD 01'!E68</f>
        <v>und</v>
      </c>
      <c r="F114" s="1033">
        <v>4</v>
      </c>
      <c r="G114" s="983" t="s">
        <v>25866</v>
      </c>
      <c r="H114" s="1029"/>
      <c r="J114" s="1033">
        <v>1</v>
      </c>
      <c r="K114" s="1033">
        <f t="shared" si="3"/>
        <v>4</v>
      </c>
    </row>
    <row r="115" spans="1:11" ht="30" x14ac:dyDescent="0.3">
      <c r="A115" s="982" t="str">
        <f>'QUIOSQUE - MOD 01'!A69</f>
        <v>1.11.8</v>
      </c>
      <c r="B115" s="982" t="str">
        <f>'QUIOSQUE - MOD 01'!B69</f>
        <v>3R 23 12 00 00 10 13 04 13</v>
      </c>
      <c r="C115" s="982" t="str">
        <f>'QUIOSQUE - MOD 01'!C69</f>
        <v>PINI / TCPO</v>
      </c>
      <c r="D115" s="1061" t="str">
        <f>'QUIOSQUE - MOD 01'!D69</f>
        <v>Adaptador soldável longo PVC com flanges livres para caixa d'água Ø 32 mm x 1"</v>
      </c>
      <c r="E115" s="982" t="str">
        <f>'QUIOSQUE - MOD 01'!E69</f>
        <v>und</v>
      </c>
      <c r="F115" s="1033">
        <v>16</v>
      </c>
      <c r="G115" s="983" t="s">
        <v>25867</v>
      </c>
      <c r="H115" s="1029"/>
      <c r="J115" s="1033">
        <v>4</v>
      </c>
      <c r="K115" s="1033">
        <f t="shared" si="3"/>
        <v>16</v>
      </c>
    </row>
    <row r="116" spans="1:11" x14ac:dyDescent="0.3">
      <c r="A116" s="982" t="str">
        <f>'QUIOSQUE - MOD 01'!A70</f>
        <v>1.11.9</v>
      </c>
      <c r="B116" s="982" t="str">
        <f>'QUIOSQUE - MOD 01'!B70</f>
        <v>CP-013</v>
      </c>
      <c r="C116" s="982" t="str">
        <f>'QUIOSQUE - MOD 01'!C70</f>
        <v>COMP.</v>
      </c>
      <c r="D116" s="1061" t="str">
        <f>'QUIOSQUE - MOD 01'!D70</f>
        <v>Adaptador Flange Soldável p/ Caixa Dágua 20 mm X 1/2</v>
      </c>
      <c r="E116" s="982" t="str">
        <f>'QUIOSQUE - MOD 01'!E70</f>
        <v>und</v>
      </c>
      <c r="F116" s="1033">
        <v>8</v>
      </c>
      <c r="G116" s="1032" t="s">
        <v>25868</v>
      </c>
      <c r="H116" s="1029"/>
      <c r="J116" s="1033">
        <v>2</v>
      </c>
      <c r="K116" s="1033">
        <f t="shared" si="3"/>
        <v>8</v>
      </c>
    </row>
    <row r="117" spans="1:11" ht="45" x14ac:dyDescent="0.3">
      <c r="A117" s="982" t="str">
        <f>'QUIOSQUE - MOD 01'!A71</f>
        <v>1.11.10</v>
      </c>
      <c r="B117" s="982" t="str">
        <f>'QUIOSQUE - MOD 01'!B71</f>
        <v>CP-014</v>
      </c>
      <c r="C117" s="982" t="str">
        <f>'QUIOSQUE - MOD 01'!C71</f>
        <v>COMP.</v>
      </c>
      <c r="D117" s="1061" t="str">
        <f>'QUIOSQUE - MOD 01'!D71</f>
        <v>ADAPTADOR CURTO COM BOLSA E ROSCA PARA REGISTRO, PVC, SOLDÁVEL, DN 32MM X 1, INSTALADO EM RAMAL OU SUB-RAMAL DE ÁGUA - FORNECIMENTO E INSTALAÇÃO.</v>
      </c>
      <c r="E117" s="982" t="str">
        <f>'QUIOSQUE - MOD 01'!E71</f>
        <v>UND</v>
      </c>
      <c r="F117" s="1033">
        <v>48</v>
      </c>
      <c r="G117" s="983" t="s">
        <v>25869</v>
      </c>
      <c r="H117" s="1029"/>
      <c r="J117" s="1033">
        <v>12</v>
      </c>
      <c r="K117" s="1033">
        <f t="shared" si="3"/>
        <v>48</v>
      </c>
    </row>
    <row r="118" spans="1:11" ht="45" x14ac:dyDescent="0.3">
      <c r="A118" s="982" t="str">
        <f>'QUIOSQUE - MOD 01'!A72</f>
        <v>1.11.11</v>
      </c>
      <c r="B118" s="982" t="str">
        <f>'QUIOSQUE - MOD 01'!B72</f>
        <v>CP-015</v>
      </c>
      <c r="C118" s="982" t="str">
        <f>'QUIOSQUE - MOD 01'!C72</f>
        <v>COMP.</v>
      </c>
      <c r="D118" s="1061" t="str">
        <f>'QUIOSQUE - MOD 01'!D72</f>
        <v>ADAPTADOR CURTO COM BOLSA E ROSCA PARA REGISTRO, PVC, SOLDÁVEL, DN 60MM X 2, INSTALADO EM PRUMADA DE ÁGUA - FORNECIMENTO E INSTALAÇÃO.</v>
      </c>
      <c r="E118" s="982" t="str">
        <f>'QUIOSQUE - MOD 01'!E72</f>
        <v>UND</v>
      </c>
      <c r="F118" s="1033">
        <v>32</v>
      </c>
      <c r="G118" s="983" t="s">
        <v>25870</v>
      </c>
      <c r="H118" s="1029"/>
      <c r="J118" s="1033">
        <v>8</v>
      </c>
      <c r="K118" s="1033">
        <f t="shared" si="3"/>
        <v>32</v>
      </c>
    </row>
    <row r="119" spans="1:11" ht="45" x14ac:dyDescent="0.3">
      <c r="A119" s="982" t="str">
        <f>'QUIOSQUE - MOD 01'!A73</f>
        <v>1.11.12</v>
      </c>
      <c r="B119" s="982" t="str">
        <f>'QUIOSQUE - MOD 01'!B73</f>
        <v>CP-016</v>
      </c>
      <c r="C119" s="982" t="str">
        <f>'QUIOSQUE - MOD 01'!C73</f>
        <v>COMP.</v>
      </c>
      <c r="D119" s="1061" t="str">
        <f>'QUIOSQUE - MOD 01'!D73</f>
        <v>ADAPTADOR CURTO COM BOLSA E ROSCA PARA REGISTRO, PVC, SOLDÁVEL, DN 50MM X 1.1/2, INSTALADO EM PRUMADA DE ÁGUA - FORNECIMENTO E INSTALAÇÃO.</v>
      </c>
      <c r="E119" s="982" t="str">
        <f>'QUIOSQUE - MOD 01'!E73</f>
        <v>UND</v>
      </c>
      <c r="F119" s="1033">
        <v>16</v>
      </c>
      <c r="G119" s="983" t="s">
        <v>25871</v>
      </c>
      <c r="H119" s="1029"/>
      <c r="J119" s="1033">
        <v>4</v>
      </c>
      <c r="K119" s="1033">
        <f t="shared" si="3"/>
        <v>16</v>
      </c>
    </row>
    <row r="120" spans="1:11" ht="45" x14ac:dyDescent="0.3">
      <c r="A120" s="982" t="str">
        <f>'QUIOSQUE - MOD 01'!A74</f>
        <v>1.11.13</v>
      </c>
      <c r="B120" s="982" t="str">
        <f>'QUIOSQUE - MOD 01'!B74</f>
        <v>CP-017</v>
      </c>
      <c r="C120" s="982" t="str">
        <f>'QUIOSQUE - MOD 01'!C74</f>
        <v>COMP.</v>
      </c>
      <c r="D120" s="1061" t="str">
        <f>'QUIOSQUE - MOD 01'!D74</f>
        <v>ADAPTADOR CURTO COM BOLSA E ROSCA PARA REGISTRO, PVC, SOLDÁVEL, DN 40MM X 1.1/4, INSTALADO EM PRUMADA DE ÁGUA - FORNECIMENTO E INSTALAÇÃO.</v>
      </c>
      <c r="E120" s="982" t="str">
        <f>'QUIOSQUE - MOD 01'!E74</f>
        <v>UND</v>
      </c>
      <c r="F120" s="1033">
        <v>8</v>
      </c>
      <c r="G120" s="983" t="s">
        <v>25872</v>
      </c>
      <c r="H120" s="1029"/>
      <c r="J120" s="1033">
        <v>2</v>
      </c>
      <c r="K120" s="1033">
        <f t="shared" si="3"/>
        <v>8</v>
      </c>
    </row>
    <row r="121" spans="1:11" x14ac:dyDescent="0.3">
      <c r="A121" s="982" t="str">
        <f>'QUIOSQUE - MOD 01'!A75</f>
        <v>1.11.14</v>
      </c>
      <c r="B121" s="982" t="str">
        <f>'QUIOSQUE - MOD 01'!B75</f>
        <v>3R 23 12 00 00 10 14 05 03</v>
      </c>
      <c r="C121" s="982" t="str">
        <f>'QUIOSQUE - MOD 01'!C75</f>
        <v>PINI / TCPO</v>
      </c>
      <c r="D121" s="1061" t="str">
        <f>'QUIOSQUE - MOD 01'!D75</f>
        <v>Bucha de redução soldável PVC curta Ø 25 mm x 20 mm</v>
      </c>
      <c r="E121" s="982" t="str">
        <f>'QUIOSQUE - MOD 01'!E75</f>
        <v>UN</v>
      </c>
      <c r="F121" s="1033">
        <v>12</v>
      </c>
      <c r="G121" s="983" t="s">
        <v>25873</v>
      </c>
      <c r="H121" s="1029"/>
      <c r="J121" s="1033">
        <v>3</v>
      </c>
      <c r="K121" s="1033">
        <f t="shared" si="3"/>
        <v>12</v>
      </c>
    </row>
    <row r="122" spans="1:11" ht="30" x14ac:dyDescent="0.3">
      <c r="A122" s="982" t="str">
        <f>'QUIOSQUE - MOD 01'!A76</f>
        <v>1.11.15</v>
      </c>
      <c r="B122" s="982" t="str">
        <f>'QUIOSQUE - MOD 01'!B76</f>
        <v>CP-018</v>
      </c>
      <c r="C122" s="982" t="str">
        <f>'QUIOSQUE - MOD 01'!C76</f>
        <v>COMP.</v>
      </c>
      <c r="D122" s="1061" t="str">
        <f>'QUIOSQUE - MOD 01'!D76</f>
        <v>CURVA 90 GRAUS, PVC, SOLDÁVEL, DN 50MM, INSTALADO EM PRUMADA DE ÁGUA - FORNECIMENTO E INSTALAÇÃO.</v>
      </c>
      <c r="E122" s="982" t="str">
        <f>'QUIOSQUE - MOD 01'!E76</f>
        <v>UND</v>
      </c>
      <c r="F122" s="1033">
        <v>24</v>
      </c>
      <c r="G122" s="983" t="s">
        <v>25874</v>
      </c>
      <c r="H122" s="1029"/>
      <c r="J122" s="1033">
        <v>6</v>
      </c>
      <c r="K122" s="1033">
        <f t="shared" si="3"/>
        <v>24</v>
      </c>
    </row>
    <row r="123" spans="1:11" ht="30" x14ac:dyDescent="0.3">
      <c r="A123" s="982" t="str">
        <f>'QUIOSQUE - MOD 01'!A77</f>
        <v>1.11.16</v>
      </c>
      <c r="B123" s="982" t="str">
        <f>'QUIOSQUE - MOD 01'!B77</f>
        <v>CP-019</v>
      </c>
      <c r="C123" s="982" t="str">
        <f>'QUIOSQUE - MOD 01'!C77</f>
        <v>COMP.</v>
      </c>
      <c r="D123" s="1061" t="str">
        <f>'QUIOSQUE - MOD 01'!D77</f>
        <v>CURVA 90 GRAUS, PVC, SOLDÁVEL, DN 20MM, INSTALADO EM RAMAL OU SUB-RAMAL DE ÁGUA - FORNECIMENTO E INSTALAÇÃO.</v>
      </c>
      <c r="E123" s="982" t="str">
        <f>'QUIOSQUE - MOD 01'!E77</f>
        <v>UND</v>
      </c>
      <c r="F123" s="1033">
        <v>44</v>
      </c>
      <c r="G123" s="983" t="s">
        <v>25875</v>
      </c>
      <c r="H123" s="1029"/>
      <c r="J123" s="1033">
        <v>11</v>
      </c>
      <c r="K123" s="1033">
        <f t="shared" si="3"/>
        <v>44</v>
      </c>
    </row>
    <row r="124" spans="1:11" ht="30" x14ac:dyDescent="0.3">
      <c r="A124" s="982" t="str">
        <f>'QUIOSQUE - MOD 01'!A78</f>
        <v>1.11.17</v>
      </c>
      <c r="B124" s="982" t="str">
        <f>'QUIOSQUE - MOD 01'!B78</f>
        <v>CP-020</v>
      </c>
      <c r="C124" s="982" t="str">
        <f>'QUIOSQUE - MOD 01'!C78</f>
        <v>COMP.</v>
      </c>
      <c r="D124" s="1061" t="str">
        <f>'QUIOSQUE - MOD 01'!D78</f>
        <v>CURVA 90 GRAUS, PVC, SOLDÁVEL, DN 32MM, INSTALADO EM RAMAL OU SUB-RAMAL DE ÁGUA - FORNECIMENTO E INSTALAÇÃO.</v>
      </c>
      <c r="E124" s="982" t="str">
        <f>'QUIOSQUE - MOD 01'!E78</f>
        <v>UND</v>
      </c>
      <c r="F124" s="1033">
        <v>16</v>
      </c>
      <c r="G124" s="983" t="s">
        <v>25871</v>
      </c>
      <c r="H124" s="1029"/>
      <c r="J124" s="1033">
        <v>4</v>
      </c>
      <c r="K124" s="1033">
        <f t="shared" si="3"/>
        <v>16</v>
      </c>
    </row>
    <row r="125" spans="1:11" ht="30" x14ac:dyDescent="0.3">
      <c r="A125" s="982" t="str">
        <f>'QUIOSQUE - MOD 01'!A79</f>
        <v>1.11.18</v>
      </c>
      <c r="B125" s="982" t="str">
        <f>'QUIOSQUE - MOD 01'!B79</f>
        <v>CP-021</v>
      </c>
      <c r="C125" s="982" t="str">
        <f>'QUIOSQUE - MOD 01'!C79</f>
        <v>COMP.</v>
      </c>
      <c r="D125" s="1061" t="str">
        <f>'QUIOSQUE - MOD 01'!D79</f>
        <v>JOELHO 90 GRAUS, PVC, SOLDÁVEL, DN 50MM, INSTALADO EM PRUMADA DE ÁGUA - FORNECIMENTO E INSTALAÇÃO.</v>
      </c>
      <c r="E125" s="982" t="str">
        <f>'QUIOSQUE - MOD 01'!E79</f>
        <v>UND</v>
      </c>
      <c r="F125" s="1033">
        <v>12</v>
      </c>
      <c r="G125" s="983" t="s">
        <v>25876</v>
      </c>
      <c r="H125" s="1029"/>
      <c r="J125" s="1033">
        <v>3</v>
      </c>
      <c r="K125" s="1033">
        <f t="shared" si="3"/>
        <v>12</v>
      </c>
    </row>
    <row r="126" spans="1:11" ht="30" x14ac:dyDescent="0.3">
      <c r="A126" s="982" t="str">
        <f>'QUIOSQUE - MOD 01'!A80</f>
        <v>1.11.19</v>
      </c>
      <c r="B126" s="982" t="str">
        <f>'QUIOSQUE - MOD 01'!B80</f>
        <v>CP-022</v>
      </c>
      <c r="C126" s="982" t="str">
        <f>'QUIOSQUE - MOD 01'!C80</f>
        <v>COMP.</v>
      </c>
      <c r="D126" s="1061" t="str">
        <f>'QUIOSQUE - MOD 01'!D80</f>
        <v>JOELHO 90 GRAUS, PVC, SOLDÁVEL, DN 32MM, INSTALADO EM RAMAL OU SUB-RAMAL DE ÁGUA - FORNECIMENTO E INSTALAÇÃO.</v>
      </c>
      <c r="E126" s="982" t="str">
        <f>'QUIOSQUE - MOD 01'!E80</f>
        <v>UND</v>
      </c>
      <c r="F126" s="1033">
        <v>20</v>
      </c>
      <c r="G126" s="983" t="s">
        <v>25877</v>
      </c>
      <c r="H126" s="1029"/>
      <c r="J126" s="1033">
        <v>5</v>
      </c>
      <c r="K126" s="1033">
        <f t="shared" si="3"/>
        <v>20</v>
      </c>
    </row>
    <row r="127" spans="1:11" x14ac:dyDescent="0.3">
      <c r="A127" s="982" t="str">
        <f>'QUIOSQUE - MOD 01'!A81</f>
        <v>1.11.19</v>
      </c>
      <c r="B127" s="982" t="str">
        <f>'QUIOSQUE - MOD 01'!B81</f>
        <v>CP-023</v>
      </c>
      <c r="C127" s="982" t="str">
        <f>'QUIOSQUE - MOD 01'!C81</f>
        <v>COMP.</v>
      </c>
      <c r="D127" s="1061" t="str">
        <f>'QUIOSQUE - MOD 01'!D81</f>
        <v>Joelho com bucha de latão 20mm x 1/2"</v>
      </c>
      <c r="E127" s="982" t="str">
        <f>'QUIOSQUE - MOD 01'!E81</f>
        <v>und</v>
      </c>
      <c r="F127" s="1033">
        <v>20</v>
      </c>
      <c r="G127" s="983" t="s">
        <v>25878</v>
      </c>
      <c r="H127" s="1029"/>
      <c r="J127" s="1033">
        <v>5</v>
      </c>
      <c r="K127" s="1033">
        <f t="shared" si="3"/>
        <v>20</v>
      </c>
    </row>
    <row r="128" spans="1:11" x14ac:dyDescent="0.3">
      <c r="A128" s="982" t="str">
        <f>'QUIOSQUE - MOD 01'!A82</f>
        <v>1.11.20</v>
      </c>
      <c r="B128" s="982" t="str">
        <f>'QUIOSQUE - MOD 01'!B82</f>
        <v>3R 23 12 00 00 10 17 08 10</v>
      </c>
      <c r="C128" s="982" t="str">
        <f>'QUIOSQUE - MOD 01'!C82</f>
        <v>PINI / TCPO</v>
      </c>
      <c r="D128" s="1061" t="str">
        <f>'QUIOSQUE - MOD 01'!D82</f>
        <v>Joelho 90° de redução soldável PVC Ø 32 x 25 mm</v>
      </c>
      <c r="E128" s="982" t="str">
        <f>'QUIOSQUE - MOD 01'!E82</f>
        <v>UN</v>
      </c>
      <c r="F128" s="1033">
        <v>4</v>
      </c>
      <c r="G128" s="983" t="s">
        <v>25866</v>
      </c>
      <c r="H128" s="1029"/>
      <c r="J128" s="1033">
        <v>1</v>
      </c>
      <c r="K128" s="1033">
        <f t="shared" si="3"/>
        <v>4</v>
      </c>
    </row>
    <row r="129" spans="1:11" x14ac:dyDescent="0.3">
      <c r="A129" s="982" t="str">
        <f>'QUIOSQUE - MOD 01'!A83</f>
        <v>1.11.21</v>
      </c>
      <c r="B129" s="982" t="str">
        <f>'QUIOSQUE - MOD 01'!B83</f>
        <v>3R 23 12 00 00 10 19 10 15</v>
      </c>
      <c r="C129" s="982" t="str">
        <f>'QUIOSQUE - MOD 01'!C83</f>
        <v>PINI / TCPO</v>
      </c>
      <c r="D129" s="1061" t="str">
        <f>'QUIOSQUE - MOD 01'!D83</f>
        <v>Tê 90° soldável PVC Ø 20 mm</v>
      </c>
      <c r="E129" s="982" t="str">
        <f>'QUIOSQUE - MOD 01'!E83</f>
        <v>UN</v>
      </c>
      <c r="F129" s="1033">
        <v>4</v>
      </c>
      <c r="G129" s="983" t="s">
        <v>25866</v>
      </c>
      <c r="H129" s="1029"/>
      <c r="J129" s="1033">
        <v>1</v>
      </c>
      <c r="K129" s="1033">
        <f t="shared" si="3"/>
        <v>4</v>
      </c>
    </row>
    <row r="130" spans="1:11" ht="45" x14ac:dyDescent="0.3">
      <c r="A130" s="982" t="str">
        <f>'QUIOSQUE - MOD 01'!A84</f>
        <v>1.11.22</v>
      </c>
      <c r="B130" s="982" t="str">
        <f>'QUIOSQUE - MOD 01'!B84</f>
        <v>CP-024</v>
      </c>
      <c r="C130" s="982" t="str">
        <f>'QUIOSQUE - MOD 01'!C84</f>
        <v>COMP.</v>
      </c>
      <c r="D130" s="1061" t="str">
        <f>'QUIOSQUE - MOD 01'!D84</f>
        <v>TÊ, PVC, SOLDÁVEL, DN 32 MM INSTALADO EM RESERVAÇÃO DE ÁGUA DE EDIFICAÇÃO QUE POSSUA RESERVATÓRIO DE FIBRA/FIBROCIMENTO FORNECIMENTO E INSTALAÇÃO.</v>
      </c>
      <c r="E130" s="982" t="str">
        <f>'QUIOSQUE - MOD 01'!E84</f>
        <v>UND</v>
      </c>
      <c r="F130" s="1033">
        <v>20</v>
      </c>
      <c r="G130" s="983" t="s">
        <v>25878</v>
      </c>
      <c r="H130" s="1029"/>
      <c r="J130" s="1033">
        <v>5</v>
      </c>
      <c r="K130" s="1033">
        <f t="shared" si="3"/>
        <v>20</v>
      </c>
    </row>
    <row r="131" spans="1:11" ht="45" x14ac:dyDescent="0.3">
      <c r="A131" s="982" t="str">
        <f>'QUIOSQUE - MOD 01'!A85</f>
        <v>1.11.23</v>
      </c>
      <c r="B131" s="982" t="str">
        <f>'QUIOSQUE - MOD 01'!B85</f>
        <v>CP-025</v>
      </c>
      <c r="C131" s="982" t="str">
        <f>'QUIOSQUE - MOD 01'!C85</f>
        <v>COMP.</v>
      </c>
      <c r="D131" s="1061" t="str">
        <f>'QUIOSQUE - MOD 01'!D85</f>
        <v>TÊ, PVC, SOLDÁVEL, DN 50 MM INSTALADO EM RESERVAÇÃO DE ÁGUA DE EDIFICAÇÃO QUE POSSUA RESERVATÓRIO DE FIBRA/FIBROCIMENTO FORNECIMENTO E INSTALAÇÃO.</v>
      </c>
      <c r="E131" s="982" t="str">
        <f>'QUIOSQUE - MOD 01'!E85</f>
        <v>UND</v>
      </c>
      <c r="F131" s="1033">
        <v>8</v>
      </c>
      <c r="G131" s="983" t="s">
        <v>25879</v>
      </c>
      <c r="H131" s="1029"/>
      <c r="J131" s="1033">
        <v>2</v>
      </c>
      <c r="K131" s="1033">
        <f t="shared" si="3"/>
        <v>8</v>
      </c>
    </row>
    <row r="132" spans="1:11" x14ac:dyDescent="0.3">
      <c r="A132" s="982" t="str">
        <f>'QUIOSQUE - MOD 01'!A86</f>
        <v>1.11.24</v>
      </c>
      <c r="B132" s="982" t="str">
        <f>'QUIOSQUE - MOD 01'!B86</f>
        <v>3R 23 12 00 00 10 19 10 09</v>
      </c>
      <c r="C132" s="982" t="str">
        <f>'QUIOSQUE - MOD 01'!C86</f>
        <v>PINI / TCPO</v>
      </c>
      <c r="D132" s="1061" t="str">
        <f>'QUIOSQUE - MOD 01'!D86</f>
        <v>Tê 90° de redução soldável PVC Ø 50 x 20 mm</v>
      </c>
      <c r="E132" s="982" t="str">
        <f>'QUIOSQUE - MOD 01'!E86</f>
        <v>UM</v>
      </c>
      <c r="F132" s="1033">
        <v>8</v>
      </c>
      <c r="G132" s="1032" t="s">
        <v>25872</v>
      </c>
      <c r="H132" s="1029"/>
      <c r="J132" s="1033">
        <v>2</v>
      </c>
      <c r="K132" s="1033">
        <f t="shared" si="3"/>
        <v>8</v>
      </c>
    </row>
    <row r="133" spans="1:11" ht="45" x14ac:dyDescent="0.3">
      <c r="A133" s="982" t="str">
        <f>'QUIOSQUE - MOD 01'!A87</f>
        <v>1.11.25</v>
      </c>
      <c r="B133" s="982" t="str">
        <f>'QUIOSQUE - MOD 01'!B87</f>
        <v>CP-026</v>
      </c>
      <c r="C133" s="982" t="str">
        <f>'QUIOSQUE - MOD 01'!C87</f>
        <v>COMP.</v>
      </c>
      <c r="D133" s="1061" t="str">
        <f>'QUIOSQUE - MOD 01'!D87</f>
        <v>TÊ DE REDUÇÃO, PVC, SOLDÁVEL, DN 32 MM X 25 MM, INSTALADO EM RESERVAÇÃO DE ÁGUA DE EDIFICAÇÃO QUE POSSUA RESERVATÓRIO DE FIBRA/FIBROCIMENTO FORNECIMENTO E INSTALAÇÃO.</v>
      </c>
      <c r="E133" s="982" t="str">
        <f>'QUIOSQUE - MOD 01'!E87</f>
        <v>UND</v>
      </c>
      <c r="F133" s="1033">
        <v>8</v>
      </c>
      <c r="G133" s="983" t="s">
        <v>25872</v>
      </c>
      <c r="H133" s="1029"/>
      <c r="J133" s="1033">
        <v>2</v>
      </c>
      <c r="K133" s="1033">
        <f t="shared" si="3"/>
        <v>8</v>
      </c>
    </row>
    <row r="134" spans="1:11" x14ac:dyDescent="0.3">
      <c r="A134" s="982" t="str">
        <f>'QUIOSQUE - MOD 01'!A88</f>
        <v>1.11.26</v>
      </c>
      <c r="B134" s="982" t="str">
        <f>'QUIOSQUE - MOD 01'!B88</f>
        <v>170320</v>
      </c>
      <c r="C134" s="982" t="str">
        <f>'QUIOSQUE - MOD 01'!C88</f>
        <v>DER-ED</v>
      </c>
      <c r="D134" s="1061" t="str">
        <f>'QUIOSQUE - MOD 01'!D88</f>
        <v>Registro de gaveta bruto diam. 20mm (3/4")</v>
      </c>
      <c r="E134" s="982" t="str">
        <f>'QUIOSQUE - MOD 01'!E88</f>
        <v>und</v>
      </c>
      <c r="F134" s="1033">
        <v>24</v>
      </c>
      <c r="G134" s="1032" t="s">
        <v>25874</v>
      </c>
      <c r="H134" s="1029"/>
      <c r="J134" s="1033">
        <v>6</v>
      </c>
      <c r="K134" s="1033">
        <f t="shared" si="3"/>
        <v>24</v>
      </c>
    </row>
    <row r="135" spans="1:11" x14ac:dyDescent="0.3">
      <c r="A135" s="982" t="str">
        <f>'QUIOSQUE - MOD 01'!A89</f>
        <v>1.11.27</v>
      </c>
      <c r="B135" s="982" t="str">
        <f>'QUIOSQUE - MOD 01'!B89</f>
        <v>170322</v>
      </c>
      <c r="C135" s="982" t="str">
        <f>'QUIOSQUE - MOD 01'!C89</f>
        <v>DER-ED</v>
      </c>
      <c r="D135" s="1061" t="str">
        <f>'QUIOSQUE - MOD 01'!D89</f>
        <v>Registro de gaveta bruto diam. 32mm (11/4")</v>
      </c>
      <c r="E135" s="982" t="str">
        <f>'QUIOSQUE - MOD 01'!E89</f>
        <v>und</v>
      </c>
      <c r="F135" s="1033">
        <v>12</v>
      </c>
      <c r="G135" s="1032" t="s">
        <v>25873</v>
      </c>
      <c r="H135" s="1029"/>
      <c r="J135" s="1033">
        <v>3</v>
      </c>
      <c r="K135" s="1033">
        <f t="shared" si="3"/>
        <v>12</v>
      </c>
    </row>
    <row r="136" spans="1:11" x14ac:dyDescent="0.3">
      <c r="A136" s="982" t="str">
        <f>'QUIOSQUE - MOD 01'!A90</f>
        <v>1.11.28</v>
      </c>
      <c r="B136" s="982" t="str">
        <f>'QUIOSQUE - MOD 01'!B90</f>
        <v>170324</v>
      </c>
      <c r="C136" s="982" t="str">
        <f>'QUIOSQUE - MOD 01'!C90</f>
        <v>DER-ED</v>
      </c>
      <c r="D136" s="1061" t="str">
        <f>'QUIOSQUE - MOD 01'!D90</f>
        <v>Registro de gaveta bruto diam. 50mm (2")</v>
      </c>
      <c r="E136" s="982" t="str">
        <f>'QUIOSQUE - MOD 01'!E90</f>
        <v>und</v>
      </c>
      <c r="F136" s="1033">
        <v>8</v>
      </c>
      <c r="G136" s="1032" t="s">
        <v>25872</v>
      </c>
      <c r="H136" s="1029"/>
      <c r="J136" s="1033">
        <v>2</v>
      </c>
      <c r="K136" s="1033">
        <f t="shared" si="3"/>
        <v>8</v>
      </c>
    </row>
    <row r="137" spans="1:11" ht="30" x14ac:dyDescent="0.3">
      <c r="A137" s="982" t="str">
        <f>'QUIOSQUE - MOD 01'!A91</f>
        <v>1.11.29</v>
      </c>
      <c r="B137" s="982" t="str">
        <f>'QUIOSQUE - MOD 01'!B91</f>
        <v>170352</v>
      </c>
      <c r="C137" s="982" t="str">
        <f>'QUIOSQUE - MOD 01'!C91</f>
        <v>DER-ED</v>
      </c>
      <c r="D137" s="1061" t="str">
        <f>'QUIOSQUE - MOD 01'!D91</f>
        <v>Válvula de Descarga com acabamento anti-vandalismo, marcas de referência Fabrimar, Deca ou Docol</v>
      </c>
      <c r="E137" s="982" t="str">
        <f>'QUIOSQUE - MOD 01'!E91</f>
        <v>und</v>
      </c>
      <c r="F137" s="1033">
        <v>8</v>
      </c>
      <c r="G137" s="983" t="s">
        <v>25872</v>
      </c>
      <c r="H137" s="1029"/>
      <c r="J137" s="1033">
        <v>2</v>
      </c>
      <c r="K137" s="1033">
        <f t="shared" si="3"/>
        <v>8</v>
      </c>
    </row>
    <row r="138" spans="1:11" x14ac:dyDescent="0.3">
      <c r="A138" s="982" t="str">
        <f>'QUIOSQUE - MOD 01'!A92</f>
        <v>1.11.30</v>
      </c>
      <c r="B138" s="982" t="str">
        <f>'QUIOSQUE - MOD 01'!B92</f>
        <v xml:space="preserve">3R 23 12 00 00 19 14 06 18  </v>
      </c>
      <c r="C138" s="982" t="str">
        <f>'QUIOSQUE - MOD 01'!C92</f>
        <v>PINI / TCPO</v>
      </c>
      <c r="D138" s="1061" t="str">
        <f>'QUIOSQUE - MOD 01'!D92</f>
        <v>Luva de ferro galvanizado Ø 20 mm - 3/4"</v>
      </c>
      <c r="E138" s="982" t="str">
        <f>'QUIOSQUE - MOD 01'!E92</f>
        <v>UN</v>
      </c>
      <c r="F138" s="1033">
        <v>8</v>
      </c>
      <c r="G138" s="983" t="s">
        <v>25872</v>
      </c>
      <c r="H138" s="1029"/>
      <c r="J138" s="1033">
        <v>2</v>
      </c>
      <c r="K138" s="1033">
        <f t="shared" si="3"/>
        <v>8</v>
      </c>
    </row>
    <row r="139" spans="1:11" ht="30" x14ac:dyDescent="0.3">
      <c r="A139" s="982" t="str">
        <f>'QUIOSQUE - MOD 01'!A93</f>
        <v>1.11.31</v>
      </c>
      <c r="B139" s="982" t="str">
        <f>'QUIOSQUE - MOD 01'!B93</f>
        <v>170506</v>
      </c>
      <c r="C139" s="982" t="str">
        <f>'QUIOSQUE - MOD 01'!C93</f>
        <v>DER-ED</v>
      </c>
      <c r="D139" s="1061" t="str">
        <f>'QUIOSQUE - MOD 01'!D93</f>
        <v>Reservatório de polietileno de 500 L, inclusive adaptadores com flanges de PVC e torneira de bóia de 3/4"</v>
      </c>
      <c r="E139" s="982" t="str">
        <f>'QUIOSQUE - MOD 01'!E93</f>
        <v>und</v>
      </c>
      <c r="F139" s="1033">
        <v>8</v>
      </c>
      <c r="G139" s="983" t="s">
        <v>25872</v>
      </c>
      <c r="H139" s="1029"/>
      <c r="J139" s="1033">
        <v>2</v>
      </c>
      <c r="K139" s="1033">
        <f t="shared" si="3"/>
        <v>8</v>
      </c>
    </row>
    <row r="140" spans="1:11" x14ac:dyDescent="0.3">
      <c r="A140" s="982"/>
      <c r="B140" s="1012"/>
      <c r="C140" s="1012"/>
      <c r="D140" s="1030" t="str">
        <f>'QUIOSQUE - MOD 01'!D94</f>
        <v>INSTALAÇÃO ESGOTO</v>
      </c>
      <c r="E140" s="1020"/>
      <c r="F140" s="1031"/>
      <c r="G140" s="1032"/>
      <c r="H140" s="1029"/>
      <c r="J140" s="1031"/>
      <c r="K140" s="1033">
        <f t="shared" si="3"/>
        <v>0</v>
      </c>
    </row>
    <row r="141" spans="1:11" ht="30" x14ac:dyDescent="0.3">
      <c r="A141" s="982" t="str">
        <f>'QUIOSQUE - MOD 01'!A95</f>
        <v>1.11.31</v>
      </c>
      <c r="B141" s="982" t="str">
        <f>'QUIOSQUE - MOD 01'!B95</f>
        <v>141906</v>
      </c>
      <c r="C141" s="982" t="str">
        <f>'QUIOSQUE - MOD 01'!C95</f>
        <v>DER-ED</v>
      </c>
      <c r="D141" s="1061" t="str">
        <f>'QUIOSQUE - MOD 01'!D95</f>
        <v>Tubo de PVC rígido soldável branco, para esgoto, diâmetro 40mm (1 1/2"), inclusive conexões</v>
      </c>
      <c r="E141" s="982" t="str">
        <f>'QUIOSQUE - MOD 01'!E95</f>
        <v>m</v>
      </c>
      <c r="F141" s="1033">
        <v>14.4</v>
      </c>
      <c r="G141" s="983" t="s">
        <v>25880</v>
      </c>
      <c r="H141" s="1029"/>
      <c r="J141" s="1033">
        <v>3.6</v>
      </c>
      <c r="K141" s="1033">
        <f t="shared" si="3"/>
        <v>14.4</v>
      </c>
    </row>
    <row r="142" spans="1:11" ht="30" x14ac:dyDescent="0.3">
      <c r="A142" s="982" t="str">
        <f>'QUIOSQUE - MOD 01'!A96</f>
        <v>1.11.32</v>
      </c>
      <c r="B142" s="982" t="str">
        <f>'QUIOSQUE - MOD 01'!B96</f>
        <v>141908</v>
      </c>
      <c r="C142" s="982" t="str">
        <f>'QUIOSQUE - MOD 01'!C96</f>
        <v>DER-ED</v>
      </c>
      <c r="D142" s="1061" t="str">
        <f>'QUIOSQUE - MOD 01'!D96</f>
        <v>Tubo de PVC rígido soldável branco, para esgoto, diâmetro 75mm (3"), inclusive conexões</v>
      </c>
      <c r="E142" s="982" t="str">
        <f>'QUIOSQUE - MOD 01'!E96</f>
        <v>m</v>
      </c>
      <c r="F142" s="1033">
        <v>4.8</v>
      </c>
      <c r="G142" s="983" t="s">
        <v>25880</v>
      </c>
      <c r="H142" s="1029"/>
      <c r="J142" s="1033">
        <v>1.2</v>
      </c>
      <c r="K142" s="1033">
        <f t="shared" si="3"/>
        <v>4.8</v>
      </c>
    </row>
    <row r="143" spans="1:11" ht="30" x14ac:dyDescent="0.3">
      <c r="A143" s="982" t="str">
        <f>'QUIOSQUE - MOD 01'!A97</f>
        <v>1.11.33</v>
      </c>
      <c r="B143" s="982" t="str">
        <f>'QUIOSQUE - MOD 01'!B97</f>
        <v>141907</v>
      </c>
      <c r="C143" s="982" t="str">
        <f>'QUIOSQUE - MOD 01'!C97</f>
        <v>DER-ED</v>
      </c>
      <c r="D143" s="1061" t="str">
        <f>'QUIOSQUE - MOD 01'!D97</f>
        <v>Tubo de PVC rígido soldável branco, para esgoto, diâmetro 50mm (2"), inclusive conexões</v>
      </c>
      <c r="E143" s="982" t="str">
        <f>'QUIOSQUE - MOD 01'!E97</f>
        <v>m</v>
      </c>
      <c r="F143" s="1033">
        <v>79.2</v>
      </c>
      <c r="G143" s="983" t="s">
        <v>25880</v>
      </c>
      <c r="H143" s="1029"/>
      <c r="J143" s="1033">
        <v>19.8</v>
      </c>
      <c r="K143" s="1033">
        <f t="shared" si="3"/>
        <v>79.2</v>
      </c>
    </row>
    <row r="144" spans="1:11" ht="30" x14ac:dyDescent="0.3">
      <c r="A144" s="982" t="str">
        <f>'QUIOSQUE - MOD 01'!A98</f>
        <v>1.11.34</v>
      </c>
      <c r="B144" s="982" t="str">
        <f>'QUIOSQUE - MOD 01'!B98</f>
        <v>141909</v>
      </c>
      <c r="C144" s="982" t="str">
        <f>'QUIOSQUE - MOD 01'!C98</f>
        <v>DER-ED</v>
      </c>
      <c r="D144" s="1061" t="str">
        <f>'QUIOSQUE - MOD 01'!D98</f>
        <v>Tubo de PVC rígido soldável branco, para esgoto, diâmetro 100mm (4"), inclusive conexões</v>
      </c>
      <c r="E144" s="982" t="str">
        <f>'QUIOSQUE - MOD 01'!E98</f>
        <v>m</v>
      </c>
      <c r="F144" s="1033">
        <v>33.6</v>
      </c>
      <c r="G144" s="983" t="s">
        <v>25880</v>
      </c>
      <c r="H144" s="1029"/>
      <c r="J144" s="1033">
        <v>8.4</v>
      </c>
      <c r="K144" s="1033">
        <f t="shared" si="3"/>
        <v>33.6</v>
      </c>
    </row>
    <row r="145" spans="1:11" ht="45" x14ac:dyDescent="0.3">
      <c r="A145" s="982" t="str">
        <f>'QUIOSQUE - MOD 01'!A99</f>
        <v>1.11.35</v>
      </c>
      <c r="B145" s="982" t="str">
        <f>'QUIOSQUE - MOD 01'!B99</f>
        <v>141111</v>
      </c>
      <c r="C145" s="982" t="str">
        <f>'QUIOSQUE - MOD 01'!C99</f>
        <v>DER-ED</v>
      </c>
      <c r="D145" s="1061" t="str">
        <f>'QUIOSQUE - MOD 01'!D99</f>
        <v>Caixa de areia em alv. de bloco de concreto 9x19x39, dim. 60x60cm e Hmáx=1m, c/ tampa em ferro fundido, lastro de concreto esp. 10cm, revest. int. c/ chapisco e reboco impermeabilizado, incl. escavação e reaterro</v>
      </c>
      <c r="E145" s="982" t="str">
        <f>'QUIOSQUE - MOD 01'!E99</f>
        <v>und</v>
      </c>
      <c r="F145" s="1033">
        <v>4</v>
      </c>
      <c r="G145" s="983" t="s">
        <v>25881</v>
      </c>
      <c r="H145" s="1029"/>
      <c r="J145" s="1033">
        <v>1</v>
      </c>
      <c r="K145" s="1033">
        <f t="shared" si="3"/>
        <v>4</v>
      </c>
    </row>
    <row r="146" spans="1:11" x14ac:dyDescent="0.3">
      <c r="A146" s="982" t="str">
        <f>'QUIOSQUE - MOD 01'!A100</f>
        <v>1.11.36</v>
      </c>
      <c r="B146" s="982" t="str">
        <f>'QUIOSQUE - MOD 01'!B100</f>
        <v>3R 23 12 00 00 33 30 03 06</v>
      </c>
      <c r="C146" s="982" t="str">
        <f>'QUIOSQUE - MOD 01'!C100</f>
        <v>PINI / TCPO</v>
      </c>
      <c r="D146" s="1061" t="str">
        <f>'QUIOSQUE - MOD 01'!D100</f>
        <v>Caixa sifonada PVC com grelha branca 150 x 150 x 50 mm</v>
      </c>
      <c r="E146" s="982" t="str">
        <f>'QUIOSQUE - MOD 01'!E100</f>
        <v>UN</v>
      </c>
      <c r="F146" s="1033">
        <v>16</v>
      </c>
      <c r="G146" s="983" t="s">
        <v>25871</v>
      </c>
      <c r="H146" s="1029"/>
      <c r="J146" s="1033">
        <v>4</v>
      </c>
      <c r="K146" s="1033">
        <f t="shared" si="3"/>
        <v>16</v>
      </c>
    </row>
    <row r="147" spans="1:11" x14ac:dyDescent="0.3">
      <c r="A147" s="982" t="str">
        <f>'QUIOSQUE - MOD 01'!A101</f>
        <v>1.11.37</v>
      </c>
      <c r="B147" s="982" t="str">
        <f>'QUIOSQUE - MOD 01'!B101</f>
        <v>3R 23 14 00 00 00 03 11 06 </v>
      </c>
      <c r="C147" s="982" t="str">
        <f>'QUIOSQUE - MOD 01'!C101</f>
        <v>PINI / TCPO</v>
      </c>
      <c r="D147" s="1061" t="str">
        <f>'QUIOSQUE - MOD 01'!D101</f>
        <v>Curva 90º PVC coletor de esgoto JEI Ø 100 mm</v>
      </c>
      <c r="E147" s="982" t="str">
        <f>'QUIOSQUE - MOD 01'!E101</f>
        <v>UN</v>
      </c>
      <c r="F147" s="1033">
        <v>8</v>
      </c>
      <c r="G147" s="983" t="s">
        <v>25879</v>
      </c>
      <c r="H147" s="1029"/>
      <c r="J147" s="1033">
        <v>2</v>
      </c>
      <c r="K147" s="1033">
        <f t="shared" si="3"/>
        <v>8</v>
      </c>
    </row>
    <row r="148" spans="1:11" ht="45" x14ac:dyDescent="0.3">
      <c r="A148" s="982" t="str">
        <f>'QUIOSQUE - MOD 01'!A102</f>
        <v>1.11.38</v>
      </c>
      <c r="B148" s="982" t="str">
        <f>'QUIOSQUE - MOD 01'!B102</f>
        <v>CP-027</v>
      </c>
      <c r="C148" s="982" t="str">
        <f>'QUIOSQUE - MOD 01'!C102</f>
        <v>COMP.</v>
      </c>
      <c r="D148" s="1061" t="str">
        <f>'QUIOSQUE - MOD 01'!D102</f>
        <v>JOELHO 45 GRAUS, PVC, SERIE NORMAL, ESGOTO PREDIAL, DN 75 MM, JUNTA ELÁSTICA, FORNECIDO E INSTALADO EM RAMAL DE DESCARGA OU RAMAL DE ESGOTO SANITÁRIO</v>
      </c>
      <c r="E148" s="982" t="str">
        <f>'QUIOSQUE - MOD 01'!E102</f>
        <v>UND</v>
      </c>
      <c r="F148" s="1033">
        <v>4</v>
      </c>
      <c r="G148" s="983" t="s">
        <v>25866</v>
      </c>
      <c r="H148" s="1029"/>
      <c r="J148" s="1033">
        <v>1</v>
      </c>
      <c r="K148" s="1033">
        <f t="shared" si="3"/>
        <v>4</v>
      </c>
    </row>
    <row r="149" spans="1:11" ht="45" x14ac:dyDescent="0.3">
      <c r="A149" s="982" t="str">
        <f>'QUIOSQUE - MOD 01'!A103</f>
        <v>1.11.39</v>
      </c>
      <c r="B149" s="982" t="str">
        <f>'QUIOSQUE - MOD 01'!B103</f>
        <v>CP-028</v>
      </c>
      <c r="C149" s="982" t="str">
        <f>'QUIOSQUE - MOD 01'!C103</f>
        <v>COMP.</v>
      </c>
      <c r="D149" s="1061" t="str">
        <f>'QUIOSQUE - MOD 01'!D103</f>
        <v>JOELHO 45 GRAUS, PVC, SERIE NORMAL, ESGOTO PREDIAL, DN 100 MM, JUNTA ELÁSTICA, FORNECIDO E INSTALADO EM RAMAL DE DESCARGA OU RAMAL DE ESGOTO SANITÁRIO</v>
      </c>
      <c r="E149" s="982" t="str">
        <f>'QUIOSQUE - MOD 01'!E103</f>
        <v>UND</v>
      </c>
      <c r="F149" s="1033">
        <v>4</v>
      </c>
      <c r="G149" s="983" t="s">
        <v>25866</v>
      </c>
      <c r="H149" s="1029"/>
      <c r="J149" s="1033">
        <v>1</v>
      </c>
      <c r="K149" s="1033">
        <f t="shared" si="3"/>
        <v>4</v>
      </c>
    </row>
    <row r="150" spans="1:11" ht="45" x14ac:dyDescent="0.3">
      <c r="A150" s="982" t="str">
        <f>'QUIOSQUE - MOD 01'!A104</f>
        <v>1.11.40</v>
      </c>
      <c r="B150" s="982" t="str">
        <f>'QUIOSQUE - MOD 01'!B104</f>
        <v>CP-029</v>
      </c>
      <c r="C150" s="982" t="str">
        <f>'QUIOSQUE - MOD 01'!C104</f>
        <v>COMP.</v>
      </c>
      <c r="D150" s="1061" t="str">
        <f>'QUIOSQUE - MOD 01'!D104</f>
        <v>JOELHO 45 GRAUS, PVC, SERIE NORMAL, ESGOTO PREDIAL, DN 50 MM, JUNTA ELÁSTICA, FORNECIDO E INSTALADO EM RAMAL DE DESCARGA OU RAMAL DE ESGOTO SANITÁRIO</v>
      </c>
      <c r="E150" s="982" t="str">
        <f>'QUIOSQUE - MOD 01'!E104</f>
        <v>UND</v>
      </c>
      <c r="F150" s="1033">
        <v>32</v>
      </c>
      <c r="G150" s="983" t="s">
        <v>25870</v>
      </c>
      <c r="H150" s="1029"/>
      <c r="J150" s="1033">
        <v>8</v>
      </c>
      <c r="K150" s="1033">
        <f t="shared" si="3"/>
        <v>32</v>
      </c>
    </row>
    <row r="151" spans="1:11" ht="45" x14ac:dyDescent="0.3">
      <c r="A151" s="982" t="str">
        <f>'QUIOSQUE - MOD 01'!A105</f>
        <v>1.11.41</v>
      </c>
      <c r="B151" s="982" t="str">
        <f>'QUIOSQUE - MOD 01'!B105</f>
        <v>CP-030</v>
      </c>
      <c r="C151" s="982" t="str">
        <f>'QUIOSQUE - MOD 01'!C105</f>
        <v>COMP.</v>
      </c>
      <c r="D151" s="1061" t="str">
        <f>'QUIOSQUE - MOD 01'!D105</f>
        <v>JOELHO 45 GRAUS, PVC, SERIE NORMAL, ESGOTO PREDIAL, DN 40 MM, JUNTA SOLDÁVEL, FORNECIDO E INSTALADO EM RAMAL DE DESCARGA OU RAMAL DE ESGOTO SANITÁRIO.</v>
      </c>
      <c r="E151" s="982" t="str">
        <f>'QUIOSQUE - MOD 01'!E105</f>
        <v>und</v>
      </c>
      <c r="F151" s="1033">
        <v>8</v>
      </c>
      <c r="G151" s="983" t="s">
        <v>25872</v>
      </c>
      <c r="H151" s="1029"/>
      <c r="J151" s="1033">
        <v>2</v>
      </c>
      <c r="K151" s="1033">
        <f t="shared" si="3"/>
        <v>8</v>
      </c>
    </row>
    <row r="152" spans="1:11" ht="45" x14ac:dyDescent="0.3">
      <c r="A152" s="982" t="str">
        <f>'QUIOSQUE - MOD 01'!A106</f>
        <v>1.11.42</v>
      </c>
      <c r="B152" s="982" t="str">
        <f>'QUIOSQUE - MOD 01'!B106</f>
        <v>CP-031</v>
      </c>
      <c r="C152" s="982" t="str">
        <f>'QUIOSQUE - MOD 01'!C106</f>
        <v>COMP.</v>
      </c>
      <c r="D152" s="1061" t="str">
        <f>'QUIOSQUE - MOD 01'!D106</f>
        <v>JOELHO 90 GRAUS, PVC, SERIE NORMAL, ESGOTO PREDIAL, DN 75 MM, JUNTA ELÁSTI CA, FORNECIDO E INSTALADO EM RAMAL DE DESCARGA OU RAMAL DE ESGOTO SANITÁRIO.</v>
      </c>
      <c r="E152" s="982" t="str">
        <f>'QUIOSQUE - MOD 01'!E106</f>
        <v>und</v>
      </c>
      <c r="F152" s="1033">
        <v>4</v>
      </c>
      <c r="G152" s="983" t="s">
        <v>25866</v>
      </c>
      <c r="H152" s="1029"/>
      <c r="J152" s="1033">
        <v>1</v>
      </c>
      <c r="K152" s="1033">
        <f t="shared" si="3"/>
        <v>4</v>
      </c>
    </row>
    <row r="153" spans="1:11" ht="45" x14ac:dyDescent="0.3">
      <c r="A153" s="982" t="str">
        <f>'QUIOSQUE - MOD 01'!A107</f>
        <v>1.11.43</v>
      </c>
      <c r="B153" s="982" t="str">
        <f>'QUIOSQUE - MOD 01'!B107</f>
        <v>CP-032</v>
      </c>
      <c r="C153" s="982" t="str">
        <f>'QUIOSQUE - MOD 01'!C107</f>
        <v>COMP.</v>
      </c>
      <c r="D153" s="1061" t="str">
        <f>'QUIOSQUE - MOD 01'!D107</f>
        <v>JOELHO 90 GRAUS, PVC, SERIE NORMAL, ESGOTO PREDIAL, DN 50 MM, JUNTA ELÁSTICA, FORNECIDO E INSTALADO EM RAMAL DE DESCARGA OU RAMAL DE ESGOTO SANITÁRIO.</v>
      </c>
      <c r="E153" s="982" t="str">
        <f>'QUIOSQUE - MOD 01'!E107</f>
        <v>und</v>
      </c>
      <c r="F153" s="1033">
        <v>32</v>
      </c>
      <c r="G153" s="983" t="s">
        <v>25870</v>
      </c>
      <c r="H153" s="1029"/>
      <c r="J153" s="1033">
        <v>8</v>
      </c>
      <c r="K153" s="1033">
        <f t="shared" si="3"/>
        <v>32</v>
      </c>
    </row>
    <row r="154" spans="1:11" ht="45" x14ac:dyDescent="0.3">
      <c r="A154" s="982" t="str">
        <f>'QUIOSQUE - MOD 01'!A108</f>
        <v>1.11.44</v>
      </c>
      <c r="B154" s="982" t="str">
        <f>'QUIOSQUE - MOD 01'!B108</f>
        <v>CP-033</v>
      </c>
      <c r="C154" s="982" t="str">
        <f>'QUIOSQUE - MOD 01'!C108</f>
        <v>COMP.</v>
      </c>
      <c r="D154" s="1061" t="str">
        <f>'QUIOSQUE - MOD 01'!D108</f>
        <v>JOELHO 90 GRAUS, PVC, SERIE NORMAL, ESGOTO PREDIAL, DN 40 MM, JUNTA SOLDÁV EL, FORNECIDO E INSTALADO EM RAMAL DE DESCARGA OU RAMAL DE ESGOTO SANITÁRIO.</v>
      </c>
      <c r="E154" s="982" t="str">
        <f>'QUIOSQUE - MOD 01'!E108</f>
        <v>und</v>
      </c>
      <c r="F154" s="1033">
        <v>16</v>
      </c>
      <c r="G154" s="983" t="s">
        <v>25871</v>
      </c>
      <c r="H154" s="1029"/>
      <c r="J154" s="1033">
        <v>4</v>
      </c>
      <c r="K154" s="1033">
        <f t="shared" si="3"/>
        <v>16</v>
      </c>
    </row>
    <row r="155" spans="1:11" x14ac:dyDescent="0.3">
      <c r="A155" s="982" t="str">
        <f>'QUIOSQUE - MOD 01'!A109</f>
        <v>1.11.45</v>
      </c>
      <c r="B155" s="982" t="str">
        <f>'QUIOSQUE - MOD 01'!B109</f>
        <v>3R 23 14 00 00 10 27 13 21</v>
      </c>
      <c r="C155" s="982" t="str">
        <f>'QUIOSQUE - MOD 01'!C109</f>
        <v>PINI / TCPO</v>
      </c>
      <c r="D155" s="1061" t="str">
        <f>'QUIOSQUE - MOD 01'!D109</f>
        <v>Junção 45° PVC com redução ponta bolsa e virola Ø 75 x 50 mm</v>
      </c>
      <c r="E155" s="982" t="str">
        <f>'QUIOSQUE - MOD 01'!E109</f>
        <v>UN</v>
      </c>
      <c r="F155" s="1033">
        <v>8</v>
      </c>
      <c r="G155" s="983" t="s">
        <v>25879</v>
      </c>
      <c r="H155" s="1029"/>
      <c r="J155" s="1033">
        <v>2</v>
      </c>
      <c r="K155" s="1033">
        <f t="shared" si="3"/>
        <v>8</v>
      </c>
    </row>
    <row r="156" spans="1:11" x14ac:dyDescent="0.3">
      <c r="A156" s="982" t="str">
        <f>'QUIOSQUE - MOD 01'!A110</f>
        <v>1.11.46</v>
      </c>
      <c r="B156" s="982" t="str">
        <f>'QUIOSQUE - MOD 01'!B110</f>
        <v>3R 23 14 00 00 10 27 13 19</v>
      </c>
      <c r="C156" s="982" t="str">
        <f>'QUIOSQUE - MOD 01'!C110</f>
        <v>PINI / TCPO</v>
      </c>
      <c r="D156" s="1061" t="str">
        <f>'QUIOSQUE - MOD 01'!D110</f>
        <v>Junção 45° PVC ponta bolsa e virola Ø 100 x 100 mm</v>
      </c>
      <c r="E156" s="982" t="str">
        <f>'QUIOSQUE - MOD 01'!E110</f>
        <v>UN</v>
      </c>
      <c r="F156" s="1033">
        <v>8</v>
      </c>
      <c r="G156" s="983" t="s">
        <v>25879</v>
      </c>
      <c r="H156" s="1029"/>
      <c r="J156" s="1033">
        <v>2</v>
      </c>
      <c r="K156" s="1033">
        <f t="shared" si="3"/>
        <v>8</v>
      </c>
    </row>
    <row r="157" spans="1:11" x14ac:dyDescent="0.3">
      <c r="A157" s="982" t="str">
        <f>'QUIOSQUE - MOD 01'!A111</f>
        <v>1.11.47</v>
      </c>
      <c r="B157" s="982" t="str">
        <f>'QUIOSQUE - MOD 01'!B111</f>
        <v xml:space="preserve">3R 23 14 00 00 10 27 13 17   </v>
      </c>
      <c r="C157" s="982" t="str">
        <f>'QUIOSQUE - MOD 01'!C111</f>
        <v>PINI / TCPO</v>
      </c>
      <c r="D157" s="1061" t="str">
        <f>'QUIOSQUE - MOD 01'!D111</f>
        <v>Junção 45° PVC ponta bolsa e virola Ø 50 x 50 mm</v>
      </c>
      <c r="E157" s="982" t="str">
        <f>'QUIOSQUE - MOD 01'!E111</f>
        <v>UN</v>
      </c>
      <c r="F157" s="1033">
        <v>8</v>
      </c>
      <c r="G157" s="983" t="s">
        <v>25879</v>
      </c>
      <c r="H157" s="1029"/>
      <c r="J157" s="1033">
        <v>2</v>
      </c>
      <c r="K157" s="1033">
        <f t="shared" si="3"/>
        <v>8</v>
      </c>
    </row>
    <row r="158" spans="1:11" x14ac:dyDescent="0.3">
      <c r="A158" s="982" t="str">
        <f>'QUIOSQUE - MOD 01'!A112</f>
        <v>1.11.48</v>
      </c>
      <c r="B158" s="982" t="str">
        <f>'QUIOSQUE - MOD 01'!B112</f>
        <v>3R 23 14 00 00 10 27 13 22</v>
      </c>
      <c r="C158" s="982" t="str">
        <f>'QUIOSQUE - MOD 01'!C112</f>
        <v>PINI / TCPO</v>
      </c>
      <c r="D158" s="1061" t="str">
        <f>'QUIOSQUE - MOD 01'!D112</f>
        <v>Junção 45° PVC com redução ponta bolsa e virola Ø 100 x 50 mm</v>
      </c>
      <c r="E158" s="982" t="str">
        <f>'QUIOSQUE - MOD 01'!E112</f>
        <v>UN</v>
      </c>
      <c r="F158" s="1033">
        <v>4</v>
      </c>
      <c r="G158" s="983" t="s">
        <v>25881</v>
      </c>
      <c r="H158" s="1029"/>
      <c r="J158" s="1033">
        <v>1</v>
      </c>
      <c r="K158" s="1033">
        <f t="shared" si="3"/>
        <v>4</v>
      </c>
    </row>
    <row r="159" spans="1:11" ht="45" x14ac:dyDescent="0.3">
      <c r="A159" s="982" t="str">
        <f>'QUIOSQUE - MOD 01'!A113</f>
        <v>1.11.49</v>
      </c>
      <c r="B159" s="982" t="str">
        <f>'QUIOSQUE - MOD 01'!B113</f>
        <v>CP-034</v>
      </c>
      <c r="C159" s="982" t="str">
        <f>'QUIOSQUE - MOD 01'!C113</f>
        <v>COMP.</v>
      </c>
      <c r="D159" s="1061" t="str">
        <f>'QUIOSQUE - MOD 01'!D113</f>
        <v>LUVA SIMPLES, PVC, SERIE NORMAL, ESGOTO PREDIAL, DN 75 MM, JUNTA ELÁSTICA, FORNECIDO E INSTALADO EM RAMAL DE DESCARGA OU RAMAL DE ESGOTO SANITÁRIO.</v>
      </c>
      <c r="E159" s="982" t="str">
        <f>'QUIOSQUE - MOD 01'!E113</f>
        <v>und</v>
      </c>
      <c r="F159" s="1033">
        <v>20</v>
      </c>
      <c r="G159" s="983" t="s">
        <v>25878</v>
      </c>
      <c r="H159" s="1029"/>
      <c r="J159" s="1033">
        <v>5</v>
      </c>
      <c r="K159" s="1033">
        <f t="shared" si="3"/>
        <v>20</v>
      </c>
    </row>
    <row r="160" spans="1:11" ht="45" x14ac:dyDescent="0.3">
      <c r="A160" s="982" t="str">
        <f>'QUIOSQUE - MOD 01'!A114</f>
        <v>1.11.50</v>
      </c>
      <c r="B160" s="982" t="str">
        <f>'QUIOSQUE - MOD 01'!B114</f>
        <v>CP-035</v>
      </c>
      <c r="C160" s="982" t="str">
        <f>'QUIOSQUE - MOD 01'!C114</f>
        <v>COMP.</v>
      </c>
      <c r="D160" s="1061" t="str">
        <f>'QUIOSQUE - MOD 01'!D114</f>
        <v>LUVA SIMPLES, PVC, SERIE NORMAL, ESGOTO PREDIAL, DN 50 MM, JUNTA ELÁSTICA, FORNECIDO E INSTALADO EM RAMAL DE DESCARGA OU RAMAL DE ESGOTO SANITÁRIO.</v>
      </c>
      <c r="E160" s="982" t="str">
        <f>'QUIOSQUE - MOD 01'!E114</f>
        <v>und</v>
      </c>
      <c r="F160" s="1033">
        <v>64</v>
      </c>
      <c r="G160" s="983" t="s">
        <v>25882</v>
      </c>
      <c r="H160" s="1029"/>
      <c r="J160" s="1033">
        <v>16</v>
      </c>
      <c r="K160" s="1033">
        <f t="shared" si="3"/>
        <v>64</v>
      </c>
    </row>
    <row r="161" spans="1:11" ht="45" x14ac:dyDescent="0.3">
      <c r="A161" s="982" t="str">
        <f>'QUIOSQUE - MOD 01'!A115</f>
        <v>1.11.51</v>
      </c>
      <c r="B161" s="982" t="str">
        <f>'QUIOSQUE - MOD 01'!B115</f>
        <v>CP-036</v>
      </c>
      <c r="C161" s="982" t="str">
        <f>'QUIOSQUE - MOD 01'!C115</f>
        <v>COMP.</v>
      </c>
      <c r="D161" s="1061" t="str">
        <f>'QUIOSQUE - MOD 01'!D115</f>
        <v>LUVA SIMPLES, PVC, SERIE NORMAL, ESGOTO PREDIAL, DN 40 MM, JUNTA SOLDÁVEL, FORNECIDO E INSTALADO EM RAMAL DE DESCARGA OU RAMAL DE ESGOTO SANITÁRIO.</v>
      </c>
      <c r="E161" s="982" t="str">
        <f>'QUIOSQUE - MOD 01'!E115</f>
        <v>und</v>
      </c>
      <c r="F161" s="1033">
        <v>20</v>
      </c>
      <c r="G161" s="983" t="s">
        <v>25878</v>
      </c>
      <c r="H161" s="1029"/>
      <c r="J161" s="1033">
        <v>5</v>
      </c>
      <c r="K161" s="1033">
        <f t="shared" si="3"/>
        <v>20</v>
      </c>
    </row>
    <row r="162" spans="1:11" ht="45" x14ac:dyDescent="0.3">
      <c r="A162" s="982" t="str">
        <f>'QUIOSQUE - MOD 01'!A116</f>
        <v>1.11.52</v>
      </c>
      <c r="B162" s="982" t="str">
        <f>'QUIOSQUE - MOD 01'!B116</f>
        <v>CP-037</v>
      </c>
      <c r="C162" s="982" t="str">
        <f>'QUIOSQUE - MOD 01'!C116</f>
        <v>COMP.</v>
      </c>
      <c r="D162" s="1061" t="str">
        <f>'QUIOSQUE - MOD 01'!D116</f>
        <v>LUVA DE CORRER, PVC, SERIE NORMAL, ESGOTO PREDIAL, DN 100 MM, JUNTA ELÁSTICA, FORNECIDO E INSTALADO EM RAMAL DE DESCARGA OU RAMAL DE ESGOTO SANITÁRIO.</v>
      </c>
      <c r="E162" s="982" t="str">
        <f>'QUIOSQUE - MOD 01'!E116</f>
        <v>und</v>
      </c>
      <c r="F162" s="1033">
        <v>20</v>
      </c>
      <c r="G162" s="983" t="s">
        <v>25878</v>
      </c>
      <c r="H162" s="1029"/>
      <c r="J162" s="1033">
        <v>5</v>
      </c>
      <c r="K162" s="1033">
        <f t="shared" si="3"/>
        <v>20</v>
      </c>
    </row>
    <row r="163" spans="1:11" x14ac:dyDescent="0.3">
      <c r="A163" s="982" t="str">
        <f>'QUIOSQUE - MOD 01'!A117</f>
        <v>1.11.53</v>
      </c>
      <c r="B163" s="982" t="str">
        <f>'QUIOSQUE - MOD 01'!B117</f>
        <v>CP-038</v>
      </c>
      <c r="C163" s="982" t="str">
        <f>'QUIOSQUE - MOD 01'!C117</f>
        <v>COMP.</v>
      </c>
      <c r="D163" s="1061" t="str">
        <f>'QUIOSQUE - MOD 01'!D117</f>
        <v>Redução 50mm x 40mm</v>
      </c>
      <c r="E163" s="982" t="str">
        <f>'QUIOSQUE - MOD 01'!E117</f>
        <v>m2</v>
      </c>
      <c r="F163" s="1033">
        <v>16</v>
      </c>
      <c r="G163" s="1032" t="s">
        <v>25871</v>
      </c>
      <c r="H163" s="1029"/>
      <c r="J163" s="1033">
        <v>4</v>
      </c>
      <c r="K163" s="1033">
        <f t="shared" si="3"/>
        <v>16</v>
      </c>
    </row>
    <row r="164" spans="1:11" x14ac:dyDescent="0.3">
      <c r="A164" s="982" t="str">
        <f>'QUIOSQUE - MOD 01'!A118</f>
        <v>1.11.54</v>
      </c>
      <c r="B164" s="982" t="str">
        <f>'QUIOSQUE - MOD 01'!B118</f>
        <v>3R 23 14 00 00 10 27 13 43 </v>
      </c>
      <c r="C164" s="982" t="str">
        <f>'QUIOSQUE - MOD 01'!C118</f>
        <v>PINI / TCPO</v>
      </c>
      <c r="D164" s="1061" t="str">
        <f>'QUIOSQUE - MOD 01'!D118</f>
        <v>Redução excêntrica PVC PBV Ø 100 x 50 mm</v>
      </c>
      <c r="E164" s="982" t="str">
        <f>'QUIOSQUE - MOD 01'!E118</f>
        <v>UN</v>
      </c>
      <c r="F164" s="1033">
        <v>16</v>
      </c>
      <c r="G164" s="983" t="s">
        <v>25871</v>
      </c>
      <c r="H164" s="1029"/>
      <c r="J164" s="1033">
        <v>4</v>
      </c>
      <c r="K164" s="1033">
        <f t="shared" si="3"/>
        <v>16</v>
      </c>
    </row>
    <row r="165" spans="1:11" x14ac:dyDescent="0.3">
      <c r="A165" s="982" t="str">
        <f>'QUIOSQUE - MOD 01'!A119</f>
        <v>1.11.55</v>
      </c>
      <c r="B165" s="982" t="str">
        <f>'QUIOSQUE - MOD 01'!B119</f>
        <v>3R 23 14 00 00 10 27 13 42</v>
      </c>
      <c r="C165" s="982" t="str">
        <f>'QUIOSQUE - MOD 01'!C119</f>
        <v>PINI / TCPO</v>
      </c>
      <c r="D165" s="1061" t="str">
        <f>'QUIOSQUE - MOD 01'!D119</f>
        <v>Redução excêntrica PVC PBV Ø 75 x 50 mm</v>
      </c>
      <c r="E165" s="982" t="str">
        <f>'QUIOSQUE - MOD 01'!E119</f>
        <v>UN</v>
      </c>
      <c r="F165" s="1033">
        <v>8</v>
      </c>
      <c r="G165" s="983" t="s">
        <v>25872</v>
      </c>
      <c r="H165" s="1029"/>
      <c r="J165" s="1033">
        <v>2</v>
      </c>
      <c r="K165" s="1033">
        <f t="shared" si="3"/>
        <v>8</v>
      </c>
    </row>
    <row r="166" spans="1:11" x14ac:dyDescent="0.3">
      <c r="A166" s="982" t="str">
        <f>'QUIOSQUE - MOD 01'!A120</f>
        <v>1.11.56</v>
      </c>
      <c r="B166" s="982" t="str">
        <f>'QUIOSQUE - MOD 01'!B120</f>
        <v>3R 23 14 00 00 10 27 13 53</v>
      </c>
      <c r="C166" s="982" t="str">
        <f>'QUIOSQUE - MOD 01'!C120</f>
        <v>PINI / TCPO</v>
      </c>
      <c r="D166" s="1061" t="str">
        <f>'QUIOSQUE - MOD 01'!D120</f>
        <v>Tê 90° PVC ponta bolsa e virola Ø 75 x 75 mm</v>
      </c>
      <c r="E166" s="982" t="str">
        <f>'QUIOSQUE - MOD 01'!E120</f>
        <v>UN</v>
      </c>
      <c r="F166" s="1033">
        <v>4</v>
      </c>
      <c r="G166" s="983" t="s">
        <v>25881</v>
      </c>
      <c r="H166" s="1029"/>
      <c r="J166" s="1033">
        <v>1</v>
      </c>
      <c r="K166" s="1033">
        <f t="shared" si="3"/>
        <v>4</v>
      </c>
    </row>
    <row r="167" spans="1:11" x14ac:dyDescent="0.3">
      <c r="A167" s="982" t="str">
        <f>'QUIOSQUE - MOD 01'!A121</f>
        <v>1.11.57</v>
      </c>
      <c r="B167" s="982" t="str">
        <f>'QUIOSQUE - MOD 01'!B121</f>
        <v>3R 23 14 00 00 10 27 13 52</v>
      </c>
      <c r="C167" s="982" t="str">
        <f>'QUIOSQUE - MOD 01'!C121</f>
        <v>PINI / TCPO</v>
      </c>
      <c r="D167" s="1061" t="str">
        <f>'QUIOSQUE - MOD 01'!D121</f>
        <v>Tê 90° PVC ponta bolsa e virola Ø 50 x 50 mm</v>
      </c>
      <c r="E167" s="982" t="str">
        <f>'QUIOSQUE - MOD 01'!E121</f>
        <v>UN</v>
      </c>
      <c r="F167" s="1033">
        <v>8</v>
      </c>
      <c r="G167" s="1032" t="s">
        <v>25872</v>
      </c>
      <c r="H167" s="1029"/>
      <c r="J167" s="1033">
        <v>2</v>
      </c>
      <c r="K167" s="1033">
        <f t="shared" si="3"/>
        <v>8</v>
      </c>
    </row>
    <row r="168" spans="1:11" ht="60" x14ac:dyDescent="0.3">
      <c r="A168" s="982" t="str">
        <f>'QUIOSQUE - MOD 01'!A122</f>
        <v>1.11.58</v>
      </c>
      <c r="B168" s="982" t="str">
        <f>'QUIOSQUE - MOD 01'!B122</f>
        <v>141110</v>
      </c>
      <c r="C168" s="982" t="str">
        <f>'QUIOSQUE - MOD 01'!C122</f>
        <v>DER-ED</v>
      </c>
      <c r="D168" s="1061" t="str">
        <f>'QUIOSQUE - MOD 01'!D122</f>
        <v>Caixa de inspeção em alv. bloco concreto 9x19x39cm, dim. 60x60cm e Hmáx=1m, c/ tampa de ferro fundido 40x40cm, lastro de concreto esp.10cm, revest. interno c/ chapisco e reboco impermeabiliz, incl. escavação, reaterro e enchimento</v>
      </c>
      <c r="E168" s="982" t="str">
        <f>'QUIOSQUE - MOD 01'!E122</f>
        <v>und</v>
      </c>
      <c r="F168" s="1033">
        <v>4</v>
      </c>
      <c r="G168" s="983" t="s">
        <v>25881</v>
      </c>
      <c r="H168" s="1029"/>
      <c r="J168" s="1033">
        <v>1</v>
      </c>
      <c r="K168" s="1033">
        <f t="shared" si="3"/>
        <v>4</v>
      </c>
    </row>
    <row r="169" spans="1:11" ht="60" x14ac:dyDescent="0.3">
      <c r="A169" s="982" t="str">
        <f>'QUIOSQUE - MOD 01'!A123</f>
        <v>1.11.59</v>
      </c>
      <c r="B169" s="982" t="str">
        <f>'QUIOSQUE - MOD 01'!B123</f>
        <v>CP-039</v>
      </c>
      <c r="C169" s="982" t="str">
        <f>'QUIOSQUE - MOD 01'!C123</f>
        <v>COMP.</v>
      </c>
      <c r="D169" s="1061" t="str">
        <f>'QUIOSQUE - MOD 01'!D123</f>
        <v>Caixa de gordura simples de alv. bloco concr.9x19x39cm, dim.1250mmx550mm e Hmáx=1m, com tampa em concr.esp.5cm, lastro concr. esp. 10cm, revestida intern. c/ chapisco e reboco impermeab, escavação, reaterro e parede interna em concr.</v>
      </c>
      <c r="E169" s="982" t="str">
        <f>'QUIOSQUE - MOD 01'!E123</f>
        <v>und</v>
      </c>
      <c r="F169" s="1033">
        <v>4</v>
      </c>
      <c r="G169" s="983" t="s">
        <v>25881</v>
      </c>
      <c r="H169" s="1029"/>
      <c r="J169" s="1033">
        <v>1</v>
      </c>
      <c r="K169" s="1033">
        <f t="shared" si="3"/>
        <v>4</v>
      </c>
    </row>
    <row r="170" spans="1:11" x14ac:dyDescent="0.3">
      <c r="A170" s="982"/>
      <c r="B170" s="1012"/>
      <c r="C170" s="1012"/>
      <c r="D170" s="1030" t="str">
        <f>'QUIOSQUE - MOD 01'!D124</f>
        <v>LOUÇAS E ACESSÓRIOS</v>
      </c>
      <c r="E170" s="1020"/>
      <c r="F170" s="1031"/>
      <c r="G170" s="1032"/>
      <c r="H170" s="1029"/>
      <c r="J170" s="1031"/>
      <c r="K170" s="1033">
        <f t="shared" si="3"/>
        <v>0</v>
      </c>
    </row>
    <row r="171" spans="1:11" ht="45" x14ac:dyDescent="0.3">
      <c r="A171" s="982" t="str">
        <f>'QUIOSQUE - MOD 01'!A125</f>
        <v>1.11.59</v>
      </c>
      <c r="B171" s="982" t="str">
        <f>'QUIOSQUE - MOD 01'!B125</f>
        <v>170135</v>
      </c>
      <c r="C171" s="982" t="str">
        <f>'QUIOSQUE - MOD 01'!C125</f>
        <v>DER-ED</v>
      </c>
      <c r="D171" s="1061" t="str">
        <f>'QUIOSQUE - MOD 01'!D125</f>
        <v>Bacia sifonada de louça branca para portadores de necessidades especiais, Vogue Plus Conforto - Linha Conforto, mod P51, incl. assento com abertura frontal, ref.AP52,marca de ref. Deca ou equivalente</v>
      </c>
      <c r="E171" s="982" t="str">
        <f>'QUIOSQUE - MOD 01'!E125</f>
        <v>und</v>
      </c>
      <c r="F171" s="1033">
        <v>8</v>
      </c>
      <c r="G171" s="983" t="s">
        <v>25883</v>
      </c>
      <c r="H171" s="1029"/>
      <c r="J171" s="1033">
        <v>2</v>
      </c>
      <c r="K171" s="1033">
        <f t="shared" si="3"/>
        <v>8</v>
      </c>
    </row>
    <row r="172" spans="1:11" ht="30" x14ac:dyDescent="0.3">
      <c r="A172" s="982" t="str">
        <f>'QUIOSQUE - MOD 01'!A126</f>
        <v>1.11.60</v>
      </c>
      <c r="B172" s="982" t="str">
        <f>'QUIOSQUE - MOD 01'!B126</f>
        <v>CP-040</v>
      </c>
      <c r="C172" s="982" t="str">
        <f>'QUIOSQUE - MOD 01'!C126</f>
        <v>COMP.</v>
      </c>
      <c r="D172" s="1061" t="str">
        <f>'QUIOSQUE - MOD 01'!D126</f>
        <v>LAVATÓRIO LOUÇA BRANCA COM COLUNA, *44 X 35,5* CM, PADRÃO POPULAR - FORNECIMENTO E INSTALAÇÃO.</v>
      </c>
      <c r="E172" s="982" t="str">
        <f>'QUIOSQUE - MOD 01'!E126</f>
        <v>und</v>
      </c>
      <c r="F172" s="1033">
        <v>8</v>
      </c>
      <c r="G172" s="983" t="s">
        <v>25884</v>
      </c>
      <c r="H172" s="1029"/>
      <c r="J172" s="1033">
        <v>2</v>
      </c>
      <c r="K172" s="1033">
        <f t="shared" ref="K172:K178" si="4">J172*4</f>
        <v>8</v>
      </c>
    </row>
    <row r="173" spans="1:11" ht="30" x14ac:dyDescent="0.3">
      <c r="A173" s="982" t="str">
        <f>'QUIOSQUE - MOD 01'!A127</f>
        <v>1.11.61</v>
      </c>
      <c r="B173" s="982" t="str">
        <f>'QUIOSQUE - MOD 01'!B127</f>
        <v>080201</v>
      </c>
      <c r="C173" s="982" t="str">
        <f>'QUIOSQUE - MOD 01'!C127</f>
        <v>DER-ED</v>
      </c>
      <c r="D173" s="1061" t="str">
        <f>'QUIOSQUE - MOD 01'!D127</f>
        <v>Espelho para banheiros espessura 4 mm, incluindo chapa compensada 10 mm, moldura de alumínio em perfil L 3/4", fixado com parafusos cromados</v>
      </c>
      <c r="E173" s="982" t="str">
        <f>'QUIOSQUE - MOD 01'!E127</f>
        <v>m2</v>
      </c>
      <c r="F173" s="1033">
        <v>2</v>
      </c>
      <c r="G173" s="983" t="s">
        <v>25885</v>
      </c>
      <c r="H173" s="1029"/>
      <c r="J173" s="1033">
        <f>(0.5*0.5)*2</f>
        <v>0.5</v>
      </c>
      <c r="K173" s="1033">
        <f t="shared" si="4"/>
        <v>2</v>
      </c>
    </row>
    <row r="174" spans="1:11" ht="30" x14ac:dyDescent="0.3">
      <c r="A174" s="982" t="str">
        <f>'QUIOSQUE - MOD 01'!A128</f>
        <v>1.11.62</v>
      </c>
      <c r="B174" s="982" t="str">
        <f>'QUIOSQUE - MOD 01'!B128</f>
        <v>CP-041</v>
      </c>
      <c r="C174" s="982" t="str">
        <f>'QUIOSQUE - MOD 01'!C128</f>
        <v>COMP.</v>
      </c>
      <c r="D174" s="1061" t="str">
        <f>'QUIOSQUE - MOD 01'!D128</f>
        <v>BARRA DE APOIO RETA, EM ACO INOX POLIDO, COMPRIMENTO 70 CM,  FIXADA NA PAREDE - FORNECIMENTO E INSTALAÇÃO.</v>
      </c>
      <c r="E174" s="982" t="str">
        <f>'QUIOSQUE - MOD 01'!E128</f>
        <v>und</v>
      </c>
      <c r="F174" s="1033">
        <v>8</v>
      </c>
      <c r="G174" s="983" t="s">
        <v>25883</v>
      </c>
      <c r="H174" s="1029"/>
      <c r="J174" s="1033">
        <v>2</v>
      </c>
      <c r="K174" s="1033">
        <f t="shared" si="4"/>
        <v>8</v>
      </c>
    </row>
    <row r="175" spans="1:11" ht="30" x14ac:dyDescent="0.3">
      <c r="A175" s="982" t="str">
        <f>'QUIOSQUE - MOD 01'!A129</f>
        <v>1.11.63</v>
      </c>
      <c r="B175" s="982" t="str">
        <f>'QUIOSQUE - MOD 01'!B129</f>
        <v>CP-042</v>
      </c>
      <c r="C175" s="982" t="str">
        <f>'QUIOSQUE - MOD 01'!C129</f>
        <v>COMP.</v>
      </c>
      <c r="D175" s="1061" t="str">
        <f>'QUIOSQUE - MOD 01'!D129</f>
        <v>BARRA DE APOIO RETA, EM ACO INOX POLIDO, COMPRIMENTO 80 CM,  FIXADA NA PAR EDE - FORNECIMENTO E INSTALAÇÃO.</v>
      </c>
      <c r="E175" s="982" t="str">
        <f>'QUIOSQUE - MOD 01'!E129</f>
        <v>und</v>
      </c>
      <c r="F175" s="1033">
        <v>8</v>
      </c>
      <c r="G175" s="983" t="s">
        <v>25883</v>
      </c>
      <c r="H175" s="1029"/>
      <c r="J175" s="1033">
        <v>2</v>
      </c>
      <c r="K175" s="1033">
        <f t="shared" si="4"/>
        <v>8</v>
      </c>
    </row>
    <row r="176" spans="1:11" ht="30" x14ac:dyDescent="0.3">
      <c r="A176" s="982" t="str">
        <f>'QUIOSQUE - MOD 01'!A130</f>
        <v>1.11.64</v>
      </c>
      <c r="B176" s="982" t="str">
        <f>'QUIOSQUE - MOD 01'!B130</f>
        <v>170353</v>
      </c>
      <c r="C176" s="982" t="str">
        <f>'QUIOSQUE - MOD 01'!C130</f>
        <v>DER-ED</v>
      </c>
      <c r="D176" s="1061" t="str">
        <f>'QUIOSQUE - MOD 01'!D130</f>
        <v>Torneira para lavatório linha anti-vandalismo, marcas de referência Fabrimar, Deca ou Docol</v>
      </c>
      <c r="E176" s="982" t="str">
        <f>'QUIOSQUE - MOD 01'!E130</f>
        <v>und</v>
      </c>
      <c r="F176" s="1033">
        <v>8</v>
      </c>
      <c r="G176" s="983" t="s">
        <v>25883</v>
      </c>
      <c r="H176" s="1029"/>
      <c r="J176" s="1033">
        <v>2</v>
      </c>
      <c r="K176" s="1033">
        <f t="shared" si="4"/>
        <v>8</v>
      </c>
    </row>
    <row r="177" spans="1:11" ht="45" x14ac:dyDescent="0.3">
      <c r="A177" s="982" t="str">
        <f>'QUIOSQUE - MOD 01'!A131</f>
        <v>1.11.65</v>
      </c>
      <c r="B177" s="982" t="str">
        <f>'QUIOSQUE - MOD 01'!B131</f>
        <v>170512</v>
      </c>
      <c r="C177" s="982" t="str">
        <f>'QUIOSQUE - MOD 01'!C131</f>
        <v>DER-ED</v>
      </c>
      <c r="D177" s="1061" t="str">
        <f>'QUIOSQUE - MOD 01'!D131</f>
        <v>Cuba de aço inox n° 1(dim.460x300x150)mm, marcas de referência Franke, Strake, tramontina, inclusive válvula de metal 31/2" e sifão cromado 1 x 1/2", excl. torneira</v>
      </c>
      <c r="E177" s="982" t="str">
        <f>'QUIOSQUE - MOD 01'!E131</f>
        <v>und</v>
      </c>
      <c r="F177" s="1033">
        <v>8</v>
      </c>
      <c r="G177" s="983" t="s">
        <v>25879</v>
      </c>
      <c r="H177" s="1029"/>
      <c r="J177" s="1033">
        <v>2</v>
      </c>
      <c r="K177" s="1033">
        <f t="shared" si="4"/>
        <v>8</v>
      </c>
    </row>
    <row r="178" spans="1:11" ht="30" x14ac:dyDescent="0.3">
      <c r="A178" s="982" t="str">
        <f>'QUIOSQUE - MOD 01'!A132</f>
        <v>1.11.66</v>
      </c>
      <c r="B178" s="982" t="str">
        <f>'QUIOSQUE - MOD 01'!B132</f>
        <v>170351</v>
      </c>
      <c r="C178" s="982" t="str">
        <f>'QUIOSQUE - MOD 01'!C132</f>
        <v>DER-ED</v>
      </c>
      <c r="D178" s="1061" t="str">
        <f>'QUIOSQUE - MOD 01'!D132</f>
        <v>Torneira de parede cromada, marcas de referência Fabrimar (linha prática, ref.1157) , Deca ou Docol</v>
      </c>
      <c r="E178" s="982" t="str">
        <f>'QUIOSQUE - MOD 01'!E132</f>
        <v>und</v>
      </c>
      <c r="F178" s="1033">
        <v>8</v>
      </c>
      <c r="G178" s="983" t="s">
        <v>25879</v>
      </c>
      <c r="H178" s="1029"/>
      <c r="J178" s="1033">
        <v>2</v>
      </c>
      <c r="K178" s="1033">
        <f t="shared" si="4"/>
        <v>8</v>
      </c>
    </row>
    <row r="179" spans="1:11" x14ac:dyDescent="0.3">
      <c r="A179" s="982"/>
      <c r="B179" s="1012"/>
      <c r="C179" s="1012"/>
      <c r="D179" s="1030" t="str">
        <f>'QUIOSQUE - MOD 01'!D133</f>
        <v>BANCADAS</v>
      </c>
      <c r="E179" s="1020"/>
      <c r="F179" s="1033"/>
      <c r="G179" s="983"/>
      <c r="H179" s="1029"/>
    </row>
    <row r="180" spans="1:11" x14ac:dyDescent="0.3">
      <c r="A180" s="1013" t="str">
        <f>'QUIOSQUE - MOD 01'!A134</f>
        <v>1.11.67</v>
      </c>
      <c r="B180" s="1013" t="str">
        <f>'QUIOSQUE - MOD 01'!B134</f>
        <v>CP-043</v>
      </c>
      <c r="C180" s="1013" t="str">
        <f>'QUIOSQUE - MOD 01'!C134</f>
        <v>COMP.</v>
      </c>
      <c r="D180" s="1013" t="str">
        <f>'QUIOSQUE - MOD 01'!D134</f>
        <v>Bancada e rodabanca em granito Branco Siena, acabamento polido e impermeabilizado, conforme detalhes em projeto</v>
      </c>
      <c r="E180" s="1013" t="str">
        <f>'QUIOSQUE - MOD 01'!E134</f>
        <v>m2</v>
      </c>
      <c r="F180" s="1033">
        <f>SUM(F181:F186)</f>
        <v>17.760000000000002</v>
      </c>
      <c r="G180" s="983"/>
      <c r="H180" s="1029"/>
    </row>
    <row r="181" spans="1:11" x14ac:dyDescent="0.3">
      <c r="A181" s="999"/>
      <c r="B181" s="1034"/>
      <c r="C181" s="1034"/>
      <c r="D181" s="1035"/>
      <c r="E181" s="1036"/>
      <c r="F181" s="1037">
        <f>0.6*0.9*4</f>
        <v>2.16</v>
      </c>
      <c r="G181" s="983" t="s">
        <v>25886</v>
      </c>
      <c r="H181" s="1029"/>
    </row>
    <row r="182" spans="1:11" x14ac:dyDescent="0.3">
      <c r="A182" s="987"/>
      <c r="B182" s="1038"/>
      <c r="C182" s="1038"/>
      <c r="D182" s="1039"/>
      <c r="E182" s="1040"/>
      <c r="F182" s="1037">
        <f>0.6*2.1*4</f>
        <v>5.04</v>
      </c>
      <c r="G182" s="983" t="s">
        <v>25887</v>
      </c>
      <c r="H182" s="1029"/>
    </row>
    <row r="183" spans="1:11" x14ac:dyDescent="0.3">
      <c r="A183" s="987"/>
      <c r="B183" s="1038"/>
      <c r="C183" s="1038"/>
      <c r="D183" s="1039"/>
      <c r="E183" s="1040"/>
      <c r="F183" s="1037">
        <f>0.6*2.1*4</f>
        <v>5.04</v>
      </c>
      <c r="G183" s="1032" t="s">
        <v>25888</v>
      </c>
      <c r="H183" s="1029"/>
    </row>
    <row r="184" spans="1:11" x14ac:dyDescent="0.3">
      <c r="A184" s="987"/>
      <c r="B184" s="1038"/>
      <c r="C184" s="1038"/>
      <c r="D184" s="1039"/>
      <c r="E184" s="1040"/>
      <c r="F184" s="1037">
        <f>((0.2*0.9)+(0.2*0.6))*4</f>
        <v>1.2</v>
      </c>
      <c r="G184" s="983" t="s">
        <v>25889</v>
      </c>
      <c r="H184" s="1029"/>
    </row>
    <row r="185" spans="1:11" x14ac:dyDescent="0.3">
      <c r="A185" s="987"/>
      <c r="B185" s="1038"/>
      <c r="C185" s="1038"/>
      <c r="D185" s="1039"/>
      <c r="E185" s="1040"/>
      <c r="F185" s="1037">
        <f>((0.2*2.1)+(0.2*0.6))*4</f>
        <v>2.16</v>
      </c>
      <c r="G185" s="983" t="s">
        <v>25890</v>
      </c>
      <c r="H185" s="1029"/>
    </row>
    <row r="186" spans="1:11" x14ac:dyDescent="0.3">
      <c r="A186" s="1006"/>
      <c r="B186" s="1041"/>
      <c r="C186" s="1041"/>
      <c r="D186" s="1042"/>
      <c r="E186" s="1043"/>
      <c r="F186" s="1037">
        <f>((0.2*2.1)+(0.2*0.6))*4</f>
        <v>2.16</v>
      </c>
      <c r="G186" s="1032" t="s">
        <v>25891</v>
      </c>
      <c r="H186" s="1029"/>
    </row>
    <row r="187" spans="1:11" x14ac:dyDescent="0.3">
      <c r="A187" s="982" t="str">
        <f>'QUIOSQUE - MOD 01'!A135</f>
        <v>1.11.68</v>
      </c>
      <c r="B187" s="982" t="str">
        <f>'QUIOSQUE - MOD 01'!B135</f>
        <v>CP-044</v>
      </c>
      <c r="C187" s="982" t="str">
        <f>'QUIOSQUE - MOD 01'!C135</f>
        <v>COMP.</v>
      </c>
      <c r="D187" s="982" t="str">
        <f>'QUIOSQUE - MOD 01'!D135</f>
        <v>Balcão de Atendimento em granito Branco Siena, acabamento polido e impermeabilizado, conforme detalhes em projeto</v>
      </c>
      <c r="E187" s="982" t="str">
        <f>'QUIOSQUE - MOD 01'!E135</f>
        <v>m2</v>
      </c>
      <c r="F187" s="1033">
        <f>1.7*4</f>
        <v>6.8</v>
      </c>
      <c r="G187" s="1032" t="s">
        <v>25909</v>
      </c>
      <c r="H187" s="1044" t="s">
        <v>25170</v>
      </c>
    </row>
    <row r="188" spans="1:11" s="981" customFormat="1" x14ac:dyDescent="0.3">
      <c r="A188" s="974" t="str">
        <f>'QUIOSQUE - MOD 01'!A136</f>
        <v>1.12</v>
      </c>
      <c r="B188" s="975"/>
      <c r="C188" s="976"/>
      <c r="D188" s="1015" t="str">
        <f>'QUIOSQUE - MOD 01'!D136</f>
        <v>INSTALAÇÕES ELÉTRICAS</v>
      </c>
      <c r="E188" s="977"/>
      <c r="F188" s="978"/>
      <c r="G188" s="979"/>
      <c r="H188" s="980"/>
    </row>
    <row r="189" spans="1:11" x14ac:dyDescent="0.3">
      <c r="A189" s="982" t="str">
        <f>'QUIOSQUE - MOD 01'!A137</f>
        <v>1.12.1</v>
      </c>
      <c r="B189" s="982" t="str">
        <f>'QUIOSQUE - MOD 01'!B137</f>
        <v>150628</v>
      </c>
      <c r="C189" s="982" t="str">
        <f>'QUIOSQUE - MOD 01'!C137</f>
        <v>DER-ED</v>
      </c>
      <c r="D189" s="1061" t="str">
        <f>'QUIOSQUE - MOD 01'!D137</f>
        <v>Caixa de embutir marca de referência Tigreflex, 4x2"</v>
      </c>
      <c r="E189" s="982" t="str">
        <f>'QUIOSQUE - MOD 01'!E137</f>
        <v>und</v>
      </c>
      <c r="F189" s="984">
        <v>24</v>
      </c>
      <c r="G189" s="985" t="s">
        <v>25892</v>
      </c>
      <c r="H189" s="993" t="s">
        <v>25170</v>
      </c>
    </row>
    <row r="190" spans="1:11" x14ac:dyDescent="0.3">
      <c r="A190" s="982" t="str">
        <f>'QUIOSQUE - MOD 01'!A138</f>
        <v>1.12.2</v>
      </c>
      <c r="B190" s="982" t="str">
        <f>'QUIOSQUE - MOD 01'!B138</f>
        <v>150629</v>
      </c>
      <c r="C190" s="982" t="str">
        <f>'QUIOSQUE - MOD 01'!C138</f>
        <v>DER-ED</v>
      </c>
      <c r="D190" s="1061" t="str">
        <f>'QUIOSQUE - MOD 01'!D138</f>
        <v>Caixa de embutir marca de referência Tigreflex, 4x4"</v>
      </c>
      <c r="E190" s="982" t="str">
        <f>'QUIOSQUE - MOD 01'!E138</f>
        <v>und</v>
      </c>
      <c r="F190" s="984">
        <v>28</v>
      </c>
      <c r="G190" s="985" t="s">
        <v>25893</v>
      </c>
      <c r="H190" s="993" t="s">
        <v>25170</v>
      </c>
      <c r="J190" s="984">
        <v>6</v>
      </c>
      <c r="K190" s="691">
        <f>J190*4</f>
        <v>24</v>
      </c>
    </row>
    <row r="191" spans="1:11" ht="45" x14ac:dyDescent="0.3">
      <c r="A191" s="982" t="str">
        <f>'QUIOSQUE - MOD 01'!A139</f>
        <v>1.12.3</v>
      </c>
      <c r="B191" s="982" t="str">
        <f>'QUIOSQUE - MOD 01'!B139</f>
        <v>CP-045</v>
      </c>
      <c r="C191" s="982" t="str">
        <f>'QUIOSQUE - MOD 01'!C139</f>
        <v>COMP.</v>
      </c>
      <c r="D191" s="1061" t="str">
        <f>'QUIOSQUE - MOD 01'!D139</f>
        <v>ELETRODUTO FLEXÍVEL CORRUGADO, PVC, DN 20 MM (1/2"), PARA CIRCUITOS TERMINAIS, INSTALADO EM PAREDE - FORNECIMENTO E INSTALAÇÃO.</v>
      </c>
      <c r="E191" s="982" t="str">
        <f>'QUIOSQUE - MOD 01'!E139</f>
        <v>M</v>
      </c>
      <c r="F191" s="984">
        <v>6.84</v>
      </c>
      <c r="G191" s="985" t="s">
        <v>25894</v>
      </c>
      <c r="H191" s="993" t="s">
        <v>25170</v>
      </c>
      <c r="J191" s="984">
        <v>7</v>
      </c>
      <c r="K191" s="691">
        <f t="shared" ref="K191:K233" si="5">J191*4</f>
        <v>28</v>
      </c>
    </row>
    <row r="192" spans="1:11" ht="45" x14ac:dyDescent="0.3">
      <c r="A192" s="982" t="str">
        <f>'QUIOSQUE - MOD 01'!A140</f>
        <v>1.12.4</v>
      </c>
      <c r="B192" s="982" t="str">
        <f>'QUIOSQUE - MOD 01'!B140</f>
        <v>CP-046</v>
      </c>
      <c r="C192" s="982" t="str">
        <f>'QUIOSQUE - MOD 01'!C140</f>
        <v>COMP.</v>
      </c>
      <c r="D192" s="1061" t="str">
        <f>'QUIOSQUE - MOD 01'!D140</f>
        <v>ELETRODUTO FLEXÍVEL CORRUGADO, PVC, DN 25 MM (3/4"), PARA CIRCUITOS TERMINAIS, INSTALADO EM PAREDE - FORNECIMENTO E INSTALAÇÃO.</v>
      </c>
      <c r="E192" s="982" t="str">
        <f>'QUIOSQUE - MOD 01'!E140</f>
        <v>M</v>
      </c>
      <c r="F192" s="984">
        <v>188.8</v>
      </c>
      <c r="G192" s="985" t="s">
        <v>25895</v>
      </c>
      <c r="H192" s="993" t="s">
        <v>25170</v>
      </c>
      <c r="J192" s="984">
        <v>1.71</v>
      </c>
      <c r="K192" s="691">
        <f t="shared" si="5"/>
        <v>6.84</v>
      </c>
    </row>
    <row r="193" spans="1:11" ht="45" x14ac:dyDescent="0.3">
      <c r="A193" s="982" t="str">
        <f>'QUIOSQUE - MOD 01'!A141</f>
        <v>1.12.5</v>
      </c>
      <c r="B193" s="982" t="str">
        <f>'QUIOSQUE - MOD 01'!B141</f>
        <v>CP-047</v>
      </c>
      <c r="C193" s="982" t="str">
        <f>'QUIOSQUE - MOD 01'!C141</f>
        <v>COMP.</v>
      </c>
      <c r="D193" s="1061" t="str">
        <f>'QUIOSQUE - MOD 01'!D141</f>
        <v>ELETRODUTO FLEXÍVEL CORRUGADO, PVC, DN 25 MM (3/4"), PARA CIRCUITOS TERMINAIS, INSTALADO EM LAJE - FORNECIMENTO E INSTALAÇÃO.</v>
      </c>
      <c r="E193" s="982" t="str">
        <f>'QUIOSQUE - MOD 01'!E141</f>
        <v>M</v>
      </c>
      <c r="F193" s="984">
        <v>79.56</v>
      </c>
      <c r="G193" s="985" t="s">
        <v>25896</v>
      </c>
      <c r="H193" s="993" t="s">
        <v>25170</v>
      </c>
      <c r="J193" s="984">
        <v>47.2</v>
      </c>
      <c r="K193" s="691">
        <f t="shared" si="5"/>
        <v>188.8</v>
      </c>
    </row>
    <row r="194" spans="1:11" ht="30" x14ac:dyDescent="0.3">
      <c r="A194" s="982" t="str">
        <f>'QUIOSQUE - MOD 01'!A142</f>
        <v>1.12.6</v>
      </c>
      <c r="B194" s="982" t="str">
        <f>'QUIOSQUE - MOD 01'!B142</f>
        <v>CP-048</v>
      </c>
      <c r="C194" s="982" t="str">
        <f>'QUIOSQUE - MOD 01'!C142</f>
        <v>COMP.</v>
      </c>
      <c r="D194" s="1061" t="str">
        <f>'QUIOSQUE - MOD 01'!D142</f>
        <v>QUADRO DE DISTRIBUIÇÃO DE ENERGIA EM PVC, DE EMBUTIR, SEM BARRAMENTO, PARA  6 DISJUNTORES - FORNECIMENTO E INSTALAÇÃO.</v>
      </c>
      <c r="E194" s="982" t="str">
        <f>'QUIOSQUE - MOD 01'!E142</f>
        <v>UND</v>
      </c>
      <c r="F194" s="984">
        <v>4</v>
      </c>
      <c r="G194" s="985" t="s">
        <v>25881</v>
      </c>
      <c r="H194" s="993" t="s">
        <v>25170</v>
      </c>
      <c r="J194" s="984">
        <v>19.89</v>
      </c>
      <c r="K194" s="691">
        <f t="shared" si="5"/>
        <v>79.56</v>
      </c>
    </row>
    <row r="195" spans="1:11" ht="30" x14ac:dyDescent="0.3">
      <c r="A195" s="982" t="str">
        <f>'QUIOSQUE - MOD 01'!A143</f>
        <v>1.12.7</v>
      </c>
      <c r="B195" s="982" t="str">
        <f>'QUIOSQUE - MOD 01'!B143</f>
        <v>CP-049</v>
      </c>
      <c r="C195" s="982" t="str">
        <f>'QUIOSQUE - MOD 01'!C143</f>
        <v>COMP.</v>
      </c>
      <c r="D195" s="1061" t="str">
        <f>'QUIOSQUE - MOD 01'!D143</f>
        <v>TOMADA MÉDIA DE EMBUTIR (1 MÓDULO), 2P+T 20 A, INCLUINDO SUPORTE E PLACA -   FORNECIMENTO E INSTALAÇÃO.</v>
      </c>
      <c r="E195" s="982" t="str">
        <f>'QUIOSQUE - MOD 01'!E143</f>
        <v>UND</v>
      </c>
      <c r="F195" s="984">
        <v>32</v>
      </c>
      <c r="G195" s="985" t="s">
        <v>25897</v>
      </c>
      <c r="H195" s="993" t="s">
        <v>25170</v>
      </c>
      <c r="J195" s="984">
        <v>1</v>
      </c>
      <c r="K195" s="691">
        <f t="shared" si="5"/>
        <v>4</v>
      </c>
    </row>
    <row r="196" spans="1:11" ht="30" x14ac:dyDescent="0.3">
      <c r="A196" s="982" t="str">
        <f>'QUIOSQUE - MOD 01'!A144</f>
        <v>1.12.8</v>
      </c>
      <c r="B196" s="982" t="str">
        <f>'QUIOSQUE - MOD 01'!B144</f>
        <v>CP-050</v>
      </c>
      <c r="C196" s="982" t="str">
        <f>'QUIOSQUE - MOD 01'!C144</f>
        <v>COMP.</v>
      </c>
      <c r="D196" s="1061" t="str">
        <f>'QUIOSQUE - MOD 01'!D144</f>
        <v>TOMADA ALTA DE EMBUTIR (1 MÓDULO), 2P+T 20 A, INCLUINDO SUPORTE E PLACA -FORNECIMENTO E INSTALAÇÃO.</v>
      </c>
      <c r="E196" s="982" t="str">
        <f>'QUIOSQUE - MOD 01'!E144</f>
        <v>UND</v>
      </c>
      <c r="F196" s="984">
        <v>4</v>
      </c>
      <c r="G196" s="985" t="s">
        <v>25881</v>
      </c>
      <c r="H196" s="993" t="s">
        <v>25170</v>
      </c>
      <c r="J196" s="984">
        <v>8</v>
      </c>
      <c r="K196" s="691">
        <f t="shared" si="5"/>
        <v>32</v>
      </c>
    </row>
    <row r="197" spans="1:11" ht="30" x14ac:dyDescent="0.3">
      <c r="A197" s="982" t="str">
        <f>'QUIOSQUE - MOD 01'!A145</f>
        <v>1.12.9</v>
      </c>
      <c r="B197" s="982" t="str">
        <f>'QUIOSQUE - MOD 01'!B145</f>
        <v>CP-051</v>
      </c>
      <c r="C197" s="982" t="str">
        <f>'QUIOSQUE - MOD 01'!C145</f>
        <v>COMP.</v>
      </c>
      <c r="D197" s="1061" t="str">
        <f>'QUIOSQUE - MOD 01'!D145</f>
        <v>TOMADA BAIXA DE EMBUTIR (2 MÓDULOS), 2P+T 20 A, INCLUINDO SUPORTE E PLACA  - FORNECIMENTO E INSTALAÇÃO.</v>
      </c>
      <c r="E197" s="982" t="str">
        <f>'QUIOSQUE - MOD 01'!E145</f>
        <v>UND</v>
      </c>
      <c r="F197" s="984">
        <v>44</v>
      </c>
      <c r="G197" s="985" t="s">
        <v>25898</v>
      </c>
      <c r="H197" s="993" t="s">
        <v>25170</v>
      </c>
      <c r="J197" s="984">
        <v>1</v>
      </c>
      <c r="K197" s="691">
        <f t="shared" si="5"/>
        <v>4</v>
      </c>
    </row>
    <row r="198" spans="1:11" x14ac:dyDescent="0.3">
      <c r="A198" s="982" t="str">
        <f>'QUIOSQUE - MOD 01'!A146</f>
        <v>1.12.10</v>
      </c>
      <c r="B198" s="982" t="str">
        <f>'QUIOSQUE - MOD 01'!B146</f>
        <v>150628</v>
      </c>
      <c r="C198" s="982" t="str">
        <f>'QUIOSQUE - MOD 01'!C146</f>
        <v>DER-ED</v>
      </c>
      <c r="D198" s="1061" t="str">
        <f>'QUIOSQUE - MOD 01'!D146</f>
        <v>Caixa de embutir marca de referência Tigreflex, 4x2"</v>
      </c>
      <c r="E198" s="982" t="str">
        <f>'QUIOSQUE - MOD 01'!E146</f>
        <v>und</v>
      </c>
      <c r="F198" s="984">
        <v>24</v>
      </c>
      <c r="G198" s="985" t="s">
        <v>25899</v>
      </c>
      <c r="H198" s="993" t="s">
        <v>25170</v>
      </c>
      <c r="J198" s="984">
        <v>11</v>
      </c>
      <c r="K198" s="691">
        <f t="shared" si="5"/>
        <v>44</v>
      </c>
    </row>
    <row r="199" spans="1:11" x14ac:dyDescent="0.3">
      <c r="A199" s="982" t="str">
        <f>'QUIOSQUE - MOD 01'!A147</f>
        <v>1.12.11</v>
      </c>
      <c r="B199" s="982" t="str">
        <f>'QUIOSQUE - MOD 01'!B147</f>
        <v>180204</v>
      </c>
      <c r="C199" s="982" t="str">
        <f>'QUIOSQUE - MOD 01'!C147</f>
        <v>DER-ED</v>
      </c>
      <c r="D199" s="1061" t="str">
        <f>'QUIOSQUE - MOD 01'!D147</f>
        <v>Interruptor de uma tecla simples 10A/250V, com placa 4x2"</v>
      </c>
      <c r="E199" s="982" t="str">
        <f>'QUIOSQUE - MOD 01'!E147</f>
        <v>und</v>
      </c>
      <c r="F199" s="984">
        <v>24</v>
      </c>
      <c r="G199" s="985" t="s">
        <v>25899</v>
      </c>
      <c r="H199" s="993" t="s">
        <v>25170</v>
      </c>
      <c r="J199" s="984">
        <v>6</v>
      </c>
      <c r="K199" s="691">
        <f t="shared" si="5"/>
        <v>24</v>
      </c>
    </row>
    <row r="200" spans="1:11" x14ac:dyDescent="0.3">
      <c r="A200" s="982" t="str">
        <f>'QUIOSQUE - MOD 01'!A148</f>
        <v>1.12.12</v>
      </c>
      <c r="B200" s="982" t="str">
        <f>'QUIOSQUE - MOD 01'!B148</f>
        <v>CP-052</v>
      </c>
      <c r="C200" s="982" t="str">
        <f>'QUIOSQUE - MOD 01'!C148</f>
        <v>COMP.</v>
      </c>
      <c r="D200" s="1061" t="str">
        <f>'QUIOSQUE - MOD 01'!D148</f>
        <v>Arandela quadrada led 12w.</v>
      </c>
      <c r="E200" s="982" t="str">
        <f>'QUIOSQUE - MOD 01'!E148</f>
        <v>und</v>
      </c>
      <c r="F200" s="984">
        <v>36</v>
      </c>
      <c r="G200" s="985" t="s">
        <v>25900</v>
      </c>
      <c r="H200" s="993" t="s">
        <v>25170</v>
      </c>
      <c r="J200" s="984">
        <v>6</v>
      </c>
      <c r="K200" s="691">
        <f t="shared" si="5"/>
        <v>24</v>
      </c>
    </row>
    <row r="201" spans="1:11" x14ac:dyDescent="0.3">
      <c r="A201" s="982" t="str">
        <f>'QUIOSQUE - MOD 01'!A149</f>
        <v>1.12.13</v>
      </c>
      <c r="B201" s="982" t="str">
        <f>'QUIOSQUE - MOD 01'!B149</f>
        <v>CP-053</v>
      </c>
      <c r="C201" s="982" t="str">
        <f>'QUIOSQUE - MOD 01'!C149</f>
        <v>COMP.</v>
      </c>
      <c r="D201" s="1061" t="str">
        <f>'QUIOSQUE - MOD 01'!D149</f>
        <v>Painel plafon de sobrepor 25w led quadrado 30x30 cm.</v>
      </c>
      <c r="E201" s="982" t="str">
        <f>'QUIOSQUE - MOD 01'!E149</f>
        <v>und</v>
      </c>
      <c r="F201" s="984">
        <v>8</v>
      </c>
      <c r="G201" s="985" t="s">
        <v>25879</v>
      </c>
      <c r="H201" s="993" t="s">
        <v>25170</v>
      </c>
      <c r="J201" s="984">
        <v>9</v>
      </c>
      <c r="K201" s="691">
        <f t="shared" si="5"/>
        <v>36</v>
      </c>
    </row>
    <row r="202" spans="1:11" x14ac:dyDescent="0.3">
      <c r="A202" s="982" t="str">
        <f>'QUIOSQUE - MOD 01'!A150</f>
        <v>1.12.14</v>
      </c>
      <c r="B202" s="982" t="str">
        <f>'QUIOSQUE - MOD 01'!B150</f>
        <v>CP-054</v>
      </c>
      <c r="C202" s="982" t="str">
        <f>'QUIOSQUE - MOD 01'!C150</f>
        <v>COMP.</v>
      </c>
      <c r="D202" s="1061" t="str">
        <f>'QUIOSQUE - MOD 01'!D150</f>
        <v>Painel plafon de sobrepor 36w led quadrado 40x40 cm.</v>
      </c>
      <c r="E202" s="982" t="str">
        <f>'QUIOSQUE - MOD 01'!E150</f>
        <v>und</v>
      </c>
      <c r="F202" s="984">
        <v>16</v>
      </c>
      <c r="G202" s="985" t="s">
        <v>25901</v>
      </c>
      <c r="H202" s="993" t="s">
        <v>25170</v>
      </c>
      <c r="J202" s="984">
        <v>2</v>
      </c>
      <c r="K202" s="691">
        <f t="shared" si="5"/>
        <v>8</v>
      </c>
    </row>
    <row r="203" spans="1:11" x14ac:dyDescent="0.3">
      <c r="A203" s="982" t="str">
        <f>'QUIOSQUE - MOD 01'!A151</f>
        <v>1.12.15</v>
      </c>
      <c r="B203" s="982" t="str">
        <f>'QUIOSQUE - MOD 01'!B151</f>
        <v>CP-055</v>
      </c>
      <c r="C203" s="982" t="str">
        <f>'QUIOSQUE - MOD 01'!C151</f>
        <v>COMP.</v>
      </c>
      <c r="D203" s="1061" t="str">
        <f>'QUIOSQUE - MOD 01'!D151</f>
        <v>Disjuntor a Seco 1 Polo, 16A, Curva B</v>
      </c>
      <c r="E203" s="982" t="str">
        <f>'QUIOSQUE - MOD 01'!E151</f>
        <v>und</v>
      </c>
      <c r="F203" s="984">
        <v>4</v>
      </c>
      <c r="G203" s="985" t="s">
        <v>25881</v>
      </c>
      <c r="H203" s="993" t="s">
        <v>25170</v>
      </c>
      <c r="J203" s="984">
        <v>4</v>
      </c>
      <c r="K203" s="691">
        <f t="shared" si="5"/>
        <v>16</v>
      </c>
    </row>
    <row r="204" spans="1:11" x14ac:dyDescent="0.3">
      <c r="A204" s="982" t="str">
        <f>'QUIOSQUE - MOD 01'!A152</f>
        <v>1.12.16</v>
      </c>
      <c r="B204" s="982" t="str">
        <f>'QUIOSQUE - MOD 01'!B152</f>
        <v>CP-056</v>
      </c>
      <c r="C204" s="982" t="str">
        <f>'QUIOSQUE - MOD 01'!C152</f>
        <v>COMP.</v>
      </c>
      <c r="D204" s="1061" t="str">
        <f>'QUIOSQUE - MOD 01'!D152</f>
        <v>Disjuntor a Seco 1 Polo, 20A, Curva B</v>
      </c>
      <c r="E204" s="982" t="str">
        <f>'QUIOSQUE - MOD 01'!E152</f>
        <v>und</v>
      </c>
      <c r="F204" s="984">
        <v>12</v>
      </c>
      <c r="G204" s="985" t="s">
        <v>25876</v>
      </c>
      <c r="H204" s="993" t="s">
        <v>25170</v>
      </c>
      <c r="J204" s="984">
        <v>1</v>
      </c>
      <c r="K204" s="691">
        <f t="shared" si="5"/>
        <v>4</v>
      </c>
    </row>
    <row r="205" spans="1:11" x14ac:dyDescent="0.3">
      <c r="A205" s="982" t="str">
        <f>'QUIOSQUE - MOD 01'!A153</f>
        <v>1.12.17</v>
      </c>
      <c r="B205" s="982" t="str">
        <f>'QUIOSQUE - MOD 01'!B153</f>
        <v>CP-057</v>
      </c>
      <c r="C205" s="982" t="str">
        <f>'QUIOSQUE - MOD 01'!C153</f>
        <v>COMP.</v>
      </c>
      <c r="D205" s="1061" t="str">
        <f>'QUIOSQUE - MOD 01'!D153</f>
        <v>Disjuntor a Seco 1 Polo, 70A, Curva C</v>
      </c>
      <c r="E205" s="982" t="str">
        <f>'QUIOSQUE - MOD 01'!E153</f>
        <v>und</v>
      </c>
      <c r="F205" s="984">
        <v>4</v>
      </c>
      <c r="G205" s="985" t="s">
        <v>25881</v>
      </c>
      <c r="H205" s="993" t="s">
        <v>25170</v>
      </c>
      <c r="J205" s="984">
        <v>3</v>
      </c>
      <c r="K205" s="691">
        <f t="shared" si="5"/>
        <v>12</v>
      </c>
    </row>
    <row r="206" spans="1:11" x14ac:dyDescent="0.3">
      <c r="A206" s="982" t="str">
        <f>'QUIOSQUE - MOD 01'!A154</f>
        <v>1.12.18</v>
      </c>
      <c r="B206" s="982" t="str">
        <f>'QUIOSQUE - MOD 01'!B154</f>
        <v>CP-058</v>
      </c>
      <c r="C206" s="982" t="str">
        <f>'QUIOSQUE - MOD 01'!C154</f>
        <v>COMP.</v>
      </c>
      <c r="D206" s="1061" t="str">
        <f>'QUIOSQUE - MOD 01'!D154</f>
        <v>Disjuntor a Seco 1 Polo, 25A, Curva B</v>
      </c>
      <c r="E206" s="982" t="str">
        <f>'QUIOSQUE - MOD 01'!E154</f>
        <v>und</v>
      </c>
      <c r="F206" s="984">
        <v>4</v>
      </c>
      <c r="G206" s="985" t="s">
        <v>25881</v>
      </c>
      <c r="H206" s="993" t="s">
        <v>25170</v>
      </c>
      <c r="J206" s="984">
        <v>1</v>
      </c>
      <c r="K206" s="691">
        <f t="shared" si="5"/>
        <v>4</v>
      </c>
    </row>
    <row r="207" spans="1:11" x14ac:dyDescent="0.3">
      <c r="A207" s="982" t="str">
        <f>'QUIOSQUE - MOD 01'!A155</f>
        <v>1.12.19</v>
      </c>
      <c r="B207" s="982" t="str">
        <f>'QUIOSQUE - MOD 01'!B155</f>
        <v>CP-059</v>
      </c>
      <c r="C207" s="982" t="str">
        <f>'QUIOSQUE - MOD 01'!C155</f>
        <v>COMP.</v>
      </c>
      <c r="D207" s="1061" t="str">
        <f>'QUIOSQUE - MOD 01'!D155</f>
        <v>Disjuntor a Seco 1 Polo, 10A, Curva B</v>
      </c>
      <c r="E207" s="982" t="str">
        <f>'QUIOSQUE - MOD 01'!E155</f>
        <v>und</v>
      </c>
      <c r="F207" s="984">
        <v>4</v>
      </c>
      <c r="G207" s="985" t="s">
        <v>25881</v>
      </c>
      <c r="H207" s="993" t="s">
        <v>25170</v>
      </c>
      <c r="J207" s="984">
        <v>1</v>
      </c>
      <c r="K207" s="691">
        <f t="shared" si="5"/>
        <v>4</v>
      </c>
    </row>
    <row r="208" spans="1:11" ht="13.5" customHeight="1" x14ac:dyDescent="0.3">
      <c r="A208" s="982" t="str">
        <f>'QUIOSQUE - MOD 01'!A156</f>
        <v>1.12.20</v>
      </c>
      <c r="B208" s="982" t="str">
        <f>'QUIOSQUE - MOD 01'!B156</f>
        <v>151336</v>
      </c>
      <c r="C208" s="982" t="str">
        <f>'QUIOSQUE - MOD 01'!C156</f>
        <v>DER-ED</v>
      </c>
      <c r="D208" s="1061" t="str">
        <f>'QUIOSQUE - MOD 01'!D156</f>
        <v>Disjuntor DR bipolar 16A a 25A, corrente nominal 30 mA</v>
      </c>
      <c r="E208" s="982" t="str">
        <f>'QUIOSQUE - MOD 01'!E156</f>
        <v>und</v>
      </c>
      <c r="F208" s="984">
        <v>20</v>
      </c>
      <c r="G208" s="985" t="s">
        <v>25902</v>
      </c>
      <c r="H208" s="993" t="s">
        <v>25170</v>
      </c>
      <c r="J208" s="984">
        <v>1</v>
      </c>
      <c r="K208" s="691">
        <f t="shared" si="5"/>
        <v>4</v>
      </c>
    </row>
    <row r="209" spans="1:47" ht="30" x14ac:dyDescent="0.3">
      <c r="A209" s="982" t="str">
        <f>'QUIOSQUE - MOD 01'!A157</f>
        <v>1.12.21</v>
      </c>
      <c r="B209" s="982" t="str">
        <f>'QUIOSQUE - MOD 01'!B157</f>
        <v>151337</v>
      </c>
      <c r="C209" s="982" t="str">
        <f>'QUIOSQUE - MOD 01'!C157</f>
        <v>DER-ED</v>
      </c>
      <c r="D209" s="1061" t="str">
        <f>'QUIOSQUE - MOD 01'!D157</f>
        <v>Dispositivo de proteção contra surto (DPS) bipolar, tensão nominal máxima 275VCA, corente de surto máxima 40KA.</v>
      </c>
      <c r="E209" s="982" t="str">
        <f>'QUIOSQUE - MOD 01'!E157</f>
        <v>und</v>
      </c>
      <c r="F209" s="984">
        <v>8</v>
      </c>
      <c r="G209" s="985" t="s">
        <v>25171</v>
      </c>
      <c r="H209" s="993" t="s">
        <v>25170</v>
      </c>
      <c r="J209" s="984">
        <v>5</v>
      </c>
      <c r="K209" s="691">
        <f t="shared" si="5"/>
        <v>20</v>
      </c>
    </row>
    <row r="210" spans="1:47" ht="30" x14ac:dyDescent="0.3">
      <c r="A210" s="982" t="str">
        <f>'QUIOSQUE - MOD 01'!A158</f>
        <v>1.12.22</v>
      </c>
      <c r="B210" s="982" t="str">
        <f>'QUIOSQUE - MOD 01'!B158</f>
        <v>CP-060</v>
      </c>
      <c r="C210" s="982" t="str">
        <f>'QUIOSQUE - MOD 01'!C158</f>
        <v>COMP.</v>
      </c>
      <c r="D210" s="1061" t="str">
        <f>'QUIOSQUE - MOD 01'!D158</f>
        <v>CABO DE COBRE FLEXÍVEL ISOLADO, 2,5 MM², ANTI-CHAMA 450/750 V, PARA CIRCUITOS TERMINAIS - FORNECIMENTO E INSTALAÇÃO.</v>
      </c>
      <c r="E210" s="982" t="str">
        <f>'QUIOSQUE - MOD 01'!E158</f>
        <v>M</v>
      </c>
      <c r="F210" s="984">
        <f>SUM(F211:F213)</f>
        <v>580.4</v>
      </c>
      <c r="G210" s="985"/>
      <c r="H210" s="993"/>
      <c r="J210" s="984">
        <v>2</v>
      </c>
      <c r="K210" s="691">
        <f t="shared" si="5"/>
        <v>8</v>
      </c>
    </row>
    <row r="211" spans="1:47" x14ac:dyDescent="0.3">
      <c r="A211" s="999"/>
      <c r="B211" s="1000"/>
      <c r="C211" s="1001"/>
      <c r="D211" s="1002"/>
      <c r="E211" s="1003"/>
      <c r="F211" s="1004">
        <v>200.12</v>
      </c>
      <c r="G211" s="985" t="s">
        <v>25903</v>
      </c>
      <c r="H211" s="993" t="s">
        <v>25170</v>
      </c>
      <c r="J211" s="1004">
        <v>50.03</v>
      </c>
      <c r="K211" s="691">
        <f t="shared" si="5"/>
        <v>200.12</v>
      </c>
    </row>
    <row r="212" spans="1:47" x14ac:dyDescent="0.3">
      <c r="A212" s="987"/>
      <c r="B212" s="988"/>
      <c r="C212" s="989"/>
      <c r="D212" s="990"/>
      <c r="E212" s="1005"/>
      <c r="F212" s="1004">
        <v>200.12</v>
      </c>
      <c r="G212" s="985" t="s">
        <v>25904</v>
      </c>
      <c r="H212" s="993" t="s">
        <v>25170</v>
      </c>
      <c r="J212" s="1004">
        <v>50.03</v>
      </c>
      <c r="K212" s="691">
        <f t="shared" si="5"/>
        <v>200.12</v>
      </c>
    </row>
    <row r="213" spans="1:47" x14ac:dyDescent="0.3">
      <c r="A213" s="987"/>
      <c r="B213" s="988"/>
      <c r="C213" s="989"/>
      <c r="D213" s="990"/>
      <c r="E213" s="1005"/>
      <c r="F213" s="1004">
        <v>180.16</v>
      </c>
      <c r="G213" s="985" t="s">
        <v>25905</v>
      </c>
      <c r="H213" s="993" t="s">
        <v>25170</v>
      </c>
      <c r="J213" s="1004">
        <v>45.04</v>
      </c>
      <c r="K213" s="691">
        <f t="shared" si="5"/>
        <v>180.16</v>
      </c>
    </row>
    <row r="214" spans="1:47" x14ac:dyDescent="0.3">
      <c r="A214" s="1006"/>
      <c r="B214" s="1007"/>
      <c r="C214" s="1008"/>
      <c r="D214" s="1009"/>
      <c r="E214" s="1010"/>
      <c r="F214" s="1004"/>
      <c r="G214" s="985"/>
      <c r="H214" s="993"/>
      <c r="K214" s="691">
        <f t="shared" si="5"/>
        <v>0</v>
      </c>
    </row>
    <row r="215" spans="1:47" x14ac:dyDescent="0.3">
      <c r="A215" s="1017" t="str">
        <f>'QUIOSQUE - MOD 01'!A159</f>
        <v>1.12.23</v>
      </c>
      <c r="B215" s="1017" t="str">
        <f>'QUIOSQUE - MOD 01'!B159</f>
        <v>CP-061</v>
      </c>
      <c r="C215" s="1017" t="str">
        <f>'QUIOSQUE - MOD 01'!C159</f>
        <v>COMP.</v>
      </c>
      <c r="D215" s="1017" t="str">
        <f>'QUIOSQUE - MOD 01'!D159</f>
        <v>CABO DE COBRE FLEXÍVEL ISOLADO, 1,5 MM², ANTI-CHAMA 450/750 V, PARA CIRCUITOS TERMINAIS - FORNECIMENTO E INSTALAÇÃO.</v>
      </c>
      <c r="E215" s="1017" t="str">
        <f>'QUIOSQUE - MOD 01'!E159</f>
        <v>M</v>
      </c>
      <c r="F215" s="984">
        <f>SUM(F216:F218)</f>
        <v>672.44</v>
      </c>
      <c r="G215" s="985"/>
      <c r="H215" s="993"/>
      <c r="K215" s="691">
        <f t="shared" si="5"/>
        <v>0</v>
      </c>
    </row>
    <row r="216" spans="1:47" x14ac:dyDescent="0.3">
      <c r="A216" s="999"/>
      <c r="B216" s="1000"/>
      <c r="C216" s="1001"/>
      <c r="D216" s="1002"/>
      <c r="E216" s="1003"/>
      <c r="F216" s="1004">
        <v>130.4</v>
      </c>
      <c r="G216" s="985" t="s">
        <v>25906</v>
      </c>
      <c r="H216" s="993" t="s">
        <v>25170</v>
      </c>
      <c r="J216" s="1004">
        <v>32.6</v>
      </c>
      <c r="K216" s="691">
        <f t="shared" si="5"/>
        <v>130.4</v>
      </c>
    </row>
    <row r="217" spans="1:47" x14ac:dyDescent="0.3">
      <c r="A217" s="987"/>
      <c r="B217" s="988"/>
      <c r="C217" s="989"/>
      <c r="D217" s="990"/>
      <c r="E217" s="1005"/>
      <c r="F217" s="1004">
        <v>238.88</v>
      </c>
      <c r="G217" s="985" t="s">
        <v>25907</v>
      </c>
      <c r="H217" s="993" t="s">
        <v>25170</v>
      </c>
      <c r="J217" s="1004">
        <v>59.72</v>
      </c>
      <c r="K217" s="691">
        <f t="shared" si="5"/>
        <v>238.88</v>
      </c>
    </row>
    <row r="218" spans="1:47" x14ac:dyDescent="0.3">
      <c r="A218" s="987"/>
      <c r="B218" s="988"/>
      <c r="C218" s="989"/>
      <c r="D218" s="990"/>
      <c r="E218" s="1005"/>
      <c r="F218" s="1004">
        <v>303.16000000000003</v>
      </c>
      <c r="G218" s="985" t="s">
        <v>25908</v>
      </c>
      <c r="H218" s="993" t="s">
        <v>25170</v>
      </c>
      <c r="J218" s="1004">
        <v>75.790000000000006</v>
      </c>
      <c r="K218" s="691">
        <f t="shared" si="5"/>
        <v>303.16000000000003</v>
      </c>
    </row>
    <row r="219" spans="1:47" x14ac:dyDescent="0.3">
      <c r="A219" s="1006"/>
      <c r="B219" s="1007"/>
      <c r="C219" s="1008"/>
      <c r="D219" s="1009"/>
      <c r="E219" s="1010"/>
      <c r="F219" s="1011"/>
      <c r="G219" s="985"/>
      <c r="H219" s="993"/>
      <c r="K219" s="691">
        <f t="shared" si="5"/>
        <v>0</v>
      </c>
    </row>
    <row r="220" spans="1:47" s="981" customFormat="1" x14ac:dyDescent="0.3">
      <c r="A220" s="994" t="str">
        <f>'QUIOSQUE - MOD 01'!A161</f>
        <v>1.13</v>
      </c>
      <c r="B220" s="995"/>
      <c r="C220" s="996"/>
      <c r="D220" s="997" t="str">
        <f>'QUIOSQUE - MOD 01'!D161</f>
        <v>PINTURA</v>
      </c>
      <c r="E220" s="998"/>
      <c r="F220" s="978"/>
      <c r="G220" s="979"/>
      <c r="H220" s="980"/>
      <c r="I220" s="958"/>
      <c r="J220" s="958"/>
      <c r="K220" s="691">
        <f t="shared" si="5"/>
        <v>0</v>
      </c>
      <c r="L220" s="958"/>
      <c r="M220" s="958"/>
      <c r="N220" s="958"/>
      <c r="O220" s="958"/>
      <c r="P220" s="958"/>
      <c r="Q220" s="958"/>
      <c r="R220" s="958"/>
      <c r="S220" s="958"/>
      <c r="T220" s="958"/>
      <c r="U220" s="958"/>
      <c r="V220" s="958"/>
      <c r="W220" s="958"/>
      <c r="X220" s="958"/>
      <c r="Y220" s="958"/>
      <c r="Z220" s="958"/>
      <c r="AA220" s="958"/>
      <c r="AB220" s="958"/>
      <c r="AC220" s="958"/>
      <c r="AD220" s="958"/>
      <c r="AE220" s="958"/>
      <c r="AF220" s="958"/>
      <c r="AG220" s="958"/>
      <c r="AH220" s="958"/>
      <c r="AI220" s="958"/>
      <c r="AJ220" s="958"/>
      <c r="AK220" s="958"/>
      <c r="AL220" s="958"/>
      <c r="AM220" s="958"/>
      <c r="AN220" s="958"/>
      <c r="AO220" s="958"/>
      <c r="AP220" s="958"/>
      <c r="AQ220" s="958"/>
      <c r="AR220" s="958"/>
      <c r="AS220" s="958"/>
      <c r="AT220" s="958"/>
      <c r="AU220" s="958"/>
    </row>
    <row r="221" spans="1:47" s="958" customFormat="1" x14ac:dyDescent="0.3">
      <c r="A221" s="1022"/>
      <c r="B221" s="1045"/>
      <c r="C221" s="1046"/>
      <c r="D221" s="1047" t="str">
        <f>'QUIOSQUE - MOD 01'!D162</f>
        <v>SOBRE PAREDES E TETOS</v>
      </c>
      <c r="E221" s="1048"/>
      <c r="F221" s="1049"/>
      <c r="G221" s="1050"/>
      <c r="H221" s="1051"/>
      <c r="K221" s="691">
        <f t="shared" si="5"/>
        <v>0</v>
      </c>
    </row>
    <row r="222" spans="1:47" x14ac:dyDescent="0.3">
      <c r="A222" s="1013" t="str">
        <f>'QUIOSQUE - MOD 01'!A163</f>
        <v>1.13.1</v>
      </c>
      <c r="B222" s="1013" t="str">
        <f>'QUIOSQUE - MOD 01'!B163</f>
        <v>CP-062</v>
      </c>
      <c r="C222" s="1013" t="str">
        <f>'QUIOSQUE - MOD 01'!C163</f>
        <v>COMP.</v>
      </c>
      <c r="D222" s="1013" t="str">
        <f>'QUIOSQUE - MOD 01'!D163</f>
        <v>Pintura acabamento cimento queimado, sobre bloco de concreto, a duas demãos.</v>
      </c>
      <c r="E222" s="1013" t="str">
        <f>'QUIOSQUE - MOD 01'!E163</f>
        <v>m2</v>
      </c>
      <c r="F222" s="984">
        <f>SUM(F223:F224)</f>
        <v>844.96</v>
      </c>
      <c r="G222" s="985"/>
      <c r="H222" s="993"/>
      <c r="K222" s="691">
        <f t="shared" si="5"/>
        <v>0</v>
      </c>
    </row>
    <row r="223" spans="1:47" x14ac:dyDescent="0.3">
      <c r="A223" s="999"/>
      <c r="B223" s="1000"/>
      <c r="C223" s="1001"/>
      <c r="D223" s="1002"/>
      <c r="E223" s="1003"/>
      <c r="F223" s="1004">
        <v>621.20000000000005</v>
      </c>
      <c r="G223" s="985" t="s">
        <v>25910</v>
      </c>
      <c r="H223" s="993"/>
      <c r="J223" s="1004">
        <f>77.65*2</f>
        <v>155.30000000000001</v>
      </c>
      <c r="K223" s="691">
        <f t="shared" si="5"/>
        <v>621.20000000000005</v>
      </c>
    </row>
    <row r="224" spans="1:47" s="981" customFormat="1" x14ac:dyDescent="0.3">
      <c r="A224" s="1006"/>
      <c r="B224" s="1007"/>
      <c r="C224" s="1008"/>
      <c r="D224" s="1009"/>
      <c r="E224" s="1010"/>
      <c r="F224" s="1037">
        <v>223.76</v>
      </c>
      <c r="G224" s="1032" t="s">
        <v>25911</v>
      </c>
      <c r="H224" s="1027"/>
      <c r="I224" s="958"/>
      <c r="J224" s="1037">
        <v>55.94</v>
      </c>
      <c r="K224" s="691">
        <f t="shared" si="5"/>
        <v>223.76</v>
      </c>
      <c r="L224" s="958"/>
      <c r="M224" s="958"/>
      <c r="N224" s="958"/>
      <c r="O224" s="958"/>
      <c r="P224" s="958"/>
      <c r="Q224" s="958"/>
      <c r="R224" s="958"/>
      <c r="S224" s="958"/>
      <c r="T224" s="958"/>
      <c r="U224" s="958"/>
      <c r="V224" s="958"/>
      <c r="W224" s="958"/>
      <c r="X224" s="958"/>
      <c r="Y224" s="958"/>
      <c r="Z224" s="958"/>
      <c r="AA224" s="958"/>
      <c r="AB224" s="958"/>
      <c r="AC224" s="958"/>
      <c r="AD224" s="958"/>
      <c r="AE224" s="958"/>
      <c r="AF224" s="958"/>
      <c r="AG224" s="958"/>
      <c r="AH224" s="958"/>
      <c r="AI224" s="958"/>
      <c r="AJ224" s="958"/>
      <c r="AK224" s="958"/>
      <c r="AL224" s="958"/>
      <c r="AM224" s="958"/>
      <c r="AN224" s="958"/>
      <c r="AO224" s="958"/>
      <c r="AP224" s="958"/>
      <c r="AQ224" s="958"/>
      <c r="AR224" s="958"/>
      <c r="AS224" s="958"/>
      <c r="AT224" s="958"/>
      <c r="AU224" s="958"/>
    </row>
    <row r="225" spans="1:16" s="981" customFormat="1" x14ac:dyDescent="0.3">
      <c r="A225" s="994" t="str">
        <f>'QUIOSQUE - MOD 01'!A165</f>
        <v>1.14</v>
      </c>
      <c r="B225" s="1052"/>
      <c r="C225" s="995" t="str">
        <f>[2]Planilha!B166</f>
        <v xml:space="preserve"> </v>
      </c>
      <c r="D225" s="1053" t="str">
        <f>'QUIOSQUE - MOD 01'!D165</f>
        <v>SERVIÇOS COMPLEMENTARES E PAISAGISMO</v>
      </c>
      <c r="E225" s="997"/>
      <c r="F225" s="1054"/>
      <c r="G225" s="1055"/>
      <c r="H225" s="1056"/>
      <c r="J225" s="1054"/>
      <c r="K225" s="691">
        <f t="shared" si="5"/>
        <v>0</v>
      </c>
    </row>
    <row r="226" spans="1:16" x14ac:dyDescent="0.3">
      <c r="A226" s="982" t="str">
        <f>'QUIOSQUE - MOD 01'!A166</f>
        <v>1.14.1</v>
      </c>
      <c r="B226" s="982" t="str">
        <f>'QUIOSQUE - MOD 01'!B166</f>
        <v>CP-063</v>
      </c>
      <c r="C226" s="982" t="str">
        <f>'QUIOSQUE - MOD 01'!C166</f>
        <v>COMP.</v>
      </c>
      <c r="D226" s="1061" t="str">
        <f>'QUIOSQUE - MOD 01'!D166</f>
        <v>Toldo articulado com braço retrátil cores</v>
      </c>
      <c r="E226" s="982" t="str">
        <f>'QUIOSQUE - MOD 01'!E166</f>
        <v>m2</v>
      </c>
      <c r="F226" s="1057">
        <v>177.6</v>
      </c>
      <c r="G226" s="1058" t="s">
        <v>25912</v>
      </c>
      <c r="H226" s="1059"/>
      <c r="J226" s="1057">
        <f>3*14.8</f>
        <v>44.4</v>
      </c>
      <c r="K226" s="691">
        <f t="shared" si="5"/>
        <v>177.6</v>
      </c>
    </row>
    <row r="227" spans="1:16" x14ac:dyDescent="0.3">
      <c r="A227" s="982" t="str">
        <f>'QUIOSQUE - MOD 01'!A167</f>
        <v>1.14.2</v>
      </c>
      <c r="B227" s="982" t="str">
        <f>'QUIOSQUE - MOD 01'!B167</f>
        <v>CP-064</v>
      </c>
      <c r="C227" s="982" t="str">
        <f>'QUIOSQUE - MOD 01'!C167</f>
        <v>COMP.</v>
      </c>
      <c r="D227" s="1061" t="str">
        <f>'QUIOSQUE - MOD 01'!D167</f>
        <v>Plantio de muda de piteira agave, inclusive terra vegetal e vaso para plantio.</v>
      </c>
      <c r="E227" s="982" t="str">
        <f>'QUIOSQUE - MOD 01'!E167</f>
        <v>und</v>
      </c>
      <c r="F227" s="1057">
        <v>16</v>
      </c>
      <c r="G227" s="462" t="s">
        <v>25901</v>
      </c>
      <c r="H227" s="1059"/>
      <c r="J227" s="1057">
        <v>4</v>
      </c>
      <c r="K227" s="691">
        <f t="shared" si="5"/>
        <v>16</v>
      </c>
    </row>
    <row r="228" spans="1:16" x14ac:dyDescent="0.3">
      <c r="A228" s="982" t="str">
        <f>'QUIOSQUE - MOD 01'!A168</f>
        <v>1.14.3</v>
      </c>
      <c r="B228" s="982" t="str">
        <f>'QUIOSQUE - MOD 01'!B168</f>
        <v>CP-065</v>
      </c>
      <c r="C228" s="982" t="str">
        <f>'QUIOSQUE - MOD 01'!C168</f>
        <v>COMP.</v>
      </c>
      <c r="D228" s="1061" t="str">
        <f>'QUIOSQUE - MOD 01'!D168</f>
        <v>Plantio de muda bromélia inclusive terra vegetal, vaso e suporte para vaso.</v>
      </c>
      <c r="E228" s="982" t="str">
        <f>'QUIOSQUE - MOD 01'!E168</f>
        <v>und</v>
      </c>
      <c r="F228" s="1057">
        <v>28</v>
      </c>
      <c r="G228" s="462" t="s">
        <v>25893</v>
      </c>
      <c r="H228" s="1060" t="s">
        <v>25170</v>
      </c>
      <c r="J228" s="1057">
        <v>7</v>
      </c>
      <c r="K228" s="691">
        <f t="shared" si="5"/>
        <v>28</v>
      </c>
    </row>
    <row r="229" spans="1:16" x14ac:dyDescent="0.3">
      <c r="A229" s="982" t="str">
        <f>'QUIOSQUE - MOD 01'!A169</f>
        <v>1.14.4</v>
      </c>
      <c r="B229" s="982" t="str">
        <f>'QUIOSQUE - MOD 01'!B169</f>
        <v>CP-066</v>
      </c>
      <c r="C229" s="982" t="str">
        <f>'QUIOSQUE - MOD 01'!C169</f>
        <v>COMP.</v>
      </c>
      <c r="D229" s="1061" t="str">
        <f>'QUIOSQUE - MOD 01'!D169</f>
        <v>Coifa de parede pirâmide com 90 cm, inclusive fornecimento e instalação</v>
      </c>
      <c r="E229" s="982" t="str">
        <f>'QUIOSQUE - MOD 01'!E169</f>
        <v>und</v>
      </c>
      <c r="F229" s="1057">
        <v>8</v>
      </c>
      <c r="G229" s="462" t="s">
        <v>25879</v>
      </c>
      <c r="H229" s="1060" t="s">
        <v>25170</v>
      </c>
      <c r="J229" s="1057">
        <v>2</v>
      </c>
      <c r="K229" s="691">
        <f t="shared" si="5"/>
        <v>8</v>
      </c>
    </row>
    <row r="230" spans="1:16" ht="45.75" customHeight="1" x14ac:dyDescent="0.3">
      <c r="A230" s="982" t="str">
        <f>'QUIOSQUE - MOD 01'!A170</f>
        <v>1.14.5</v>
      </c>
      <c r="B230" s="982" t="str">
        <f>'QUIOSQUE - MOD 01'!B170</f>
        <v>CP-067</v>
      </c>
      <c r="C230" s="982" t="str">
        <f>'QUIOSQUE - MOD 01'!C170</f>
        <v>COMP.</v>
      </c>
      <c r="D230" s="1061" t="str">
        <f>'QUIOSQUE - MOD 01'!D170</f>
        <v>Chapa Expandida 1/8mm, inclusive soldagem, pintura epóxi e plantio de muda arbusto/trepadeira ou equivalente</v>
      </c>
      <c r="E230" s="982" t="str">
        <f>'QUIOSQUE - MOD 01'!E170</f>
        <v>m2</v>
      </c>
      <c r="F230" s="1057">
        <v>38.44</v>
      </c>
      <c r="G230" s="1058" t="s">
        <v>25880</v>
      </c>
      <c r="H230" s="1059"/>
      <c r="J230" s="1057">
        <v>9.61</v>
      </c>
      <c r="K230" s="691">
        <f t="shared" si="5"/>
        <v>38.44</v>
      </c>
      <c r="P230" s="985" t="s">
        <v>25172</v>
      </c>
    </row>
    <row r="231" spans="1:16" ht="31.9" customHeight="1" x14ac:dyDescent="0.3">
      <c r="A231" s="982" t="str">
        <f>'QUIOSQUE - MOD 01'!A171</f>
        <v>1.14.6</v>
      </c>
      <c r="B231" s="982" t="str">
        <f>'QUIOSQUE - MOD 01'!B171</f>
        <v>CP-068</v>
      </c>
      <c r="C231" s="982" t="str">
        <f>'QUIOSQUE - MOD 01'!C171</f>
        <v>COMP.</v>
      </c>
      <c r="D231" s="1061" t="str">
        <f>'QUIOSQUE - MOD 01'!D171</f>
        <v>Chuveiro para praia, de aço inoxidável 25x25cm</v>
      </c>
      <c r="E231" s="982" t="str">
        <f>'QUIOSQUE - MOD 01'!E171</f>
        <v>und</v>
      </c>
      <c r="F231" s="1057">
        <v>4</v>
      </c>
      <c r="G231" s="1058" t="s">
        <v>25913</v>
      </c>
      <c r="H231" s="1059"/>
      <c r="J231" s="1057">
        <v>1</v>
      </c>
      <c r="K231" s="691">
        <f t="shared" si="5"/>
        <v>4</v>
      </c>
      <c r="P231" s="1062"/>
    </row>
    <row r="232" spans="1:16" s="981" customFormat="1" x14ac:dyDescent="0.3">
      <c r="A232" s="974" t="str">
        <f>'QUIOSQUE - MOD 01'!A173</f>
        <v>1.15</v>
      </c>
      <c r="B232" s="1063"/>
      <c r="C232" s="975" t="str">
        <f>[2]Planilha!B175</f>
        <v xml:space="preserve"> </v>
      </c>
      <c r="D232" s="1064" t="str">
        <f>'QUIOSQUE - MOD 01'!D173</f>
        <v>CONSERVAÇÃO E LIMPEZA</v>
      </c>
      <c r="E232" s="1015"/>
      <c r="F232" s="1065"/>
      <c r="G232" s="1066"/>
      <c r="H232" s="1067"/>
      <c r="J232" s="1065"/>
      <c r="K232" s="691">
        <f t="shared" si="5"/>
        <v>0</v>
      </c>
    </row>
    <row r="233" spans="1:16" x14ac:dyDescent="0.3">
      <c r="A233" s="982" t="str">
        <f>'QUIOSQUE - MOD 01'!A174</f>
        <v>1.15.1</v>
      </c>
      <c r="B233" s="982" t="str">
        <f>'QUIOSQUE - MOD 01'!B174</f>
        <v>200401</v>
      </c>
      <c r="C233" s="982" t="str">
        <f>'QUIOSQUE - MOD 01'!C174</f>
        <v>DER-ED</v>
      </c>
      <c r="D233" s="982" t="str">
        <f>'QUIOSQUE - MOD 01'!D174</f>
        <v>Limpeza geral da obra (edificação)</v>
      </c>
      <c r="E233" s="982" t="str">
        <f>'QUIOSQUE - MOD 01'!E174</f>
        <v>m2</v>
      </c>
      <c r="F233" s="1057">
        <v>223.76</v>
      </c>
      <c r="G233" s="1058" t="s">
        <v>25914</v>
      </c>
      <c r="H233" s="1059"/>
      <c r="J233" s="1057">
        <v>55.94</v>
      </c>
      <c r="K233" s="691">
        <f t="shared" si="5"/>
        <v>223.76</v>
      </c>
    </row>
    <row r="234" spans="1:16" x14ac:dyDescent="0.3">
      <c r="A234" s="1068"/>
      <c r="C234" s="1070"/>
      <c r="E234" s="1071"/>
      <c r="H234" s="1074"/>
    </row>
    <row r="235" spans="1:16" x14ac:dyDescent="0.3">
      <c r="A235" s="1068"/>
      <c r="C235" s="1070"/>
      <c r="E235" s="1071"/>
      <c r="H235" s="1074"/>
    </row>
    <row r="236" spans="1:16" x14ac:dyDescent="0.3">
      <c r="A236" s="1068"/>
      <c r="C236" s="1070"/>
      <c r="E236" s="1071"/>
      <c r="H236" s="1074"/>
    </row>
    <row r="237" spans="1:16" x14ac:dyDescent="0.3">
      <c r="A237" s="1068"/>
      <c r="C237" s="1070"/>
      <c r="D237" s="1075" t="s">
        <v>25173</v>
      </c>
      <c r="E237" s="1071"/>
      <c r="G237" s="1076"/>
      <c r="H237" s="1074"/>
    </row>
    <row r="238" spans="1:16" x14ac:dyDescent="0.3">
      <c r="A238" s="1068"/>
      <c r="C238" s="1070"/>
      <c r="D238" s="1069" t="s">
        <v>24941</v>
      </c>
      <c r="E238" s="1071"/>
      <c r="H238" s="1074"/>
    </row>
    <row r="239" spans="1:16" ht="15.75" thickBot="1" x14ac:dyDescent="0.35">
      <c r="A239" s="1077"/>
      <c r="B239" s="1078"/>
      <c r="C239" s="1079"/>
      <c r="D239" s="1078" t="s">
        <v>24940</v>
      </c>
      <c r="E239" s="1080"/>
      <c r="F239" s="1081"/>
      <c r="G239" s="1078"/>
      <c r="H239" s="1082"/>
    </row>
  </sheetData>
  <sheetProtection insertRows="0" deleteRows="0" selectLockedCells="1" autoFilter="0"/>
  <autoFilter ref="C6:H6" xr:uid="{1D3518F7-A1CE-44CD-9983-CF6BCA68A01F}"/>
  <mergeCells count="18">
    <mergeCell ref="A1:H1"/>
    <mergeCell ref="A2:B2"/>
    <mergeCell ref="C2:D2"/>
    <mergeCell ref="E2:F2"/>
    <mergeCell ref="A3:B3"/>
    <mergeCell ref="C3:D3"/>
    <mergeCell ref="E3:F3"/>
    <mergeCell ref="G5:G6"/>
    <mergeCell ref="H5:H6"/>
    <mergeCell ref="H11:H17"/>
    <mergeCell ref="H71:H82"/>
    <mergeCell ref="A4:B4"/>
    <mergeCell ref="E4:F4"/>
    <mergeCell ref="A5:A6"/>
    <mergeCell ref="B5:C5"/>
    <mergeCell ref="D5:D6"/>
    <mergeCell ref="E5:E6"/>
    <mergeCell ref="F5:F6"/>
  </mergeCells>
  <conditionalFormatting sqref="F9:H9 D67:H70 D72:G82 F225:H225 F83:G85 F95:H95 F97:H97 D221:H221 D12:G17 D18:H18 D224:E225 D232:E232 F92:H93 F53:H53 F11:H11 D211:H214 F99:H99 F102:H102 H100:H101 D32:H34 D54:H57 D20:H26 F19:H19 D28:H29 F27:H27 F31:H31 D36:H41 F35:H35 D43:H48 F42:H42 F49:H51 D62:H64 F58:H61 F66:H66 F71:H71 F189:H210 D216:H219 F215:H215 D223:H223 F222:H222 P230:P231 H103:H104 F87:G90">
    <cfRule type="expression" dxfId="67" priority="30" stopIfTrue="1">
      <formula>$D9="&gt;&gt;&gt;&gt;&gt;&gt;&gt;&gt;&gt;&gt; Digite aqui a descrição e apresente a composição detalhada."</formula>
    </cfRule>
  </conditionalFormatting>
  <conditionalFormatting sqref="F9:H9 D67:H70 D72:G82 F225:H225 F83:G85 F95:H95 F97:H97 D221:H221 D12:G17 D18:H18 D224:E225 D232:E232 F92:H93 F53:H53 F11:H11 D211:H214 F99:H99 F102:H102 H100:H101 D32:H34 D54:H57 D20:H26 F19:H19 D28:H29 F27:H27 F31:H31 D36:H41 F35:H35 D43:H48 F42:H42 F49:H51 D62:H64 F58:H61 F66:H66 F71:H71 F189:H210 D216:H219 F215:H215 D223:H223 F222:H222 P230:P231 H103:H104 F87:G90">
    <cfRule type="expression" dxfId="66" priority="29" stopIfTrue="1">
      <formula>$D9="&gt;&gt;&gt;&gt;&gt;&gt;&gt;&gt;&gt;&gt;Digite aqui a descrição e apresente a composição detalhada."</formula>
    </cfRule>
  </conditionalFormatting>
  <conditionalFormatting sqref="F101:G101">
    <cfRule type="expression" dxfId="65" priority="31" stopIfTrue="1">
      <formula>$D100="&gt;&gt;&gt;&gt;&gt;&gt;&gt;&gt;&gt;&gt; Digite aqui a descrição e apresente a composição detalhada."</formula>
    </cfRule>
  </conditionalFormatting>
  <conditionalFormatting sqref="F101:G101">
    <cfRule type="expression" dxfId="64" priority="32" stopIfTrue="1">
      <formula>$D100="&gt;&gt;&gt;&gt;&gt;&gt;&gt;&gt;&gt;&gt;Digite aqui a descrição e apresente a composição detalhada."</formula>
    </cfRule>
  </conditionalFormatting>
  <conditionalFormatting sqref="G104">
    <cfRule type="expression" dxfId="63" priority="25" stopIfTrue="1">
      <formula>$D103="&gt;&gt;&gt;&gt;&gt;&gt;&gt;&gt;&gt;&gt; Digite aqui a descrição e apresente a composição detalhada."</formula>
    </cfRule>
  </conditionalFormatting>
  <conditionalFormatting sqref="G104">
    <cfRule type="expression" dxfId="62" priority="26" stopIfTrue="1">
      <formula>$D103="&gt;&gt;&gt;&gt;&gt;&gt;&gt;&gt;&gt;&gt;Digite aqui a descrição e apresente a composição detalhada."</formula>
    </cfRule>
  </conditionalFormatting>
  <conditionalFormatting sqref="J43:J47">
    <cfRule type="expression" dxfId="61" priority="22" stopIfTrue="1">
      <formula>$D43="&gt;&gt;&gt;&gt;&gt;&gt;&gt;&gt;&gt;&gt; Digite aqui a descrição e apresente a composição detalhada."</formula>
    </cfRule>
  </conditionalFormatting>
  <conditionalFormatting sqref="J43:J47">
    <cfRule type="expression" dxfId="60" priority="21" stopIfTrue="1">
      <formula>$D43="&gt;&gt;&gt;&gt;&gt;&gt;&gt;&gt;&gt;&gt;Digite aqui a descrição e apresente a composição detalhada."</formula>
    </cfRule>
  </conditionalFormatting>
  <conditionalFormatting sqref="J49:J51">
    <cfRule type="expression" dxfId="59" priority="20" stopIfTrue="1">
      <formula>$D49="&gt;&gt;&gt;&gt;&gt;&gt;&gt;&gt;&gt;&gt; Digite aqui a descrição e apresente a composição detalhada."</formula>
    </cfRule>
  </conditionalFormatting>
  <conditionalFormatting sqref="J49:J51">
    <cfRule type="expression" dxfId="58" priority="19" stopIfTrue="1">
      <formula>$D49="&gt;&gt;&gt;&gt;&gt;&gt;&gt;&gt;&gt;&gt;Digite aqui a descrição e apresente a composição detalhada."</formula>
    </cfRule>
  </conditionalFormatting>
  <conditionalFormatting sqref="J54:J56">
    <cfRule type="expression" dxfId="57" priority="18" stopIfTrue="1">
      <formula>$D54="&gt;&gt;&gt;&gt;&gt;&gt;&gt;&gt;&gt;&gt; Digite aqui a descrição e apresente a composição detalhada."</formula>
    </cfRule>
  </conditionalFormatting>
  <conditionalFormatting sqref="J54:J56">
    <cfRule type="expression" dxfId="56" priority="17" stopIfTrue="1">
      <formula>$D54="&gt;&gt;&gt;&gt;&gt;&gt;&gt;&gt;&gt;&gt;Digite aqui a descrição e apresente a composição detalhada."</formula>
    </cfRule>
  </conditionalFormatting>
  <conditionalFormatting sqref="J62:J64">
    <cfRule type="expression" dxfId="55" priority="16" stopIfTrue="1">
      <formula>$D62="&gt;&gt;&gt;&gt;&gt;&gt;&gt;&gt;&gt;&gt; Digite aqui a descrição e apresente a composição detalhada."</formula>
    </cfRule>
  </conditionalFormatting>
  <conditionalFormatting sqref="J62:J64">
    <cfRule type="expression" dxfId="54" priority="15" stopIfTrue="1">
      <formula>$D62="&gt;&gt;&gt;&gt;&gt;&gt;&gt;&gt;&gt;&gt;Digite aqui a descrição e apresente a composição detalhada."</formula>
    </cfRule>
  </conditionalFormatting>
  <conditionalFormatting sqref="J102">
    <cfRule type="expression" dxfId="53" priority="12" stopIfTrue="1">
      <formula>$D102="&gt;&gt;&gt;&gt;&gt;&gt;&gt;&gt;&gt;&gt; Digite aqui a descrição e apresente a composição detalhada."</formula>
    </cfRule>
  </conditionalFormatting>
  <conditionalFormatting sqref="J102">
    <cfRule type="expression" dxfId="52" priority="11" stopIfTrue="1">
      <formula>$D102="&gt;&gt;&gt;&gt;&gt;&gt;&gt;&gt;&gt;&gt;Digite aqui a descrição e apresente a composição detalhada."</formula>
    </cfRule>
  </conditionalFormatting>
  <conditionalFormatting sqref="J101">
    <cfRule type="expression" dxfId="51" priority="13" stopIfTrue="1">
      <formula>$D100="&gt;&gt;&gt;&gt;&gt;&gt;&gt;&gt;&gt;&gt; Digite aqui a descrição e apresente a composição detalhada."</formula>
    </cfRule>
  </conditionalFormatting>
  <conditionalFormatting sqref="J101">
    <cfRule type="expression" dxfId="50" priority="14" stopIfTrue="1">
      <formula>$D100="&gt;&gt;&gt;&gt;&gt;&gt;&gt;&gt;&gt;&gt;Digite aqui a descrição e apresente a composição detalhada."</formula>
    </cfRule>
  </conditionalFormatting>
  <conditionalFormatting sqref="F104">
    <cfRule type="expression" dxfId="49" priority="10" stopIfTrue="1">
      <formula>$D104="&gt;&gt;&gt;&gt;&gt;&gt;&gt;&gt;&gt;&gt; Digite aqui a descrição e apresente a composição detalhada."</formula>
    </cfRule>
  </conditionalFormatting>
  <conditionalFormatting sqref="F104">
    <cfRule type="expression" dxfId="48" priority="9" stopIfTrue="1">
      <formula>$D104="&gt;&gt;&gt;&gt;&gt;&gt;&gt;&gt;&gt;&gt;Digite aqui a descrição e apresente a composição detalhada."</formula>
    </cfRule>
  </conditionalFormatting>
  <conditionalFormatting sqref="J190:J210">
    <cfRule type="expression" dxfId="47" priority="8" stopIfTrue="1">
      <formula>$D190="&gt;&gt;&gt;&gt;&gt;&gt;&gt;&gt;&gt;&gt; Digite aqui a descrição e apresente a composição detalhada."</formula>
    </cfRule>
  </conditionalFormatting>
  <conditionalFormatting sqref="J190:J210">
    <cfRule type="expression" dxfId="46" priority="7" stopIfTrue="1">
      <formula>$D190="&gt;&gt;&gt;&gt;&gt;&gt;&gt;&gt;&gt;&gt;Digite aqui a descrição e apresente a composição detalhada."</formula>
    </cfRule>
  </conditionalFormatting>
  <conditionalFormatting sqref="J211:J213">
    <cfRule type="expression" dxfId="45" priority="6" stopIfTrue="1">
      <formula>$D211="&gt;&gt;&gt;&gt;&gt;&gt;&gt;&gt;&gt;&gt; Digite aqui a descrição e apresente a composição detalhada."</formula>
    </cfRule>
  </conditionalFormatting>
  <conditionalFormatting sqref="J211:J213">
    <cfRule type="expression" dxfId="44" priority="5" stopIfTrue="1">
      <formula>$D211="&gt;&gt;&gt;&gt;&gt;&gt;&gt;&gt;&gt;&gt;Digite aqui a descrição e apresente a composição detalhada."</formula>
    </cfRule>
  </conditionalFormatting>
  <conditionalFormatting sqref="J216:J218">
    <cfRule type="expression" dxfId="43" priority="4" stopIfTrue="1">
      <formula>$D216="&gt;&gt;&gt;&gt;&gt;&gt;&gt;&gt;&gt;&gt; Digite aqui a descrição e apresente a composição detalhada."</formula>
    </cfRule>
  </conditionalFormatting>
  <conditionalFormatting sqref="J216:J218">
    <cfRule type="expression" dxfId="42" priority="3" stopIfTrue="1">
      <formula>$D216="&gt;&gt;&gt;&gt;&gt;&gt;&gt;&gt;&gt;&gt;Digite aqui a descrição e apresente a composição detalhada."</formula>
    </cfRule>
  </conditionalFormatting>
  <conditionalFormatting sqref="J225 J223">
    <cfRule type="expression" dxfId="41" priority="2" stopIfTrue="1">
      <formula>$D223="&gt;&gt;&gt;&gt;&gt;&gt;&gt;&gt;&gt;&gt; Digite aqui a descrição e apresente a composição detalhada."</formula>
    </cfRule>
  </conditionalFormatting>
  <conditionalFormatting sqref="J225 J223">
    <cfRule type="expression" dxfId="40" priority="1" stopIfTrue="1">
      <formula>$D223="&gt;&gt;&gt;&gt;&gt;&gt;&gt;&gt;&gt;&gt;Digite aqui a descrição e apresente a composição detalhada."</formula>
    </cfRule>
  </conditionalFormatting>
  <dataValidations disablePrompts="1" count="1">
    <dataValidation type="list" errorStyle="warning" allowBlank="1" showInputMessage="1" showErrorMessage="1" errorTitle="Atenção" error="Os preços deverão ser preferencialmente SINAPI." promptTitle="Escolha o Orgão de Referência" sqref="B72:B82 B223:B225 B86 B91 B105 B32:B34 B211:B214 B52 B98 B8 B10 B12:B18 B20:B26 B28:B30 B36:B41 B43:B48 B54:B57 B62:B65 B67:B70 B94 B96 B188 B216:B221 B232" xr:uid="{D10CC255-1C94-4B17-B909-DB33D1503C47}">
      <formula1>"IOPES,SINAPI,DNIT,COMP."</formula1>
    </dataValidation>
  </dataValidations>
  <pageMargins left="0.23622047244094491" right="0.23622047244094491" top="0.74803149606299213" bottom="0.74803149606299213" header="0.31496062992125984" footer="0.31496062992125984"/>
  <pageSetup paperSize="9" scale="48" fitToHeight="0" orientation="landscape" horizontalDpi="300" verticalDpi="300" r:id="rId1"/>
  <headerFooter alignWithMargins="0">
    <oddFooter>&amp;R&amp;P de &amp;N</oddFooter>
  </headerFooter>
  <rowBreaks count="1" manualBreakCount="1">
    <brk id="196" max="7"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AAE21-FF92-45E3-92B2-641172E16980}">
  <sheetPr>
    <tabColor rgb="FF00B050"/>
    <pageSetUpPr fitToPage="1"/>
  </sheetPr>
  <dimension ref="A1:P34"/>
  <sheetViews>
    <sheetView topLeftCell="A16" workbookViewId="0">
      <selection activeCell="A31" sqref="A31:P31"/>
    </sheetView>
  </sheetViews>
  <sheetFormatPr defaultColWidth="9.140625" defaultRowHeight="15" x14ac:dyDescent="0.3"/>
  <cols>
    <col min="1" max="1" width="6.7109375" style="732" customWidth="1"/>
    <col min="2" max="2" width="39.5703125" style="732" bestFit="1" customWidth="1"/>
    <col min="3" max="3" width="18.140625" style="732" customWidth="1"/>
    <col min="4" max="4" width="11.7109375" style="732" customWidth="1"/>
    <col min="5" max="5" width="13.28515625" style="732" bestFit="1" customWidth="1"/>
    <col min="6" max="6" width="9.140625" style="732"/>
    <col min="7" max="7" width="13.28515625" style="732" bestFit="1" customWidth="1"/>
    <col min="8" max="8" width="9.140625" style="732"/>
    <col min="9" max="9" width="19.28515625" style="732" bestFit="1" customWidth="1"/>
    <col min="10" max="10" width="9.28515625" style="732" bestFit="1" customWidth="1"/>
    <col min="11" max="11" width="19.7109375" style="732" bestFit="1" customWidth="1"/>
    <col min="12" max="12" width="9.5703125" style="732" bestFit="1" customWidth="1"/>
    <col min="13" max="13" width="19.7109375" style="732" bestFit="1" customWidth="1"/>
    <col min="14" max="14" width="13" style="732" bestFit="1" customWidth="1"/>
    <col min="15" max="15" width="19.42578125" style="732" bestFit="1" customWidth="1"/>
    <col min="16" max="16" width="9.42578125" style="732" bestFit="1" customWidth="1"/>
    <col min="17" max="16384" width="9.140625" style="732"/>
  </cols>
  <sheetData>
    <row r="1" spans="1:16" ht="15" customHeight="1" x14ac:dyDescent="0.3">
      <c r="A1" s="1440" t="s">
        <v>388</v>
      </c>
      <c r="B1" s="1582"/>
      <c r="C1" s="1582"/>
      <c r="D1" s="1582"/>
      <c r="E1" s="1582"/>
      <c r="F1" s="1582"/>
      <c r="G1" s="1582"/>
      <c r="H1" s="1582"/>
      <c r="I1" s="1582"/>
      <c r="J1" s="1582"/>
      <c r="K1" s="1582"/>
      <c r="L1" s="1582"/>
      <c r="M1" s="1582"/>
      <c r="N1" s="1582"/>
      <c r="O1" s="1582"/>
      <c r="P1" s="1442"/>
    </row>
    <row r="2" spans="1:16" ht="15" customHeight="1" thickBot="1" x14ac:dyDescent="0.35">
      <c r="A2" s="1452"/>
      <c r="B2" s="1583"/>
      <c r="C2" s="1583"/>
      <c r="D2" s="1583"/>
      <c r="E2" s="1583"/>
      <c r="F2" s="1583"/>
      <c r="G2" s="1583"/>
      <c r="H2" s="1583"/>
      <c r="I2" s="1583"/>
      <c r="J2" s="1583"/>
      <c r="K2" s="1583"/>
      <c r="L2" s="1583"/>
      <c r="M2" s="1583"/>
      <c r="N2" s="1583"/>
      <c r="O2" s="1583"/>
      <c r="P2" s="1454"/>
    </row>
    <row r="3" spans="1:16" ht="14.45" customHeight="1" x14ac:dyDescent="0.3">
      <c r="A3" s="1446" t="s">
        <v>25663</v>
      </c>
      <c r="B3" s="1584"/>
      <c r="C3" s="1584"/>
      <c r="D3" s="1584"/>
      <c r="E3" s="1584"/>
      <c r="F3" s="1584"/>
      <c r="G3" s="1584"/>
      <c r="H3" s="1584"/>
      <c r="I3" s="1584"/>
      <c r="J3" s="1584"/>
      <c r="K3" s="1584"/>
      <c r="L3" s="1584"/>
      <c r="M3" s="1584"/>
      <c r="N3" s="1584"/>
      <c r="O3" s="1584"/>
      <c r="P3" s="1448"/>
    </row>
    <row r="4" spans="1:16" ht="21" customHeight="1" x14ac:dyDescent="0.3">
      <c r="A4" s="1449"/>
      <c r="B4" s="1585"/>
      <c r="C4" s="1585"/>
      <c r="D4" s="1585"/>
      <c r="E4" s="1585"/>
      <c r="F4" s="1585"/>
      <c r="G4" s="1585"/>
      <c r="H4" s="1585"/>
      <c r="I4" s="1585"/>
      <c r="J4" s="1585"/>
      <c r="K4" s="1585"/>
      <c r="L4" s="1585"/>
      <c r="M4" s="1585"/>
      <c r="N4" s="1585"/>
      <c r="O4" s="1585"/>
      <c r="P4" s="1451"/>
    </row>
    <row r="5" spans="1:16" ht="23.25" customHeight="1" thickBot="1" x14ac:dyDescent="0.35">
      <c r="A5" s="1452" t="s">
        <v>25174</v>
      </c>
      <c r="B5" s="1583"/>
      <c r="C5" s="1583"/>
      <c r="D5" s="1583"/>
      <c r="E5" s="1583"/>
      <c r="F5" s="1583"/>
      <c r="G5" s="1583"/>
      <c r="H5" s="1583"/>
      <c r="I5" s="1583"/>
      <c r="J5" s="1583"/>
      <c r="K5" s="1583"/>
      <c r="L5" s="1583"/>
      <c r="M5" s="1583"/>
      <c r="N5" s="1583"/>
      <c r="O5" s="1583"/>
      <c r="P5" s="1454"/>
    </row>
    <row r="6" spans="1:16" x14ac:dyDescent="0.3">
      <c r="A6" s="1455"/>
      <c r="B6" s="1456"/>
      <c r="C6" s="1456"/>
      <c r="D6" s="1456"/>
      <c r="E6" s="1457" t="s">
        <v>24947</v>
      </c>
      <c r="F6" s="1458"/>
      <c r="G6" s="1459" t="s">
        <v>24948</v>
      </c>
      <c r="H6" s="1459"/>
      <c r="I6" s="1459" t="s">
        <v>24949</v>
      </c>
      <c r="J6" s="1459"/>
      <c r="K6" s="1459" t="s">
        <v>24950</v>
      </c>
      <c r="L6" s="1459"/>
      <c r="M6" s="1459" t="s">
        <v>24951</v>
      </c>
      <c r="N6" s="1459"/>
      <c r="O6" s="1459" t="s">
        <v>24952</v>
      </c>
      <c r="P6" s="1460"/>
    </row>
    <row r="7" spans="1:16" x14ac:dyDescent="0.3">
      <c r="A7" s="1434" t="s">
        <v>24953</v>
      </c>
      <c r="B7" s="1435"/>
      <c r="C7" s="1435"/>
      <c r="D7" s="1435"/>
      <c r="E7" s="1436"/>
      <c r="F7" s="1436"/>
      <c r="G7" s="1436"/>
      <c r="H7" s="1436"/>
      <c r="I7" s="1436">
        <f>SUM(I11:I25)</f>
        <v>318123.06</v>
      </c>
      <c r="J7" s="1436"/>
      <c r="K7" s="1436">
        <f>SUM(K11:K25)</f>
        <v>542441.21</v>
      </c>
      <c r="L7" s="1436"/>
      <c r="M7" s="1436">
        <f>SUM(M11:M25)</f>
        <v>317286.42</v>
      </c>
      <c r="N7" s="1436"/>
      <c r="O7" s="1436">
        <f>SUM(O11:O25)</f>
        <v>349927.43</v>
      </c>
      <c r="P7" s="1437"/>
    </row>
    <row r="8" spans="1:16" x14ac:dyDescent="0.3">
      <c r="A8" s="1434" t="s">
        <v>24954</v>
      </c>
      <c r="B8" s="1435"/>
      <c r="C8" s="1435"/>
      <c r="D8" s="1435"/>
      <c r="E8" s="1436"/>
      <c r="F8" s="1436"/>
      <c r="G8" s="1436"/>
      <c r="H8" s="1436"/>
      <c r="I8" s="1436">
        <f>I7+G8</f>
        <v>318123.06</v>
      </c>
      <c r="J8" s="1436"/>
      <c r="K8" s="1436">
        <f>K7+I8</f>
        <v>860564.27</v>
      </c>
      <c r="L8" s="1436"/>
      <c r="M8" s="1436">
        <f>M7+K8</f>
        <v>1177850.69</v>
      </c>
      <c r="N8" s="1436"/>
      <c r="O8" s="1436">
        <f>O7+M8</f>
        <v>1527778.12</v>
      </c>
      <c r="P8" s="1437"/>
    </row>
    <row r="9" spans="1:16" ht="30" x14ac:dyDescent="0.3">
      <c r="A9" s="754" t="s">
        <v>4384</v>
      </c>
      <c r="B9" s="755" t="str">
        <f>[1]PREÇOS!E6</f>
        <v>DESCRIÇÃO</v>
      </c>
      <c r="C9" s="756" t="s">
        <v>24955</v>
      </c>
      <c r="D9" s="757" t="s">
        <v>24956</v>
      </c>
      <c r="E9" s="1438"/>
      <c r="F9" s="1439"/>
      <c r="G9" s="1438"/>
      <c r="H9" s="1439"/>
      <c r="I9" s="769" t="s">
        <v>24957</v>
      </c>
      <c r="J9" s="769" t="s">
        <v>24958</v>
      </c>
      <c r="K9" s="769" t="s">
        <v>24957</v>
      </c>
      <c r="L9" s="769" t="s">
        <v>24958</v>
      </c>
      <c r="M9" s="769" t="s">
        <v>24957</v>
      </c>
      <c r="N9" s="769" t="s">
        <v>24958</v>
      </c>
      <c r="O9" s="769" t="s">
        <v>24957</v>
      </c>
      <c r="P9" s="782" t="s">
        <v>24958</v>
      </c>
    </row>
    <row r="10" spans="1:16" s="770" customFormat="1" x14ac:dyDescent="0.3">
      <c r="A10" s="754"/>
      <c r="B10" s="841"/>
      <c r="C10" s="758">
        <f>C26</f>
        <v>1527778.12</v>
      </c>
      <c r="D10" s="759">
        <f>SUM(D11:D25)</f>
        <v>1</v>
      </c>
      <c r="E10" s="1419"/>
      <c r="F10" s="1420"/>
      <c r="G10" s="1419"/>
      <c r="H10" s="1420"/>
      <c r="I10" s="760">
        <f>(I7/$C$10)</f>
        <v>0.2082</v>
      </c>
      <c r="J10" s="760">
        <f>I10+H10</f>
        <v>0.2082</v>
      </c>
      <c r="K10" s="760">
        <f>(K7/$C$10)</f>
        <v>0.35510000000000003</v>
      </c>
      <c r="L10" s="760">
        <f>K10+J10</f>
        <v>0.56330000000000002</v>
      </c>
      <c r="M10" s="760">
        <f>(M7/$C$10)</f>
        <v>0.2077</v>
      </c>
      <c r="N10" s="760">
        <f>M10+L10</f>
        <v>0.77100000000000002</v>
      </c>
      <c r="O10" s="760">
        <f>(O7/$C$10)</f>
        <v>0.22900000000000001</v>
      </c>
      <c r="P10" s="1085">
        <f>O10+N10</f>
        <v>1</v>
      </c>
    </row>
    <row r="11" spans="1:16" s="775" customFormat="1" x14ac:dyDescent="0.3">
      <c r="A11" s="771">
        <f>[3]Preço!A8</f>
        <v>1</v>
      </c>
      <c r="B11" s="772" t="str">
        <f>'QUIOSQUE - MOD 01'!D9</f>
        <v>LOCAÇÃO</v>
      </c>
      <c r="C11" s="773">
        <f>'QUIOSQUE - MOD 01'!I9</f>
        <v>1688.75</v>
      </c>
      <c r="D11" s="761">
        <f>C11/$C$10</f>
        <v>1.1000000000000001E-3</v>
      </c>
      <c r="E11" s="1428" t="s">
        <v>24962</v>
      </c>
      <c r="F11" s="1429"/>
      <c r="G11" s="1428" t="s">
        <v>24963</v>
      </c>
      <c r="H11" s="1429"/>
      <c r="I11" s="774">
        <f>$C11*J11</f>
        <v>1688.75</v>
      </c>
      <c r="J11" s="1086">
        <v>1</v>
      </c>
      <c r="K11" s="774">
        <f>$C11*L11</f>
        <v>0</v>
      </c>
      <c r="L11" s="1086">
        <v>0</v>
      </c>
      <c r="M11" s="774">
        <f>$C11*N11</f>
        <v>0</v>
      </c>
      <c r="N11" s="1086">
        <v>0</v>
      </c>
      <c r="O11" s="774">
        <f>$C11*P11</f>
        <v>0</v>
      </c>
      <c r="P11" s="1087">
        <v>0</v>
      </c>
    </row>
    <row r="12" spans="1:16" s="775" customFormat="1" ht="15" customHeight="1" x14ac:dyDescent="0.3">
      <c r="A12" s="1088">
        <f>[3]Preço!A20</f>
        <v>2</v>
      </c>
      <c r="B12" s="776" t="str">
        <f>'QUIOSQUE - MOD 01'!D12</f>
        <v>MOVIMENTO DE TERRA</v>
      </c>
      <c r="C12" s="777">
        <f>'QUIOSQUE - MOD 01'!I12</f>
        <v>53154.45</v>
      </c>
      <c r="D12" s="762">
        <f>C12/$C$10</f>
        <v>3.4799999999999998E-2</v>
      </c>
      <c r="E12" s="1430"/>
      <c r="F12" s="1431"/>
      <c r="G12" s="1430"/>
      <c r="H12" s="1431"/>
      <c r="I12" s="778">
        <f>$C12*J12</f>
        <v>53154.45</v>
      </c>
      <c r="J12" s="1089">
        <v>1</v>
      </c>
      <c r="K12" s="778">
        <f>$C12*L12</f>
        <v>0</v>
      </c>
      <c r="L12" s="1089">
        <v>0</v>
      </c>
      <c r="M12" s="778">
        <f>$C12*N12</f>
        <v>0</v>
      </c>
      <c r="N12" s="1089">
        <v>0</v>
      </c>
      <c r="O12" s="778">
        <f>$C12*P12</f>
        <v>0</v>
      </c>
      <c r="P12" s="1090">
        <v>0</v>
      </c>
    </row>
    <row r="13" spans="1:16" s="775" customFormat="1" ht="15" customHeight="1" x14ac:dyDescent="0.3">
      <c r="A13" s="771">
        <f>[3]Preço!A23</f>
        <v>3</v>
      </c>
      <c r="B13" s="772" t="str">
        <f>'QUIOSQUE - MOD 01'!D17</f>
        <v>INFRA-ESTRUTURA (FUNDAÇÃO)</v>
      </c>
      <c r="C13" s="773">
        <f>'QUIOSQUE - MOD 01'!I17</f>
        <v>278160.2</v>
      </c>
      <c r="D13" s="761">
        <f>C13/$C$10</f>
        <v>0.18210000000000001</v>
      </c>
      <c r="E13" s="1430"/>
      <c r="F13" s="1431"/>
      <c r="G13" s="1430"/>
      <c r="H13" s="1431"/>
      <c r="I13" s="774">
        <f t="shared" ref="I13:I25" si="0">$C13*J13</f>
        <v>139080.1</v>
      </c>
      <c r="J13" s="1086">
        <v>0.5</v>
      </c>
      <c r="K13" s="774">
        <f t="shared" ref="K13:K25" si="1">$C13*L13</f>
        <v>139080.1</v>
      </c>
      <c r="L13" s="1086">
        <v>0.5</v>
      </c>
      <c r="M13" s="774">
        <f t="shared" ref="M13:M25" si="2">$C13*N13</f>
        <v>0</v>
      </c>
      <c r="N13" s="1086">
        <v>0</v>
      </c>
      <c r="O13" s="774">
        <f t="shared" ref="O13:O25" si="3">$C13*P13</f>
        <v>0</v>
      </c>
      <c r="P13" s="1087">
        <v>0</v>
      </c>
    </row>
    <row r="14" spans="1:16" s="775" customFormat="1" ht="15" customHeight="1" x14ac:dyDescent="0.3">
      <c r="A14" s="1088">
        <f>[3]Preço!A27</f>
        <v>4</v>
      </c>
      <c r="B14" s="779" t="str">
        <f>'QUIOSQUE - MOD 01'!D25</f>
        <v>SUPER-ESTRUTURA</v>
      </c>
      <c r="C14" s="777">
        <f>'QUIOSQUE - MOD 01'!I25</f>
        <v>216237.53</v>
      </c>
      <c r="D14" s="762">
        <f>C14/$C$10</f>
        <v>0.14149999999999999</v>
      </c>
      <c r="E14" s="1430"/>
      <c r="F14" s="1431"/>
      <c r="G14" s="1430"/>
      <c r="H14" s="1431"/>
      <c r="I14" s="778">
        <f t="shared" si="0"/>
        <v>64871.26</v>
      </c>
      <c r="J14" s="1089">
        <v>0.3</v>
      </c>
      <c r="K14" s="778">
        <f t="shared" si="1"/>
        <v>151366.26999999999</v>
      </c>
      <c r="L14" s="1089">
        <v>0.7</v>
      </c>
      <c r="M14" s="778">
        <f t="shared" si="2"/>
        <v>0</v>
      </c>
      <c r="N14" s="1089">
        <v>0</v>
      </c>
      <c r="O14" s="778">
        <f t="shared" si="3"/>
        <v>0</v>
      </c>
      <c r="P14" s="1090">
        <v>0</v>
      </c>
    </row>
    <row r="15" spans="1:16" s="775" customFormat="1" ht="15" customHeight="1" x14ac:dyDescent="0.3">
      <c r="A15" s="771">
        <f>[3]Preço!A33</f>
        <v>5</v>
      </c>
      <c r="B15" s="772" t="str">
        <f>'QUIOSQUE - MOD 01'!D32</f>
        <v>PAREDES E PAINÉIS</v>
      </c>
      <c r="C15" s="773">
        <f>'QUIOSQUE - MOD 01'!I32</f>
        <v>118657</v>
      </c>
      <c r="D15" s="761">
        <f t="shared" ref="D15:D25" si="4">C15/$C$10</f>
        <v>7.7700000000000005E-2</v>
      </c>
      <c r="E15" s="1430"/>
      <c r="F15" s="1431"/>
      <c r="G15" s="1430"/>
      <c r="H15" s="1431"/>
      <c r="I15" s="774">
        <f t="shared" si="0"/>
        <v>59328.5</v>
      </c>
      <c r="J15" s="1086">
        <v>0.5</v>
      </c>
      <c r="K15" s="774">
        <f t="shared" si="1"/>
        <v>59328.5</v>
      </c>
      <c r="L15" s="1086">
        <v>0.5</v>
      </c>
      <c r="M15" s="774">
        <f t="shared" si="2"/>
        <v>0</v>
      </c>
      <c r="N15" s="1086">
        <v>0</v>
      </c>
      <c r="O15" s="774">
        <f t="shared" si="3"/>
        <v>0</v>
      </c>
      <c r="P15" s="1087">
        <v>0</v>
      </c>
    </row>
    <row r="16" spans="1:16" s="775" customFormat="1" ht="15" customHeight="1" x14ac:dyDescent="0.3">
      <c r="A16" s="1088">
        <f>[3]Preço!A39</f>
        <v>6</v>
      </c>
      <c r="B16" s="779" t="str">
        <f>'QUIOSQUE - MOD 01'!D39</f>
        <v>ESQUADRIAS METÁLICAS</v>
      </c>
      <c r="C16" s="777">
        <f>'QUIOSQUE - MOD 01'!I39</f>
        <v>62596.7</v>
      </c>
      <c r="D16" s="762">
        <f t="shared" si="4"/>
        <v>4.1000000000000002E-2</v>
      </c>
      <c r="E16" s="1430"/>
      <c r="F16" s="1431"/>
      <c r="G16" s="1430"/>
      <c r="H16" s="1431"/>
      <c r="I16" s="778">
        <f t="shared" si="0"/>
        <v>0</v>
      </c>
      <c r="J16" s="1089">
        <v>0</v>
      </c>
      <c r="K16" s="778">
        <f t="shared" si="1"/>
        <v>62596.7</v>
      </c>
      <c r="L16" s="1089">
        <v>1</v>
      </c>
      <c r="M16" s="778">
        <f t="shared" si="2"/>
        <v>0</v>
      </c>
      <c r="N16" s="1089">
        <v>0</v>
      </c>
      <c r="O16" s="778">
        <f t="shared" si="3"/>
        <v>0</v>
      </c>
      <c r="P16" s="1090">
        <v>0</v>
      </c>
    </row>
    <row r="17" spans="1:16" s="775" customFormat="1" ht="21" customHeight="1" x14ac:dyDescent="0.3">
      <c r="A17" s="771">
        <f>[3]Preço!A45</f>
        <v>7</v>
      </c>
      <c r="B17" s="772" t="str">
        <f>'QUIOSQUE - MOD 01'!D44</f>
        <v>ESTRUTURAS EM ALUMÍNIO</v>
      </c>
      <c r="C17" s="773">
        <f>'QUIOSQUE - MOD 01'!I44</f>
        <v>130069.64</v>
      </c>
      <c r="D17" s="761">
        <f t="shared" si="4"/>
        <v>8.5099999999999995E-2</v>
      </c>
      <c r="E17" s="1430"/>
      <c r="F17" s="1431"/>
      <c r="G17" s="1430"/>
      <c r="H17" s="1431"/>
      <c r="I17" s="774">
        <f t="shared" si="0"/>
        <v>0</v>
      </c>
      <c r="J17" s="1091">
        <v>0</v>
      </c>
      <c r="K17" s="774">
        <f t="shared" si="1"/>
        <v>130069.64</v>
      </c>
      <c r="L17" s="1086">
        <v>1</v>
      </c>
      <c r="M17" s="774">
        <f t="shared" si="2"/>
        <v>0</v>
      </c>
      <c r="N17" s="1091">
        <v>0</v>
      </c>
      <c r="O17" s="774">
        <f t="shared" si="3"/>
        <v>0</v>
      </c>
      <c r="P17" s="1087">
        <v>0</v>
      </c>
    </row>
    <row r="18" spans="1:16" s="775" customFormat="1" x14ac:dyDescent="0.3">
      <c r="A18" s="1088">
        <f>[3]Preço!A49</f>
        <v>8</v>
      </c>
      <c r="B18" s="779" t="str">
        <f>'QUIOSQUE - MOD 01'!D48</f>
        <v>IMPERMEABILIZAÇÃO DA LAJE</v>
      </c>
      <c r="C18" s="777">
        <f>'QUIOSQUE - MOD 01'!I48</f>
        <v>66436.58</v>
      </c>
      <c r="D18" s="762">
        <f t="shared" si="4"/>
        <v>4.3499999999999997E-2</v>
      </c>
      <c r="E18" s="1430"/>
      <c r="F18" s="1431"/>
      <c r="G18" s="1430"/>
      <c r="H18" s="1431"/>
      <c r="I18" s="778">
        <f t="shared" si="0"/>
        <v>0</v>
      </c>
      <c r="J18" s="1089">
        <v>0</v>
      </c>
      <c r="K18" s="778">
        <f t="shared" si="1"/>
        <v>0</v>
      </c>
      <c r="L18" s="1092">
        <v>0</v>
      </c>
      <c r="M18" s="778">
        <f t="shared" si="2"/>
        <v>66436.58</v>
      </c>
      <c r="N18" s="1089">
        <v>1</v>
      </c>
      <c r="O18" s="778">
        <f t="shared" si="3"/>
        <v>0</v>
      </c>
      <c r="P18" s="1093">
        <v>0</v>
      </c>
    </row>
    <row r="19" spans="1:16" s="775" customFormat="1" x14ac:dyDescent="0.3">
      <c r="A19" s="771">
        <f>[3]Preço!A52</f>
        <v>9</v>
      </c>
      <c r="B19" s="772" t="str">
        <f>'QUIOSQUE - MOD 01'!D51</f>
        <v>REVESTIMENTO PAREDES</v>
      </c>
      <c r="C19" s="773">
        <f>'QUIOSQUE - MOD 01'!I51</f>
        <v>29357.91</v>
      </c>
      <c r="D19" s="761">
        <f t="shared" si="4"/>
        <v>1.9199999999999998E-2</v>
      </c>
      <c r="E19" s="1430"/>
      <c r="F19" s="1431"/>
      <c r="G19" s="1430"/>
      <c r="H19" s="1431"/>
      <c r="I19" s="774">
        <f t="shared" si="0"/>
        <v>0</v>
      </c>
      <c r="J19" s="1086">
        <v>0</v>
      </c>
      <c r="K19" s="774">
        <f t="shared" si="1"/>
        <v>0</v>
      </c>
      <c r="L19" s="1086">
        <v>0</v>
      </c>
      <c r="M19" s="774">
        <f t="shared" si="2"/>
        <v>29357.91</v>
      </c>
      <c r="N19" s="1086">
        <v>1</v>
      </c>
      <c r="O19" s="774">
        <f t="shared" si="3"/>
        <v>0</v>
      </c>
      <c r="P19" s="1087">
        <v>0</v>
      </c>
    </row>
    <row r="20" spans="1:16" s="775" customFormat="1" ht="15" customHeight="1" x14ac:dyDescent="0.3">
      <c r="A20" s="1088">
        <f>[3]Preço!A58</f>
        <v>10</v>
      </c>
      <c r="B20" s="779" t="str">
        <f>'QUIOSQUE - MOD 01'!D54</f>
        <v>PISOS INTERNOS E EXTERNOS</v>
      </c>
      <c r="C20" s="777">
        <f>'QUIOSQUE - MOD 01'!I54</f>
        <v>94941.55</v>
      </c>
      <c r="D20" s="762">
        <f t="shared" si="4"/>
        <v>6.2100000000000002E-2</v>
      </c>
      <c r="E20" s="1430"/>
      <c r="F20" s="1431"/>
      <c r="G20" s="1430"/>
      <c r="H20" s="1431"/>
      <c r="I20" s="778">
        <f t="shared" si="0"/>
        <v>0</v>
      </c>
      <c r="J20" s="1089">
        <v>0</v>
      </c>
      <c r="K20" s="778">
        <f t="shared" si="1"/>
        <v>0</v>
      </c>
      <c r="L20" s="1089">
        <v>0</v>
      </c>
      <c r="M20" s="778">
        <f t="shared" si="2"/>
        <v>94941.55</v>
      </c>
      <c r="N20" s="1089">
        <v>1</v>
      </c>
      <c r="O20" s="778">
        <f t="shared" si="3"/>
        <v>0</v>
      </c>
      <c r="P20" s="1090">
        <v>0</v>
      </c>
    </row>
    <row r="21" spans="1:16" s="775" customFormat="1" ht="15" customHeight="1" x14ac:dyDescent="0.3">
      <c r="A21" s="771">
        <f>[3]Preço!A66</f>
        <v>11</v>
      </c>
      <c r="B21" s="772" t="str">
        <f>'QUIOSQUE - MOD 01'!D59</f>
        <v>INSTALAÇÕES HIDRO-SANITÁRIAS</v>
      </c>
      <c r="C21" s="773">
        <f>'QUIOSQUE - MOD 01'!I59</f>
        <v>195847.76</v>
      </c>
      <c r="D21" s="761">
        <f t="shared" si="4"/>
        <v>0.12820000000000001</v>
      </c>
      <c r="E21" s="1430"/>
      <c r="F21" s="1431"/>
      <c r="G21" s="1430"/>
      <c r="H21" s="1431"/>
      <c r="I21" s="774">
        <f t="shared" si="0"/>
        <v>0</v>
      </c>
      <c r="J21" s="1086">
        <v>0</v>
      </c>
      <c r="K21" s="774">
        <f t="shared" si="1"/>
        <v>0</v>
      </c>
      <c r="L21" s="1086">
        <v>0</v>
      </c>
      <c r="M21" s="774">
        <f t="shared" si="2"/>
        <v>97923.88</v>
      </c>
      <c r="N21" s="1086">
        <v>0.5</v>
      </c>
      <c r="O21" s="774">
        <f t="shared" si="3"/>
        <v>97923.88</v>
      </c>
      <c r="P21" s="1087">
        <v>0.5</v>
      </c>
    </row>
    <row r="22" spans="1:16" s="775" customFormat="1" ht="15" customHeight="1" x14ac:dyDescent="0.3">
      <c r="A22" s="1088">
        <f>[3]Preço!A72</f>
        <v>12</v>
      </c>
      <c r="B22" s="779" t="str">
        <f>'QUIOSQUE - MOD 01'!D136</f>
        <v>INSTALAÇÕES ELÉTRICAS</v>
      </c>
      <c r="C22" s="777">
        <f>'QUIOSQUE - MOD 01'!I136</f>
        <v>28626.5</v>
      </c>
      <c r="D22" s="762">
        <f t="shared" si="4"/>
        <v>1.8700000000000001E-2</v>
      </c>
      <c r="E22" s="1430"/>
      <c r="F22" s="1431"/>
      <c r="G22" s="1430"/>
      <c r="H22" s="1431"/>
      <c r="I22" s="778">
        <f t="shared" si="0"/>
        <v>0</v>
      </c>
      <c r="J22" s="1089">
        <v>0</v>
      </c>
      <c r="K22" s="778">
        <f t="shared" si="1"/>
        <v>0</v>
      </c>
      <c r="L22" s="1089">
        <v>0</v>
      </c>
      <c r="M22" s="778">
        <f t="shared" si="2"/>
        <v>28626.5</v>
      </c>
      <c r="N22" s="1089">
        <v>1</v>
      </c>
      <c r="O22" s="778">
        <f t="shared" si="3"/>
        <v>0</v>
      </c>
      <c r="P22" s="1090">
        <v>0</v>
      </c>
    </row>
    <row r="23" spans="1:16" s="775" customFormat="1" ht="15" customHeight="1" x14ac:dyDescent="0.3">
      <c r="A23" s="771">
        <f>[3]Preço!A85</f>
        <v>13</v>
      </c>
      <c r="B23" s="772" t="str">
        <f>'QUIOSQUE - MOD 01'!D161</f>
        <v>PINTURA</v>
      </c>
      <c r="C23" s="773">
        <f>'QUIOSQUE - MOD 01'!I161</f>
        <v>43160.56</v>
      </c>
      <c r="D23" s="761">
        <f t="shared" si="4"/>
        <v>2.8299999999999999E-2</v>
      </c>
      <c r="E23" s="1430"/>
      <c r="F23" s="1431"/>
      <c r="G23" s="1430"/>
      <c r="H23" s="1431"/>
      <c r="I23" s="774">
        <f t="shared" si="0"/>
        <v>0</v>
      </c>
      <c r="J23" s="1086">
        <v>0</v>
      </c>
      <c r="K23" s="774">
        <f t="shared" si="1"/>
        <v>0</v>
      </c>
      <c r="L23" s="1086">
        <v>0</v>
      </c>
      <c r="M23" s="774">
        <f t="shared" si="2"/>
        <v>0</v>
      </c>
      <c r="N23" s="1086">
        <v>0</v>
      </c>
      <c r="O23" s="774">
        <f t="shared" si="3"/>
        <v>43160.56</v>
      </c>
      <c r="P23" s="1087">
        <v>1</v>
      </c>
    </row>
    <row r="24" spans="1:16" s="775" customFormat="1" ht="30" x14ac:dyDescent="0.3">
      <c r="A24" s="1088">
        <v>14</v>
      </c>
      <c r="B24" s="779" t="str">
        <f>'QUIOSQUE - MOD 01'!D165</f>
        <v>SERVIÇOS COMPLEMENTARES E PAISAGISMO</v>
      </c>
      <c r="C24" s="777">
        <f>'QUIOSQUE - MOD 01'!I165</f>
        <v>206019.14</v>
      </c>
      <c r="D24" s="762">
        <f t="shared" si="4"/>
        <v>0.1348</v>
      </c>
      <c r="E24" s="1430"/>
      <c r="F24" s="1431"/>
      <c r="G24" s="1430"/>
      <c r="H24" s="1431"/>
      <c r="I24" s="778">
        <f t="shared" si="0"/>
        <v>0</v>
      </c>
      <c r="J24" s="1089">
        <v>0</v>
      </c>
      <c r="K24" s="778">
        <f t="shared" si="1"/>
        <v>0</v>
      </c>
      <c r="L24" s="1089">
        <v>0</v>
      </c>
      <c r="M24" s="778">
        <f t="shared" si="2"/>
        <v>0</v>
      </c>
      <c r="N24" s="1089">
        <v>0</v>
      </c>
      <c r="O24" s="778">
        <f t="shared" si="3"/>
        <v>206019.14</v>
      </c>
      <c r="P24" s="1090">
        <v>1</v>
      </c>
    </row>
    <row r="25" spans="1:16" s="775" customFormat="1" ht="15" customHeight="1" x14ac:dyDescent="0.3">
      <c r="A25" s="771">
        <v>15</v>
      </c>
      <c r="B25" s="772" t="str">
        <f>'QUIOSQUE - MOD 01'!D173</f>
        <v>CONSERVAÇÃO E LIMPEZA</v>
      </c>
      <c r="C25" s="773">
        <f>'QUIOSQUE - MOD 01'!I173</f>
        <v>2823.85</v>
      </c>
      <c r="D25" s="761">
        <f t="shared" si="4"/>
        <v>1.8E-3</v>
      </c>
      <c r="E25" s="1432"/>
      <c r="F25" s="1433"/>
      <c r="G25" s="1432"/>
      <c r="H25" s="1433"/>
      <c r="I25" s="774">
        <f t="shared" si="0"/>
        <v>0</v>
      </c>
      <c r="J25" s="1086">
        <v>0</v>
      </c>
      <c r="K25" s="774">
        <f t="shared" si="1"/>
        <v>0</v>
      </c>
      <c r="L25" s="1086">
        <v>0</v>
      </c>
      <c r="M25" s="774">
        <f t="shared" si="2"/>
        <v>0</v>
      </c>
      <c r="N25" s="1086">
        <v>0</v>
      </c>
      <c r="O25" s="774">
        <f t="shared" si="3"/>
        <v>2823.85</v>
      </c>
      <c r="P25" s="1087">
        <v>1</v>
      </c>
    </row>
    <row r="26" spans="1:16" s="770" customFormat="1" ht="15.75" thickBot="1" x14ac:dyDescent="0.35">
      <c r="A26" s="763"/>
      <c r="B26" s="764" t="s">
        <v>24959</v>
      </c>
      <c r="C26" s="765">
        <f>SUM(C11:C25)</f>
        <v>1527778.12</v>
      </c>
      <c r="D26" s="766">
        <f>SUM(D11:D25)</f>
        <v>1</v>
      </c>
      <c r="E26" s="767"/>
      <c r="F26" s="767"/>
      <c r="G26" s="767"/>
      <c r="H26" s="767"/>
      <c r="I26" s="767">
        <f t="shared" ref="I26:P26" si="5">I10</f>
        <v>0.2082</v>
      </c>
      <c r="J26" s="767">
        <f t="shared" si="5"/>
        <v>0.2082</v>
      </c>
      <c r="K26" s="767">
        <f t="shared" si="5"/>
        <v>0.35510000000000003</v>
      </c>
      <c r="L26" s="767">
        <f t="shared" si="5"/>
        <v>0.56330000000000002</v>
      </c>
      <c r="M26" s="767">
        <f t="shared" si="5"/>
        <v>0.2077</v>
      </c>
      <c r="N26" s="767">
        <f t="shared" si="5"/>
        <v>0.77100000000000002</v>
      </c>
      <c r="O26" s="767">
        <f t="shared" si="5"/>
        <v>0.22900000000000001</v>
      </c>
      <c r="P26" s="1094">
        <f t="shared" si="5"/>
        <v>1</v>
      </c>
    </row>
    <row r="27" spans="1:16" x14ac:dyDescent="0.3">
      <c r="A27" s="1425"/>
      <c r="B27" s="1580"/>
      <c r="C27" s="1580"/>
      <c r="D27" s="1580"/>
      <c r="E27" s="1580"/>
      <c r="F27" s="1580"/>
      <c r="G27" s="1580"/>
      <c r="H27" s="1580"/>
      <c r="I27" s="1580"/>
      <c r="J27" s="1580"/>
      <c r="K27" s="1580"/>
      <c r="L27" s="1580"/>
      <c r="M27" s="1580"/>
      <c r="N27" s="1580"/>
      <c r="O27" s="1580"/>
      <c r="P27" s="1426"/>
    </row>
    <row r="28" spans="1:16" x14ac:dyDescent="0.3">
      <c r="A28" s="1425"/>
      <c r="B28" s="1580"/>
      <c r="C28" s="1580"/>
      <c r="D28" s="1580"/>
      <c r="E28" s="1580"/>
      <c r="F28" s="1580"/>
      <c r="G28" s="1580"/>
      <c r="H28" s="1580"/>
      <c r="I28" s="1580"/>
      <c r="J28" s="1580"/>
      <c r="K28" s="1580"/>
      <c r="L28" s="1580"/>
      <c r="M28" s="1580"/>
      <c r="N28" s="1580"/>
      <c r="O28" s="1580"/>
      <c r="P28" s="1426"/>
    </row>
    <row r="29" spans="1:16" x14ac:dyDescent="0.3">
      <c r="A29" s="839"/>
      <c r="B29" s="1095"/>
      <c r="C29" s="1095"/>
      <c r="D29" s="1095"/>
      <c r="E29" s="1095"/>
      <c r="F29" s="1095"/>
      <c r="G29" s="1095"/>
      <c r="H29" s="1095"/>
      <c r="I29" s="1095"/>
      <c r="J29" s="1095"/>
      <c r="K29" s="1095"/>
      <c r="L29" s="1095"/>
      <c r="M29" s="1095"/>
      <c r="N29" s="1095"/>
      <c r="O29" s="1095"/>
      <c r="P29" s="840"/>
    </row>
    <row r="30" spans="1:16" x14ac:dyDescent="0.3">
      <c r="A30" s="839"/>
      <c r="B30" s="1095"/>
      <c r="C30" s="1095"/>
      <c r="D30" s="1095"/>
      <c r="E30" s="1095"/>
      <c r="F30" s="1095"/>
      <c r="G30" s="1095"/>
      <c r="H30" s="1095"/>
      <c r="I30" s="1095"/>
      <c r="J30" s="1095"/>
      <c r="K30" s="1095"/>
      <c r="L30" s="1095"/>
      <c r="M30" s="1095"/>
      <c r="N30" s="1095"/>
      <c r="O30" s="1095"/>
      <c r="P30" s="840"/>
    </row>
    <row r="31" spans="1:16" x14ac:dyDescent="0.3">
      <c r="A31" s="1425"/>
      <c r="B31" s="1580"/>
      <c r="C31" s="1580"/>
      <c r="D31" s="1580"/>
      <c r="E31" s="1580"/>
      <c r="F31" s="1580"/>
      <c r="G31" s="1580"/>
      <c r="H31" s="1580"/>
      <c r="I31" s="1580"/>
      <c r="J31" s="1580"/>
      <c r="K31" s="1580"/>
      <c r="L31" s="1580"/>
      <c r="M31" s="1580"/>
      <c r="N31" s="1580"/>
      <c r="O31" s="1580"/>
      <c r="P31" s="1426"/>
    </row>
    <row r="32" spans="1:16" s="733" customFormat="1" x14ac:dyDescent="0.3">
      <c r="A32" s="1096"/>
      <c r="B32" s="1581" t="s">
        <v>24939</v>
      </c>
      <c r="C32" s="1581"/>
      <c r="G32" s="1581"/>
      <c r="H32" s="1581"/>
      <c r="I32" s="1581"/>
      <c r="J32" s="1581"/>
      <c r="P32" s="1097"/>
    </row>
    <row r="33" spans="1:16" x14ac:dyDescent="0.3">
      <c r="A33" s="1098"/>
      <c r="B33" s="1580" t="s">
        <v>24941</v>
      </c>
      <c r="C33" s="1580"/>
      <c r="G33" s="1580"/>
      <c r="H33" s="1580"/>
      <c r="I33" s="1580"/>
      <c r="J33" s="1580"/>
      <c r="P33" s="1099"/>
    </row>
    <row r="34" spans="1:16" ht="15.75" thickBot="1" x14ac:dyDescent="0.35">
      <c r="A34" s="1100"/>
      <c r="B34" s="1424" t="s">
        <v>24940</v>
      </c>
      <c r="C34" s="1424"/>
      <c r="D34" s="1101"/>
      <c r="E34" s="1101"/>
      <c r="F34" s="1101"/>
      <c r="G34" s="1424"/>
      <c r="H34" s="1424"/>
      <c r="I34" s="1424"/>
      <c r="J34" s="1424"/>
      <c r="K34" s="1101"/>
      <c r="L34" s="1101"/>
      <c r="M34" s="1101"/>
      <c r="N34" s="1101"/>
      <c r="O34" s="1101"/>
      <c r="P34" s="1102"/>
    </row>
  </sheetData>
  <mergeCells count="39">
    <mergeCell ref="A1:P2"/>
    <mergeCell ref="A3:P4"/>
    <mergeCell ref="A5:P5"/>
    <mergeCell ref="A6:D6"/>
    <mergeCell ref="E6:F6"/>
    <mergeCell ref="G6:H6"/>
    <mergeCell ref="I6:J6"/>
    <mergeCell ref="K6:L6"/>
    <mergeCell ref="M6:N6"/>
    <mergeCell ref="O6:P6"/>
    <mergeCell ref="O7:P7"/>
    <mergeCell ref="A8:D8"/>
    <mergeCell ref="E8:F8"/>
    <mergeCell ref="G8:H8"/>
    <mergeCell ref="I8:J8"/>
    <mergeCell ref="K8:L8"/>
    <mergeCell ref="M8:N8"/>
    <mergeCell ref="O8:P8"/>
    <mergeCell ref="A7:D7"/>
    <mergeCell ref="E7:F7"/>
    <mergeCell ref="G7:H7"/>
    <mergeCell ref="I7:J7"/>
    <mergeCell ref="K7:L7"/>
    <mergeCell ref="M7:N7"/>
    <mergeCell ref="E9:F9"/>
    <mergeCell ref="G9:H9"/>
    <mergeCell ref="E10:F10"/>
    <mergeCell ref="G10:H10"/>
    <mergeCell ref="E11:F25"/>
    <mergeCell ref="G11:H25"/>
    <mergeCell ref="B34:C34"/>
    <mergeCell ref="G34:J34"/>
    <mergeCell ref="A27:P27"/>
    <mergeCell ref="A28:P28"/>
    <mergeCell ref="A31:P31"/>
    <mergeCell ref="B32:C32"/>
    <mergeCell ref="G32:J32"/>
    <mergeCell ref="B33:C33"/>
    <mergeCell ref="G33:J33"/>
  </mergeCells>
  <conditionalFormatting sqref="B12 A11:A13 A17:A18 A22:A25">
    <cfRule type="expression" dxfId="39" priority="33" stopIfTrue="1">
      <formula>ISNUMBER(A11)</formula>
    </cfRule>
  </conditionalFormatting>
  <conditionalFormatting sqref="B11 B13 B17">
    <cfRule type="expression" dxfId="38" priority="34" stopIfTrue="1">
      <formula>ISNUMBER(A11)</formula>
    </cfRule>
    <cfRule type="cellIs" dxfId="37" priority="37" stopIfTrue="1" operator="equal">
      <formula>0</formula>
    </cfRule>
  </conditionalFormatting>
  <conditionalFormatting sqref="G8:H8">
    <cfRule type="expression" dxfId="36" priority="35" stopIfTrue="1">
      <formula>G7=0</formula>
    </cfRule>
  </conditionalFormatting>
  <conditionalFormatting sqref="G7 C10:E10 C11:D13 C26:H26 B18:D18 C17:D17 C22:D25 G10">
    <cfRule type="cellIs" dxfId="35" priority="36" stopIfTrue="1" operator="equal">
      <formula>0</formula>
    </cfRule>
  </conditionalFormatting>
  <conditionalFormatting sqref="I8:J8">
    <cfRule type="expression" dxfId="34" priority="31" stopIfTrue="1">
      <formula>I7=0</formula>
    </cfRule>
  </conditionalFormatting>
  <conditionalFormatting sqref="I7 I10:J10 J26 K7 M7 O7">
    <cfRule type="cellIs" dxfId="33" priority="32" stopIfTrue="1" operator="equal">
      <formula>0</formula>
    </cfRule>
  </conditionalFormatting>
  <conditionalFormatting sqref="E8:F8">
    <cfRule type="expression" dxfId="32" priority="23" stopIfTrue="1">
      <formula>E7=0</formula>
    </cfRule>
  </conditionalFormatting>
  <conditionalFormatting sqref="K8:L8">
    <cfRule type="expression" dxfId="31" priority="29" stopIfTrue="1">
      <formula>K7=0</formula>
    </cfRule>
  </conditionalFormatting>
  <conditionalFormatting sqref="K10:L10 L26">
    <cfRule type="cellIs" dxfId="30" priority="30" stopIfTrue="1" operator="equal">
      <formula>0</formula>
    </cfRule>
  </conditionalFormatting>
  <conditionalFormatting sqref="M8:N8">
    <cfRule type="expression" dxfId="29" priority="27" stopIfTrue="1">
      <formula>M7=0</formula>
    </cfRule>
  </conditionalFormatting>
  <conditionalFormatting sqref="M10:N10 N26">
    <cfRule type="cellIs" dxfId="28" priority="28" stopIfTrue="1" operator="equal">
      <formula>0</formula>
    </cfRule>
  </conditionalFormatting>
  <conditionalFormatting sqref="O8:P8">
    <cfRule type="expression" dxfId="27" priority="25" stopIfTrue="1">
      <formula>O7=0</formula>
    </cfRule>
  </conditionalFormatting>
  <conditionalFormatting sqref="O10:P10 P26">
    <cfRule type="cellIs" dxfId="26" priority="26" stopIfTrue="1" operator="equal">
      <formula>0</formula>
    </cfRule>
  </conditionalFormatting>
  <conditionalFormatting sqref="E7">
    <cfRule type="cellIs" dxfId="25" priority="24" stopIfTrue="1" operator="equal">
      <formula>0</formula>
    </cfRule>
  </conditionalFormatting>
  <conditionalFormatting sqref="A14">
    <cfRule type="expression" dxfId="24" priority="20" stopIfTrue="1">
      <formula>ISNUMBER(A14)</formula>
    </cfRule>
  </conditionalFormatting>
  <conditionalFormatting sqref="B14 B22:B25">
    <cfRule type="expression" dxfId="23" priority="21" stopIfTrue="1">
      <formula>ISNUMBER(A14)</formula>
    </cfRule>
  </conditionalFormatting>
  <conditionalFormatting sqref="C14:D14">
    <cfRule type="cellIs" dxfId="22" priority="22" stopIfTrue="1" operator="equal">
      <formula>0</formula>
    </cfRule>
  </conditionalFormatting>
  <conditionalFormatting sqref="A15">
    <cfRule type="expression" dxfId="21" priority="17" stopIfTrue="1">
      <formula>ISNUMBER(A15)</formula>
    </cfRule>
  </conditionalFormatting>
  <conditionalFormatting sqref="B15">
    <cfRule type="cellIs" dxfId="20" priority="18" stopIfTrue="1" operator="equal">
      <formula>0</formula>
    </cfRule>
    <cfRule type="expression" dxfId="19" priority="38" stopIfTrue="1">
      <formula>ISNUMBER(A15)</formula>
    </cfRule>
  </conditionalFormatting>
  <conditionalFormatting sqref="C15:D15">
    <cfRule type="cellIs" dxfId="18" priority="19" stopIfTrue="1" operator="equal">
      <formula>0</formula>
    </cfRule>
  </conditionalFormatting>
  <conditionalFormatting sqref="A16">
    <cfRule type="expression" dxfId="17" priority="14" stopIfTrue="1">
      <formula>ISNUMBER(A16)</formula>
    </cfRule>
  </conditionalFormatting>
  <conditionalFormatting sqref="B16">
    <cfRule type="cellIs" dxfId="16" priority="15" stopIfTrue="1" operator="equal">
      <formula>0</formula>
    </cfRule>
    <cfRule type="expression" dxfId="15" priority="39" stopIfTrue="1">
      <formula>ISNUMBER(A16)</formula>
    </cfRule>
  </conditionalFormatting>
  <conditionalFormatting sqref="C16:D16">
    <cfRule type="cellIs" dxfId="14" priority="16" stopIfTrue="1" operator="equal">
      <formula>0</formula>
    </cfRule>
  </conditionalFormatting>
  <conditionalFormatting sqref="A19">
    <cfRule type="expression" dxfId="13" priority="11" stopIfTrue="1">
      <formula>ISNUMBER(A19)</formula>
    </cfRule>
  </conditionalFormatting>
  <conditionalFormatting sqref="B19">
    <cfRule type="cellIs" dxfId="12" priority="12" stopIfTrue="1" operator="equal">
      <formula>0</formula>
    </cfRule>
  </conditionalFormatting>
  <conditionalFormatting sqref="C19:D19">
    <cfRule type="cellIs" dxfId="11" priority="13" stopIfTrue="1" operator="equal">
      <formula>0</formula>
    </cfRule>
  </conditionalFormatting>
  <conditionalFormatting sqref="A20">
    <cfRule type="expression" dxfId="10" priority="8" stopIfTrue="1">
      <formula>ISNUMBER(A20)</formula>
    </cfRule>
  </conditionalFormatting>
  <conditionalFormatting sqref="B20">
    <cfRule type="expression" dxfId="9" priority="9" stopIfTrue="1">
      <formula>ISNUMBER(A20)</formula>
    </cfRule>
    <cfRule type="cellIs" dxfId="8" priority="10" stopIfTrue="1" operator="equal">
      <formula>0</formula>
    </cfRule>
  </conditionalFormatting>
  <conditionalFormatting sqref="C20:D20">
    <cfRule type="cellIs" dxfId="7" priority="40" stopIfTrue="1" operator="equal">
      <formula>0</formula>
    </cfRule>
  </conditionalFormatting>
  <conditionalFormatting sqref="A21">
    <cfRule type="expression" dxfId="6" priority="5" stopIfTrue="1">
      <formula>ISNUMBER(A21)</formula>
    </cfRule>
  </conditionalFormatting>
  <conditionalFormatting sqref="B21">
    <cfRule type="cellIs" dxfId="5" priority="6" stopIfTrue="1" operator="equal">
      <formula>0</formula>
    </cfRule>
  </conditionalFormatting>
  <conditionalFormatting sqref="C21:D21">
    <cfRule type="cellIs" dxfId="4" priority="7" stopIfTrue="1" operator="equal">
      <formula>0</formula>
    </cfRule>
  </conditionalFormatting>
  <conditionalFormatting sqref="I26">
    <cfRule type="cellIs" dxfId="3" priority="4" stopIfTrue="1" operator="equal">
      <formula>0</formula>
    </cfRule>
  </conditionalFormatting>
  <conditionalFormatting sqref="K26">
    <cfRule type="cellIs" dxfId="2" priority="3" stopIfTrue="1" operator="equal">
      <formula>0</formula>
    </cfRule>
  </conditionalFormatting>
  <conditionalFormatting sqref="M26">
    <cfRule type="cellIs" dxfId="1" priority="2" stopIfTrue="1" operator="equal">
      <formula>0</formula>
    </cfRule>
  </conditionalFormatting>
  <conditionalFormatting sqref="O26">
    <cfRule type="cellIs" dxfId="0" priority="1" stopIfTrue="1" operator="equal">
      <formula>0</formula>
    </cfRule>
  </conditionalFormatting>
  <printOptions horizontalCentered="1" verticalCentered="1"/>
  <pageMargins left="0.25" right="0.25" top="0.75" bottom="0.75" header="0.3" footer="0.3"/>
  <pageSetup paperSize="9" scale="59" fitToHeight="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38C493-5A3E-4262-A568-C82632CC2946}">
  <sheetPr>
    <tabColor rgb="FF00B050"/>
    <pageSetUpPr fitToPage="1"/>
  </sheetPr>
  <dimension ref="B1:AA3015"/>
  <sheetViews>
    <sheetView zoomScale="80" zoomScaleNormal="80" workbookViewId="0">
      <selection activeCell="K27" sqref="K27"/>
    </sheetView>
  </sheetViews>
  <sheetFormatPr defaultColWidth="9.140625" defaultRowHeight="15" x14ac:dyDescent="0.3"/>
  <cols>
    <col min="1" max="1" width="9.140625" style="691"/>
    <col min="2" max="2" width="13.7109375" style="691" bestFit="1" customWidth="1"/>
    <col min="3" max="3" width="14" style="691" customWidth="1"/>
    <col min="4" max="6" width="9.140625" style="691"/>
    <col min="7" max="7" width="24.5703125" style="691" customWidth="1"/>
    <col min="8" max="9" width="10.5703125" style="691" bestFit="1" customWidth="1"/>
    <col min="10" max="10" width="11.140625" style="691" customWidth="1"/>
    <col min="11" max="11" width="13.140625" style="691" bestFit="1" customWidth="1"/>
    <col min="12" max="12" width="11.85546875" style="691" customWidth="1"/>
    <col min="13" max="13" width="20.140625" style="691" customWidth="1"/>
    <col min="14" max="14" width="15.28515625" style="691" customWidth="1"/>
    <col min="15" max="15" width="9.140625" style="691"/>
    <col min="16" max="16" width="29.7109375" style="691" customWidth="1"/>
    <col min="17" max="16384" width="9.140625" style="691"/>
  </cols>
  <sheetData>
    <row r="1" spans="2:16" ht="15.75" thickBot="1" x14ac:dyDescent="0.35"/>
    <row r="2" spans="2:16" ht="45" customHeight="1" x14ac:dyDescent="0.3">
      <c r="B2" s="1607" t="s">
        <v>25175</v>
      </c>
      <c r="C2" s="1608"/>
      <c r="D2" s="1609"/>
      <c r="E2" s="1610" t="s">
        <v>24669</v>
      </c>
      <c r="F2" s="1610"/>
      <c r="G2" s="1610"/>
      <c r="H2" s="1610"/>
      <c r="I2" s="1610"/>
      <c r="J2" s="1610"/>
      <c r="K2" s="1610"/>
      <c r="L2" s="1623"/>
      <c r="M2" s="1576"/>
      <c r="N2" s="1577"/>
      <c r="P2" s="953"/>
    </row>
    <row r="3" spans="2:16" x14ac:dyDescent="0.3">
      <c r="B3" s="1103" t="s">
        <v>24670</v>
      </c>
      <c r="C3" s="1586" t="s">
        <v>25176</v>
      </c>
      <c r="D3" s="1586"/>
      <c r="E3" s="1586"/>
      <c r="F3" s="1586"/>
      <c r="G3" s="1586"/>
      <c r="H3" s="1586"/>
      <c r="I3" s="1586"/>
      <c r="J3" s="1586"/>
      <c r="K3" s="1586"/>
      <c r="L3" s="1586"/>
      <c r="M3" s="1586"/>
      <c r="N3" s="1587"/>
    </row>
    <row r="4" spans="2:16" x14ac:dyDescent="0.3">
      <c r="B4" s="1103" t="s">
        <v>24671</v>
      </c>
      <c r="C4" s="1588" t="s">
        <v>5</v>
      </c>
      <c r="D4" s="1588"/>
      <c r="E4" s="1588"/>
      <c r="F4" s="1588"/>
      <c r="G4" s="1588"/>
      <c r="H4" s="1588"/>
      <c r="I4" s="1588"/>
      <c r="J4" s="1588"/>
      <c r="K4" s="1588"/>
      <c r="L4" s="1588"/>
      <c r="M4" s="1588"/>
      <c r="N4" s="1589"/>
    </row>
    <row r="5" spans="2:16" ht="15.75" thickBot="1" x14ac:dyDescent="0.35">
      <c r="B5" s="1103" t="s">
        <v>24672</v>
      </c>
      <c r="C5" s="1590">
        <v>44501</v>
      </c>
      <c r="D5" s="1591"/>
      <c r="E5" s="1591"/>
      <c r="F5" s="1591"/>
      <c r="G5" s="1591"/>
      <c r="H5" s="1591"/>
      <c r="I5" s="1591"/>
      <c r="J5" s="1591"/>
      <c r="K5" s="1591"/>
      <c r="L5" s="1591"/>
      <c r="M5" s="1591"/>
      <c r="N5" s="1592"/>
    </row>
    <row r="6" spans="2:16" ht="30" x14ac:dyDescent="0.3">
      <c r="B6" s="1104" t="s">
        <v>0</v>
      </c>
      <c r="C6" s="1105" t="s">
        <v>24673</v>
      </c>
      <c r="D6" s="1593" t="s">
        <v>24674</v>
      </c>
      <c r="E6" s="1593"/>
      <c r="F6" s="1593"/>
      <c r="G6" s="1594"/>
      <c r="H6" s="1106" t="s">
        <v>111</v>
      </c>
      <c r="I6" s="1106" t="s">
        <v>24675</v>
      </c>
      <c r="J6" s="1106" t="s">
        <v>24676</v>
      </c>
      <c r="K6" s="1106" t="s">
        <v>24677</v>
      </c>
      <c r="L6" s="1106" t="s">
        <v>24678</v>
      </c>
      <c r="M6" s="1621" t="s">
        <v>24679</v>
      </c>
      <c r="N6" s="1622"/>
      <c r="P6" s="953"/>
    </row>
    <row r="7" spans="2:16" x14ac:dyDescent="0.3">
      <c r="B7" s="1107"/>
      <c r="C7" s="1108"/>
      <c r="D7" s="1595"/>
      <c r="E7" s="1595"/>
      <c r="F7" s="1595"/>
      <c r="G7" s="1596"/>
      <c r="H7" s="1109"/>
      <c r="I7" s="1109"/>
      <c r="J7" s="1109"/>
      <c r="K7" s="1109"/>
      <c r="L7" s="1109"/>
      <c r="M7" s="1597"/>
      <c r="N7" s="1620"/>
    </row>
    <row r="8" spans="2:16" x14ac:dyDescent="0.3">
      <c r="B8" s="1107"/>
      <c r="C8" s="1108"/>
      <c r="D8" s="1595"/>
      <c r="E8" s="1595"/>
      <c r="F8" s="1595"/>
      <c r="G8" s="1596"/>
      <c r="H8" s="1109"/>
      <c r="I8" s="1109"/>
      <c r="J8" s="1109"/>
      <c r="K8" s="1109"/>
      <c r="L8" s="1109"/>
      <c r="M8" s="1597"/>
      <c r="N8" s="1620"/>
    </row>
    <row r="9" spans="2:16" x14ac:dyDescent="0.3">
      <c r="B9" s="1107"/>
      <c r="C9" s="1108"/>
      <c r="D9" s="1595"/>
      <c r="E9" s="1595"/>
      <c r="F9" s="1595"/>
      <c r="G9" s="1596"/>
      <c r="H9" s="1109"/>
      <c r="I9" s="1109"/>
      <c r="J9" s="1109"/>
      <c r="K9" s="1109"/>
      <c r="L9" s="1109"/>
      <c r="M9" s="1597"/>
      <c r="N9" s="1620"/>
    </row>
    <row r="10" spans="2:16" ht="15.75" thickBot="1" x14ac:dyDescent="0.35">
      <c r="B10" s="855"/>
      <c r="C10" s="954"/>
      <c r="D10" s="954"/>
      <c r="E10" s="954"/>
      <c r="F10" s="1110"/>
      <c r="G10" s="1110"/>
      <c r="H10" s="1110"/>
      <c r="I10" s="1110"/>
      <c r="J10" s="1110"/>
      <c r="K10" s="1110"/>
      <c r="L10" s="1110"/>
      <c r="M10" s="1111" t="s">
        <v>24680</v>
      </c>
      <c r="N10" s="1112">
        <f>SUM(N7:N9)</f>
        <v>0</v>
      </c>
    </row>
    <row r="11" spans="2:16" ht="15.75" thickBot="1" x14ac:dyDescent="0.35">
      <c r="B11" s="850"/>
      <c r="C11" s="461"/>
      <c r="D11" s="461"/>
      <c r="E11" s="461"/>
      <c r="F11" s="461"/>
      <c r="G11" s="461"/>
      <c r="H11" s="461"/>
      <c r="I11" s="461"/>
      <c r="J11" s="461"/>
      <c r="K11" s="461"/>
      <c r="L11" s="461"/>
      <c r="M11" s="461"/>
      <c r="N11" s="1113"/>
    </row>
    <row r="12" spans="2:16" ht="45" x14ac:dyDescent="0.3">
      <c r="B12" s="1104" t="s">
        <v>0</v>
      </c>
      <c r="C12" s="1105" t="s">
        <v>24673</v>
      </c>
      <c r="D12" s="1593" t="s">
        <v>24681</v>
      </c>
      <c r="E12" s="1593"/>
      <c r="F12" s="1593"/>
      <c r="G12" s="1593"/>
      <c r="H12" s="1594"/>
      <c r="I12" s="1106" t="s">
        <v>3686</v>
      </c>
      <c r="J12" s="1106" t="s">
        <v>24682</v>
      </c>
      <c r="K12" s="1106" t="s">
        <v>25177</v>
      </c>
      <c r="L12" s="1106" t="s">
        <v>25178</v>
      </c>
      <c r="M12" s="1106" t="s">
        <v>24683</v>
      </c>
      <c r="N12" s="1114" t="s">
        <v>24679</v>
      </c>
    </row>
    <row r="13" spans="2:16" x14ac:dyDescent="0.3">
      <c r="B13" s="1115">
        <v>10140</v>
      </c>
      <c r="C13" s="1116" t="s">
        <v>4379</v>
      </c>
      <c r="D13" s="1604" t="s">
        <v>25179</v>
      </c>
      <c r="E13" s="1604"/>
      <c r="F13" s="1604"/>
      <c r="G13" s="1604"/>
      <c r="H13" s="1605"/>
      <c r="I13" s="1109" t="s">
        <v>75</v>
      </c>
      <c r="J13" s="1117">
        <v>1.5727</v>
      </c>
      <c r="K13" s="1109">
        <v>7.43</v>
      </c>
      <c r="L13" s="1109">
        <f>K13*(1+J13)</f>
        <v>19.12</v>
      </c>
      <c r="M13" s="1118">
        <v>0.35</v>
      </c>
      <c r="N13" s="1119">
        <f>M13*L13</f>
        <v>6.69</v>
      </c>
      <c r="P13" s="1069"/>
    </row>
    <row r="14" spans="2:16" x14ac:dyDescent="0.3">
      <c r="B14" s="1115">
        <v>10101</v>
      </c>
      <c r="C14" s="1116" t="s">
        <v>4379</v>
      </c>
      <c r="D14" s="1604" t="s">
        <v>25180</v>
      </c>
      <c r="E14" s="1604"/>
      <c r="F14" s="1604"/>
      <c r="G14" s="1604"/>
      <c r="H14" s="1605"/>
      <c r="I14" s="1109" t="s">
        <v>75</v>
      </c>
      <c r="J14" s="1117">
        <v>1.5727</v>
      </c>
      <c r="K14" s="1109">
        <v>6.27</v>
      </c>
      <c r="L14" s="1109">
        <f>K14*(1+J14)</f>
        <v>16.13</v>
      </c>
      <c r="M14" s="1118">
        <v>0.4</v>
      </c>
      <c r="N14" s="1119">
        <f>M14*L14</f>
        <v>6.45</v>
      </c>
    </row>
    <row r="15" spans="2:16" ht="15.75" thickBot="1" x14ac:dyDescent="0.35">
      <c r="B15" s="855"/>
      <c r="C15" s="954"/>
      <c r="D15" s="954"/>
      <c r="E15" s="954"/>
      <c r="F15" s="1110"/>
      <c r="G15" s="1110"/>
      <c r="H15" s="1110"/>
      <c r="I15" s="1110"/>
      <c r="J15" s="1110"/>
      <c r="K15" s="1110"/>
      <c r="L15" s="1110"/>
      <c r="M15" s="1111" t="s">
        <v>24684</v>
      </c>
      <c r="N15" s="1112">
        <f>SUM(N13:N14)</f>
        <v>13.14</v>
      </c>
    </row>
    <row r="16" spans="2:16" ht="15.75" thickBot="1" x14ac:dyDescent="0.35">
      <c r="B16" s="850"/>
      <c r="C16" s="461"/>
      <c r="D16" s="461"/>
      <c r="E16" s="461"/>
      <c r="F16" s="461"/>
      <c r="G16" s="461"/>
      <c r="H16" s="461"/>
      <c r="I16" s="1120"/>
      <c r="J16" s="1120"/>
      <c r="K16" s="461"/>
      <c r="L16" s="461"/>
      <c r="M16" s="461"/>
      <c r="N16" s="1113"/>
    </row>
    <row r="17" spans="2:14" ht="30" x14ac:dyDescent="0.3">
      <c r="B17" s="1104" t="s">
        <v>0</v>
      </c>
      <c r="C17" s="1105" t="s">
        <v>24673</v>
      </c>
      <c r="D17" s="1593" t="s">
        <v>24685</v>
      </c>
      <c r="E17" s="1593"/>
      <c r="F17" s="1593"/>
      <c r="G17" s="1593"/>
      <c r="H17" s="1594"/>
      <c r="I17" s="1106" t="s">
        <v>2858</v>
      </c>
      <c r="J17" s="1106" t="s">
        <v>24686</v>
      </c>
      <c r="K17" s="1106" t="s">
        <v>24687</v>
      </c>
      <c r="L17" s="1614" t="s">
        <v>24688</v>
      </c>
      <c r="M17" s="1615"/>
      <c r="N17" s="1114" t="s">
        <v>24689</v>
      </c>
    </row>
    <row r="18" spans="2:14" x14ac:dyDescent="0.3">
      <c r="B18" s="1115">
        <v>2000</v>
      </c>
      <c r="C18" s="1116" t="s">
        <v>4389</v>
      </c>
      <c r="D18" s="1604" t="s">
        <v>25181</v>
      </c>
      <c r="E18" s="1604"/>
      <c r="F18" s="1604"/>
      <c r="G18" s="1604"/>
      <c r="H18" s="1605"/>
      <c r="I18" s="1109">
        <v>5</v>
      </c>
      <c r="J18" s="1109" t="s">
        <v>25182</v>
      </c>
      <c r="K18" s="1109"/>
      <c r="L18" s="1597"/>
      <c r="M18" s="1598"/>
      <c r="N18" s="1119">
        <f>N15*(I18/100)</f>
        <v>0.66</v>
      </c>
    </row>
    <row r="19" spans="2:14" x14ac:dyDescent="0.3">
      <c r="B19" s="850"/>
      <c r="C19" s="461"/>
      <c r="D19" s="461"/>
      <c r="E19" s="461"/>
      <c r="F19" s="1120"/>
      <c r="G19" s="1120"/>
      <c r="H19" s="1120"/>
      <c r="I19" s="1120"/>
      <c r="J19" s="1120"/>
      <c r="K19" s="1120"/>
      <c r="L19" s="1120"/>
      <c r="M19" s="1121" t="s">
        <v>24690</v>
      </c>
      <c r="N19" s="1122">
        <f>SUM(N18:N18)</f>
        <v>0.66</v>
      </c>
    </row>
    <row r="20" spans="2:14" x14ac:dyDescent="0.3">
      <c r="B20" s="850"/>
      <c r="C20" s="461"/>
      <c r="D20" s="461"/>
      <c r="E20" s="461"/>
      <c r="F20" s="461"/>
      <c r="G20" s="461"/>
      <c r="H20" s="461"/>
      <c r="I20" s="461"/>
      <c r="J20" s="461"/>
      <c r="K20" s="461"/>
      <c r="L20" s="461"/>
      <c r="M20" s="461"/>
      <c r="N20" s="1113"/>
    </row>
    <row r="21" spans="2:14" x14ac:dyDescent="0.3">
      <c r="B21" s="850"/>
      <c r="C21" s="461"/>
      <c r="D21" s="461"/>
      <c r="E21" s="461"/>
      <c r="F21" s="1120"/>
      <c r="G21" s="1120"/>
      <c r="H21" s="1120"/>
      <c r="I21" s="863"/>
      <c r="J21" s="863"/>
      <c r="K21" s="863"/>
      <c r="L21" s="863"/>
      <c r="M21" s="1121" t="s">
        <v>24691</v>
      </c>
      <c r="N21" s="1123">
        <f>N10+N15+N19</f>
        <v>13.8</v>
      </c>
    </row>
    <row r="22" spans="2:14" x14ac:dyDescent="0.3">
      <c r="B22" s="850"/>
      <c r="C22" s="461"/>
      <c r="D22" s="461"/>
      <c r="E22" s="461"/>
      <c r="F22" s="1120"/>
      <c r="G22" s="1120"/>
      <c r="H22" s="1120"/>
      <c r="I22" s="1120"/>
      <c r="J22" s="1124"/>
      <c r="K22" s="1124"/>
      <c r="L22" s="1124"/>
      <c r="M22" s="1125" t="s">
        <v>24692</v>
      </c>
      <c r="N22" s="1123">
        <v>1</v>
      </c>
    </row>
    <row r="23" spans="2:14" ht="15.75" thickBot="1" x14ac:dyDescent="0.35">
      <c r="B23" s="855"/>
      <c r="C23" s="954"/>
      <c r="D23" s="954"/>
      <c r="E23" s="954"/>
      <c r="F23" s="1110"/>
      <c r="G23" s="1110"/>
      <c r="H23" s="1110"/>
      <c r="I23" s="1110"/>
      <c r="J23" s="1110"/>
      <c r="K23" s="1110"/>
      <c r="L23" s="1110"/>
      <c r="M23" s="1111" t="s">
        <v>24693</v>
      </c>
      <c r="N23" s="1126">
        <f>TRUNC(N21/N22,2)</f>
        <v>13.8</v>
      </c>
    </row>
    <row r="24" spans="2:14" ht="15.75" thickBot="1" x14ac:dyDescent="0.35">
      <c r="B24" s="850"/>
      <c r="C24" s="461"/>
      <c r="D24" s="461"/>
      <c r="E24" s="461"/>
      <c r="F24" s="461"/>
      <c r="G24" s="461"/>
      <c r="H24" s="461"/>
      <c r="I24" s="461"/>
      <c r="J24" s="461"/>
      <c r="K24" s="461"/>
      <c r="L24" s="461"/>
      <c r="M24" s="461"/>
      <c r="N24" s="1113"/>
    </row>
    <row r="25" spans="2:14" ht="30" x14ac:dyDescent="0.3">
      <c r="B25" s="1104" t="s">
        <v>0</v>
      </c>
      <c r="C25" s="1105" t="s">
        <v>24673</v>
      </c>
      <c r="D25" s="1593" t="s">
        <v>24694</v>
      </c>
      <c r="E25" s="1593"/>
      <c r="F25" s="1593"/>
      <c r="G25" s="1593"/>
      <c r="H25" s="1593"/>
      <c r="I25" s="1594"/>
      <c r="J25" s="1106" t="s">
        <v>3686</v>
      </c>
      <c r="K25" s="1106" t="s">
        <v>24695</v>
      </c>
      <c r="L25" s="1614" t="s">
        <v>24683</v>
      </c>
      <c r="M25" s="1615"/>
      <c r="N25" s="1114" t="s">
        <v>24689</v>
      </c>
    </row>
    <row r="26" spans="2:14" ht="30" x14ac:dyDescent="0.3">
      <c r="B26" s="1115" t="s">
        <v>24795</v>
      </c>
      <c r="C26" s="1116" t="s">
        <v>25183</v>
      </c>
      <c r="D26" s="1604" t="s">
        <v>25184</v>
      </c>
      <c r="E26" s="1604"/>
      <c r="F26" s="1604"/>
      <c r="G26" s="1604"/>
      <c r="H26" s="1604"/>
      <c r="I26" s="1605"/>
      <c r="J26" s="1109" t="s">
        <v>77</v>
      </c>
      <c r="K26" s="1109">
        <f>'MAPA DE COT. - Quiosque'!J4</f>
        <v>26.04</v>
      </c>
      <c r="L26" s="1635">
        <v>1</v>
      </c>
      <c r="M26" s="1636"/>
      <c r="N26" s="1119">
        <f>L26*K26</f>
        <v>26.04</v>
      </c>
    </row>
    <row r="27" spans="2:14" ht="15.75" thickBot="1" x14ac:dyDescent="0.35">
      <c r="B27" s="855"/>
      <c r="C27" s="954"/>
      <c r="D27" s="954"/>
      <c r="E27" s="954"/>
      <c r="F27" s="1110"/>
      <c r="G27" s="1110"/>
      <c r="H27" s="1110"/>
      <c r="I27" s="1110"/>
      <c r="J27" s="1110"/>
      <c r="K27" s="1110"/>
      <c r="L27" s="1110"/>
      <c r="M27" s="1111" t="s">
        <v>24696</v>
      </c>
      <c r="N27" s="1112">
        <f>SUM(N26:N26)</f>
        <v>26.04</v>
      </c>
    </row>
    <row r="28" spans="2:14" ht="15.75" thickBot="1" x14ac:dyDescent="0.35">
      <c r="B28" s="850"/>
      <c r="C28" s="461"/>
      <c r="D28" s="461"/>
      <c r="E28" s="461"/>
      <c r="F28" s="461"/>
      <c r="G28" s="461"/>
      <c r="H28" s="461"/>
      <c r="I28" s="461"/>
      <c r="J28" s="461"/>
      <c r="K28" s="461"/>
      <c r="L28" s="461"/>
      <c r="M28" s="461"/>
      <c r="N28" s="1113"/>
    </row>
    <row r="29" spans="2:14" ht="30" x14ac:dyDescent="0.3">
      <c r="B29" s="1104" t="s">
        <v>0</v>
      </c>
      <c r="C29" s="1106" t="s">
        <v>24673</v>
      </c>
      <c r="D29" s="1593" t="s">
        <v>24697</v>
      </c>
      <c r="E29" s="1593"/>
      <c r="F29" s="1593"/>
      <c r="G29" s="1593"/>
      <c r="H29" s="1593"/>
      <c r="I29" s="1594"/>
      <c r="J29" s="1106" t="s">
        <v>3686</v>
      </c>
      <c r="K29" s="1106" t="s">
        <v>24695</v>
      </c>
      <c r="L29" s="1614" t="s">
        <v>24683</v>
      </c>
      <c r="M29" s="1615"/>
      <c r="N29" s="1114" t="s">
        <v>24689</v>
      </c>
    </row>
    <row r="30" spans="2:14" x14ac:dyDescent="0.3">
      <c r="B30" s="1127"/>
      <c r="C30" s="1128"/>
      <c r="D30" s="1604"/>
      <c r="E30" s="1604"/>
      <c r="F30" s="1604"/>
      <c r="G30" s="1604"/>
      <c r="H30" s="1604"/>
      <c r="I30" s="1605"/>
      <c r="J30" s="462"/>
      <c r="K30" s="462"/>
      <c r="L30" s="1612"/>
      <c r="M30" s="1613"/>
      <c r="N30" s="1130"/>
    </row>
    <row r="31" spans="2:14" ht="15.75" thickBot="1" x14ac:dyDescent="0.35">
      <c r="B31" s="855"/>
      <c r="C31" s="954"/>
      <c r="D31" s="954"/>
      <c r="E31" s="954"/>
      <c r="F31" s="1110"/>
      <c r="G31" s="1110"/>
      <c r="H31" s="1110"/>
      <c r="I31" s="1110"/>
      <c r="J31" s="1110"/>
      <c r="K31" s="1110"/>
      <c r="L31" s="1110"/>
      <c r="M31" s="1111" t="s">
        <v>24698</v>
      </c>
      <c r="N31" s="1112">
        <f>SUM(N30:N30)</f>
        <v>0</v>
      </c>
    </row>
    <row r="32" spans="2:14" ht="15.75" thickBot="1" x14ac:dyDescent="0.35">
      <c r="B32" s="850"/>
      <c r="C32" s="461"/>
      <c r="D32" s="461"/>
      <c r="E32" s="461"/>
      <c r="F32" s="461"/>
      <c r="G32" s="461"/>
      <c r="H32" s="461"/>
      <c r="I32" s="461"/>
      <c r="J32" s="461"/>
      <c r="K32" s="461"/>
      <c r="L32" s="461"/>
      <c r="M32" s="461"/>
      <c r="N32" s="1113"/>
    </row>
    <row r="33" spans="2:14" ht="30" x14ac:dyDescent="0.3">
      <c r="B33" s="1104" t="s">
        <v>0</v>
      </c>
      <c r="C33" s="1106" t="s">
        <v>24673</v>
      </c>
      <c r="D33" s="1593" t="s">
        <v>24699</v>
      </c>
      <c r="E33" s="1593"/>
      <c r="F33" s="1593"/>
      <c r="G33" s="1594"/>
      <c r="H33" s="1106" t="s">
        <v>3686</v>
      </c>
      <c r="I33" s="1106" t="s">
        <v>24700</v>
      </c>
      <c r="J33" s="1106" t="s">
        <v>24701</v>
      </c>
      <c r="K33" s="1106" t="s">
        <v>24695</v>
      </c>
      <c r="L33" s="1614" t="s">
        <v>24683</v>
      </c>
      <c r="M33" s="1615"/>
      <c r="N33" s="1114" t="s">
        <v>24689</v>
      </c>
    </row>
    <row r="34" spans="2:14" x14ac:dyDescent="0.3">
      <c r="B34" s="1115"/>
      <c r="C34" s="1116"/>
      <c r="D34" s="1595"/>
      <c r="E34" s="1595"/>
      <c r="F34" s="1595"/>
      <c r="G34" s="1595"/>
      <c r="H34" s="1109"/>
      <c r="I34" s="1109"/>
      <c r="J34" s="1109"/>
      <c r="K34" s="1109"/>
      <c r="L34" s="1597"/>
      <c r="M34" s="1598"/>
      <c r="N34" s="1119"/>
    </row>
    <row r="35" spans="2:14" x14ac:dyDescent="0.3">
      <c r="B35" s="1115"/>
      <c r="C35" s="1116"/>
      <c r="D35" s="1595"/>
      <c r="E35" s="1595"/>
      <c r="F35" s="1595"/>
      <c r="G35" s="1595"/>
      <c r="H35" s="1109"/>
      <c r="I35" s="1109"/>
      <c r="J35" s="1109"/>
      <c r="K35" s="1109"/>
      <c r="L35" s="1597"/>
      <c r="M35" s="1598"/>
      <c r="N35" s="1119"/>
    </row>
    <row r="36" spans="2:14" x14ac:dyDescent="0.3">
      <c r="B36" s="1115"/>
      <c r="C36" s="1116"/>
      <c r="D36" s="1595"/>
      <c r="E36" s="1595"/>
      <c r="F36" s="1595"/>
      <c r="G36" s="1595"/>
      <c r="H36" s="1109"/>
      <c r="I36" s="1109"/>
      <c r="J36" s="1109"/>
      <c r="K36" s="1109"/>
      <c r="L36" s="1597"/>
      <c r="M36" s="1598"/>
      <c r="N36" s="1119"/>
    </row>
    <row r="37" spans="2:14" x14ac:dyDescent="0.3">
      <c r="B37" s="850"/>
      <c r="C37" s="461"/>
      <c r="D37" s="461"/>
      <c r="E37" s="461"/>
      <c r="F37" s="1120"/>
      <c r="G37" s="1120"/>
      <c r="H37" s="1120"/>
      <c r="I37" s="1120"/>
      <c r="J37" s="1120"/>
      <c r="K37" s="1120"/>
      <c r="L37" s="1120"/>
      <c r="M37" s="1121" t="s">
        <v>24702</v>
      </c>
      <c r="N37" s="1122">
        <f>SUM(N34:N36)</f>
        <v>0</v>
      </c>
    </row>
    <row r="38" spans="2:14" x14ac:dyDescent="0.3">
      <c r="B38" s="850"/>
      <c r="C38" s="461"/>
      <c r="D38" s="461"/>
      <c r="E38" s="461"/>
      <c r="F38" s="461"/>
      <c r="G38" s="461"/>
      <c r="H38" s="461"/>
      <c r="I38" s="461"/>
      <c r="J38" s="461"/>
      <c r="K38" s="461"/>
      <c r="L38" s="461"/>
      <c r="M38" s="461"/>
      <c r="N38" s="1113"/>
    </row>
    <row r="39" spans="2:14" x14ac:dyDescent="0.3">
      <c r="B39" s="1131"/>
      <c r="C39" s="1132"/>
      <c r="D39" s="1132"/>
      <c r="E39" s="1132"/>
      <c r="F39" s="1133"/>
      <c r="G39" s="1133"/>
      <c r="H39" s="1133"/>
      <c r="I39" s="1133"/>
      <c r="J39" s="1133"/>
      <c r="K39" s="1133"/>
      <c r="L39" s="1133"/>
      <c r="M39" s="1134" t="s">
        <v>24703</v>
      </c>
      <c r="N39" s="1123">
        <f>N23+N27+N31+N37</f>
        <v>39.840000000000003</v>
      </c>
    </row>
    <row r="40" spans="2:14" x14ac:dyDescent="0.3">
      <c r="B40" s="850"/>
      <c r="C40" s="461"/>
      <c r="D40" s="461"/>
      <c r="E40" s="461"/>
      <c r="F40" s="1120"/>
      <c r="G40" s="1120"/>
      <c r="H40" s="1120"/>
      <c r="I40" s="1120"/>
      <c r="J40" s="1120"/>
      <c r="K40" s="1135"/>
      <c r="L40" s="1135"/>
      <c r="M40" s="1136">
        <f>'QUIOSQUE - MOD 01'!I3</f>
        <v>0.28220000000000001</v>
      </c>
      <c r="N40" s="1123">
        <f>ROUND(N39*M40,2)</f>
        <v>11.24</v>
      </c>
    </row>
    <row r="41" spans="2:14" ht="15.75" thickBot="1" x14ac:dyDescent="0.35">
      <c r="B41" s="1599" t="s">
        <v>24704</v>
      </c>
      <c r="C41" s="1600"/>
      <c r="D41" s="1600"/>
      <c r="E41" s="1600"/>
      <c r="F41" s="1600"/>
      <c r="G41" s="1600"/>
      <c r="H41" s="1600"/>
      <c r="I41" s="1600"/>
      <c r="J41" s="1600"/>
      <c r="K41" s="1600"/>
      <c r="L41" s="1600"/>
      <c r="M41" s="1601"/>
      <c r="N41" s="1126">
        <f>N39+N40</f>
        <v>51.08</v>
      </c>
    </row>
    <row r="45" spans="2:14" ht="15.75" thickBot="1" x14ac:dyDescent="0.35"/>
    <row r="46" spans="2:14" ht="45" customHeight="1" x14ac:dyDescent="0.3">
      <c r="B46" s="1607" t="s">
        <v>24874</v>
      </c>
      <c r="C46" s="1608"/>
      <c r="D46" s="1609"/>
      <c r="E46" s="1610" t="s">
        <v>24669</v>
      </c>
      <c r="F46" s="1610"/>
      <c r="G46" s="1610"/>
      <c r="H46" s="1610"/>
      <c r="I46" s="1610"/>
      <c r="J46" s="1610"/>
      <c r="K46" s="1610"/>
      <c r="L46" s="1623"/>
      <c r="M46" s="1576"/>
      <c r="N46" s="1577"/>
    </row>
    <row r="47" spans="2:14" x14ac:dyDescent="0.3">
      <c r="B47" s="1103" t="s">
        <v>24670</v>
      </c>
      <c r="C47" s="1586" t="s">
        <v>25185</v>
      </c>
      <c r="D47" s="1586"/>
      <c r="E47" s="1586"/>
      <c r="F47" s="1586"/>
      <c r="G47" s="1586"/>
      <c r="H47" s="1586"/>
      <c r="I47" s="1586"/>
      <c r="J47" s="1586"/>
      <c r="K47" s="1586"/>
      <c r="L47" s="1586"/>
      <c r="M47" s="1586"/>
      <c r="N47" s="1587"/>
    </row>
    <row r="48" spans="2:14" x14ac:dyDescent="0.3">
      <c r="B48" s="1103" t="s">
        <v>24671</v>
      </c>
      <c r="C48" s="1588" t="s">
        <v>8</v>
      </c>
      <c r="D48" s="1588"/>
      <c r="E48" s="1588"/>
      <c r="F48" s="1588"/>
      <c r="G48" s="1588"/>
      <c r="H48" s="1588"/>
      <c r="I48" s="1588"/>
      <c r="J48" s="1588"/>
      <c r="K48" s="1588"/>
      <c r="L48" s="1588"/>
      <c r="M48" s="1588"/>
      <c r="N48" s="1589"/>
    </row>
    <row r="49" spans="2:14" ht="15.75" thickBot="1" x14ac:dyDescent="0.35">
      <c r="B49" s="1103" t="s">
        <v>24672</v>
      </c>
      <c r="C49" s="1590">
        <v>44501</v>
      </c>
      <c r="D49" s="1591"/>
      <c r="E49" s="1591"/>
      <c r="F49" s="1591"/>
      <c r="G49" s="1591"/>
      <c r="H49" s="1591"/>
      <c r="I49" s="1591"/>
      <c r="J49" s="1591"/>
      <c r="K49" s="1591"/>
      <c r="L49" s="1591"/>
      <c r="M49" s="1591"/>
      <c r="N49" s="1592"/>
    </row>
    <row r="50" spans="2:14" ht="30" x14ac:dyDescent="0.3">
      <c r="B50" s="1104" t="s">
        <v>0</v>
      </c>
      <c r="C50" s="1105" t="s">
        <v>24673</v>
      </c>
      <c r="D50" s="1593" t="s">
        <v>24674</v>
      </c>
      <c r="E50" s="1593"/>
      <c r="F50" s="1593"/>
      <c r="G50" s="1594"/>
      <c r="H50" s="1106" t="s">
        <v>111</v>
      </c>
      <c r="I50" s="1106" t="s">
        <v>24675</v>
      </c>
      <c r="J50" s="1106" t="s">
        <v>24676</v>
      </c>
      <c r="K50" s="1106" t="s">
        <v>24677</v>
      </c>
      <c r="L50" s="1106" t="s">
        <v>24678</v>
      </c>
      <c r="M50" s="1621" t="s">
        <v>24679</v>
      </c>
      <c r="N50" s="1622"/>
    </row>
    <row r="51" spans="2:14" x14ac:dyDescent="0.3">
      <c r="B51" s="1107"/>
      <c r="C51" s="1108"/>
      <c r="D51" s="1595"/>
      <c r="E51" s="1595"/>
      <c r="F51" s="1595"/>
      <c r="G51" s="1596"/>
      <c r="H51" s="1109"/>
      <c r="I51" s="1109"/>
      <c r="J51" s="1109"/>
      <c r="K51" s="1109"/>
      <c r="L51" s="1109"/>
      <c r="M51" s="1597"/>
      <c r="N51" s="1620"/>
    </row>
    <row r="52" spans="2:14" x14ac:dyDescent="0.3">
      <c r="B52" s="1107"/>
      <c r="C52" s="1108"/>
      <c r="D52" s="1595"/>
      <c r="E52" s="1595"/>
      <c r="F52" s="1595"/>
      <c r="G52" s="1596"/>
      <c r="H52" s="1109"/>
      <c r="I52" s="1109"/>
      <c r="J52" s="1109"/>
      <c r="K52" s="1109"/>
      <c r="L52" s="1109"/>
      <c r="M52" s="1597"/>
      <c r="N52" s="1620"/>
    </row>
    <row r="53" spans="2:14" x14ac:dyDescent="0.3">
      <c r="B53" s="1107"/>
      <c r="C53" s="1108"/>
      <c r="D53" s="1595"/>
      <c r="E53" s="1595"/>
      <c r="F53" s="1595"/>
      <c r="G53" s="1596"/>
      <c r="H53" s="1109"/>
      <c r="I53" s="1109"/>
      <c r="J53" s="1109"/>
      <c r="K53" s="1109"/>
      <c r="L53" s="1109"/>
      <c r="M53" s="1597"/>
      <c r="N53" s="1620"/>
    </row>
    <row r="54" spans="2:14" ht="15.75" thickBot="1" x14ac:dyDescent="0.35">
      <c r="B54" s="855"/>
      <c r="C54" s="954"/>
      <c r="D54" s="954"/>
      <c r="E54" s="954"/>
      <c r="F54" s="1110"/>
      <c r="G54" s="1110"/>
      <c r="H54" s="1110"/>
      <c r="I54" s="1110"/>
      <c r="J54" s="1110"/>
      <c r="K54" s="1110"/>
      <c r="L54" s="1110"/>
      <c r="M54" s="1111" t="s">
        <v>24680</v>
      </c>
      <c r="N54" s="1112">
        <f>SUM(N51:N53)</f>
        <v>0</v>
      </c>
    </row>
    <row r="55" spans="2:14" ht="15.75" thickBot="1" x14ac:dyDescent="0.35">
      <c r="B55" s="850"/>
      <c r="C55" s="461"/>
      <c r="D55" s="461"/>
      <c r="E55" s="461"/>
      <c r="F55" s="461"/>
      <c r="G55" s="461"/>
      <c r="H55" s="461"/>
      <c r="I55" s="461"/>
      <c r="J55" s="461"/>
      <c r="K55" s="461"/>
      <c r="L55" s="461"/>
      <c r="M55" s="461"/>
      <c r="N55" s="1113"/>
    </row>
    <row r="56" spans="2:14" ht="45" x14ac:dyDescent="0.3">
      <c r="B56" s="1104" t="s">
        <v>0</v>
      </c>
      <c r="C56" s="1105" t="s">
        <v>24673</v>
      </c>
      <c r="D56" s="1593" t="s">
        <v>24681</v>
      </c>
      <c r="E56" s="1593"/>
      <c r="F56" s="1593"/>
      <c r="G56" s="1593"/>
      <c r="H56" s="1594"/>
      <c r="I56" s="1106" t="s">
        <v>3686</v>
      </c>
      <c r="J56" s="1106" t="s">
        <v>24682</v>
      </c>
      <c r="K56" s="1106" t="s">
        <v>25177</v>
      </c>
      <c r="L56" s="1106" t="s">
        <v>25178</v>
      </c>
      <c r="M56" s="1137" t="s">
        <v>24683</v>
      </c>
      <c r="N56" s="1114" t="s">
        <v>24679</v>
      </c>
    </row>
    <row r="57" spans="2:14" x14ac:dyDescent="0.3">
      <c r="B57" s="1115">
        <v>10118</v>
      </c>
      <c r="C57" s="1116" t="s">
        <v>4379</v>
      </c>
      <c r="D57" s="1604" t="s">
        <v>25186</v>
      </c>
      <c r="E57" s="1604"/>
      <c r="F57" s="1604"/>
      <c r="G57" s="1604"/>
      <c r="H57" s="1605"/>
      <c r="I57" s="1109" t="s">
        <v>75</v>
      </c>
      <c r="J57" s="1117">
        <v>1.5727</v>
      </c>
      <c r="K57" s="1109">
        <v>7.43</v>
      </c>
      <c r="L57" s="1138">
        <f>K57*(1+J57)</f>
        <v>19.12</v>
      </c>
      <c r="M57" s="1139">
        <v>0.2</v>
      </c>
      <c r="N57" s="1119">
        <f>M57*L57</f>
        <v>3.82</v>
      </c>
    </row>
    <row r="58" spans="2:14" x14ac:dyDescent="0.3">
      <c r="B58" s="1115">
        <v>10146</v>
      </c>
      <c r="C58" s="1116" t="s">
        <v>4379</v>
      </c>
      <c r="D58" s="1604" t="s">
        <v>25187</v>
      </c>
      <c r="E58" s="1604"/>
      <c r="F58" s="1604"/>
      <c r="G58" s="1604"/>
      <c r="H58" s="1605"/>
      <c r="I58" s="1109" t="s">
        <v>75</v>
      </c>
      <c r="J58" s="1117">
        <v>1.5727</v>
      </c>
      <c r="K58" s="1109">
        <v>5.46</v>
      </c>
      <c r="L58" s="1138">
        <f>K58*(1+J58)</f>
        <v>14.05</v>
      </c>
      <c r="M58" s="1139">
        <v>0.2</v>
      </c>
      <c r="N58" s="1119">
        <f>M58*L58</f>
        <v>2.81</v>
      </c>
    </row>
    <row r="59" spans="2:14" ht="15.75" thickBot="1" x14ac:dyDescent="0.35">
      <c r="B59" s="855"/>
      <c r="C59" s="954"/>
      <c r="D59" s="954"/>
      <c r="E59" s="954"/>
      <c r="F59" s="1110"/>
      <c r="G59" s="1110"/>
      <c r="H59" s="1110"/>
      <c r="I59" s="1110"/>
      <c r="J59" s="1110"/>
      <c r="K59" s="1110"/>
      <c r="L59" s="1110"/>
      <c r="M59" s="1111" t="s">
        <v>24684</v>
      </c>
      <c r="N59" s="1112">
        <f>SUM(N57:N58)</f>
        <v>6.63</v>
      </c>
    </row>
    <row r="60" spans="2:14" ht="15.75" thickBot="1" x14ac:dyDescent="0.35">
      <c r="B60" s="850"/>
      <c r="C60" s="461"/>
      <c r="D60" s="461"/>
      <c r="E60" s="461"/>
      <c r="F60" s="461"/>
      <c r="G60" s="461"/>
      <c r="H60" s="461"/>
      <c r="I60" s="1120"/>
      <c r="J60" s="1120"/>
      <c r="K60" s="461"/>
      <c r="L60" s="461"/>
      <c r="M60" s="461"/>
      <c r="N60" s="1113"/>
    </row>
    <row r="61" spans="2:14" ht="30" x14ac:dyDescent="0.3">
      <c r="B61" s="1104" t="s">
        <v>0</v>
      </c>
      <c r="C61" s="1105" t="s">
        <v>24673</v>
      </c>
      <c r="D61" s="1593" t="s">
        <v>24685</v>
      </c>
      <c r="E61" s="1593"/>
      <c r="F61" s="1593"/>
      <c r="G61" s="1593"/>
      <c r="H61" s="1594"/>
      <c r="I61" s="1106" t="s">
        <v>2858</v>
      </c>
      <c r="J61" s="1106" t="s">
        <v>24686</v>
      </c>
      <c r="K61" s="1106" t="s">
        <v>24687</v>
      </c>
      <c r="L61" s="1614" t="s">
        <v>24688</v>
      </c>
      <c r="M61" s="1615"/>
      <c r="N61" s="1114" t="s">
        <v>24689</v>
      </c>
    </row>
    <row r="62" spans="2:14" x14ac:dyDescent="0.3">
      <c r="B62" s="1115">
        <v>2000</v>
      </c>
      <c r="C62" s="1116" t="s">
        <v>4389</v>
      </c>
      <c r="D62" s="1604" t="s">
        <v>25181</v>
      </c>
      <c r="E62" s="1604"/>
      <c r="F62" s="1604"/>
      <c r="G62" s="1604"/>
      <c r="H62" s="1605"/>
      <c r="I62" s="1109">
        <v>5</v>
      </c>
      <c r="J62" s="1109" t="s">
        <v>25182</v>
      </c>
      <c r="K62" s="1109"/>
      <c r="L62" s="1597"/>
      <c r="M62" s="1598"/>
      <c r="N62" s="1119">
        <f>N59*(I62/100)</f>
        <v>0.33</v>
      </c>
    </row>
    <row r="63" spans="2:14" x14ac:dyDescent="0.3">
      <c r="B63" s="850"/>
      <c r="C63" s="461"/>
      <c r="D63" s="461"/>
      <c r="E63" s="461"/>
      <c r="F63" s="1120"/>
      <c r="G63" s="1120"/>
      <c r="H63" s="1120"/>
      <c r="I63" s="1120"/>
      <c r="J63" s="1120"/>
      <c r="K63" s="1120"/>
      <c r="L63" s="1120"/>
      <c r="M63" s="1121" t="s">
        <v>24690</v>
      </c>
      <c r="N63" s="1122">
        <f>SUM(N62:N62)</f>
        <v>0.33</v>
      </c>
    </row>
    <row r="64" spans="2:14" x14ac:dyDescent="0.3">
      <c r="B64" s="850"/>
      <c r="C64" s="461"/>
      <c r="D64" s="461"/>
      <c r="E64" s="461"/>
      <c r="F64" s="461"/>
      <c r="G64" s="461"/>
      <c r="H64" s="461"/>
      <c r="I64" s="461"/>
      <c r="J64" s="461"/>
      <c r="K64" s="461"/>
      <c r="L64" s="461"/>
      <c r="M64" s="461"/>
      <c r="N64" s="1113"/>
    </row>
    <row r="65" spans="2:14" x14ac:dyDescent="0.3">
      <c r="B65" s="850"/>
      <c r="C65" s="461"/>
      <c r="D65" s="461"/>
      <c r="E65" s="461"/>
      <c r="F65" s="1120"/>
      <c r="G65" s="1120"/>
      <c r="H65" s="1120"/>
      <c r="I65" s="863"/>
      <c r="J65" s="863"/>
      <c r="K65" s="863"/>
      <c r="L65" s="863"/>
      <c r="M65" s="1121" t="s">
        <v>24691</v>
      </c>
      <c r="N65" s="1123">
        <f>N54+N59+N63</f>
        <v>6.96</v>
      </c>
    </row>
    <row r="66" spans="2:14" x14ac:dyDescent="0.3">
      <c r="B66" s="850"/>
      <c r="C66" s="461"/>
      <c r="D66" s="461"/>
      <c r="E66" s="461"/>
      <c r="F66" s="1120"/>
      <c r="G66" s="1120"/>
      <c r="H66" s="1120"/>
      <c r="I66" s="1120"/>
      <c r="J66" s="1124"/>
      <c r="K66" s="1124"/>
      <c r="L66" s="1124"/>
      <c r="M66" s="1125" t="s">
        <v>24692</v>
      </c>
      <c r="N66" s="1123">
        <v>1</v>
      </c>
    </row>
    <row r="67" spans="2:14" ht="15.75" thickBot="1" x14ac:dyDescent="0.35">
      <c r="B67" s="855"/>
      <c r="C67" s="954"/>
      <c r="D67" s="954"/>
      <c r="E67" s="954"/>
      <c r="F67" s="1110"/>
      <c r="G67" s="1110"/>
      <c r="H67" s="1110"/>
      <c r="I67" s="1110"/>
      <c r="J67" s="1110"/>
      <c r="K67" s="1110"/>
      <c r="L67" s="1110"/>
      <c r="M67" s="1111" t="s">
        <v>24693</v>
      </c>
      <c r="N67" s="1126">
        <f>TRUNC(N65/N66,2)</f>
        <v>6.96</v>
      </c>
    </row>
    <row r="68" spans="2:14" ht="15.75" thickBot="1" x14ac:dyDescent="0.35">
      <c r="B68" s="850"/>
      <c r="C68" s="461"/>
      <c r="D68" s="461"/>
      <c r="E68" s="461"/>
      <c r="F68" s="461"/>
      <c r="G68" s="461"/>
      <c r="H68" s="461"/>
      <c r="I68" s="461"/>
      <c r="J68" s="461"/>
      <c r="K68" s="461"/>
      <c r="L68" s="461"/>
      <c r="M68" s="461"/>
      <c r="N68" s="1113"/>
    </row>
    <row r="69" spans="2:14" ht="30" x14ac:dyDescent="0.3">
      <c r="B69" s="1104" t="s">
        <v>0</v>
      </c>
      <c r="C69" s="1105" t="s">
        <v>24673</v>
      </c>
      <c r="D69" s="1593" t="s">
        <v>24694</v>
      </c>
      <c r="E69" s="1593"/>
      <c r="F69" s="1593"/>
      <c r="G69" s="1593"/>
      <c r="H69" s="1593"/>
      <c r="I69" s="1594"/>
      <c r="J69" s="1106" t="s">
        <v>3686</v>
      </c>
      <c r="K69" s="1106" t="s">
        <v>24695</v>
      </c>
      <c r="L69" s="1614" t="s">
        <v>24683</v>
      </c>
      <c r="M69" s="1615"/>
      <c r="N69" s="1114" t="s">
        <v>24689</v>
      </c>
    </row>
    <row r="70" spans="2:14" ht="30" x14ac:dyDescent="0.3">
      <c r="B70" s="1115" t="s">
        <v>24795</v>
      </c>
      <c r="C70" s="1116" t="s">
        <v>25183</v>
      </c>
      <c r="D70" s="1604" t="s">
        <v>25188</v>
      </c>
      <c r="E70" s="1604"/>
      <c r="F70" s="1604"/>
      <c r="G70" s="1604"/>
      <c r="H70" s="1604"/>
      <c r="I70" s="1605"/>
      <c r="J70" s="1109" t="s">
        <v>8</v>
      </c>
      <c r="K70" s="1109">
        <f>'MAPA DE COT. - Quiosque'!G16</f>
        <v>12.41</v>
      </c>
      <c r="L70" s="1635">
        <v>1</v>
      </c>
      <c r="M70" s="1636"/>
      <c r="N70" s="1119">
        <f>L70*K70</f>
        <v>12.41</v>
      </c>
    </row>
    <row r="71" spans="2:14" x14ac:dyDescent="0.3">
      <c r="B71" s="850">
        <v>69512</v>
      </c>
      <c r="C71" s="461" t="s">
        <v>4379</v>
      </c>
      <c r="D71" s="1604" t="s">
        <v>25189</v>
      </c>
      <c r="E71" s="1604"/>
      <c r="F71" s="1604"/>
      <c r="G71" s="1604"/>
      <c r="H71" s="1604"/>
      <c r="I71" s="1605"/>
      <c r="J71" s="461" t="s">
        <v>7</v>
      </c>
      <c r="K71" s="716">
        <v>0.13</v>
      </c>
      <c r="L71" s="1635">
        <v>0.9</v>
      </c>
      <c r="M71" s="1636"/>
      <c r="N71" s="1119">
        <f>L71*K71</f>
        <v>0.12</v>
      </c>
    </row>
    <row r="72" spans="2:14" x14ac:dyDescent="0.3">
      <c r="B72" s="1107"/>
      <c r="C72" s="1108"/>
      <c r="D72" s="1595"/>
      <c r="E72" s="1595"/>
      <c r="F72" s="1595"/>
      <c r="G72" s="1595"/>
      <c r="H72" s="1595"/>
      <c r="I72" s="1596"/>
      <c r="J72" s="1109"/>
      <c r="K72" s="1109"/>
      <c r="L72" s="1597"/>
      <c r="M72" s="1598"/>
      <c r="N72" s="1119"/>
    </row>
    <row r="73" spans="2:14" ht="15.75" thickBot="1" x14ac:dyDescent="0.35">
      <c r="B73" s="855"/>
      <c r="C73" s="954"/>
      <c r="D73" s="954"/>
      <c r="E73" s="954"/>
      <c r="F73" s="1110"/>
      <c r="G73" s="1110"/>
      <c r="H73" s="1110"/>
      <c r="I73" s="1110"/>
      <c r="J73" s="1110"/>
      <c r="K73" s="1110"/>
      <c r="L73" s="1110"/>
      <c r="M73" s="1111" t="s">
        <v>24696</v>
      </c>
      <c r="N73" s="1112">
        <f>SUM(N70:N72)</f>
        <v>12.53</v>
      </c>
    </row>
    <row r="74" spans="2:14" ht="15.75" thickBot="1" x14ac:dyDescent="0.35">
      <c r="B74" s="850"/>
      <c r="C74" s="461"/>
      <c r="D74" s="461"/>
      <c r="E74" s="461"/>
      <c r="F74" s="461"/>
      <c r="G74" s="461"/>
      <c r="H74" s="461"/>
      <c r="I74" s="461"/>
      <c r="J74" s="461"/>
      <c r="K74" s="461"/>
      <c r="L74" s="461"/>
      <c r="M74" s="461"/>
      <c r="N74" s="1113"/>
    </row>
    <row r="75" spans="2:14" ht="30" x14ac:dyDescent="0.3">
      <c r="B75" s="1104" t="s">
        <v>0</v>
      </c>
      <c r="C75" s="1106" t="s">
        <v>24673</v>
      </c>
      <c r="D75" s="1593" t="s">
        <v>24697</v>
      </c>
      <c r="E75" s="1593"/>
      <c r="F75" s="1593"/>
      <c r="G75" s="1593"/>
      <c r="H75" s="1593"/>
      <c r="I75" s="1594"/>
      <c r="J75" s="1106" t="s">
        <v>3686</v>
      </c>
      <c r="K75" s="1106" t="s">
        <v>24695</v>
      </c>
      <c r="L75" s="1614" t="s">
        <v>24683</v>
      </c>
      <c r="M75" s="1615"/>
      <c r="N75" s="1114" t="s">
        <v>24689</v>
      </c>
    </row>
    <row r="76" spans="2:14" x14ac:dyDescent="0.3">
      <c r="B76" s="1127"/>
      <c r="C76" s="1128"/>
      <c r="D76" s="1604"/>
      <c r="E76" s="1604"/>
      <c r="F76" s="1604"/>
      <c r="G76" s="1604"/>
      <c r="H76" s="1604"/>
      <c r="I76" s="1605"/>
      <c r="J76" s="462"/>
      <c r="K76" s="462"/>
      <c r="L76" s="1612"/>
      <c r="M76" s="1613"/>
      <c r="N76" s="1130"/>
    </row>
    <row r="77" spans="2:14" ht="15.75" thickBot="1" x14ac:dyDescent="0.35">
      <c r="B77" s="855"/>
      <c r="C77" s="954"/>
      <c r="D77" s="954"/>
      <c r="E77" s="954"/>
      <c r="F77" s="1110"/>
      <c r="G77" s="1110"/>
      <c r="H77" s="1110"/>
      <c r="I77" s="1110"/>
      <c r="J77" s="1110"/>
      <c r="K77" s="1110"/>
      <c r="L77" s="1110"/>
      <c r="M77" s="1111" t="s">
        <v>24698</v>
      </c>
      <c r="N77" s="1112">
        <f>SUM(N76:N76)</f>
        <v>0</v>
      </c>
    </row>
    <row r="78" spans="2:14" ht="15.75" thickBot="1" x14ac:dyDescent="0.35">
      <c r="B78" s="850"/>
      <c r="C78" s="461"/>
      <c r="D78" s="461"/>
      <c r="E78" s="461"/>
      <c r="F78" s="461"/>
      <c r="G78" s="461"/>
      <c r="H78" s="461"/>
      <c r="I78" s="461"/>
      <c r="J78" s="461"/>
      <c r="K78" s="461"/>
      <c r="L78" s="461"/>
      <c r="M78" s="461"/>
      <c r="N78" s="1113"/>
    </row>
    <row r="79" spans="2:14" ht="30" x14ac:dyDescent="0.3">
      <c r="B79" s="1104" t="s">
        <v>0</v>
      </c>
      <c r="C79" s="1106" t="s">
        <v>24673</v>
      </c>
      <c r="D79" s="1593" t="s">
        <v>24699</v>
      </c>
      <c r="E79" s="1593"/>
      <c r="F79" s="1593"/>
      <c r="G79" s="1594"/>
      <c r="H79" s="1106" t="s">
        <v>3686</v>
      </c>
      <c r="I79" s="1106" t="s">
        <v>24700</v>
      </c>
      <c r="J79" s="1106" t="s">
        <v>24701</v>
      </c>
      <c r="K79" s="1106" t="s">
        <v>24695</v>
      </c>
      <c r="L79" s="1614" t="s">
        <v>24683</v>
      </c>
      <c r="M79" s="1615"/>
      <c r="N79" s="1114" t="s">
        <v>24689</v>
      </c>
    </row>
    <row r="80" spans="2:14" x14ac:dyDescent="0.3">
      <c r="B80" s="1115"/>
      <c r="C80" s="1116"/>
      <c r="D80" s="1595"/>
      <c r="E80" s="1595"/>
      <c r="F80" s="1595"/>
      <c r="G80" s="1595"/>
      <c r="H80" s="1109"/>
      <c r="I80" s="1109"/>
      <c r="J80" s="1109"/>
      <c r="K80" s="1109"/>
      <c r="L80" s="1597"/>
      <c r="M80" s="1598"/>
      <c r="N80" s="1119"/>
    </row>
    <row r="81" spans="2:14" x14ac:dyDescent="0.3">
      <c r="B81" s="1115"/>
      <c r="C81" s="1116"/>
      <c r="D81" s="1595"/>
      <c r="E81" s="1595"/>
      <c r="F81" s="1595"/>
      <c r="G81" s="1595"/>
      <c r="H81" s="1109"/>
      <c r="I81" s="1109"/>
      <c r="J81" s="1109"/>
      <c r="K81" s="1109"/>
      <c r="L81" s="1597"/>
      <c r="M81" s="1598"/>
      <c r="N81" s="1119"/>
    </row>
    <row r="82" spans="2:14" x14ac:dyDescent="0.3">
      <c r="B82" s="1115"/>
      <c r="C82" s="1116"/>
      <c r="D82" s="1595"/>
      <c r="E82" s="1595"/>
      <c r="F82" s="1595"/>
      <c r="G82" s="1595"/>
      <c r="H82" s="1109"/>
      <c r="I82" s="1109"/>
      <c r="J82" s="1109"/>
      <c r="K82" s="1109"/>
      <c r="L82" s="1597"/>
      <c r="M82" s="1598"/>
      <c r="N82" s="1119"/>
    </row>
    <row r="83" spans="2:14" x14ac:dyDescent="0.3">
      <c r="B83" s="850"/>
      <c r="C83" s="461"/>
      <c r="D83" s="461"/>
      <c r="E83" s="461"/>
      <c r="F83" s="1120"/>
      <c r="G83" s="1120"/>
      <c r="H83" s="1120"/>
      <c r="I83" s="1120"/>
      <c r="J83" s="1120"/>
      <c r="K83" s="1120"/>
      <c r="L83" s="1120"/>
      <c r="M83" s="1121" t="s">
        <v>24702</v>
      </c>
      <c r="N83" s="1122">
        <f>SUM(N80:N82)</f>
        <v>0</v>
      </c>
    </row>
    <row r="84" spans="2:14" x14ac:dyDescent="0.3">
      <c r="B84" s="850"/>
      <c r="C84" s="461"/>
      <c r="D84" s="461"/>
      <c r="E84" s="461"/>
      <c r="F84" s="461"/>
      <c r="G84" s="461"/>
      <c r="H84" s="461"/>
      <c r="I84" s="461"/>
      <c r="J84" s="461"/>
      <c r="K84" s="461"/>
      <c r="L84" s="461"/>
      <c r="M84" s="461"/>
      <c r="N84" s="1113"/>
    </row>
    <row r="85" spans="2:14" x14ac:dyDescent="0.3">
      <c r="B85" s="1131"/>
      <c r="C85" s="1132"/>
      <c r="D85" s="1132"/>
      <c r="E85" s="1132"/>
      <c r="F85" s="1133"/>
      <c r="G85" s="1133"/>
      <c r="H85" s="1133"/>
      <c r="I85" s="1133"/>
      <c r="J85" s="1133"/>
      <c r="K85" s="1133"/>
      <c r="L85" s="1133"/>
      <c r="M85" s="1134" t="s">
        <v>24703</v>
      </c>
      <c r="N85" s="1123">
        <f>N67+N73+N77+N83</f>
        <v>19.489999999999998</v>
      </c>
    </row>
    <row r="86" spans="2:14" x14ac:dyDescent="0.3">
      <c r="B86" s="850"/>
      <c r="C86" s="461"/>
      <c r="D86" s="461"/>
      <c r="E86" s="461"/>
      <c r="F86" s="1120"/>
      <c r="G86" s="1120"/>
      <c r="H86" s="1120"/>
      <c r="I86" s="1120"/>
      <c r="J86" s="1120"/>
      <c r="K86" s="1120"/>
      <c r="L86" s="1120"/>
      <c r="M86" s="1136">
        <f>'QUIOSQUE - MOD 01'!I3</f>
        <v>0.28220000000000001</v>
      </c>
      <c r="N86" s="1123">
        <f>ROUND(N85*M86,2)</f>
        <v>5.5</v>
      </c>
    </row>
    <row r="87" spans="2:14" ht="15.75" thickBot="1" x14ac:dyDescent="0.35">
      <c r="B87" s="1599" t="s">
        <v>24704</v>
      </c>
      <c r="C87" s="1600"/>
      <c r="D87" s="1600"/>
      <c r="E87" s="1600"/>
      <c r="F87" s="1600"/>
      <c r="G87" s="1600"/>
      <c r="H87" s="1600"/>
      <c r="I87" s="1600"/>
      <c r="J87" s="1600"/>
      <c r="K87" s="1600"/>
      <c r="L87" s="1600"/>
      <c r="M87" s="1601"/>
      <c r="N87" s="1126">
        <f>N85+N86</f>
        <v>24.99</v>
      </c>
    </row>
    <row r="91" spans="2:14" ht="15.75" thickBot="1" x14ac:dyDescent="0.35"/>
    <row r="92" spans="2:14" ht="42" customHeight="1" x14ac:dyDescent="0.3">
      <c r="B92" s="1607" t="s">
        <v>24919</v>
      </c>
      <c r="C92" s="1608"/>
      <c r="D92" s="1609"/>
      <c r="E92" s="1610" t="s">
        <v>24669</v>
      </c>
      <c r="F92" s="1610"/>
      <c r="G92" s="1610"/>
      <c r="H92" s="1610"/>
      <c r="I92" s="1610"/>
      <c r="J92" s="1610"/>
      <c r="K92" s="1610"/>
      <c r="L92" s="1623"/>
      <c r="M92" s="1576"/>
      <c r="N92" s="1577"/>
    </row>
    <row r="93" spans="2:14" x14ac:dyDescent="0.3">
      <c r="B93" s="1103" t="s">
        <v>24670</v>
      </c>
      <c r="C93" s="1586" t="s">
        <v>25190</v>
      </c>
      <c r="D93" s="1586"/>
      <c r="E93" s="1586"/>
      <c r="F93" s="1586"/>
      <c r="G93" s="1586"/>
      <c r="H93" s="1586"/>
      <c r="I93" s="1586"/>
      <c r="J93" s="1586"/>
      <c r="K93" s="1586"/>
      <c r="L93" s="1586"/>
      <c r="M93" s="1586"/>
      <c r="N93" s="1587"/>
    </row>
    <row r="94" spans="2:14" x14ac:dyDescent="0.3">
      <c r="B94" s="1103" t="s">
        <v>24671</v>
      </c>
      <c r="C94" s="1588" t="s">
        <v>8</v>
      </c>
      <c r="D94" s="1588"/>
      <c r="E94" s="1588"/>
      <c r="F94" s="1588"/>
      <c r="G94" s="1588"/>
      <c r="H94" s="1588"/>
      <c r="I94" s="1588"/>
      <c r="J94" s="1588"/>
      <c r="K94" s="1588"/>
      <c r="L94" s="1588"/>
      <c r="M94" s="1588"/>
      <c r="N94" s="1589"/>
    </row>
    <row r="95" spans="2:14" ht="15.75" thickBot="1" x14ac:dyDescent="0.35">
      <c r="B95" s="1103" t="s">
        <v>24672</v>
      </c>
      <c r="C95" s="1590">
        <v>44501</v>
      </c>
      <c r="D95" s="1591"/>
      <c r="E95" s="1591"/>
      <c r="F95" s="1591"/>
      <c r="G95" s="1591"/>
      <c r="H95" s="1591"/>
      <c r="I95" s="1591"/>
      <c r="J95" s="1591"/>
      <c r="K95" s="1591"/>
      <c r="L95" s="1591"/>
      <c r="M95" s="1591"/>
      <c r="N95" s="1592"/>
    </row>
    <row r="96" spans="2:14" ht="30" x14ac:dyDescent="0.3">
      <c r="B96" s="1104" t="s">
        <v>0</v>
      </c>
      <c r="C96" s="1105" t="s">
        <v>24673</v>
      </c>
      <c r="D96" s="1593" t="s">
        <v>24674</v>
      </c>
      <c r="E96" s="1593"/>
      <c r="F96" s="1593"/>
      <c r="G96" s="1594"/>
      <c r="H96" s="1106" t="s">
        <v>111</v>
      </c>
      <c r="I96" s="1106" t="s">
        <v>24675</v>
      </c>
      <c r="J96" s="1106" t="s">
        <v>24676</v>
      </c>
      <c r="K96" s="1106" t="s">
        <v>24677</v>
      </c>
      <c r="L96" s="1106" t="s">
        <v>24678</v>
      </c>
      <c r="M96" s="1621" t="s">
        <v>24679</v>
      </c>
      <c r="N96" s="1622"/>
    </row>
    <row r="97" spans="2:16" x14ac:dyDescent="0.3">
      <c r="B97" s="1107"/>
      <c r="C97" s="1108"/>
      <c r="D97" s="1595"/>
      <c r="E97" s="1595"/>
      <c r="F97" s="1595"/>
      <c r="G97" s="1596"/>
      <c r="H97" s="1109"/>
      <c r="I97" s="1109"/>
      <c r="J97" s="1109"/>
      <c r="K97" s="1109"/>
      <c r="L97" s="1109"/>
      <c r="M97" s="1597"/>
      <c r="N97" s="1620"/>
    </row>
    <row r="98" spans="2:16" x14ac:dyDescent="0.3">
      <c r="B98" s="1107"/>
      <c r="C98" s="1108"/>
      <c r="D98" s="1595"/>
      <c r="E98" s="1595"/>
      <c r="F98" s="1595"/>
      <c r="G98" s="1596"/>
      <c r="H98" s="1109"/>
      <c r="I98" s="1109"/>
      <c r="J98" s="1109"/>
      <c r="K98" s="1109"/>
      <c r="L98" s="1109"/>
      <c r="M98" s="1597"/>
      <c r="N98" s="1620"/>
    </row>
    <row r="99" spans="2:16" x14ac:dyDescent="0.3">
      <c r="B99" s="1107"/>
      <c r="C99" s="1108"/>
      <c r="D99" s="1595"/>
      <c r="E99" s="1595"/>
      <c r="F99" s="1595"/>
      <c r="G99" s="1596"/>
      <c r="H99" s="1109"/>
      <c r="I99" s="1109"/>
      <c r="J99" s="1109"/>
      <c r="K99" s="1109"/>
      <c r="L99" s="1109"/>
      <c r="M99" s="1597"/>
      <c r="N99" s="1620"/>
    </row>
    <row r="100" spans="2:16" ht="15.75" thickBot="1" x14ac:dyDescent="0.35">
      <c r="B100" s="855"/>
      <c r="C100" s="954"/>
      <c r="D100" s="954"/>
      <c r="E100" s="954"/>
      <c r="F100" s="1110"/>
      <c r="G100" s="1110"/>
      <c r="H100" s="1110"/>
      <c r="I100" s="1110"/>
      <c r="J100" s="1110"/>
      <c r="K100" s="1110"/>
      <c r="L100" s="1110"/>
      <c r="M100" s="1111" t="s">
        <v>24680</v>
      </c>
      <c r="N100" s="1112">
        <f>SUM(N97:N99)</f>
        <v>0</v>
      </c>
    </row>
    <row r="101" spans="2:16" ht="15.75" thickBot="1" x14ac:dyDescent="0.35">
      <c r="B101" s="850"/>
      <c r="C101" s="461"/>
      <c r="D101" s="461"/>
      <c r="E101" s="461"/>
      <c r="F101" s="461"/>
      <c r="G101" s="461"/>
      <c r="H101" s="461"/>
      <c r="I101" s="461"/>
      <c r="J101" s="461"/>
      <c r="K101" s="461"/>
      <c r="L101" s="461"/>
      <c r="M101" s="461"/>
      <c r="N101" s="1113"/>
    </row>
    <row r="102" spans="2:16" ht="45" x14ac:dyDescent="0.3">
      <c r="B102" s="1104" t="s">
        <v>0</v>
      </c>
      <c r="C102" s="1105" t="s">
        <v>24673</v>
      </c>
      <c r="D102" s="1593" t="s">
        <v>24681</v>
      </c>
      <c r="E102" s="1593"/>
      <c r="F102" s="1593"/>
      <c r="G102" s="1593"/>
      <c r="H102" s="1594"/>
      <c r="I102" s="1106" t="s">
        <v>3686</v>
      </c>
      <c r="J102" s="1106" t="s">
        <v>24682</v>
      </c>
      <c r="K102" s="1106" t="s">
        <v>25177</v>
      </c>
      <c r="L102" s="1106" t="s">
        <v>25178</v>
      </c>
      <c r="M102" s="1137" t="s">
        <v>24683</v>
      </c>
      <c r="N102" s="1114" t="s">
        <v>24679</v>
      </c>
    </row>
    <row r="103" spans="2:16" x14ac:dyDescent="0.3">
      <c r="B103" s="1115">
        <v>10118</v>
      </c>
      <c r="C103" s="1116" t="s">
        <v>4379</v>
      </c>
      <c r="D103" s="1604" t="s">
        <v>25186</v>
      </c>
      <c r="E103" s="1604"/>
      <c r="F103" s="1604"/>
      <c r="G103" s="1604"/>
      <c r="H103" s="1605"/>
      <c r="I103" s="1109" t="s">
        <v>75</v>
      </c>
      <c r="J103" s="1117">
        <v>1.5727</v>
      </c>
      <c r="K103" s="1109">
        <v>7.43</v>
      </c>
      <c r="L103" s="1138">
        <f>K103*(1+J103)</f>
        <v>19.12</v>
      </c>
      <c r="M103" s="1139">
        <v>0.2</v>
      </c>
      <c r="N103" s="1119">
        <f>M103*L103</f>
        <v>3.82</v>
      </c>
      <c r="P103" s="1140"/>
    </row>
    <row r="104" spans="2:16" x14ac:dyDescent="0.3">
      <c r="B104" s="1115">
        <v>10146</v>
      </c>
      <c r="C104" s="1116" t="s">
        <v>4379</v>
      </c>
      <c r="D104" s="1604" t="s">
        <v>25187</v>
      </c>
      <c r="E104" s="1604"/>
      <c r="F104" s="1604"/>
      <c r="G104" s="1604"/>
      <c r="H104" s="1605"/>
      <c r="I104" s="1109" t="s">
        <v>75</v>
      </c>
      <c r="J104" s="1117">
        <v>1.5727</v>
      </c>
      <c r="K104" s="1109">
        <v>5.46</v>
      </c>
      <c r="L104" s="1138">
        <f>K104*(1+J104)</f>
        <v>14.05</v>
      </c>
      <c r="M104" s="1139">
        <v>0.2</v>
      </c>
      <c r="N104" s="1119">
        <f>M104*L104</f>
        <v>2.81</v>
      </c>
      <c r="P104" s="1140"/>
    </row>
    <row r="105" spans="2:16" ht="15.75" thickBot="1" x14ac:dyDescent="0.35">
      <c r="B105" s="855"/>
      <c r="C105" s="954"/>
      <c r="D105" s="954"/>
      <c r="E105" s="954"/>
      <c r="F105" s="1110"/>
      <c r="G105" s="1110"/>
      <c r="H105" s="1110"/>
      <c r="I105" s="1110"/>
      <c r="J105" s="1110"/>
      <c r="K105" s="1110"/>
      <c r="L105" s="1110"/>
      <c r="M105" s="1111" t="s">
        <v>24684</v>
      </c>
      <c r="N105" s="1112">
        <f>SUM(N103:N104)</f>
        <v>6.63</v>
      </c>
    </row>
    <row r="106" spans="2:16" ht="15.75" thickBot="1" x14ac:dyDescent="0.35">
      <c r="B106" s="850"/>
      <c r="C106" s="461"/>
      <c r="D106" s="461"/>
      <c r="E106" s="461"/>
      <c r="F106" s="461"/>
      <c r="G106" s="461"/>
      <c r="H106" s="461"/>
      <c r="I106" s="1120"/>
      <c r="J106" s="1120"/>
      <c r="K106" s="461"/>
      <c r="L106" s="461"/>
      <c r="M106" s="461"/>
      <c r="N106" s="1113"/>
    </row>
    <row r="107" spans="2:16" ht="30" x14ac:dyDescent="0.3">
      <c r="B107" s="1104" t="s">
        <v>0</v>
      </c>
      <c r="C107" s="1105" t="s">
        <v>24673</v>
      </c>
      <c r="D107" s="1593" t="s">
        <v>24685</v>
      </c>
      <c r="E107" s="1593"/>
      <c r="F107" s="1593"/>
      <c r="G107" s="1593"/>
      <c r="H107" s="1594"/>
      <c r="I107" s="1106" t="s">
        <v>2858</v>
      </c>
      <c r="J107" s="1106" t="s">
        <v>24686</v>
      </c>
      <c r="K107" s="1106" t="s">
        <v>24687</v>
      </c>
      <c r="L107" s="1614" t="s">
        <v>24688</v>
      </c>
      <c r="M107" s="1615"/>
      <c r="N107" s="1114" t="s">
        <v>24689</v>
      </c>
    </row>
    <row r="108" spans="2:16" x14ac:dyDescent="0.3">
      <c r="B108" s="1115">
        <v>2000</v>
      </c>
      <c r="C108" s="1116" t="s">
        <v>4389</v>
      </c>
      <c r="D108" s="1604" t="s">
        <v>25181</v>
      </c>
      <c r="E108" s="1604"/>
      <c r="F108" s="1604"/>
      <c r="G108" s="1604"/>
      <c r="H108" s="1605"/>
      <c r="I108" s="1109">
        <v>5</v>
      </c>
      <c r="J108" s="1109" t="s">
        <v>25182</v>
      </c>
      <c r="K108" s="1109"/>
      <c r="L108" s="1597"/>
      <c r="M108" s="1598"/>
      <c r="N108" s="1119">
        <f>N105*(I108/100)</f>
        <v>0.33</v>
      </c>
    </row>
    <row r="109" spans="2:16" x14ac:dyDescent="0.3">
      <c r="B109" s="850"/>
      <c r="C109" s="461"/>
      <c r="D109" s="461"/>
      <c r="E109" s="461"/>
      <c r="F109" s="1120"/>
      <c r="G109" s="1120"/>
      <c r="H109" s="1120"/>
      <c r="I109" s="1120"/>
      <c r="J109" s="1120"/>
      <c r="K109" s="1120"/>
      <c r="L109" s="1120"/>
      <c r="M109" s="1121" t="s">
        <v>24690</v>
      </c>
      <c r="N109" s="1122">
        <f>SUM(N108:N108)</f>
        <v>0.33</v>
      </c>
    </row>
    <row r="110" spans="2:16" x14ac:dyDescent="0.3">
      <c r="B110" s="850"/>
      <c r="C110" s="461"/>
      <c r="D110" s="461"/>
      <c r="E110" s="461"/>
      <c r="F110" s="461"/>
      <c r="G110" s="461"/>
      <c r="H110" s="461"/>
      <c r="I110" s="461"/>
      <c r="J110" s="461"/>
      <c r="K110" s="461"/>
      <c r="L110" s="461"/>
      <c r="M110" s="461"/>
      <c r="N110" s="1113"/>
    </row>
    <row r="111" spans="2:16" x14ac:dyDescent="0.3">
      <c r="B111" s="850"/>
      <c r="C111" s="461"/>
      <c r="D111" s="461"/>
      <c r="E111" s="461"/>
      <c r="F111" s="1120"/>
      <c r="G111" s="1120"/>
      <c r="H111" s="1120"/>
      <c r="I111" s="863"/>
      <c r="J111" s="863"/>
      <c r="K111" s="863"/>
      <c r="L111" s="863"/>
      <c r="M111" s="1121" t="s">
        <v>24691</v>
      </c>
      <c r="N111" s="1123">
        <f>N100+N105+N109</f>
        <v>6.96</v>
      </c>
    </row>
    <row r="112" spans="2:16" x14ac:dyDescent="0.3">
      <c r="B112" s="850"/>
      <c r="C112" s="461"/>
      <c r="D112" s="461"/>
      <c r="E112" s="461"/>
      <c r="F112" s="1120"/>
      <c r="G112" s="1120"/>
      <c r="H112" s="1120"/>
      <c r="I112" s="1120"/>
      <c r="J112" s="1124"/>
      <c r="K112" s="1124"/>
      <c r="L112" s="1124"/>
      <c r="M112" s="1125" t="s">
        <v>24692</v>
      </c>
      <c r="N112" s="1123">
        <v>1</v>
      </c>
    </row>
    <row r="113" spans="2:14" ht="15.75" thickBot="1" x14ac:dyDescent="0.35">
      <c r="B113" s="855"/>
      <c r="C113" s="954"/>
      <c r="D113" s="954"/>
      <c r="E113" s="954"/>
      <c r="F113" s="1110"/>
      <c r="G113" s="1110"/>
      <c r="H113" s="1110"/>
      <c r="I113" s="1110"/>
      <c r="J113" s="1110"/>
      <c r="K113" s="1110"/>
      <c r="L113" s="1110"/>
      <c r="M113" s="1111" t="s">
        <v>24693</v>
      </c>
      <c r="N113" s="1126">
        <f>TRUNC(N111/N112,2)</f>
        <v>6.96</v>
      </c>
    </row>
    <row r="114" spans="2:14" ht="15.75" thickBot="1" x14ac:dyDescent="0.35">
      <c r="B114" s="850"/>
      <c r="C114" s="461"/>
      <c r="D114" s="461"/>
      <c r="E114" s="461"/>
      <c r="F114" s="461"/>
      <c r="G114" s="461"/>
      <c r="H114" s="461"/>
      <c r="I114" s="461"/>
      <c r="J114" s="461"/>
      <c r="K114" s="461"/>
      <c r="L114" s="461"/>
      <c r="M114" s="461"/>
      <c r="N114" s="1113"/>
    </row>
    <row r="115" spans="2:14" ht="30" x14ac:dyDescent="0.3">
      <c r="B115" s="1104" t="s">
        <v>0</v>
      </c>
      <c r="C115" s="1105" t="s">
        <v>24673</v>
      </c>
      <c r="D115" s="1593" t="s">
        <v>24694</v>
      </c>
      <c r="E115" s="1593"/>
      <c r="F115" s="1593"/>
      <c r="G115" s="1593"/>
      <c r="H115" s="1593"/>
      <c r="I115" s="1594"/>
      <c r="J115" s="1106" t="s">
        <v>3686</v>
      </c>
      <c r="K115" s="1106" t="s">
        <v>24695</v>
      </c>
      <c r="L115" s="1614" t="s">
        <v>24683</v>
      </c>
      <c r="M115" s="1615"/>
      <c r="N115" s="1114" t="s">
        <v>24689</v>
      </c>
    </row>
    <row r="116" spans="2:14" ht="30" x14ac:dyDescent="0.3">
      <c r="B116" s="1115" t="s">
        <v>24795</v>
      </c>
      <c r="C116" s="1116" t="s">
        <v>25183</v>
      </c>
      <c r="D116" s="1604" t="s">
        <v>25190</v>
      </c>
      <c r="E116" s="1604"/>
      <c r="F116" s="1604"/>
      <c r="G116" s="1604"/>
      <c r="H116" s="1604"/>
      <c r="I116" s="1605"/>
      <c r="J116" s="1109" t="s">
        <v>8</v>
      </c>
      <c r="K116" s="1109">
        <f>'MAPA DE COT. - Quiosque'!G27</f>
        <v>15.47</v>
      </c>
      <c r="L116" s="1635">
        <v>1</v>
      </c>
      <c r="M116" s="1636"/>
      <c r="N116" s="1119">
        <f>L116*K116</f>
        <v>15.47</v>
      </c>
    </row>
    <row r="117" spans="2:14" x14ac:dyDescent="0.3">
      <c r="B117" s="1141" t="s">
        <v>4379</v>
      </c>
      <c r="C117" s="1142">
        <v>69513</v>
      </c>
      <c r="D117" s="1604" t="s">
        <v>25191</v>
      </c>
      <c r="E117" s="1604"/>
      <c r="F117" s="1604"/>
      <c r="G117" s="1604"/>
      <c r="H117" s="1604"/>
      <c r="I117" s="1605"/>
      <c r="J117" s="735" t="s">
        <v>20</v>
      </c>
      <c r="K117" s="716">
        <v>80.680000000000007</v>
      </c>
      <c r="L117" s="1635">
        <v>1.5299999999999999E-2</v>
      </c>
      <c r="M117" s="1636"/>
      <c r="N117" s="1119">
        <f>L117*K117</f>
        <v>1.23</v>
      </c>
    </row>
    <row r="118" spans="2:14" x14ac:dyDescent="0.3">
      <c r="B118" s="850" t="s">
        <v>4379</v>
      </c>
      <c r="C118" s="461">
        <v>69514</v>
      </c>
      <c r="D118" s="1604" t="s">
        <v>25192</v>
      </c>
      <c r="E118" s="1604"/>
      <c r="F118" s="1604"/>
      <c r="G118" s="1604"/>
      <c r="H118" s="1604"/>
      <c r="I118" s="1605"/>
      <c r="J118" s="461" t="s">
        <v>4438</v>
      </c>
      <c r="K118" s="716">
        <v>71.63</v>
      </c>
      <c r="L118" s="1635">
        <v>1.5100000000000001E-2</v>
      </c>
      <c r="M118" s="1636"/>
      <c r="N118" s="1119">
        <f>L118*K118</f>
        <v>1.08</v>
      </c>
    </row>
    <row r="119" spans="2:14" x14ac:dyDescent="0.3">
      <c r="B119" s="1115" t="s">
        <v>4379</v>
      </c>
      <c r="C119" s="1116">
        <v>69512</v>
      </c>
      <c r="D119" s="1604" t="s">
        <v>25189</v>
      </c>
      <c r="E119" s="1604"/>
      <c r="F119" s="1604"/>
      <c r="G119" s="1604"/>
      <c r="H119" s="1604"/>
      <c r="I119" s="1605"/>
      <c r="J119" s="1109" t="s">
        <v>7</v>
      </c>
      <c r="K119" s="1109">
        <v>0.13</v>
      </c>
      <c r="L119" s="1635">
        <v>0.9</v>
      </c>
      <c r="M119" s="1636"/>
      <c r="N119" s="1119">
        <f>L119*K119</f>
        <v>0.12</v>
      </c>
    </row>
    <row r="120" spans="2:14" ht="15.75" thickBot="1" x14ac:dyDescent="0.35">
      <c r="B120" s="855"/>
      <c r="C120" s="954"/>
      <c r="D120" s="954"/>
      <c r="E120" s="954"/>
      <c r="F120" s="1110"/>
      <c r="G120" s="1110"/>
      <c r="H120" s="1110"/>
      <c r="I120" s="1110"/>
      <c r="J120" s="1110"/>
      <c r="K120" s="1110"/>
      <c r="L120" s="1110"/>
      <c r="M120" s="1111" t="s">
        <v>24696</v>
      </c>
      <c r="N120" s="1112">
        <f>SUM(N116:N119)</f>
        <v>17.899999999999999</v>
      </c>
    </row>
    <row r="121" spans="2:14" ht="15.75" thickBot="1" x14ac:dyDescent="0.35">
      <c r="B121" s="850"/>
      <c r="C121" s="461"/>
      <c r="D121" s="461"/>
      <c r="E121" s="461"/>
      <c r="F121" s="461"/>
      <c r="G121" s="461"/>
      <c r="H121" s="461"/>
      <c r="I121" s="461"/>
      <c r="J121" s="461"/>
      <c r="K121" s="461"/>
      <c r="L121" s="461"/>
      <c r="M121" s="461"/>
      <c r="N121" s="1113"/>
    </row>
    <row r="122" spans="2:14" ht="30" x14ac:dyDescent="0.3">
      <c r="B122" s="1104" t="s">
        <v>0</v>
      </c>
      <c r="C122" s="1106" t="s">
        <v>24673</v>
      </c>
      <c r="D122" s="1593" t="s">
        <v>24697</v>
      </c>
      <c r="E122" s="1593"/>
      <c r="F122" s="1593"/>
      <c r="G122" s="1593"/>
      <c r="H122" s="1593"/>
      <c r="I122" s="1594"/>
      <c r="J122" s="1106" t="s">
        <v>3686</v>
      </c>
      <c r="K122" s="1106" t="s">
        <v>24695</v>
      </c>
      <c r="L122" s="1614" t="s">
        <v>24683</v>
      </c>
      <c r="M122" s="1615"/>
      <c r="N122" s="1114" t="s">
        <v>24689</v>
      </c>
    </row>
    <row r="123" spans="2:14" x14ac:dyDescent="0.3">
      <c r="B123" s="1127"/>
      <c r="C123" s="1128"/>
      <c r="D123" s="1604"/>
      <c r="E123" s="1604"/>
      <c r="F123" s="1604"/>
      <c r="G123" s="1604"/>
      <c r="H123" s="1604"/>
      <c r="I123" s="1605"/>
      <c r="J123" s="462"/>
      <c r="K123" s="462"/>
      <c r="L123" s="1612"/>
      <c r="M123" s="1613"/>
      <c r="N123" s="1130"/>
    </row>
    <row r="124" spans="2:14" ht="15.75" thickBot="1" x14ac:dyDescent="0.35">
      <c r="B124" s="855"/>
      <c r="C124" s="954"/>
      <c r="D124" s="954"/>
      <c r="E124" s="954"/>
      <c r="F124" s="1110"/>
      <c r="G124" s="1110"/>
      <c r="H124" s="1110"/>
      <c r="I124" s="1110"/>
      <c r="J124" s="1110"/>
      <c r="K124" s="1110"/>
      <c r="L124" s="1110"/>
      <c r="M124" s="1111" t="s">
        <v>24698</v>
      </c>
      <c r="N124" s="1112">
        <f>SUM(N123:N123)</f>
        <v>0</v>
      </c>
    </row>
    <row r="125" spans="2:14" ht="15.75" thickBot="1" x14ac:dyDescent="0.35">
      <c r="B125" s="850"/>
      <c r="C125" s="461"/>
      <c r="D125" s="461"/>
      <c r="E125" s="461"/>
      <c r="F125" s="461"/>
      <c r="G125" s="461"/>
      <c r="H125" s="461"/>
      <c r="I125" s="461"/>
      <c r="J125" s="461"/>
      <c r="K125" s="461"/>
      <c r="L125" s="461"/>
      <c r="M125" s="461"/>
      <c r="N125" s="1113"/>
    </row>
    <row r="126" spans="2:14" ht="30" x14ac:dyDescent="0.3">
      <c r="B126" s="1104" t="s">
        <v>0</v>
      </c>
      <c r="C126" s="1106" t="s">
        <v>24673</v>
      </c>
      <c r="D126" s="1593" t="s">
        <v>24699</v>
      </c>
      <c r="E126" s="1593"/>
      <c r="F126" s="1593"/>
      <c r="G126" s="1594"/>
      <c r="H126" s="1106" t="s">
        <v>3686</v>
      </c>
      <c r="I126" s="1106" t="s">
        <v>24700</v>
      </c>
      <c r="J126" s="1106" t="s">
        <v>24701</v>
      </c>
      <c r="K126" s="1106" t="s">
        <v>24695</v>
      </c>
      <c r="L126" s="1614" t="s">
        <v>24683</v>
      </c>
      <c r="M126" s="1615"/>
      <c r="N126" s="1114" t="s">
        <v>24689</v>
      </c>
    </row>
    <row r="127" spans="2:14" x14ac:dyDescent="0.3">
      <c r="B127" s="1115"/>
      <c r="C127" s="1116"/>
      <c r="D127" s="1595"/>
      <c r="E127" s="1595"/>
      <c r="F127" s="1595"/>
      <c r="G127" s="1595"/>
      <c r="H127" s="1109"/>
      <c r="I127" s="1109"/>
      <c r="J127" s="1109"/>
      <c r="K127" s="1109"/>
      <c r="L127" s="1597"/>
      <c r="M127" s="1598"/>
      <c r="N127" s="1119"/>
    </row>
    <row r="128" spans="2:14" x14ac:dyDescent="0.3">
      <c r="B128" s="1115"/>
      <c r="C128" s="1116"/>
      <c r="D128" s="1595"/>
      <c r="E128" s="1595"/>
      <c r="F128" s="1595"/>
      <c r="G128" s="1595"/>
      <c r="H128" s="1109"/>
      <c r="I128" s="1109"/>
      <c r="J128" s="1109"/>
      <c r="K128" s="1109"/>
      <c r="L128" s="1597"/>
      <c r="M128" s="1598"/>
      <c r="N128" s="1119"/>
    </row>
    <row r="129" spans="2:14" x14ac:dyDescent="0.3">
      <c r="B129" s="1115"/>
      <c r="C129" s="1116"/>
      <c r="D129" s="1595"/>
      <c r="E129" s="1595"/>
      <c r="F129" s="1595"/>
      <c r="G129" s="1595"/>
      <c r="H129" s="1109"/>
      <c r="I129" s="1109"/>
      <c r="J129" s="1109"/>
      <c r="K129" s="1109"/>
      <c r="L129" s="1597"/>
      <c r="M129" s="1598"/>
      <c r="N129" s="1119"/>
    </row>
    <row r="130" spans="2:14" x14ac:dyDescent="0.3">
      <c r="B130" s="850"/>
      <c r="C130" s="461"/>
      <c r="D130" s="461"/>
      <c r="E130" s="461"/>
      <c r="F130" s="1120"/>
      <c r="G130" s="1120"/>
      <c r="H130" s="1120"/>
      <c r="I130" s="1120"/>
      <c r="J130" s="1120"/>
      <c r="K130" s="1120"/>
      <c r="L130" s="1120"/>
      <c r="M130" s="1121" t="s">
        <v>24702</v>
      </c>
      <c r="N130" s="1122">
        <f>SUM(N127:N129)</f>
        <v>0</v>
      </c>
    </row>
    <row r="131" spans="2:14" x14ac:dyDescent="0.3">
      <c r="B131" s="850"/>
      <c r="C131" s="461"/>
      <c r="D131" s="461"/>
      <c r="E131" s="461"/>
      <c r="F131" s="461"/>
      <c r="G131" s="461"/>
      <c r="H131" s="461"/>
      <c r="I131" s="461"/>
      <c r="J131" s="461"/>
      <c r="K131" s="461"/>
      <c r="L131" s="461"/>
      <c r="M131" s="461"/>
      <c r="N131" s="1113"/>
    </row>
    <row r="132" spans="2:14" x14ac:dyDescent="0.3">
      <c r="B132" s="1131"/>
      <c r="C132" s="1132"/>
      <c r="D132" s="1132"/>
      <c r="E132" s="1132"/>
      <c r="F132" s="1133"/>
      <c r="G132" s="1133"/>
      <c r="H132" s="1133"/>
      <c r="I132" s="1133"/>
      <c r="J132" s="1133"/>
      <c r="K132" s="1133"/>
      <c r="L132" s="1133"/>
      <c r="M132" s="1134" t="s">
        <v>24703</v>
      </c>
      <c r="N132" s="1123">
        <f>N113+N120+N124+N130</f>
        <v>24.86</v>
      </c>
    </row>
    <row r="133" spans="2:14" x14ac:dyDescent="0.3">
      <c r="B133" s="850"/>
      <c r="C133" s="461"/>
      <c r="D133" s="461"/>
      <c r="E133" s="461"/>
      <c r="F133" s="1120"/>
      <c r="G133" s="1120"/>
      <c r="H133" s="1120"/>
      <c r="I133" s="1120"/>
      <c r="J133" s="1120"/>
      <c r="K133" s="1120"/>
      <c r="L133" s="1120"/>
      <c r="M133" s="1136">
        <f>'QUIOSQUE - MOD 01'!I3</f>
        <v>0.28220000000000001</v>
      </c>
      <c r="N133" s="1123">
        <f>ROUND(N132*M133,2)</f>
        <v>7.02</v>
      </c>
    </row>
    <row r="134" spans="2:14" ht="15.75" thickBot="1" x14ac:dyDescent="0.35">
      <c r="B134" s="1599" t="s">
        <v>24704</v>
      </c>
      <c r="C134" s="1600"/>
      <c r="D134" s="1600"/>
      <c r="E134" s="1600"/>
      <c r="F134" s="1600"/>
      <c r="G134" s="1600"/>
      <c r="H134" s="1600"/>
      <c r="I134" s="1600"/>
      <c r="J134" s="1600"/>
      <c r="K134" s="1600"/>
      <c r="L134" s="1600"/>
      <c r="M134" s="1601"/>
      <c r="N134" s="1126">
        <f>N132+N133</f>
        <v>31.88</v>
      </c>
    </row>
    <row r="137" spans="2:14" ht="15.75" thickBot="1" x14ac:dyDescent="0.35"/>
    <row r="138" spans="2:14" ht="47.25" customHeight="1" x14ac:dyDescent="0.3">
      <c r="B138" s="1607" t="s">
        <v>25193</v>
      </c>
      <c r="C138" s="1608"/>
      <c r="D138" s="1609"/>
      <c r="E138" s="1610" t="s">
        <v>24669</v>
      </c>
      <c r="F138" s="1610"/>
      <c r="G138" s="1610"/>
      <c r="H138" s="1610"/>
      <c r="I138" s="1610"/>
      <c r="J138" s="1610"/>
      <c r="K138" s="1610"/>
      <c r="L138" s="1623"/>
      <c r="M138" s="1576"/>
      <c r="N138" s="1577"/>
    </row>
    <row r="139" spans="2:14" x14ac:dyDescent="0.3">
      <c r="B139" s="1103" t="s">
        <v>24670</v>
      </c>
      <c r="C139" s="1586" t="s">
        <v>25194</v>
      </c>
      <c r="D139" s="1586"/>
      <c r="E139" s="1586"/>
      <c r="F139" s="1586"/>
      <c r="G139" s="1586"/>
      <c r="H139" s="1586"/>
      <c r="I139" s="1586"/>
      <c r="J139" s="1586"/>
      <c r="K139" s="1586"/>
      <c r="L139" s="1586"/>
      <c r="M139" s="1586"/>
      <c r="N139" s="1587"/>
    </row>
    <row r="140" spans="2:14" x14ac:dyDescent="0.3">
      <c r="B140" s="1103" t="s">
        <v>24671</v>
      </c>
      <c r="C140" s="1588" t="s">
        <v>5</v>
      </c>
      <c r="D140" s="1588"/>
      <c r="E140" s="1588"/>
      <c r="F140" s="1588"/>
      <c r="G140" s="1588"/>
      <c r="H140" s="1588"/>
      <c r="I140" s="1588"/>
      <c r="J140" s="1588"/>
      <c r="K140" s="1588"/>
      <c r="L140" s="1588"/>
      <c r="M140" s="1588"/>
      <c r="N140" s="1589"/>
    </row>
    <row r="141" spans="2:14" ht="15.75" thickBot="1" x14ac:dyDescent="0.35">
      <c r="B141" s="1103" t="s">
        <v>24672</v>
      </c>
      <c r="C141" s="1590">
        <v>44501</v>
      </c>
      <c r="D141" s="1591"/>
      <c r="E141" s="1591"/>
      <c r="F141" s="1591"/>
      <c r="G141" s="1591"/>
      <c r="H141" s="1591"/>
      <c r="I141" s="1591"/>
      <c r="J141" s="1591"/>
      <c r="K141" s="1591"/>
      <c r="L141" s="1591"/>
      <c r="M141" s="1591"/>
      <c r="N141" s="1592"/>
    </row>
    <row r="142" spans="2:14" ht="30" x14ac:dyDescent="0.3">
      <c r="B142" s="1104" t="s">
        <v>0</v>
      </c>
      <c r="C142" s="1105" t="s">
        <v>24673</v>
      </c>
      <c r="D142" s="1593" t="s">
        <v>24674</v>
      </c>
      <c r="E142" s="1593"/>
      <c r="F142" s="1593"/>
      <c r="G142" s="1594"/>
      <c r="H142" s="1106" t="s">
        <v>111</v>
      </c>
      <c r="I142" s="1106" t="s">
        <v>24675</v>
      </c>
      <c r="J142" s="1106" t="s">
        <v>24676</v>
      </c>
      <c r="K142" s="1106" t="s">
        <v>24677</v>
      </c>
      <c r="L142" s="1106" t="s">
        <v>24678</v>
      </c>
      <c r="M142" s="1621" t="s">
        <v>24679</v>
      </c>
      <c r="N142" s="1622"/>
    </row>
    <row r="143" spans="2:14" x14ac:dyDescent="0.3">
      <c r="B143" s="1107"/>
      <c r="C143" s="1108"/>
      <c r="D143" s="1595"/>
      <c r="E143" s="1595"/>
      <c r="F143" s="1595"/>
      <c r="G143" s="1596"/>
      <c r="H143" s="1109"/>
      <c r="I143" s="1109"/>
      <c r="J143" s="1109"/>
      <c r="K143" s="1109"/>
      <c r="L143" s="1109"/>
      <c r="M143" s="1597"/>
      <c r="N143" s="1620"/>
    </row>
    <row r="144" spans="2:14" x14ac:dyDescent="0.3">
      <c r="B144" s="1107"/>
      <c r="C144" s="1108"/>
      <c r="D144" s="1595"/>
      <c r="E144" s="1595"/>
      <c r="F144" s="1595"/>
      <c r="G144" s="1596"/>
      <c r="H144" s="1109"/>
      <c r="I144" s="1109"/>
      <c r="J144" s="1109"/>
      <c r="K144" s="1109"/>
      <c r="L144" s="1109"/>
      <c r="M144" s="1597"/>
      <c r="N144" s="1620"/>
    </row>
    <row r="145" spans="2:14" x14ac:dyDescent="0.3">
      <c r="B145" s="1107"/>
      <c r="C145" s="1108"/>
      <c r="D145" s="1595"/>
      <c r="E145" s="1595"/>
      <c r="F145" s="1595"/>
      <c r="G145" s="1596"/>
      <c r="H145" s="1109"/>
      <c r="I145" s="1109"/>
      <c r="J145" s="1109"/>
      <c r="K145" s="1109"/>
      <c r="L145" s="1109"/>
      <c r="M145" s="1597"/>
      <c r="N145" s="1620"/>
    </row>
    <row r="146" spans="2:14" ht="15.75" thickBot="1" x14ac:dyDescent="0.35">
      <c r="B146" s="855"/>
      <c r="C146" s="954"/>
      <c r="D146" s="954"/>
      <c r="E146" s="954"/>
      <c r="F146" s="1110"/>
      <c r="G146" s="1110"/>
      <c r="H146" s="1110"/>
      <c r="I146" s="1110"/>
      <c r="J146" s="1110"/>
      <c r="K146" s="1110"/>
      <c r="L146" s="1110"/>
      <c r="M146" s="1111" t="s">
        <v>24680</v>
      </c>
      <c r="N146" s="1112">
        <f>SUM(N143:N145)</f>
        <v>0</v>
      </c>
    </row>
    <row r="147" spans="2:14" ht="15.75" thickBot="1" x14ac:dyDescent="0.35">
      <c r="B147" s="850"/>
      <c r="C147" s="461"/>
      <c r="D147" s="461"/>
      <c r="E147" s="461"/>
      <c r="F147" s="461"/>
      <c r="G147" s="461"/>
      <c r="H147" s="461"/>
      <c r="I147" s="461"/>
      <c r="J147" s="461"/>
      <c r="K147" s="461"/>
      <c r="L147" s="461"/>
      <c r="M147" s="461"/>
      <c r="N147" s="1113"/>
    </row>
    <row r="148" spans="2:14" ht="45" x14ac:dyDescent="0.3">
      <c r="B148" s="1104" t="s">
        <v>0</v>
      </c>
      <c r="C148" s="1105" t="s">
        <v>24673</v>
      </c>
      <c r="D148" s="1593" t="s">
        <v>24681</v>
      </c>
      <c r="E148" s="1593"/>
      <c r="F148" s="1593"/>
      <c r="G148" s="1593"/>
      <c r="H148" s="1594"/>
      <c r="I148" s="1106" t="s">
        <v>3686</v>
      </c>
      <c r="J148" s="1106" t="s">
        <v>24682</v>
      </c>
      <c r="K148" s="1106" t="s">
        <v>25177</v>
      </c>
      <c r="L148" s="1106" t="s">
        <v>25178</v>
      </c>
      <c r="M148" s="1137" t="s">
        <v>24683</v>
      </c>
      <c r="N148" s="1114" t="s">
        <v>24679</v>
      </c>
    </row>
    <row r="149" spans="2:14" x14ac:dyDescent="0.3">
      <c r="B149" s="1115">
        <v>10139</v>
      </c>
      <c r="C149" s="1116" t="s">
        <v>4379</v>
      </c>
      <c r="D149" s="1604" t="s">
        <v>25195</v>
      </c>
      <c r="E149" s="1604"/>
      <c r="F149" s="1604"/>
      <c r="G149" s="1604"/>
      <c r="H149" s="1605"/>
      <c r="I149" s="1109" t="s">
        <v>75</v>
      </c>
      <c r="J149" s="1117">
        <v>1.5727</v>
      </c>
      <c r="K149" s="1109">
        <v>7.43</v>
      </c>
      <c r="L149" s="1138">
        <f>K149*(1+J149)</f>
        <v>19.12</v>
      </c>
      <c r="M149" s="1139">
        <v>0.9</v>
      </c>
      <c r="N149" s="1119">
        <f>M149*L149</f>
        <v>17.21</v>
      </c>
    </row>
    <row r="150" spans="2:14" x14ac:dyDescent="0.3">
      <c r="B150" s="1115">
        <v>10146</v>
      </c>
      <c r="C150" s="1116" t="s">
        <v>4379</v>
      </c>
      <c r="D150" s="1604" t="s">
        <v>25187</v>
      </c>
      <c r="E150" s="1604"/>
      <c r="F150" s="1604"/>
      <c r="G150" s="1604"/>
      <c r="H150" s="1605"/>
      <c r="I150" s="1109" t="s">
        <v>75</v>
      </c>
      <c r="J150" s="1117">
        <v>1.5727</v>
      </c>
      <c r="K150" s="1109">
        <v>5.46</v>
      </c>
      <c r="L150" s="1138">
        <f>K150*(1+J150)</f>
        <v>14.05</v>
      </c>
      <c r="M150" s="1139">
        <v>0.6</v>
      </c>
      <c r="N150" s="1119">
        <f>M150*L150</f>
        <v>8.43</v>
      </c>
    </row>
    <row r="151" spans="2:14" ht="15.75" thickBot="1" x14ac:dyDescent="0.35">
      <c r="B151" s="855"/>
      <c r="C151" s="954"/>
      <c r="D151" s="954"/>
      <c r="E151" s="954"/>
      <c r="F151" s="1110"/>
      <c r="G151" s="1110"/>
      <c r="H151" s="1110"/>
      <c r="I151" s="1110"/>
      <c r="J151" s="1110"/>
      <c r="K151" s="1110"/>
      <c r="L151" s="1110"/>
      <c r="M151" s="1111" t="s">
        <v>24684</v>
      </c>
      <c r="N151" s="1112">
        <f>SUM(N149:N150)</f>
        <v>25.64</v>
      </c>
    </row>
    <row r="152" spans="2:14" ht="15.75" thickBot="1" x14ac:dyDescent="0.35">
      <c r="B152" s="850"/>
      <c r="C152" s="461"/>
      <c r="D152" s="461"/>
      <c r="E152" s="461"/>
      <c r="F152" s="461"/>
      <c r="G152" s="461"/>
      <c r="H152" s="461"/>
      <c r="I152" s="1120"/>
      <c r="J152" s="1120"/>
      <c r="K152" s="461"/>
      <c r="L152" s="461"/>
      <c r="M152" s="461"/>
      <c r="N152" s="1113"/>
    </row>
    <row r="153" spans="2:14" ht="30" x14ac:dyDescent="0.3">
      <c r="B153" s="1104" t="s">
        <v>0</v>
      </c>
      <c r="C153" s="1105" t="s">
        <v>24673</v>
      </c>
      <c r="D153" s="1593" t="s">
        <v>24685</v>
      </c>
      <c r="E153" s="1593"/>
      <c r="F153" s="1593"/>
      <c r="G153" s="1593"/>
      <c r="H153" s="1594"/>
      <c r="I153" s="1106" t="s">
        <v>2858</v>
      </c>
      <c r="J153" s="1106" t="s">
        <v>24686</v>
      </c>
      <c r="K153" s="1106" t="s">
        <v>24687</v>
      </c>
      <c r="L153" s="1614" t="s">
        <v>24688</v>
      </c>
      <c r="M153" s="1615"/>
      <c r="N153" s="1114" t="s">
        <v>24689</v>
      </c>
    </row>
    <row r="154" spans="2:14" x14ac:dyDescent="0.3">
      <c r="B154" s="1115">
        <v>2000</v>
      </c>
      <c r="C154" s="1116" t="s">
        <v>4389</v>
      </c>
      <c r="D154" s="1604" t="s">
        <v>25181</v>
      </c>
      <c r="E154" s="1604"/>
      <c r="F154" s="1604"/>
      <c r="G154" s="1604"/>
      <c r="H154" s="1605"/>
      <c r="I154" s="1109">
        <v>5</v>
      </c>
      <c r="J154" s="1109" t="s">
        <v>25182</v>
      </c>
      <c r="K154" s="1109"/>
      <c r="L154" s="1597"/>
      <c r="M154" s="1598"/>
      <c r="N154" s="1119">
        <f>N151*(I154/100)</f>
        <v>1.28</v>
      </c>
    </row>
    <row r="155" spans="2:14" x14ac:dyDescent="0.3">
      <c r="B155" s="850"/>
      <c r="C155" s="461"/>
      <c r="D155" s="461"/>
      <c r="E155" s="461"/>
      <c r="F155" s="1120"/>
      <c r="G155" s="1120"/>
      <c r="H155" s="1120"/>
      <c r="I155" s="1120"/>
      <c r="J155" s="1120"/>
      <c r="K155" s="1120"/>
      <c r="L155" s="1120"/>
      <c r="M155" s="1121" t="s">
        <v>24690</v>
      </c>
      <c r="N155" s="1122">
        <f>SUM(N154:N154)</f>
        <v>1.28</v>
      </c>
    </row>
    <row r="156" spans="2:14" x14ac:dyDescent="0.3">
      <c r="B156" s="850"/>
      <c r="C156" s="461"/>
      <c r="D156" s="461"/>
      <c r="E156" s="461"/>
      <c r="F156" s="461"/>
      <c r="G156" s="461"/>
      <c r="H156" s="461"/>
      <c r="I156" s="461"/>
      <c r="J156" s="461"/>
      <c r="K156" s="461"/>
      <c r="L156" s="461"/>
      <c r="M156" s="461"/>
      <c r="N156" s="1113"/>
    </row>
    <row r="157" spans="2:14" x14ac:dyDescent="0.3">
      <c r="B157" s="850"/>
      <c r="C157" s="461"/>
      <c r="D157" s="461"/>
      <c r="E157" s="461"/>
      <c r="F157" s="1120"/>
      <c r="G157" s="1120"/>
      <c r="H157" s="1120"/>
      <c r="I157" s="863"/>
      <c r="J157" s="863"/>
      <c r="K157" s="863"/>
      <c r="L157" s="863"/>
      <c r="M157" s="1121" t="s">
        <v>24691</v>
      </c>
      <c r="N157" s="1123">
        <f>N146+N151+N155</f>
        <v>26.92</v>
      </c>
    </row>
    <row r="158" spans="2:14" x14ac:dyDescent="0.3">
      <c r="B158" s="850"/>
      <c r="C158" s="461"/>
      <c r="D158" s="461"/>
      <c r="E158" s="461"/>
      <c r="F158" s="1120"/>
      <c r="G158" s="1120"/>
      <c r="H158" s="1120"/>
      <c r="I158" s="1120"/>
      <c r="J158" s="1124"/>
      <c r="K158" s="1124"/>
      <c r="L158" s="1124"/>
      <c r="M158" s="1125" t="s">
        <v>24692</v>
      </c>
      <c r="N158" s="1123">
        <v>1</v>
      </c>
    </row>
    <row r="159" spans="2:14" ht="15.75" thickBot="1" x14ac:dyDescent="0.35">
      <c r="B159" s="855"/>
      <c r="C159" s="954"/>
      <c r="D159" s="954"/>
      <c r="E159" s="954"/>
      <c r="F159" s="1110"/>
      <c r="G159" s="1110"/>
      <c r="H159" s="1110"/>
      <c r="I159" s="1110"/>
      <c r="J159" s="1110"/>
      <c r="K159" s="1110"/>
      <c r="L159" s="1110"/>
      <c r="M159" s="1111" t="s">
        <v>24693</v>
      </c>
      <c r="N159" s="1126">
        <f>TRUNC(N157/N158,2)</f>
        <v>26.92</v>
      </c>
    </row>
    <row r="160" spans="2:14" ht="15.75" thickBot="1" x14ac:dyDescent="0.35">
      <c r="B160" s="850"/>
      <c r="C160" s="461"/>
      <c r="D160" s="461"/>
      <c r="E160" s="461"/>
      <c r="F160" s="461"/>
      <c r="G160" s="461"/>
      <c r="H160" s="461"/>
      <c r="I160" s="461"/>
      <c r="J160" s="461"/>
      <c r="K160" s="461"/>
      <c r="L160" s="461"/>
      <c r="M160" s="461"/>
      <c r="N160" s="1113"/>
    </row>
    <row r="161" spans="2:14" ht="30" x14ac:dyDescent="0.3">
      <c r="B161" s="1104" t="s">
        <v>0</v>
      </c>
      <c r="C161" s="1105" t="s">
        <v>24673</v>
      </c>
      <c r="D161" s="1593" t="s">
        <v>24694</v>
      </c>
      <c r="E161" s="1593"/>
      <c r="F161" s="1593"/>
      <c r="G161" s="1593"/>
      <c r="H161" s="1593"/>
      <c r="I161" s="1594"/>
      <c r="J161" s="1106" t="s">
        <v>3686</v>
      </c>
      <c r="K161" s="1106" t="s">
        <v>24695</v>
      </c>
      <c r="L161" s="1614" t="s">
        <v>24683</v>
      </c>
      <c r="M161" s="1615"/>
      <c r="N161" s="1114" t="s">
        <v>24689</v>
      </c>
    </row>
    <row r="162" spans="2:14" ht="30" x14ac:dyDescent="0.3">
      <c r="B162" s="1115" t="s">
        <v>24795</v>
      </c>
      <c r="C162" s="1116" t="s">
        <v>25183</v>
      </c>
      <c r="D162" s="1604" t="s">
        <v>25194</v>
      </c>
      <c r="E162" s="1604"/>
      <c r="F162" s="1604"/>
      <c r="G162" s="1604"/>
      <c r="H162" s="1604"/>
      <c r="I162" s="1605"/>
      <c r="J162" s="1109" t="s">
        <v>5</v>
      </c>
      <c r="K162" s="1109">
        <f>'MAPA DE COT. - Quiosque'!H39</f>
        <v>594.82000000000005</v>
      </c>
      <c r="L162" s="1635">
        <v>1</v>
      </c>
      <c r="M162" s="1636"/>
      <c r="N162" s="1119">
        <f>L162*K162</f>
        <v>594.82000000000005</v>
      </c>
    </row>
    <row r="163" spans="2:14" ht="15.75" thickBot="1" x14ac:dyDescent="0.35">
      <c r="B163" s="855"/>
      <c r="C163" s="954"/>
      <c r="D163" s="954"/>
      <c r="E163" s="954"/>
      <c r="F163" s="1110"/>
      <c r="G163" s="1110"/>
      <c r="H163" s="1110"/>
      <c r="I163" s="1110"/>
      <c r="J163" s="1110"/>
      <c r="K163" s="1110"/>
      <c r="L163" s="1110"/>
      <c r="M163" s="1111" t="s">
        <v>24696</v>
      </c>
      <c r="N163" s="1112">
        <f>SUM(N162:N162)</f>
        <v>594.82000000000005</v>
      </c>
    </row>
    <row r="164" spans="2:14" ht="15.75" thickBot="1" x14ac:dyDescent="0.35">
      <c r="B164" s="850"/>
      <c r="C164" s="461"/>
      <c r="D164" s="461"/>
      <c r="E164" s="461"/>
      <c r="F164" s="461"/>
      <c r="G164" s="461"/>
      <c r="H164" s="461"/>
      <c r="I164" s="461"/>
      <c r="J164" s="461"/>
      <c r="K164" s="461"/>
      <c r="L164" s="461"/>
      <c r="M164" s="461"/>
      <c r="N164" s="1113"/>
    </row>
    <row r="165" spans="2:14" ht="30" x14ac:dyDescent="0.3">
      <c r="B165" s="1104" t="s">
        <v>0</v>
      </c>
      <c r="C165" s="1106" t="s">
        <v>24673</v>
      </c>
      <c r="D165" s="1593" t="s">
        <v>24697</v>
      </c>
      <c r="E165" s="1593"/>
      <c r="F165" s="1593"/>
      <c r="G165" s="1593"/>
      <c r="H165" s="1593"/>
      <c r="I165" s="1594"/>
      <c r="J165" s="1106" t="s">
        <v>3686</v>
      </c>
      <c r="K165" s="1106" t="s">
        <v>24695</v>
      </c>
      <c r="L165" s="1614" t="s">
        <v>24683</v>
      </c>
      <c r="M165" s="1615"/>
      <c r="N165" s="1114" t="s">
        <v>24689</v>
      </c>
    </row>
    <row r="166" spans="2:14" x14ac:dyDescent="0.3">
      <c r="B166" s="1127"/>
      <c r="C166" s="1128"/>
      <c r="D166" s="1604"/>
      <c r="E166" s="1604"/>
      <c r="F166" s="1604"/>
      <c r="G166" s="1604"/>
      <c r="H166" s="1604"/>
      <c r="I166" s="1605"/>
      <c r="J166" s="462"/>
      <c r="K166" s="462"/>
      <c r="L166" s="1612"/>
      <c r="M166" s="1613"/>
      <c r="N166" s="1130"/>
    </row>
    <row r="167" spans="2:14" ht="15.75" thickBot="1" x14ac:dyDescent="0.35">
      <c r="B167" s="855"/>
      <c r="C167" s="954"/>
      <c r="D167" s="954"/>
      <c r="E167" s="954"/>
      <c r="F167" s="1110"/>
      <c r="G167" s="1110"/>
      <c r="H167" s="1110"/>
      <c r="I167" s="1110"/>
      <c r="J167" s="1110"/>
      <c r="K167" s="1110"/>
      <c r="L167" s="1110"/>
      <c r="M167" s="1111" t="s">
        <v>24698</v>
      </c>
      <c r="N167" s="1112">
        <f>SUM(N166:N166)</f>
        <v>0</v>
      </c>
    </row>
    <row r="168" spans="2:14" ht="15.75" thickBot="1" x14ac:dyDescent="0.35">
      <c r="B168" s="850"/>
      <c r="C168" s="461"/>
      <c r="D168" s="461"/>
      <c r="E168" s="461"/>
      <c r="F168" s="461"/>
      <c r="G168" s="461"/>
      <c r="H168" s="461"/>
      <c r="I168" s="461"/>
      <c r="J168" s="461"/>
      <c r="K168" s="461"/>
      <c r="L168" s="461"/>
      <c r="M168" s="461"/>
      <c r="N168" s="1113"/>
    </row>
    <row r="169" spans="2:14" ht="30" x14ac:dyDescent="0.3">
      <c r="B169" s="1104" t="s">
        <v>0</v>
      </c>
      <c r="C169" s="1106" t="s">
        <v>24673</v>
      </c>
      <c r="D169" s="1593" t="s">
        <v>24699</v>
      </c>
      <c r="E169" s="1593"/>
      <c r="F169" s="1593"/>
      <c r="G169" s="1594"/>
      <c r="H169" s="1106" t="s">
        <v>3686</v>
      </c>
      <c r="I169" s="1106" t="s">
        <v>24700</v>
      </c>
      <c r="J169" s="1106" t="s">
        <v>24701</v>
      </c>
      <c r="K169" s="1106" t="s">
        <v>24695</v>
      </c>
      <c r="L169" s="1614" t="s">
        <v>24683</v>
      </c>
      <c r="M169" s="1615"/>
      <c r="N169" s="1114" t="s">
        <v>24689</v>
      </c>
    </row>
    <row r="170" spans="2:14" x14ac:dyDescent="0.3">
      <c r="B170" s="1115"/>
      <c r="C170" s="1116"/>
      <c r="D170" s="1595"/>
      <c r="E170" s="1595"/>
      <c r="F170" s="1595"/>
      <c r="G170" s="1595"/>
      <c r="H170" s="1109"/>
      <c r="I170" s="1109"/>
      <c r="J170" s="1109"/>
      <c r="K170" s="1109"/>
      <c r="L170" s="1597"/>
      <c r="M170" s="1598"/>
      <c r="N170" s="1119"/>
    </row>
    <row r="171" spans="2:14" x14ac:dyDescent="0.3">
      <c r="B171" s="1115"/>
      <c r="C171" s="1116"/>
      <c r="D171" s="1595"/>
      <c r="E171" s="1595"/>
      <c r="F171" s="1595"/>
      <c r="G171" s="1595"/>
      <c r="H171" s="1109"/>
      <c r="I171" s="1109"/>
      <c r="J171" s="1109"/>
      <c r="K171" s="1109"/>
      <c r="L171" s="1597"/>
      <c r="M171" s="1598"/>
      <c r="N171" s="1119"/>
    </row>
    <row r="172" spans="2:14" x14ac:dyDescent="0.3">
      <c r="B172" s="1115"/>
      <c r="C172" s="1116"/>
      <c r="D172" s="1595"/>
      <c r="E172" s="1595"/>
      <c r="F172" s="1595"/>
      <c r="G172" s="1595"/>
      <c r="H172" s="1109"/>
      <c r="I172" s="1109"/>
      <c r="J172" s="1109"/>
      <c r="K172" s="1109"/>
      <c r="L172" s="1597"/>
      <c r="M172" s="1598"/>
      <c r="N172" s="1119"/>
    </row>
    <row r="173" spans="2:14" x14ac:dyDescent="0.3">
      <c r="B173" s="850"/>
      <c r="C173" s="461"/>
      <c r="D173" s="461"/>
      <c r="E173" s="461"/>
      <c r="F173" s="1120"/>
      <c r="G173" s="1120"/>
      <c r="H173" s="1120"/>
      <c r="I173" s="1120"/>
      <c r="J173" s="1120"/>
      <c r="K173" s="1120"/>
      <c r="L173" s="1120"/>
      <c r="M173" s="1121" t="s">
        <v>24702</v>
      </c>
      <c r="N173" s="1122">
        <f>SUM(N170:N172)</f>
        <v>0</v>
      </c>
    </row>
    <row r="174" spans="2:14" x14ac:dyDescent="0.3">
      <c r="B174" s="850"/>
      <c r="C174" s="461"/>
      <c r="D174" s="461"/>
      <c r="E174" s="461"/>
      <c r="F174" s="461"/>
      <c r="G174" s="461"/>
      <c r="H174" s="461"/>
      <c r="I174" s="461"/>
      <c r="J174" s="461"/>
      <c r="K174" s="461"/>
      <c r="L174" s="461"/>
      <c r="M174" s="461"/>
      <c r="N174" s="1113"/>
    </row>
    <row r="175" spans="2:14" x14ac:dyDescent="0.3">
      <c r="B175" s="1131"/>
      <c r="C175" s="1132"/>
      <c r="D175" s="1132"/>
      <c r="E175" s="1132"/>
      <c r="F175" s="1133"/>
      <c r="G175" s="1133"/>
      <c r="H175" s="1133"/>
      <c r="I175" s="1133"/>
      <c r="J175" s="1133"/>
      <c r="K175" s="1133"/>
      <c r="L175" s="1133"/>
      <c r="M175" s="1134" t="s">
        <v>24703</v>
      </c>
      <c r="N175" s="1123">
        <f>N159+N163+N167+N173</f>
        <v>621.74</v>
      </c>
    </row>
    <row r="176" spans="2:14" x14ac:dyDescent="0.3">
      <c r="B176" s="850"/>
      <c r="C176" s="461"/>
      <c r="D176" s="461"/>
      <c r="E176" s="461"/>
      <c r="F176" s="1120"/>
      <c r="G176" s="1120"/>
      <c r="H176" s="1120"/>
      <c r="I176" s="1120"/>
      <c r="J176" s="1120"/>
      <c r="K176" s="1120"/>
      <c r="L176" s="1120"/>
      <c r="M176" s="1136">
        <f>'QUIOSQUE - MOD 01'!I3</f>
        <v>0.28220000000000001</v>
      </c>
      <c r="N176" s="1123">
        <f>ROUND(N175*M176,2)</f>
        <v>175.46</v>
      </c>
    </row>
    <row r="177" spans="2:14" ht="15.75" thickBot="1" x14ac:dyDescent="0.35">
      <c r="B177" s="1599" t="s">
        <v>24704</v>
      </c>
      <c r="C177" s="1600"/>
      <c r="D177" s="1600"/>
      <c r="E177" s="1600"/>
      <c r="F177" s="1600"/>
      <c r="G177" s="1600"/>
      <c r="H177" s="1600"/>
      <c r="I177" s="1600"/>
      <c r="J177" s="1600"/>
      <c r="K177" s="1600"/>
      <c r="L177" s="1600"/>
      <c r="M177" s="1601"/>
      <c r="N177" s="1126">
        <f>N175+N176</f>
        <v>797.2</v>
      </c>
    </row>
    <row r="180" spans="2:14" ht="15.75" thickBot="1" x14ac:dyDescent="0.35"/>
    <row r="181" spans="2:14" ht="44.25" customHeight="1" x14ac:dyDescent="0.3">
      <c r="B181" s="1607" t="s">
        <v>24754</v>
      </c>
      <c r="C181" s="1608"/>
      <c r="D181" s="1609"/>
      <c r="E181" s="1610" t="s">
        <v>24669</v>
      </c>
      <c r="F181" s="1610"/>
      <c r="G181" s="1610"/>
      <c r="H181" s="1610"/>
      <c r="I181" s="1610"/>
      <c r="J181" s="1610"/>
      <c r="K181" s="1610"/>
      <c r="L181" s="1623"/>
      <c r="M181" s="1576"/>
      <c r="N181" s="1577"/>
    </row>
    <row r="182" spans="2:14" x14ac:dyDescent="0.3">
      <c r="B182" s="1103" t="s">
        <v>24670</v>
      </c>
      <c r="C182" s="1586" t="s">
        <v>25196</v>
      </c>
      <c r="D182" s="1586"/>
      <c r="E182" s="1586"/>
      <c r="F182" s="1586"/>
      <c r="G182" s="1586"/>
      <c r="H182" s="1586"/>
      <c r="I182" s="1586"/>
      <c r="J182" s="1586"/>
      <c r="K182" s="1586"/>
      <c r="L182" s="1586"/>
      <c r="M182" s="1586"/>
      <c r="N182" s="1587"/>
    </row>
    <row r="183" spans="2:14" x14ac:dyDescent="0.3">
      <c r="B183" s="1103" t="s">
        <v>24671</v>
      </c>
      <c r="C183" s="1588" t="s">
        <v>8</v>
      </c>
      <c r="D183" s="1588"/>
      <c r="E183" s="1588"/>
      <c r="F183" s="1588"/>
      <c r="G183" s="1588"/>
      <c r="H183" s="1588"/>
      <c r="I183" s="1588"/>
      <c r="J183" s="1588"/>
      <c r="K183" s="1588"/>
      <c r="L183" s="1588"/>
      <c r="M183" s="1588"/>
      <c r="N183" s="1589"/>
    </row>
    <row r="184" spans="2:14" ht="15.75" thickBot="1" x14ac:dyDescent="0.35">
      <c r="B184" s="1103" t="s">
        <v>24672</v>
      </c>
      <c r="C184" s="1590">
        <v>44501</v>
      </c>
      <c r="D184" s="1591"/>
      <c r="E184" s="1591"/>
      <c r="F184" s="1591"/>
      <c r="G184" s="1591"/>
      <c r="H184" s="1591"/>
      <c r="I184" s="1591"/>
      <c r="J184" s="1591"/>
      <c r="K184" s="1591"/>
      <c r="L184" s="1591"/>
      <c r="M184" s="1591"/>
      <c r="N184" s="1592"/>
    </row>
    <row r="185" spans="2:14" ht="30" x14ac:dyDescent="0.3">
      <c r="B185" s="1104" t="s">
        <v>0</v>
      </c>
      <c r="C185" s="1105" t="s">
        <v>24673</v>
      </c>
      <c r="D185" s="1593" t="s">
        <v>24674</v>
      </c>
      <c r="E185" s="1593"/>
      <c r="F185" s="1593"/>
      <c r="G185" s="1594"/>
      <c r="H185" s="1106" t="s">
        <v>111</v>
      </c>
      <c r="I185" s="1106" t="s">
        <v>24675</v>
      </c>
      <c r="J185" s="1106" t="s">
        <v>24676</v>
      </c>
      <c r="K185" s="1106" t="s">
        <v>24677</v>
      </c>
      <c r="L185" s="1106" t="s">
        <v>24678</v>
      </c>
      <c r="M185" s="1621" t="s">
        <v>24679</v>
      </c>
      <c r="N185" s="1622"/>
    </row>
    <row r="186" spans="2:14" x14ac:dyDescent="0.3">
      <c r="B186" s="1107"/>
      <c r="C186" s="1108"/>
      <c r="D186" s="1595"/>
      <c r="E186" s="1595"/>
      <c r="F186" s="1595"/>
      <c r="G186" s="1596"/>
      <c r="H186" s="1109"/>
      <c r="I186" s="1109"/>
      <c r="J186" s="1109"/>
      <c r="K186" s="1109"/>
      <c r="L186" s="1109"/>
      <c r="M186" s="1597"/>
      <c r="N186" s="1620"/>
    </row>
    <row r="187" spans="2:14" x14ac:dyDescent="0.3">
      <c r="B187" s="1107"/>
      <c r="C187" s="1108"/>
      <c r="D187" s="1595"/>
      <c r="E187" s="1595"/>
      <c r="F187" s="1595"/>
      <c r="G187" s="1596"/>
      <c r="H187" s="1109"/>
      <c r="I187" s="1109"/>
      <c r="J187" s="1109"/>
      <c r="K187" s="1109"/>
      <c r="L187" s="1109"/>
      <c r="M187" s="1597"/>
      <c r="N187" s="1620"/>
    </row>
    <row r="188" spans="2:14" x14ac:dyDescent="0.3">
      <c r="B188" s="1107"/>
      <c r="C188" s="1108"/>
      <c r="D188" s="1595"/>
      <c r="E188" s="1595"/>
      <c r="F188" s="1595"/>
      <c r="G188" s="1596"/>
      <c r="H188" s="1109"/>
      <c r="I188" s="1109"/>
      <c r="J188" s="1109"/>
      <c r="K188" s="1109"/>
      <c r="L188" s="1109"/>
      <c r="M188" s="1597"/>
      <c r="N188" s="1620"/>
    </row>
    <row r="189" spans="2:14" ht="15.75" thickBot="1" x14ac:dyDescent="0.35">
      <c r="B189" s="855"/>
      <c r="C189" s="954"/>
      <c r="D189" s="954"/>
      <c r="E189" s="954"/>
      <c r="F189" s="1110"/>
      <c r="G189" s="1110"/>
      <c r="H189" s="1110"/>
      <c r="I189" s="1110"/>
      <c r="J189" s="1110"/>
      <c r="K189" s="1110"/>
      <c r="L189" s="1110"/>
      <c r="M189" s="1111" t="s">
        <v>24680</v>
      </c>
      <c r="N189" s="1112">
        <f>SUM(N186:N188)</f>
        <v>0</v>
      </c>
    </row>
    <row r="190" spans="2:14" ht="15.75" thickBot="1" x14ac:dyDescent="0.35">
      <c r="B190" s="850"/>
      <c r="C190" s="461"/>
      <c r="D190" s="461"/>
      <c r="E190" s="461"/>
      <c r="F190" s="461"/>
      <c r="G190" s="461"/>
      <c r="H190" s="461"/>
      <c r="I190" s="461"/>
      <c r="J190" s="461"/>
      <c r="K190" s="461"/>
      <c r="L190" s="461"/>
      <c r="M190" s="461"/>
      <c r="N190" s="1113"/>
    </row>
    <row r="191" spans="2:14" ht="45" x14ac:dyDescent="0.3">
      <c r="B191" s="1104" t="s">
        <v>0</v>
      </c>
      <c r="C191" s="1105" t="s">
        <v>24673</v>
      </c>
      <c r="D191" s="1593" t="s">
        <v>24681</v>
      </c>
      <c r="E191" s="1593"/>
      <c r="F191" s="1593"/>
      <c r="G191" s="1593"/>
      <c r="H191" s="1594"/>
      <c r="I191" s="1106" t="s">
        <v>3686</v>
      </c>
      <c r="J191" s="1106" t="s">
        <v>24682</v>
      </c>
      <c r="K191" s="1106" t="s">
        <v>25177</v>
      </c>
      <c r="L191" s="1106" t="s">
        <v>25178</v>
      </c>
      <c r="M191" s="1106" t="s">
        <v>24683</v>
      </c>
      <c r="N191" s="1114" t="s">
        <v>24679</v>
      </c>
    </row>
    <row r="192" spans="2:14" x14ac:dyDescent="0.3">
      <c r="B192" s="1115">
        <v>6110</v>
      </c>
      <c r="C192" s="1116" t="s">
        <v>24706</v>
      </c>
      <c r="D192" s="1604" t="s">
        <v>25197</v>
      </c>
      <c r="E192" s="1604"/>
      <c r="F192" s="1604"/>
      <c r="G192" s="1604"/>
      <c r="H192" s="1605"/>
      <c r="I192" s="1109" t="s">
        <v>75</v>
      </c>
      <c r="J192" s="1117">
        <v>1.5727</v>
      </c>
      <c r="K192" s="1109">
        <v>18.670000000000002</v>
      </c>
      <c r="L192" s="1109">
        <f>K192*(1+J192)</f>
        <v>48.03</v>
      </c>
      <c r="M192" s="1118">
        <v>24</v>
      </c>
      <c r="N192" s="1119">
        <f>M192*L192</f>
        <v>1152.72</v>
      </c>
    </row>
    <row r="193" spans="2:14" x14ac:dyDescent="0.3">
      <c r="B193" s="1115">
        <v>252</v>
      </c>
      <c r="C193" s="1116" t="s">
        <v>24706</v>
      </c>
      <c r="D193" s="1604" t="s">
        <v>25198</v>
      </c>
      <c r="E193" s="1604"/>
      <c r="F193" s="1604"/>
      <c r="G193" s="1604"/>
      <c r="H193" s="1605"/>
      <c r="I193" s="1109" t="s">
        <v>75</v>
      </c>
      <c r="J193" s="1117">
        <v>1.5727</v>
      </c>
      <c r="K193" s="1109">
        <v>13.95</v>
      </c>
      <c r="L193" s="1109">
        <f>K193*(1+J193)</f>
        <v>35.89</v>
      </c>
      <c r="M193" s="1118">
        <v>16</v>
      </c>
      <c r="N193" s="1119">
        <f>M193*L193</f>
        <v>574.24</v>
      </c>
    </row>
    <row r="194" spans="2:14" ht="15.75" thickBot="1" x14ac:dyDescent="0.35">
      <c r="B194" s="855"/>
      <c r="C194" s="954"/>
      <c r="D194" s="954"/>
      <c r="E194" s="954"/>
      <c r="F194" s="1110"/>
      <c r="G194" s="1110"/>
      <c r="H194" s="1110"/>
      <c r="I194" s="1110"/>
      <c r="J194" s="1110"/>
      <c r="K194" s="1110"/>
      <c r="L194" s="1110"/>
      <c r="M194" s="1111" t="s">
        <v>24684</v>
      </c>
      <c r="N194" s="1112">
        <f>SUM(N192:N193)</f>
        <v>1726.96</v>
      </c>
    </row>
    <row r="195" spans="2:14" ht="15.75" thickBot="1" x14ac:dyDescent="0.35">
      <c r="B195" s="850"/>
      <c r="C195" s="461"/>
      <c r="D195" s="461"/>
      <c r="E195" s="461"/>
      <c r="F195" s="461"/>
      <c r="G195" s="461"/>
      <c r="H195" s="461"/>
      <c r="I195" s="1120"/>
      <c r="J195" s="1120"/>
      <c r="K195" s="461"/>
      <c r="L195" s="461"/>
      <c r="M195" s="461"/>
      <c r="N195" s="1113"/>
    </row>
    <row r="196" spans="2:14" ht="30" x14ac:dyDescent="0.3">
      <c r="B196" s="1104" t="s">
        <v>0</v>
      </c>
      <c r="C196" s="1105" t="s">
        <v>24673</v>
      </c>
      <c r="D196" s="1593" t="s">
        <v>24685</v>
      </c>
      <c r="E196" s="1593"/>
      <c r="F196" s="1593"/>
      <c r="G196" s="1593"/>
      <c r="H196" s="1594"/>
      <c r="I196" s="1106" t="s">
        <v>2858</v>
      </c>
      <c r="J196" s="1106" t="s">
        <v>24686</v>
      </c>
      <c r="K196" s="1106" t="s">
        <v>24687</v>
      </c>
      <c r="L196" s="1614" t="s">
        <v>24688</v>
      </c>
      <c r="M196" s="1615"/>
      <c r="N196" s="1114" t="s">
        <v>24689</v>
      </c>
    </row>
    <row r="197" spans="2:14" x14ac:dyDescent="0.3">
      <c r="B197" s="1115"/>
      <c r="C197" s="1116"/>
      <c r="D197" s="1604"/>
      <c r="E197" s="1604"/>
      <c r="F197" s="1604"/>
      <c r="G197" s="1604"/>
      <c r="H197" s="1605"/>
      <c r="I197" s="1109"/>
      <c r="J197" s="1109"/>
      <c r="K197" s="1109"/>
      <c r="L197" s="1597"/>
      <c r="M197" s="1598"/>
      <c r="N197" s="1119">
        <f>N194*(I197/100)</f>
        <v>0</v>
      </c>
    </row>
    <row r="198" spans="2:14" x14ac:dyDescent="0.3">
      <c r="B198" s="850"/>
      <c r="C198" s="461"/>
      <c r="D198" s="461"/>
      <c r="E198" s="461"/>
      <c r="F198" s="1120"/>
      <c r="G198" s="1120"/>
      <c r="H198" s="1120"/>
      <c r="I198" s="1120"/>
      <c r="J198" s="1120"/>
      <c r="K198" s="1120"/>
      <c r="L198" s="1120"/>
      <c r="M198" s="1121" t="s">
        <v>24690</v>
      </c>
      <c r="N198" s="1122">
        <f>SUM(N197:N197)</f>
        <v>0</v>
      </c>
    </row>
    <row r="199" spans="2:14" x14ac:dyDescent="0.3">
      <c r="B199" s="850"/>
      <c r="C199" s="461"/>
      <c r="D199" s="461"/>
      <c r="E199" s="461"/>
      <c r="F199" s="461"/>
      <c r="G199" s="461"/>
      <c r="H199" s="461"/>
      <c r="I199" s="461"/>
      <c r="J199" s="461"/>
      <c r="K199" s="461"/>
      <c r="L199" s="461"/>
      <c r="M199" s="461"/>
      <c r="N199" s="1113"/>
    </row>
    <row r="200" spans="2:14" x14ac:dyDescent="0.3">
      <c r="B200" s="850"/>
      <c r="C200" s="461"/>
      <c r="D200" s="461"/>
      <c r="E200" s="461"/>
      <c r="F200" s="1120"/>
      <c r="G200" s="1120"/>
      <c r="H200" s="1120"/>
      <c r="I200" s="863"/>
      <c r="J200" s="863"/>
      <c r="K200" s="863"/>
      <c r="L200" s="863"/>
      <c r="M200" s="1121" t="s">
        <v>24691</v>
      </c>
      <c r="N200" s="1123">
        <f>N189+N194+N198</f>
        <v>1726.96</v>
      </c>
    </row>
    <row r="201" spans="2:14" x14ac:dyDescent="0.3">
      <c r="B201" s="850"/>
      <c r="C201" s="461"/>
      <c r="D201" s="461"/>
      <c r="E201" s="461"/>
      <c r="F201" s="1120"/>
      <c r="G201" s="1120"/>
      <c r="H201" s="1120"/>
      <c r="I201" s="1120"/>
      <c r="J201" s="1124"/>
      <c r="K201" s="1124"/>
      <c r="L201" s="1124"/>
      <c r="M201" s="1125" t="s">
        <v>24692</v>
      </c>
      <c r="N201" s="1123">
        <v>1</v>
      </c>
    </row>
    <row r="202" spans="2:14" ht="15.75" thickBot="1" x14ac:dyDescent="0.35">
      <c r="B202" s="855"/>
      <c r="C202" s="954"/>
      <c r="D202" s="954"/>
      <c r="E202" s="954"/>
      <c r="F202" s="1110"/>
      <c r="G202" s="1110"/>
      <c r="H202" s="1110"/>
      <c r="I202" s="1110"/>
      <c r="J202" s="1110"/>
      <c r="K202" s="1110"/>
      <c r="L202" s="1110"/>
      <c r="M202" s="1111" t="s">
        <v>24693</v>
      </c>
      <c r="N202" s="1126">
        <f>TRUNC(N200/N201,2)</f>
        <v>1726.96</v>
      </c>
    </row>
    <row r="203" spans="2:14" ht="15.75" thickBot="1" x14ac:dyDescent="0.35">
      <c r="B203" s="850"/>
      <c r="C203" s="461"/>
      <c r="D203" s="461"/>
      <c r="E203" s="461"/>
      <c r="F203" s="461"/>
      <c r="G203" s="461"/>
      <c r="H203" s="461"/>
      <c r="I203" s="461"/>
      <c r="J203" s="461"/>
      <c r="K203" s="461"/>
      <c r="L203" s="461"/>
      <c r="M203" s="461"/>
      <c r="N203" s="1113"/>
    </row>
    <row r="204" spans="2:14" ht="30" x14ac:dyDescent="0.3">
      <c r="B204" s="1104" t="s">
        <v>0</v>
      </c>
      <c r="C204" s="1105" t="s">
        <v>24673</v>
      </c>
      <c r="D204" s="1593" t="s">
        <v>24694</v>
      </c>
      <c r="E204" s="1593"/>
      <c r="F204" s="1593"/>
      <c r="G204" s="1593"/>
      <c r="H204" s="1593"/>
      <c r="I204" s="1594"/>
      <c r="J204" s="1106" t="s">
        <v>3686</v>
      </c>
      <c r="K204" s="1106" t="s">
        <v>24695</v>
      </c>
      <c r="L204" s="1614" t="s">
        <v>24683</v>
      </c>
      <c r="M204" s="1615"/>
      <c r="N204" s="1114" t="s">
        <v>24689</v>
      </c>
    </row>
    <row r="205" spans="2:14" x14ac:dyDescent="0.3">
      <c r="B205" s="1115">
        <v>34360</v>
      </c>
      <c r="C205" s="1116" t="s">
        <v>24706</v>
      </c>
      <c r="D205" s="1604" t="s">
        <v>25199</v>
      </c>
      <c r="E205" s="1604"/>
      <c r="F205" s="1604"/>
      <c r="G205" s="1604"/>
      <c r="H205" s="1604"/>
      <c r="I205" s="1605"/>
      <c r="J205" s="1109" t="s">
        <v>77</v>
      </c>
      <c r="K205" s="1143">
        <v>45.65</v>
      </c>
      <c r="L205" s="1635">
        <v>125.214</v>
      </c>
      <c r="M205" s="1636"/>
      <c r="N205" s="1119">
        <f>K205*L205</f>
        <v>5716.02</v>
      </c>
    </row>
    <row r="206" spans="2:14" x14ac:dyDescent="0.3">
      <c r="B206" s="1115">
        <v>38021</v>
      </c>
      <c r="C206" s="1116" t="s">
        <v>4379</v>
      </c>
      <c r="D206" s="1604" t="s">
        <v>25200</v>
      </c>
      <c r="E206" s="1604"/>
      <c r="F206" s="1604"/>
      <c r="G206" s="1604"/>
      <c r="H206" s="1604"/>
      <c r="I206" s="1605"/>
      <c r="J206" s="1109" t="s">
        <v>85</v>
      </c>
      <c r="K206" s="1143">
        <v>84.65</v>
      </c>
      <c r="L206" s="1597">
        <v>5.4</v>
      </c>
      <c r="M206" s="1598"/>
      <c r="N206" s="1119">
        <f t="shared" ref="N206:N210" si="0">K206*L206</f>
        <v>457.11</v>
      </c>
    </row>
    <row r="207" spans="2:14" x14ac:dyDescent="0.3">
      <c r="B207" s="1115">
        <v>37564</v>
      </c>
      <c r="C207" s="1116" t="s">
        <v>4379</v>
      </c>
      <c r="D207" s="1604" t="s">
        <v>25201</v>
      </c>
      <c r="E207" s="1604"/>
      <c r="F207" s="1604"/>
      <c r="G207" s="1604"/>
      <c r="H207" s="1604"/>
      <c r="I207" s="1605"/>
      <c r="J207" s="1109" t="s">
        <v>85</v>
      </c>
      <c r="K207" s="1143">
        <v>30.03</v>
      </c>
      <c r="L207" s="1597">
        <v>1.25</v>
      </c>
      <c r="M207" s="1598"/>
      <c r="N207" s="1119">
        <f t="shared" si="0"/>
        <v>37.54</v>
      </c>
    </row>
    <row r="208" spans="2:14" x14ac:dyDescent="0.3">
      <c r="B208" s="1115">
        <v>37509</v>
      </c>
      <c r="C208" s="1116" t="s">
        <v>4379</v>
      </c>
      <c r="D208" s="1604" t="s">
        <v>25202</v>
      </c>
      <c r="E208" s="1604"/>
      <c r="F208" s="1604"/>
      <c r="G208" s="1604"/>
      <c r="H208" s="1604"/>
      <c r="I208" s="1605"/>
      <c r="J208" s="1109" t="s">
        <v>85</v>
      </c>
      <c r="K208" s="1143">
        <v>94.82</v>
      </c>
      <c r="L208" s="1597">
        <v>5.4</v>
      </c>
      <c r="M208" s="1598"/>
      <c r="N208" s="1119">
        <f t="shared" si="0"/>
        <v>512.03</v>
      </c>
    </row>
    <row r="209" spans="2:14" x14ac:dyDescent="0.3">
      <c r="B209" s="1115">
        <v>38024</v>
      </c>
      <c r="C209" s="1116" t="s">
        <v>4379</v>
      </c>
      <c r="D209" s="1604" t="s">
        <v>25203</v>
      </c>
      <c r="E209" s="1604"/>
      <c r="F209" s="1604"/>
      <c r="G209" s="1604"/>
      <c r="H209" s="1604"/>
      <c r="I209" s="1605"/>
      <c r="J209" s="1109" t="s">
        <v>24804</v>
      </c>
      <c r="K209" s="1143">
        <v>6.24</v>
      </c>
      <c r="L209" s="1597">
        <v>2</v>
      </c>
      <c r="M209" s="1598"/>
      <c r="N209" s="1119">
        <f t="shared" si="0"/>
        <v>12.48</v>
      </c>
    </row>
    <row r="210" spans="2:14" ht="30" x14ac:dyDescent="0.3">
      <c r="B210" s="1115" t="s">
        <v>24795</v>
      </c>
      <c r="C210" s="1116" t="s">
        <v>24793</v>
      </c>
      <c r="D210" s="1604" t="s">
        <v>25204</v>
      </c>
      <c r="E210" s="1604"/>
      <c r="F210" s="1604"/>
      <c r="G210" s="1604"/>
      <c r="H210" s="1604"/>
      <c r="I210" s="1605"/>
      <c r="J210" s="1109" t="s">
        <v>24804</v>
      </c>
      <c r="K210" s="1143">
        <f>'MAPA DE COT. - Quiosque'!H360</f>
        <v>7.0000000000000007E-2</v>
      </c>
      <c r="L210" s="1597">
        <v>1000</v>
      </c>
      <c r="M210" s="1598"/>
      <c r="N210" s="1119">
        <f t="shared" si="0"/>
        <v>70</v>
      </c>
    </row>
    <row r="211" spans="2:14" x14ac:dyDescent="0.3">
      <c r="B211" s="1115"/>
      <c r="C211" s="1116"/>
      <c r="D211" s="1144"/>
      <c r="E211" s="1144"/>
      <c r="F211" s="1144"/>
      <c r="G211" s="1144"/>
      <c r="H211" s="1144"/>
      <c r="I211" s="1145"/>
      <c r="J211" s="1109"/>
      <c r="K211" s="1109"/>
      <c r="L211" s="1597"/>
      <c r="M211" s="1598"/>
      <c r="N211" s="1119"/>
    </row>
    <row r="212" spans="2:14" ht="15.75" thickBot="1" x14ac:dyDescent="0.35">
      <c r="B212" s="855"/>
      <c r="C212" s="954"/>
      <c r="D212" s="954"/>
      <c r="E212" s="954"/>
      <c r="F212" s="1110"/>
      <c r="G212" s="1110"/>
      <c r="H212" s="1110"/>
      <c r="I212" s="1110"/>
      <c r="J212" s="1110"/>
      <c r="K212" s="1110"/>
      <c r="L212" s="1110"/>
      <c r="M212" s="1111" t="s">
        <v>24696</v>
      </c>
      <c r="N212" s="1112">
        <f>SUM(N205:N210)</f>
        <v>6805.18</v>
      </c>
    </row>
    <row r="213" spans="2:14" ht="15.75" thickBot="1" x14ac:dyDescent="0.35">
      <c r="B213" s="850"/>
      <c r="C213" s="461"/>
      <c r="D213" s="461"/>
      <c r="E213" s="461"/>
      <c r="F213" s="461"/>
      <c r="G213" s="461"/>
      <c r="H213" s="461"/>
      <c r="I213" s="461"/>
      <c r="J213" s="461"/>
      <c r="K213" s="461"/>
      <c r="L213" s="461"/>
      <c r="M213" s="461"/>
      <c r="N213" s="1113"/>
    </row>
    <row r="214" spans="2:14" ht="30" x14ac:dyDescent="0.3">
      <c r="B214" s="1104" t="s">
        <v>0</v>
      </c>
      <c r="C214" s="1106" t="s">
        <v>24673</v>
      </c>
      <c r="D214" s="1593" t="s">
        <v>24697</v>
      </c>
      <c r="E214" s="1593"/>
      <c r="F214" s="1593"/>
      <c r="G214" s="1593"/>
      <c r="H214" s="1593"/>
      <c r="I214" s="1594"/>
      <c r="J214" s="1106" t="s">
        <v>3686</v>
      </c>
      <c r="K214" s="1106" t="s">
        <v>24695</v>
      </c>
      <c r="L214" s="1614" t="s">
        <v>24683</v>
      </c>
      <c r="M214" s="1615"/>
      <c r="N214" s="1114" t="s">
        <v>24689</v>
      </c>
    </row>
    <row r="215" spans="2:14" x14ac:dyDescent="0.3">
      <c r="B215" s="1115"/>
      <c r="C215" s="1116"/>
      <c r="D215" s="1604"/>
      <c r="E215" s="1604"/>
      <c r="F215" s="1604"/>
      <c r="G215" s="1604"/>
      <c r="H215" s="1604"/>
      <c r="I215" s="1605"/>
      <c r="J215" s="462"/>
      <c r="K215" s="462"/>
      <c r="L215" s="1612"/>
      <c r="M215" s="1613"/>
      <c r="N215" s="1130"/>
    </row>
    <row r="216" spans="2:14" ht="15.75" thickBot="1" x14ac:dyDescent="0.35">
      <c r="B216" s="855"/>
      <c r="C216" s="954"/>
      <c r="D216" s="954"/>
      <c r="E216" s="954"/>
      <c r="F216" s="1110"/>
      <c r="G216" s="1110"/>
      <c r="H216" s="1110"/>
      <c r="I216" s="1110"/>
      <c r="J216" s="1110"/>
      <c r="K216" s="1110"/>
      <c r="L216" s="1110"/>
      <c r="M216" s="1111" t="s">
        <v>24698</v>
      </c>
      <c r="N216" s="1112">
        <f>SUM(N215:N215)</f>
        <v>0</v>
      </c>
    </row>
    <row r="217" spans="2:14" ht="15.75" thickBot="1" x14ac:dyDescent="0.35">
      <c r="B217" s="850"/>
      <c r="C217" s="461"/>
      <c r="D217" s="461"/>
      <c r="E217" s="461"/>
      <c r="F217" s="461"/>
      <c r="G217" s="461"/>
      <c r="H217" s="461"/>
      <c r="I217" s="461"/>
      <c r="J217" s="461"/>
      <c r="K217" s="461"/>
      <c r="L217" s="461"/>
      <c r="M217" s="461"/>
      <c r="N217" s="1113"/>
    </row>
    <row r="218" spans="2:14" ht="30" x14ac:dyDescent="0.3">
      <c r="B218" s="1104" t="s">
        <v>0</v>
      </c>
      <c r="C218" s="1106" t="s">
        <v>24673</v>
      </c>
      <c r="D218" s="1593" t="s">
        <v>24699</v>
      </c>
      <c r="E218" s="1593"/>
      <c r="F218" s="1593"/>
      <c r="G218" s="1594"/>
      <c r="H218" s="1106" t="s">
        <v>3686</v>
      </c>
      <c r="I218" s="1106" t="s">
        <v>24700</v>
      </c>
      <c r="J218" s="1106" t="s">
        <v>24701</v>
      </c>
      <c r="K218" s="1106" t="s">
        <v>24695</v>
      </c>
      <c r="L218" s="1614" t="s">
        <v>24683</v>
      </c>
      <c r="M218" s="1615"/>
      <c r="N218" s="1114" t="s">
        <v>24689</v>
      </c>
    </row>
    <row r="219" spans="2:14" x14ac:dyDescent="0.3">
      <c r="B219" s="1115"/>
      <c r="C219" s="1116"/>
      <c r="D219" s="1595"/>
      <c r="E219" s="1595"/>
      <c r="F219" s="1595"/>
      <c r="G219" s="1595"/>
      <c r="H219" s="1109"/>
      <c r="I219" s="1109"/>
      <c r="J219" s="1109"/>
      <c r="K219" s="1109"/>
      <c r="L219" s="1597"/>
      <c r="M219" s="1598"/>
      <c r="N219" s="1119"/>
    </row>
    <row r="220" spans="2:14" x14ac:dyDescent="0.3">
      <c r="B220" s="1115"/>
      <c r="C220" s="1116"/>
      <c r="D220" s="1595"/>
      <c r="E220" s="1595"/>
      <c r="F220" s="1595"/>
      <c r="G220" s="1595"/>
      <c r="H220" s="1109"/>
      <c r="I220" s="1109"/>
      <c r="J220" s="1109"/>
      <c r="K220" s="1109"/>
      <c r="L220" s="1597"/>
      <c r="M220" s="1598"/>
      <c r="N220" s="1119"/>
    </row>
    <row r="221" spans="2:14" x14ac:dyDescent="0.3">
      <c r="B221" s="1115"/>
      <c r="C221" s="1116"/>
      <c r="D221" s="1595"/>
      <c r="E221" s="1595"/>
      <c r="F221" s="1595"/>
      <c r="G221" s="1595"/>
      <c r="H221" s="1109"/>
      <c r="I221" s="1109"/>
      <c r="J221" s="1109"/>
      <c r="K221" s="1109"/>
      <c r="L221" s="1597"/>
      <c r="M221" s="1598"/>
      <c r="N221" s="1119"/>
    </row>
    <row r="222" spans="2:14" x14ac:dyDescent="0.3">
      <c r="B222" s="850"/>
      <c r="C222" s="461"/>
      <c r="D222" s="461"/>
      <c r="E222" s="461"/>
      <c r="F222" s="1120"/>
      <c r="G222" s="1120"/>
      <c r="H222" s="1120"/>
      <c r="I222" s="1120"/>
      <c r="J222" s="1120"/>
      <c r="K222" s="1120"/>
      <c r="L222" s="1120"/>
      <c r="M222" s="1121" t="s">
        <v>24702</v>
      </c>
      <c r="N222" s="1122">
        <f>SUM(N219:N221)</f>
        <v>0</v>
      </c>
    </row>
    <row r="223" spans="2:14" x14ac:dyDescent="0.3">
      <c r="B223" s="850"/>
      <c r="C223" s="461"/>
      <c r="D223" s="461"/>
      <c r="E223" s="461"/>
      <c r="F223" s="461"/>
      <c r="G223" s="461"/>
      <c r="H223" s="461"/>
      <c r="I223" s="461"/>
      <c r="J223" s="461"/>
      <c r="K223" s="461"/>
      <c r="L223" s="461"/>
      <c r="M223" s="461"/>
      <c r="N223" s="1113"/>
    </row>
    <row r="224" spans="2:14" x14ac:dyDescent="0.3">
      <c r="B224" s="1131"/>
      <c r="C224" s="1132"/>
      <c r="D224" s="1132"/>
      <c r="E224" s="1132"/>
      <c r="F224" s="1133"/>
      <c r="G224" s="1133"/>
      <c r="H224" s="1133"/>
      <c r="I224" s="1133"/>
      <c r="J224" s="1133"/>
      <c r="K224" s="1133"/>
      <c r="L224" s="1133"/>
      <c r="M224" s="1134" t="s">
        <v>24703</v>
      </c>
      <c r="N224" s="1123">
        <f>N202+N212+N216+N222</f>
        <v>8532.14</v>
      </c>
    </row>
    <row r="225" spans="2:14" x14ac:dyDescent="0.3">
      <c r="B225" s="850"/>
      <c r="C225" s="461"/>
      <c r="D225" s="461"/>
      <c r="E225" s="461"/>
      <c r="F225" s="1120"/>
      <c r="G225" s="1120"/>
      <c r="H225" s="1120"/>
      <c r="I225" s="1120"/>
      <c r="J225" s="1120"/>
      <c r="K225" s="1120"/>
      <c r="L225" s="1120"/>
      <c r="M225" s="1136">
        <f>'QUIOSQUE - MOD 01'!I3</f>
        <v>0.28220000000000001</v>
      </c>
      <c r="N225" s="1123">
        <f>ROUND(N224*M225,2)</f>
        <v>2407.77</v>
      </c>
    </row>
    <row r="226" spans="2:14" ht="15.75" thickBot="1" x14ac:dyDescent="0.35">
      <c r="B226" s="1599" t="s">
        <v>24704</v>
      </c>
      <c r="C226" s="1600"/>
      <c r="D226" s="1600"/>
      <c r="E226" s="1600"/>
      <c r="F226" s="1600"/>
      <c r="G226" s="1600"/>
      <c r="H226" s="1600"/>
      <c r="I226" s="1600"/>
      <c r="J226" s="1600"/>
      <c r="K226" s="1600"/>
      <c r="L226" s="1600"/>
      <c r="M226" s="1601"/>
      <c r="N226" s="1126">
        <f>N224+N225</f>
        <v>10939.91</v>
      </c>
    </row>
    <row r="228" spans="2:14" ht="15.75" thickBot="1" x14ac:dyDescent="0.35"/>
    <row r="229" spans="2:14" ht="43.5" customHeight="1" x14ac:dyDescent="0.3">
      <c r="B229" s="1607" t="s">
        <v>24731</v>
      </c>
      <c r="C229" s="1608"/>
      <c r="D229" s="1609"/>
      <c r="E229" s="1610" t="s">
        <v>24669</v>
      </c>
      <c r="F229" s="1610"/>
      <c r="G229" s="1610"/>
      <c r="H229" s="1610"/>
      <c r="I229" s="1610"/>
      <c r="J229" s="1610"/>
      <c r="K229" s="1610"/>
      <c r="L229" s="1146"/>
      <c r="M229" s="1611"/>
      <c r="N229" s="1577"/>
    </row>
    <row r="230" spans="2:14" x14ac:dyDescent="0.3">
      <c r="B230" s="1103" t="s">
        <v>24670</v>
      </c>
      <c r="C230" s="1586" t="s">
        <v>25205</v>
      </c>
      <c r="D230" s="1586"/>
      <c r="E230" s="1586"/>
      <c r="F230" s="1586"/>
      <c r="G230" s="1586"/>
      <c r="H230" s="1586"/>
      <c r="I230" s="1586"/>
      <c r="J230" s="1586"/>
      <c r="K230" s="1586"/>
      <c r="L230" s="1586"/>
      <c r="M230" s="1586"/>
      <c r="N230" s="1587"/>
    </row>
    <row r="231" spans="2:14" x14ac:dyDescent="0.3">
      <c r="B231" s="1103" t="s">
        <v>24671</v>
      </c>
      <c r="C231" s="1588" t="s">
        <v>8</v>
      </c>
      <c r="D231" s="1588"/>
      <c r="E231" s="1588"/>
      <c r="F231" s="1588"/>
      <c r="G231" s="1588"/>
      <c r="H231" s="1588"/>
      <c r="I231" s="1588"/>
      <c r="J231" s="1588"/>
      <c r="K231" s="1588"/>
      <c r="L231" s="1588"/>
      <c r="M231" s="1588"/>
      <c r="N231" s="1589"/>
    </row>
    <row r="232" spans="2:14" ht="15.75" thickBot="1" x14ac:dyDescent="0.35">
      <c r="B232" s="1103" t="s">
        <v>24672</v>
      </c>
      <c r="C232" s="1590">
        <v>44501</v>
      </c>
      <c r="D232" s="1591"/>
      <c r="E232" s="1591"/>
      <c r="F232" s="1591"/>
      <c r="G232" s="1591"/>
      <c r="H232" s="1591"/>
      <c r="I232" s="1591"/>
      <c r="J232" s="1591"/>
      <c r="K232" s="1591"/>
      <c r="L232" s="1591"/>
      <c r="M232" s="1591"/>
      <c r="N232" s="1592"/>
    </row>
    <row r="233" spans="2:14" ht="30" x14ac:dyDescent="0.3">
      <c r="B233" s="1104" t="s">
        <v>0</v>
      </c>
      <c r="C233" s="1105" t="s">
        <v>24673</v>
      </c>
      <c r="D233" s="1593" t="s">
        <v>24674</v>
      </c>
      <c r="E233" s="1593"/>
      <c r="F233" s="1593"/>
      <c r="G233" s="1594"/>
      <c r="H233" s="1106" t="s">
        <v>111</v>
      </c>
      <c r="I233" s="1106" t="s">
        <v>24675</v>
      </c>
      <c r="J233" s="1106" t="s">
        <v>24676</v>
      </c>
      <c r="K233" s="1106" t="s">
        <v>24677</v>
      </c>
      <c r="L233" s="1106"/>
      <c r="M233" s="1106" t="s">
        <v>24678</v>
      </c>
      <c r="N233" s="1114" t="s">
        <v>24679</v>
      </c>
    </row>
    <row r="234" spans="2:14" x14ac:dyDescent="0.3">
      <c r="B234" s="1115"/>
      <c r="C234" s="1108"/>
      <c r="D234" s="1595"/>
      <c r="E234" s="1595"/>
      <c r="F234" s="1595"/>
      <c r="G234" s="1596"/>
      <c r="H234" s="1109"/>
      <c r="I234" s="1109"/>
      <c r="J234" s="1109"/>
      <c r="K234" s="1109"/>
      <c r="L234" s="1109"/>
      <c r="M234" s="1109"/>
      <c r="N234" s="1119"/>
    </row>
    <row r="235" spans="2:14" ht="15.75" thickBot="1" x14ac:dyDescent="0.35">
      <c r="B235" s="855"/>
      <c r="C235" s="954"/>
      <c r="D235" s="954"/>
      <c r="E235" s="954"/>
      <c r="F235" s="1110"/>
      <c r="G235" s="1110"/>
      <c r="H235" s="1110"/>
      <c r="I235" s="1110"/>
      <c r="J235" s="1110"/>
      <c r="K235" s="1110"/>
      <c r="L235" s="1110"/>
      <c r="M235" s="1111" t="s">
        <v>24680</v>
      </c>
      <c r="N235" s="1112">
        <f>SUM(N234:N234)</f>
        <v>0</v>
      </c>
    </row>
    <row r="236" spans="2:14" ht="15.75" thickBot="1" x14ac:dyDescent="0.35">
      <c r="B236" s="850"/>
      <c r="C236" s="461"/>
      <c r="D236" s="461"/>
      <c r="E236" s="461"/>
      <c r="F236" s="461"/>
      <c r="G236" s="461"/>
      <c r="H236" s="461"/>
      <c r="I236" s="461"/>
      <c r="J236" s="461"/>
      <c r="K236" s="461"/>
      <c r="L236" s="461"/>
      <c r="M236" s="461"/>
      <c r="N236" s="1113"/>
    </row>
    <row r="237" spans="2:14" ht="45" x14ac:dyDescent="0.3">
      <c r="B237" s="1104" t="s">
        <v>0</v>
      </c>
      <c r="C237" s="1105" t="s">
        <v>24673</v>
      </c>
      <c r="D237" s="1593" t="s">
        <v>24681</v>
      </c>
      <c r="E237" s="1593"/>
      <c r="F237" s="1593"/>
      <c r="G237" s="1593"/>
      <c r="H237" s="1594"/>
      <c r="I237" s="1106" t="s">
        <v>3686</v>
      </c>
      <c r="J237" s="1106" t="s">
        <v>24682</v>
      </c>
      <c r="K237" s="1106" t="s">
        <v>24861</v>
      </c>
      <c r="L237" s="1106" t="s">
        <v>24862</v>
      </c>
      <c r="M237" s="1106" t="s">
        <v>24683</v>
      </c>
      <c r="N237" s="1114" t="s">
        <v>24679</v>
      </c>
    </row>
    <row r="238" spans="2:14" ht="30" x14ac:dyDescent="0.3">
      <c r="B238" s="1115" t="s">
        <v>25206</v>
      </c>
      <c r="C238" s="1116" t="s">
        <v>25079</v>
      </c>
      <c r="D238" s="1604" t="s">
        <v>25197</v>
      </c>
      <c r="E238" s="1604"/>
      <c r="F238" s="1604"/>
      <c r="G238" s="1604"/>
      <c r="H238" s="1605"/>
      <c r="I238" s="1109" t="s">
        <v>75</v>
      </c>
      <c r="J238" s="1117">
        <v>1.5727</v>
      </c>
      <c r="K238" s="1109">
        <v>8.17</v>
      </c>
      <c r="L238" s="1143">
        <f t="shared" ref="L238:L239" si="1">K238*(1+J238)</f>
        <v>21.02</v>
      </c>
      <c r="M238" s="1118">
        <v>0.2</v>
      </c>
      <c r="N238" s="1119">
        <f t="shared" ref="N238:N239" si="2">L238*M238</f>
        <v>4.2</v>
      </c>
    </row>
    <row r="239" spans="2:14" ht="30" x14ac:dyDescent="0.3">
      <c r="B239" s="1115" t="s">
        <v>25207</v>
      </c>
      <c r="C239" s="1116" t="s">
        <v>25079</v>
      </c>
      <c r="D239" s="1604" t="s">
        <v>25198</v>
      </c>
      <c r="E239" s="1604"/>
      <c r="F239" s="1604"/>
      <c r="G239" s="1604"/>
      <c r="H239" s="1605"/>
      <c r="I239" s="1109" t="s">
        <v>75</v>
      </c>
      <c r="J239" s="1117">
        <v>1.5727</v>
      </c>
      <c r="K239" s="1109">
        <v>5.85</v>
      </c>
      <c r="L239" s="1143">
        <f t="shared" si="1"/>
        <v>15.05</v>
      </c>
      <c r="M239" s="1118">
        <v>0.1</v>
      </c>
      <c r="N239" s="1119">
        <f t="shared" si="2"/>
        <v>1.51</v>
      </c>
    </row>
    <row r="240" spans="2:14" x14ac:dyDescent="0.3">
      <c r="B240" s="1115">
        <v>10101</v>
      </c>
      <c r="C240" s="1116" t="s">
        <v>4389</v>
      </c>
      <c r="D240" s="1604" t="s">
        <v>25208</v>
      </c>
      <c r="E240" s="1604"/>
      <c r="F240" s="1604"/>
      <c r="G240" s="1604"/>
      <c r="H240" s="1605"/>
      <c r="I240" s="1109" t="s">
        <v>75</v>
      </c>
      <c r="J240" s="1117">
        <v>1.5727</v>
      </c>
      <c r="K240" s="1143">
        <v>6.27</v>
      </c>
      <c r="L240" s="1143">
        <f>K240*(1+J240)</f>
        <v>16.13</v>
      </c>
      <c r="M240" s="1118">
        <v>0.2</v>
      </c>
      <c r="N240" s="1119">
        <f>L240*M240</f>
        <v>3.23</v>
      </c>
    </row>
    <row r="241" spans="2:14" x14ac:dyDescent="0.3">
      <c r="B241" s="1115">
        <v>10140</v>
      </c>
      <c r="C241" s="1116" t="s">
        <v>4389</v>
      </c>
      <c r="D241" s="1604" t="s">
        <v>25209</v>
      </c>
      <c r="E241" s="1604"/>
      <c r="F241" s="1604"/>
      <c r="G241" s="1604"/>
      <c r="H241" s="1605"/>
      <c r="I241" s="1109" t="s">
        <v>75</v>
      </c>
      <c r="J241" s="1117">
        <v>1.5727</v>
      </c>
      <c r="K241" s="1143">
        <v>7.43</v>
      </c>
      <c r="L241" s="1143">
        <f>K241*(1+J241)</f>
        <v>19.12</v>
      </c>
      <c r="M241" s="1118">
        <v>0.4</v>
      </c>
      <c r="N241" s="1119">
        <f>L241*M241</f>
        <v>7.65</v>
      </c>
    </row>
    <row r="242" spans="2:14" ht="15.75" thickBot="1" x14ac:dyDescent="0.35">
      <c r="B242" s="855"/>
      <c r="C242" s="954"/>
      <c r="D242" s="954"/>
      <c r="E242" s="954"/>
      <c r="F242" s="1110"/>
      <c r="G242" s="1110"/>
      <c r="H242" s="1110"/>
      <c r="I242" s="1110"/>
      <c r="J242" s="1110"/>
      <c r="K242" s="1110"/>
      <c r="L242" s="1110"/>
      <c r="M242" s="1111" t="s">
        <v>24684</v>
      </c>
      <c r="N242" s="1112">
        <f>SUM(N238:N241)</f>
        <v>16.59</v>
      </c>
    </row>
    <row r="243" spans="2:14" ht="15.75" thickBot="1" x14ac:dyDescent="0.35">
      <c r="B243" s="850"/>
      <c r="C243" s="461"/>
      <c r="D243" s="461"/>
      <c r="E243" s="461"/>
      <c r="F243" s="461"/>
      <c r="G243" s="461"/>
      <c r="H243" s="461"/>
      <c r="I243" s="1120"/>
      <c r="J243" s="1120"/>
      <c r="K243" s="461"/>
      <c r="L243" s="461"/>
      <c r="M243" s="461"/>
      <c r="N243" s="1113"/>
    </row>
    <row r="244" spans="2:14" ht="30" x14ac:dyDescent="0.3">
      <c r="B244" s="1104" t="s">
        <v>0</v>
      </c>
      <c r="C244" s="1105" t="s">
        <v>24673</v>
      </c>
      <c r="D244" s="1593" t="s">
        <v>24685</v>
      </c>
      <c r="E244" s="1593"/>
      <c r="F244" s="1593"/>
      <c r="G244" s="1593"/>
      <c r="H244" s="1594"/>
      <c r="I244" s="1106" t="s">
        <v>2858</v>
      </c>
      <c r="J244" s="1106" t="s">
        <v>24686</v>
      </c>
      <c r="K244" s="1106" t="s">
        <v>24687</v>
      </c>
      <c r="L244" s="1106"/>
      <c r="M244" s="1106" t="s">
        <v>24688</v>
      </c>
      <c r="N244" s="1114" t="s">
        <v>24689</v>
      </c>
    </row>
    <row r="245" spans="2:14" x14ac:dyDescent="0.3">
      <c r="B245" s="1115"/>
      <c r="C245" s="1116"/>
      <c r="D245" s="1604"/>
      <c r="E245" s="1604"/>
      <c r="F245" s="1604"/>
      <c r="G245" s="1604"/>
      <c r="H245" s="1605"/>
      <c r="I245" s="1109"/>
      <c r="J245" s="1109"/>
      <c r="K245" s="1109"/>
      <c r="L245" s="1109"/>
      <c r="M245" s="1109"/>
      <c r="N245" s="1119"/>
    </row>
    <row r="246" spans="2:14" x14ac:dyDescent="0.3">
      <c r="B246" s="850"/>
      <c r="C246" s="461"/>
      <c r="D246" s="461"/>
      <c r="E246" s="461"/>
      <c r="F246" s="1120"/>
      <c r="G246" s="1120"/>
      <c r="H246" s="1120"/>
      <c r="I246" s="1120"/>
      <c r="J246" s="1120"/>
      <c r="K246" s="1120"/>
      <c r="L246" s="1120"/>
      <c r="M246" s="1121" t="s">
        <v>24690</v>
      </c>
      <c r="N246" s="1122">
        <f>SUM(N245:N245)</f>
        <v>0</v>
      </c>
    </row>
    <row r="247" spans="2:14" x14ac:dyDescent="0.3">
      <c r="B247" s="850"/>
      <c r="C247" s="461"/>
      <c r="D247" s="461"/>
      <c r="E247" s="461"/>
      <c r="F247" s="461"/>
      <c r="G247" s="461"/>
      <c r="H247" s="461"/>
      <c r="I247" s="461"/>
      <c r="J247" s="461"/>
      <c r="K247" s="461"/>
      <c r="L247" s="461"/>
      <c r="M247" s="461"/>
      <c r="N247" s="1113"/>
    </row>
    <row r="248" spans="2:14" x14ac:dyDescent="0.3">
      <c r="B248" s="850"/>
      <c r="C248" s="461"/>
      <c r="D248" s="461"/>
      <c r="E248" s="461"/>
      <c r="F248" s="1120"/>
      <c r="G248" s="1120"/>
      <c r="H248" s="1120"/>
      <c r="I248" s="863"/>
      <c r="J248" s="863"/>
      <c r="K248" s="863"/>
      <c r="L248" s="863"/>
      <c r="M248" s="1121" t="s">
        <v>24691</v>
      </c>
      <c r="N248" s="1123">
        <f>N235+N242+N246</f>
        <v>16.59</v>
      </c>
    </row>
    <row r="249" spans="2:14" x14ac:dyDescent="0.3">
      <c r="B249" s="850"/>
      <c r="C249" s="461"/>
      <c r="D249" s="461"/>
      <c r="E249" s="461"/>
      <c r="F249" s="1120"/>
      <c r="G249" s="1120"/>
      <c r="H249" s="1120"/>
      <c r="I249" s="1120"/>
      <c r="J249" s="1124"/>
      <c r="K249" s="1124"/>
      <c r="L249" s="1124"/>
      <c r="M249" s="1125" t="s">
        <v>24692</v>
      </c>
      <c r="N249" s="1123">
        <v>1</v>
      </c>
    </row>
    <row r="250" spans="2:14" ht="15.75" thickBot="1" x14ac:dyDescent="0.35">
      <c r="B250" s="855"/>
      <c r="C250" s="954"/>
      <c r="D250" s="954"/>
      <c r="E250" s="954"/>
      <c r="F250" s="1110"/>
      <c r="G250" s="1110"/>
      <c r="H250" s="1110"/>
      <c r="I250" s="1110"/>
      <c r="J250" s="1110"/>
      <c r="K250" s="1110"/>
      <c r="L250" s="1110"/>
      <c r="M250" s="1111" t="s">
        <v>24693</v>
      </c>
      <c r="N250" s="1126">
        <f>TRUNC(N248/N249,2)</f>
        <v>16.59</v>
      </c>
    </row>
    <row r="251" spans="2:14" ht="15.75" thickBot="1" x14ac:dyDescent="0.35">
      <c r="B251" s="850"/>
      <c r="C251" s="461"/>
      <c r="D251" s="461"/>
      <c r="E251" s="461"/>
      <c r="F251" s="461"/>
      <c r="G251" s="461"/>
      <c r="H251" s="461"/>
      <c r="I251" s="461"/>
      <c r="J251" s="461"/>
      <c r="K251" s="461"/>
      <c r="L251" s="461"/>
      <c r="M251" s="461"/>
      <c r="N251" s="1113"/>
    </row>
    <row r="252" spans="2:14" ht="30" x14ac:dyDescent="0.3">
      <c r="B252" s="1104" t="s">
        <v>0</v>
      </c>
      <c r="C252" s="1105" t="s">
        <v>24673</v>
      </c>
      <c r="D252" s="1593" t="s">
        <v>24694</v>
      </c>
      <c r="E252" s="1593"/>
      <c r="F252" s="1593"/>
      <c r="G252" s="1593"/>
      <c r="H252" s="1593"/>
      <c r="I252" s="1594"/>
      <c r="J252" s="1106" t="s">
        <v>3686</v>
      </c>
      <c r="K252" s="1106" t="s">
        <v>24695</v>
      </c>
      <c r="L252" s="1106"/>
      <c r="M252" s="1106" t="s">
        <v>24683</v>
      </c>
      <c r="N252" s="1114" t="s">
        <v>24689</v>
      </c>
    </row>
    <row r="253" spans="2:14" ht="30" x14ac:dyDescent="0.3">
      <c r="B253" s="1115" t="s">
        <v>24795</v>
      </c>
      <c r="C253" s="1116" t="s">
        <v>24708</v>
      </c>
      <c r="D253" s="1595" t="s">
        <v>25210</v>
      </c>
      <c r="E253" s="1595"/>
      <c r="F253" s="1595"/>
      <c r="G253" s="1595"/>
      <c r="H253" s="1595"/>
      <c r="I253" s="1596"/>
      <c r="J253" s="1109" t="s">
        <v>7</v>
      </c>
      <c r="K253" s="1143">
        <f>'MAPA DE COT. - Quiosque'!H299</f>
        <v>17.3</v>
      </c>
      <c r="L253" s="1143"/>
      <c r="M253" s="1118">
        <v>16.920000000000002</v>
      </c>
      <c r="N253" s="1119">
        <f>K253*M253</f>
        <v>292.72000000000003</v>
      </c>
    </row>
    <row r="254" spans="2:14" ht="30" x14ac:dyDescent="0.3">
      <c r="B254" s="1115" t="s">
        <v>24795</v>
      </c>
      <c r="C254" s="1116" t="s">
        <v>24708</v>
      </c>
      <c r="D254" s="1595" t="s">
        <v>25211</v>
      </c>
      <c r="E254" s="1595"/>
      <c r="F254" s="1595"/>
      <c r="G254" s="1595"/>
      <c r="H254" s="1595"/>
      <c r="I254" s="1596"/>
      <c r="J254" s="1109" t="s">
        <v>5</v>
      </c>
      <c r="K254" s="1143">
        <f>'MAPA DE COT. - Quiosque'!H311</f>
        <v>98.73</v>
      </c>
      <c r="L254" s="1143"/>
      <c r="M254" s="1118">
        <v>5.68</v>
      </c>
      <c r="N254" s="1119">
        <f>K254*M254</f>
        <v>560.79</v>
      </c>
    </row>
    <row r="255" spans="2:14" ht="30" x14ac:dyDescent="0.3">
      <c r="B255" s="1115" t="s">
        <v>24795</v>
      </c>
      <c r="C255" s="1116" t="s">
        <v>24708</v>
      </c>
      <c r="D255" s="1595" t="s">
        <v>25212</v>
      </c>
      <c r="E255" s="1595"/>
      <c r="F255" s="1595"/>
      <c r="G255" s="1595"/>
      <c r="H255" s="1595"/>
      <c r="I255" s="1596"/>
      <c r="J255" s="1109" t="s">
        <v>8</v>
      </c>
      <c r="K255" s="1143">
        <f>'MAPA DE COT. - Quiosque'!H263</f>
        <v>11.68</v>
      </c>
      <c r="L255" s="1143"/>
      <c r="M255" s="1118">
        <v>4</v>
      </c>
      <c r="N255" s="1119">
        <f>K255*M255</f>
        <v>46.72</v>
      </c>
    </row>
    <row r="256" spans="2:14" ht="30" x14ac:dyDescent="0.3">
      <c r="B256" s="1115" t="s">
        <v>24795</v>
      </c>
      <c r="C256" s="1116" t="s">
        <v>24708</v>
      </c>
      <c r="D256" s="1595" t="s">
        <v>25213</v>
      </c>
      <c r="E256" s="1595"/>
      <c r="F256" s="1595"/>
      <c r="G256" s="1595"/>
      <c r="H256" s="1595"/>
      <c r="I256" s="1596"/>
      <c r="J256" s="1109" t="s">
        <v>7</v>
      </c>
      <c r="K256" s="1143">
        <f>'MAPA DE COT. - Quiosque'!H275</f>
        <v>9.0399999999999991</v>
      </c>
      <c r="L256" s="1143"/>
      <c r="M256" s="1118">
        <v>4</v>
      </c>
      <c r="N256" s="1119">
        <f t="shared" ref="N256:N257" si="3">K256*M256</f>
        <v>36.159999999999997</v>
      </c>
    </row>
    <row r="257" spans="2:14" ht="30" x14ac:dyDescent="0.3">
      <c r="B257" s="1115" t="s">
        <v>24795</v>
      </c>
      <c r="C257" s="1116" t="s">
        <v>24708</v>
      </c>
      <c r="D257" s="1116"/>
      <c r="E257" s="1595" t="s">
        <v>25214</v>
      </c>
      <c r="F257" s="1595"/>
      <c r="G257" s="1595"/>
      <c r="H257" s="1595"/>
      <c r="I257" s="1596"/>
      <c r="J257" s="1109" t="s">
        <v>8</v>
      </c>
      <c r="K257" s="1143">
        <f>'MAPA DE COT. - Quiosque'!H287</f>
        <v>12.22</v>
      </c>
      <c r="L257" s="1143"/>
      <c r="M257" s="1118">
        <v>12</v>
      </c>
      <c r="N257" s="1119">
        <f t="shared" si="3"/>
        <v>146.63999999999999</v>
      </c>
    </row>
    <row r="258" spans="2:14" x14ac:dyDescent="0.3">
      <c r="B258" s="1115">
        <v>61112</v>
      </c>
      <c r="C258" s="1116" t="s">
        <v>4379</v>
      </c>
      <c r="D258" s="1595" t="s">
        <v>980</v>
      </c>
      <c r="E258" s="1595"/>
      <c r="F258" s="1595"/>
      <c r="G258" s="1595"/>
      <c r="H258" s="1595"/>
      <c r="I258" s="1596"/>
      <c r="J258" s="1109" t="s">
        <v>24755</v>
      </c>
      <c r="K258" s="1143">
        <v>58.06</v>
      </c>
      <c r="L258" s="1143"/>
      <c r="M258" s="1118">
        <v>2</v>
      </c>
      <c r="N258" s="1119">
        <f>K258*M258</f>
        <v>116.12</v>
      </c>
    </row>
    <row r="259" spans="2:14" x14ac:dyDescent="0.3">
      <c r="B259" s="1115">
        <v>38001</v>
      </c>
      <c r="C259" s="1116" t="s">
        <v>4379</v>
      </c>
      <c r="D259" s="1595" t="s">
        <v>25215</v>
      </c>
      <c r="E259" s="1595"/>
      <c r="F259" s="1595"/>
      <c r="G259" s="1595"/>
      <c r="H259" s="1595"/>
      <c r="I259" s="1596"/>
      <c r="J259" s="1109" t="s">
        <v>85</v>
      </c>
      <c r="K259" s="1143">
        <v>14.17</v>
      </c>
      <c r="L259" s="1143"/>
      <c r="M259" s="1118">
        <v>0.02</v>
      </c>
      <c r="N259" s="1119">
        <f>K259*M259</f>
        <v>0.28000000000000003</v>
      </c>
    </row>
    <row r="260" spans="2:14" x14ac:dyDescent="0.3">
      <c r="B260" s="1115">
        <v>37502</v>
      </c>
      <c r="C260" s="1116" t="s">
        <v>4379</v>
      </c>
      <c r="D260" s="1595" t="s">
        <v>25216</v>
      </c>
      <c r="E260" s="1595"/>
      <c r="F260" s="1595"/>
      <c r="G260" s="1595"/>
      <c r="H260" s="1595"/>
      <c r="I260" s="1596"/>
      <c r="J260" s="1109" t="s">
        <v>85</v>
      </c>
      <c r="K260" s="1143">
        <v>31.57</v>
      </c>
      <c r="L260" s="1143"/>
      <c r="M260" s="1118">
        <v>0.18</v>
      </c>
      <c r="N260" s="1119">
        <f>K260*M260</f>
        <v>5.68</v>
      </c>
    </row>
    <row r="261" spans="2:14" ht="39" customHeight="1" x14ac:dyDescent="0.3">
      <c r="B261" s="1115">
        <v>38012</v>
      </c>
      <c r="C261" s="1116" t="s">
        <v>4379</v>
      </c>
      <c r="D261" s="1595" t="s">
        <v>25217</v>
      </c>
      <c r="E261" s="1595"/>
      <c r="F261" s="1595"/>
      <c r="G261" s="1595"/>
      <c r="H261" s="1595"/>
      <c r="I261" s="1596"/>
      <c r="J261" s="1109" t="s">
        <v>24804</v>
      </c>
      <c r="K261" s="1143">
        <v>3.13</v>
      </c>
      <c r="L261" s="1143"/>
      <c r="M261" s="1118">
        <v>0.25</v>
      </c>
      <c r="N261" s="1119">
        <f>K261*M261</f>
        <v>0.78</v>
      </c>
    </row>
    <row r="262" spans="2:14" x14ac:dyDescent="0.3">
      <c r="B262" s="1115">
        <v>38028</v>
      </c>
      <c r="C262" s="1116" t="s">
        <v>4379</v>
      </c>
      <c r="D262" s="1595" t="s">
        <v>25218</v>
      </c>
      <c r="E262" s="1595"/>
      <c r="F262" s="1595"/>
      <c r="G262" s="1595"/>
      <c r="H262" s="1595"/>
      <c r="I262" s="1596"/>
      <c r="J262" s="1109" t="s">
        <v>85</v>
      </c>
      <c r="K262" s="1143">
        <v>21.76</v>
      </c>
      <c r="L262" s="1143"/>
      <c r="M262" s="1118">
        <v>0.11</v>
      </c>
      <c r="N262" s="1119">
        <f>K262*M262</f>
        <v>2.39</v>
      </c>
    </row>
    <row r="263" spans="2:14" x14ac:dyDescent="0.3">
      <c r="B263" s="1115"/>
      <c r="C263" s="1116"/>
      <c r="D263" s="1604"/>
      <c r="E263" s="1604"/>
      <c r="F263" s="1604"/>
      <c r="G263" s="1604"/>
      <c r="H263" s="1604"/>
      <c r="I263" s="1605"/>
      <c r="J263" s="1109"/>
      <c r="K263" s="1109"/>
      <c r="L263" s="1109"/>
      <c r="M263" s="1118"/>
      <c r="N263" s="1119"/>
    </row>
    <row r="264" spans="2:14" ht="15.75" thickBot="1" x14ac:dyDescent="0.35">
      <c r="B264" s="855"/>
      <c r="C264" s="954"/>
      <c r="D264" s="954"/>
      <c r="E264" s="954"/>
      <c r="F264" s="1110"/>
      <c r="G264" s="1110"/>
      <c r="H264" s="1110"/>
      <c r="I264" s="1110"/>
      <c r="J264" s="1110"/>
      <c r="K264" s="1110"/>
      <c r="L264" s="1110"/>
      <c r="M264" s="1111" t="s">
        <v>24696</v>
      </c>
      <c r="N264" s="1112">
        <f>SUM(N253:N262)</f>
        <v>1208.28</v>
      </c>
    </row>
    <row r="265" spans="2:14" ht="15.75" thickBot="1" x14ac:dyDescent="0.35">
      <c r="B265" s="850"/>
      <c r="C265" s="461"/>
      <c r="D265" s="461"/>
      <c r="E265" s="461"/>
      <c r="F265" s="461"/>
      <c r="G265" s="461"/>
      <c r="H265" s="461"/>
      <c r="I265" s="461"/>
      <c r="J265" s="461"/>
      <c r="K265" s="461"/>
      <c r="L265" s="461"/>
      <c r="M265" s="461"/>
      <c r="N265" s="1113"/>
    </row>
    <row r="266" spans="2:14" ht="30" x14ac:dyDescent="0.3">
      <c r="B266" s="1104" t="s">
        <v>0</v>
      </c>
      <c r="C266" s="1106" t="s">
        <v>24673</v>
      </c>
      <c r="D266" s="1593" t="s">
        <v>24697</v>
      </c>
      <c r="E266" s="1593"/>
      <c r="F266" s="1593"/>
      <c r="G266" s="1593"/>
      <c r="H266" s="1593"/>
      <c r="I266" s="1594"/>
      <c r="J266" s="1106" t="s">
        <v>3686</v>
      </c>
      <c r="K266" s="1106" t="s">
        <v>24695</v>
      </c>
      <c r="L266" s="1106"/>
      <c r="M266" s="1106" t="s">
        <v>24683</v>
      </c>
      <c r="N266" s="1114" t="s">
        <v>24689</v>
      </c>
    </row>
    <row r="267" spans="2:14" x14ac:dyDescent="0.3">
      <c r="B267" s="1127"/>
      <c r="C267" s="1128"/>
      <c r="D267" s="1604"/>
      <c r="E267" s="1604"/>
      <c r="F267" s="1604"/>
      <c r="G267" s="1604"/>
      <c r="H267" s="1604"/>
      <c r="I267" s="1605"/>
      <c r="J267" s="462"/>
      <c r="K267" s="462"/>
      <c r="L267" s="462"/>
      <c r="M267" s="1147"/>
      <c r="N267" s="1130"/>
    </row>
    <row r="268" spans="2:14" ht="15.75" thickBot="1" x14ac:dyDescent="0.35">
      <c r="B268" s="855"/>
      <c r="C268" s="954"/>
      <c r="D268" s="954"/>
      <c r="E268" s="954"/>
      <c r="F268" s="1110"/>
      <c r="G268" s="1110"/>
      <c r="H268" s="1110"/>
      <c r="I268" s="1110"/>
      <c r="J268" s="1110"/>
      <c r="K268" s="1110"/>
      <c r="L268" s="1110"/>
      <c r="M268" s="1111" t="s">
        <v>24698</v>
      </c>
      <c r="N268" s="1112">
        <f>SUM(N267:N267)</f>
        <v>0</v>
      </c>
    </row>
    <row r="269" spans="2:14" ht="15.75" thickBot="1" x14ac:dyDescent="0.35">
      <c r="B269" s="850"/>
      <c r="C269" s="461"/>
      <c r="D269" s="461"/>
      <c r="E269" s="461"/>
      <c r="F269" s="461"/>
      <c r="G269" s="461"/>
      <c r="H269" s="461"/>
      <c r="I269" s="461"/>
      <c r="J269" s="461"/>
      <c r="K269" s="461"/>
      <c r="L269" s="461"/>
      <c r="M269" s="461"/>
      <c r="N269" s="1113"/>
    </row>
    <row r="270" spans="2:14" ht="30" x14ac:dyDescent="0.3">
      <c r="B270" s="1104" t="s">
        <v>0</v>
      </c>
      <c r="C270" s="1106" t="s">
        <v>24673</v>
      </c>
      <c r="D270" s="1593" t="s">
        <v>24699</v>
      </c>
      <c r="E270" s="1593"/>
      <c r="F270" s="1593"/>
      <c r="G270" s="1594"/>
      <c r="H270" s="1106" t="s">
        <v>3686</v>
      </c>
      <c r="I270" s="1106" t="s">
        <v>24700</v>
      </c>
      <c r="J270" s="1106" t="s">
        <v>24701</v>
      </c>
      <c r="K270" s="1106" t="s">
        <v>24695</v>
      </c>
      <c r="L270" s="1106"/>
      <c r="M270" s="1106" t="s">
        <v>24683</v>
      </c>
      <c r="N270" s="1114" t="s">
        <v>24689</v>
      </c>
    </row>
    <row r="271" spans="2:14" x14ac:dyDescent="0.3">
      <c r="B271" s="1115"/>
      <c r="C271" s="1116"/>
      <c r="D271" s="1595"/>
      <c r="E271" s="1595"/>
      <c r="F271" s="1595"/>
      <c r="G271" s="1595"/>
      <c r="H271" s="1109"/>
      <c r="I271" s="1109"/>
      <c r="J271" s="1109"/>
      <c r="K271" s="1109"/>
      <c r="L271" s="1109"/>
      <c r="M271" s="1118"/>
      <c r="N271" s="1119"/>
    </row>
    <row r="272" spans="2:14" x14ac:dyDescent="0.3">
      <c r="B272" s="850"/>
      <c r="C272" s="461"/>
      <c r="D272" s="461"/>
      <c r="E272" s="461"/>
      <c r="F272" s="1120"/>
      <c r="G272" s="1120"/>
      <c r="H272" s="1120"/>
      <c r="I272" s="1120"/>
      <c r="J272" s="1120"/>
      <c r="K272" s="1120"/>
      <c r="L272" s="1120"/>
      <c r="M272" s="1121" t="s">
        <v>24702</v>
      </c>
      <c r="N272" s="1122">
        <f>SUM(N271:N271)</f>
        <v>0</v>
      </c>
    </row>
    <row r="273" spans="2:14" x14ac:dyDescent="0.3">
      <c r="B273" s="850"/>
      <c r="C273" s="461"/>
      <c r="D273" s="461"/>
      <c r="E273" s="461"/>
      <c r="F273" s="461"/>
      <c r="G273" s="461"/>
      <c r="H273" s="461"/>
      <c r="I273" s="461"/>
      <c r="J273" s="461"/>
      <c r="K273" s="461"/>
      <c r="L273" s="461"/>
      <c r="M273" s="461"/>
      <c r="N273" s="1113"/>
    </row>
    <row r="274" spans="2:14" x14ac:dyDescent="0.3">
      <c r="B274" s="1131"/>
      <c r="C274" s="1132"/>
      <c r="D274" s="1132"/>
      <c r="E274" s="1132"/>
      <c r="F274" s="1133"/>
      <c r="G274" s="1133"/>
      <c r="H274" s="1133"/>
      <c r="I274" s="1133"/>
      <c r="J274" s="1133"/>
      <c r="K274" s="1133"/>
      <c r="L274" s="1133"/>
      <c r="M274" s="1134" t="s">
        <v>24703</v>
      </c>
      <c r="N274" s="1123">
        <f>N250+N264+N268+N272</f>
        <v>1224.8699999999999</v>
      </c>
    </row>
    <row r="275" spans="2:14" x14ac:dyDescent="0.3">
      <c r="B275" s="850"/>
      <c r="C275" s="461"/>
      <c r="D275" s="461"/>
      <c r="E275" s="461"/>
      <c r="F275" s="1120"/>
      <c r="G275" s="1120"/>
      <c r="H275" s="1120"/>
      <c r="I275" s="1120"/>
      <c r="J275" s="1120"/>
      <c r="K275" s="1120"/>
      <c r="L275" s="1120"/>
      <c r="M275" s="1136">
        <f>'QUIOSQUE - MOD 01'!I3</f>
        <v>0.28220000000000001</v>
      </c>
      <c r="N275" s="1123">
        <f>N274*M275</f>
        <v>345.66</v>
      </c>
    </row>
    <row r="276" spans="2:14" ht="15.75" thickBot="1" x14ac:dyDescent="0.35">
      <c r="B276" s="1599" t="s">
        <v>24704</v>
      </c>
      <c r="C276" s="1600"/>
      <c r="D276" s="1600"/>
      <c r="E276" s="1600"/>
      <c r="F276" s="1600"/>
      <c r="G276" s="1600"/>
      <c r="H276" s="1600"/>
      <c r="I276" s="1600"/>
      <c r="J276" s="1600"/>
      <c r="K276" s="1600"/>
      <c r="L276" s="1600"/>
      <c r="M276" s="1601"/>
      <c r="N276" s="1126">
        <f>N274+N275</f>
        <v>1570.53</v>
      </c>
    </row>
    <row r="279" spans="2:14" ht="15.75" thickBot="1" x14ac:dyDescent="0.35"/>
    <row r="280" spans="2:14" ht="40.5" customHeight="1" x14ac:dyDescent="0.3">
      <c r="B280" s="1607" t="s">
        <v>24726</v>
      </c>
      <c r="C280" s="1608"/>
      <c r="D280" s="1609"/>
      <c r="E280" s="1610" t="s">
        <v>24669</v>
      </c>
      <c r="F280" s="1610"/>
      <c r="G280" s="1610"/>
      <c r="H280" s="1610"/>
      <c r="I280" s="1610"/>
      <c r="J280" s="1610"/>
      <c r="K280" s="1610"/>
      <c r="L280" s="1623"/>
      <c r="M280" s="1576"/>
      <c r="N280" s="1577"/>
    </row>
    <row r="281" spans="2:14" ht="15" customHeight="1" x14ac:dyDescent="0.3">
      <c r="B281" s="1103" t="s">
        <v>24670</v>
      </c>
      <c r="C281" s="1586" t="s">
        <v>25219</v>
      </c>
      <c r="D281" s="1586"/>
      <c r="E281" s="1586"/>
      <c r="F281" s="1586"/>
      <c r="G281" s="1586"/>
      <c r="H281" s="1586"/>
      <c r="I281" s="1586"/>
      <c r="J281" s="1586"/>
      <c r="K281" s="1586"/>
      <c r="L281" s="1586"/>
      <c r="M281" s="1586"/>
      <c r="N281" s="1587"/>
    </row>
    <row r="282" spans="2:14" x14ac:dyDescent="0.3">
      <c r="B282" s="1103" t="s">
        <v>24671</v>
      </c>
      <c r="C282" s="1588" t="s">
        <v>8</v>
      </c>
      <c r="D282" s="1588"/>
      <c r="E282" s="1588"/>
      <c r="F282" s="1588"/>
      <c r="G282" s="1588"/>
      <c r="H282" s="1588"/>
      <c r="I282" s="1588"/>
      <c r="J282" s="1588"/>
      <c r="K282" s="1588"/>
      <c r="L282" s="1588"/>
      <c r="M282" s="1588"/>
      <c r="N282" s="1589"/>
    </row>
    <row r="283" spans="2:14" ht="15.75" thickBot="1" x14ac:dyDescent="0.35">
      <c r="B283" s="1103" t="s">
        <v>24672</v>
      </c>
      <c r="C283" s="1590">
        <v>44501</v>
      </c>
      <c r="D283" s="1591"/>
      <c r="E283" s="1591"/>
      <c r="F283" s="1591"/>
      <c r="G283" s="1591"/>
      <c r="H283" s="1591"/>
      <c r="I283" s="1591"/>
      <c r="J283" s="1591"/>
      <c r="K283" s="1591"/>
      <c r="L283" s="1591"/>
      <c r="M283" s="1591"/>
      <c r="N283" s="1592"/>
    </row>
    <row r="284" spans="2:14" ht="30" customHeight="1" x14ac:dyDescent="0.3">
      <c r="B284" s="1104" t="s">
        <v>0</v>
      </c>
      <c r="C284" s="1105" t="s">
        <v>24673</v>
      </c>
      <c r="D284" s="1593" t="s">
        <v>24674</v>
      </c>
      <c r="E284" s="1593"/>
      <c r="F284" s="1593"/>
      <c r="G284" s="1594"/>
      <c r="H284" s="1106" t="s">
        <v>111</v>
      </c>
      <c r="I284" s="1106" t="s">
        <v>24675</v>
      </c>
      <c r="J284" s="1106" t="s">
        <v>24676</v>
      </c>
      <c r="K284" s="1106" t="s">
        <v>24677</v>
      </c>
      <c r="L284" s="1614" t="s">
        <v>24678</v>
      </c>
      <c r="M284" s="1615"/>
      <c r="N284" s="1114" t="s">
        <v>24679</v>
      </c>
    </row>
    <row r="285" spans="2:14" ht="81.75" customHeight="1" x14ac:dyDescent="0.3">
      <c r="B285" s="1115">
        <v>98764</v>
      </c>
      <c r="C285" s="1108" t="s">
        <v>24706</v>
      </c>
      <c r="D285" s="1604" t="s">
        <v>25749</v>
      </c>
      <c r="E285" s="1604"/>
      <c r="F285" s="1604"/>
      <c r="G285" s="1605"/>
      <c r="H285" s="1148">
        <v>1</v>
      </c>
      <c r="I285" s="1109">
        <v>5</v>
      </c>
      <c r="J285" s="1109" t="s">
        <v>24795</v>
      </c>
      <c r="K285" s="1109">
        <v>4.53</v>
      </c>
      <c r="L285" s="1597" t="s">
        <v>24795</v>
      </c>
      <c r="M285" s="1598"/>
      <c r="N285" s="1119">
        <f>K285*I285</f>
        <v>22.65</v>
      </c>
    </row>
    <row r="286" spans="2:14" ht="96.75" customHeight="1" x14ac:dyDescent="0.3">
      <c r="B286" s="1115">
        <v>98765</v>
      </c>
      <c r="C286" s="1108" t="s">
        <v>24706</v>
      </c>
      <c r="D286" s="1604" t="s">
        <v>25750</v>
      </c>
      <c r="E286" s="1604"/>
      <c r="F286" s="1604"/>
      <c r="G286" s="1605"/>
      <c r="H286" s="1148">
        <v>1</v>
      </c>
      <c r="I286" s="1109" t="s">
        <v>24795</v>
      </c>
      <c r="J286" s="1109">
        <v>1.5</v>
      </c>
      <c r="K286" s="1109" t="s">
        <v>24795</v>
      </c>
      <c r="L286" s="1597">
        <v>0.11</v>
      </c>
      <c r="M286" s="1598"/>
      <c r="N286" s="1119">
        <f>L286*J286</f>
        <v>0.17</v>
      </c>
    </row>
    <row r="287" spans="2:14" ht="92.25" customHeight="1" x14ac:dyDescent="0.3">
      <c r="B287" s="1115">
        <v>91634</v>
      </c>
      <c r="C287" s="1108" t="s">
        <v>24706</v>
      </c>
      <c r="D287" s="1604" t="s">
        <v>25751</v>
      </c>
      <c r="E287" s="1604"/>
      <c r="F287" s="1604"/>
      <c r="G287" s="1605"/>
      <c r="H287" s="1148">
        <v>1</v>
      </c>
      <c r="I287" s="1109">
        <v>2</v>
      </c>
      <c r="J287" s="1109" t="s">
        <v>24795</v>
      </c>
      <c r="K287" s="1109">
        <v>186.93</v>
      </c>
      <c r="L287" s="1597" t="s">
        <v>24795</v>
      </c>
      <c r="M287" s="1598"/>
      <c r="N287" s="1119">
        <f>K287*I287</f>
        <v>373.86</v>
      </c>
    </row>
    <row r="288" spans="2:14" ht="74.25" customHeight="1" x14ac:dyDescent="0.3">
      <c r="B288" s="1115">
        <v>91635</v>
      </c>
      <c r="C288" s="1108" t="s">
        <v>24706</v>
      </c>
      <c r="D288" s="1604" t="s">
        <v>25752</v>
      </c>
      <c r="E288" s="1604"/>
      <c r="F288" s="1604"/>
      <c r="G288" s="1605"/>
      <c r="H288" s="1148">
        <v>1</v>
      </c>
      <c r="I288" s="1109" t="s">
        <v>24795</v>
      </c>
      <c r="J288" s="1271">
        <v>1</v>
      </c>
      <c r="K288" s="1109" t="s">
        <v>24795</v>
      </c>
      <c r="L288" s="1597">
        <v>46.45</v>
      </c>
      <c r="M288" s="1598"/>
      <c r="N288" s="1119">
        <f>L288*J288</f>
        <v>46.45</v>
      </c>
    </row>
    <row r="289" spans="2:16" x14ac:dyDescent="0.3">
      <c r="B289" s="1107"/>
      <c r="C289" s="1108"/>
      <c r="D289" s="1595"/>
      <c r="E289" s="1595"/>
      <c r="F289" s="1595"/>
      <c r="G289" s="1596"/>
      <c r="H289" s="1109"/>
      <c r="I289" s="1109"/>
      <c r="J289" s="1109"/>
      <c r="K289" s="1109"/>
      <c r="L289" s="1597"/>
      <c r="M289" s="1598"/>
      <c r="N289" s="1119"/>
    </row>
    <row r="290" spans="2:16" ht="45" customHeight="1" thickBot="1" x14ac:dyDescent="0.35">
      <c r="B290" s="855"/>
      <c r="C290" s="954"/>
      <c r="D290" s="954"/>
      <c r="E290" s="954"/>
      <c r="F290" s="1110"/>
      <c r="G290" s="1110"/>
      <c r="H290" s="1110"/>
      <c r="I290" s="1110"/>
      <c r="J290" s="1110"/>
      <c r="K290" s="1110"/>
      <c r="L290" s="1110"/>
      <c r="M290" s="1265" t="s">
        <v>24680</v>
      </c>
      <c r="N290" s="1112">
        <f>SUM(N285:N288)</f>
        <v>443.13</v>
      </c>
    </row>
    <row r="291" spans="2:16" ht="15" customHeight="1" thickBot="1" x14ac:dyDescent="0.35">
      <c r="B291" s="850"/>
      <c r="C291" s="461"/>
      <c r="D291" s="461"/>
      <c r="E291" s="461"/>
      <c r="F291" s="461"/>
      <c r="G291" s="461"/>
      <c r="H291" s="461"/>
      <c r="I291" s="461"/>
      <c r="J291" s="461"/>
      <c r="K291" s="461"/>
      <c r="L291" s="461"/>
      <c r="M291" s="461"/>
      <c r="N291" s="1113"/>
    </row>
    <row r="292" spans="2:16" ht="45" x14ac:dyDescent="0.3">
      <c r="B292" s="1104" t="s">
        <v>0</v>
      </c>
      <c r="C292" s="1105" t="s">
        <v>24673</v>
      </c>
      <c r="D292" s="1593" t="s">
        <v>24681</v>
      </c>
      <c r="E292" s="1593"/>
      <c r="F292" s="1593"/>
      <c r="G292" s="1593"/>
      <c r="H292" s="1594"/>
      <c r="I292" s="1106" t="s">
        <v>3686</v>
      </c>
      <c r="J292" s="1106" t="s">
        <v>24682</v>
      </c>
      <c r="K292" s="1106" t="s">
        <v>25177</v>
      </c>
      <c r="L292" s="1106" t="s">
        <v>25178</v>
      </c>
      <c r="M292" s="1106" t="s">
        <v>24683</v>
      </c>
      <c r="N292" s="1114" t="s">
        <v>24679</v>
      </c>
    </row>
    <row r="293" spans="2:16" ht="15" customHeight="1" x14ac:dyDescent="0.3">
      <c r="B293" s="1149">
        <v>10278</v>
      </c>
      <c r="C293" s="1150" t="s">
        <v>4379</v>
      </c>
      <c r="D293" s="1616" t="s">
        <v>25220</v>
      </c>
      <c r="E293" s="1616"/>
      <c r="F293" s="1616"/>
      <c r="G293" s="1616"/>
      <c r="H293" s="1617"/>
      <c r="I293" s="1151" t="s">
        <v>75</v>
      </c>
      <c r="J293" s="1117">
        <v>1.5727</v>
      </c>
      <c r="K293" s="1151">
        <v>11.33</v>
      </c>
      <c r="L293" s="1152">
        <f>K293*(1+J293)</f>
        <v>29.15</v>
      </c>
      <c r="M293" s="1153">
        <v>16</v>
      </c>
      <c r="N293" s="1154">
        <f>M293*L293</f>
        <v>466.4</v>
      </c>
      <c r="P293" s="1140"/>
    </row>
    <row r="294" spans="2:16" ht="15" customHeight="1" x14ac:dyDescent="0.3">
      <c r="B294" s="1149">
        <v>10260</v>
      </c>
      <c r="C294" s="1155" t="s">
        <v>4379</v>
      </c>
      <c r="D294" s="1616" t="s">
        <v>25221</v>
      </c>
      <c r="E294" s="1616"/>
      <c r="F294" s="1616"/>
      <c r="G294" s="1616"/>
      <c r="H294" s="1617"/>
      <c r="I294" s="1151" t="s">
        <v>75</v>
      </c>
      <c r="J294" s="1117">
        <v>1.5727</v>
      </c>
      <c r="K294" s="1151">
        <v>5.79</v>
      </c>
      <c r="L294" s="1152">
        <f>K294*(1+J294)</f>
        <v>14.9</v>
      </c>
      <c r="M294" s="1153">
        <v>16</v>
      </c>
      <c r="N294" s="1154">
        <f t="shared" ref="N294:N295" si="4">M294*L294</f>
        <v>238.4</v>
      </c>
      <c r="P294" s="1140"/>
    </row>
    <row r="295" spans="2:16" x14ac:dyDescent="0.3">
      <c r="B295" s="1115">
        <v>10140</v>
      </c>
      <c r="C295" s="1264" t="s">
        <v>4379</v>
      </c>
      <c r="D295" s="1604" t="s">
        <v>25222</v>
      </c>
      <c r="E295" s="1604"/>
      <c r="F295" s="1604"/>
      <c r="G295" s="1604"/>
      <c r="H295" s="1605"/>
      <c r="I295" s="1109" t="s">
        <v>75</v>
      </c>
      <c r="J295" s="1117">
        <v>1.5727</v>
      </c>
      <c r="K295" s="1109">
        <v>7.43</v>
      </c>
      <c r="L295" s="1109">
        <f>K295*(1+J295)</f>
        <v>19.12</v>
      </c>
      <c r="M295" s="1118">
        <v>8</v>
      </c>
      <c r="N295" s="1154">
        <f t="shared" si="4"/>
        <v>152.96</v>
      </c>
    </row>
    <row r="296" spans="2:16" x14ac:dyDescent="0.3">
      <c r="B296" s="1115">
        <v>10101</v>
      </c>
      <c r="C296" s="1264" t="s">
        <v>4379</v>
      </c>
      <c r="D296" s="1604" t="s">
        <v>25223</v>
      </c>
      <c r="E296" s="1604"/>
      <c r="F296" s="1604"/>
      <c r="G296" s="1604"/>
      <c r="H296" s="1605"/>
      <c r="I296" s="1109" t="s">
        <v>75</v>
      </c>
      <c r="J296" s="1117">
        <v>1.5727</v>
      </c>
      <c r="K296" s="1109">
        <v>6.27</v>
      </c>
      <c r="L296" s="1109">
        <f>K296*(1+J296)</f>
        <v>16.13</v>
      </c>
      <c r="M296" s="1118">
        <v>4</v>
      </c>
      <c r="N296" s="1154">
        <f>M296*L296</f>
        <v>64.52</v>
      </c>
    </row>
    <row r="297" spans="2:16" ht="30" customHeight="1" thickBot="1" x14ac:dyDescent="0.35">
      <c r="B297" s="855"/>
      <c r="C297" s="954"/>
      <c r="D297" s="954"/>
      <c r="E297" s="954"/>
      <c r="F297" s="1110"/>
      <c r="G297" s="1110"/>
      <c r="H297" s="1110"/>
      <c r="I297" s="1110"/>
      <c r="J297" s="1110"/>
      <c r="K297" s="1110"/>
      <c r="L297" s="1110"/>
      <c r="M297" s="1265" t="s">
        <v>24684</v>
      </c>
      <c r="N297" s="1112">
        <f>SUM(N293:N296)</f>
        <v>922.28</v>
      </c>
    </row>
    <row r="298" spans="2:16" ht="15" customHeight="1" thickBot="1" x14ac:dyDescent="0.35">
      <c r="B298" s="850"/>
      <c r="C298" s="461"/>
      <c r="D298" s="461"/>
      <c r="E298" s="461"/>
      <c r="F298" s="461"/>
      <c r="G298" s="461"/>
      <c r="H298" s="461"/>
      <c r="I298" s="1120"/>
      <c r="J298" s="1120"/>
      <c r="K298" s="461"/>
      <c r="L298" s="461"/>
      <c r="M298" s="461"/>
      <c r="N298" s="1113"/>
    </row>
    <row r="299" spans="2:16" ht="30" x14ac:dyDescent="0.3">
      <c r="B299" s="1104" t="s">
        <v>0</v>
      </c>
      <c r="C299" s="1105" t="s">
        <v>24673</v>
      </c>
      <c r="D299" s="1593" t="s">
        <v>24685</v>
      </c>
      <c r="E299" s="1593"/>
      <c r="F299" s="1593"/>
      <c r="G299" s="1593"/>
      <c r="H299" s="1594"/>
      <c r="I299" s="1106" t="s">
        <v>2858</v>
      </c>
      <c r="J299" s="1106" t="s">
        <v>24686</v>
      </c>
      <c r="K299" s="1106" t="s">
        <v>24687</v>
      </c>
      <c r="L299" s="1614" t="s">
        <v>24688</v>
      </c>
      <c r="M299" s="1615"/>
      <c r="N299" s="1114" t="s">
        <v>24689</v>
      </c>
    </row>
    <row r="300" spans="2:16" x14ac:dyDescent="0.3">
      <c r="B300" s="1115">
        <v>2000</v>
      </c>
      <c r="C300" s="1264" t="s">
        <v>4389</v>
      </c>
      <c r="D300" s="1604" t="s">
        <v>25181</v>
      </c>
      <c r="E300" s="1604"/>
      <c r="F300" s="1604"/>
      <c r="G300" s="1604"/>
      <c r="H300" s="1605"/>
      <c r="I300" s="1109">
        <v>5</v>
      </c>
      <c r="J300" s="1109" t="s">
        <v>25182</v>
      </c>
      <c r="K300" s="1109"/>
      <c r="L300" s="1597"/>
      <c r="M300" s="1598"/>
      <c r="N300" s="1119">
        <f>N297*(I300/100)</f>
        <v>46.11</v>
      </c>
    </row>
    <row r="301" spans="2:16" x14ac:dyDescent="0.3">
      <c r="B301" s="850"/>
      <c r="C301" s="461"/>
      <c r="D301" s="461"/>
      <c r="E301" s="461"/>
      <c r="F301" s="1120"/>
      <c r="G301" s="1120"/>
      <c r="H301" s="1120"/>
      <c r="I301" s="1120"/>
      <c r="J301" s="1120"/>
      <c r="K301" s="1120"/>
      <c r="L301" s="1120"/>
      <c r="M301" s="1121" t="s">
        <v>24690</v>
      </c>
      <c r="N301" s="1122">
        <f>SUM(N300:N300)</f>
        <v>46.11</v>
      </c>
    </row>
    <row r="302" spans="2:16" x14ac:dyDescent="0.3">
      <c r="B302" s="850"/>
      <c r="C302" s="461"/>
      <c r="D302" s="461"/>
      <c r="E302" s="461"/>
      <c r="F302" s="461"/>
      <c r="G302" s="461"/>
      <c r="H302" s="461"/>
      <c r="I302" s="461"/>
      <c r="J302" s="461"/>
      <c r="K302" s="461"/>
      <c r="L302" s="461"/>
      <c r="M302" s="461"/>
      <c r="N302" s="1113"/>
    </row>
    <row r="303" spans="2:16" x14ac:dyDescent="0.3">
      <c r="B303" s="850"/>
      <c r="C303" s="461"/>
      <c r="D303" s="461"/>
      <c r="E303" s="461"/>
      <c r="F303" s="1120"/>
      <c r="G303" s="1120"/>
      <c r="H303" s="1120"/>
      <c r="I303" s="863"/>
      <c r="J303" s="863"/>
      <c r="K303" s="863"/>
      <c r="L303" s="863"/>
      <c r="M303" s="1121" t="s">
        <v>24691</v>
      </c>
      <c r="N303" s="1123">
        <f>N290+N297+N301</f>
        <v>1411.52</v>
      </c>
    </row>
    <row r="304" spans="2:16" x14ac:dyDescent="0.3">
      <c r="B304" s="850"/>
      <c r="C304" s="461"/>
      <c r="D304" s="461"/>
      <c r="E304" s="461"/>
      <c r="F304" s="1120"/>
      <c r="G304" s="1120"/>
      <c r="H304" s="1120"/>
      <c r="I304" s="1120"/>
      <c r="J304" s="1124"/>
      <c r="K304" s="1124"/>
      <c r="L304" s="1124"/>
      <c r="M304" s="1125" t="s">
        <v>24692</v>
      </c>
      <c r="N304" s="1123">
        <v>1</v>
      </c>
    </row>
    <row r="305" spans="2:14" ht="30" customHeight="1" thickBot="1" x14ac:dyDescent="0.35">
      <c r="B305" s="855"/>
      <c r="C305" s="954"/>
      <c r="D305" s="954"/>
      <c r="E305" s="954"/>
      <c r="F305" s="1110"/>
      <c r="G305" s="1110"/>
      <c r="H305" s="1110"/>
      <c r="I305" s="1110"/>
      <c r="J305" s="1110"/>
      <c r="K305" s="1110"/>
      <c r="L305" s="1110"/>
      <c r="M305" s="1265" t="s">
        <v>24693</v>
      </c>
      <c r="N305" s="1126">
        <f>TRUNC(N303/N304,2)</f>
        <v>1411.52</v>
      </c>
    </row>
    <row r="306" spans="2:14" ht="33.75" customHeight="1" thickBot="1" x14ac:dyDescent="0.35">
      <c r="B306" s="850"/>
      <c r="C306" s="461"/>
      <c r="D306" s="461"/>
      <c r="E306" s="461"/>
      <c r="F306" s="461"/>
      <c r="G306" s="461"/>
      <c r="H306" s="461"/>
      <c r="I306" s="461"/>
      <c r="J306" s="461"/>
      <c r="K306" s="461"/>
      <c r="L306" s="461"/>
      <c r="M306" s="461"/>
      <c r="N306" s="1113"/>
    </row>
    <row r="307" spans="2:14" ht="15" customHeight="1" x14ac:dyDescent="0.3">
      <c r="B307" s="1104" t="s">
        <v>0</v>
      </c>
      <c r="C307" s="1105" t="s">
        <v>24673</v>
      </c>
      <c r="D307" s="1593" t="s">
        <v>24694</v>
      </c>
      <c r="E307" s="1593"/>
      <c r="F307" s="1593"/>
      <c r="G307" s="1593"/>
      <c r="H307" s="1593"/>
      <c r="I307" s="1594"/>
      <c r="J307" s="1106" t="s">
        <v>3686</v>
      </c>
      <c r="K307" s="1106" t="s">
        <v>24695</v>
      </c>
      <c r="L307" s="1614" t="s">
        <v>24683</v>
      </c>
      <c r="M307" s="1615"/>
      <c r="N307" s="1114" t="s">
        <v>24689</v>
      </c>
    </row>
    <row r="308" spans="2:14" ht="15" customHeight="1" x14ac:dyDescent="0.3">
      <c r="B308" s="1115" t="s">
        <v>24795</v>
      </c>
      <c r="C308" s="1264" t="s">
        <v>25183</v>
      </c>
      <c r="D308" s="1604" t="s">
        <v>25224</v>
      </c>
      <c r="E308" s="1604"/>
      <c r="F308" s="1604"/>
      <c r="G308" s="1604"/>
      <c r="H308" s="1604"/>
      <c r="I308" s="1605"/>
      <c r="J308" s="1109" t="s">
        <v>82</v>
      </c>
      <c r="K308" s="1109">
        <f>'[4]MAPA DE COT. - Quiosque'!G112</f>
        <v>14.31</v>
      </c>
      <c r="L308" s="1635">
        <v>733.88</v>
      </c>
      <c r="M308" s="1636"/>
      <c r="N308" s="1119">
        <f>L308*K308</f>
        <v>10501.82</v>
      </c>
    </row>
    <row r="309" spans="2:14" ht="15" customHeight="1" x14ac:dyDescent="0.3">
      <c r="B309" s="1115" t="s">
        <v>24795</v>
      </c>
      <c r="C309" s="1264" t="s">
        <v>25183</v>
      </c>
      <c r="D309" s="1604" t="s">
        <v>25753</v>
      </c>
      <c r="E309" s="1604"/>
      <c r="F309" s="1604"/>
      <c r="G309" s="1604"/>
      <c r="H309" s="1604"/>
      <c r="I309" s="1605"/>
      <c r="J309" s="1109" t="s">
        <v>82</v>
      </c>
      <c r="K309" s="1109">
        <f>K308</f>
        <v>14.31</v>
      </c>
      <c r="L309" s="1635">
        <v>28.91</v>
      </c>
      <c r="M309" s="1636"/>
      <c r="N309" s="1119">
        <f>L309*K309</f>
        <v>413.7</v>
      </c>
    </row>
    <row r="310" spans="2:14" ht="15" customHeight="1" x14ac:dyDescent="0.3">
      <c r="B310" s="1115">
        <v>71096</v>
      </c>
      <c r="C310" s="1264" t="s">
        <v>4379</v>
      </c>
      <c r="D310" s="1604" t="s">
        <v>25225</v>
      </c>
      <c r="E310" s="1604"/>
      <c r="F310" s="1604"/>
      <c r="G310" s="1604"/>
      <c r="H310" s="1604"/>
      <c r="I310" s="1605"/>
      <c r="J310" s="1109" t="s">
        <v>2884</v>
      </c>
      <c r="K310" s="1109">
        <v>40</v>
      </c>
      <c r="L310" s="1635">
        <v>28.51</v>
      </c>
      <c r="M310" s="1636"/>
      <c r="N310" s="1119">
        <f t="shared" ref="N310:N315" si="5">L310*K310</f>
        <v>1140.4000000000001</v>
      </c>
    </row>
    <row r="311" spans="2:14" ht="15" customHeight="1" x14ac:dyDescent="0.3">
      <c r="B311" s="1115">
        <v>38021</v>
      </c>
      <c r="C311" s="1264" t="s">
        <v>4379</v>
      </c>
      <c r="D311" s="1604" t="s">
        <v>25226</v>
      </c>
      <c r="E311" s="1604"/>
      <c r="F311" s="1604"/>
      <c r="G311" s="1604"/>
      <c r="H311" s="1604"/>
      <c r="I311" s="1605"/>
      <c r="J311" s="1109" t="s">
        <v>85</v>
      </c>
      <c r="K311" s="1109">
        <v>84.65</v>
      </c>
      <c r="L311" s="1635">
        <v>7.2</v>
      </c>
      <c r="M311" s="1636"/>
      <c r="N311" s="1119">
        <f t="shared" si="5"/>
        <v>609.48</v>
      </c>
    </row>
    <row r="312" spans="2:14" ht="15" customHeight="1" x14ac:dyDescent="0.3">
      <c r="B312" s="1115">
        <v>37509</v>
      </c>
      <c r="C312" s="1264" t="s">
        <v>4379</v>
      </c>
      <c r="D312" s="1604" t="s">
        <v>25227</v>
      </c>
      <c r="E312" s="1604"/>
      <c r="F312" s="1604"/>
      <c r="G312" s="1604"/>
      <c r="H312" s="1604"/>
      <c r="I312" s="1605"/>
      <c r="J312" s="1109" t="s">
        <v>85</v>
      </c>
      <c r="K312" s="1109">
        <v>94.82</v>
      </c>
      <c r="L312" s="1635">
        <v>3.6</v>
      </c>
      <c r="M312" s="1636"/>
      <c r="N312" s="1119">
        <f t="shared" si="5"/>
        <v>341.35</v>
      </c>
    </row>
    <row r="313" spans="2:14" ht="15" customHeight="1" x14ac:dyDescent="0.3">
      <c r="B313" s="1115">
        <v>38028</v>
      </c>
      <c r="C313" s="1264" t="s">
        <v>4379</v>
      </c>
      <c r="D313" s="1604" t="s">
        <v>25228</v>
      </c>
      <c r="E313" s="1604"/>
      <c r="F313" s="1604"/>
      <c r="G313" s="1604"/>
      <c r="H313" s="1604"/>
      <c r="I313" s="1605"/>
      <c r="J313" s="1109" t="s">
        <v>85</v>
      </c>
      <c r="K313" s="1109">
        <v>21.76</v>
      </c>
      <c r="L313" s="1635">
        <v>6</v>
      </c>
      <c r="M313" s="1636"/>
      <c r="N313" s="1119">
        <f t="shared" si="5"/>
        <v>130.56</v>
      </c>
    </row>
    <row r="314" spans="2:14" x14ac:dyDescent="0.3">
      <c r="B314" s="1115">
        <v>10997</v>
      </c>
      <c r="C314" s="1264" t="s">
        <v>24706</v>
      </c>
      <c r="D314" s="1604" t="s">
        <v>25229</v>
      </c>
      <c r="E314" s="1604"/>
      <c r="F314" s="1604"/>
      <c r="G314" s="1604"/>
      <c r="H314" s="1604"/>
      <c r="I314" s="1605"/>
      <c r="J314" s="1109" t="s">
        <v>77</v>
      </c>
      <c r="K314" s="1109">
        <v>30.78</v>
      </c>
      <c r="L314" s="1635">
        <v>2.4</v>
      </c>
      <c r="M314" s="1636"/>
      <c r="N314" s="1119">
        <f t="shared" si="5"/>
        <v>73.87</v>
      </c>
    </row>
    <row r="315" spans="2:14" x14ac:dyDescent="0.3">
      <c r="B315" s="1115">
        <v>37564</v>
      </c>
      <c r="C315" s="1264" t="s">
        <v>4379</v>
      </c>
      <c r="D315" s="1604" t="s">
        <v>25230</v>
      </c>
      <c r="E315" s="1604"/>
      <c r="F315" s="1604"/>
      <c r="G315" s="1604"/>
      <c r="H315" s="1604"/>
      <c r="I315" s="1605"/>
      <c r="J315" s="1109" t="s">
        <v>85</v>
      </c>
      <c r="K315" s="1109">
        <v>30.03</v>
      </c>
      <c r="L315" s="1635">
        <v>0.72</v>
      </c>
      <c r="M315" s="1636"/>
      <c r="N315" s="1119">
        <f t="shared" si="5"/>
        <v>21.62</v>
      </c>
    </row>
    <row r="316" spans="2:14" ht="30" customHeight="1" thickBot="1" x14ac:dyDescent="0.35">
      <c r="B316" s="855"/>
      <c r="C316" s="954"/>
      <c r="D316" s="954"/>
      <c r="E316" s="954"/>
      <c r="F316" s="1110"/>
      <c r="G316" s="1110"/>
      <c r="H316" s="1110"/>
      <c r="I316" s="1110"/>
      <c r="J316" s="1110"/>
      <c r="K316" s="1110"/>
      <c r="L316" s="1110"/>
      <c r="M316" s="1265" t="s">
        <v>24696</v>
      </c>
      <c r="N316" s="1112">
        <f>SUM(N308:N315)</f>
        <v>13232.8</v>
      </c>
    </row>
    <row r="317" spans="2:14" ht="15.75" thickBot="1" x14ac:dyDescent="0.35">
      <c r="B317" s="850"/>
      <c r="C317" s="461"/>
      <c r="D317" s="461"/>
      <c r="E317" s="461"/>
      <c r="F317" s="461"/>
      <c r="G317" s="461"/>
      <c r="H317" s="461"/>
      <c r="I317" s="461"/>
      <c r="J317" s="461"/>
      <c r="K317" s="461"/>
      <c r="L317" s="461"/>
      <c r="M317" s="461"/>
      <c r="N317" s="1113"/>
    </row>
    <row r="318" spans="2:14" ht="30" x14ac:dyDescent="0.3">
      <c r="B318" s="1104" t="s">
        <v>0</v>
      </c>
      <c r="C318" s="1106" t="s">
        <v>24673</v>
      </c>
      <c r="D318" s="1593" t="s">
        <v>24697</v>
      </c>
      <c r="E318" s="1593"/>
      <c r="F318" s="1593"/>
      <c r="G318" s="1593"/>
      <c r="H318" s="1593"/>
      <c r="I318" s="1594"/>
      <c r="J318" s="1106" t="s">
        <v>3686</v>
      </c>
      <c r="K318" s="1106" t="s">
        <v>24695</v>
      </c>
      <c r="L318" s="1614" t="s">
        <v>24683</v>
      </c>
      <c r="M318" s="1615"/>
      <c r="N318" s="1114" t="s">
        <v>24689</v>
      </c>
    </row>
    <row r="319" spans="2:14" x14ac:dyDescent="0.3">
      <c r="B319" s="1115"/>
      <c r="C319" s="1264"/>
      <c r="D319" s="1604"/>
      <c r="E319" s="1604"/>
      <c r="F319" s="1604"/>
      <c r="G319" s="1604"/>
      <c r="H319" s="1604"/>
      <c r="I319" s="1605"/>
      <c r="J319" s="462"/>
      <c r="K319" s="462"/>
      <c r="L319" s="1612"/>
      <c r="M319" s="1613"/>
      <c r="N319" s="1130"/>
    </row>
    <row r="320" spans="2:14" ht="30" customHeight="1" thickBot="1" x14ac:dyDescent="0.35">
      <c r="B320" s="855"/>
      <c r="C320" s="954"/>
      <c r="D320" s="954"/>
      <c r="E320" s="954"/>
      <c r="F320" s="1110"/>
      <c r="G320" s="1110"/>
      <c r="H320" s="1110"/>
      <c r="I320" s="1110"/>
      <c r="J320" s="1110"/>
      <c r="K320" s="1110"/>
      <c r="L320" s="1110"/>
      <c r="M320" s="1265" t="s">
        <v>24698</v>
      </c>
      <c r="N320" s="1112">
        <f>SUM(N319:N319)</f>
        <v>0</v>
      </c>
    </row>
    <row r="321" spans="2:14" ht="15.75" thickBot="1" x14ac:dyDescent="0.35">
      <c r="B321" s="850"/>
      <c r="C321" s="461"/>
      <c r="D321" s="461"/>
      <c r="E321" s="461"/>
      <c r="F321" s="461"/>
      <c r="G321" s="461"/>
      <c r="H321" s="461"/>
      <c r="I321" s="461"/>
      <c r="J321" s="461"/>
      <c r="K321" s="461"/>
      <c r="L321" s="461"/>
      <c r="M321" s="461"/>
      <c r="N321" s="1113"/>
    </row>
    <row r="322" spans="2:14" ht="30" x14ac:dyDescent="0.3">
      <c r="B322" s="1104" t="s">
        <v>0</v>
      </c>
      <c r="C322" s="1106" t="s">
        <v>24673</v>
      </c>
      <c r="D322" s="1593" t="s">
        <v>24699</v>
      </c>
      <c r="E322" s="1593"/>
      <c r="F322" s="1593"/>
      <c r="G322" s="1594"/>
      <c r="H322" s="1106" t="s">
        <v>3686</v>
      </c>
      <c r="I322" s="1106" t="s">
        <v>24700</v>
      </c>
      <c r="J322" s="1106" t="s">
        <v>24701</v>
      </c>
      <c r="K322" s="1106" t="s">
        <v>24695</v>
      </c>
      <c r="L322" s="1614" t="s">
        <v>24683</v>
      </c>
      <c r="M322" s="1615"/>
      <c r="N322" s="1114" t="s">
        <v>24689</v>
      </c>
    </row>
    <row r="323" spans="2:14" x14ac:dyDescent="0.3">
      <c r="B323" s="1115"/>
      <c r="C323" s="1264"/>
      <c r="D323" s="1595"/>
      <c r="E323" s="1595"/>
      <c r="F323" s="1595"/>
      <c r="G323" s="1595"/>
      <c r="H323" s="1109"/>
      <c r="I323" s="1109"/>
      <c r="J323" s="1109"/>
      <c r="K323" s="1109"/>
      <c r="L323" s="1597"/>
      <c r="M323" s="1598"/>
      <c r="N323" s="1119"/>
    </row>
    <row r="324" spans="2:14" x14ac:dyDescent="0.3">
      <c r="B324" s="1115"/>
      <c r="C324" s="1264"/>
      <c r="D324" s="1595"/>
      <c r="E324" s="1595"/>
      <c r="F324" s="1595"/>
      <c r="G324" s="1595"/>
      <c r="H324" s="1109"/>
      <c r="I324" s="1109"/>
      <c r="J324" s="1109"/>
      <c r="K324" s="1109"/>
      <c r="L324" s="1597"/>
      <c r="M324" s="1598"/>
      <c r="N324" s="1119"/>
    </row>
    <row r="325" spans="2:14" x14ac:dyDescent="0.3">
      <c r="B325" s="1115"/>
      <c r="C325" s="1264"/>
      <c r="D325" s="1595"/>
      <c r="E325" s="1595"/>
      <c r="F325" s="1595"/>
      <c r="G325" s="1595"/>
      <c r="H325" s="1109"/>
      <c r="I325" s="1109"/>
      <c r="J325" s="1109"/>
      <c r="K325" s="1109"/>
      <c r="L325" s="1597"/>
      <c r="M325" s="1598"/>
      <c r="N325" s="1119"/>
    </row>
    <row r="326" spans="2:14" x14ac:dyDescent="0.3">
      <c r="B326" s="850"/>
      <c r="C326" s="461"/>
      <c r="D326" s="461"/>
      <c r="E326" s="461"/>
      <c r="F326" s="1120"/>
      <c r="G326" s="1120"/>
      <c r="H326" s="1120"/>
      <c r="I326" s="1120"/>
      <c r="J326" s="1120"/>
      <c r="K326" s="1120"/>
      <c r="L326" s="1120"/>
      <c r="M326" s="1121" t="s">
        <v>24702</v>
      </c>
      <c r="N326" s="1122">
        <f>SUM(N323:N325)</f>
        <v>0</v>
      </c>
    </row>
    <row r="327" spans="2:14" x14ac:dyDescent="0.3">
      <c r="B327" s="850"/>
      <c r="C327" s="461"/>
      <c r="D327" s="461"/>
      <c r="E327" s="461"/>
      <c r="F327" s="461"/>
      <c r="G327" s="461"/>
      <c r="H327" s="461"/>
      <c r="I327" s="461"/>
      <c r="J327" s="461"/>
      <c r="K327" s="461"/>
      <c r="L327" s="461"/>
      <c r="M327" s="461"/>
      <c r="N327" s="1113"/>
    </row>
    <row r="328" spans="2:14" x14ac:dyDescent="0.3">
      <c r="B328" s="1131"/>
      <c r="C328" s="1132"/>
      <c r="D328" s="1132"/>
      <c r="E328" s="1132"/>
      <c r="F328" s="1133"/>
      <c r="G328" s="1133"/>
      <c r="H328" s="1133"/>
      <c r="I328" s="1133"/>
      <c r="J328" s="1133"/>
      <c r="K328" s="1133"/>
      <c r="L328" s="1133"/>
      <c r="M328" s="1134" t="s">
        <v>24703</v>
      </c>
      <c r="N328" s="1123">
        <f>N305+N316+N320+N326</f>
        <v>14644.32</v>
      </c>
    </row>
    <row r="329" spans="2:14" x14ac:dyDescent="0.3">
      <c r="B329" s="850"/>
      <c r="C329" s="461"/>
      <c r="D329" s="461"/>
      <c r="E329" s="461"/>
      <c r="F329" s="1120"/>
      <c r="G329" s="1120"/>
      <c r="H329" s="1120"/>
      <c r="I329" s="1120"/>
      <c r="J329" s="1120"/>
      <c r="K329" s="1120"/>
      <c r="L329" s="1120"/>
      <c r="M329" s="1136">
        <f>'[4]QUIOSQUE - MOD 01'!I3</f>
        <v>0.28220000000000001</v>
      </c>
      <c r="N329" s="1123">
        <f>ROUND(N328*M329,2)</f>
        <v>4132.63</v>
      </c>
    </row>
    <row r="330" spans="2:14" ht="15.75" thickBot="1" x14ac:dyDescent="0.35">
      <c r="B330" s="1599" t="s">
        <v>24704</v>
      </c>
      <c r="C330" s="1600"/>
      <c r="D330" s="1600"/>
      <c r="E330" s="1600"/>
      <c r="F330" s="1600"/>
      <c r="G330" s="1600"/>
      <c r="H330" s="1600"/>
      <c r="I330" s="1600"/>
      <c r="J330" s="1600"/>
      <c r="K330" s="1600"/>
      <c r="L330" s="1600"/>
      <c r="M330" s="1601"/>
      <c r="N330" s="1126">
        <f>N328+N329</f>
        <v>18776.95</v>
      </c>
    </row>
    <row r="332" spans="2:14" ht="15.75" thickBot="1" x14ac:dyDescent="0.35"/>
    <row r="333" spans="2:14" ht="45" customHeight="1" x14ac:dyDescent="0.3">
      <c r="B333" s="1607" t="s">
        <v>24748</v>
      </c>
      <c r="C333" s="1608"/>
      <c r="D333" s="1609"/>
      <c r="E333" s="1610" t="s">
        <v>24669</v>
      </c>
      <c r="F333" s="1610"/>
      <c r="G333" s="1610"/>
      <c r="H333" s="1610"/>
      <c r="I333" s="1610"/>
      <c r="J333" s="1610"/>
      <c r="K333" s="1610"/>
      <c r="L333" s="1623"/>
      <c r="M333" s="1576"/>
      <c r="N333" s="1577"/>
    </row>
    <row r="334" spans="2:14" x14ac:dyDescent="0.3">
      <c r="B334" s="1103" t="s">
        <v>24670</v>
      </c>
      <c r="C334" s="1586" t="s">
        <v>25231</v>
      </c>
      <c r="D334" s="1586"/>
      <c r="E334" s="1586"/>
      <c r="F334" s="1586"/>
      <c r="G334" s="1586"/>
      <c r="H334" s="1586"/>
      <c r="I334" s="1586"/>
      <c r="J334" s="1586"/>
      <c r="K334" s="1586"/>
      <c r="L334" s="1586"/>
      <c r="M334" s="1586"/>
      <c r="N334" s="1587"/>
    </row>
    <row r="335" spans="2:14" x14ac:dyDescent="0.3">
      <c r="B335" s="1103" t="s">
        <v>24671</v>
      </c>
      <c r="C335" s="1588" t="s">
        <v>8</v>
      </c>
      <c r="D335" s="1588"/>
      <c r="E335" s="1588"/>
      <c r="F335" s="1588"/>
      <c r="G335" s="1588"/>
      <c r="H335" s="1588"/>
      <c r="I335" s="1588"/>
      <c r="J335" s="1588"/>
      <c r="K335" s="1588"/>
      <c r="L335" s="1588"/>
      <c r="M335" s="1588"/>
      <c r="N335" s="1589"/>
    </row>
    <row r="336" spans="2:14" ht="15.75" thickBot="1" x14ac:dyDescent="0.35">
      <c r="B336" s="1103" t="s">
        <v>24672</v>
      </c>
      <c r="C336" s="1590">
        <v>44501</v>
      </c>
      <c r="D336" s="1591"/>
      <c r="E336" s="1591"/>
      <c r="F336" s="1591"/>
      <c r="G336" s="1591"/>
      <c r="H336" s="1591"/>
      <c r="I336" s="1591"/>
      <c r="J336" s="1591"/>
      <c r="K336" s="1591"/>
      <c r="L336" s="1591"/>
      <c r="M336" s="1591"/>
      <c r="N336" s="1592"/>
    </row>
    <row r="337" spans="2:27" ht="30" x14ac:dyDescent="0.3">
      <c r="B337" s="1104" t="s">
        <v>0</v>
      </c>
      <c r="C337" s="1105" t="s">
        <v>24673</v>
      </c>
      <c r="D337" s="1593" t="s">
        <v>24674</v>
      </c>
      <c r="E337" s="1593"/>
      <c r="F337" s="1593"/>
      <c r="G337" s="1594"/>
      <c r="H337" s="1106" t="s">
        <v>111</v>
      </c>
      <c r="I337" s="1106" t="s">
        <v>24675</v>
      </c>
      <c r="J337" s="1106" t="s">
        <v>24676</v>
      </c>
      <c r="K337" s="1106" t="s">
        <v>24677</v>
      </c>
      <c r="L337" s="1614" t="s">
        <v>24678</v>
      </c>
      <c r="M337" s="1615"/>
      <c r="N337" s="1114" t="s">
        <v>24679</v>
      </c>
    </row>
    <row r="338" spans="2:27" x14ac:dyDescent="0.3">
      <c r="B338" s="1107"/>
      <c r="C338" s="1108"/>
      <c r="D338" s="1595"/>
      <c r="E338" s="1595"/>
      <c r="F338" s="1595"/>
      <c r="G338" s="1596"/>
      <c r="H338" s="1109"/>
      <c r="I338" s="1109"/>
      <c r="J338" s="1109"/>
      <c r="K338" s="1109"/>
      <c r="L338" s="1597"/>
      <c r="M338" s="1598"/>
      <c r="N338" s="1119"/>
    </row>
    <row r="339" spans="2:27" x14ac:dyDescent="0.3">
      <c r="B339" s="1107"/>
      <c r="C339" s="1108"/>
      <c r="D339" s="1595"/>
      <c r="E339" s="1595"/>
      <c r="F339" s="1595"/>
      <c r="G339" s="1596"/>
      <c r="H339" s="1109"/>
      <c r="I339" s="1109"/>
      <c r="J339" s="1109"/>
      <c r="K339" s="1109"/>
      <c r="L339" s="1597"/>
      <c r="M339" s="1598"/>
      <c r="N339" s="1119"/>
    </row>
    <row r="340" spans="2:27" x14ac:dyDescent="0.3">
      <c r="B340" s="1107"/>
      <c r="C340" s="1108"/>
      <c r="D340" s="1595"/>
      <c r="E340" s="1595"/>
      <c r="F340" s="1595"/>
      <c r="G340" s="1596"/>
      <c r="H340" s="1109"/>
      <c r="I340" s="1109"/>
      <c r="J340" s="1109"/>
      <c r="K340" s="1109"/>
      <c r="L340" s="1597"/>
      <c r="M340" s="1598"/>
      <c r="N340" s="1119"/>
    </row>
    <row r="341" spans="2:27" ht="15.75" thickBot="1" x14ac:dyDescent="0.35">
      <c r="B341" s="855"/>
      <c r="C341" s="954"/>
      <c r="D341" s="954"/>
      <c r="E341" s="954"/>
      <c r="F341" s="1110"/>
      <c r="G341" s="1110"/>
      <c r="H341" s="1110"/>
      <c r="I341" s="1110"/>
      <c r="J341" s="1110"/>
      <c r="K341" s="1110"/>
      <c r="L341" s="1110"/>
      <c r="M341" s="1111" t="s">
        <v>24680</v>
      </c>
      <c r="N341" s="1112">
        <f>SUM(N338:N340)</f>
        <v>0</v>
      </c>
      <c r="P341" s="695"/>
      <c r="Q341" s="863"/>
      <c r="R341" s="1644"/>
      <c r="S341" s="1644"/>
      <c r="T341" s="1644"/>
      <c r="U341" s="1644"/>
      <c r="V341" s="1644"/>
      <c r="W341" s="695"/>
      <c r="X341" s="1156"/>
      <c r="Y341" s="695"/>
      <c r="Z341" s="1157"/>
      <c r="AA341" s="1158"/>
    </row>
    <row r="342" spans="2:27" ht="15.75" thickBot="1" x14ac:dyDescent="0.35">
      <c r="B342" s="850"/>
      <c r="C342" s="461"/>
      <c r="D342" s="461"/>
      <c r="E342" s="461"/>
      <c r="F342" s="461"/>
      <c r="G342" s="461"/>
      <c r="H342" s="461"/>
      <c r="I342" s="461"/>
      <c r="J342" s="461"/>
      <c r="K342" s="461"/>
      <c r="L342" s="461"/>
      <c r="M342" s="461"/>
      <c r="N342" s="1113"/>
      <c r="P342" s="695"/>
      <c r="Q342" s="695"/>
      <c r="R342" s="1644"/>
      <c r="S342" s="1644"/>
      <c r="T342" s="1644"/>
      <c r="U342" s="1644"/>
      <c r="V342" s="1644"/>
      <c r="W342" s="695"/>
      <c r="X342" s="1156"/>
      <c r="Y342" s="695"/>
      <c r="Z342" s="1157"/>
      <c r="AA342" s="1158"/>
    </row>
    <row r="343" spans="2:27" ht="45" x14ac:dyDescent="0.3">
      <c r="B343" s="1104" t="s">
        <v>0</v>
      </c>
      <c r="C343" s="1105" t="s">
        <v>24673</v>
      </c>
      <c r="D343" s="1593" t="s">
        <v>24681</v>
      </c>
      <c r="E343" s="1593"/>
      <c r="F343" s="1593"/>
      <c r="G343" s="1593"/>
      <c r="H343" s="1594"/>
      <c r="I343" s="1106" t="s">
        <v>3686</v>
      </c>
      <c r="J343" s="1106" t="s">
        <v>24682</v>
      </c>
      <c r="K343" s="1106" t="s">
        <v>25177</v>
      </c>
      <c r="L343" s="1106" t="s">
        <v>25178</v>
      </c>
      <c r="M343" s="1106" t="s">
        <v>24683</v>
      </c>
      <c r="N343" s="1114" t="s">
        <v>24679</v>
      </c>
      <c r="P343" s="1159"/>
      <c r="Q343" s="1159"/>
      <c r="R343" s="1588"/>
      <c r="S343" s="1588"/>
      <c r="T343" s="1588"/>
      <c r="U343" s="1588"/>
      <c r="V343" s="1588"/>
      <c r="W343" s="1160"/>
      <c r="X343" s="1156"/>
      <c r="Y343" s="1160"/>
      <c r="Z343" s="1160"/>
      <c r="AA343" s="1161"/>
    </row>
    <row r="344" spans="2:27" ht="15" customHeight="1" x14ac:dyDescent="0.3">
      <c r="B344" s="1149">
        <v>10278</v>
      </c>
      <c r="C344" s="1162" t="s">
        <v>4379</v>
      </c>
      <c r="D344" s="1616" t="s">
        <v>25220</v>
      </c>
      <c r="E344" s="1616"/>
      <c r="F344" s="1616"/>
      <c r="G344" s="1616"/>
      <c r="H344" s="1617"/>
      <c r="I344" s="1151" t="s">
        <v>75</v>
      </c>
      <c r="J344" s="1117">
        <v>1.5727</v>
      </c>
      <c r="K344" s="1151">
        <v>11.33</v>
      </c>
      <c r="L344" s="1152">
        <f>K344*(1+J344)</f>
        <v>29.15</v>
      </c>
      <c r="M344" s="1153">
        <v>20</v>
      </c>
      <c r="N344" s="1119">
        <f>M344*L344</f>
        <v>583</v>
      </c>
      <c r="P344" s="1159"/>
      <c r="Q344" s="1159"/>
      <c r="R344" s="1588"/>
      <c r="S344" s="1588"/>
      <c r="T344" s="1588"/>
      <c r="U344" s="1588"/>
      <c r="V344" s="1588"/>
      <c r="W344" s="1160"/>
      <c r="X344" s="1156"/>
      <c r="Y344" s="1160"/>
      <c r="Z344" s="1160"/>
      <c r="AA344" s="1161"/>
    </row>
    <row r="345" spans="2:27" ht="15" customHeight="1" x14ac:dyDescent="0.3">
      <c r="B345" s="1149">
        <v>10260</v>
      </c>
      <c r="C345" s="1155" t="s">
        <v>4379</v>
      </c>
      <c r="D345" s="1616" t="s">
        <v>25221</v>
      </c>
      <c r="E345" s="1616"/>
      <c r="F345" s="1616"/>
      <c r="G345" s="1616"/>
      <c r="H345" s="1617"/>
      <c r="I345" s="1151" t="s">
        <v>75</v>
      </c>
      <c r="J345" s="1117">
        <v>1.5727</v>
      </c>
      <c r="K345" s="1151">
        <v>5.79</v>
      </c>
      <c r="L345" s="1152">
        <f>K345*(1+J345)</f>
        <v>14.9</v>
      </c>
      <c r="M345" s="1153">
        <v>16</v>
      </c>
      <c r="N345" s="1119">
        <f t="shared" ref="N345:N347" si="6">M345*L345</f>
        <v>238.4</v>
      </c>
    </row>
    <row r="346" spans="2:27" x14ac:dyDescent="0.3">
      <c r="B346" s="1115">
        <v>10140</v>
      </c>
      <c r="C346" s="1116" t="s">
        <v>4379</v>
      </c>
      <c r="D346" s="1604" t="s">
        <v>25222</v>
      </c>
      <c r="E346" s="1604"/>
      <c r="F346" s="1604"/>
      <c r="G346" s="1604"/>
      <c r="H346" s="1605"/>
      <c r="I346" s="1109" t="s">
        <v>75</v>
      </c>
      <c r="J346" s="1117">
        <v>1.5727</v>
      </c>
      <c r="K346" s="1109">
        <v>7.43</v>
      </c>
      <c r="L346" s="1109">
        <f>K346*(1+J346)</f>
        <v>19.12</v>
      </c>
      <c r="M346" s="1118">
        <v>20</v>
      </c>
      <c r="N346" s="1119">
        <f t="shared" si="6"/>
        <v>382.4</v>
      </c>
    </row>
    <row r="347" spans="2:27" x14ac:dyDescent="0.3">
      <c r="B347" s="1115">
        <v>10101</v>
      </c>
      <c r="C347" s="1116" t="s">
        <v>4379</v>
      </c>
      <c r="D347" s="1604" t="s">
        <v>25223</v>
      </c>
      <c r="E347" s="1604"/>
      <c r="F347" s="1604"/>
      <c r="G347" s="1604"/>
      <c r="H347" s="1605"/>
      <c r="I347" s="1109" t="s">
        <v>75</v>
      </c>
      <c r="J347" s="1117">
        <v>1.5727</v>
      </c>
      <c r="K347" s="1109">
        <v>6.27</v>
      </c>
      <c r="L347" s="1109">
        <f>K347*(1+J347)</f>
        <v>16.13</v>
      </c>
      <c r="M347" s="1118">
        <v>8</v>
      </c>
      <c r="N347" s="1119">
        <f t="shared" si="6"/>
        <v>129.04</v>
      </c>
    </row>
    <row r="348" spans="2:27" ht="15.75" thickBot="1" x14ac:dyDescent="0.35">
      <c r="B348" s="855"/>
      <c r="C348" s="954"/>
      <c r="D348" s="954"/>
      <c r="E348" s="954"/>
      <c r="F348" s="1110"/>
      <c r="G348" s="1110"/>
      <c r="H348" s="1110"/>
      <c r="I348" s="1110"/>
      <c r="J348" s="1110"/>
      <c r="K348" s="1110"/>
      <c r="L348" s="1110"/>
      <c r="M348" s="1111" t="s">
        <v>24684</v>
      </c>
      <c r="N348" s="1112">
        <f>SUM(N344:N347)</f>
        <v>1332.84</v>
      </c>
    </row>
    <row r="349" spans="2:27" ht="15.75" thickBot="1" x14ac:dyDescent="0.35">
      <c r="B349" s="850"/>
      <c r="C349" s="461"/>
      <c r="D349" s="461"/>
      <c r="E349" s="461"/>
      <c r="F349" s="461"/>
      <c r="G349" s="461"/>
      <c r="H349" s="461"/>
      <c r="I349" s="1120"/>
      <c r="J349" s="1120"/>
      <c r="K349" s="461"/>
      <c r="L349" s="461"/>
      <c r="M349" s="461"/>
      <c r="N349" s="1113"/>
    </row>
    <row r="350" spans="2:27" ht="30" x14ac:dyDescent="0.3">
      <c r="B350" s="1104" t="s">
        <v>0</v>
      </c>
      <c r="C350" s="1105" t="s">
        <v>24673</v>
      </c>
      <c r="D350" s="1593" t="s">
        <v>24685</v>
      </c>
      <c r="E350" s="1593"/>
      <c r="F350" s="1593"/>
      <c r="G350" s="1593"/>
      <c r="H350" s="1594"/>
      <c r="I350" s="1106" t="s">
        <v>2858</v>
      </c>
      <c r="J350" s="1106" t="s">
        <v>24686</v>
      </c>
      <c r="K350" s="1106" t="s">
        <v>24687</v>
      </c>
      <c r="L350" s="1614" t="s">
        <v>24688</v>
      </c>
      <c r="M350" s="1615"/>
      <c r="N350" s="1114" t="s">
        <v>24689</v>
      </c>
    </row>
    <row r="351" spans="2:27" x14ac:dyDescent="0.3">
      <c r="B351" s="1115"/>
      <c r="C351" s="1116"/>
      <c r="D351" s="1604"/>
      <c r="E351" s="1604"/>
      <c r="F351" s="1604"/>
      <c r="G351" s="1604"/>
      <c r="H351" s="1605"/>
      <c r="I351" s="1109"/>
      <c r="J351" s="1109"/>
      <c r="K351" s="1109"/>
      <c r="L351" s="1597"/>
      <c r="M351" s="1598"/>
      <c r="N351" s="1119">
        <f>N348*(I351/100)</f>
        <v>0</v>
      </c>
    </row>
    <row r="352" spans="2:27" x14ac:dyDescent="0.3">
      <c r="B352" s="850"/>
      <c r="C352" s="461"/>
      <c r="D352" s="461"/>
      <c r="E352" s="461"/>
      <c r="F352" s="1120"/>
      <c r="G352" s="1120"/>
      <c r="H352" s="1120"/>
      <c r="I352" s="1120"/>
      <c r="J352" s="1120"/>
      <c r="K352" s="1120"/>
      <c r="L352" s="1120"/>
      <c r="M352" s="1121" t="s">
        <v>24690</v>
      </c>
      <c r="N352" s="1122">
        <f>SUM(N351:N351)</f>
        <v>0</v>
      </c>
    </row>
    <row r="353" spans="2:14" x14ac:dyDescent="0.3">
      <c r="B353" s="850"/>
      <c r="C353" s="461"/>
      <c r="D353" s="461"/>
      <c r="E353" s="461"/>
      <c r="F353" s="461"/>
      <c r="G353" s="461"/>
      <c r="H353" s="461"/>
      <c r="I353" s="461"/>
      <c r="J353" s="461"/>
      <c r="K353" s="461"/>
      <c r="L353" s="461"/>
      <c r="M353" s="461"/>
      <c r="N353" s="1113"/>
    </row>
    <row r="354" spans="2:14" x14ac:dyDescent="0.3">
      <c r="B354" s="850"/>
      <c r="C354" s="461"/>
      <c r="D354" s="461"/>
      <c r="E354" s="461"/>
      <c r="F354" s="1120"/>
      <c r="G354" s="1120"/>
      <c r="H354" s="1120"/>
      <c r="I354" s="863"/>
      <c r="J354" s="863"/>
      <c r="K354" s="863"/>
      <c r="L354" s="863"/>
      <c r="M354" s="1121" t="s">
        <v>24691</v>
      </c>
      <c r="N354" s="1123">
        <f>N341+N348+N352</f>
        <v>1332.84</v>
      </c>
    </row>
    <row r="355" spans="2:14" x14ac:dyDescent="0.3">
      <c r="B355" s="850"/>
      <c r="C355" s="461"/>
      <c r="D355" s="461"/>
      <c r="E355" s="461"/>
      <c r="F355" s="1120"/>
      <c r="G355" s="1120"/>
      <c r="H355" s="1120"/>
      <c r="I355" s="1120"/>
      <c r="J355" s="1124"/>
      <c r="K355" s="1124"/>
      <c r="L355" s="1124"/>
      <c r="M355" s="1125" t="s">
        <v>24692</v>
      </c>
      <c r="N355" s="1123">
        <v>1</v>
      </c>
    </row>
    <row r="356" spans="2:14" ht="15.75" thickBot="1" x14ac:dyDescent="0.35">
      <c r="B356" s="855"/>
      <c r="C356" s="954"/>
      <c r="D356" s="954"/>
      <c r="E356" s="954"/>
      <c r="F356" s="1110"/>
      <c r="G356" s="1110"/>
      <c r="H356" s="1110"/>
      <c r="I356" s="1110"/>
      <c r="J356" s="1110"/>
      <c r="K356" s="1110"/>
      <c r="L356" s="1110"/>
      <c r="M356" s="1111" t="s">
        <v>24693</v>
      </c>
      <c r="N356" s="1126">
        <f>TRUNC(N354/N355,2)</f>
        <v>1332.84</v>
      </c>
    </row>
    <row r="357" spans="2:14" ht="15.75" thickBot="1" x14ac:dyDescent="0.35">
      <c r="B357" s="850"/>
      <c r="C357" s="461"/>
      <c r="D357" s="461"/>
      <c r="E357" s="461"/>
      <c r="F357" s="461"/>
      <c r="G357" s="461"/>
      <c r="H357" s="461"/>
      <c r="I357" s="461"/>
      <c r="J357" s="461"/>
      <c r="K357" s="461"/>
      <c r="L357" s="461"/>
      <c r="M357" s="461"/>
      <c r="N357" s="1113"/>
    </row>
    <row r="358" spans="2:14" ht="30" x14ac:dyDescent="0.3">
      <c r="B358" s="1104" t="s">
        <v>0</v>
      </c>
      <c r="C358" s="1105" t="s">
        <v>24673</v>
      </c>
      <c r="D358" s="1593" t="s">
        <v>24694</v>
      </c>
      <c r="E358" s="1593"/>
      <c r="F358" s="1593"/>
      <c r="G358" s="1593"/>
      <c r="H358" s="1593"/>
      <c r="I358" s="1594"/>
      <c r="J358" s="1106" t="s">
        <v>3686</v>
      </c>
      <c r="K358" s="1106" t="s">
        <v>24695</v>
      </c>
      <c r="L358" s="1614" t="s">
        <v>24683</v>
      </c>
      <c r="M358" s="1615"/>
      <c r="N358" s="1114" t="s">
        <v>24689</v>
      </c>
    </row>
    <row r="359" spans="2:14" x14ac:dyDescent="0.3">
      <c r="B359" s="1115">
        <v>34360</v>
      </c>
      <c r="C359" s="1116" t="s">
        <v>24706</v>
      </c>
      <c r="D359" s="1604" t="s">
        <v>25199</v>
      </c>
      <c r="E359" s="1604"/>
      <c r="F359" s="1604"/>
      <c r="G359" s="1604"/>
      <c r="H359" s="1604"/>
      <c r="I359" s="1605"/>
      <c r="J359" s="1109" t="s">
        <v>77</v>
      </c>
      <c r="K359" s="1143">
        <v>45.65</v>
      </c>
      <c r="L359" s="1597">
        <v>213.57</v>
      </c>
      <c r="M359" s="1598"/>
      <c r="N359" s="1119">
        <f>K359*L359</f>
        <v>9749.4699999999993</v>
      </c>
    </row>
    <row r="360" spans="2:14" x14ac:dyDescent="0.3">
      <c r="B360" s="1115">
        <v>38021</v>
      </c>
      <c r="C360" s="1116" t="s">
        <v>4379</v>
      </c>
      <c r="D360" s="1604" t="s">
        <v>25200</v>
      </c>
      <c r="E360" s="1604"/>
      <c r="F360" s="1604"/>
      <c r="G360" s="1604"/>
      <c r="H360" s="1604"/>
      <c r="I360" s="1605"/>
      <c r="J360" s="1109" t="s">
        <v>85</v>
      </c>
      <c r="K360" s="1143">
        <v>84.65</v>
      </c>
      <c r="L360" s="1597">
        <v>8.1</v>
      </c>
      <c r="M360" s="1598"/>
      <c r="N360" s="1119">
        <f t="shared" ref="N360:N365" si="7">K360*L360</f>
        <v>685.67</v>
      </c>
    </row>
    <row r="361" spans="2:14" x14ac:dyDescent="0.3">
      <c r="B361" s="1115">
        <v>37564</v>
      </c>
      <c r="C361" s="1116" t="s">
        <v>4379</v>
      </c>
      <c r="D361" s="1604" t="s">
        <v>25201</v>
      </c>
      <c r="E361" s="1604"/>
      <c r="F361" s="1604"/>
      <c r="G361" s="1604"/>
      <c r="H361" s="1604"/>
      <c r="I361" s="1605"/>
      <c r="J361" s="1109" t="s">
        <v>85</v>
      </c>
      <c r="K361" s="1143">
        <v>30.03</v>
      </c>
      <c r="L361" s="1597">
        <v>2.5</v>
      </c>
      <c r="M361" s="1598"/>
      <c r="N361" s="1119">
        <f t="shared" si="7"/>
        <v>75.08</v>
      </c>
    </row>
    <row r="362" spans="2:14" ht="30" customHeight="1" x14ac:dyDescent="0.3">
      <c r="B362" s="1115">
        <v>37509</v>
      </c>
      <c r="C362" s="1116" t="s">
        <v>4379</v>
      </c>
      <c r="D362" s="1604" t="s">
        <v>25202</v>
      </c>
      <c r="E362" s="1604"/>
      <c r="F362" s="1604"/>
      <c r="G362" s="1604"/>
      <c r="H362" s="1604"/>
      <c r="I362" s="1605"/>
      <c r="J362" s="1109" t="s">
        <v>85</v>
      </c>
      <c r="K362" s="1143">
        <v>94.82</v>
      </c>
      <c r="L362" s="1597">
        <v>10.8</v>
      </c>
      <c r="M362" s="1598"/>
      <c r="N362" s="1119">
        <f t="shared" si="7"/>
        <v>1024.06</v>
      </c>
    </row>
    <row r="363" spans="2:14" x14ac:dyDescent="0.3">
      <c r="B363" s="1115">
        <v>38024</v>
      </c>
      <c r="C363" s="1116" t="s">
        <v>4379</v>
      </c>
      <c r="D363" s="1604" t="s">
        <v>25203</v>
      </c>
      <c r="E363" s="1604"/>
      <c r="F363" s="1604"/>
      <c r="G363" s="1604"/>
      <c r="H363" s="1604"/>
      <c r="I363" s="1605"/>
      <c r="J363" s="1109" t="s">
        <v>24804</v>
      </c>
      <c r="K363" s="1143">
        <v>6.24</v>
      </c>
      <c r="L363" s="1597">
        <v>2</v>
      </c>
      <c r="M363" s="1598"/>
      <c r="N363" s="1119">
        <f t="shared" si="7"/>
        <v>12.48</v>
      </c>
    </row>
    <row r="364" spans="2:14" x14ac:dyDescent="0.3">
      <c r="B364" s="1115">
        <v>26618</v>
      </c>
      <c r="C364" s="1116" t="s">
        <v>4379</v>
      </c>
      <c r="D364" s="1604" t="s">
        <v>25232</v>
      </c>
      <c r="E364" s="1604"/>
      <c r="F364" s="1604"/>
      <c r="G364" s="1604"/>
      <c r="H364" s="1604"/>
      <c r="I364" s="1605"/>
      <c r="J364" s="1109" t="s">
        <v>24804</v>
      </c>
      <c r="K364" s="1143">
        <v>18.03</v>
      </c>
      <c r="L364" s="1597">
        <v>200</v>
      </c>
      <c r="M364" s="1598"/>
      <c r="N364" s="1119">
        <f t="shared" si="7"/>
        <v>3606</v>
      </c>
    </row>
    <row r="365" spans="2:14" x14ac:dyDescent="0.3">
      <c r="B365" s="1115">
        <v>26508</v>
      </c>
      <c r="C365" s="1116" t="s">
        <v>4379</v>
      </c>
      <c r="D365" s="1604" t="s">
        <v>25233</v>
      </c>
      <c r="E365" s="1604"/>
      <c r="F365" s="1604"/>
      <c r="G365" s="1604"/>
      <c r="H365" s="1604"/>
      <c r="I365" s="1605"/>
      <c r="J365" s="1109" t="s">
        <v>82</v>
      </c>
      <c r="K365" s="1143">
        <v>11.43</v>
      </c>
      <c r="L365" s="1597">
        <v>30</v>
      </c>
      <c r="M365" s="1598"/>
      <c r="N365" s="1119">
        <f t="shared" si="7"/>
        <v>342.9</v>
      </c>
    </row>
    <row r="366" spans="2:14" x14ac:dyDescent="0.3">
      <c r="B366" s="1115"/>
      <c r="C366" s="1116"/>
      <c r="D366" s="1144"/>
      <c r="E366" s="1144"/>
      <c r="F366" s="1144"/>
      <c r="G366" s="1144"/>
      <c r="H366" s="1144"/>
      <c r="I366" s="1145"/>
      <c r="J366" s="1109"/>
      <c r="K366" s="1109"/>
      <c r="L366" s="1597"/>
      <c r="M366" s="1598"/>
      <c r="N366" s="1119"/>
    </row>
    <row r="367" spans="2:14" ht="15.75" thickBot="1" x14ac:dyDescent="0.35">
      <c r="B367" s="855"/>
      <c r="C367" s="954"/>
      <c r="D367" s="954"/>
      <c r="E367" s="954"/>
      <c r="F367" s="1110"/>
      <c r="G367" s="1110"/>
      <c r="H367" s="1110"/>
      <c r="I367" s="1110"/>
      <c r="J367" s="1110"/>
      <c r="K367" s="1110"/>
      <c r="L367" s="1110"/>
      <c r="M367" s="1111" t="s">
        <v>24696</v>
      </c>
      <c r="N367" s="1112">
        <f>SUM(N359:N365)</f>
        <v>15495.66</v>
      </c>
    </row>
    <row r="368" spans="2:14" ht="15.75" thickBot="1" x14ac:dyDescent="0.35">
      <c r="B368" s="850"/>
      <c r="C368" s="461"/>
      <c r="D368" s="461"/>
      <c r="E368" s="461"/>
      <c r="F368" s="461"/>
      <c r="G368" s="461"/>
      <c r="H368" s="461"/>
      <c r="I368" s="461"/>
      <c r="J368" s="461"/>
      <c r="K368" s="461"/>
      <c r="L368" s="461"/>
      <c r="M368" s="461"/>
      <c r="N368" s="1113"/>
    </row>
    <row r="369" spans="2:14" ht="30" x14ac:dyDescent="0.3">
      <c r="B369" s="1104" t="s">
        <v>0</v>
      </c>
      <c r="C369" s="1106" t="s">
        <v>24673</v>
      </c>
      <c r="D369" s="1593" t="s">
        <v>24697</v>
      </c>
      <c r="E369" s="1593"/>
      <c r="F369" s="1593"/>
      <c r="G369" s="1593"/>
      <c r="H369" s="1593"/>
      <c r="I369" s="1594"/>
      <c r="J369" s="1106" t="s">
        <v>3686</v>
      </c>
      <c r="K369" s="1106" t="s">
        <v>24695</v>
      </c>
      <c r="L369" s="1614" t="s">
        <v>24683</v>
      </c>
      <c r="M369" s="1615"/>
      <c r="N369" s="1114" t="s">
        <v>24689</v>
      </c>
    </row>
    <row r="370" spans="2:14" x14ac:dyDescent="0.3">
      <c r="B370" s="1115"/>
      <c r="C370" s="1116"/>
      <c r="D370" s="1604"/>
      <c r="E370" s="1604"/>
      <c r="F370" s="1604"/>
      <c r="G370" s="1604"/>
      <c r="H370" s="1604"/>
      <c r="I370" s="1605"/>
      <c r="J370" s="462"/>
      <c r="K370" s="462"/>
      <c r="L370" s="1612"/>
      <c r="M370" s="1613"/>
      <c r="N370" s="1130"/>
    </row>
    <row r="371" spans="2:14" ht="15.75" thickBot="1" x14ac:dyDescent="0.35">
      <c r="B371" s="855"/>
      <c r="C371" s="954"/>
      <c r="D371" s="954"/>
      <c r="E371" s="954"/>
      <c r="F371" s="1110"/>
      <c r="G371" s="1110"/>
      <c r="H371" s="1110"/>
      <c r="I371" s="1110"/>
      <c r="J371" s="1110"/>
      <c r="K371" s="1110"/>
      <c r="L371" s="1110"/>
      <c r="M371" s="1111" t="s">
        <v>24698</v>
      </c>
      <c r="N371" s="1112">
        <f>SUM(N370:N370)</f>
        <v>0</v>
      </c>
    </row>
    <row r="372" spans="2:14" ht="15.75" thickBot="1" x14ac:dyDescent="0.35">
      <c r="B372" s="850"/>
      <c r="C372" s="461"/>
      <c r="D372" s="461"/>
      <c r="E372" s="461"/>
      <c r="F372" s="461"/>
      <c r="G372" s="461"/>
      <c r="H372" s="461"/>
      <c r="I372" s="461"/>
      <c r="J372" s="461"/>
      <c r="K372" s="461"/>
      <c r="L372" s="461"/>
      <c r="M372" s="461"/>
      <c r="N372" s="1113"/>
    </row>
    <row r="373" spans="2:14" ht="30" x14ac:dyDescent="0.3">
      <c r="B373" s="1104" t="s">
        <v>0</v>
      </c>
      <c r="C373" s="1106" t="s">
        <v>24673</v>
      </c>
      <c r="D373" s="1593" t="s">
        <v>24699</v>
      </c>
      <c r="E373" s="1593"/>
      <c r="F373" s="1593"/>
      <c r="G373" s="1594"/>
      <c r="H373" s="1106" t="s">
        <v>3686</v>
      </c>
      <c r="I373" s="1106" t="s">
        <v>24700</v>
      </c>
      <c r="J373" s="1106" t="s">
        <v>24701</v>
      </c>
      <c r="K373" s="1106" t="s">
        <v>24695</v>
      </c>
      <c r="L373" s="1614" t="s">
        <v>24683</v>
      </c>
      <c r="M373" s="1615"/>
      <c r="N373" s="1114" t="s">
        <v>24689</v>
      </c>
    </row>
    <row r="374" spans="2:14" x14ac:dyDescent="0.3">
      <c r="B374" s="1115"/>
      <c r="C374" s="1116"/>
      <c r="D374" s="1595"/>
      <c r="E374" s="1595"/>
      <c r="F374" s="1595"/>
      <c r="G374" s="1595"/>
      <c r="H374" s="1109"/>
      <c r="I374" s="1109"/>
      <c r="J374" s="1109"/>
      <c r="K374" s="1109"/>
      <c r="L374" s="1597"/>
      <c r="M374" s="1598"/>
      <c r="N374" s="1119"/>
    </row>
    <row r="375" spans="2:14" x14ac:dyDescent="0.3">
      <c r="B375" s="1115"/>
      <c r="C375" s="1116"/>
      <c r="D375" s="1595"/>
      <c r="E375" s="1595"/>
      <c r="F375" s="1595"/>
      <c r="G375" s="1595"/>
      <c r="H375" s="1109"/>
      <c r="I375" s="1109"/>
      <c r="J375" s="1109"/>
      <c r="K375" s="1109"/>
      <c r="L375" s="1597"/>
      <c r="M375" s="1598"/>
      <c r="N375" s="1119"/>
    </row>
    <row r="376" spans="2:14" x14ac:dyDescent="0.3">
      <c r="B376" s="1115"/>
      <c r="C376" s="1116"/>
      <c r="D376" s="1595"/>
      <c r="E376" s="1595"/>
      <c r="F376" s="1595"/>
      <c r="G376" s="1595"/>
      <c r="H376" s="1109"/>
      <c r="I376" s="1109"/>
      <c r="J376" s="1109"/>
      <c r="K376" s="1109"/>
      <c r="L376" s="1597"/>
      <c r="M376" s="1598"/>
      <c r="N376" s="1119"/>
    </row>
    <row r="377" spans="2:14" x14ac:dyDescent="0.3">
      <c r="B377" s="850"/>
      <c r="C377" s="461"/>
      <c r="D377" s="461"/>
      <c r="E377" s="461"/>
      <c r="F377" s="1120"/>
      <c r="G377" s="1120"/>
      <c r="H377" s="1120"/>
      <c r="I377" s="1120"/>
      <c r="J377" s="1120"/>
      <c r="K377" s="1120"/>
      <c r="L377" s="1120"/>
      <c r="M377" s="1121" t="s">
        <v>24702</v>
      </c>
      <c r="N377" s="1122">
        <f>SUM(N374:N376)</f>
        <v>0</v>
      </c>
    </row>
    <row r="378" spans="2:14" x14ac:dyDescent="0.3">
      <c r="B378" s="850"/>
      <c r="C378" s="461"/>
      <c r="D378" s="461"/>
      <c r="E378" s="461"/>
      <c r="F378" s="461"/>
      <c r="G378" s="461"/>
      <c r="H378" s="461"/>
      <c r="I378" s="461"/>
      <c r="J378" s="461"/>
      <c r="K378" s="461"/>
      <c r="L378" s="461"/>
      <c r="M378" s="461"/>
      <c r="N378" s="1113"/>
    </row>
    <row r="379" spans="2:14" x14ac:dyDescent="0.3">
      <c r="B379" s="1131"/>
      <c r="C379" s="1132"/>
      <c r="D379" s="1132"/>
      <c r="E379" s="1132"/>
      <c r="F379" s="1133"/>
      <c r="G379" s="1133"/>
      <c r="H379" s="1133"/>
      <c r="I379" s="1133"/>
      <c r="J379" s="1133"/>
      <c r="K379" s="1133"/>
      <c r="L379" s="1133"/>
      <c r="M379" s="1134" t="s">
        <v>24703</v>
      </c>
      <c r="N379" s="1123">
        <f>N356+N367+N371+N377</f>
        <v>16828.5</v>
      </c>
    </row>
    <row r="380" spans="2:14" x14ac:dyDescent="0.3">
      <c r="B380" s="850"/>
      <c r="C380" s="461"/>
      <c r="D380" s="461"/>
      <c r="E380" s="461"/>
      <c r="F380" s="1120"/>
      <c r="G380" s="1120"/>
      <c r="H380" s="1120"/>
      <c r="I380" s="1120"/>
      <c r="J380" s="1120"/>
      <c r="K380" s="1120"/>
      <c r="L380" s="1120"/>
      <c r="M380" s="1136">
        <f>'QUIOSQUE - MOD 01'!I3</f>
        <v>0.28220000000000001</v>
      </c>
      <c r="N380" s="1123">
        <f>ROUND(N379*M380,2)</f>
        <v>4749</v>
      </c>
    </row>
    <row r="381" spans="2:14" ht="15.75" thickBot="1" x14ac:dyDescent="0.35">
      <c r="B381" s="1599" t="s">
        <v>24704</v>
      </c>
      <c r="C381" s="1600"/>
      <c r="D381" s="1600"/>
      <c r="E381" s="1600"/>
      <c r="F381" s="1600"/>
      <c r="G381" s="1600"/>
      <c r="H381" s="1600"/>
      <c r="I381" s="1600"/>
      <c r="J381" s="1600"/>
      <c r="K381" s="1600"/>
      <c r="L381" s="1600"/>
      <c r="M381" s="1601"/>
      <c r="N381" s="1126">
        <f>N379+N380</f>
        <v>21577.5</v>
      </c>
    </row>
    <row r="384" spans="2:14" ht="15.75" thickBot="1" x14ac:dyDescent="0.35"/>
    <row r="385" spans="2:14" ht="42.75" customHeight="1" x14ac:dyDescent="0.3">
      <c r="B385" s="1607" t="s">
        <v>24918</v>
      </c>
      <c r="C385" s="1608"/>
      <c r="D385" s="1609"/>
      <c r="E385" s="1610" t="s">
        <v>24669</v>
      </c>
      <c r="F385" s="1610"/>
      <c r="G385" s="1610"/>
      <c r="H385" s="1610"/>
      <c r="I385" s="1610"/>
      <c r="J385" s="1610"/>
      <c r="K385" s="1610"/>
      <c r="L385" s="1623"/>
      <c r="M385" s="1576"/>
      <c r="N385" s="1577"/>
    </row>
    <row r="386" spans="2:14" ht="31.5" customHeight="1" x14ac:dyDescent="0.3">
      <c r="B386" s="1103" t="s">
        <v>24670</v>
      </c>
      <c r="C386" s="1586" t="s">
        <v>25234</v>
      </c>
      <c r="D386" s="1586"/>
      <c r="E386" s="1586"/>
      <c r="F386" s="1586"/>
      <c r="G386" s="1586"/>
      <c r="H386" s="1586"/>
      <c r="I386" s="1586"/>
      <c r="J386" s="1586"/>
      <c r="K386" s="1586"/>
      <c r="L386" s="1586"/>
      <c r="M386" s="1586"/>
      <c r="N386" s="1587"/>
    </row>
    <row r="387" spans="2:14" x14ac:dyDescent="0.3">
      <c r="B387" s="1103" t="s">
        <v>24671</v>
      </c>
      <c r="C387" s="1588" t="s">
        <v>5</v>
      </c>
      <c r="D387" s="1588"/>
      <c r="E387" s="1588"/>
      <c r="F387" s="1588"/>
      <c r="G387" s="1588"/>
      <c r="H387" s="1588"/>
      <c r="I387" s="1588"/>
      <c r="J387" s="1588"/>
      <c r="K387" s="1588"/>
      <c r="L387" s="1588"/>
      <c r="M387" s="1588"/>
      <c r="N387" s="1589"/>
    </row>
    <row r="388" spans="2:14" ht="15.75" thickBot="1" x14ac:dyDescent="0.35">
      <c r="B388" s="1103" t="s">
        <v>24672</v>
      </c>
      <c r="C388" s="1590">
        <v>44501</v>
      </c>
      <c r="D388" s="1591"/>
      <c r="E388" s="1591"/>
      <c r="F388" s="1591"/>
      <c r="G388" s="1591"/>
      <c r="H388" s="1591"/>
      <c r="I388" s="1591"/>
      <c r="J388" s="1591"/>
      <c r="K388" s="1591"/>
      <c r="L388" s="1591"/>
      <c r="M388" s="1591"/>
      <c r="N388" s="1592"/>
    </row>
    <row r="389" spans="2:14" ht="30" x14ac:dyDescent="0.3">
      <c r="B389" s="1104" t="s">
        <v>0</v>
      </c>
      <c r="C389" s="1105" t="s">
        <v>24673</v>
      </c>
      <c r="D389" s="1593" t="s">
        <v>24674</v>
      </c>
      <c r="E389" s="1593"/>
      <c r="F389" s="1593"/>
      <c r="G389" s="1594"/>
      <c r="H389" s="1106" t="s">
        <v>111</v>
      </c>
      <c r="I389" s="1106" t="s">
        <v>24675</v>
      </c>
      <c r="J389" s="1106" t="s">
        <v>24676</v>
      </c>
      <c r="K389" s="1106" t="s">
        <v>24677</v>
      </c>
      <c r="L389" s="1614" t="s">
        <v>24678</v>
      </c>
      <c r="M389" s="1615"/>
      <c r="N389" s="1114" t="s">
        <v>24679</v>
      </c>
    </row>
    <row r="390" spans="2:14" x14ac:dyDescent="0.3">
      <c r="B390" s="1107"/>
      <c r="C390" s="1108"/>
      <c r="D390" s="1595"/>
      <c r="E390" s="1595"/>
      <c r="F390" s="1595"/>
      <c r="G390" s="1596"/>
      <c r="H390" s="1109"/>
      <c r="I390" s="1109"/>
      <c r="J390" s="1109"/>
      <c r="K390" s="1109"/>
      <c r="L390" s="1597"/>
      <c r="M390" s="1598"/>
      <c r="N390" s="1119"/>
    </row>
    <row r="391" spans="2:14" x14ac:dyDescent="0.3">
      <c r="B391" s="1107"/>
      <c r="C391" s="1108"/>
      <c r="D391" s="1595"/>
      <c r="E391" s="1595"/>
      <c r="F391" s="1595"/>
      <c r="G391" s="1596"/>
      <c r="H391" s="1109"/>
      <c r="I391" s="1109"/>
      <c r="J391" s="1109"/>
      <c r="K391" s="1109"/>
      <c r="L391" s="1597"/>
      <c r="M391" s="1598"/>
      <c r="N391" s="1119"/>
    </row>
    <row r="392" spans="2:14" x14ac:dyDescent="0.3">
      <c r="B392" s="1107"/>
      <c r="C392" s="1108"/>
      <c r="D392" s="1595"/>
      <c r="E392" s="1595"/>
      <c r="F392" s="1595"/>
      <c r="G392" s="1596"/>
      <c r="H392" s="1109"/>
      <c r="I392" s="1109"/>
      <c r="J392" s="1109"/>
      <c r="K392" s="1109"/>
      <c r="L392" s="1597"/>
      <c r="M392" s="1598"/>
      <c r="N392" s="1119"/>
    </row>
    <row r="393" spans="2:14" ht="15.75" thickBot="1" x14ac:dyDescent="0.35">
      <c r="B393" s="855"/>
      <c r="C393" s="954"/>
      <c r="D393" s="954"/>
      <c r="E393" s="954"/>
      <c r="F393" s="1110"/>
      <c r="G393" s="1110"/>
      <c r="H393" s="1110"/>
      <c r="I393" s="1110"/>
      <c r="J393" s="1110"/>
      <c r="K393" s="1110"/>
      <c r="L393" s="1110"/>
      <c r="M393" s="1111" t="s">
        <v>24680</v>
      </c>
      <c r="N393" s="1112">
        <f>SUM(N390:N392)</f>
        <v>0</v>
      </c>
    </row>
    <row r="394" spans="2:14" ht="15.75" thickBot="1" x14ac:dyDescent="0.35">
      <c r="B394" s="850"/>
      <c r="C394" s="461"/>
      <c r="D394" s="461"/>
      <c r="E394" s="461"/>
      <c r="F394" s="461"/>
      <c r="G394" s="461"/>
      <c r="H394" s="461"/>
      <c r="I394" s="461"/>
      <c r="J394" s="461"/>
      <c r="K394" s="461"/>
      <c r="L394" s="461"/>
      <c r="M394" s="461"/>
      <c r="N394" s="1113"/>
    </row>
    <row r="395" spans="2:14" ht="45" x14ac:dyDescent="0.3">
      <c r="B395" s="1104" t="s">
        <v>0</v>
      </c>
      <c r="C395" s="1105" t="s">
        <v>24673</v>
      </c>
      <c r="D395" s="1593" t="s">
        <v>24681</v>
      </c>
      <c r="E395" s="1593"/>
      <c r="F395" s="1593"/>
      <c r="G395" s="1593"/>
      <c r="H395" s="1594"/>
      <c r="I395" s="1106" t="s">
        <v>3686</v>
      </c>
      <c r="J395" s="1106" t="s">
        <v>24682</v>
      </c>
      <c r="K395" s="1106" t="s">
        <v>25177</v>
      </c>
      <c r="L395" s="1106" t="s">
        <v>25178</v>
      </c>
      <c r="M395" s="1106" t="s">
        <v>24683</v>
      </c>
      <c r="N395" s="1114" t="s">
        <v>24679</v>
      </c>
    </row>
    <row r="396" spans="2:14" x14ac:dyDescent="0.3">
      <c r="B396" s="1115">
        <v>10139</v>
      </c>
      <c r="C396" s="1116" t="s">
        <v>4379</v>
      </c>
      <c r="D396" s="1604" t="s">
        <v>25195</v>
      </c>
      <c r="E396" s="1604"/>
      <c r="F396" s="1604"/>
      <c r="G396" s="1604"/>
      <c r="H396" s="1605"/>
      <c r="I396" s="1109" t="s">
        <v>75</v>
      </c>
      <c r="J396" s="1117">
        <v>1.5727</v>
      </c>
      <c r="K396" s="1109">
        <v>7.43</v>
      </c>
      <c r="L396" s="1109">
        <f>K396*(1+J396)</f>
        <v>19.12</v>
      </c>
      <c r="M396" s="1118">
        <v>0.75</v>
      </c>
      <c r="N396" s="1119">
        <f>M396*L396</f>
        <v>14.34</v>
      </c>
    </row>
    <row r="397" spans="2:14" x14ac:dyDescent="0.3">
      <c r="B397" s="1115">
        <v>10146</v>
      </c>
      <c r="C397" s="1116" t="s">
        <v>4379</v>
      </c>
      <c r="D397" s="1604" t="s">
        <v>25187</v>
      </c>
      <c r="E397" s="1604"/>
      <c r="F397" s="1604"/>
      <c r="G397" s="1604"/>
      <c r="H397" s="1605"/>
      <c r="I397" s="1109" t="s">
        <v>75</v>
      </c>
      <c r="J397" s="1117">
        <v>1.5727</v>
      </c>
      <c r="K397" s="1109">
        <v>5.46</v>
      </c>
      <c r="L397" s="1109">
        <f>K397*(1+J397)</f>
        <v>14.05</v>
      </c>
      <c r="M397" s="1118">
        <v>0.95</v>
      </c>
      <c r="N397" s="1119">
        <f>M397*L397</f>
        <v>13.35</v>
      </c>
    </row>
    <row r="398" spans="2:14" ht="15.75" thickBot="1" x14ac:dyDescent="0.35">
      <c r="B398" s="855"/>
      <c r="C398" s="954"/>
      <c r="D398" s="954"/>
      <c r="E398" s="954"/>
      <c r="F398" s="1110"/>
      <c r="G398" s="1110"/>
      <c r="H398" s="1110"/>
      <c r="I398" s="1110"/>
      <c r="J398" s="1110"/>
      <c r="K398" s="1110"/>
      <c r="L398" s="1110"/>
      <c r="M398" s="1111" t="s">
        <v>24684</v>
      </c>
      <c r="N398" s="1112">
        <f>SUM(N396:N397)</f>
        <v>27.69</v>
      </c>
    </row>
    <row r="399" spans="2:14" ht="15.75" thickBot="1" x14ac:dyDescent="0.35">
      <c r="B399" s="850"/>
      <c r="C399" s="461"/>
      <c r="D399" s="461"/>
      <c r="E399" s="461"/>
      <c r="F399" s="461"/>
      <c r="G399" s="461"/>
      <c r="H399" s="461"/>
      <c r="I399" s="1120"/>
      <c r="J399" s="1120"/>
      <c r="K399" s="461"/>
      <c r="L399" s="461"/>
      <c r="M399" s="461"/>
      <c r="N399" s="1113"/>
    </row>
    <row r="400" spans="2:14" ht="30" x14ac:dyDescent="0.3">
      <c r="B400" s="1104" t="s">
        <v>0</v>
      </c>
      <c r="C400" s="1105" t="s">
        <v>24673</v>
      </c>
      <c r="D400" s="1593" t="s">
        <v>24685</v>
      </c>
      <c r="E400" s="1593"/>
      <c r="F400" s="1593"/>
      <c r="G400" s="1593"/>
      <c r="H400" s="1594"/>
      <c r="I400" s="1106" t="s">
        <v>2858</v>
      </c>
      <c r="J400" s="1106" t="s">
        <v>24686</v>
      </c>
      <c r="K400" s="1106" t="s">
        <v>24687</v>
      </c>
      <c r="L400" s="1614" t="s">
        <v>24688</v>
      </c>
      <c r="M400" s="1615"/>
      <c r="N400" s="1114" t="s">
        <v>24689</v>
      </c>
    </row>
    <row r="401" spans="2:14" x14ac:dyDescent="0.3">
      <c r="B401" s="1115">
        <v>2000</v>
      </c>
      <c r="C401" s="1116" t="s">
        <v>4389</v>
      </c>
      <c r="D401" s="1604" t="s">
        <v>25181</v>
      </c>
      <c r="E401" s="1604"/>
      <c r="F401" s="1604"/>
      <c r="G401" s="1604"/>
      <c r="H401" s="1605"/>
      <c r="I401" s="1109">
        <v>5</v>
      </c>
      <c r="J401" s="1109" t="s">
        <v>25182</v>
      </c>
      <c r="K401" s="1109"/>
      <c r="L401" s="1597"/>
      <c r="M401" s="1598"/>
      <c r="N401" s="1119">
        <f>N398*(I401/100)</f>
        <v>1.38</v>
      </c>
    </row>
    <row r="402" spans="2:14" x14ac:dyDescent="0.3">
      <c r="B402" s="850"/>
      <c r="C402" s="461"/>
      <c r="D402" s="461"/>
      <c r="E402" s="461"/>
      <c r="F402" s="1120"/>
      <c r="G402" s="1120"/>
      <c r="H402" s="1120"/>
      <c r="I402" s="1120"/>
      <c r="J402" s="1120"/>
      <c r="K402" s="1120"/>
      <c r="L402" s="1120"/>
      <c r="M402" s="1121" t="s">
        <v>24690</v>
      </c>
      <c r="N402" s="1122">
        <f>SUM(N401:N401)</f>
        <v>1.38</v>
      </c>
    </row>
    <row r="403" spans="2:14" x14ac:dyDescent="0.3">
      <c r="B403" s="850"/>
      <c r="C403" s="461"/>
      <c r="D403" s="461"/>
      <c r="E403" s="461"/>
      <c r="F403" s="461"/>
      <c r="G403" s="461"/>
      <c r="H403" s="461"/>
      <c r="I403" s="461"/>
      <c r="J403" s="461"/>
      <c r="K403" s="461"/>
      <c r="L403" s="461"/>
      <c r="M403" s="461"/>
      <c r="N403" s="1113"/>
    </row>
    <row r="404" spans="2:14" x14ac:dyDescent="0.3">
      <c r="B404" s="850"/>
      <c r="C404" s="461"/>
      <c r="D404" s="461"/>
      <c r="E404" s="461"/>
      <c r="F404" s="1120"/>
      <c r="G404" s="1120"/>
      <c r="H404" s="1120"/>
      <c r="I404" s="863"/>
      <c r="J404" s="863"/>
      <c r="K404" s="863"/>
      <c r="L404" s="863"/>
      <c r="M404" s="1121" t="s">
        <v>24691</v>
      </c>
      <c r="N404" s="1123">
        <f>N393+N398+N402</f>
        <v>29.07</v>
      </c>
    </row>
    <row r="405" spans="2:14" x14ac:dyDescent="0.3">
      <c r="B405" s="850"/>
      <c r="C405" s="461"/>
      <c r="D405" s="461"/>
      <c r="E405" s="461"/>
      <c r="F405" s="1120"/>
      <c r="G405" s="1120"/>
      <c r="H405" s="1120"/>
      <c r="I405" s="1120"/>
      <c r="J405" s="1124"/>
      <c r="K405" s="1124"/>
      <c r="L405" s="1124"/>
      <c r="M405" s="1125" t="s">
        <v>24692</v>
      </c>
      <c r="N405" s="1123">
        <v>1</v>
      </c>
    </row>
    <row r="406" spans="2:14" ht="15.75" thickBot="1" x14ac:dyDescent="0.35">
      <c r="B406" s="855"/>
      <c r="C406" s="954"/>
      <c r="D406" s="954"/>
      <c r="E406" s="954"/>
      <c r="F406" s="1110"/>
      <c r="G406" s="1110"/>
      <c r="H406" s="1110"/>
      <c r="I406" s="1110"/>
      <c r="J406" s="1110"/>
      <c r="K406" s="1110"/>
      <c r="L406" s="1110"/>
      <c r="M406" s="1111" t="s">
        <v>24693</v>
      </c>
      <c r="N406" s="1126">
        <f>TRUNC(N404/N405,2)</f>
        <v>29.07</v>
      </c>
    </row>
    <row r="407" spans="2:14" ht="15.75" thickBot="1" x14ac:dyDescent="0.35">
      <c r="B407" s="850"/>
      <c r="C407" s="461"/>
      <c r="D407" s="461"/>
      <c r="E407" s="461"/>
      <c r="F407" s="461"/>
      <c r="G407" s="461"/>
      <c r="H407" s="461"/>
      <c r="I407" s="461"/>
      <c r="J407" s="461"/>
      <c r="K407" s="461"/>
      <c r="L407" s="461"/>
      <c r="M407" s="461"/>
      <c r="N407" s="1113"/>
    </row>
    <row r="408" spans="2:14" ht="30" x14ac:dyDescent="0.3">
      <c r="B408" s="1104" t="s">
        <v>0</v>
      </c>
      <c r="C408" s="1105" t="s">
        <v>24673</v>
      </c>
      <c r="D408" s="1593" t="s">
        <v>24694</v>
      </c>
      <c r="E408" s="1593"/>
      <c r="F408" s="1593"/>
      <c r="G408" s="1593"/>
      <c r="H408" s="1593"/>
      <c r="I408" s="1594"/>
      <c r="J408" s="1106" t="s">
        <v>3686</v>
      </c>
      <c r="K408" s="1106" t="s">
        <v>24695</v>
      </c>
      <c r="L408" s="1614" t="s">
        <v>24683</v>
      </c>
      <c r="M408" s="1615"/>
      <c r="N408" s="1114" t="s">
        <v>24689</v>
      </c>
    </row>
    <row r="409" spans="2:14" x14ac:dyDescent="0.3">
      <c r="B409" s="1115">
        <v>20508</v>
      </c>
      <c r="C409" s="1116" t="s">
        <v>4379</v>
      </c>
      <c r="D409" s="1628" t="s">
        <v>25235</v>
      </c>
      <c r="E409" s="1604"/>
      <c r="F409" s="1604"/>
      <c r="G409" s="1604"/>
      <c r="H409" s="1604"/>
      <c r="I409" s="1605"/>
      <c r="J409" s="1109" t="s">
        <v>20</v>
      </c>
      <c r="K409" s="1109">
        <v>0.46</v>
      </c>
      <c r="L409" s="1635">
        <v>9.7200000000000006</v>
      </c>
      <c r="M409" s="1636"/>
      <c r="N409" s="1119">
        <f>L409*K409</f>
        <v>4.47</v>
      </c>
    </row>
    <row r="410" spans="2:14" x14ac:dyDescent="0.3">
      <c r="B410" s="1115">
        <v>24015</v>
      </c>
      <c r="C410" s="1116" t="s">
        <v>4379</v>
      </c>
      <c r="D410" s="1604" t="s">
        <v>25236</v>
      </c>
      <c r="E410" s="1604"/>
      <c r="F410" s="1604"/>
      <c r="G410" s="1604"/>
      <c r="H410" s="1604"/>
      <c r="I410" s="1605"/>
      <c r="J410" s="1109" t="s">
        <v>20</v>
      </c>
      <c r="K410" s="1109">
        <v>8.2899999999999991</v>
      </c>
      <c r="L410" s="1635">
        <v>0.4</v>
      </c>
      <c r="M410" s="1636"/>
      <c r="N410" s="1119">
        <f>L410*K410</f>
        <v>3.32</v>
      </c>
    </row>
    <row r="411" spans="2:14" ht="15.75" thickBot="1" x14ac:dyDescent="0.35">
      <c r="B411" s="855"/>
      <c r="C411" s="954"/>
      <c r="D411" s="954"/>
      <c r="E411" s="954"/>
      <c r="F411" s="1110"/>
      <c r="G411" s="1110"/>
      <c r="H411" s="1110"/>
      <c r="I411" s="1110"/>
      <c r="J411" s="1110"/>
      <c r="K411" s="1110"/>
      <c r="L411" s="1110"/>
      <c r="M411" s="1111" t="s">
        <v>24696</v>
      </c>
      <c r="N411" s="1112">
        <f>SUM(N409:N410)</f>
        <v>7.79</v>
      </c>
    </row>
    <row r="412" spans="2:14" ht="15.75" thickBot="1" x14ac:dyDescent="0.35">
      <c r="B412" s="850"/>
      <c r="C412" s="461"/>
      <c r="D412" s="461"/>
      <c r="E412" s="461"/>
      <c r="F412" s="461"/>
      <c r="G412" s="461"/>
      <c r="H412" s="461"/>
      <c r="I412" s="461"/>
      <c r="J412" s="461"/>
      <c r="K412" s="461"/>
      <c r="L412" s="461"/>
      <c r="M412" s="461"/>
      <c r="N412" s="1113"/>
    </row>
    <row r="413" spans="2:14" ht="30" x14ac:dyDescent="0.3">
      <c r="B413" s="1104" t="s">
        <v>0</v>
      </c>
      <c r="C413" s="1106" t="s">
        <v>24673</v>
      </c>
      <c r="D413" s="1593" t="s">
        <v>24697</v>
      </c>
      <c r="E413" s="1593"/>
      <c r="F413" s="1593"/>
      <c r="G413" s="1593"/>
      <c r="H413" s="1593"/>
      <c r="I413" s="1594"/>
      <c r="J413" s="1106" t="s">
        <v>3686</v>
      </c>
      <c r="K413" s="1106" t="s">
        <v>24695</v>
      </c>
      <c r="L413" s="1614" t="s">
        <v>24683</v>
      </c>
      <c r="M413" s="1615"/>
      <c r="N413" s="1114" t="s">
        <v>24689</v>
      </c>
    </row>
    <row r="414" spans="2:14" x14ac:dyDescent="0.3">
      <c r="B414" s="1115"/>
      <c r="C414" s="1116"/>
      <c r="D414" s="1604"/>
      <c r="E414" s="1604"/>
      <c r="F414" s="1604"/>
      <c r="G414" s="1604"/>
      <c r="H414" s="1604"/>
      <c r="I414" s="1605"/>
      <c r="J414" s="462"/>
      <c r="K414" s="462"/>
      <c r="L414" s="1612"/>
      <c r="M414" s="1613"/>
      <c r="N414" s="1130"/>
    </row>
    <row r="415" spans="2:14" ht="15.75" thickBot="1" x14ac:dyDescent="0.35">
      <c r="B415" s="855"/>
      <c r="C415" s="954"/>
      <c r="D415" s="954"/>
      <c r="E415" s="954"/>
      <c r="F415" s="1110"/>
      <c r="G415" s="1110"/>
      <c r="H415" s="1110"/>
      <c r="I415" s="1110"/>
      <c r="J415" s="1110"/>
      <c r="K415" s="1110"/>
      <c r="L415" s="1110"/>
      <c r="M415" s="1111" t="s">
        <v>24698</v>
      </c>
      <c r="N415" s="1112">
        <f>SUM(N414:N414)</f>
        <v>0</v>
      </c>
    </row>
    <row r="416" spans="2:14" ht="15.75" thickBot="1" x14ac:dyDescent="0.35">
      <c r="B416" s="850"/>
      <c r="C416" s="461"/>
      <c r="D416" s="461"/>
      <c r="E416" s="461"/>
      <c r="F416" s="461"/>
      <c r="G416" s="461"/>
      <c r="H416" s="461"/>
      <c r="I416" s="461"/>
      <c r="J416" s="461"/>
      <c r="K416" s="461"/>
      <c r="L416" s="461"/>
      <c r="M416" s="461"/>
      <c r="N416" s="1113"/>
    </row>
    <row r="417" spans="2:14" ht="30" x14ac:dyDescent="0.3">
      <c r="B417" s="1104" t="s">
        <v>0</v>
      </c>
      <c r="C417" s="1106" t="s">
        <v>24673</v>
      </c>
      <c r="D417" s="1593" t="s">
        <v>24699</v>
      </c>
      <c r="E417" s="1593"/>
      <c r="F417" s="1593"/>
      <c r="G417" s="1594"/>
      <c r="H417" s="1106" t="s">
        <v>3686</v>
      </c>
      <c r="I417" s="1106" t="s">
        <v>24700</v>
      </c>
      <c r="J417" s="1106" t="s">
        <v>24701</v>
      </c>
      <c r="K417" s="1106" t="s">
        <v>24695</v>
      </c>
      <c r="L417" s="1614" t="s">
        <v>24683</v>
      </c>
      <c r="M417" s="1615"/>
      <c r="N417" s="1114" t="s">
        <v>24689</v>
      </c>
    </row>
    <row r="418" spans="2:14" x14ac:dyDescent="0.3">
      <c r="B418" s="1115"/>
      <c r="C418" s="1116"/>
      <c r="D418" s="1595"/>
      <c r="E418" s="1595"/>
      <c r="F418" s="1595"/>
      <c r="G418" s="1595"/>
      <c r="H418" s="1109"/>
      <c r="I418" s="1109"/>
      <c r="J418" s="1109"/>
      <c r="K418" s="1109"/>
      <c r="L418" s="1597"/>
      <c r="M418" s="1598"/>
      <c r="N418" s="1119"/>
    </row>
    <row r="419" spans="2:14" x14ac:dyDescent="0.3">
      <c r="B419" s="1115"/>
      <c r="C419" s="1116"/>
      <c r="D419" s="1595"/>
      <c r="E419" s="1595"/>
      <c r="F419" s="1595"/>
      <c r="G419" s="1595"/>
      <c r="H419" s="1109"/>
      <c r="I419" s="1109"/>
      <c r="J419" s="1109"/>
      <c r="K419" s="1109"/>
      <c r="L419" s="1597"/>
      <c r="M419" s="1598"/>
      <c r="N419" s="1119"/>
    </row>
    <row r="420" spans="2:14" x14ac:dyDescent="0.3">
      <c r="B420" s="1115"/>
      <c r="C420" s="1116"/>
      <c r="D420" s="1595"/>
      <c r="E420" s="1595"/>
      <c r="F420" s="1595"/>
      <c r="G420" s="1595"/>
      <c r="H420" s="1109"/>
      <c r="I420" s="1109"/>
      <c r="J420" s="1109"/>
      <c r="K420" s="1109"/>
      <c r="L420" s="1597"/>
      <c r="M420" s="1598"/>
      <c r="N420" s="1119"/>
    </row>
    <row r="421" spans="2:14" x14ac:dyDescent="0.3">
      <c r="B421" s="850"/>
      <c r="C421" s="461"/>
      <c r="D421" s="461"/>
      <c r="E421" s="461"/>
      <c r="F421" s="1120"/>
      <c r="G421" s="1120"/>
      <c r="H421" s="1120"/>
      <c r="I421" s="1120"/>
      <c r="J421" s="1120"/>
      <c r="K421" s="1120"/>
      <c r="L421" s="1120"/>
      <c r="M421" s="1121" t="s">
        <v>24702</v>
      </c>
      <c r="N421" s="1122">
        <f>SUM(N418:N420)</f>
        <v>0</v>
      </c>
    </row>
    <row r="422" spans="2:14" x14ac:dyDescent="0.3">
      <c r="B422" s="850"/>
      <c r="C422" s="461"/>
      <c r="D422" s="461"/>
      <c r="E422" s="461"/>
      <c r="F422" s="461"/>
      <c r="G422" s="461"/>
      <c r="H422" s="461"/>
      <c r="I422" s="461"/>
      <c r="J422" s="461"/>
      <c r="K422" s="461"/>
      <c r="L422" s="461"/>
      <c r="M422" s="461"/>
      <c r="N422" s="1113"/>
    </row>
    <row r="423" spans="2:14" x14ac:dyDescent="0.3">
      <c r="B423" s="1131"/>
      <c r="C423" s="1132"/>
      <c r="D423" s="1132"/>
      <c r="E423" s="1132"/>
      <c r="F423" s="1133"/>
      <c r="G423" s="1133"/>
      <c r="H423" s="1133"/>
      <c r="I423" s="1133"/>
      <c r="J423" s="1133"/>
      <c r="K423" s="1133"/>
      <c r="L423" s="1133"/>
      <c r="M423" s="1134" t="s">
        <v>24703</v>
      </c>
      <c r="N423" s="1123">
        <f>N406+N411+N415+N421</f>
        <v>36.86</v>
      </c>
    </row>
    <row r="424" spans="2:14" x14ac:dyDescent="0.3">
      <c r="B424" s="850"/>
      <c r="C424" s="461"/>
      <c r="D424" s="461"/>
      <c r="E424" s="461"/>
      <c r="F424" s="1120"/>
      <c r="G424" s="1120"/>
      <c r="H424" s="1120"/>
      <c r="I424" s="1120"/>
      <c r="J424" s="1120"/>
      <c r="K424" s="1120"/>
      <c r="L424" s="1120"/>
      <c r="M424" s="1136">
        <f>'QUIOSQUE - MOD 01'!I3</f>
        <v>0.28220000000000001</v>
      </c>
      <c r="N424" s="1123">
        <f>ROUND(N423*M424,2)</f>
        <v>10.4</v>
      </c>
    </row>
    <row r="425" spans="2:14" ht="15.75" thickBot="1" x14ac:dyDescent="0.35">
      <c r="B425" s="1599" t="s">
        <v>24704</v>
      </c>
      <c r="C425" s="1600"/>
      <c r="D425" s="1600"/>
      <c r="E425" s="1600"/>
      <c r="F425" s="1600"/>
      <c r="G425" s="1600"/>
      <c r="H425" s="1600"/>
      <c r="I425" s="1600"/>
      <c r="J425" s="1600"/>
      <c r="K425" s="1600"/>
      <c r="L425" s="1600"/>
      <c r="M425" s="1601"/>
      <c r="N425" s="1126">
        <f>N423+N424</f>
        <v>47.26</v>
      </c>
    </row>
    <row r="428" spans="2:14" ht="15.75" thickBot="1" x14ac:dyDescent="0.35"/>
    <row r="429" spans="2:14" ht="43.5" customHeight="1" x14ac:dyDescent="0.3">
      <c r="B429" s="1607" t="s">
        <v>24775</v>
      </c>
      <c r="C429" s="1608"/>
      <c r="D429" s="1609"/>
      <c r="E429" s="1610" t="s">
        <v>24669</v>
      </c>
      <c r="F429" s="1610"/>
      <c r="G429" s="1610"/>
      <c r="H429" s="1610"/>
      <c r="I429" s="1610"/>
      <c r="J429" s="1610"/>
      <c r="K429" s="1610"/>
      <c r="L429" s="1146"/>
      <c r="M429" s="1611"/>
      <c r="N429" s="1577"/>
    </row>
    <row r="430" spans="2:14" x14ac:dyDescent="0.3">
      <c r="B430" s="1103" t="s">
        <v>24670</v>
      </c>
      <c r="C430" s="1586" t="s">
        <v>25237</v>
      </c>
      <c r="D430" s="1586"/>
      <c r="E430" s="1586"/>
      <c r="F430" s="1586"/>
      <c r="G430" s="1586"/>
      <c r="H430" s="1586"/>
      <c r="I430" s="1586"/>
      <c r="J430" s="1586"/>
      <c r="K430" s="1586"/>
      <c r="L430" s="1586"/>
      <c r="M430" s="1586"/>
      <c r="N430" s="1587"/>
    </row>
    <row r="431" spans="2:14" x14ac:dyDescent="0.3">
      <c r="B431" s="1103" t="s">
        <v>24671</v>
      </c>
      <c r="C431" s="1588" t="s">
        <v>5</v>
      </c>
      <c r="D431" s="1588"/>
      <c r="E431" s="1588"/>
      <c r="F431" s="1588"/>
      <c r="G431" s="1588"/>
      <c r="H431" s="1588"/>
      <c r="I431" s="1588"/>
      <c r="J431" s="1588"/>
      <c r="K431" s="1588"/>
      <c r="L431" s="1588"/>
      <c r="M431" s="1588"/>
      <c r="N431" s="1589"/>
    </row>
    <row r="432" spans="2:14" ht="15.75" thickBot="1" x14ac:dyDescent="0.35">
      <c r="B432" s="1103" t="s">
        <v>24672</v>
      </c>
      <c r="C432" s="1590">
        <v>44501</v>
      </c>
      <c r="D432" s="1591"/>
      <c r="E432" s="1591"/>
      <c r="F432" s="1591"/>
      <c r="G432" s="1591"/>
      <c r="H432" s="1591"/>
      <c r="I432" s="1591"/>
      <c r="J432" s="1591"/>
      <c r="K432" s="1591"/>
      <c r="L432" s="1591"/>
      <c r="M432" s="1591"/>
      <c r="N432" s="1592"/>
    </row>
    <row r="433" spans="2:14" ht="30" x14ac:dyDescent="0.3">
      <c r="B433" s="1104" t="s">
        <v>0</v>
      </c>
      <c r="C433" s="1105" t="s">
        <v>24673</v>
      </c>
      <c r="D433" s="1593" t="s">
        <v>24674</v>
      </c>
      <c r="E433" s="1593"/>
      <c r="F433" s="1593"/>
      <c r="G433" s="1594"/>
      <c r="H433" s="1106" t="s">
        <v>111</v>
      </c>
      <c r="I433" s="1106" t="s">
        <v>24675</v>
      </c>
      <c r="J433" s="1106" t="s">
        <v>24676</v>
      </c>
      <c r="K433" s="1106" t="s">
        <v>24677</v>
      </c>
      <c r="L433" s="1614" t="s">
        <v>24678</v>
      </c>
      <c r="M433" s="1615"/>
      <c r="N433" s="1114" t="s">
        <v>24679</v>
      </c>
    </row>
    <row r="434" spans="2:14" ht="60" customHeight="1" x14ac:dyDescent="0.3">
      <c r="B434" s="1115">
        <v>95282</v>
      </c>
      <c r="C434" s="1116" t="s">
        <v>24706</v>
      </c>
      <c r="D434" s="1604" t="s">
        <v>25759</v>
      </c>
      <c r="E434" s="1604"/>
      <c r="F434" s="1604"/>
      <c r="G434" s="1605"/>
      <c r="H434" s="1163"/>
      <c r="I434" s="1163">
        <v>1.44</v>
      </c>
      <c r="J434" s="1109"/>
      <c r="K434" s="1143">
        <v>10.57</v>
      </c>
      <c r="L434" s="1640"/>
      <c r="M434" s="1641"/>
      <c r="N434" s="1119">
        <f>I434*K434</f>
        <v>15.22</v>
      </c>
    </row>
    <row r="435" spans="2:14" ht="60" customHeight="1" x14ac:dyDescent="0.3">
      <c r="B435" s="1115">
        <v>95283</v>
      </c>
      <c r="C435" s="1270" t="s">
        <v>24706</v>
      </c>
      <c r="D435" s="1604" t="s">
        <v>25760</v>
      </c>
      <c r="E435" s="1604"/>
      <c r="F435" s="1604"/>
      <c r="G435" s="1605"/>
      <c r="H435" s="1163"/>
      <c r="I435" s="1109"/>
      <c r="J435" s="1109">
        <v>0.95</v>
      </c>
      <c r="K435" s="1143"/>
      <c r="L435" s="1642">
        <v>0.51</v>
      </c>
      <c r="M435" s="1643"/>
      <c r="N435" s="1119">
        <f>J435*L435</f>
        <v>0.48</v>
      </c>
    </row>
    <row r="436" spans="2:14" ht="56.25" customHeight="1" x14ac:dyDescent="0.3">
      <c r="B436" s="1115">
        <v>10658</v>
      </c>
      <c r="C436" s="1116" t="s">
        <v>24706</v>
      </c>
      <c r="D436" s="1604" t="s">
        <v>25238</v>
      </c>
      <c r="E436" s="1604"/>
      <c r="F436" s="1604"/>
      <c r="G436" s="1605"/>
      <c r="H436" s="1164">
        <v>6.3999999999999997E-5</v>
      </c>
      <c r="I436" s="1164"/>
      <c r="J436" s="1109"/>
      <c r="K436" s="1143">
        <v>7209.5</v>
      </c>
      <c r="L436" s="1640"/>
      <c r="M436" s="1641"/>
      <c r="N436" s="1119">
        <f>K436*H436</f>
        <v>0.46</v>
      </c>
    </row>
    <row r="437" spans="2:14" x14ac:dyDescent="0.3">
      <c r="B437" s="1107"/>
      <c r="C437" s="1108"/>
      <c r="D437" s="1595"/>
      <c r="E437" s="1595"/>
      <c r="F437" s="1595"/>
      <c r="G437" s="1596"/>
      <c r="H437" s="1109"/>
      <c r="I437" s="1109"/>
      <c r="J437" s="1109"/>
      <c r="K437" s="1109"/>
      <c r="L437" s="1597"/>
      <c r="M437" s="1598"/>
      <c r="N437" s="1119"/>
    </row>
    <row r="438" spans="2:14" ht="15.75" thickBot="1" x14ac:dyDescent="0.35">
      <c r="B438" s="855"/>
      <c r="C438" s="954"/>
      <c r="D438" s="954"/>
      <c r="E438" s="954"/>
      <c r="F438" s="1110"/>
      <c r="G438" s="1110"/>
      <c r="H438" s="1110"/>
      <c r="I438" s="1110"/>
      <c r="J438" s="1110"/>
      <c r="K438" s="1110"/>
      <c r="L438" s="1110"/>
      <c r="M438" s="1111" t="s">
        <v>24680</v>
      </c>
      <c r="N438" s="1112">
        <f>SUM(N434:N437)</f>
        <v>16.16</v>
      </c>
    </row>
    <row r="439" spans="2:14" ht="15.75" thickBot="1" x14ac:dyDescent="0.35">
      <c r="B439" s="850"/>
      <c r="C439" s="461"/>
      <c r="D439" s="461"/>
      <c r="E439" s="461"/>
      <c r="F439" s="461"/>
      <c r="G439" s="461"/>
      <c r="H439" s="461"/>
      <c r="I439" s="461"/>
      <c r="J439" s="461"/>
      <c r="K439" s="461"/>
      <c r="L439" s="461"/>
      <c r="M439" s="461"/>
      <c r="N439" s="1113"/>
    </row>
    <row r="440" spans="2:14" ht="45" x14ac:dyDescent="0.3">
      <c r="B440" s="1104" t="s">
        <v>0</v>
      </c>
      <c r="C440" s="1105" t="s">
        <v>24673</v>
      </c>
      <c r="D440" s="1593" t="s">
        <v>24681</v>
      </c>
      <c r="E440" s="1593"/>
      <c r="F440" s="1593"/>
      <c r="G440" s="1593"/>
      <c r="H440" s="1594"/>
      <c r="I440" s="1106" t="s">
        <v>3686</v>
      </c>
      <c r="J440" s="1106" t="s">
        <v>24682</v>
      </c>
      <c r="K440" s="1106" t="s">
        <v>25177</v>
      </c>
      <c r="L440" s="1106" t="s">
        <v>25178</v>
      </c>
      <c r="M440" s="1106" t="s">
        <v>24683</v>
      </c>
      <c r="N440" s="1114" t="s">
        <v>24679</v>
      </c>
    </row>
    <row r="441" spans="2:14" x14ac:dyDescent="0.3">
      <c r="B441" s="1115">
        <v>10139</v>
      </c>
      <c r="C441" s="1116" t="s">
        <v>4379</v>
      </c>
      <c r="D441" s="1604" t="s">
        <v>25195</v>
      </c>
      <c r="E441" s="1604"/>
      <c r="F441" s="1604"/>
      <c r="G441" s="1604"/>
      <c r="H441" s="1605"/>
      <c r="I441" s="1109" t="s">
        <v>75</v>
      </c>
      <c r="J441" s="1117">
        <v>1.5727</v>
      </c>
      <c r="K441" s="1109">
        <v>7.43</v>
      </c>
      <c r="L441" s="1109">
        <f>K441*(1+J441)</f>
        <v>19.12</v>
      </c>
      <c r="M441" s="1118">
        <v>1.2</v>
      </c>
      <c r="N441" s="1119">
        <f>M441*L441</f>
        <v>22.94</v>
      </c>
    </row>
    <row r="442" spans="2:14" x14ac:dyDescent="0.3">
      <c r="B442" s="1115">
        <v>10146</v>
      </c>
      <c r="C442" s="1116" t="s">
        <v>4379</v>
      </c>
      <c r="D442" s="1604" t="s">
        <v>25187</v>
      </c>
      <c r="E442" s="1604"/>
      <c r="F442" s="1604"/>
      <c r="G442" s="1604"/>
      <c r="H442" s="1605"/>
      <c r="I442" s="1109" t="s">
        <v>75</v>
      </c>
      <c r="J442" s="1117">
        <v>1.5727</v>
      </c>
      <c r="K442" s="1109">
        <v>5.46</v>
      </c>
      <c r="L442" s="1109">
        <f>K442*(1+J442)</f>
        <v>14.05</v>
      </c>
      <c r="M442" s="1118">
        <v>1.4</v>
      </c>
      <c r="N442" s="1119">
        <f>M442*L442</f>
        <v>19.670000000000002</v>
      </c>
    </row>
    <row r="443" spans="2:14" ht="15.75" thickBot="1" x14ac:dyDescent="0.35">
      <c r="B443" s="855"/>
      <c r="C443" s="954"/>
      <c r="D443" s="954"/>
      <c r="E443" s="954"/>
      <c r="F443" s="1110"/>
      <c r="G443" s="1110"/>
      <c r="H443" s="1110"/>
      <c r="I443" s="1110"/>
      <c r="J443" s="1110"/>
      <c r="K443" s="1110"/>
      <c r="L443" s="1110"/>
      <c r="M443" s="1111" t="s">
        <v>24684</v>
      </c>
      <c r="N443" s="1112">
        <f>SUM(N441:N442)</f>
        <v>42.61</v>
      </c>
    </row>
    <row r="444" spans="2:14" ht="15.75" thickBot="1" x14ac:dyDescent="0.35">
      <c r="B444" s="850"/>
      <c r="C444" s="461"/>
      <c r="D444" s="461"/>
      <c r="E444" s="461"/>
      <c r="F444" s="461"/>
      <c r="G444" s="461"/>
      <c r="H444" s="461"/>
      <c r="I444" s="1120"/>
      <c r="J444" s="1120"/>
      <c r="K444" s="461"/>
      <c r="L444" s="461"/>
      <c r="M444" s="461"/>
      <c r="N444" s="1113"/>
    </row>
    <row r="445" spans="2:14" ht="30" x14ac:dyDescent="0.3">
      <c r="B445" s="1104" t="s">
        <v>0</v>
      </c>
      <c r="C445" s="1105" t="s">
        <v>24673</v>
      </c>
      <c r="D445" s="1593" t="s">
        <v>24685</v>
      </c>
      <c r="E445" s="1593"/>
      <c r="F445" s="1593"/>
      <c r="G445" s="1593"/>
      <c r="H445" s="1594"/>
      <c r="I445" s="1106" t="s">
        <v>2858</v>
      </c>
      <c r="J445" s="1106" t="s">
        <v>24686</v>
      </c>
      <c r="K445" s="1106" t="s">
        <v>24687</v>
      </c>
      <c r="L445" s="1614" t="s">
        <v>24688</v>
      </c>
      <c r="M445" s="1615"/>
      <c r="N445" s="1114" t="s">
        <v>24689</v>
      </c>
    </row>
    <row r="446" spans="2:14" x14ac:dyDescent="0.3">
      <c r="B446" s="1115"/>
      <c r="C446" s="1116"/>
      <c r="D446" s="1604"/>
      <c r="E446" s="1604"/>
      <c r="F446" s="1604"/>
      <c r="G446" s="1604"/>
      <c r="H446" s="1605"/>
      <c r="I446" s="1109"/>
      <c r="J446" s="1109"/>
      <c r="K446" s="1109"/>
      <c r="L446" s="1597"/>
      <c r="M446" s="1598"/>
      <c r="N446" s="1119">
        <f>N443*(I446/100)</f>
        <v>0</v>
      </c>
    </row>
    <row r="447" spans="2:14" x14ac:dyDescent="0.3">
      <c r="B447" s="850"/>
      <c r="C447" s="461"/>
      <c r="D447" s="461"/>
      <c r="E447" s="461"/>
      <c r="F447" s="1120"/>
      <c r="G447" s="1120"/>
      <c r="H447" s="1120"/>
      <c r="I447" s="1120"/>
      <c r="J447" s="1120"/>
      <c r="K447" s="1120"/>
      <c r="L447" s="1120"/>
      <c r="M447" s="1121" t="s">
        <v>24690</v>
      </c>
      <c r="N447" s="1122">
        <f>SUM(N446:N446)</f>
        <v>0</v>
      </c>
    </row>
    <row r="448" spans="2:14" x14ac:dyDescent="0.3">
      <c r="B448" s="850"/>
      <c r="C448" s="461"/>
      <c r="D448" s="461"/>
      <c r="E448" s="461"/>
      <c r="F448" s="461"/>
      <c r="G448" s="461"/>
      <c r="H448" s="461"/>
      <c r="I448" s="461"/>
      <c r="J448" s="461"/>
      <c r="K448" s="461"/>
      <c r="L448" s="461"/>
      <c r="M448" s="461"/>
      <c r="N448" s="1113"/>
    </row>
    <row r="449" spans="2:14" x14ac:dyDescent="0.3">
      <c r="B449" s="850"/>
      <c r="C449" s="461"/>
      <c r="D449" s="461"/>
      <c r="E449" s="461"/>
      <c r="F449" s="1120"/>
      <c r="G449" s="1120"/>
      <c r="H449" s="1120"/>
      <c r="I449" s="863"/>
      <c r="J449" s="863"/>
      <c r="K449" s="863"/>
      <c r="L449" s="863"/>
      <c r="M449" s="1121" t="s">
        <v>24691</v>
      </c>
      <c r="N449" s="1123">
        <f>N438+N443+N447</f>
        <v>58.77</v>
      </c>
    </row>
    <row r="450" spans="2:14" x14ac:dyDescent="0.3">
      <c r="B450" s="850"/>
      <c r="C450" s="461"/>
      <c r="D450" s="461"/>
      <c r="E450" s="461"/>
      <c r="F450" s="1120"/>
      <c r="G450" s="1120"/>
      <c r="H450" s="1120"/>
      <c r="I450" s="1120"/>
      <c r="J450" s="1124"/>
      <c r="K450" s="1124"/>
      <c r="L450" s="1124"/>
      <c r="M450" s="1125" t="s">
        <v>24692</v>
      </c>
      <c r="N450" s="1123">
        <v>1</v>
      </c>
    </row>
    <row r="451" spans="2:14" ht="15.75" thickBot="1" x14ac:dyDescent="0.35">
      <c r="B451" s="855"/>
      <c r="C451" s="954"/>
      <c r="D451" s="954"/>
      <c r="E451" s="954"/>
      <c r="F451" s="1110"/>
      <c r="G451" s="1110"/>
      <c r="H451" s="1110"/>
      <c r="I451" s="1110"/>
      <c r="J451" s="1110"/>
      <c r="K451" s="1110"/>
      <c r="L451" s="1110"/>
      <c r="M451" s="1111" t="s">
        <v>24693</v>
      </c>
      <c r="N451" s="1126">
        <f>TRUNC(N449/N450,2)</f>
        <v>58.77</v>
      </c>
    </row>
    <row r="452" spans="2:14" ht="15.75" thickBot="1" x14ac:dyDescent="0.35">
      <c r="B452" s="850"/>
      <c r="C452" s="461"/>
      <c r="D452" s="461"/>
      <c r="E452" s="461"/>
      <c r="F452" s="461"/>
      <c r="G452" s="461"/>
      <c r="H452" s="461"/>
      <c r="I452" s="461"/>
      <c r="J452" s="461"/>
      <c r="K452" s="461"/>
      <c r="L452" s="461"/>
      <c r="M452" s="461"/>
      <c r="N452" s="1113"/>
    </row>
    <row r="453" spans="2:14" ht="30" x14ac:dyDescent="0.3">
      <c r="B453" s="1104" t="s">
        <v>0</v>
      </c>
      <c r="C453" s="1105" t="s">
        <v>24673</v>
      </c>
      <c r="D453" s="1593" t="s">
        <v>24694</v>
      </c>
      <c r="E453" s="1593"/>
      <c r="F453" s="1593"/>
      <c r="G453" s="1593"/>
      <c r="H453" s="1593"/>
      <c r="I453" s="1594"/>
      <c r="J453" s="1106" t="s">
        <v>3686</v>
      </c>
      <c r="K453" s="1106" t="s">
        <v>24695</v>
      </c>
      <c r="L453" s="1614" t="s">
        <v>24683</v>
      </c>
      <c r="M453" s="1615"/>
      <c r="N453" s="1114" t="s">
        <v>24689</v>
      </c>
    </row>
    <row r="454" spans="2:14" x14ac:dyDescent="0.3">
      <c r="B454" s="1115">
        <v>20503</v>
      </c>
      <c r="C454" s="1116" t="s">
        <v>4379</v>
      </c>
      <c r="D454" s="1628" t="s">
        <v>25239</v>
      </c>
      <c r="E454" s="1628"/>
      <c r="F454" s="1628"/>
      <c r="G454" s="1628"/>
      <c r="H454" s="1628"/>
      <c r="I454" s="1629"/>
      <c r="J454" s="1109" t="s">
        <v>6</v>
      </c>
      <c r="K454" s="1143">
        <v>90</v>
      </c>
      <c r="L454" s="1635">
        <v>3.6479999999999999E-2</v>
      </c>
      <c r="M454" s="1636"/>
      <c r="N454" s="1119">
        <f>L454*K454</f>
        <v>3.28</v>
      </c>
    </row>
    <row r="455" spans="2:14" x14ac:dyDescent="0.3">
      <c r="B455" s="1115">
        <v>20508</v>
      </c>
      <c r="C455" s="1116" t="s">
        <v>4379</v>
      </c>
      <c r="D455" s="1628" t="s">
        <v>25235</v>
      </c>
      <c r="E455" s="1604"/>
      <c r="F455" s="1604"/>
      <c r="G455" s="1604"/>
      <c r="H455" s="1604"/>
      <c r="I455" s="1605"/>
      <c r="J455" s="1109" t="s">
        <v>20</v>
      </c>
      <c r="K455" s="1143">
        <v>0.46</v>
      </c>
      <c r="L455" s="1635">
        <v>14.58</v>
      </c>
      <c r="M455" s="1636"/>
      <c r="N455" s="1119">
        <f>L455*K455</f>
        <v>6.71</v>
      </c>
    </row>
    <row r="456" spans="2:14" ht="35.25" customHeight="1" x14ac:dyDescent="0.3">
      <c r="B456" s="1115">
        <v>21018</v>
      </c>
      <c r="C456" s="1116" t="s">
        <v>4379</v>
      </c>
      <c r="D456" s="1628" t="s">
        <v>25240</v>
      </c>
      <c r="E456" s="1628"/>
      <c r="F456" s="1628"/>
      <c r="G456" s="1628"/>
      <c r="H456" s="1628"/>
      <c r="I456" s="1629"/>
      <c r="J456" s="1109" t="s">
        <v>7</v>
      </c>
      <c r="K456" s="1143">
        <v>19.02</v>
      </c>
      <c r="L456" s="1635">
        <v>2</v>
      </c>
      <c r="M456" s="1636"/>
      <c r="N456" s="1119">
        <f>L456*K456</f>
        <v>38.04</v>
      </c>
    </row>
    <row r="457" spans="2:14" x14ac:dyDescent="0.3">
      <c r="B457" s="1115">
        <v>28056</v>
      </c>
      <c r="C457" s="1116" t="s">
        <v>4379</v>
      </c>
      <c r="D457" s="1628" t="s">
        <v>25241</v>
      </c>
      <c r="E457" s="1628"/>
      <c r="F457" s="1628"/>
      <c r="G457" s="1628"/>
      <c r="H457" s="1628"/>
      <c r="I457" s="1629"/>
      <c r="J457" s="1109" t="s">
        <v>7</v>
      </c>
      <c r="K457" s="1143">
        <v>3.45</v>
      </c>
      <c r="L457" s="1635">
        <v>1</v>
      </c>
      <c r="M457" s="1636"/>
      <c r="N457" s="1119">
        <f>L457*K457</f>
        <v>3.45</v>
      </c>
    </row>
    <row r="458" spans="2:14" x14ac:dyDescent="0.3">
      <c r="B458" s="1115"/>
      <c r="C458" s="1116"/>
      <c r="D458" s="1604"/>
      <c r="E458" s="1604"/>
      <c r="F458" s="1604"/>
      <c r="G458" s="1604"/>
      <c r="H458" s="1604"/>
      <c r="I458" s="1605"/>
      <c r="J458" s="1109"/>
      <c r="K458" s="1109"/>
      <c r="L458" s="1597"/>
      <c r="M458" s="1598"/>
      <c r="N458" s="1119"/>
    </row>
    <row r="459" spans="2:14" ht="15.75" thickBot="1" x14ac:dyDescent="0.35">
      <c r="B459" s="855"/>
      <c r="C459" s="954"/>
      <c r="D459" s="954"/>
      <c r="E459" s="954"/>
      <c r="F459" s="1110"/>
      <c r="G459" s="1110"/>
      <c r="H459" s="1110"/>
      <c r="I459" s="1110"/>
      <c r="J459" s="1110"/>
      <c r="K459" s="1110"/>
      <c r="L459" s="1110"/>
      <c r="M459" s="1111" t="s">
        <v>24696</v>
      </c>
      <c r="N459" s="1112">
        <f>SUM(N454:N458)</f>
        <v>51.48</v>
      </c>
    </row>
    <row r="460" spans="2:14" ht="15.75" thickBot="1" x14ac:dyDescent="0.35">
      <c r="B460" s="850"/>
      <c r="C460" s="461"/>
      <c r="D460" s="461"/>
      <c r="E460" s="461"/>
      <c r="F460" s="461"/>
      <c r="G460" s="461"/>
      <c r="H460" s="461"/>
      <c r="I460" s="461"/>
      <c r="J460" s="461"/>
      <c r="K460" s="461"/>
      <c r="L460" s="461"/>
      <c r="M460" s="461"/>
      <c r="N460" s="1113"/>
    </row>
    <row r="461" spans="2:14" ht="30" x14ac:dyDescent="0.3">
      <c r="B461" s="1104" t="s">
        <v>0</v>
      </c>
      <c r="C461" s="1106" t="s">
        <v>24673</v>
      </c>
      <c r="D461" s="1593" t="s">
        <v>24697</v>
      </c>
      <c r="E461" s="1593"/>
      <c r="F461" s="1593"/>
      <c r="G461" s="1593"/>
      <c r="H461" s="1593"/>
      <c r="I461" s="1594"/>
      <c r="J461" s="1106" t="s">
        <v>3686</v>
      </c>
      <c r="K461" s="1106" t="s">
        <v>24695</v>
      </c>
      <c r="L461" s="1614" t="s">
        <v>24683</v>
      </c>
      <c r="M461" s="1615"/>
      <c r="N461" s="1114" t="s">
        <v>24689</v>
      </c>
    </row>
    <row r="462" spans="2:14" x14ac:dyDescent="0.3">
      <c r="B462" s="1115"/>
      <c r="C462" s="1116"/>
      <c r="D462" s="1604"/>
      <c r="E462" s="1604"/>
      <c r="F462" s="1604"/>
      <c r="G462" s="1604"/>
      <c r="H462" s="1604"/>
      <c r="I462" s="1605"/>
      <c r="J462" s="462"/>
      <c r="K462" s="462"/>
      <c r="L462" s="1612"/>
      <c r="M462" s="1613"/>
      <c r="N462" s="1130"/>
    </row>
    <row r="463" spans="2:14" ht="15.75" thickBot="1" x14ac:dyDescent="0.35">
      <c r="B463" s="855"/>
      <c r="C463" s="954"/>
      <c r="D463" s="954"/>
      <c r="E463" s="954"/>
      <c r="F463" s="1110"/>
      <c r="G463" s="1110"/>
      <c r="H463" s="1110"/>
      <c r="I463" s="1110"/>
      <c r="J463" s="1110"/>
      <c r="K463" s="1110"/>
      <c r="L463" s="1110"/>
      <c r="M463" s="1111" t="s">
        <v>24698</v>
      </c>
      <c r="N463" s="1112">
        <f>SUM(N462:N462)</f>
        <v>0</v>
      </c>
    </row>
    <row r="464" spans="2:14" ht="15.75" thickBot="1" x14ac:dyDescent="0.35">
      <c r="B464" s="850"/>
      <c r="C464" s="461"/>
      <c r="D464" s="461"/>
      <c r="E464" s="461"/>
      <c r="F464" s="461"/>
      <c r="G464" s="461"/>
      <c r="H464" s="461"/>
      <c r="I464" s="461"/>
      <c r="J464" s="461"/>
      <c r="K464" s="461"/>
      <c r="L464" s="461"/>
      <c r="M464" s="461"/>
      <c r="N464" s="1113"/>
    </row>
    <row r="465" spans="2:14" ht="30" x14ac:dyDescent="0.3">
      <c r="B465" s="1104" t="s">
        <v>0</v>
      </c>
      <c r="C465" s="1106" t="s">
        <v>24673</v>
      </c>
      <c r="D465" s="1593" t="s">
        <v>24699</v>
      </c>
      <c r="E465" s="1593"/>
      <c r="F465" s="1593"/>
      <c r="G465" s="1594"/>
      <c r="H465" s="1106" t="s">
        <v>3686</v>
      </c>
      <c r="I465" s="1106" t="s">
        <v>24700</v>
      </c>
      <c r="J465" s="1106" t="s">
        <v>24701</v>
      </c>
      <c r="K465" s="1106" t="s">
        <v>24695</v>
      </c>
      <c r="L465" s="1614" t="s">
        <v>24683</v>
      </c>
      <c r="M465" s="1615"/>
      <c r="N465" s="1114" t="s">
        <v>24689</v>
      </c>
    </row>
    <row r="466" spans="2:14" x14ac:dyDescent="0.3">
      <c r="B466" s="1115"/>
      <c r="C466" s="1116"/>
      <c r="D466" s="1595"/>
      <c r="E466" s="1595"/>
      <c r="F466" s="1595"/>
      <c r="G466" s="1595"/>
      <c r="H466" s="1109"/>
      <c r="I466" s="1109"/>
      <c r="J466" s="1109"/>
      <c r="K466" s="1109"/>
      <c r="L466" s="1597"/>
      <c r="M466" s="1598"/>
      <c r="N466" s="1119"/>
    </row>
    <row r="467" spans="2:14" x14ac:dyDescent="0.3">
      <c r="B467" s="1115"/>
      <c r="C467" s="1116"/>
      <c r="D467" s="1595"/>
      <c r="E467" s="1595"/>
      <c r="F467" s="1595"/>
      <c r="G467" s="1595"/>
      <c r="H467" s="1109"/>
      <c r="I467" s="1109"/>
      <c r="J467" s="1109"/>
      <c r="K467" s="1109"/>
      <c r="L467" s="1597"/>
      <c r="M467" s="1598"/>
      <c r="N467" s="1119"/>
    </row>
    <row r="468" spans="2:14" x14ac:dyDescent="0.3">
      <c r="B468" s="1115"/>
      <c r="C468" s="1116"/>
      <c r="D468" s="1595"/>
      <c r="E468" s="1595"/>
      <c r="F468" s="1595"/>
      <c r="G468" s="1595"/>
      <c r="H468" s="1109"/>
      <c r="I468" s="1109"/>
      <c r="J468" s="1109"/>
      <c r="K468" s="1109"/>
      <c r="L468" s="1597"/>
      <c r="M468" s="1598"/>
      <c r="N468" s="1119"/>
    </row>
    <row r="469" spans="2:14" x14ac:dyDescent="0.3">
      <c r="B469" s="850"/>
      <c r="C469" s="461"/>
      <c r="D469" s="461"/>
      <c r="E469" s="461"/>
      <c r="F469" s="1120"/>
      <c r="G469" s="1120"/>
      <c r="H469" s="1120"/>
      <c r="I469" s="1120"/>
      <c r="J469" s="1120"/>
      <c r="K469" s="1120"/>
      <c r="L469" s="1120"/>
      <c r="M469" s="1121" t="s">
        <v>24702</v>
      </c>
      <c r="N469" s="1122">
        <f>SUM(N466:N468)</f>
        <v>0</v>
      </c>
    </row>
    <row r="470" spans="2:14" x14ac:dyDescent="0.3">
      <c r="B470" s="850"/>
      <c r="C470" s="461"/>
      <c r="D470" s="461"/>
      <c r="E470" s="461"/>
      <c r="F470" s="461"/>
      <c r="G470" s="461"/>
      <c r="H470" s="461"/>
      <c r="I470" s="461"/>
      <c r="J470" s="461"/>
      <c r="K470" s="461"/>
      <c r="L470" s="461"/>
      <c r="M470" s="461"/>
      <c r="N470" s="1113"/>
    </row>
    <row r="471" spans="2:14" x14ac:dyDescent="0.3">
      <c r="B471" s="1131"/>
      <c r="C471" s="1132"/>
      <c r="D471" s="1132"/>
      <c r="E471" s="1132"/>
      <c r="F471" s="1133"/>
      <c r="G471" s="1133"/>
      <c r="H471" s="1133"/>
      <c r="I471" s="1133"/>
      <c r="J471" s="1133"/>
      <c r="K471" s="1133"/>
      <c r="L471" s="1133"/>
      <c r="M471" s="1134" t="s">
        <v>24703</v>
      </c>
      <c r="N471" s="1123">
        <f>N451+N459+N463+N469</f>
        <v>110.25</v>
      </c>
    </row>
    <row r="472" spans="2:14" x14ac:dyDescent="0.3">
      <c r="B472" s="850"/>
      <c r="C472" s="461"/>
      <c r="D472" s="461"/>
      <c r="E472" s="461"/>
      <c r="F472" s="1120"/>
      <c r="G472" s="1120"/>
      <c r="H472" s="1120"/>
      <c r="I472" s="1120"/>
      <c r="J472" s="1120"/>
      <c r="K472" s="1120"/>
      <c r="L472" s="1120"/>
      <c r="M472" s="1136">
        <f>'QUIOSQUE - MOD 01'!I3</f>
        <v>0.28220000000000001</v>
      </c>
      <c r="N472" s="1123">
        <f>ROUND(N471*M472,2)</f>
        <v>31.11</v>
      </c>
    </row>
    <row r="473" spans="2:14" ht="15.75" thickBot="1" x14ac:dyDescent="0.35">
      <c r="B473" s="1599" t="s">
        <v>24704</v>
      </c>
      <c r="C473" s="1600"/>
      <c r="D473" s="1600"/>
      <c r="E473" s="1600"/>
      <c r="F473" s="1600"/>
      <c r="G473" s="1600"/>
      <c r="H473" s="1600"/>
      <c r="I473" s="1600"/>
      <c r="J473" s="1600"/>
      <c r="K473" s="1600"/>
      <c r="L473" s="1600"/>
      <c r="M473" s="1601"/>
      <c r="N473" s="1126">
        <f>N471+N472</f>
        <v>141.36000000000001</v>
      </c>
    </row>
    <row r="476" spans="2:14" ht="15.75" thickBot="1" x14ac:dyDescent="0.35"/>
    <row r="477" spans="2:14" ht="41.25" customHeight="1" x14ac:dyDescent="0.3">
      <c r="B477" s="1607" t="s">
        <v>25242</v>
      </c>
      <c r="C477" s="1608"/>
      <c r="D477" s="1609"/>
      <c r="E477" s="1610" t="s">
        <v>24669</v>
      </c>
      <c r="F477" s="1610"/>
      <c r="G477" s="1610"/>
      <c r="H477" s="1610"/>
      <c r="I477" s="1610"/>
      <c r="J477" s="1610"/>
      <c r="K477" s="1610"/>
      <c r="L477" s="1623"/>
      <c r="M477" s="1576"/>
      <c r="N477" s="1577"/>
    </row>
    <row r="478" spans="2:14" x14ac:dyDescent="0.3">
      <c r="B478" s="1103" t="s">
        <v>24670</v>
      </c>
      <c r="C478" s="1586" t="s">
        <v>25243</v>
      </c>
      <c r="D478" s="1586"/>
      <c r="E478" s="1586"/>
      <c r="F478" s="1586"/>
      <c r="G478" s="1586"/>
      <c r="H478" s="1586"/>
      <c r="I478" s="1586"/>
      <c r="J478" s="1586"/>
      <c r="K478" s="1586"/>
      <c r="L478" s="1586"/>
      <c r="M478" s="1586"/>
      <c r="N478" s="1587"/>
    </row>
    <row r="479" spans="2:14" x14ac:dyDescent="0.3">
      <c r="B479" s="1103" t="s">
        <v>24671</v>
      </c>
      <c r="C479" s="1588" t="s">
        <v>5</v>
      </c>
      <c r="D479" s="1588"/>
      <c r="E479" s="1588"/>
      <c r="F479" s="1588"/>
      <c r="G479" s="1588"/>
      <c r="H479" s="1588"/>
      <c r="I479" s="1588"/>
      <c r="J479" s="1588"/>
      <c r="K479" s="1588"/>
      <c r="L479" s="1588"/>
      <c r="M479" s="1588"/>
      <c r="N479" s="1589"/>
    </row>
    <row r="480" spans="2:14" ht="15.75" thickBot="1" x14ac:dyDescent="0.35">
      <c r="B480" s="1103" t="s">
        <v>24672</v>
      </c>
      <c r="C480" s="1590">
        <v>44501</v>
      </c>
      <c r="D480" s="1591"/>
      <c r="E480" s="1591"/>
      <c r="F480" s="1591"/>
      <c r="G480" s="1591"/>
      <c r="H480" s="1591"/>
      <c r="I480" s="1591"/>
      <c r="J480" s="1591"/>
      <c r="K480" s="1591"/>
      <c r="L480" s="1591"/>
      <c r="M480" s="1591"/>
      <c r="N480" s="1592"/>
    </row>
    <row r="481" spans="2:14" ht="30" x14ac:dyDescent="0.3">
      <c r="B481" s="1104" t="s">
        <v>0</v>
      </c>
      <c r="C481" s="1105" t="s">
        <v>24673</v>
      </c>
      <c r="D481" s="1593" t="s">
        <v>24674</v>
      </c>
      <c r="E481" s="1593"/>
      <c r="F481" s="1593"/>
      <c r="G481" s="1594"/>
      <c r="H481" s="1106" t="s">
        <v>111</v>
      </c>
      <c r="I481" s="1106" t="s">
        <v>24675</v>
      </c>
      <c r="J481" s="1106" t="s">
        <v>24676</v>
      </c>
      <c r="K481" s="1106" t="s">
        <v>24677</v>
      </c>
      <c r="L481" s="1614" t="s">
        <v>24678</v>
      </c>
      <c r="M481" s="1615"/>
      <c r="N481" s="1114" t="s">
        <v>24679</v>
      </c>
    </row>
    <row r="482" spans="2:14" x14ac:dyDescent="0.3">
      <c r="B482" s="1107"/>
      <c r="C482" s="1108"/>
      <c r="D482" s="1595"/>
      <c r="E482" s="1595"/>
      <c r="F482" s="1595"/>
      <c r="G482" s="1596"/>
      <c r="H482" s="1109"/>
      <c r="I482" s="1109"/>
      <c r="J482" s="1109"/>
      <c r="K482" s="1109"/>
      <c r="L482" s="1597"/>
      <c r="M482" s="1598"/>
      <c r="N482" s="1119"/>
    </row>
    <row r="483" spans="2:14" x14ac:dyDescent="0.3">
      <c r="B483" s="1107"/>
      <c r="C483" s="1108"/>
      <c r="D483" s="1595"/>
      <c r="E483" s="1595"/>
      <c r="F483" s="1595"/>
      <c r="G483" s="1596"/>
      <c r="H483" s="1109"/>
      <c r="I483" s="1109"/>
      <c r="J483" s="1109"/>
      <c r="K483" s="1109"/>
      <c r="L483" s="1597"/>
      <c r="M483" s="1598"/>
      <c r="N483" s="1119"/>
    </row>
    <row r="484" spans="2:14" x14ac:dyDescent="0.3">
      <c r="B484" s="1107"/>
      <c r="C484" s="1108"/>
      <c r="D484" s="1595"/>
      <c r="E484" s="1595"/>
      <c r="F484" s="1595"/>
      <c r="G484" s="1596"/>
      <c r="H484" s="1109"/>
      <c r="I484" s="1109"/>
      <c r="J484" s="1109"/>
      <c r="K484" s="1109"/>
      <c r="L484" s="1597"/>
      <c r="M484" s="1598"/>
      <c r="N484" s="1119"/>
    </row>
    <row r="485" spans="2:14" ht="15.75" thickBot="1" x14ac:dyDescent="0.35">
      <c r="B485" s="855"/>
      <c r="C485" s="954"/>
      <c r="D485" s="954"/>
      <c r="E485" s="954"/>
      <c r="F485" s="1110"/>
      <c r="G485" s="1110"/>
      <c r="H485" s="1110"/>
      <c r="I485" s="1110"/>
      <c r="J485" s="1110"/>
      <c r="K485" s="1110"/>
      <c r="L485" s="1110"/>
      <c r="M485" s="1111" t="s">
        <v>24680</v>
      </c>
      <c r="N485" s="1112">
        <f>SUM(N482:N484)</f>
        <v>0</v>
      </c>
    </row>
    <row r="486" spans="2:14" ht="15.75" thickBot="1" x14ac:dyDescent="0.35">
      <c r="B486" s="850"/>
      <c r="C486" s="461"/>
      <c r="D486" s="461"/>
      <c r="E486" s="461"/>
      <c r="F486" s="461"/>
      <c r="G486" s="461"/>
      <c r="H486" s="461"/>
      <c r="I486" s="461"/>
      <c r="J486" s="461"/>
      <c r="K486" s="461"/>
      <c r="L486" s="461"/>
      <c r="M486" s="461"/>
      <c r="N486" s="1113"/>
    </row>
    <row r="487" spans="2:14" ht="45" x14ac:dyDescent="0.3">
      <c r="B487" s="1104" t="s">
        <v>0</v>
      </c>
      <c r="C487" s="1105" t="s">
        <v>24673</v>
      </c>
      <c r="D487" s="1593" t="s">
        <v>24681</v>
      </c>
      <c r="E487" s="1593"/>
      <c r="F487" s="1593"/>
      <c r="G487" s="1593"/>
      <c r="H487" s="1594"/>
      <c r="I487" s="1106" t="s">
        <v>3686</v>
      </c>
      <c r="J487" s="1106" t="s">
        <v>24682</v>
      </c>
      <c r="K487" s="1106" t="s">
        <v>25177</v>
      </c>
      <c r="L487" s="1106" t="s">
        <v>25178</v>
      </c>
      <c r="M487" s="1106" t="s">
        <v>24683</v>
      </c>
      <c r="N487" s="1114" t="s">
        <v>24679</v>
      </c>
    </row>
    <row r="488" spans="2:14" x14ac:dyDescent="0.3">
      <c r="B488" s="1115">
        <v>10118</v>
      </c>
      <c r="C488" s="1116" t="s">
        <v>4379</v>
      </c>
      <c r="D488" s="1604" t="s">
        <v>25186</v>
      </c>
      <c r="E488" s="1604"/>
      <c r="F488" s="1604"/>
      <c r="G488" s="1604"/>
      <c r="H488" s="1605"/>
      <c r="I488" s="1109" t="s">
        <v>75</v>
      </c>
      <c r="J488" s="1117">
        <v>1.5727</v>
      </c>
      <c r="K488" s="1109">
        <v>7.43</v>
      </c>
      <c r="L488" s="1109">
        <f>K488*(1+J488)</f>
        <v>19.12</v>
      </c>
      <c r="M488" s="1118">
        <v>0.2</v>
      </c>
      <c r="N488" s="1119">
        <f>M488*L488</f>
        <v>3.82</v>
      </c>
    </row>
    <row r="489" spans="2:14" x14ac:dyDescent="0.3">
      <c r="B489" s="1115">
        <v>10146</v>
      </c>
      <c r="C489" s="1116" t="s">
        <v>4379</v>
      </c>
      <c r="D489" s="1604" t="s">
        <v>25187</v>
      </c>
      <c r="E489" s="1604"/>
      <c r="F489" s="1604"/>
      <c r="G489" s="1604"/>
      <c r="H489" s="1605"/>
      <c r="I489" s="1109" t="s">
        <v>75</v>
      </c>
      <c r="J489" s="1117">
        <v>1.5727</v>
      </c>
      <c r="K489" s="1109">
        <v>5.46</v>
      </c>
      <c r="L489" s="1109">
        <f>K489*(1+J489)</f>
        <v>14.05</v>
      </c>
      <c r="M489" s="1118">
        <v>0.2</v>
      </c>
      <c r="N489" s="1119">
        <f>M489*L489</f>
        <v>2.81</v>
      </c>
    </row>
    <row r="490" spans="2:14" ht="15.75" thickBot="1" x14ac:dyDescent="0.35">
      <c r="B490" s="855"/>
      <c r="C490" s="954"/>
      <c r="D490" s="954"/>
      <c r="E490" s="954"/>
      <c r="F490" s="1110"/>
      <c r="G490" s="1110"/>
      <c r="H490" s="1110"/>
      <c r="I490" s="1110"/>
      <c r="J490" s="1110"/>
      <c r="K490" s="1110"/>
      <c r="L490" s="1110"/>
      <c r="M490" s="1111" t="s">
        <v>24684</v>
      </c>
      <c r="N490" s="1112">
        <f>SUM(N488:N489)</f>
        <v>6.63</v>
      </c>
    </row>
    <row r="491" spans="2:14" ht="15.75" thickBot="1" x14ac:dyDescent="0.35">
      <c r="B491" s="850"/>
      <c r="C491" s="461"/>
      <c r="D491" s="461"/>
      <c r="E491" s="461"/>
      <c r="F491" s="461"/>
      <c r="G491" s="461"/>
      <c r="H491" s="461"/>
      <c r="I491" s="1120"/>
      <c r="J491" s="1120"/>
      <c r="K491" s="461"/>
      <c r="L491" s="461"/>
      <c r="M491" s="461"/>
      <c r="N491" s="1113"/>
    </row>
    <row r="492" spans="2:14" ht="30" x14ac:dyDescent="0.3">
      <c r="B492" s="1104" t="s">
        <v>0</v>
      </c>
      <c r="C492" s="1105" t="s">
        <v>24673</v>
      </c>
      <c r="D492" s="1593" t="s">
        <v>24685</v>
      </c>
      <c r="E492" s="1593"/>
      <c r="F492" s="1593"/>
      <c r="G492" s="1593"/>
      <c r="H492" s="1594"/>
      <c r="I492" s="1106" t="s">
        <v>2858</v>
      </c>
      <c r="J492" s="1106" t="s">
        <v>24686</v>
      </c>
      <c r="K492" s="1106" t="s">
        <v>24687</v>
      </c>
      <c r="L492" s="1614" t="s">
        <v>24688</v>
      </c>
      <c r="M492" s="1615"/>
      <c r="N492" s="1114" t="s">
        <v>24689</v>
      </c>
    </row>
    <row r="493" spans="2:14" x14ac:dyDescent="0.3">
      <c r="B493" s="1115">
        <v>2000</v>
      </c>
      <c r="C493" s="1116" t="s">
        <v>4389</v>
      </c>
      <c r="D493" s="1604" t="s">
        <v>25181</v>
      </c>
      <c r="E493" s="1604"/>
      <c r="F493" s="1604"/>
      <c r="G493" s="1604"/>
      <c r="H493" s="1605"/>
      <c r="I493" s="1109">
        <v>5</v>
      </c>
      <c r="J493" s="1109" t="s">
        <v>25182</v>
      </c>
      <c r="K493" s="1109"/>
      <c r="L493" s="1597"/>
      <c r="M493" s="1598"/>
      <c r="N493" s="1119">
        <f>N490*(I493/100)</f>
        <v>0.33</v>
      </c>
    </row>
    <row r="494" spans="2:14" x14ac:dyDescent="0.3">
      <c r="B494" s="850"/>
      <c r="C494" s="461"/>
      <c r="D494" s="461"/>
      <c r="E494" s="461"/>
      <c r="F494" s="1120"/>
      <c r="G494" s="1120"/>
      <c r="H494" s="1120"/>
      <c r="I494" s="1120"/>
      <c r="J494" s="1120"/>
      <c r="K494" s="1120"/>
      <c r="L494" s="1120"/>
      <c r="M494" s="1121" t="s">
        <v>24690</v>
      </c>
      <c r="N494" s="1122">
        <f>SUM(N493:N493)</f>
        <v>0.33</v>
      </c>
    </row>
    <row r="495" spans="2:14" x14ac:dyDescent="0.3">
      <c r="B495" s="850"/>
      <c r="C495" s="461"/>
      <c r="D495" s="461"/>
      <c r="E495" s="461"/>
      <c r="F495" s="461"/>
      <c r="G495" s="461"/>
      <c r="H495" s="461"/>
      <c r="I495" s="461"/>
      <c r="J495" s="461"/>
      <c r="K495" s="461"/>
      <c r="L495" s="461"/>
      <c r="M495" s="461"/>
      <c r="N495" s="1113"/>
    </row>
    <row r="496" spans="2:14" x14ac:dyDescent="0.3">
      <c r="B496" s="850"/>
      <c r="C496" s="461"/>
      <c r="D496" s="461"/>
      <c r="E496" s="461"/>
      <c r="F496" s="1120"/>
      <c r="G496" s="1120"/>
      <c r="H496" s="1120"/>
      <c r="I496" s="863"/>
      <c r="J496" s="863"/>
      <c r="K496" s="863"/>
      <c r="L496" s="863"/>
      <c r="M496" s="1121" t="s">
        <v>24691</v>
      </c>
      <c r="N496" s="1123">
        <f>N485+N490+N494</f>
        <v>6.96</v>
      </c>
    </row>
    <row r="497" spans="2:14" x14ac:dyDescent="0.3">
      <c r="B497" s="850"/>
      <c r="C497" s="461"/>
      <c r="D497" s="461"/>
      <c r="E497" s="461"/>
      <c r="F497" s="1120"/>
      <c r="G497" s="1120"/>
      <c r="H497" s="1120"/>
      <c r="I497" s="1120"/>
      <c r="J497" s="1124"/>
      <c r="K497" s="1124"/>
      <c r="L497" s="1124"/>
      <c r="M497" s="1125" t="s">
        <v>24692</v>
      </c>
      <c r="N497" s="1123">
        <v>1</v>
      </c>
    </row>
    <row r="498" spans="2:14" ht="15.75" thickBot="1" x14ac:dyDescent="0.35">
      <c r="B498" s="855"/>
      <c r="C498" s="954"/>
      <c r="D498" s="954"/>
      <c r="E498" s="954"/>
      <c r="F498" s="1110"/>
      <c r="G498" s="1110"/>
      <c r="H498" s="1110"/>
      <c r="I498" s="1110"/>
      <c r="J498" s="1110"/>
      <c r="K498" s="1110"/>
      <c r="L498" s="1110"/>
      <c r="M498" s="1111" t="s">
        <v>24693</v>
      </c>
      <c r="N498" s="1126">
        <f>TRUNC(N496/N497,2)</f>
        <v>6.96</v>
      </c>
    </row>
    <row r="499" spans="2:14" ht="15.75" thickBot="1" x14ac:dyDescent="0.35">
      <c r="B499" s="850"/>
      <c r="C499" s="461"/>
      <c r="D499" s="461"/>
      <c r="E499" s="461"/>
      <c r="F499" s="461"/>
      <c r="G499" s="461"/>
      <c r="H499" s="461"/>
      <c r="I499" s="461"/>
      <c r="J499" s="461"/>
      <c r="K499" s="461"/>
      <c r="L499" s="461"/>
      <c r="M499" s="461"/>
      <c r="N499" s="1113"/>
    </row>
    <row r="500" spans="2:14" ht="30" x14ac:dyDescent="0.3">
      <c r="B500" s="1104" t="s">
        <v>0</v>
      </c>
      <c r="C500" s="1105" t="s">
        <v>24673</v>
      </c>
      <c r="D500" s="1593" t="s">
        <v>24694</v>
      </c>
      <c r="E500" s="1593"/>
      <c r="F500" s="1593"/>
      <c r="G500" s="1593"/>
      <c r="H500" s="1593"/>
      <c r="I500" s="1594"/>
      <c r="J500" s="1106" t="s">
        <v>3686</v>
      </c>
      <c r="K500" s="1106" t="s">
        <v>24695</v>
      </c>
      <c r="L500" s="1614" t="s">
        <v>24683</v>
      </c>
      <c r="M500" s="1615"/>
      <c r="N500" s="1114" t="s">
        <v>24689</v>
      </c>
    </row>
    <row r="501" spans="2:14" ht="30" x14ac:dyDescent="0.3">
      <c r="B501" s="1115" t="s">
        <v>24795</v>
      </c>
      <c r="C501" s="1116" t="s">
        <v>24793</v>
      </c>
      <c r="D501" s="1628" t="s">
        <v>25244</v>
      </c>
      <c r="E501" s="1604"/>
      <c r="F501" s="1604"/>
      <c r="G501" s="1604"/>
      <c r="H501" s="1604"/>
      <c r="I501" s="1605"/>
      <c r="J501" s="1109" t="s">
        <v>24804</v>
      </c>
      <c r="K501" s="1109">
        <f>'MAPA DE COT. - Quiosque'!G64</f>
        <v>4.42</v>
      </c>
      <c r="L501" s="1635">
        <v>1</v>
      </c>
      <c r="M501" s="1636"/>
      <c r="N501" s="1119">
        <f>L501*K501</f>
        <v>4.42</v>
      </c>
    </row>
    <row r="502" spans="2:14" x14ac:dyDescent="0.3">
      <c r="B502" s="1165">
        <v>69513</v>
      </c>
      <c r="C502" s="1116" t="s">
        <v>4379</v>
      </c>
      <c r="D502" s="1628" t="s">
        <v>25191</v>
      </c>
      <c r="E502" s="1604"/>
      <c r="F502" s="1604"/>
      <c r="G502" s="1604"/>
      <c r="H502" s="1604"/>
      <c r="I502" s="1605"/>
      <c r="J502" s="1109" t="s">
        <v>77</v>
      </c>
      <c r="K502" s="1109">
        <v>80.680000000000007</v>
      </c>
      <c r="L502" s="1635">
        <v>1.5299999999999999E-2</v>
      </c>
      <c r="M502" s="1636"/>
      <c r="N502" s="1119">
        <f>L502*K502</f>
        <v>1.23</v>
      </c>
    </row>
    <row r="503" spans="2:14" x14ac:dyDescent="0.3">
      <c r="B503" s="1165">
        <v>69514</v>
      </c>
      <c r="C503" s="1116" t="s">
        <v>4379</v>
      </c>
      <c r="D503" s="1628" t="s">
        <v>25245</v>
      </c>
      <c r="E503" s="1604"/>
      <c r="F503" s="1604"/>
      <c r="G503" s="1604"/>
      <c r="H503" s="1604"/>
      <c r="I503" s="1605"/>
      <c r="J503" s="1109" t="s">
        <v>85</v>
      </c>
      <c r="K503" s="1109">
        <v>71.63</v>
      </c>
      <c r="L503" s="1635">
        <v>1.5100000000000001E-2</v>
      </c>
      <c r="M503" s="1636"/>
      <c r="N503" s="1119">
        <f>L503*K503</f>
        <v>1.08</v>
      </c>
    </row>
    <row r="504" spans="2:14" x14ac:dyDescent="0.3">
      <c r="B504" s="1165">
        <v>69512</v>
      </c>
      <c r="C504" s="1116" t="s">
        <v>4379</v>
      </c>
      <c r="D504" s="1628" t="s">
        <v>25189</v>
      </c>
      <c r="E504" s="1604"/>
      <c r="F504" s="1604"/>
      <c r="G504" s="1604"/>
      <c r="H504" s="1604"/>
      <c r="I504" s="1605"/>
      <c r="J504" s="1109" t="s">
        <v>82</v>
      </c>
      <c r="K504" s="1109">
        <v>0.13</v>
      </c>
      <c r="L504" s="1635">
        <v>0.9</v>
      </c>
      <c r="M504" s="1636"/>
      <c r="N504" s="1119">
        <f>L504*K504</f>
        <v>0.12</v>
      </c>
    </row>
    <row r="505" spans="2:14" x14ac:dyDescent="0.3">
      <c r="B505" s="1115"/>
      <c r="C505" s="1116"/>
      <c r="D505" s="1604"/>
      <c r="E505" s="1604"/>
      <c r="F505" s="1604"/>
      <c r="G505" s="1604"/>
      <c r="H505" s="1604"/>
      <c r="I505" s="1605"/>
      <c r="J505" s="1109"/>
      <c r="K505" s="1109"/>
      <c r="L505" s="1597"/>
      <c r="M505" s="1598"/>
      <c r="N505" s="1119">
        <f>M505*K505</f>
        <v>0</v>
      </c>
    </row>
    <row r="506" spans="2:14" ht="15.75" thickBot="1" x14ac:dyDescent="0.35">
      <c r="B506" s="855"/>
      <c r="C506" s="954"/>
      <c r="D506" s="954"/>
      <c r="E506" s="954"/>
      <c r="F506" s="1110"/>
      <c r="G506" s="1110"/>
      <c r="H506" s="1110"/>
      <c r="I506" s="1110"/>
      <c r="J506" s="1110"/>
      <c r="K506" s="1110"/>
      <c r="L506" s="1110"/>
      <c r="M506" s="1111" t="s">
        <v>24696</v>
      </c>
      <c r="N506" s="1112">
        <f>SUM(N501:N505)</f>
        <v>6.85</v>
      </c>
    </row>
    <row r="507" spans="2:14" ht="15.75" thickBot="1" x14ac:dyDescent="0.35">
      <c r="B507" s="850"/>
      <c r="C507" s="461"/>
      <c r="D507" s="461"/>
      <c r="E507" s="461"/>
      <c r="F507" s="461"/>
      <c r="G507" s="461"/>
      <c r="H507" s="461"/>
      <c r="I507" s="461"/>
      <c r="J507" s="461"/>
      <c r="K507" s="461"/>
      <c r="L507" s="461"/>
      <c r="M507" s="461"/>
      <c r="N507" s="1113"/>
    </row>
    <row r="508" spans="2:14" ht="30" x14ac:dyDescent="0.3">
      <c r="B508" s="1104" t="s">
        <v>0</v>
      </c>
      <c r="C508" s="1106" t="s">
        <v>24673</v>
      </c>
      <c r="D508" s="1593" t="s">
        <v>24697</v>
      </c>
      <c r="E508" s="1593"/>
      <c r="F508" s="1593"/>
      <c r="G508" s="1593"/>
      <c r="H508" s="1593"/>
      <c r="I508" s="1594"/>
      <c r="J508" s="1106" t="s">
        <v>3686</v>
      </c>
      <c r="K508" s="1106" t="s">
        <v>24695</v>
      </c>
      <c r="L508" s="1614" t="s">
        <v>24683</v>
      </c>
      <c r="M508" s="1615"/>
      <c r="N508" s="1114" t="s">
        <v>24689</v>
      </c>
    </row>
    <row r="509" spans="2:14" x14ac:dyDescent="0.3">
      <c r="B509" s="1115"/>
      <c r="C509" s="1116"/>
      <c r="D509" s="1604"/>
      <c r="E509" s="1604"/>
      <c r="F509" s="1604"/>
      <c r="G509" s="1604"/>
      <c r="H509" s="1604"/>
      <c r="I509" s="1605"/>
      <c r="J509" s="462"/>
      <c r="K509" s="462"/>
      <c r="L509" s="1612"/>
      <c r="M509" s="1613"/>
      <c r="N509" s="1130"/>
    </row>
    <row r="510" spans="2:14" ht="15.75" thickBot="1" x14ac:dyDescent="0.35">
      <c r="B510" s="855"/>
      <c r="C510" s="954"/>
      <c r="D510" s="954"/>
      <c r="E510" s="954"/>
      <c r="F510" s="1110"/>
      <c r="G510" s="1110"/>
      <c r="H510" s="1110"/>
      <c r="I510" s="1110"/>
      <c r="J510" s="1110"/>
      <c r="K510" s="1110"/>
      <c r="L510" s="1110"/>
      <c r="M510" s="1111" t="s">
        <v>24698</v>
      </c>
      <c r="N510" s="1112">
        <f>SUM(N509:N509)</f>
        <v>0</v>
      </c>
    </row>
    <row r="511" spans="2:14" ht="15.75" thickBot="1" x14ac:dyDescent="0.35">
      <c r="B511" s="850"/>
      <c r="C511" s="461"/>
      <c r="D511" s="461"/>
      <c r="E511" s="461"/>
      <c r="F511" s="461"/>
      <c r="G511" s="461"/>
      <c r="H511" s="461"/>
      <c r="I511" s="461"/>
      <c r="J511" s="461"/>
      <c r="K511" s="461"/>
      <c r="L511" s="461"/>
      <c r="M511" s="461"/>
      <c r="N511" s="1113"/>
    </row>
    <row r="512" spans="2:14" ht="30" x14ac:dyDescent="0.3">
      <c r="B512" s="1104" t="s">
        <v>0</v>
      </c>
      <c r="C512" s="1106" t="s">
        <v>24673</v>
      </c>
      <c r="D512" s="1593" t="s">
        <v>24699</v>
      </c>
      <c r="E512" s="1593"/>
      <c r="F512" s="1593"/>
      <c r="G512" s="1594"/>
      <c r="H512" s="1106" t="s">
        <v>3686</v>
      </c>
      <c r="I512" s="1106" t="s">
        <v>24700</v>
      </c>
      <c r="J512" s="1106" t="s">
        <v>24701</v>
      </c>
      <c r="K512" s="1106" t="s">
        <v>24695</v>
      </c>
      <c r="L512" s="1614" t="s">
        <v>24683</v>
      </c>
      <c r="M512" s="1615"/>
      <c r="N512" s="1114" t="s">
        <v>24689</v>
      </c>
    </row>
    <row r="513" spans="2:14" x14ac:dyDescent="0.3">
      <c r="B513" s="1115"/>
      <c r="C513" s="1116"/>
      <c r="D513" s="1595"/>
      <c r="E513" s="1595"/>
      <c r="F513" s="1595"/>
      <c r="G513" s="1595"/>
      <c r="H513" s="1109"/>
      <c r="I513" s="1109"/>
      <c r="J513" s="1109"/>
      <c r="K513" s="1109"/>
      <c r="L513" s="1597"/>
      <c r="M513" s="1598"/>
      <c r="N513" s="1119"/>
    </row>
    <row r="514" spans="2:14" x14ac:dyDescent="0.3">
      <c r="B514" s="1115"/>
      <c r="C514" s="1116"/>
      <c r="D514" s="1595"/>
      <c r="E514" s="1595"/>
      <c r="F514" s="1595"/>
      <c r="G514" s="1595"/>
      <c r="H514" s="1109"/>
      <c r="I514" s="1109"/>
      <c r="J514" s="1109"/>
      <c r="K514" s="1109"/>
      <c r="L514" s="1597"/>
      <c r="M514" s="1598"/>
      <c r="N514" s="1119"/>
    </row>
    <row r="515" spans="2:14" x14ac:dyDescent="0.3">
      <c r="B515" s="1115"/>
      <c r="C515" s="1116"/>
      <c r="D515" s="1595"/>
      <c r="E515" s="1595"/>
      <c r="F515" s="1595"/>
      <c r="G515" s="1595"/>
      <c r="H515" s="1109"/>
      <c r="I515" s="1109"/>
      <c r="J515" s="1109"/>
      <c r="K515" s="1109"/>
      <c r="L515" s="1597"/>
      <c r="M515" s="1598"/>
      <c r="N515" s="1119"/>
    </row>
    <row r="516" spans="2:14" x14ac:dyDescent="0.3">
      <c r="B516" s="850"/>
      <c r="C516" s="461"/>
      <c r="D516" s="461"/>
      <c r="E516" s="461"/>
      <c r="F516" s="1120"/>
      <c r="G516" s="1120"/>
      <c r="H516" s="1120"/>
      <c r="I516" s="1120"/>
      <c r="J516" s="1120"/>
      <c r="K516" s="1120"/>
      <c r="L516" s="1120"/>
      <c r="M516" s="1121" t="s">
        <v>24702</v>
      </c>
      <c r="N516" s="1122">
        <f>SUM(N513:N515)</f>
        <v>0</v>
      </c>
    </row>
    <row r="517" spans="2:14" x14ac:dyDescent="0.3">
      <c r="B517" s="850"/>
      <c r="C517" s="461"/>
      <c r="D517" s="461"/>
      <c r="E517" s="461"/>
      <c r="F517" s="461"/>
      <c r="G517" s="461"/>
      <c r="H517" s="461"/>
      <c r="I517" s="461"/>
      <c r="J517" s="461"/>
      <c r="K517" s="461"/>
      <c r="L517" s="461"/>
      <c r="M517" s="461"/>
      <c r="N517" s="1113"/>
    </row>
    <row r="518" spans="2:14" x14ac:dyDescent="0.3">
      <c r="B518" s="1131"/>
      <c r="C518" s="1132"/>
      <c r="D518" s="1132"/>
      <c r="E518" s="1132"/>
      <c r="F518" s="1133"/>
      <c r="G518" s="1133"/>
      <c r="H518" s="1133"/>
      <c r="I518" s="1133"/>
      <c r="J518" s="1133"/>
      <c r="K518" s="1133"/>
      <c r="L518" s="1133"/>
      <c r="M518" s="1134" t="s">
        <v>24703</v>
      </c>
      <c r="N518" s="1123">
        <f>N498+N506+N510+N516</f>
        <v>13.81</v>
      </c>
    </row>
    <row r="519" spans="2:14" x14ac:dyDescent="0.3">
      <c r="B519" s="850"/>
      <c r="C519" s="461"/>
      <c r="D519" s="461"/>
      <c r="E519" s="461"/>
      <c r="F519" s="1120"/>
      <c r="G519" s="1120"/>
      <c r="H519" s="1120"/>
      <c r="I519" s="1120"/>
      <c r="J519" s="1120"/>
      <c r="K519" s="1120"/>
      <c r="L519" s="1120"/>
      <c r="M519" s="1136">
        <f>'QUIOSQUE - MOD 01'!I3</f>
        <v>0.28220000000000001</v>
      </c>
      <c r="N519" s="1123">
        <f>ROUND(N518*M519,2)</f>
        <v>3.9</v>
      </c>
    </row>
    <row r="520" spans="2:14" ht="15.75" thickBot="1" x14ac:dyDescent="0.35">
      <c r="B520" s="1599" t="s">
        <v>24704</v>
      </c>
      <c r="C520" s="1600"/>
      <c r="D520" s="1600"/>
      <c r="E520" s="1600"/>
      <c r="F520" s="1600"/>
      <c r="G520" s="1600"/>
      <c r="H520" s="1600"/>
      <c r="I520" s="1600"/>
      <c r="J520" s="1600"/>
      <c r="K520" s="1600"/>
      <c r="L520" s="1600"/>
      <c r="M520" s="1601"/>
      <c r="N520" s="1126">
        <f>N518+N519</f>
        <v>17.71</v>
      </c>
    </row>
    <row r="524" spans="2:14" ht="15.75" thickBot="1" x14ac:dyDescent="0.35"/>
    <row r="525" spans="2:14" ht="41.25" customHeight="1" x14ac:dyDescent="0.3">
      <c r="B525" s="1607" t="s">
        <v>25246</v>
      </c>
      <c r="C525" s="1608"/>
      <c r="D525" s="1609"/>
      <c r="E525" s="1610" t="s">
        <v>24669</v>
      </c>
      <c r="F525" s="1610"/>
      <c r="G525" s="1610"/>
      <c r="H525" s="1610"/>
      <c r="I525" s="1610"/>
      <c r="J525" s="1610"/>
      <c r="K525" s="1610"/>
      <c r="L525" s="1623"/>
      <c r="M525" s="1576"/>
      <c r="N525" s="1577"/>
    </row>
    <row r="526" spans="2:14" x14ac:dyDescent="0.3">
      <c r="B526" s="1103" t="s">
        <v>24670</v>
      </c>
      <c r="C526" s="1586" t="s">
        <v>25247</v>
      </c>
      <c r="D526" s="1586"/>
      <c r="E526" s="1586"/>
      <c r="F526" s="1586"/>
      <c r="G526" s="1586"/>
      <c r="H526" s="1586"/>
      <c r="I526" s="1586"/>
      <c r="J526" s="1586"/>
      <c r="K526" s="1586"/>
      <c r="L526" s="1586"/>
      <c r="M526" s="1586"/>
      <c r="N526" s="1587"/>
    </row>
    <row r="527" spans="2:14" x14ac:dyDescent="0.3">
      <c r="B527" s="1103" t="s">
        <v>24671</v>
      </c>
      <c r="C527" s="1588" t="s">
        <v>8</v>
      </c>
      <c r="D527" s="1588"/>
      <c r="E527" s="1588"/>
      <c r="F527" s="1588"/>
      <c r="G527" s="1588"/>
      <c r="H527" s="1588"/>
      <c r="I527" s="1588"/>
      <c r="J527" s="1588"/>
      <c r="K527" s="1588"/>
      <c r="L527" s="1588"/>
      <c r="M527" s="1588"/>
      <c r="N527" s="1589"/>
    </row>
    <row r="528" spans="2:14" ht="15.75" thickBot="1" x14ac:dyDescent="0.35">
      <c r="B528" s="1103" t="s">
        <v>24672</v>
      </c>
      <c r="C528" s="1590">
        <v>44501</v>
      </c>
      <c r="D528" s="1591"/>
      <c r="E528" s="1591"/>
      <c r="F528" s="1591"/>
      <c r="G528" s="1591"/>
      <c r="H528" s="1591"/>
      <c r="I528" s="1591"/>
      <c r="J528" s="1591"/>
      <c r="K528" s="1591"/>
      <c r="L528" s="1591"/>
      <c r="M528" s="1591"/>
      <c r="N528" s="1592"/>
    </row>
    <row r="529" spans="2:14" ht="30" x14ac:dyDescent="0.3">
      <c r="B529" s="1104" t="s">
        <v>0</v>
      </c>
      <c r="C529" s="1105" t="s">
        <v>24673</v>
      </c>
      <c r="D529" s="1593" t="s">
        <v>24674</v>
      </c>
      <c r="E529" s="1593"/>
      <c r="F529" s="1593"/>
      <c r="G529" s="1594"/>
      <c r="H529" s="1106" t="s">
        <v>111</v>
      </c>
      <c r="I529" s="1106" t="s">
        <v>24675</v>
      </c>
      <c r="J529" s="1106" t="s">
        <v>24676</v>
      </c>
      <c r="K529" s="1106" t="s">
        <v>24677</v>
      </c>
      <c r="L529" s="1614" t="s">
        <v>24678</v>
      </c>
      <c r="M529" s="1615"/>
      <c r="N529" s="1114" t="s">
        <v>24679</v>
      </c>
    </row>
    <row r="530" spans="2:14" x14ac:dyDescent="0.3">
      <c r="B530" s="1115"/>
      <c r="C530" s="1270"/>
      <c r="D530" s="1604"/>
      <c r="E530" s="1604"/>
      <c r="F530" s="1604"/>
      <c r="G530" s="1605"/>
      <c r="H530" s="1109"/>
      <c r="I530" s="1109"/>
      <c r="J530" s="1109"/>
      <c r="K530" s="1143"/>
      <c r="L530" s="1640"/>
      <c r="M530" s="1641"/>
      <c r="N530" s="1119"/>
    </row>
    <row r="531" spans="2:14" ht="15.75" thickBot="1" x14ac:dyDescent="0.35">
      <c r="B531" s="855"/>
      <c r="C531" s="954"/>
      <c r="D531" s="954"/>
      <c r="E531" s="954"/>
      <c r="F531" s="1110"/>
      <c r="G531" s="1110"/>
      <c r="H531" s="1110"/>
      <c r="I531" s="1110"/>
      <c r="J531" s="1110"/>
      <c r="K531" s="1110"/>
      <c r="L531" s="1110"/>
      <c r="M531" s="1111" t="s">
        <v>24680</v>
      </c>
      <c r="N531" s="1112">
        <f>SUM(N530:N530)</f>
        <v>0</v>
      </c>
    </row>
    <row r="532" spans="2:14" ht="15.75" thickBot="1" x14ac:dyDescent="0.35">
      <c r="B532" s="850"/>
      <c r="C532" s="461"/>
      <c r="D532" s="461"/>
      <c r="E532" s="461"/>
      <c r="F532" s="461"/>
      <c r="G532" s="461"/>
      <c r="H532" s="461"/>
      <c r="I532" s="461"/>
      <c r="J532" s="461"/>
      <c r="K532" s="461"/>
      <c r="L532" s="461"/>
      <c r="M532" s="461"/>
      <c r="N532" s="1113"/>
    </row>
    <row r="533" spans="2:14" ht="45" x14ac:dyDescent="0.3">
      <c r="B533" s="1104" t="s">
        <v>0</v>
      </c>
      <c r="C533" s="1105" t="s">
        <v>24673</v>
      </c>
      <c r="D533" s="1593" t="s">
        <v>24681</v>
      </c>
      <c r="E533" s="1593"/>
      <c r="F533" s="1593"/>
      <c r="G533" s="1593"/>
      <c r="H533" s="1594"/>
      <c r="I533" s="1106" t="s">
        <v>3686</v>
      </c>
      <c r="J533" s="1106" t="s">
        <v>24682</v>
      </c>
      <c r="K533" s="1106" t="s">
        <v>25177</v>
      </c>
      <c r="L533" s="1106" t="s">
        <v>25178</v>
      </c>
      <c r="M533" s="1106" t="s">
        <v>24683</v>
      </c>
      <c r="N533" s="1114" t="s">
        <v>24679</v>
      </c>
    </row>
    <row r="534" spans="2:14" x14ac:dyDescent="0.3">
      <c r="B534" s="1166">
        <v>6111</v>
      </c>
      <c r="C534" s="1116" t="s">
        <v>24706</v>
      </c>
      <c r="D534" s="1604" t="s">
        <v>25248</v>
      </c>
      <c r="E534" s="1604"/>
      <c r="F534" s="1604"/>
      <c r="G534" s="1604"/>
      <c r="H534" s="1605"/>
      <c r="I534" s="1109" t="s">
        <v>75</v>
      </c>
      <c r="J534" s="1117">
        <v>1.5727</v>
      </c>
      <c r="K534" s="1109">
        <v>11.77</v>
      </c>
      <c r="L534" s="1109">
        <f>K534*(1+J534)</f>
        <v>30.28</v>
      </c>
      <c r="M534" s="1118">
        <v>0.85</v>
      </c>
      <c r="N534" s="1119">
        <f>M534*L534</f>
        <v>25.74</v>
      </c>
    </row>
    <row r="535" spans="2:14" x14ac:dyDescent="0.3">
      <c r="B535" s="1115">
        <v>44503</v>
      </c>
      <c r="C535" s="1116" t="s">
        <v>24706</v>
      </c>
      <c r="D535" s="1604" t="s">
        <v>25249</v>
      </c>
      <c r="E535" s="1604"/>
      <c r="F535" s="1604"/>
      <c r="G535" s="1604"/>
      <c r="H535" s="1605"/>
      <c r="I535" s="1109" t="s">
        <v>75</v>
      </c>
      <c r="J535" s="1117">
        <v>1.5727</v>
      </c>
      <c r="K535" s="1109">
        <v>18.07</v>
      </c>
      <c r="L535" s="1109">
        <f>K535*(1+J535)</f>
        <v>46.49</v>
      </c>
      <c r="M535" s="1118">
        <v>0.25</v>
      </c>
      <c r="N535" s="1119">
        <f>M535*L535</f>
        <v>11.62</v>
      </c>
    </row>
    <row r="536" spans="2:14" ht="15.75" thickBot="1" x14ac:dyDescent="0.35">
      <c r="B536" s="855"/>
      <c r="C536" s="954"/>
      <c r="D536" s="954"/>
      <c r="E536" s="954"/>
      <c r="F536" s="1110"/>
      <c r="G536" s="1110"/>
      <c r="H536" s="1110"/>
      <c r="I536" s="1110"/>
      <c r="J536" s="1110"/>
      <c r="K536" s="1110"/>
      <c r="L536" s="1110"/>
      <c r="M536" s="1111" t="s">
        <v>24684</v>
      </c>
      <c r="N536" s="1112">
        <f>SUM(N534:N535)</f>
        <v>37.36</v>
      </c>
    </row>
    <row r="537" spans="2:14" ht="15.75" thickBot="1" x14ac:dyDescent="0.35">
      <c r="B537" s="850"/>
      <c r="C537" s="461"/>
      <c r="D537" s="461"/>
      <c r="E537" s="461"/>
      <c r="F537" s="461"/>
      <c r="G537" s="461"/>
      <c r="H537" s="461"/>
      <c r="I537" s="1120"/>
      <c r="J537" s="1120"/>
      <c r="K537" s="461"/>
      <c r="L537" s="461"/>
      <c r="M537" s="461"/>
      <c r="N537" s="1113"/>
    </row>
    <row r="538" spans="2:14" ht="30" x14ac:dyDescent="0.3">
      <c r="B538" s="1104" t="s">
        <v>0</v>
      </c>
      <c r="C538" s="1105" t="s">
        <v>24673</v>
      </c>
      <c r="D538" s="1593" t="s">
        <v>24685</v>
      </c>
      <c r="E538" s="1593"/>
      <c r="F538" s="1593"/>
      <c r="G538" s="1593"/>
      <c r="H538" s="1594"/>
      <c r="I538" s="1106" t="s">
        <v>2858</v>
      </c>
      <c r="J538" s="1106" t="s">
        <v>24686</v>
      </c>
      <c r="K538" s="1106" t="s">
        <v>24687</v>
      </c>
      <c r="L538" s="1614" t="s">
        <v>24688</v>
      </c>
      <c r="M538" s="1615"/>
      <c r="N538" s="1114" t="s">
        <v>24689</v>
      </c>
    </row>
    <row r="539" spans="2:14" x14ac:dyDescent="0.3">
      <c r="B539" s="1115">
        <v>2000</v>
      </c>
      <c r="C539" s="1116" t="s">
        <v>4389</v>
      </c>
      <c r="D539" s="1604" t="s">
        <v>25181</v>
      </c>
      <c r="E539" s="1604"/>
      <c r="F539" s="1604"/>
      <c r="G539" s="1604"/>
      <c r="H539" s="1605"/>
      <c r="I539" s="1109">
        <v>5</v>
      </c>
      <c r="J539" s="1109" t="s">
        <v>25182</v>
      </c>
      <c r="K539" s="1109"/>
      <c r="L539" s="1597"/>
      <c r="M539" s="1598"/>
      <c r="N539" s="1119">
        <f>N536*(I539/100)</f>
        <v>1.87</v>
      </c>
    </row>
    <row r="540" spans="2:14" x14ac:dyDescent="0.3">
      <c r="B540" s="850"/>
      <c r="C540" s="461"/>
      <c r="D540" s="461"/>
      <c r="E540" s="461"/>
      <c r="F540" s="1120"/>
      <c r="G540" s="1120"/>
      <c r="H540" s="1120"/>
      <c r="I540" s="1120"/>
      <c r="J540" s="1120"/>
      <c r="K540" s="1120"/>
      <c r="L540" s="1120"/>
      <c r="M540" s="1121" t="s">
        <v>24690</v>
      </c>
      <c r="N540" s="1122">
        <f>SUM(N539:N539)</f>
        <v>1.87</v>
      </c>
    </row>
    <row r="541" spans="2:14" x14ac:dyDescent="0.3">
      <c r="B541" s="850"/>
      <c r="C541" s="461"/>
      <c r="D541" s="461"/>
      <c r="E541" s="461"/>
      <c r="F541" s="461"/>
      <c r="G541" s="461"/>
      <c r="H541" s="461"/>
      <c r="I541" s="461"/>
      <c r="J541" s="461"/>
      <c r="K541" s="461"/>
      <c r="L541" s="461"/>
      <c r="M541" s="461"/>
      <c r="N541" s="1113"/>
    </row>
    <row r="542" spans="2:14" x14ac:dyDescent="0.3">
      <c r="B542" s="850"/>
      <c r="C542" s="461"/>
      <c r="D542" s="461"/>
      <c r="E542" s="461"/>
      <c r="F542" s="1120"/>
      <c r="G542" s="1120"/>
      <c r="H542" s="1120"/>
      <c r="I542" s="863"/>
      <c r="J542" s="863"/>
      <c r="K542" s="863"/>
      <c r="L542" s="863"/>
      <c r="M542" s="1121" t="s">
        <v>24691</v>
      </c>
      <c r="N542" s="1123">
        <f>N531+N536+N540</f>
        <v>39.229999999999997</v>
      </c>
    </row>
    <row r="543" spans="2:14" x14ac:dyDescent="0.3">
      <c r="B543" s="850"/>
      <c r="C543" s="461"/>
      <c r="D543" s="461"/>
      <c r="E543" s="461"/>
      <c r="F543" s="1120"/>
      <c r="G543" s="1120"/>
      <c r="H543" s="1120"/>
      <c r="I543" s="1120"/>
      <c r="J543" s="1124"/>
      <c r="K543" s="1124"/>
      <c r="L543" s="1124"/>
      <c r="M543" s="1125" t="s">
        <v>24692</v>
      </c>
      <c r="N543" s="1123">
        <v>1</v>
      </c>
    </row>
    <row r="544" spans="2:14" ht="15.75" thickBot="1" x14ac:dyDescent="0.35">
      <c r="B544" s="855"/>
      <c r="C544" s="954"/>
      <c r="D544" s="954"/>
      <c r="E544" s="954"/>
      <c r="F544" s="1110"/>
      <c r="G544" s="1110"/>
      <c r="H544" s="1110"/>
      <c r="I544" s="1110"/>
      <c r="J544" s="1110"/>
      <c r="K544" s="1110"/>
      <c r="L544" s="1110"/>
      <c r="M544" s="1111" t="s">
        <v>24693</v>
      </c>
      <c r="N544" s="1126">
        <f>TRUNC(N542/N543,2)</f>
        <v>39.229999999999997</v>
      </c>
    </row>
    <row r="545" spans="2:14" ht="15.75" thickBot="1" x14ac:dyDescent="0.35">
      <c r="B545" s="850"/>
      <c r="C545" s="461"/>
      <c r="D545" s="461"/>
      <c r="E545" s="461"/>
      <c r="F545" s="461"/>
      <c r="G545" s="461"/>
      <c r="H545" s="461"/>
      <c r="I545" s="461"/>
      <c r="J545" s="461"/>
      <c r="K545" s="461"/>
      <c r="L545" s="461"/>
      <c r="M545" s="461"/>
      <c r="N545" s="1113"/>
    </row>
    <row r="546" spans="2:14" ht="30" x14ac:dyDescent="0.3">
      <c r="B546" s="1104" t="s">
        <v>0</v>
      </c>
      <c r="C546" s="1105" t="s">
        <v>24673</v>
      </c>
      <c r="D546" s="1593" t="s">
        <v>24694</v>
      </c>
      <c r="E546" s="1593"/>
      <c r="F546" s="1593"/>
      <c r="G546" s="1593"/>
      <c r="H546" s="1593"/>
      <c r="I546" s="1594"/>
      <c r="J546" s="1106" t="s">
        <v>3686</v>
      </c>
      <c r="K546" s="1106" t="s">
        <v>24695</v>
      </c>
      <c r="L546" s="1614" t="s">
        <v>24683</v>
      </c>
      <c r="M546" s="1615"/>
      <c r="N546" s="1114" t="s">
        <v>24689</v>
      </c>
    </row>
    <row r="547" spans="2:14" x14ac:dyDescent="0.3">
      <c r="B547" s="1115">
        <v>38511</v>
      </c>
      <c r="C547" s="1116" t="s">
        <v>4379</v>
      </c>
      <c r="D547" s="1628" t="s">
        <v>25250</v>
      </c>
      <c r="E547" s="1604"/>
      <c r="F547" s="1604"/>
      <c r="G547" s="1604"/>
      <c r="H547" s="1604"/>
      <c r="I547" s="1605"/>
      <c r="J547" s="1109" t="s">
        <v>76</v>
      </c>
      <c r="K547" s="1109">
        <v>149.63</v>
      </c>
      <c r="L547" s="1635">
        <v>1.05</v>
      </c>
      <c r="M547" s="1636"/>
      <c r="N547" s="1119">
        <f>L547*K547</f>
        <v>157.11000000000001</v>
      </c>
    </row>
    <row r="548" spans="2:14" ht="30" x14ac:dyDescent="0.3">
      <c r="B548" s="1115" t="s">
        <v>24795</v>
      </c>
      <c r="C548" s="1116" t="s">
        <v>24793</v>
      </c>
      <c r="D548" s="1604" t="s">
        <v>25251</v>
      </c>
      <c r="E548" s="1604"/>
      <c r="F548" s="1604"/>
      <c r="G548" s="1604"/>
      <c r="H548" s="1604"/>
      <c r="I548" s="1605"/>
      <c r="J548" s="1109" t="s">
        <v>24804</v>
      </c>
      <c r="K548" s="1109">
        <f>'MAPA DE COT. - Quiosque'!H52</f>
        <v>791.67</v>
      </c>
      <c r="L548" s="1635">
        <v>1</v>
      </c>
      <c r="M548" s="1636"/>
      <c r="N548" s="1119">
        <f>L548*K548</f>
        <v>791.67</v>
      </c>
    </row>
    <row r="549" spans="2:14" ht="30" x14ac:dyDescent="0.3">
      <c r="B549" s="1115" t="s">
        <v>24795</v>
      </c>
      <c r="C549" s="1116" t="s">
        <v>24793</v>
      </c>
      <c r="D549" s="1604" t="s">
        <v>25252</v>
      </c>
      <c r="E549" s="1604"/>
      <c r="F549" s="1604"/>
      <c r="G549" s="1604"/>
      <c r="H549" s="1604"/>
      <c r="I549" s="1605"/>
      <c r="J549" s="1109" t="s">
        <v>24804</v>
      </c>
      <c r="K549" s="1109">
        <f>'MAPA DE COT. - Quiosque'!G101</f>
        <v>31.69</v>
      </c>
      <c r="L549" s="1635">
        <v>1</v>
      </c>
      <c r="M549" s="1636"/>
      <c r="N549" s="1119">
        <f>L549*K549</f>
        <v>31.69</v>
      </c>
    </row>
    <row r="550" spans="2:14" ht="15.75" thickBot="1" x14ac:dyDescent="0.35">
      <c r="B550" s="855"/>
      <c r="C550" s="954"/>
      <c r="D550" s="954"/>
      <c r="E550" s="954"/>
      <c r="F550" s="1110"/>
      <c r="G550" s="1110"/>
      <c r="H550" s="1110"/>
      <c r="I550" s="1110"/>
      <c r="J550" s="1110"/>
      <c r="K550" s="1110"/>
      <c r="L550" s="1110"/>
      <c r="M550" s="1111" t="s">
        <v>24696</v>
      </c>
      <c r="N550" s="1112">
        <f>SUM(N547:N549)</f>
        <v>980.47</v>
      </c>
    </row>
    <row r="551" spans="2:14" ht="15.75" thickBot="1" x14ac:dyDescent="0.35">
      <c r="B551" s="850"/>
      <c r="C551" s="461"/>
      <c r="D551" s="461"/>
      <c r="E551" s="461"/>
      <c r="F551" s="461"/>
      <c r="G551" s="461"/>
      <c r="H551" s="461"/>
      <c r="I551" s="461"/>
      <c r="J551" s="461"/>
      <c r="K551" s="461"/>
      <c r="L551" s="461"/>
      <c r="M551" s="461"/>
      <c r="N551" s="1113"/>
    </row>
    <row r="552" spans="2:14" ht="30" x14ac:dyDescent="0.3">
      <c r="B552" s="1104" t="s">
        <v>0</v>
      </c>
      <c r="C552" s="1106" t="s">
        <v>24673</v>
      </c>
      <c r="D552" s="1593" t="s">
        <v>24697</v>
      </c>
      <c r="E552" s="1593"/>
      <c r="F552" s="1593"/>
      <c r="G552" s="1593"/>
      <c r="H552" s="1593"/>
      <c r="I552" s="1594"/>
      <c r="J552" s="1106" t="s">
        <v>3686</v>
      </c>
      <c r="K552" s="1106" t="s">
        <v>24695</v>
      </c>
      <c r="L552" s="1614" t="s">
        <v>24683</v>
      </c>
      <c r="M552" s="1615"/>
      <c r="N552" s="1114" t="s">
        <v>24689</v>
      </c>
    </row>
    <row r="553" spans="2:14" ht="32.25" customHeight="1" x14ac:dyDescent="0.3">
      <c r="B553" s="1115"/>
      <c r="C553" s="1116"/>
      <c r="D553" s="1604"/>
      <c r="E553" s="1604"/>
      <c r="F553" s="1604"/>
      <c r="G553" s="1604"/>
      <c r="H553" s="1604"/>
      <c r="I553" s="1605"/>
      <c r="J553" s="462"/>
      <c r="K553" s="462"/>
      <c r="L553" s="1612"/>
      <c r="M553" s="1613"/>
      <c r="N553" s="1130"/>
    </row>
    <row r="554" spans="2:14" ht="15.75" thickBot="1" x14ac:dyDescent="0.35">
      <c r="B554" s="855"/>
      <c r="C554" s="954"/>
      <c r="D554" s="954"/>
      <c r="E554" s="954"/>
      <c r="F554" s="1110"/>
      <c r="G554" s="1110"/>
      <c r="H554" s="1110"/>
      <c r="I554" s="1110"/>
      <c r="J554" s="1110"/>
      <c r="K554" s="1110"/>
      <c r="L554" s="1110"/>
      <c r="M554" s="1111" t="s">
        <v>24698</v>
      </c>
      <c r="N554" s="1112">
        <f>SUM(N553:N553)</f>
        <v>0</v>
      </c>
    </row>
    <row r="555" spans="2:14" ht="15.75" thickBot="1" x14ac:dyDescent="0.35">
      <c r="B555" s="850"/>
      <c r="C555" s="461"/>
      <c r="D555" s="461"/>
      <c r="E555" s="461"/>
      <c r="F555" s="461"/>
      <c r="G555" s="461"/>
      <c r="H555" s="461"/>
      <c r="I555" s="461"/>
      <c r="J555" s="461"/>
      <c r="K555" s="461"/>
      <c r="L555" s="461"/>
      <c r="M555" s="461"/>
      <c r="N555" s="1113"/>
    </row>
    <row r="556" spans="2:14" ht="30" x14ac:dyDescent="0.3">
      <c r="B556" s="1104" t="s">
        <v>0</v>
      </c>
      <c r="C556" s="1106" t="s">
        <v>24673</v>
      </c>
      <c r="D556" s="1593" t="s">
        <v>24699</v>
      </c>
      <c r="E556" s="1593"/>
      <c r="F556" s="1593"/>
      <c r="G556" s="1594"/>
      <c r="H556" s="1106" t="s">
        <v>3686</v>
      </c>
      <c r="I556" s="1106" t="s">
        <v>24700</v>
      </c>
      <c r="J556" s="1106" t="s">
        <v>24701</v>
      </c>
      <c r="K556" s="1106" t="s">
        <v>24695</v>
      </c>
      <c r="L556" s="1614" t="s">
        <v>24683</v>
      </c>
      <c r="M556" s="1615"/>
      <c r="N556" s="1114" t="s">
        <v>24689</v>
      </c>
    </row>
    <row r="557" spans="2:14" x14ac:dyDescent="0.3">
      <c r="B557" s="1115"/>
      <c r="C557" s="1116"/>
      <c r="D557" s="1595"/>
      <c r="E557" s="1595"/>
      <c r="F557" s="1595"/>
      <c r="G557" s="1595"/>
      <c r="H557" s="1109"/>
      <c r="I557" s="1109"/>
      <c r="J557" s="1109"/>
      <c r="K557" s="1109"/>
      <c r="L557" s="1597"/>
      <c r="M557" s="1598"/>
      <c r="N557" s="1119"/>
    </row>
    <row r="558" spans="2:14" x14ac:dyDescent="0.3">
      <c r="B558" s="1115"/>
      <c r="C558" s="1116"/>
      <c r="D558" s="1595"/>
      <c r="E558" s="1595"/>
      <c r="F558" s="1595"/>
      <c r="G558" s="1595"/>
      <c r="H558" s="1109"/>
      <c r="I558" s="1109"/>
      <c r="J558" s="1109"/>
      <c r="K558" s="1109"/>
      <c r="L558" s="1597"/>
      <c r="M558" s="1598"/>
      <c r="N558" s="1119"/>
    </row>
    <row r="559" spans="2:14" x14ac:dyDescent="0.3">
      <c r="B559" s="1115"/>
      <c r="C559" s="1116"/>
      <c r="D559" s="1595"/>
      <c r="E559" s="1595"/>
      <c r="F559" s="1595"/>
      <c r="G559" s="1595"/>
      <c r="H559" s="1109"/>
      <c r="I559" s="1109"/>
      <c r="J559" s="1109"/>
      <c r="K559" s="1109"/>
      <c r="L559" s="1597"/>
      <c r="M559" s="1598"/>
      <c r="N559" s="1119"/>
    </row>
    <row r="560" spans="2:14" x14ac:dyDescent="0.3">
      <c r="B560" s="850"/>
      <c r="C560" s="461"/>
      <c r="D560" s="461"/>
      <c r="E560" s="461"/>
      <c r="F560" s="1120"/>
      <c r="G560" s="1120"/>
      <c r="H560" s="1120"/>
      <c r="I560" s="1120"/>
      <c r="J560" s="1120"/>
      <c r="K560" s="1120"/>
      <c r="L560" s="1120"/>
      <c r="M560" s="1121" t="s">
        <v>24702</v>
      </c>
      <c r="N560" s="1122">
        <f>SUM(N557:N559)</f>
        <v>0</v>
      </c>
    </row>
    <row r="561" spans="2:14" x14ac:dyDescent="0.3">
      <c r="B561" s="850"/>
      <c r="C561" s="461"/>
      <c r="D561" s="461"/>
      <c r="E561" s="461"/>
      <c r="F561" s="461"/>
      <c r="G561" s="461"/>
      <c r="H561" s="461"/>
      <c r="I561" s="461"/>
      <c r="J561" s="461"/>
      <c r="K561" s="461"/>
      <c r="L561" s="461"/>
      <c r="M561" s="461"/>
      <c r="N561" s="1113"/>
    </row>
    <row r="562" spans="2:14" x14ac:dyDescent="0.3">
      <c r="B562" s="1131"/>
      <c r="C562" s="1132"/>
      <c r="D562" s="1132"/>
      <c r="E562" s="1132"/>
      <c r="F562" s="1133"/>
      <c r="G562" s="1133"/>
      <c r="H562" s="1133"/>
      <c r="I562" s="1133"/>
      <c r="J562" s="1133"/>
      <c r="K562" s="1133"/>
      <c r="L562" s="1133"/>
      <c r="M562" s="1134" t="s">
        <v>24703</v>
      </c>
      <c r="N562" s="1123">
        <f>N544+N550+N554+N560</f>
        <v>1019.7</v>
      </c>
    </row>
    <row r="563" spans="2:14" x14ac:dyDescent="0.3">
      <c r="B563" s="850"/>
      <c r="C563" s="461"/>
      <c r="D563" s="461"/>
      <c r="E563" s="461"/>
      <c r="F563" s="1120"/>
      <c r="G563" s="1120"/>
      <c r="H563" s="1120"/>
      <c r="I563" s="1120"/>
      <c r="J563" s="1120"/>
      <c r="K563" s="1120"/>
      <c r="L563" s="1120"/>
      <c r="M563" s="1136">
        <f>'QUIOSQUE - MOD 01'!I3</f>
        <v>0.28220000000000001</v>
      </c>
      <c r="N563" s="1123">
        <f>ROUND(N562*M563,2)</f>
        <v>287.76</v>
      </c>
    </row>
    <row r="564" spans="2:14" ht="15.75" thickBot="1" x14ac:dyDescent="0.35">
      <c r="B564" s="1599" t="s">
        <v>24704</v>
      </c>
      <c r="C564" s="1600"/>
      <c r="D564" s="1600"/>
      <c r="E564" s="1600"/>
      <c r="F564" s="1600"/>
      <c r="G564" s="1600"/>
      <c r="H564" s="1600"/>
      <c r="I564" s="1600"/>
      <c r="J564" s="1600"/>
      <c r="K564" s="1600"/>
      <c r="L564" s="1600"/>
      <c r="M564" s="1601"/>
      <c r="N564" s="1126">
        <f>N562+N563</f>
        <v>1307.46</v>
      </c>
    </row>
    <row r="567" spans="2:14" ht="15.75" thickBot="1" x14ac:dyDescent="0.35"/>
    <row r="568" spans="2:14" ht="39" customHeight="1" x14ac:dyDescent="0.3">
      <c r="B568" s="1607" t="s">
        <v>25253</v>
      </c>
      <c r="C568" s="1608"/>
      <c r="D568" s="1609"/>
      <c r="E568" s="1610" t="s">
        <v>24669</v>
      </c>
      <c r="F568" s="1610"/>
      <c r="G568" s="1610"/>
      <c r="H568" s="1610"/>
      <c r="I568" s="1610"/>
      <c r="J568" s="1610"/>
      <c r="K568" s="1610"/>
      <c r="L568" s="1623"/>
      <c r="M568" s="1576"/>
      <c r="N568" s="1577"/>
    </row>
    <row r="569" spans="2:14" ht="15" customHeight="1" x14ac:dyDescent="0.3">
      <c r="B569" s="1103" t="s">
        <v>24670</v>
      </c>
      <c r="C569" s="1586" t="s">
        <v>25254</v>
      </c>
      <c r="D569" s="1586"/>
      <c r="E569" s="1586"/>
      <c r="F569" s="1586"/>
      <c r="G569" s="1586"/>
      <c r="H569" s="1586"/>
      <c r="I569" s="1586"/>
      <c r="J569" s="1586"/>
      <c r="K569" s="1586"/>
      <c r="L569" s="1586"/>
      <c r="M569" s="1586"/>
      <c r="N569" s="1587"/>
    </row>
    <row r="570" spans="2:14" x14ac:dyDescent="0.3">
      <c r="B570" s="1103" t="s">
        <v>24671</v>
      </c>
      <c r="C570" s="1588" t="s">
        <v>8</v>
      </c>
      <c r="D570" s="1588"/>
      <c r="E570" s="1588"/>
      <c r="F570" s="1588"/>
      <c r="G570" s="1588"/>
      <c r="H570" s="1588"/>
      <c r="I570" s="1588"/>
      <c r="J570" s="1588"/>
      <c r="K570" s="1588"/>
      <c r="L570" s="1588"/>
      <c r="M570" s="1588"/>
      <c r="N570" s="1589"/>
    </row>
    <row r="571" spans="2:14" ht="15.75" thickBot="1" x14ac:dyDescent="0.35">
      <c r="B571" s="1103" t="s">
        <v>24672</v>
      </c>
      <c r="C571" s="1590">
        <v>44501</v>
      </c>
      <c r="D571" s="1591"/>
      <c r="E571" s="1591"/>
      <c r="F571" s="1591"/>
      <c r="G571" s="1591"/>
      <c r="H571" s="1591"/>
      <c r="I571" s="1591"/>
      <c r="J571" s="1591"/>
      <c r="K571" s="1591"/>
      <c r="L571" s="1591"/>
      <c r="M571" s="1591"/>
      <c r="N571" s="1592"/>
    </row>
    <row r="572" spans="2:14" ht="30" x14ac:dyDescent="0.3">
      <c r="B572" s="1104" t="s">
        <v>0</v>
      </c>
      <c r="C572" s="1105" t="s">
        <v>24673</v>
      </c>
      <c r="D572" s="1593" t="s">
        <v>24674</v>
      </c>
      <c r="E572" s="1593"/>
      <c r="F572" s="1593"/>
      <c r="G572" s="1594"/>
      <c r="H572" s="1106" t="s">
        <v>111</v>
      </c>
      <c r="I572" s="1106" t="s">
        <v>24675</v>
      </c>
      <c r="J572" s="1106" t="s">
        <v>24676</v>
      </c>
      <c r="K572" s="1106" t="s">
        <v>24677</v>
      </c>
      <c r="L572" s="1614" t="s">
        <v>24678</v>
      </c>
      <c r="M572" s="1615"/>
      <c r="N572" s="1114" t="s">
        <v>24679</v>
      </c>
    </row>
    <row r="573" spans="2:14" x14ac:dyDescent="0.3">
      <c r="B573" s="1115"/>
      <c r="C573" s="1270"/>
      <c r="D573" s="1604"/>
      <c r="E573" s="1604"/>
      <c r="F573" s="1604"/>
      <c r="G573" s="1605"/>
      <c r="H573" s="1109"/>
      <c r="I573" s="1109"/>
      <c r="J573" s="1109"/>
      <c r="K573" s="1143"/>
      <c r="L573" s="1640"/>
      <c r="M573" s="1641"/>
      <c r="N573" s="1119"/>
    </row>
    <row r="574" spans="2:14" ht="15.75" thickBot="1" x14ac:dyDescent="0.35">
      <c r="B574" s="855"/>
      <c r="C574" s="954"/>
      <c r="D574" s="954"/>
      <c r="E574" s="954"/>
      <c r="F574" s="1110"/>
      <c r="G574" s="1110"/>
      <c r="H574" s="1110"/>
      <c r="I574" s="1110"/>
      <c r="J574" s="1110"/>
      <c r="K574" s="1110"/>
      <c r="L574" s="1110"/>
      <c r="M574" s="1111" t="s">
        <v>24680</v>
      </c>
      <c r="N574" s="1112">
        <f>SUM(N573:N573)</f>
        <v>0</v>
      </c>
    </row>
    <row r="575" spans="2:14" ht="15.75" thickBot="1" x14ac:dyDescent="0.35">
      <c r="B575" s="850"/>
      <c r="C575" s="461"/>
      <c r="D575" s="461"/>
      <c r="E575" s="461"/>
      <c r="F575" s="461"/>
      <c r="G575" s="461"/>
      <c r="H575" s="461"/>
      <c r="I575" s="461"/>
      <c r="J575" s="461"/>
      <c r="K575" s="461"/>
      <c r="L575" s="461"/>
      <c r="M575" s="461"/>
      <c r="N575" s="1113"/>
    </row>
    <row r="576" spans="2:14" ht="45" x14ac:dyDescent="0.3">
      <c r="B576" s="1104" t="s">
        <v>0</v>
      </c>
      <c r="C576" s="1105" t="s">
        <v>24673</v>
      </c>
      <c r="D576" s="1593" t="s">
        <v>24681</v>
      </c>
      <c r="E576" s="1593"/>
      <c r="F576" s="1593"/>
      <c r="G576" s="1593"/>
      <c r="H576" s="1594"/>
      <c r="I576" s="1106" t="s">
        <v>3686</v>
      </c>
      <c r="J576" s="1106" t="s">
        <v>24682</v>
      </c>
      <c r="K576" s="1106" t="s">
        <v>25177</v>
      </c>
      <c r="L576" s="1106" t="s">
        <v>25178</v>
      </c>
      <c r="M576" s="1106" t="s">
        <v>24683</v>
      </c>
      <c r="N576" s="1114" t="s">
        <v>24679</v>
      </c>
    </row>
    <row r="577" spans="2:14" ht="15" customHeight="1" x14ac:dyDescent="0.3">
      <c r="B577" s="1166">
        <v>6111</v>
      </c>
      <c r="C577" s="1116" t="s">
        <v>24706</v>
      </c>
      <c r="D577" s="1604" t="s">
        <v>25248</v>
      </c>
      <c r="E577" s="1604"/>
      <c r="F577" s="1604"/>
      <c r="G577" s="1604"/>
      <c r="H577" s="1605"/>
      <c r="I577" s="1109" t="s">
        <v>75</v>
      </c>
      <c r="J577" s="1117">
        <v>1.5727</v>
      </c>
      <c r="K577" s="1109">
        <v>11.77</v>
      </c>
      <c r="L577" s="1109">
        <f>K577*(1+J577)</f>
        <v>30.28</v>
      </c>
      <c r="M577" s="1118">
        <v>0.43</v>
      </c>
      <c r="N577" s="1119">
        <f>M577*L577</f>
        <v>13.02</v>
      </c>
    </row>
    <row r="578" spans="2:14" ht="15" customHeight="1" x14ac:dyDescent="0.3">
      <c r="B578" s="1115">
        <v>44503</v>
      </c>
      <c r="C578" s="1116" t="s">
        <v>24706</v>
      </c>
      <c r="D578" s="1604" t="s">
        <v>25249</v>
      </c>
      <c r="E578" s="1604"/>
      <c r="F578" s="1604"/>
      <c r="G578" s="1604"/>
      <c r="H578" s="1605"/>
      <c r="I578" s="1109" t="s">
        <v>75</v>
      </c>
      <c r="J578" s="1117">
        <v>1.5727</v>
      </c>
      <c r="K578" s="1109">
        <v>18.07</v>
      </c>
      <c r="L578" s="1109">
        <f>K578*(1+J578)</f>
        <v>46.49</v>
      </c>
      <c r="M578" s="1118">
        <v>0.03</v>
      </c>
      <c r="N578" s="1119">
        <f>M578*L578</f>
        <v>1.39</v>
      </c>
    </row>
    <row r="579" spans="2:14" ht="15.75" thickBot="1" x14ac:dyDescent="0.35">
      <c r="B579" s="855"/>
      <c r="C579" s="954"/>
      <c r="D579" s="954"/>
      <c r="E579" s="954"/>
      <c r="F579" s="1110"/>
      <c r="G579" s="1110"/>
      <c r="H579" s="1110"/>
      <c r="I579" s="1110"/>
      <c r="J579" s="1110"/>
      <c r="K579" s="1110"/>
      <c r="L579" s="1110"/>
      <c r="M579" s="1111" t="s">
        <v>24684</v>
      </c>
      <c r="N579" s="1112">
        <f>SUM(N577:N578)</f>
        <v>14.41</v>
      </c>
    </row>
    <row r="580" spans="2:14" ht="15.75" thickBot="1" x14ac:dyDescent="0.35">
      <c r="B580" s="850"/>
      <c r="C580" s="461"/>
      <c r="D580" s="461"/>
      <c r="E580" s="461"/>
      <c r="F580" s="461"/>
      <c r="G580" s="461"/>
      <c r="H580" s="461"/>
      <c r="I580" s="1120"/>
      <c r="J580" s="1120"/>
      <c r="K580" s="461"/>
      <c r="L580" s="461"/>
      <c r="M580" s="461"/>
      <c r="N580" s="1113"/>
    </row>
    <row r="581" spans="2:14" ht="30" x14ac:dyDescent="0.3">
      <c r="B581" s="1104" t="s">
        <v>0</v>
      </c>
      <c r="C581" s="1105" t="s">
        <v>24673</v>
      </c>
      <c r="D581" s="1593" t="s">
        <v>24685</v>
      </c>
      <c r="E581" s="1593"/>
      <c r="F581" s="1593"/>
      <c r="G581" s="1593"/>
      <c r="H581" s="1594"/>
      <c r="I581" s="1106" t="s">
        <v>2858</v>
      </c>
      <c r="J581" s="1106" t="s">
        <v>24686</v>
      </c>
      <c r="K581" s="1106" t="s">
        <v>24687</v>
      </c>
      <c r="L581" s="1614" t="s">
        <v>24688</v>
      </c>
      <c r="M581" s="1615"/>
      <c r="N581" s="1114" t="s">
        <v>24689</v>
      </c>
    </row>
    <row r="582" spans="2:14" x14ac:dyDescent="0.3">
      <c r="B582" s="1115">
        <v>2000</v>
      </c>
      <c r="C582" s="1116" t="s">
        <v>4389</v>
      </c>
      <c r="D582" s="1604" t="s">
        <v>25181</v>
      </c>
      <c r="E582" s="1604"/>
      <c r="F582" s="1604"/>
      <c r="G582" s="1604"/>
      <c r="H582" s="1605"/>
      <c r="I582" s="1109">
        <v>5</v>
      </c>
      <c r="J582" s="1109" t="s">
        <v>25182</v>
      </c>
      <c r="K582" s="1109"/>
      <c r="L582" s="1597"/>
      <c r="M582" s="1598"/>
      <c r="N582" s="1119">
        <f>N579*(I582/100)</f>
        <v>0.72</v>
      </c>
    </row>
    <row r="583" spans="2:14" x14ac:dyDescent="0.3">
      <c r="B583" s="850"/>
      <c r="C583" s="461"/>
      <c r="D583" s="461"/>
      <c r="E583" s="461"/>
      <c r="F583" s="1120"/>
      <c r="G583" s="1120"/>
      <c r="H583" s="1120"/>
      <c r="I583" s="1120"/>
      <c r="J583" s="1120"/>
      <c r="K583" s="1120"/>
      <c r="L583" s="1120"/>
      <c r="M583" s="1121" t="s">
        <v>24690</v>
      </c>
      <c r="N583" s="1122">
        <f>SUM(N582:N582)</f>
        <v>0.72</v>
      </c>
    </row>
    <row r="584" spans="2:14" x14ac:dyDescent="0.3">
      <c r="B584" s="850"/>
      <c r="C584" s="461"/>
      <c r="D584" s="461"/>
      <c r="E584" s="461"/>
      <c r="F584" s="461"/>
      <c r="G584" s="461"/>
      <c r="H584" s="461"/>
      <c r="I584" s="461"/>
      <c r="J584" s="461"/>
      <c r="K584" s="461"/>
      <c r="L584" s="461"/>
      <c r="M584" s="461"/>
      <c r="N584" s="1113"/>
    </row>
    <row r="585" spans="2:14" x14ac:dyDescent="0.3">
      <c r="B585" s="850"/>
      <c r="C585" s="461"/>
      <c r="D585" s="461"/>
      <c r="E585" s="461"/>
      <c r="F585" s="1120"/>
      <c r="G585" s="1120"/>
      <c r="H585" s="1120"/>
      <c r="I585" s="863"/>
      <c r="J585" s="863"/>
      <c r="K585" s="863"/>
      <c r="L585" s="863"/>
      <c r="M585" s="1121" t="s">
        <v>24691</v>
      </c>
      <c r="N585" s="1123">
        <f>N574+N579+N583</f>
        <v>15.13</v>
      </c>
    </row>
    <row r="586" spans="2:14" x14ac:dyDescent="0.3">
      <c r="B586" s="850"/>
      <c r="C586" s="461"/>
      <c r="D586" s="461"/>
      <c r="E586" s="461"/>
      <c r="F586" s="1120"/>
      <c r="G586" s="1120"/>
      <c r="H586" s="1120"/>
      <c r="I586" s="1120"/>
      <c r="J586" s="1124"/>
      <c r="K586" s="1124"/>
      <c r="L586" s="1124"/>
      <c r="M586" s="1125" t="s">
        <v>24692</v>
      </c>
      <c r="N586" s="1123">
        <v>1</v>
      </c>
    </row>
    <row r="587" spans="2:14" ht="15.75" thickBot="1" x14ac:dyDescent="0.35">
      <c r="B587" s="855"/>
      <c r="C587" s="954"/>
      <c r="D587" s="954"/>
      <c r="E587" s="954"/>
      <c r="F587" s="1110"/>
      <c r="G587" s="1110"/>
      <c r="H587" s="1110"/>
      <c r="I587" s="1110"/>
      <c r="J587" s="1110"/>
      <c r="K587" s="1110"/>
      <c r="L587" s="1110"/>
      <c r="M587" s="1111" t="s">
        <v>24693</v>
      </c>
      <c r="N587" s="1126">
        <f>TRUNC(N585/N586,2)</f>
        <v>15.13</v>
      </c>
    </row>
    <row r="588" spans="2:14" ht="15.75" thickBot="1" x14ac:dyDescent="0.35">
      <c r="B588" s="850"/>
      <c r="C588" s="461"/>
      <c r="D588" s="461"/>
      <c r="E588" s="461"/>
      <c r="F588" s="461"/>
      <c r="G588" s="461"/>
      <c r="H588" s="461"/>
      <c r="I588" s="461"/>
      <c r="J588" s="461"/>
      <c r="K588" s="461"/>
      <c r="L588" s="461"/>
      <c r="M588" s="461"/>
      <c r="N588" s="1113"/>
    </row>
    <row r="589" spans="2:14" ht="30" x14ac:dyDescent="0.3">
      <c r="B589" s="1104" t="s">
        <v>0</v>
      </c>
      <c r="C589" s="1105" t="s">
        <v>24673</v>
      </c>
      <c r="D589" s="1593" t="s">
        <v>24694</v>
      </c>
      <c r="E589" s="1593"/>
      <c r="F589" s="1593"/>
      <c r="G589" s="1593"/>
      <c r="H589" s="1593"/>
      <c r="I589" s="1594"/>
      <c r="J589" s="1106" t="s">
        <v>3686</v>
      </c>
      <c r="K589" s="1106" t="s">
        <v>24695</v>
      </c>
      <c r="L589" s="1614" t="s">
        <v>24683</v>
      </c>
      <c r="M589" s="1615"/>
      <c r="N589" s="1114" t="s">
        <v>24689</v>
      </c>
    </row>
    <row r="590" spans="2:14" ht="36" customHeight="1" x14ac:dyDescent="0.3">
      <c r="B590" s="1115"/>
      <c r="C590" s="1116" t="s">
        <v>24793</v>
      </c>
      <c r="D590" s="1628" t="s">
        <v>25255</v>
      </c>
      <c r="E590" s="1604"/>
      <c r="F590" s="1604"/>
      <c r="G590" s="1604"/>
      <c r="H590" s="1604"/>
      <c r="I590" s="1605"/>
      <c r="J590" s="1109" t="s">
        <v>8</v>
      </c>
      <c r="K590" s="1109">
        <f>'MAPA DE COT. - Quiosque'!H336</f>
        <v>30.57</v>
      </c>
      <c r="L590" s="1597">
        <v>1</v>
      </c>
      <c r="M590" s="1598"/>
      <c r="N590" s="1119">
        <f>K590*L590</f>
        <v>30.57</v>
      </c>
    </row>
    <row r="591" spans="2:14" x14ac:dyDescent="0.3">
      <c r="B591" s="1115">
        <v>38511</v>
      </c>
      <c r="C591" s="1116" t="s">
        <v>4379</v>
      </c>
      <c r="D591" s="1628" t="s">
        <v>25250</v>
      </c>
      <c r="E591" s="1604"/>
      <c r="F591" s="1604"/>
      <c r="G591" s="1604"/>
      <c r="H591" s="1604"/>
      <c r="I591" s="1605"/>
      <c r="J591" s="1109" t="s">
        <v>76</v>
      </c>
      <c r="K591" s="1109">
        <v>149.63</v>
      </c>
      <c r="L591" s="1635">
        <v>0.2</v>
      </c>
      <c r="M591" s="1636"/>
      <c r="N591" s="1119">
        <f>L591*K591</f>
        <v>29.93</v>
      </c>
    </row>
    <row r="592" spans="2:14" ht="30" x14ac:dyDescent="0.3">
      <c r="B592" s="1115" t="s">
        <v>24795</v>
      </c>
      <c r="C592" s="1116" t="s">
        <v>24793</v>
      </c>
      <c r="D592" s="1604" t="s">
        <v>25256</v>
      </c>
      <c r="E592" s="1604"/>
      <c r="F592" s="1604"/>
      <c r="G592" s="1604"/>
      <c r="H592" s="1604"/>
      <c r="I592" s="1605"/>
      <c r="J592" s="1109" t="s">
        <v>8</v>
      </c>
      <c r="K592" s="1109">
        <f>'MAPA DE COT. - Quiosque'!G137</f>
        <v>193.3</v>
      </c>
      <c r="L592" s="1635">
        <v>1</v>
      </c>
      <c r="M592" s="1636"/>
      <c r="N592" s="1119">
        <f>L592*K592</f>
        <v>193.3</v>
      </c>
    </row>
    <row r="593" spans="2:14" ht="30" x14ac:dyDescent="0.3">
      <c r="B593" s="1115" t="s">
        <v>24795</v>
      </c>
      <c r="C593" s="1116" t="s">
        <v>24793</v>
      </c>
      <c r="D593" s="1628" t="s">
        <v>25257</v>
      </c>
      <c r="E593" s="1604"/>
      <c r="F593" s="1604"/>
      <c r="G593" s="1604"/>
      <c r="H593" s="1604"/>
      <c r="I593" s="1605"/>
      <c r="J593" s="1109" t="s">
        <v>8</v>
      </c>
      <c r="K593" s="1109">
        <f>'MAPA DE COT. - Quiosque'!G125</f>
        <v>55.55</v>
      </c>
      <c r="L593" s="1635">
        <v>1</v>
      </c>
      <c r="M593" s="1636"/>
      <c r="N593" s="1119">
        <f>L593*K593</f>
        <v>55.55</v>
      </c>
    </row>
    <row r="594" spans="2:14" ht="15" customHeight="1" thickBot="1" x14ac:dyDescent="0.35">
      <c r="B594" s="855"/>
      <c r="C594" s="954"/>
      <c r="D594" s="954"/>
      <c r="E594" s="954"/>
      <c r="F594" s="1110"/>
      <c r="G594" s="1110"/>
      <c r="H594" s="1110"/>
      <c r="I594" s="1110"/>
      <c r="J594" s="1110"/>
      <c r="K594" s="1110"/>
      <c r="L594" s="1110"/>
      <c r="M594" s="1111" t="s">
        <v>24696</v>
      </c>
      <c r="N594" s="1112">
        <f>SUM(N590:N593)</f>
        <v>309.35000000000002</v>
      </c>
    </row>
    <row r="595" spans="2:14" ht="15.75" thickBot="1" x14ac:dyDescent="0.35">
      <c r="B595" s="850"/>
      <c r="C595" s="461"/>
      <c r="D595" s="461"/>
      <c r="E595" s="461"/>
      <c r="F595" s="461"/>
      <c r="G595" s="461"/>
      <c r="H595" s="461"/>
      <c r="I595" s="461"/>
      <c r="J595" s="461"/>
      <c r="K595" s="461"/>
      <c r="L595" s="461"/>
      <c r="M595" s="461"/>
      <c r="N595" s="1113"/>
    </row>
    <row r="596" spans="2:14" ht="30" x14ac:dyDescent="0.3">
      <c r="B596" s="1104" t="s">
        <v>0</v>
      </c>
      <c r="C596" s="1106" t="s">
        <v>24673</v>
      </c>
      <c r="D596" s="1593" t="s">
        <v>24697</v>
      </c>
      <c r="E596" s="1593"/>
      <c r="F596" s="1593"/>
      <c r="G596" s="1593"/>
      <c r="H596" s="1593"/>
      <c r="I596" s="1594"/>
      <c r="J596" s="1106" t="s">
        <v>3686</v>
      </c>
      <c r="K596" s="1106" t="s">
        <v>24695</v>
      </c>
      <c r="L596" s="1614" t="s">
        <v>24683</v>
      </c>
      <c r="M596" s="1615"/>
      <c r="N596" s="1114" t="s">
        <v>24689</v>
      </c>
    </row>
    <row r="597" spans="2:14" x14ac:dyDescent="0.3">
      <c r="B597" s="1115"/>
      <c r="C597" s="1116"/>
      <c r="D597" s="1604"/>
      <c r="E597" s="1604"/>
      <c r="F597" s="1604"/>
      <c r="G597" s="1604"/>
      <c r="H597" s="1604"/>
      <c r="I597" s="1605"/>
      <c r="J597" s="462"/>
      <c r="K597" s="462"/>
      <c r="L597" s="1612"/>
      <c r="M597" s="1613"/>
      <c r="N597" s="1130"/>
    </row>
    <row r="598" spans="2:14" ht="15" customHeight="1" thickBot="1" x14ac:dyDescent="0.35">
      <c r="B598" s="855"/>
      <c r="C598" s="954"/>
      <c r="D598" s="954"/>
      <c r="E598" s="954"/>
      <c r="F598" s="1110"/>
      <c r="G598" s="1110"/>
      <c r="H598" s="1110"/>
      <c r="I598" s="1110"/>
      <c r="J598" s="1110"/>
      <c r="K598" s="1110"/>
      <c r="L598" s="1110"/>
      <c r="M598" s="1111" t="s">
        <v>24698</v>
      </c>
      <c r="N598" s="1112">
        <f>SUM(N597:N597)</f>
        <v>0</v>
      </c>
    </row>
    <row r="599" spans="2:14" ht="15" customHeight="1" thickBot="1" x14ac:dyDescent="0.35">
      <c r="B599" s="850"/>
      <c r="C599" s="461"/>
      <c r="D599" s="461"/>
      <c r="E599" s="461"/>
      <c r="F599" s="461"/>
      <c r="G599" s="461"/>
      <c r="H599" s="461"/>
      <c r="I599" s="461"/>
      <c r="J599" s="461"/>
      <c r="K599" s="461"/>
      <c r="L599" s="461"/>
      <c r="M599" s="461"/>
      <c r="N599" s="1113"/>
    </row>
    <row r="600" spans="2:14" ht="30" x14ac:dyDescent="0.3">
      <c r="B600" s="1104" t="s">
        <v>0</v>
      </c>
      <c r="C600" s="1106" t="s">
        <v>24673</v>
      </c>
      <c r="D600" s="1593" t="s">
        <v>24699</v>
      </c>
      <c r="E600" s="1593"/>
      <c r="F600" s="1593"/>
      <c r="G600" s="1594"/>
      <c r="H600" s="1106" t="s">
        <v>3686</v>
      </c>
      <c r="I600" s="1106" t="s">
        <v>24700</v>
      </c>
      <c r="J600" s="1106" t="s">
        <v>24701</v>
      </c>
      <c r="K600" s="1106" t="s">
        <v>24695</v>
      </c>
      <c r="L600" s="1614" t="s">
        <v>24683</v>
      </c>
      <c r="M600" s="1615"/>
      <c r="N600" s="1114" t="s">
        <v>24689</v>
      </c>
    </row>
    <row r="601" spans="2:14" x14ac:dyDescent="0.3">
      <c r="B601" s="1115"/>
      <c r="C601" s="1116"/>
      <c r="D601" s="1595"/>
      <c r="E601" s="1595"/>
      <c r="F601" s="1595"/>
      <c r="G601" s="1595"/>
      <c r="H601" s="1109"/>
      <c r="I601" s="1109"/>
      <c r="J601" s="1109"/>
      <c r="K601" s="1109"/>
      <c r="L601" s="1597"/>
      <c r="M601" s="1598"/>
      <c r="N601" s="1119"/>
    </row>
    <row r="602" spans="2:14" x14ac:dyDescent="0.3">
      <c r="B602" s="1115"/>
      <c r="C602" s="1116"/>
      <c r="D602" s="1595"/>
      <c r="E602" s="1595"/>
      <c r="F602" s="1595"/>
      <c r="G602" s="1595"/>
      <c r="H602" s="1109"/>
      <c r="I602" s="1109"/>
      <c r="J602" s="1109"/>
      <c r="K602" s="1109"/>
      <c r="L602" s="1597"/>
      <c r="M602" s="1598"/>
      <c r="N602" s="1119"/>
    </row>
    <row r="603" spans="2:14" ht="15" customHeight="1" x14ac:dyDescent="0.3">
      <c r="B603" s="1115"/>
      <c r="C603" s="1116"/>
      <c r="D603" s="1595"/>
      <c r="E603" s="1595"/>
      <c r="F603" s="1595"/>
      <c r="G603" s="1595"/>
      <c r="H603" s="1109"/>
      <c r="I603" s="1109"/>
      <c r="J603" s="1109"/>
      <c r="K603" s="1109"/>
      <c r="L603" s="1597"/>
      <c r="M603" s="1598"/>
      <c r="N603" s="1119"/>
    </row>
    <row r="604" spans="2:14" x14ac:dyDescent="0.3">
      <c r="B604" s="850"/>
      <c r="C604" s="461"/>
      <c r="D604" s="461"/>
      <c r="E604" s="461"/>
      <c r="F604" s="1120"/>
      <c r="G604" s="1120"/>
      <c r="H604" s="1120"/>
      <c r="I604" s="1120"/>
      <c r="J604" s="1120"/>
      <c r="K604" s="1120"/>
      <c r="L604" s="1120"/>
      <c r="M604" s="1121" t="s">
        <v>24702</v>
      </c>
      <c r="N604" s="1122">
        <f>SUM(N601:N603)</f>
        <v>0</v>
      </c>
    </row>
    <row r="605" spans="2:14" x14ac:dyDescent="0.3">
      <c r="B605" s="850"/>
      <c r="C605" s="461"/>
      <c r="D605" s="461"/>
      <c r="E605" s="461"/>
      <c r="F605" s="461"/>
      <c r="G605" s="461"/>
      <c r="H605" s="461"/>
      <c r="I605" s="461"/>
      <c r="J605" s="461"/>
      <c r="K605" s="461"/>
      <c r="L605" s="461"/>
      <c r="M605" s="461"/>
      <c r="N605" s="1113"/>
    </row>
    <row r="606" spans="2:14" x14ac:dyDescent="0.3">
      <c r="B606" s="1131"/>
      <c r="C606" s="1132"/>
      <c r="D606" s="1132"/>
      <c r="E606" s="1132"/>
      <c r="F606" s="1133"/>
      <c r="G606" s="1133"/>
      <c r="H606" s="1133"/>
      <c r="I606" s="1133"/>
      <c r="J606" s="1133"/>
      <c r="K606" s="1133"/>
      <c r="L606" s="1133"/>
      <c r="M606" s="1134" t="s">
        <v>24703</v>
      </c>
      <c r="N606" s="1123">
        <f>N587+N594+N598+N604</f>
        <v>324.48</v>
      </c>
    </row>
    <row r="607" spans="2:14" x14ac:dyDescent="0.3">
      <c r="B607" s="850"/>
      <c r="C607" s="461"/>
      <c r="D607" s="461"/>
      <c r="E607" s="461"/>
      <c r="F607" s="1120"/>
      <c r="G607" s="1120"/>
      <c r="H607" s="1120"/>
      <c r="I607" s="1120"/>
      <c r="J607" s="1120"/>
      <c r="K607" s="1120"/>
      <c r="L607" s="1120"/>
      <c r="M607" s="1136">
        <f>'QUIOSQUE - MOD 01'!I3</f>
        <v>0.28220000000000001</v>
      </c>
      <c r="N607" s="1123">
        <f>ROUND(N606*M607,2)</f>
        <v>91.57</v>
      </c>
    </row>
    <row r="608" spans="2:14" ht="15.75" thickBot="1" x14ac:dyDescent="0.35">
      <c r="B608" s="1599" t="s">
        <v>24704</v>
      </c>
      <c r="C608" s="1600"/>
      <c r="D608" s="1600"/>
      <c r="E608" s="1600"/>
      <c r="F608" s="1600"/>
      <c r="G608" s="1600"/>
      <c r="H608" s="1600"/>
      <c r="I608" s="1600"/>
      <c r="J608" s="1600"/>
      <c r="K608" s="1600"/>
      <c r="L608" s="1600"/>
      <c r="M608" s="1601"/>
      <c r="N608" s="1126">
        <f>N606+N607</f>
        <v>416.05</v>
      </c>
    </row>
    <row r="612" spans="2:14" ht="15.75" thickBot="1" x14ac:dyDescent="0.35"/>
    <row r="613" spans="2:14" ht="42" customHeight="1" x14ac:dyDescent="0.3">
      <c r="B613" s="1607" t="s">
        <v>25258</v>
      </c>
      <c r="C613" s="1608"/>
      <c r="D613" s="1609"/>
      <c r="E613" s="1610" t="s">
        <v>24669</v>
      </c>
      <c r="F613" s="1610"/>
      <c r="G613" s="1610"/>
      <c r="H613" s="1610"/>
      <c r="I613" s="1610"/>
      <c r="J613" s="1610"/>
      <c r="K613" s="1610"/>
      <c r="L613" s="1623"/>
      <c r="M613" s="1576"/>
      <c r="N613" s="1577"/>
    </row>
    <row r="614" spans="2:14" x14ac:dyDescent="0.3">
      <c r="B614" s="1103" t="s">
        <v>24670</v>
      </c>
      <c r="C614" s="1586" t="s">
        <v>25260</v>
      </c>
      <c r="D614" s="1586"/>
      <c r="E614" s="1586"/>
      <c r="F614" s="1586"/>
      <c r="G614" s="1586"/>
      <c r="H614" s="1586"/>
      <c r="I614" s="1586"/>
      <c r="J614" s="1586"/>
      <c r="K614" s="1586"/>
      <c r="L614" s="1586"/>
      <c r="M614" s="1586"/>
      <c r="N614" s="1587"/>
    </row>
    <row r="615" spans="2:14" x14ac:dyDescent="0.3">
      <c r="B615" s="1103" t="s">
        <v>24671</v>
      </c>
      <c r="C615" s="1588" t="s">
        <v>5</v>
      </c>
      <c r="D615" s="1588"/>
      <c r="E615" s="1588"/>
      <c r="F615" s="1588"/>
      <c r="G615" s="1588"/>
      <c r="H615" s="1588"/>
      <c r="I615" s="1588"/>
      <c r="J615" s="1588"/>
      <c r="K615" s="1588"/>
      <c r="L615" s="1588"/>
      <c r="M615" s="1588"/>
      <c r="N615" s="1589"/>
    </row>
    <row r="616" spans="2:14" ht="15.75" thickBot="1" x14ac:dyDescent="0.35">
      <c r="B616" s="1103" t="s">
        <v>24672</v>
      </c>
      <c r="C616" s="1590">
        <v>44501</v>
      </c>
      <c r="D616" s="1591"/>
      <c r="E616" s="1591"/>
      <c r="F616" s="1591"/>
      <c r="G616" s="1591"/>
      <c r="H616" s="1591"/>
      <c r="I616" s="1591"/>
      <c r="J616" s="1591"/>
      <c r="K616" s="1591"/>
      <c r="L616" s="1591"/>
      <c r="M616" s="1591"/>
      <c r="N616" s="1592"/>
    </row>
    <row r="617" spans="2:14" ht="30" x14ac:dyDescent="0.3">
      <c r="B617" s="1104" t="s">
        <v>0</v>
      </c>
      <c r="C617" s="1105" t="s">
        <v>24673</v>
      </c>
      <c r="D617" s="1593" t="s">
        <v>24674</v>
      </c>
      <c r="E617" s="1593"/>
      <c r="F617" s="1593"/>
      <c r="G617" s="1594"/>
      <c r="H617" s="1106" t="s">
        <v>111</v>
      </c>
      <c r="I617" s="1106" t="s">
        <v>24675</v>
      </c>
      <c r="J617" s="1106" t="s">
        <v>24676</v>
      </c>
      <c r="K617" s="1106" t="s">
        <v>24677</v>
      </c>
      <c r="L617" s="1614" t="s">
        <v>24678</v>
      </c>
      <c r="M617" s="1615"/>
      <c r="N617" s="1114" t="s">
        <v>24679</v>
      </c>
    </row>
    <row r="618" spans="2:14" ht="78.75" customHeight="1" x14ac:dyDescent="0.3">
      <c r="B618" s="1115">
        <v>98764</v>
      </c>
      <c r="C618" s="1116" t="s">
        <v>24706</v>
      </c>
      <c r="D618" s="1604" t="s">
        <v>25761</v>
      </c>
      <c r="E618" s="1604"/>
      <c r="F618" s="1604"/>
      <c r="G618" s="1605"/>
      <c r="H618" s="1148"/>
      <c r="I618" s="1148">
        <v>0.26</v>
      </c>
      <c r="J618" s="1109"/>
      <c r="K618" s="1278">
        <v>4.53</v>
      </c>
      <c r="L618" s="1597"/>
      <c r="M618" s="1598"/>
      <c r="N618" s="1279">
        <f>K618*I618</f>
        <v>1.1778</v>
      </c>
    </row>
    <row r="619" spans="2:14" ht="80.25" customHeight="1" x14ac:dyDescent="0.3">
      <c r="B619" s="1115">
        <v>98765</v>
      </c>
      <c r="C619" s="1270" t="s">
        <v>24706</v>
      </c>
      <c r="D619" s="1604" t="s">
        <v>25762</v>
      </c>
      <c r="E619" s="1604"/>
      <c r="F619" s="1604"/>
      <c r="G619" s="1605"/>
      <c r="H619" s="1109"/>
      <c r="I619" s="1109"/>
      <c r="J619" s="1109">
        <v>0.59</v>
      </c>
      <c r="K619" s="1109"/>
      <c r="L619" s="1597">
        <v>0.11</v>
      </c>
      <c r="M619" s="1598"/>
      <c r="N619" s="1119">
        <f>L619*J619</f>
        <v>0.06</v>
      </c>
    </row>
    <row r="620" spans="2:14" x14ac:dyDescent="0.3">
      <c r="B620" s="1115"/>
      <c r="C620" s="1270"/>
      <c r="D620" s="1595"/>
      <c r="E620" s="1595"/>
      <c r="F620" s="1595"/>
      <c r="G620" s="1596"/>
      <c r="H620" s="1109"/>
      <c r="I620" s="1109"/>
      <c r="J620" s="1109"/>
      <c r="K620" s="1109"/>
      <c r="L620" s="1597"/>
      <c r="M620" s="1598"/>
      <c r="N620" s="1119"/>
    </row>
    <row r="621" spans="2:14" ht="15.75" thickBot="1" x14ac:dyDescent="0.35">
      <c r="B621" s="855"/>
      <c r="C621" s="954"/>
      <c r="D621" s="954"/>
      <c r="E621" s="954"/>
      <c r="F621" s="1110"/>
      <c r="G621" s="1110"/>
      <c r="H621" s="1110"/>
      <c r="I621" s="1110"/>
      <c r="J621" s="1110"/>
      <c r="K621" s="1110"/>
      <c r="L621" s="1110"/>
      <c r="M621" s="1111" t="s">
        <v>24680</v>
      </c>
      <c r="N621" s="1112">
        <f>SUM(N618:N620)</f>
        <v>1.24</v>
      </c>
    </row>
    <row r="622" spans="2:14" ht="15.75" thickBot="1" x14ac:dyDescent="0.35">
      <c r="B622" s="850"/>
      <c r="C622" s="461"/>
      <c r="D622" s="461"/>
      <c r="E622" s="461"/>
      <c r="F622" s="461"/>
      <c r="G622" s="461"/>
      <c r="H622" s="461"/>
      <c r="I622" s="461"/>
      <c r="J622" s="461"/>
      <c r="K622" s="461"/>
      <c r="L622" s="461"/>
      <c r="M622" s="461"/>
      <c r="N622" s="1113"/>
    </row>
    <row r="623" spans="2:14" ht="45" x14ac:dyDescent="0.3">
      <c r="B623" s="1104" t="s">
        <v>0</v>
      </c>
      <c r="C623" s="1105" t="s">
        <v>24673</v>
      </c>
      <c r="D623" s="1593" t="s">
        <v>24681</v>
      </c>
      <c r="E623" s="1593"/>
      <c r="F623" s="1593"/>
      <c r="G623" s="1593"/>
      <c r="H623" s="1594"/>
      <c r="I623" s="1106" t="s">
        <v>3686</v>
      </c>
      <c r="J623" s="1106" t="s">
        <v>24682</v>
      </c>
      <c r="K623" s="1106" t="s">
        <v>25177</v>
      </c>
      <c r="L623" s="1106" t="s">
        <v>25178</v>
      </c>
      <c r="M623" s="1106" t="s">
        <v>24683</v>
      </c>
      <c r="N623" s="1114" t="s">
        <v>24679</v>
      </c>
    </row>
    <row r="624" spans="2:14" ht="30" x14ac:dyDescent="0.3">
      <c r="B624" s="1115" t="s">
        <v>25206</v>
      </c>
      <c r="C624" s="1116" t="s">
        <v>25079</v>
      </c>
      <c r="D624" s="1604" t="s">
        <v>25197</v>
      </c>
      <c r="E624" s="1604"/>
      <c r="F624" s="1604"/>
      <c r="G624" s="1604"/>
      <c r="H624" s="1605"/>
      <c r="I624" s="1109" t="s">
        <v>75</v>
      </c>
      <c r="J624" s="1117">
        <v>1.5727</v>
      </c>
      <c r="K624" s="1109">
        <v>8.17</v>
      </c>
      <c r="L624" s="1152">
        <f>K624*(1+J624)</f>
        <v>21.02</v>
      </c>
      <c r="M624" s="1151">
        <v>1</v>
      </c>
      <c r="N624" s="1154">
        <f>M624*L624</f>
        <v>21.02</v>
      </c>
    </row>
    <row r="625" spans="2:14" ht="30" x14ac:dyDescent="0.3">
      <c r="B625" s="1115" t="s">
        <v>25207</v>
      </c>
      <c r="C625" s="1116" t="s">
        <v>25079</v>
      </c>
      <c r="D625" s="1604" t="s">
        <v>25198</v>
      </c>
      <c r="E625" s="1604"/>
      <c r="F625" s="1604"/>
      <c r="G625" s="1604"/>
      <c r="H625" s="1605"/>
      <c r="I625" s="1109" t="s">
        <v>75</v>
      </c>
      <c r="J625" s="1117">
        <v>1.5727</v>
      </c>
      <c r="K625" s="1109">
        <v>5.85</v>
      </c>
      <c r="L625" s="1152">
        <f>K625*(1+J625)</f>
        <v>15.05</v>
      </c>
      <c r="M625" s="1151">
        <v>0.03</v>
      </c>
      <c r="N625" s="1154">
        <f>M625*L625</f>
        <v>0.45</v>
      </c>
    </row>
    <row r="626" spans="2:14" x14ac:dyDescent="0.3">
      <c r="B626" s="1115">
        <v>10140</v>
      </c>
      <c r="C626" s="1116" t="s">
        <v>4379</v>
      </c>
      <c r="D626" s="1604" t="s">
        <v>25179</v>
      </c>
      <c r="E626" s="1604"/>
      <c r="F626" s="1604"/>
      <c r="G626" s="1604"/>
      <c r="H626" s="1605"/>
      <c r="I626" s="1109" t="s">
        <v>75</v>
      </c>
      <c r="J626" s="1117">
        <v>1.5727</v>
      </c>
      <c r="K626" s="1109">
        <v>7.43</v>
      </c>
      <c r="L626" s="1109">
        <f t="shared" ref="L626:L627" si="8">K626*(1+J626)</f>
        <v>19.12</v>
      </c>
      <c r="M626" s="1118">
        <v>0.1</v>
      </c>
      <c r="N626" s="1119">
        <f t="shared" ref="N626:N627" si="9">M626*L626</f>
        <v>1.91</v>
      </c>
    </row>
    <row r="627" spans="2:14" x14ac:dyDescent="0.3">
      <c r="B627" s="1141">
        <v>10146</v>
      </c>
      <c r="C627" s="1116" t="s">
        <v>4379</v>
      </c>
      <c r="D627" s="1637" t="s">
        <v>405</v>
      </c>
      <c r="E627" s="1637"/>
      <c r="F627" s="1637"/>
      <c r="G627" s="1637"/>
      <c r="H627" s="1638"/>
      <c r="I627" s="1109" t="s">
        <v>75</v>
      </c>
      <c r="J627" s="1117">
        <v>1.5727</v>
      </c>
      <c r="K627" s="1109">
        <v>5.46</v>
      </c>
      <c r="L627" s="1109">
        <f t="shared" si="8"/>
        <v>14.05</v>
      </c>
      <c r="M627" s="1118">
        <v>0.45</v>
      </c>
      <c r="N627" s="1119">
        <f t="shared" si="9"/>
        <v>6.32</v>
      </c>
    </row>
    <row r="628" spans="2:14" ht="15.75" thickBot="1" x14ac:dyDescent="0.35">
      <c r="B628" s="855"/>
      <c r="C628" s="1167"/>
      <c r="D628" s="1639"/>
      <c r="E628" s="1639"/>
      <c r="F628" s="1639"/>
      <c r="G628" s="1639"/>
      <c r="H628" s="1639"/>
      <c r="I628" s="1110"/>
      <c r="J628" s="1110"/>
      <c r="K628" s="1110"/>
      <c r="L628" s="1110"/>
      <c r="M628" s="1111" t="s">
        <v>24684</v>
      </c>
      <c r="N628" s="1112">
        <f>SUM(N624:N627)</f>
        <v>29.7</v>
      </c>
    </row>
    <row r="629" spans="2:14" ht="15.75" thickBot="1" x14ac:dyDescent="0.35">
      <c r="B629" s="850"/>
      <c r="C629" s="461"/>
      <c r="D629" s="461"/>
      <c r="E629" s="461"/>
      <c r="F629" s="461"/>
      <c r="G629" s="461"/>
      <c r="H629" s="461"/>
      <c r="I629" s="1120"/>
      <c r="J629" s="1120"/>
      <c r="K629" s="461"/>
      <c r="L629" s="461"/>
      <c r="M629" s="461"/>
      <c r="N629" s="1113"/>
    </row>
    <row r="630" spans="2:14" ht="30" x14ac:dyDescent="0.3">
      <c r="B630" s="1104" t="s">
        <v>0</v>
      </c>
      <c r="C630" s="1105" t="s">
        <v>24673</v>
      </c>
      <c r="D630" s="1593" t="s">
        <v>24685</v>
      </c>
      <c r="E630" s="1593"/>
      <c r="F630" s="1593"/>
      <c r="G630" s="1593"/>
      <c r="H630" s="1594"/>
      <c r="I630" s="1106" t="s">
        <v>2858</v>
      </c>
      <c r="J630" s="1106" t="s">
        <v>24686</v>
      </c>
      <c r="K630" s="1106" t="s">
        <v>24687</v>
      </c>
      <c r="L630" s="1614" t="s">
        <v>24688</v>
      </c>
      <c r="M630" s="1615"/>
      <c r="N630" s="1114" t="s">
        <v>24689</v>
      </c>
    </row>
    <row r="631" spans="2:14" x14ac:dyDescent="0.3">
      <c r="B631" s="1115">
        <v>2000</v>
      </c>
      <c r="C631" s="1116" t="s">
        <v>4389</v>
      </c>
      <c r="D631" s="1604" t="s">
        <v>25181</v>
      </c>
      <c r="E631" s="1604"/>
      <c r="F631" s="1604"/>
      <c r="G631" s="1604"/>
      <c r="H631" s="1605"/>
      <c r="I631" s="1109">
        <v>5</v>
      </c>
      <c r="J631" s="1109" t="s">
        <v>25182</v>
      </c>
      <c r="K631" s="1109"/>
      <c r="L631" s="1597"/>
      <c r="M631" s="1598"/>
      <c r="N631" s="1119">
        <f>N628*(I631/100)</f>
        <v>1.49</v>
      </c>
    </row>
    <row r="632" spans="2:14" x14ac:dyDescent="0.3">
      <c r="B632" s="850"/>
      <c r="C632" s="461"/>
      <c r="D632" s="461"/>
      <c r="E632" s="461"/>
      <c r="F632" s="1120"/>
      <c r="G632" s="1120"/>
      <c r="H632" s="1120"/>
      <c r="I632" s="1120"/>
      <c r="J632" s="1120"/>
      <c r="K632" s="1120"/>
      <c r="L632" s="1120"/>
      <c r="M632" s="1121" t="s">
        <v>24690</v>
      </c>
      <c r="N632" s="1122">
        <f>SUM(N631:N631)</f>
        <v>1.49</v>
      </c>
    </row>
    <row r="633" spans="2:14" x14ac:dyDescent="0.3">
      <c r="B633" s="850"/>
      <c r="C633" s="461"/>
      <c r="D633" s="461"/>
      <c r="E633" s="461"/>
      <c r="F633" s="461"/>
      <c r="G633" s="461"/>
      <c r="H633" s="461"/>
      <c r="I633" s="461"/>
      <c r="J633" s="461"/>
      <c r="K633" s="461"/>
      <c r="L633" s="461"/>
      <c r="M633" s="461"/>
      <c r="N633" s="1113"/>
    </row>
    <row r="634" spans="2:14" x14ac:dyDescent="0.3">
      <c r="B634" s="850"/>
      <c r="C634" s="461"/>
      <c r="D634" s="461"/>
      <c r="E634" s="461"/>
      <c r="F634" s="1120"/>
      <c r="G634" s="1120"/>
      <c r="H634" s="1120"/>
      <c r="I634" s="863"/>
      <c r="J634" s="863"/>
      <c r="K634" s="863"/>
      <c r="L634" s="863"/>
      <c r="M634" s="1121" t="s">
        <v>24691</v>
      </c>
      <c r="N634" s="1123">
        <f>N621+N628+N632</f>
        <v>32.43</v>
      </c>
    </row>
    <row r="635" spans="2:14" x14ac:dyDescent="0.3">
      <c r="B635" s="850"/>
      <c r="C635" s="461"/>
      <c r="D635" s="461"/>
      <c r="E635" s="461"/>
      <c r="F635" s="1120"/>
      <c r="G635" s="1120"/>
      <c r="H635" s="1120"/>
      <c r="I635" s="1120"/>
      <c r="J635" s="1124"/>
      <c r="K635" s="1124"/>
      <c r="L635" s="1124"/>
      <c r="M635" s="1125" t="s">
        <v>24692</v>
      </c>
      <c r="N635" s="1123">
        <v>1</v>
      </c>
    </row>
    <row r="636" spans="2:14" ht="15.75" thickBot="1" x14ac:dyDescent="0.35">
      <c r="B636" s="855"/>
      <c r="C636" s="954"/>
      <c r="D636" s="954"/>
      <c r="E636" s="954"/>
      <c r="F636" s="1110"/>
      <c r="G636" s="1110"/>
      <c r="H636" s="1110"/>
      <c r="I636" s="1110"/>
      <c r="J636" s="1110"/>
      <c r="K636" s="1110"/>
      <c r="L636" s="1110"/>
      <c r="M636" s="1111" t="s">
        <v>24693</v>
      </c>
      <c r="N636" s="1126">
        <f>TRUNC(N634/N635,2)</f>
        <v>32.43</v>
      </c>
    </row>
    <row r="637" spans="2:14" ht="15.75" thickBot="1" x14ac:dyDescent="0.35">
      <c r="B637" s="850"/>
      <c r="C637" s="461"/>
      <c r="D637" s="461"/>
      <c r="E637" s="461"/>
      <c r="F637" s="461"/>
      <c r="G637" s="461"/>
      <c r="H637" s="461"/>
      <c r="I637" s="461"/>
      <c r="J637" s="461"/>
      <c r="K637" s="461"/>
      <c r="L637" s="461"/>
      <c r="M637" s="461"/>
      <c r="N637" s="1113"/>
    </row>
    <row r="638" spans="2:14" ht="30" x14ac:dyDescent="0.3">
      <c r="B638" s="1104" t="s">
        <v>0</v>
      </c>
      <c r="C638" s="1105" t="s">
        <v>24673</v>
      </c>
      <c r="D638" s="1593" t="s">
        <v>24694</v>
      </c>
      <c r="E638" s="1593"/>
      <c r="F638" s="1593"/>
      <c r="G638" s="1593"/>
      <c r="H638" s="1593"/>
      <c r="I638" s="1594"/>
      <c r="J638" s="1106" t="s">
        <v>3686</v>
      </c>
      <c r="K638" s="1106" t="s">
        <v>24695</v>
      </c>
      <c r="L638" s="1614" t="s">
        <v>24683</v>
      </c>
      <c r="M638" s="1615"/>
      <c r="N638" s="1114" t="s">
        <v>24689</v>
      </c>
    </row>
    <row r="639" spans="2:14" ht="30" x14ac:dyDescent="0.3">
      <c r="B639" s="1115" t="s">
        <v>24795</v>
      </c>
      <c r="C639" s="1116" t="s">
        <v>24793</v>
      </c>
      <c r="D639" s="1628" t="s">
        <v>25261</v>
      </c>
      <c r="E639" s="1604"/>
      <c r="F639" s="1604"/>
      <c r="G639" s="1604"/>
      <c r="H639" s="1604"/>
      <c r="I639" s="1605"/>
      <c r="J639" s="1109" t="s">
        <v>2884</v>
      </c>
      <c r="K639" s="1109">
        <f>'MAPA DE COT. - Quiosque'!G77</f>
        <v>84.32</v>
      </c>
      <c r="L639" s="1635">
        <v>1</v>
      </c>
      <c r="M639" s="1636"/>
      <c r="N639" s="1119">
        <f>L639*K639</f>
        <v>84.32</v>
      </c>
    </row>
    <row r="640" spans="2:14" x14ac:dyDescent="0.3">
      <c r="B640" s="1115">
        <v>38021</v>
      </c>
      <c r="C640" s="1116" t="s">
        <v>4379</v>
      </c>
      <c r="D640" s="1628" t="s">
        <v>25226</v>
      </c>
      <c r="E640" s="1628"/>
      <c r="F640" s="1628"/>
      <c r="G640" s="1628"/>
      <c r="H640" s="1628"/>
      <c r="I640" s="1629"/>
      <c r="J640" s="1109" t="s">
        <v>85</v>
      </c>
      <c r="K640" s="1109">
        <v>84.65</v>
      </c>
      <c r="L640" s="1635">
        <v>0.01</v>
      </c>
      <c r="M640" s="1636"/>
      <c r="N640" s="1119">
        <f t="shared" ref="N640:N644" si="10">L640*K640</f>
        <v>0.85</v>
      </c>
    </row>
    <row r="641" spans="2:14" x14ac:dyDescent="0.3">
      <c r="B641" s="1115">
        <v>37509</v>
      </c>
      <c r="C641" s="1116" t="s">
        <v>4379</v>
      </c>
      <c r="D641" s="1628" t="s">
        <v>25262</v>
      </c>
      <c r="E641" s="1628"/>
      <c r="F641" s="1628"/>
      <c r="G641" s="1628"/>
      <c r="H641" s="1628"/>
      <c r="I641" s="1629"/>
      <c r="J641" s="1109" t="s">
        <v>85</v>
      </c>
      <c r="K641" s="1109">
        <v>94.82</v>
      </c>
      <c r="L641" s="1635">
        <v>0.02</v>
      </c>
      <c r="M641" s="1636"/>
      <c r="N641" s="1119">
        <f t="shared" si="10"/>
        <v>1.9</v>
      </c>
    </row>
    <row r="642" spans="2:14" x14ac:dyDescent="0.3">
      <c r="B642" s="1115">
        <v>38028</v>
      </c>
      <c r="C642" s="1116" t="s">
        <v>4379</v>
      </c>
      <c r="D642" s="1628" t="s">
        <v>25228</v>
      </c>
      <c r="E642" s="1628"/>
      <c r="F642" s="1628"/>
      <c r="G642" s="1628"/>
      <c r="H642" s="1628"/>
      <c r="I642" s="1629"/>
      <c r="J642" s="1109" t="s">
        <v>85</v>
      </c>
      <c r="K642" s="1109">
        <v>21.76</v>
      </c>
      <c r="L642" s="1635">
        <v>0.44</v>
      </c>
      <c r="M642" s="1636"/>
      <c r="N642" s="1119">
        <f t="shared" si="10"/>
        <v>9.57</v>
      </c>
    </row>
    <row r="643" spans="2:14" x14ac:dyDescent="0.3">
      <c r="B643" s="1115">
        <v>37564</v>
      </c>
      <c r="C643" s="1116" t="s">
        <v>4379</v>
      </c>
      <c r="D643" s="1628" t="s">
        <v>25201</v>
      </c>
      <c r="E643" s="1628"/>
      <c r="F643" s="1628"/>
      <c r="G643" s="1628"/>
      <c r="H643" s="1628"/>
      <c r="I643" s="1629"/>
      <c r="J643" s="1109" t="s">
        <v>85</v>
      </c>
      <c r="K643" s="1109">
        <v>30.03</v>
      </c>
      <c r="L643" s="1635">
        <v>0.02</v>
      </c>
      <c r="M643" s="1636"/>
      <c r="N643" s="1119">
        <f t="shared" si="10"/>
        <v>0.6</v>
      </c>
    </row>
    <row r="644" spans="2:14" x14ac:dyDescent="0.3">
      <c r="B644" s="1115">
        <v>10997</v>
      </c>
      <c r="C644" s="1116" t="s">
        <v>4379</v>
      </c>
      <c r="D644" s="1604" t="s">
        <v>25263</v>
      </c>
      <c r="E644" s="1604"/>
      <c r="F644" s="1604"/>
      <c r="G644" s="1604"/>
      <c r="H644" s="1604"/>
      <c r="I644" s="1605"/>
      <c r="J644" s="1109" t="s">
        <v>77</v>
      </c>
      <c r="K644" s="1109">
        <v>30.78</v>
      </c>
      <c r="L644" s="1635">
        <v>3.0000000000000001E-3</v>
      </c>
      <c r="M644" s="1636"/>
      <c r="N644" s="1119">
        <f t="shared" si="10"/>
        <v>0.09</v>
      </c>
    </row>
    <row r="645" spans="2:14" ht="33.75" customHeight="1" x14ac:dyDescent="0.3">
      <c r="B645" s="1115">
        <v>365</v>
      </c>
      <c r="C645" s="1116" t="s">
        <v>24706</v>
      </c>
      <c r="D645" s="1628" t="s">
        <v>25264</v>
      </c>
      <c r="E645" s="1604"/>
      <c r="F645" s="1604"/>
      <c r="G645" s="1604"/>
      <c r="H645" s="1604"/>
      <c r="I645" s="1605"/>
      <c r="J645" s="1109" t="s">
        <v>8</v>
      </c>
      <c r="K645" s="1109">
        <v>38.299999999999997</v>
      </c>
      <c r="L645" s="1597">
        <v>1</v>
      </c>
      <c r="M645" s="1598"/>
      <c r="N645" s="1119">
        <f>K645*L645</f>
        <v>38.299999999999997</v>
      </c>
    </row>
    <row r="646" spans="2:14" ht="33.75" customHeight="1" x14ac:dyDescent="0.3">
      <c r="B646" s="1115" t="s">
        <v>24795</v>
      </c>
      <c r="C646" s="1262" t="s">
        <v>24793</v>
      </c>
      <c r="D646" s="1628" t="s">
        <v>25742</v>
      </c>
      <c r="E646" s="1628"/>
      <c r="F646" s="1628"/>
      <c r="G646" s="1628"/>
      <c r="H646" s="1628"/>
      <c r="I646" s="1629"/>
      <c r="J646" s="1109" t="s">
        <v>8</v>
      </c>
      <c r="K646" s="1109">
        <f>'MAPA DE COT. - Quiosque'!G89</f>
        <v>91.58</v>
      </c>
      <c r="L646" s="1597">
        <v>1</v>
      </c>
      <c r="M646" s="1598"/>
      <c r="N646" s="1119">
        <f>K646*L646</f>
        <v>91.58</v>
      </c>
    </row>
    <row r="647" spans="2:14" x14ac:dyDescent="0.3">
      <c r="B647" s="1115"/>
      <c r="C647" s="1116"/>
      <c r="D647" s="1604"/>
      <c r="E647" s="1604"/>
      <c r="F647" s="1604"/>
      <c r="G647" s="1604"/>
      <c r="H647" s="1604"/>
      <c r="I647" s="1605"/>
      <c r="J647" s="1109"/>
      <c r="K647" s="1109"/>
      <c r="L647" s="1597"/>
      <c r="M647" s="1598"/>
      <c r="N647" s="1109"/>
    </row>
    <row r="648" spans="2:14" ht="15.75" thickBot="1" x14ac:dyDescent="0.35">
      <c r="B648" s="855"/>
      <c r="C648" s="954"/>
      <c r="D648" s="954"/>
      <c r="E648" s="954"/>
      <c r="F648" s="1110"/>
      <c r="G648" s="1110"/>
      <c r="H648" s="1110"/>
      <c r="I648" s="1110"/>
      <c r="J648" s="1110"/>
      <c r="K648" s="1110"/>
      <c r="L648" s="1110"/>
      <c r="M648" s="1111" t="s">
        <v>24696</v>
      </c>
      <c r="N648" s="1112">
        <f>SUM(N639:N646)</f>
        <v>227.21</v>
      </c>
    </row>
    <row r="649" spans="2:14" ht="15.75" thickBot="1" x14ac:dyDescent="0.35">
      <c r="B649" s="850"/>
      <c r="C649" s="461"/>
      <c r="D649" s="461"/>
      <c r="E649" s="461"/>
      <c r="F649" s="461"/>
      <c r="G649" s="461"/>
      <c r="H649" s="461"/>
      <c r="I649" s="461"/>
      <c r="J649" s="461"/>
      <c r="K649" s="461"/>
      <c r="L649" s="461"/>
      <c r="M649" s="461"/>
      <c r="N649" s="1113"/>
    </row>
    <row r="650" spans="2:14" ht="30" x14ac:dyDescent="0.3">
      <c r="B650" s="1104" t="s">
        <v>0</v>
      </c>
      <c r="C650" s="1106" t="s">
        <v>24673</v>
      </c>
      <c r="D650" s="1593" t="s">
        <v>24697</v>
      </c>
      <c r="E650" s="1593"/>
      <c r="F650" s="1593"/>
      <c r="G650" s="1593"/>
      <c r="H650" s="1593"/>
      <c r="I650" s="1594"/>
      <c r="J650" s="1106" t="s">
        <v>3686</v>
      </c>
      <c r="K650" s="1106" t="s">
        <v>24695</v>
      </c>
      <c r="L650" s="1614" t="s">
        <v>24683</v>
      </c>
      <c r="M650" s="1615"/>
      <c r="N650" s="1114" t="s">
        <v>24689</v>
      </c>
    </row>
    <row r="651" spans="2:14" x14ac:dyDescent="0.3">
      <c r="B651" s="1115"/>
      <c r="C651" s="1116"/>
      <c r="D651" s="1604"/>
      <c r="E651" s="1604"/>
      <c r="F651" s="1604"/>
      <c r="G651" s="1604"/>
      <c r="H651" s="1604"/>
      <c r="I651" s="1605"/>
      <c r="J651" s="462"/>
      <c r="K651" s="462"/>
      <c r="L651" s="1612"/>
      <c r="M651" s="1613"/>
      <c r="N651" s="1130"/>
    </row>
    <row r="652" spans="2:14" ht="15.75" thickBot="1" x14ac:dyDescent="0.35">
      <c r="B652" s="855"/>
      <c r="C652" s="954"/>
      <c r="D652" s="954"/>
      <c r="E652" s="954"/>
      <c r="F652" s="1110"/>
      <c r="G652" s="1110"/>
      <c r="H652" s="1110"/>
      <c r="I652" s="1110"/>
      <c r="J652" s="1110"/>
      <c r="K652" s="1110"/>
      <c r="L652" s="1110"/>
      <c r="M652" s="1111" t="s">
        <v>24698</v>
      </c>
      <c r="N652" s="1112">
        <f>SUM(N651:N651)</f>
        <v>0</v>
      </c>
    </row>
    <row r="653" spans="2:14" ht="15.75" thickBot="1" x14ac:dyDescent="0.35">
      <c r="B653" s="850"/>
      <c r="C653" s="461"/>
      <c r="D653" s="461"/>
      <c r="E653" s="461"/>
      <c r="F653" s="461"/>
      <c r="G653" s="461"/>
      <c r="H653" s="461"/>
      <c r="I653" s="461"/>
      <c r="J653" s="461"/>
      <c r="K653" s="461"/>
      <c r="L653" s="461"/>
      <c r="M653" s="461"/>
      <c r="N653" s="1113"/>
    </row>
    <row r="654" spans="2:14" ht="30" x14ac:dyDescent="0.3">
      <c r="B654" s="1104" t="s">
        <v>0</v>
      </c>
      <c r="C654" s="1106" t="s">
        <v>24673</v>
      </c>
      <c r="D654" s="1593" t="s">
        <v>24699</v>
      </c>
      <c r="E654" s="1593"/>
      <c r="F654" s="1593"/>
      <c r="G654" s="1594"/>
      <c r="H654" s="1106" t="s">
        <v>3686</v>
      </c>
      <c r="I654" s="1106" t="s">
        <v>24700</v>
      </c>
      <c r="J654" s="1106" t="s">
        <v>24701</v>
      </c>
      <c r="K654" s="1106" t="s">
        <v>24695</v>
      </c>
      <c r="L654" s="1614" t="s">
        <v>24683</v>
      </c>
      <c r="M654" s="1615"/>
      <c r="N654" s="1114" t="s">
        <v>24689</v>
      </c>
    </row>
    <row r="655" spans="2:14" x14ac:dyDescent="0.3">
      <c r="B655" s="1115"/>
      <c r="C655" s="1116"/>
      <c r="D655" s="1595"/>
      <c r="E655" s="1595"/>
      <c r="F655" s="1595"/>
      <c r="G655" s="1595"/>
      <c r="H655" s="1109"/>
      <c r="I655" s="1109"/>
      <c r="J655" s="1109"/>
      <c r="K655" s="1109"/>
      <c r="L655" s="1597"/>
      <c r="M655" s="1598"/>
      <c r="N655" s="1119"/>
    </row>
    <row r="656" spans="2:14" x14ac:dyDescent="0.3">
      <c r="B656" s="1115"/>
      <c r="C656" s="1116"/>
      <c r="D656" s="1595"/>
      <c r="E656" s="1595"/>
      <c r="F656" s="1595"/>
      <c r="G656" s="1595"/>
      <c r="H656" s="1109"/>
      <c r="I656" s="1109"/>
      <c r="J656" s="1109"/>
      <c r="K656" s="1109"/>
      <c r="L656" s="1597"/>
      <c r="M656" s="1598"/>
      <c r="N656" s="1119"/>
    </row>
    <row r="657" spans="2:14" x14ac:dyDescent="0.3">
      <c r="B657" s="1115"/>
      <c r="C657" s="1116"/>
      <c r="D657" s="1595"/>
      <c r="E657" s="1595"/>
      <c r="F657" s="1595"/>
      <c r="G657" s="1595"/>
      <c r="H657" s="1109"/>
      <c r="I657" s="1109"/>
      <c r="J657" s="1109"/>
      <c r="K657" s="1109"/>
      <c r="L657" s="1597"/>
      <c r="M657" s="1598"/>
      <c r="N657" s="1119"/>
    </row>
    <row r="658" spans="2:14" x14ac:dyDescent="0.3">
      <c r="B658" s="850"/>
      <c r="C658" s="461"/>
      <c r="D658" s="461"/>
      <c r="E658" s="461"/>
      <c r="F658" s="1120"/>
      <c r="G658" s="1120"/>
      <c r="H658" s="1120"/>
      <c r="I658" s="1120"/>
      <c r="J658" s="1120"/>
      <c r="K658" s="1120"/>
      <c r="L658" s="1120"/>
      <c r="M658" s="1121" t="s">
        <v>24702</v>
      </c>
      <c r="N658" s="1122">
        <f>SUM(N655:N657)</f>
        <v>0</v>
      </c>
    </row>
    <row r="659" spans="2:14" x14ac:dyDescent="0.3">
      <c r="B659" s="850"/>
      <c r="C659" s="461"/>
      <c r="D659" s="461"/>
      <c r="E659" s="461"/>
      <c r="F659" s="461"/>
      <c r="G659" s="461"/>
      <c r="H659" s="461"/>
      <c r="I659" s="461"/>
      <c r="J659" s="461"/>
      <c r="K659" s="461"/>
      <c r="L659" s="461"/>
      <c r="M659" s="461"/>
      <c r="N659" s="1113"/>
    </row>
    <row r="660" spans="2:14" x14ac:dyDescent="0.3">
      <c r="B660" s="1131"/>
      <c r="C660" s="1132"/>
      <c r="D660" s="1132"/>
      <c r="E660" s="1132"/>
      <c r="F660" s="1133"/>
      <c r="G660" s="1133"/>
      <c r="H660" s="1133"/>
      <c r="I660" s="1133"/>
      <c r="J660" s="1133"/>
      <c r="K660" s="1133"/>
      <c r="L660" s="1133"/>
      <c r="M660" s="1134" t="s">
        <v>24703</v>
      </c>
      <c r="N660" s="1123">
        <f>N636+N648+N652+N658</f>
        <v>259.64</v>
      </c>
    </row>
    <row r="661" spans="2:14" x14ac:dyDescent="0.3">
      <c r="B661" s="850"/>
      <c r="C661" s="461"/>
      <c r="D661" s="461"/>
      <c r="E661" s="461"/>
      <c r="F661" s="1120"/>
      <c r="G661" s="1120"/>
      <c r="H661" s="1120"/>
      <c r="I661" s="1120"/>
      <c r="J661" s="1120"/>
      <c r="K661" s="1120"/>
      <c r="L661" s="1120"/>
      <c r="M661" s="1136">
        <f>'QUIOSQUE - MOD 01'!I3</f>
        <v>0.28220000000000001</v>
      </c>
      <c r="N661" s="1123">
        <f>ROUND(N660*M661,2)</f>
        <v>73.27</v>
      </c>
    </row>
    <row r="662" spans="2:14" ht="15.75" thickBot="1" x14ac:dyDescent="0.35">
      <c r="B662" s="1599" t="s">
        <v>24704</v>
      </c>
      <c r="C662" s="1600"/>
      <c r="D662" s="1600"/>
      <c r="E662" s="1600"/>
      <c r="F662" s="1600"/>
      <c r="G662" s="1600"/>
      <c r="H662" s="1600"/>
      <c r="I662" s="1600"/>
      <c r="J662" s="1600"/>
      <c r="K662" s="1600"/>
      <c r="L662" s="1600"/>
      <c r="M662" s="1601"/>
      <c r="N662" s="1126">
        <f>N660+N661</f>
        <v>332.91</v>
      </c>
    </row>
    <row r="665" spans="2:14" ht="15.75" thickBot="1" x14ac:dyDescent="0.35"/>
    <row r="666" spans="2:14" ht="38.25" customHeight="1" x14ac:dyDescent="0.3">
      <c r="B666" s="1607" t="s">
        <v>25265</v>
      </c>
      <c r="C666" s="1608"/>
      <c r="D666" s="1609"/>
      <c r="E666" s="1610" t="s">
        <v>24669</v>
      </c>
      <c r="F666" s="1610"/>
      <c r="G666" s="1610"/>
      <c r="H666" s="1610"/>
      <c r="I666" s="1610"/>
      <c r="J666" s="1610"/>
      <c r="K666" s="1610"/>
      <c r="L666" s="1623"/>
      <c r="M666" s="1576"/>
      <c r="N666" s="1577"/>
    </row>
    <row r="667" spans="2:14" ht="38.25" customHeight="1" x14ac:dyDescent="0.3">
      <c r="B667" s="1103" t="s">
        <v>24670</v>
      </c>
      <c r="C667" s="1586" t="s">
        <v>25266</v>
      </c>
      <c r="D667" s="1586"/>
      <c r="E667" s="1586"/>
      <c r="F667" s="1586"/>
      <c r="G667" s="1586"/>
      <c r="H667" s="1586"/>
      <c r="I667" s="1586"/>
      <c r="J667" s="1586"/>
      <c r="K667" s="1586"/>
      <c r="L667" s="1586"/>
      <c r="M667" s="1586"/>
      <c r="N667" s="1587"/>
    </row>
    <row r="668" spans="2:14" x14ac:dyDescent="0.3">
      <c r="B668" s="1103" t="s">
        <v>24671</v>
      </c>
      <c r="C668" s="1588" t="s">
        <v>8</v>
      </c>
      <c r="D668" s="1588"/>
      <c r="E668" s="1588"/>
      <c r="F668" s="1588"/>
      <c r="G668" s="1588"/>
      <c r="H668" s="1588"/>
      <c r="I668" s="1588"/>
      <c r="J668" s="1588"/>
      <c r="K668" s="1588"/>
      <c r="L668" s="1588"/>
      <c r="M668" s="1588"/>
      <c r="N668" s="1589"/>
    </row>
    <row r="669" spans="2:14" ht="15.75" thickBot="1" x14ac:dyDescent="0.35">
      <c r="B669" s="1103" t="s">
        <v>24672</v>
      </c>
      <c r="C669" s="1590">
        <v>44501</v>
      </c>
      <c r="D669" s="1591"/>
      <c r="E669" s="1591"/>
      <c r="F669" s="1591"/>
      <c r="G669" s="1591"/>
      <c r="H669" s="1591"/>
      <c r="I669" s="1591"/>
      <c r="J669" s="1591"/>
      <c r="K669" s="1591"/>
      <c r="L669" s="1591"/>
      <c r="M669" s="1591"/>
      <c r="N669" s="1592"/>
    </row>
    <row r="670" spans="2:14" ht="30" x14ac:dyDescent="0.3">
      <c r="B670" s="1104" t="s">
        <v>0</v>
      </c>
      <c r="C670" s="1105" t="s">
        <v>24673</v>
      </c>
      <c r="D670" s="1593" t="s">
        <v>24674</v>
      </c>
      <c r="E670" s="1593"/>
      <c r="F670" s="1593"/>
      <c r="G670" s="1594"/>
      <c r="H670" s="1106" t="s">
        <v>111</v>
      </c>
      <c r="I670" s="1106" t="s">
        <v>24675</v>
      </c>
      <c r="J670" s="1106" t="s">
        <v>24676</v>
      </c>
      <c r="K670" s="1106" t="s">
        <v>24677</v>
      </c>
      <c r="L670" s="1614" t="s">
        <v>24678</v>
      </c>
      <c r="M670" s="1615"/>
      <c r="N670" s="1114" t="s">
        <v>24679</v>
      </c>
    </row>
    <row r="671" spans="2:14" ht="15" customHeight="1" x14ac:dyDescent="0.3">
      <c r="B671" s="1107">
        <v>80125</v>
      </c>
      <c r="C671" s="1108" t="s">
        <v>4379</v>
      </c>
      <c r="D671" s="1604" t="s">
        <v>25267</v>
      </c>
      <c r="E671" s="1604"/>
      <c r="F671" s="1604"/>
      <c r="G671" s="1605"/>
      <c r="H671" s="1109"/>
      <c r="I671" s="1109"/>
      <c r="J671" s="1109">
        <v>0.17</v>
      </c>
      <c r="K671" s="1109"/>
      <c r="L671" s="1597">
        <v>14.08</v>
      </c>
      <c r="M671" s="1598"/>
      <c r="N671" s="1119">
        <f>L671*J671</f>
        <v>2.39</v>
      </c>
    </row>
    <row r="672" spans="2:14" x14ac:dyDescent="0.3">
      <c r="B672" s="1107">
        <v>80125</v>
      </c>
      <c r="C672" s="1108" t="s">
        <v>4379</v>
      </c>
      <c r="D672" s="1604" t="s">
        <v>25267</v>
      </c>
      <c r="E672" s="1604"/>
      <c r="F672" s="1604"/>
      <c r="G672" s="1605"/>
      <c r="H672" s="1109"/>
      <c r="I672" s="1109">
        <v>0.25</v>
      </c>
      <c r="J672" s="1109"/>
      <c r="K672" s="1109">
        <v>35.11</v>
      </c>
      <c r="L672" s="1597"/>
      <c r="M672" s="1598"/>
      <c r="N672" s="1119">
        <f>K672*I672</f>
        <v>8.7799999999999994</v>
      </c>
    </row>
    <row r="673" spans="2:14" ht="15.75" thickBot="1" x14ac:dyDescent="0.35">
      <c r="B673" s="855"/>
      <c r="C673" s="954"/>
      <c r="D673" s="954"/>
      <c r="E673" s="954"/>
      <c r="F673" s="1110"/>
      <c r="G673" s="1110"/>
      <c r="H673" s="1110"/>
      <c r="I673" s="1110"/>
      <c r="J673" s="1110"/>
      <c r="K673" s="1110"/>
      <c r="L673" s="1110"/>
      <c r="M673" s="1111" t="s">
        <v>24680</v>
      </c>
      <c r="N673" s="1112">
        <f>SUM(N671:N672)</f>
        <v>11.17</v>
      </c>
    </row>
    <row r="674" spans="2:14" ht="15.75" thickBot="1" x14ac:dyDescent="0.35">
      <c r="B674" s="850"/>
      <c r="C674" s="461"/>
      <c r="D674" s="461"/>
      <c r="E674" s="461"/>
      <c r="F674" s="461"/>
      <c r="G674" s="461"/>
      <c r="H674" s="461"/>
      <c r="I674" s="461"/>
      <c r="J674" s="461"/>
      <c r="K674" s="461"/>
      <c r="L674" s="461"/>
      <c r="M674" s="461"/>
      <c r="N674" s="1113"/>
    </row>
    <row r="675" spans="2:14" ht="45" x14ac:dyDescent="0.3">
      <c r="B675" s="1104" t="s">
        <v>0</v>
      </c>
      <c r="C675" s="1105" t="s">
        <v>24673</v>
      </c>
      <c r="D675" s="1593" t="s">
        <v>24681</v>
      </c>
      <c r="E675" s="1593"/>
      <c r="F675" s="1593"/>
      <c r="G675" s="1593"/>
      <c r="H675" s="1594"/>
      <c r="I675" s="1106" t="s">
        <v>3686</v>
      </c>
      <c r="J675" s="1106" t="s">
        <v>24682</v>
      </c>
      <c r="K675" s="1106" t="s">
        <v>25177</v>
      </c>
      <c r="L675" s="1106" t="s">
        <v>25178</v>
      </c>
      <c r="M675" s="1106" t="s">
        <v>24683</v>
      </c>
      <c r="N675" s="1114" t="s">
        <v>24679</v>
      </c>
    </row>
    <row r="676" spans="2:14" x14ac:dyDescent="0.3">
      <c r="B676" s="1115">
        <v>10101</v>
      </c>
      <c r="C676" s="1116" t="s">
        <v>4379</v>
      </c>
      <c r="D676" s="1604" t="s">
        <v>25268</v>
      </c>
      <c r="E676" s="1604"/>
      <c r="F676" s="1604"/>
      <c r="G676" s="1604"/>
      <c r="H676" s="1605"/>
      <c r="I676" s="1109" t="s">
        <v>75</v>
      </c>
      <c r="J676" s="1117">
        <v>1.5727</v>
      </c>
      <c r="K676" s="1109">
        <v>6.27</v>
      </c>
      <c r="L676" s="1109">
        <f>K676*(1+J676)</f>
        <v>16.13</v>
      </c>
      <c r="M676" s="1118">
        <v>1.2678</v>
      </c>
      <c r="N676" s="1119">
        <f>M676*L676</f>
        <v>20.45</v>
      </c>
    </row>
    <row r="677" spans="2:14" x14ac:dyDescent="0.3">
      <c r="B677" s="1115">
        <v>10121</v>
      </c>
      <c r="C677" s="1116" t="s">
        <v>4379</v>
      </c>
      <c r="D677" s="1604" t="s">
        <v>25269</v>
      </c>
      <c r="E677" s="1604"/>
      <c r="F677" s="1604"/>
      <c r="G677" s="1604"/>
      <c r="H677" s="1605"/>
      <c r="I677" s="1109" t="s">
        <v>75</v>
      </c>
      <c r="J677" s="1117">
        <v>1.5727</v>
      </c>
      <c r="K677" s="1109">
        <v>7.43</v>
      </c>
      <c r="L677" s="1109">
        <f t="shared" ref="L677:L681" si="11">K677*(1+J677)</f>
        <v>19.12</v>
      </c>
      <c r="M677" s="1118">
        <v>0.88080000000000003</v>
      </c>
      <c r="N677" s="1119">
        <f t="shared" ref="N677:N681" si="12">M677*L677</f>
        <v>16.84</v>
      </c>
    </row>
    <row r="678" spans="2:14" x14ac:dyDescent="0.3">
      <c r="B678" s="1115">
        <v>10111</v>
      </c>
      <c r="C678" s="1116" t="s">
        <v>4379</v>
      </c>
      <c r="D678" s="1604" t="s">
        <v>25270</v>
      </c>
      <c r="E678" s="1604"/>
      <c r="F678" s="1604"/>
      <c r="G678" s="1604"/>
      <c r="H678" s="1605"/>
      <c r="I678" s="1109" t="s">
        <v>75</v>
      </c>
      <c r="J678" s="1117">
        <v>1.5727</v>
      </c>
      <c r="K678" s="1109">
        <v>7.43</v>
      </c>
      <c r="L678" s="1109">
        <f t="shared" si="11"/>
        <v>19.12</v>
      </c>
      <c r="M678" s="1118">
        <v>0.749</v>
      </c>
      <c r="N678" s="1119">
        <f t="shared" si="12"/>
        <v>14.32</v>
      </c>
    </row>
    <row r="679" spans="2:14" x14ac:dyDescent="0.3">
      <c r="B679" s="1115">
        <v>10118</v>
      </c>
      <c r="C679" s="1116" t="s">
        <v>4379</v>
      </c>
      <c r="D679" s="1604" t="s">
        <v>25186</v>
      </c>
      <c r="E679" s="1604"/>
      <c r="F679" s="1604"/>
      <c r="G679" s="1604"/>
      <c r="H679" s="1605"/>
      <c r="I679" s="1109" t="s">
        <v>75</v>
      </c>
      <c r="J679" s="1117">
        <v>1.5727</v>
      </c>
      <c r="K679" s="1109">
        <v>7.43</v>
      </c>
      <c r="L679" s="1109">
        <f t="shared" si="11"/>
        <v>19.12</v>
      </c>
      <c r="M679" s="1118">
        <v>0.59699999999999998</v>
      </c>
      <c r="N679" s="1119">
        <f t="shared" si="12"/>
        <v>11.41</v>
      </c>
    </row>
    <row r="680" spans="2:14" x14ac:dyDescent="0.3">
      <c r="B680" s="1115">
        <v>10139</v>
      </c>
      <c r="C680" s="1116" t="s">
        <v>4379</v>
      </c>
      <c r="D680" s="1604" t="s">
        <v>25195</v>
      </c>
      <c r="E680" s="1604"/>
      <c r="F680" s="1604"/>
      <c r="G680" s="1604"/>
      <c r="H680" s="1605"/>
      <c r="I680" s="1109" t="s">
        <v>75</v>
      </c>
      <c r="J680" s="1117">
        <v>1.5727</v>
      </c>
      <c r="K680" s="1109">
        <v>7.43</v>
      </c>
      <c r="L680" s="1109">
        <f t="shared" si="11"/>
        <v>19.12</v>
      </c>
      <c r="M680" s="1118">
        <v>8.9648000000000003</v>
      </c>
      <c r="N680" s="1119">
        <f t="shared" si="12"/>
        <v>171.41</v>
      </c>
    </row>
    <row r="681" spans="2:14" x14ac:dyDescent="0.3">
      <c r="B681" s="1115">
        <v>10146</v>
      </c>
      <c r="C681" s="1116" t="s">
        <v>4379</v>
      </c>
      <c r="D681" s="1604" t="s">
        <v>25271</v>
      </c>
      <c r="E681" s="1604"/>
      <c r="F681" s="1604"/>
      <c r="G681" s="1604"/>
      <c r="H681" s="1605"/>
      <c r="I681" s="1109" t="s">
        <v>75</v>
      </c>
      <c r="J681" s="1117">
        <v>1.5727</v>
      </c>
      <c r="K681" s="1109">
        <v>5.46</v>
      </c>
      <c r="L681" s="1109">
        <f t="shared" si="11"/>
        <v>14.05</v>
      </c>
      <c r="M681" s="1118">
        <v>18.897079999999999</v>
      </c>
      <c r="N681" s="1119">
        <f t="shared" si="12"/>
        <v>265.5</v>
      </c>
    </row>
    <row r="682" spans="2:14" ht="15.75" thickBot="1" x14ac:dyDescent="0.35">
      <c r="B682" s="855"/>
      <c r="C682" s="954"/>
      <c r="D682" s="954"/>
      <c r="E682" s="954"/>
      <c r="F682" s="1110"/>
      <c r="G682" s="1110"/>
      <c r="H682" s="1110"/>
      <c r="I682" s="1110"/>
      <c r="J682" s="1110"/>
      <c r="K682" s="1110"/>
      <c r="L682" s="1110"/>
      <c r="M682" s="1111" t="s">
        <v>24684</v>
      </c>
      <c r="N682" s="1112">
        <f>SUM(N676:N681)</f>
        <v>499.93</v>
      </c>
    </row>
    <row r="683" spans="2:14" ht="15.75" thickBot="1" x14ac:dyDescent="0.35">
      <c r="B683" s="850"/>
      <c r="C683" s="461"/>
      <c r="D683" s="461"/>
      <c r="E683" s="461"/>
      <c r="F683" s="461"/>
      <c r="G683" s="461"/>
      <c r="H683" s="461"/>
      <c r="I683" s="1120"/>
      <c r="J683" s="1120"/>
      <c r="K683" s="461"/>
      <c r="L683" s="461"/>
      <c r="M683" s="461"/>
      <c r="N683" s="1113"/>
    </row>
    <row r="684" spans="2:14" ht="30" x14ac:dyDescent="0.3">
      <c r="B684" s="1104" t="s">
        <v>0</v>
      </c>
      <c r="C684" s="1105" t="s">
        <v>24673</v>
      </c>
      <c r="D684" s="1593" t="s">
        <v>24685</v>
      </c>
      <c r="E684" s="1593"/>
      <c r="F684" s="1593"/>
      <c r="G684" s="1593"/>
      <c r="H684" s="1594"/>
      <c r="I684" s="1106" t="s">
        <v>2858</v>
      </c>
      <c r="J684" s="1106" t="s">
        <v>24686</v>
      </c>
      <c r="K684" s="1106" t="s">
        <v>24687</v>
      </c>
      <c r="L684" s="1614" t="s">
        <v>24688</v>
      </c>
      <c r="M684" s="1615"/>
      <c r="N684" s="1114" t="s">
        <v>24689</v>
      </c>
    </row>
    <row r="685" spans="2:14" x14ac:dyDescent="0.3">
      <c r="B685" s="1115">
        <v>2000</v>
      </c>
      <c r="C685" s="1116" t="s">
        <v>4389</v>
      </c>
      <c r="D685" s="1604" t="s">
        <v>25181</v>
      </c>
      <c r="E685" s="1604"/>
      <c r="F685" s="1604"/>
      <c r="G685" s="1604"/>
      <c r="H685" s="1605"/>
      <c r="I685" s="1109">
        <v>5</v>
      </c>
      <c r="J685" s="1109" t="s">
        <v>25182</v>
      </c>
      <c r="K685" s="1109"/>
      <c r="L685" s="1597"/>
      <c r="M685" s="1598"/>
      <c r="N685" s="1119">
        <f>N682*(I685/100)</f>
        <v>25</v>
      </c>
    </row>
    <row r="686" spans="2:14" x14ac:dyDescent="0.3">
      <c r="B686" s="850"/>
      <c r="C686" s="461"/>
      <c r="D686" s="461"/>
      <c r="E686" s="461"/>
      <c r="F686" s="1120"/>
      <c r="G686" s="1120"/>
      <c r="H686" s="1120"/>
      <c r="I686" s="1120"/>
      <c r="J686" s="1120"/>
      <c r="K686" s="1120"/>
      <c r="L686" s="1120"/>
      <c r="M686" s="1121" t="s">
        <v>24690</v>
      </c>
      <c r="N686" s="1122">
        <f>SUM(N685:N685)</f>
        <v>25</v>
      </c>
    </row>
    <row r="687" spans="2:14" x14ac:dyDescent="0.3">
      <c r="B687" s="850"/>
      <c r="C687" s="461"/>
      <c r="D687" s="461"/>
      <c r="E687" s="461"/>
      <c r="F687" s="461"/>
      <c r="G687" s="461"/>
      <c r="H687" s="461"/>
      <c r="I687" s="461"/>
      <c r="J687" s="461"/>
      <c r="K687" s="461"/>
      <c r="L687" s="461"/>
      <c r="M687" s="461"/>
      <c r="N687" s="1113"/>
    </row>
    <row r="688" spans="2:14" x14ac:dyDescent="0.3">
      <c r="B688" s="850"/>
      <c r="C688" s="461"/>
      <c r="D688" s="461"/>
      <c r="E688" s="461"/>
      <c r="F688" s="1120"/>
      <c r="G688" s="1120"/>
      <c r="H688" s="1120"/>
      <c r="I688" s="863"/>
      <c r="J688" s="863"/>
      <c r="K688" s="863"/>
      <c r="L688" s="863"/>
      <c r="M688" s="1121" t="s">
        <v>24691</v>
      </c>
      <c r="N688" s="1123">
        <f>N673+N682+N686</f>
        <v>536.1</v>
      </c>
    </row>
    <row r="689" spans="2:14" x14ac:dyDescent="0.3">
      <c r="B689" s="850"/>
      <c r="C689" s="461"/>
      <c r="D689" s="461"/>
      <c r="E689" s="461"/>
      <c r="F689" s="1120"/>
      <c r="G689" s="1120"/>
      <c r="H689" s="1120"/>
      <c r="I689" s="1120"/>
      <c r="J689" s="1124"/>
      <c r="K689" s="1124"/>
      <c r="L689" s="1124"/>
      <c r="M689" s="1125" t="s">
        <v>24692</v>
      </c>
      <c r="N689" s="1123">
        <v>1</v>
      </c>
    </row>
    <row r="690" spans="2:14" ht="15.75" thickBot="1" x14ac:dyDescent="0.35">
      <c r="B690" s="855"/>
      <c r="C690" s="954"/>
      <c r="D690" s="954"/>
      <c r="E690" s="954"/>
      <c r="F690" s="1110"/>
      <c r="G690" s="1110"/>
      <c r="H690" s="1110"/>
      <c r="I690" s="1110"/>
      <c r="J690" s="1110"/>
      <c r="K690" s="1110"/>
      <c r="L690" s="1110"/>
      <c r="M690" s="1111" t="s">
        <v>24693</v>
      </c>
      <c r="N690" s="1126">
        <f>TRUNC(N688/N689,2)</f>
        <v>536.1</v>
      </c>
    </row>
    <row r="691" spans="2:14" ht="15.75" thickBot="1" x14ac:dyDescent="0.35">
      <c r="B691" s="850"/>
      <c r="C691" s="461"/>
      <c r="D691" s="461"/>
      <c r="E691" s="461"/>
      <c r="F691" s="461"/>
      <c r="G691" s="461"/>
      <c r="H691" s="461"/>
      <c r="I691" s="461"/>
      <c r="J691" s="461"/>
      <c r="K691" s="461"/>
      <c r="L691" s="461"/>
      <c r="M691" s="461"/>
      <c r="N691" s="1113"/>
    </row>
    <row r="692" spans="2:14" ht="30" x14ac:dyDescent="0.3">
      <c r="B692" s="1104" t="s">
        <v>0</v>
      </c>
      <c r="C692" s="1105" t="s">
        <v>24673</v>
      </c>
      <c r="D692" s="1593" t="s">
        <v>24694</v>
      </c>
      <c r="E692" s="1593"/>
      <c r="F692" s="1593"/>
      <c r="G692" s="1593"/>
      <c r="H692" s="1593"/>
      <c r="I692" s="1594"/>
      <c r="J692" s="1106" t="s">
        <v>3686</v>
      </c>
      <c r="K692" s="1106" t="s">
        <v>24695</v>
      </c>
      <c r="L692" s="1614" t="s">
        <v>24683</v>
      </c>
      <c r="M692" s="1615"/>
      <c r="N692" s="1114" t="s">
        <v>24689</v>
      </c>
    </row>
    <row r="693" spans="2:14" x14ac:dyDescent="0.3">
      <c r="B693" s="1115">
        <v>21517</v>
      </c>
      <c r="C693" s="1116" t="s">
        <v>4379</v>
      </c>
      <c r="D693" s="1628" t="s">
        <v>25272</v>
      </c>
      <c r="E693" s="1604"/>
      <c r="F693" s="1604"/>
      <c r="G693" s="1604"/>
      <c r="H693" s="1604"/>
      <c r="I693" s="1605"/>
      <c r="J693" s="1109" t="s">
        <v>77</v>
      </c>
      <c r="K693" s="1109">
        <v>8.84</v>
      </c>
      <c r="L693" s="1635">
        <v>5.6980000000000004</v>
      </c>
      <c r="M693" s="1636"/>
      <c r="N693" s="1119">
        <f t="shared" ref="N693:N708" si="13">L693*K693</f>
        <v>50.37</v>
      </c>
    </row>
    <row r="694" spans="2:14" x14ac:dyDescent="0.3">
      <c r="B694" s="1115">
        <v>69513</v>
      </c>
      <c r="C694" s="1116" t="s">
        <v>4379</v>
      </c>
      <c r="D694" s="1628" t="s">
        <v>25191</v>
      </c>
      <c r="E694" s="1604"/>
      <c r="F694" s="1604"/>
      <c r="G694" s="1604"/>
      <c r="H694" s="1604"/>
      <c r="I694" s="1605"/>
      <c r="J694" s="1109" t="s">
        <v>77</v>
      </c>
      <c r="K694" s="1109">
        <v>80.680000000000007</v>
      </c>
      <c r="L694" s="1635">
        <v>6.8140000000000006E-2</v>
      </c>
      <c r="M694" s="1636"/>
      <c r="N694" s="1119">
        <f t="shared" si="13"/>
        <v>5.5</v>
      </c>
    </row>
    <row r="695" spans="2:14" x14ac:dyDescent="0.3">
      <c r="B695" s="1115">
        <v>24015</v>
      </c>
      <c r="C695" s="1116" t="s">
        <v>4379</v>
      </c>
      <c r="D695" s="1628" t="s">
        <v>25273</v>
      </c>
      <c r="E695" s="1628"/>
      <c r="F695" s="1628"/>
      <c r="G695" s="1628"/>
      <c r="H695" s="1628"/>
      <c r="I695" s="1629"/>
      <c r="J695" s="1109" t="s">
        <v>77</v>
      </c>
      <c r="K695" s="1109">
        <v>8.2899999999999991</v>
      </c>
      <c r="L695" s="1635">
        <v>2.7881999999999998</v>
      </c>
      <c r="M695" s="1636"/>
      <c r="N695" s="1119">
        <f t="shared" si="13"/>
        <v>23.11</v>
      </c>
    </row>
    <row r="696" spans="2:14" x14ac:dyDescent="0.3">
      <c r="B696" s="1115">
        <v>27010</v>
      </c>
      <c r="C696" s="1116" t="s">
        <v>4379</v>
      </c>
      <c r="D696" s="1628" t="s">
        <v>25274</v>
      </c>
      <c r="E696" s="1628"/>
      <c r="F696" s="1628"/>
      <c r="G696" s="1628"/>
      <c r="H696" s="1628"/>
      <c r="I696" s="1629"/>
      <c r="J696" s="1109" t="s">
        <v>77</v>
      </c>
      <c r="K696" s="1109">
        <v>19.93</v>
      </c>
      <c r="L696" s="1635">
        <v>9.8790000000000003E-2</v>
      </c>
      <c r="M696" s="1636"/>
      <c r="N696" s="1119">
        <f t="shared" si="13"/>
        <v>1.97</v>
      </c>
    </row>
    <row r="697" spans="2:14" x14ac:dyDescent="0.3">
      <c r="B697" s="1115">
        <v>20503</v>
      </c>
      <c r="C697" s="1116" t="s">
        <v>4379</v>
      </c>
      <c r="D697" s="1628" t="s">
        <v>25275</v>
      </c>
      <c r="E697" s="1628"/>
      <c r="F697" s="1628"/>
      <c r="G697" s="1628"/>
      <c r="H697" s="1628"/>
      <c r="I697" s="1629"/>
      <c r="J697" s="1109" t="s">
        <v>76</v>
      </c>
      <c r="K697" s="1109">
        <v>90</v>
      </c>
      <c r="L697" s="1635">
        <v>0.28798000000000001</v>
      </c>
      <c r="M697" s="1636"/>
      <c r="N697" s="1119">
        <f t="shared" si="13"/>
        <v>25.92</v>
      </c>
    </row>
    <row r="698" spans="2:14" x14ac:dyDescent="0.3">
      <c r="B698" s="1115">
        <v>22502</v>
      </c>
      <c r="C698" s="1116" t="s">
        <v>4379</v>
      </c>
      <c r="D698" s="1628" t="s">
        <v>25276</v>
      </c>
      <c r="E698" s="1628"/>
      <c r="F698" s="1628"/>
      <c r="G698" s="1628"/>
      <c r="H698" s="1628"/>
      <c r="I698" s="1629"/>
      <c r="J698" s="1109" t="s">
        <v>24804</v>
      </c>
      <c r="K698" s="1109">
        <v>2.2599999999999998</v>
      </c>
      <c r="L698" s="1635">
        <v>46.575629999999997</v>
      </c>
      <c r="M698" s="1636"/>
      <c r="N698" s="1119">
        <f t="shared" si="13"/>
        <v>105.26</v>
      </c>
    </row>
    <row r="699" spans="2:14" x14ac:dyDescent="0.3">
      <c r="B699" s="1115">
        <v>20517</v>
      </c>
      <c r="C699" s="1116" t="s">
        <v>4379</v>
      </c>
      <c r="D699" s="1628" t="s">
        <v>25277</v>
      </c>
      <c r="E699" s="1628"/>
      <c r="F699" s="1628"/>
      <c r="G699" s="1628"/>
      <c r="H699" s="1628"/>
      <c r="I699" s="1629"/>
      <c r="J699" s="1109" t="s">
        <v>76</v>
      </c>
      <c r="K699" s="1109">
        <v>110.44</v>
      </c>
      <c r="L699" s="1635">
        <v>8.9959999999999998E-2</v>
      </c>
      <c r="M699" s="1636"/>
      <c r="N699" s="1119">
        <f t="shared" si="13"/>
        <v>9.94</v>
      </c>
    </row>
    <row r="700" spans="2:14" x14ac:dyDescent="0.3">
      <c r="B700" s="1115">
        <v>20518</v>
      </c>
      <c r="C700" s="1116" t="s">
        <v>4379</v>
      </c>
      <c r="D700" s="1628" t="s">
        <v>25278</v>
      </c>
      <c r="E700" s="1628"/>
      <c r="F700" s="1628"/>
      <c r="G700" s="1628"/>
      <c r="H700" s="1628"/>
      <c r="I700" s="1629"/>
      <c r="J700" s="1109" t="s">
        <v>76</v>
      </c>
      <c r="K700" s="1109">
        <v>110.44</v>
      </c>
      <c r="L700" s="1635">
        <v>0.19988</v>
      </c>
      <c r="M700" s="1636"/>
      <c r="N700" s="1119">
        <f t="shared" si="13"/>
        <v>22.07</v>
      </c>
    </row>
    <row r="701" spans="2:14" x14ac:dyDescent="0.3">
      <c r="B701" s="1115">
        <v>20505</v>
      </c>
      <c r="C701" s="1116" t="s">
        <v>4379</v>
      </c>
      <c r="D701" s="1628" t="s">
        <v>25279</v>
      </c>
      <c r="E701" s="1628"/>
      <c r="F701" s="1628"/>
      <c r="G701" s="1628"/>
      <c r="H701" s="1628"/>
      <c r="I701" s="1629"/>
      <c r="J701" s="1109" t="s">
        <v>25280</v>
      </c>
      <c r="K701" s="1109">
        <v>0.78</v>
      </c>
      <c r="L701" s="1635">
        <v>5.7496</v>
      </c>
      <c r="M701" s="1636"/>
      <c r="N701" s="1119">
        <f t="shared" si="13"/>
        <v>4.4800000000000004</v>
      </c>
    </row>
    <row r="702" spans="2:14" x14ac:dyDescent="0.3">
      <c r="B702" s="1115">
        <v>20508</v>
      </c>
      <c r="C702" s="1116" t="s">
        <v>4379</v>
      </c>
      <c r="D702" s="1628" t="s">
        <v>25281</v>
      </c>
      <c r="E702" s="1628"/>
      <c r="F702" s="1628"/>
      <c r="G702" s="1628"/>
      <c r="H702" s="1628"/>
      <c r="I702" s="1629"/>
      <c r="J702" s="1109" t="s">
        <v>25280</v>
      </c>
      <c r="K702" s="1109">
        <v>0.46</v>
      </c>
      <c r="L702" s="1635">
        <v>77.988500000000002</v>
      </c>
      <c r="M702" s="1636"/>
      <c r="N702" s="1119">
        <f t="shared" si="13"/>
        <v>35.869999999999997</v>
      </c>
    </row>
    <row r="703" spans="2:14" x14ac:dyDescent="0.3">
      <c r="B703" s="1115">
        <v>28008</v>
      </c>
      <c r="C703" s="1116" t="s">
        <v>4379</v>
      </c>
      <c r="D703" s="1628" t="s">
        <v>25282</v>
      </c>
      <c r="E703" s="1628"/>
      <c r="F703" s="1628"/>
      <c r="G703" s="1628"/>
      <c r="H703" s="1628"/>
      <c r="I703" s="1629"/>
      <c r="J703" s="1109" t="s">
        <v>85</v>
      </c>
      <c r="K703" s="1109">
        <v>10.81</v>
      </c>
      <c r="L703" s="1635">
        <v>0.24568000000000001</v>
      </c>
      <c r="M703" s="1636"/>
      <c r="N703" s="1119">
        <f t="shared" si="13"/>
        <v>2.66</v>
      </c>
    </row>
    <row r="704" spans="2:14" x14ac:dyDescent="0.3">
      <c r="B704" s="1115">
        <v>62542</v>
      </c>
      <c r="C704" s="1116" t="s">
        <v>4379</v>
      </c>
      <c r="D704" s="1628" t="s">
        <v>25283</v>
      </c>
      <c r="E704" s="1628"/>
      <c r="F704" s="1628"/>
      <c r="G704" s="1628"/>
      <c r="H704" s="1628"/>
      <c r="I704" s="1629"/>
      <c r="J704" s="1109" t="s">
        <v>24804</v>
      </c>
      <c r="K704" s="1109">
        <v>7.37</v>
      </c>
      <c r="L704" s="1635">
        <v>2</v>
      </c>
      <c r="M704" s="1636"/>
      <c r="N704" s="1119">
        <f t="shared" si="13"/>
        <v>14.74</v>
      </c>
    </row>
    <row r="705" spans="2:14" x14ac:dyDescent="0.3">
      <c r="B705" s="1115">
        <v>26569</v>
      </c>
      <c r="C705" s="1116" t="s">
        <v>4379</v>
      </c>
      <c r="D705" s="1628" t="s">
        <v>25284</v>
      </c>
      <c r="E705" s="1628"/>
      <c r="F705" s="1628"/>
      <c r="G705" s="1628"/>
      <c r="H705" s="1628"/>
      <c r="I705" s="1629"/>
      <c r="J705" s="1109" t="s">
        <v>77</v>
      </c>
      <c r="K705" s="1109">
        <v>18.829999999999998</v>
      </c>
      <c r="L705" s="1635">
        <v>8.9990000000000001E-2</v>
      </c>
      <c r="M705" s="1636"/>
      <c r="N705" s="1119">
        <f t="shared" si="13"/>
        <v>1.69</v>
      </c>
    </row>
    <row r="706" spans="2:14" x14ac:dyDescent="0.3">
      <c r="B706" s="1115">
        <v>20985</v>
      </c>
      <c r="C706" s="1116" t="s">
        <v>4379</v>
      </c>
      <c r="D706" s="1628" t="s">
        <v>25285</v>
      </c>
      <c r="E706" s="1628"/>
      <c r="F706" s="1628"/>
      <c r="G706" s="1628"/>
      <c r="H706" s="1628"/>
      <c r="I706" s="1629"/>
      <c r="J706" s="1109" t="s">
        <v>82</v>
      </c>
      <c r="K706" s="1109">
        <v>9.19</v>
      </c>
      <c r="L706" s="1635">
        <v>0.18990000000000001</v>
      </c>
      <c r="M706" s="1636"/>
      <c r="N706" s="1119">
        <f t="shared" si="13"/>
        <v>1.75</v>
      </c>
    </row>
    <row r="707" spans="2:14" x14ac:dyDescent="0.3">
      <c r="B707" s="1115">
        <v>69514</v>
      </c>
      <c r="C707" s="1116" t="s">
        <v>4379</v>
      </c>
      <c r="D707" s="1628" t="s">
        <v>25192</v>
      </c>
      <c r="E707" s="1628"/>
      <c r="F707" s="1628"/>
      <c r="G707" s="1628"/>
      <c r="H707" s="1628"/>
      <c r="I707" s="1629"/>
      <c r="J707" s="1109" t="s">
        <v>85</v>
      </c>
      <c r="K707" s="1109">
        <v>71.63</v>
      </c>
      <c r="L707" s="1635">
        <v>9.8879999999999996E-2</v>
      </c>
      <c r="M707" s="1636"/>
      <c r="N707" s="1119">
        <f t="shared" si="13"/>
        <v>7.08</v>
      </c>
    </row>
    <row r="708" spans="2:14" x14ac:dyDescent="0.3">
      <c r="B708" s="1115">
        <v>20988</v>
      </c>
      <c r="C708" s="1116" t="s">
        <v>4379</v>
      </c>
      <c r="D708" s="1628" t="s">
        <v>25286</v>
      </c>
      <c r="E708" s="1628"/>
      <c r="F708" s="1628"/>
      <c r="G708" s="1628"/>
      <c r="H708" s="1628"/>
      <c r="I708" s="1629"/>
      <c r="J708" s="1109" t="s">
        <v>82</v>
      </c>
      <c r="K708" s="1109">
        <v>15.68</v>
      </c>
      <c r="L708" s="1635">
        <v>0.69879999999999998</v>
      </c>
      <c r="M708" s="1636"/>
      <c r="N708" s="1119">
        <f t="shared" si="13"/>
        <v>10.96</v>
      </c>
    </row>
    <row r="709" spans="2:14" ht="15.75" thickBot="1" x14ac:dyDescent="0.35">
      <c r="B709" s="855"/>
      <c r="C709" s="954"/>
      <c r="D709" s="954"/>
      <c r="E709" s="954"/>
      <c r="F709" s="1110"/>
      <c r="G709" s="1110"/>
      <c r="H709" s="1110"/>
      <c r="I709" s="1110"/>
      <c r="J709" s="1110"/>
      <c r="K709" s="1110"/>
      <c r="L709" s="1110"/>
      <c r="M709" s="1111" t="s">
        <v>24696</v>
      </c>
      <c r="N709" s="1112">
        <f>SUM(N693:N708)</f>
        <v>323.37</v>
      </c>
    </row>
    <row r="710" spans="2:14" ht="15.75" thickBot="1" x14ac:dyDescent="0.35">
      <c r="B710" s="850"/>
      <c r="C710" s="461"/>
      <c r="D710" s="461"/>
      <c r="E710" s="461"/>
      <c r="F710" s="461"/>
      <c r="G710" s="461"/>
      <c r="H710" s="461"/>
      <c r="I710" s="461"/>
      <c r="J710" s="461"/>
      <c r="K710" s="461"/>
      <c r="L710" s="461"/>
      <c r="M710" s="461"/>
      <c r="N710" s="1113"/>
    </row>
    <row r="711" spans="2:14" ht="30" x14ac:dyDescent="0.3">
      <c r="B711" s="1104" t="s">
        <v>0</v>
      </c>
      <c r="C711" s="1106" t="s">
        <v>24673</v>
      </c>
      <c r="D711" s="1593" t="s">
        <v>24697</v>
      </c>
      <c r="E711" s="1593"/>
      <c r="F711" s="1593"/>
      <c r="G711" s="1593"/>
      <c r="H711" s="1593"/>
      <c r="I711" s="1594"/>
      <c r="J711" s="1106" t="s">
        <v>3686</v>
      </c>
      <c r="K711" s="1106" t="s">
        <v>24695</v>
      </c>
      <c r="L711" s="1614" t="s">
        <v>24683</v>
      </c>
      <c r="M711" s="1615"/>
      <c r="N711" s="1114" t="s">
        <v>24689</v>
      </c>
    </row>
    <row r="712" spans="2:14" x14ac:dyDescent="0.3">
      <c r="B712" s="1115"/>
      <c r="C712" s="1116"/>
      <c r="D712" s="1604"/>
      <c r="E712" s="1604"/>
      <c r="F712" s="1604"/>
      <c r="G712" s="1604"/>
      <c r="H712" s="1604"/>
      <c r="I712" s="1605"/>
      <c r="J712" s="462"/>
      <c r="K712" s="462"/>
      <c r="L712" s="1612"/>
      <c r="M712" s="1613"/>
      <c r="N712" s="1130"/>
    </row>
    <row r="713" spans="2:14" ht="15.75" thickBot="1" x14ac:dyDescent="0.35">
      <c r="B713" s="855"/>
      <c r="C713" s="954"/>
      <c r="D713" s="954"/>
      <c r="E713" s="954"/>
      <c r="F713" s="1110"/>
      <c r="G713" s="1110"/>
      <c r="H713" s="1110"/>
      <c r="I713" s="1110"/>
      <c r="J713" s="1110"/>
      <c r="K713" s="1110"/>
      <c r="L713" s="1110"/>
      <c r="M713" s="1111" t="s">
        <v>24698</v>
      </c>
      <c r="N713" s="1112">
        <f>SUM(N712:N712)</f>
        <v>0</v>
      </c>
    </row>
    <row r="714" spans="2:14" ht="15.75" thickBot="1" x14ac:dyDescent="0.35">
      <c r="B714" s="850"/>
      <c r="C714" s="461"/>
      <c r="D714" s="461"/>
      <c r="E714" s="461"/>
      <c r="F714" s="461"/>
      <c r="G714" s="461"/>
      <c r="H714" s="461"/>
      <c r="I714" s="461"/>
      <c r="J714" s="461"/>
      <c r="K714" s="461"/>
      <c r="L714" s="461"/>
      <c r="M714" s="461"/>
      <c r="N714" s="1113"/>
    </row>
    <row r="715" spans="2:14" ht="30" x14ac:dyDescent="0.3">
      <c r="B715" s="1104" t="s">
        <v>0</v>
      </c>
      <c r="C715" s="1106" t="s">
        <v>24673</v>
      </c>
      <c r="D715" s="1593" t="s">
        <v>24699</v>
      </c>
      <c r="E715" s="1593"/>
      <c r="F715" s="1593"/>
      <c r="G715" s="1594"/>
      <c r="H715" s="1106" t="s">
        <v>3686</v>
      </c>
      <c r="I715" s="1106" t="s">
        <v>24700</v>
      </c>
      <c r="J715" s="1106" t="s">
        <v>24701</v>
      </c>
      <c r="K715" s="1106" t="s">
        <v>24695</v>
      </c>
      <c r="L715" s="1614" t="s">
        <v>24683</v>
      </c>
      <c r="M715" s="1615"/>
      <c r="N715" s="1114" t="s">
        <v>24689</v>
      </c>
    </row>
    <row r="716" spans="2:14" x14ac:dyDescent="0.3">
      <c r="B716" s="1115"/>
      <c r="C716" s="1116"/>
      <c r="D716" s="1595"/>
      <c r="E716" s="1595"/>
      <c r="F716" s="1595"/>
      <c r="G716" s="1595"/>
      <c r="H716" s="1109"/>
      <c r="I716" s="1109"/>
      <c r="J716" s="1109"/>
      <c r="K716" s="1109"/>
      <c r="L716" s="1597"/>
      <c r="M716" s="1598"/>
      <c r="N716" s="1119"/>
    </row>
    <row r="717" spans="2:14" x14ac:dyDescent="0.3">
      <c r="B717" s="1115"/>
      <c r="C717" s="1116"/>
      <c r="D717" s="1595"/>
      <c r="E717" s="1595"/>
      <c r="F717" s="1595"/>
      <c r="G717" s="1595"/>
      <c r="H717" s="1109"/>
      <c r="I717" s="1109"/>
      <c r="J717" s="1109"/>
      <c r="K717" s="1109"/>
      <c r="L717" s="1597"/>
      <c r="M717" s="1598"/>
      <c r="N717" s="1119"/>
    </row>
    <row r="718" spans="2:14" x14ac:dyDescent="0.3">
      <c r="B718" s="1115"/>
      <c r="C718" s="1116"/>
      <c r="D718" s="1595"/>
      <c r="E718" s="1595"/>
      <c r="F718" s="1595"/>
      <c r="G718" s="1595"/>
      <c r="H718" s="1109"/>
      <c r="I718" s="1109"/>
      <c r="J718" s="1109"/>
      <c r="K718" s="1109"/>
      <c r="L718" s="1597"/>
      <c r="M718" s="1598"/>
      <c r="N718" s="1119"/>
    </row>
    <row r="719" spans="2:14" x14ac:dyDescent="0.3">
      <c r="B719" s="850"/>
      <c r="C719" s="461"/>
      <c r="D719" s="461"/>
      <c r="E719" s="461"/>
      <c r="F719" s="1120"/>
      <c r="G719" s="1120"/>
      <c r="H719" s="1120"/>
      <c r="I719" s="1120"/>
      <c r="J719" s="1120"/>
      <c r="K719" s="1120"/>
      <c r="L719" s="1120"/>
      <c r="M719" s="1121" t="s">
        <v>24702</v>
      </c>
      <c r="N719" s="1122">
        <f>SUM(N716:N718)</f>
        <v>0</v>
      </c>
    </row>
    <row r="720" spans="2:14" x14ac:dyDescent="0.3">
      <c r="B720" s="850"/>
      <c r="C720" s="461"/>
      <c r="D720" s="461"/>
      <c r="E720" s="461"/>
      <c r="F720" s="461"/>
      <c r="G720" s="461"/>
      <c r="H720" s="461"/>
      <c r="I720" s="461"/>
      <c r="J720" s="461"/>
      <c r="K720" s="461"/>
      <c r="L720" s="461"/>
      <c r="M720" s="461"/>
      <c r="N720" s="1113"/>
    </row>
    <row r="721" spans="2:14" x14ac:dyDescent="0.3">
      <c r="B721" s="1131"/>
      <c r="C721" s="1132"/>
      <c r="D721" s="1132"/>
      <c r="E721" s="1132"/>
      <c r="F721" s="1133"/>
      <c r="G721" s="1133"/>
      <c r="H721" s="1133"/>
      <c r="I721" s="1133"/>
      <c r="J721" s="1133"/>
      <c r="K721" s="1133"/>
      <c r="L721" s="1133"/>
      <c r="M721" s="1134" t="s">
        <v>24703</v>
      </c>
      <c r="N721" s="1123">
        <f>N690+N709+N713+N719</f>
        <v>859.47</v>
      </c>
    </row>
    <row r="722" spans="2:14" x14ac:dyDescent="0.3">
      <c r="B722" s="850"/>
      <c r="C722" s="461"/>
      <c r="D722" s="461"/>
      <c r="E722" s="461"/>
      <c r="F722" s="1120"/>
      <c r="G722" s="1120"/>
      <c r="H722" s="1120"/>
      <c r="I722" s="1120"/>
      <c r="J722" s="1120"/>
      <c r="K722" s="1120"/>
      <c r="L722" s="1120"/>
      <c r="M722" s="1136">
        <f>'QUIOSQUE - MOD 01'!I3</f>
        <v>0.28220000000000001</v>
      </c>
      <c r="N722" s="1123">
        <f>ROUND(N721*M722,2)</f>
        <v>242.54</v>
      </c>
    </row>
    <row r="723" spans="2:14" ht="15.75" thickBot="1" x14ac:dyDescent="0.35">
      <c r="B723" s="1599" t="s">
        <v>24704</v>
      </c>
      <c r="C723" s="1600"/>
      <c r="D723" s="1600"/>
      <c r="E723" s="1600"/>
      <c r="F723" s="1600"/>
      <c r="G723" s="1600"/>
      <c r="H723" s="1600"/>
      <c r="I723" s="1600"/>
      <c r="J723" s="1600"/>
      <c r="K723" s="1600"/>
      <c r="L723" s="1600"/>
      <c r="M723" s="1601"/>
      <c r="N723" s="1126">
        <f>N721+N722</f>
        <v>1102.01</v>
      </c>
    </row>
    <row r="726" spans="2:14" ht="15.75" thickBot="1" x14ac:dyDescent="0.35"/>
    <row r="727" spans="2:14" ht="39.75" customHeight="1" x14ac:dyDescent="0.3">
      <c r="B727" s="1607" t="s">
        <v>25287</v>
      </c>
      <c r="C727" s="1608"/>
      <c r="D727" s="1609"/>
      <c r="E727" s="1610" t="s">
        <v>24669</v>
      </c>
      <c r="F727" s="1610"/>
      <c r="G727" s="1610"/>
      <c r="H727" s="1610"/>
      <c r="I727" s="1610"/>
      <c r="J727" s="1610"/>
      <c r="K727" s="1610"/>
      <c r="L727" s="1623"/>
      <c r="M727" s="1576"/>
      <c r="N727" s="1577"/>
    </row>
    <row r="728" spans="2:14" x14ac:dyDescent="0.3">
      <c r="B728" s="1103" t="s">
        <v>24670</v>
      </c>
      <c r="C728" s="1632" t="s">
        <v>25288</v>
      </c>
      <c r="D728" s="1586"/>
      <c r="E728" s="1586"/>
      <c r="F728" s="1586"/>
      <c r="G728" s="1586"/>
      <c r="H728" s="1586"/>
      <c r="I728" s="1586"/>
      <c r="J728" s="1586"/>
      <c r="K728" s="1586"/>
      <c r="L728" s="1586"/>
      <c r="M728" s="1586"/>
      <c r="N728" s="1587"/>
    </row>
    <row r="729" spans="2:14" x14ac:dyDescent="0.3">
      <c r="B729" s="1103" t="s">
        <v>24671</v>
      </c>
      <c r="C729" s="1588" t="s">
        <v>8</v>
      </c>
      <c r="D729" s="1588"/>
      <c r="E729" s="1588"/>
      <c r="F729" s="1588"/>
      <c r="G729" s="1588"/>
      <c r="H729" s="1588"/>
      <c r="I729" s="1588"/>
      <c r="J729" s="1588"/>
      <c r="K729" s="1588"/>
      <c r="L729" s="1588"/>
      <c r="M729" s="1588"/>
      <c r="N729" s="1589"/>
    </row>
    <row r="730" spans="2:14" ht="15.75" thickBot="1" x14ac:dyDescent="0.35">
      <c r="B730" s="1103" t="s">
        <v>24672</v>
      </c>
      <c r="C730" s="1590">
        <v>44501</v>
      </c>
      <c r="D730" s="1591"/>
      <c r="E730" s="1591"/>
      <c r="F730" s="1591"/>
      <c r="G730" s="1591"/>
      <c r="H730" s="1591"/>
      <c r="I730" s="1591"/>
      <c r="J730" s="1591"/>
      <c r="K730" s="1591"/>
      <c r="L730" s="1591"/>
      <c r="M730" s="1591"/>
      <c r="N730" s="1592"/>
    </row>
    <row r="731" spans="2:14" ht="30" x14ac:dyDescent="0.3">
      <c r="B731" s="1104" t="s">
        <v>0</v>
      </c>
      <c r="C731" s="1105" t="s">
        <v>24673</v>
      </c>
      <c r="D731" s="1593" t="s">
        <v>24674</v>
      </c>
      <c r="E731" s="1593"/>
      <c r="F731" s="1593"/>
      <c r="G731" s="1594"/>
      <c r="H731" s="1106" t="s">
        <v>111</v>
      </c>
      <c r="I731" s="1106" t="s">
        <v>24675</v>
      </c>
      <c r="J731" s="1106" t="s">
        <v>24676</v>
      </c>
      <c r="K731" s="1106" t="s">
        <v>24677</v>
      </c>
      <c r="L731" s="1614" t="s">
        <v>24678</v>
      </c>
      <c r="M731" s="1615"/>
      <c r="N731" s="1114" t="s">
        <v>24679</v>
      </c>
    </row>
    <row r="732" spans="2:14" x14ac:dyDescent="0.3">
      <c r="B732" s="1107"/>
      <c r="C732" s="1108"/>
      <c r="D732" s="1595"/>
      <c r="E732" s="1595"/>
      <c r="F732" s="1595"/>
      <c r="G732" s="1596"/>
      <c r="H732" s="1109"/>
      <c r="I732" s="1109"/>
      <c r="J732" s="1109"/>
      <c r="K732" s="1109"/>
      <c r="L732" s="1597"/>
      <c r="M732" s="1598"/>
      <c r="N732" s="1119"/>
    </row>
    <row r="733" spans="2:14" ht="15.75" thickBot="1" x14ac:dyDescent="0.35">
      <c r="B733" s="855"/>
      <c r="C733" s="954"/>
      <c r="D733" s="954"/>
      <c r="E733" s="954"/>
      <c r="F733" s="1110"/>
      <c r="G733" s="1110"/>
      <c r="H733" s="1110"/>
      <c r="I733" s="1110"/>
      <c r="J733" s="1110"/>
      <c r="K733" s="1110"/>
      <c r="L733" s="1110"/>
      <c r="M733" s="1111" t="s">
        <v>24680</v>
      </c>
      <c r="N733" s="1112">
        <f>SUM(N732:N732)</f>
        <v>0</v>
      </c>
    </row>
    <row r="734" spans="2:14" ht="15.75" thickBot="1" x14ac:dyDescent="0.35">
      <c r="B734" s="850"/>
      <c r="C734" s="461"/>
      <c r="D734" s="461"/>
      <c r="E734" s="461"/>
      <c r="F734" s="461"/>
      <c r="G734" s="461"/>
      <c r="H734" s="461"/>
      <c r="I734" s="461"/>
      <c r="J734" s="461"/>
      <c r="K734" s="461"/>
      <c r="L734" s="461"/>
      <c r="M734" s="461"/>
      <c r="N734" s="1113"/>
    </row>
    <row r="735" spans="2:14" ht="45" x14ac:dyDescent="0.3">
      <c r="B735" s="1104" t="s">
        <v>0</v>
      </c>
      <c r="C735" s="1105" t="s">
        <v>24673</v>
      </c>
      <c r="D735" s="1593" t="s">
        <v>24681</v>
      </c>
      <c r="E735" s="1593"/>
      <c r="F735" s="1593"/>
      <c r="G735" s="1593"/>
      <c r="H735" s="1594"/>
      <c r="I735" s="1106" t="s">
        <v>3686</v>
      </c>
      <c r="J735" s="1106" t="s">
        <v>24682</v>
      </c>
      <c r="K735" s="1106" t="s">
        <v>25177</v>
      </c>
      <c r="L735" s="1106" t="s">
        <v>25178</v>
      </c>
      <c r="M735" s="1106" t="s">
        <v>24683</v>
      </c>
      <c r="N735" s="1114" t="s">
        <v>24679</v>
      </c>
    </row>
    <row r="736" spans="2:14" ht="30" customHeight="1" x14ac:dyDescent="0.3">
      <c r="B736" s="1115">
        <v>10101</v>
      </c>
      <c r="C736" s="1116" t="s">
        <v>4379</v>
      </c>
      <c r="D736" s="1604" t="s">
        <v>25268</v>
      </c>
      <c r="E736" s="1604"/>
      <c r="F736" s="1604"/>
      <c r="G736" s="1604"/>
      <c r="H736" s="1605"/>
      <c r="I736" s="1109" t="s">
        <v>75</v>
      </c>
      <c r="J736" s="1117">
        <v>1.5727</v>
      </c>
      <c r="K736" s="1109">
        <v>6.27</v>
      </c>
      <c r="L736" s="1109">
        <f>K736*(1+J736)</f>
        <v>16.13</v>
      </c>
      <c r="M736" s="1118">
        <v>0.8</v>
      </c>
      <c r="N736" s="1119">
        <f>M736*L736</f>
        <v>12.9</v>
      </c>
    </row>
    <row r="737" spans="2:14" x14ac:dyDescent="0.3">
      <c r="B737" s="1115">
        <v>10115</v>
      </c>
      <c r="C737" s="1116" t="s">
        <v>4379</v>
      </c>
      <c r="D737" s="1604" t="s">
        <v>25289</v>
      </c>
      <c r="E737" s="1604"/>
      <c r="F737" s="1604"/>
      <c r="G737" s="1604"/>
      <c r="H737" s="1605"/>
      <c r="I737" s="1109" t="s">
        <v>75</v>
      </c>
      <c r="J737" s="1117">
        <v>1.5727</v>
      </c>
      <c r="K737" s="1109">
        <v>7.43</v>
      </c>
      <c r="L737" s="1109">
        <f>K737*(1+J737)</f>
        <v>19.12</v>
      </c>
      <c r="M737" s="1118">
        <v>0.8</v>
      </c>
      <c r="N737" s="1119">
        <f>M737*L737</f>
        <v>15.3</v>
      </c>
    </row>
    <row r="738" spans="2:14" ht="15.75" thickBot="1" x14ac:dyDescent="0.35">
      <c r="B738" s="855"/>
      <c r="C738" s="954"/>
      <c r="D738" s="954"/>
      <c r="E738" s="954"/>
      <c r="F738" s="1110"/>
      <c r="G738" s="1110"/>
      <c r="H738" s="1110"/>
      <c r="I738" s="1110"/>
      <c r="J738" s="1110"/>
      <c r="K738" s="1110"/>
      <c r="L738" s="1110"/>
      <c r="M738" s="1111" t="s">
        <v>24684</v>
      </c>
      <c r="N738" s="1112">
        <f>SUM(N736:N737)</f>
        <v>28.2</v>
      </c>
    </row>
    <row r="739" spans="2:14" ht="15.75" thickBot="1" x14ac:dyDescent="0.35">
      <c r="B739" s="850"/>
      <c r="C739" s="461"/>
      <c r="D739" s="461"/>
      <c r="E739" s="461"/>
      <c r="F739" s="461"/>
      <c r="G739" s="461"/>
      <c r="H739" s="461"/>
      <c r="I739" s="1120"/>
      <c r="J739" s="1120"/>
      <c r="K739" s="461"/>
      <c r="L739" s="461"/>
      <c r="M739" s="461"/>
      <c r="N739" s="1113"/>
    </row>
    <row r="740" spans="2:14" ht="30" x14ac:dyDescent="0.3">
      <c r="B740" s="1104" t="s">
        <v>0</v>
      </c>
      <c r="C740" s="1105" t="s">
        <v>24673</v>
      </c>
      <c r="D740" s="1593" t="s">
        <v>24685</v>
      </c>
      <c r="E740" s="1593"/>
      <c r="F740" s="1593"/>
      <c r="G740" s="1593"/>
      <c r="H740" s="1594"/>
      <c r="I740" s="1106" t="s">
        <v>2858</v>
      </c>
      <c r="J740" s="1106" t="s">
        <v>24686</v>
      </c>
      <c r="K740" s="1106" t="s">
        <v>24687</v>
      </c>
      <c r="L740" s="1614" t="s">
        <v>24688</v>
      </c>
      <c r="M740" s="1615"/>
      <c r="N740" s="1114" t="s">
        <v>24689</v>
      </c>
    </row>
    <row r="741" spans="2:14" x14ac:dyDescent="0.3">
      <c r="B741" s="1115">
        <v>2000</v>
      </c>
      <c r="C741" s="1116" t="s">
        <v>4389</v>
      </c>
      <c r="D741" s="1604" t="s">
        <v>25181</v>
      </c>
      <c r="E741" s="1604"/>
      <c r="F741" s="1604"/>
      <c r="G741" s="1604"/>
      <c r="H741" s="1605"/>
      <c r="I741" s="1109">
        <v>5</v>
      </c>
      <c r="J741" s="1109" t="s">
        <v>25182</v>
      </c>
      <c r="K741" s="1109"/>
      <c r="L741" s="1597"/>
      <c r="M741" s="1598"/>
      <c r="N741" s="1119">
        <f>N738*(I741/100)</f>
        <v>1.41</v>
      </c>
    </row>
    <row r="742" spans="2:14" x14ac:dyDescent="0.3">
      <c r="B742" s="850"/>
      <c r="C742" s="461"/>
      <c r="D742" s="461"/>
      <c r="E742" s="461"/>
      <c r="F742" s="1120"/>
      <c r="G742" s="1120"/>
      <c r="H742" s="1120"/>
      <c r="I742" s="1120"/>
      <c r="J742" s="1120"/>
      <c r="K742" s="1120"/>
      <c r="L742" s="1120"/>
      <c r="M742" s="1121" t="s">
        <v>24690</v>
      </c>
      <c r="N742" s="1122">
        <f>SUM(N741:N741)</f>
        <v>1.41</v>
      </c>
    </row>
    <row r="743" spans="2:14" x14ac:dyDescent="0.3">
      <c r="B743" s="850"/>
      <c r="C743" s="461"/>
      <c r="D743" s="461"/>
      <c r="E743" s="461"/>
      <c r="F743" s="461"/>
      <c r="G743" s="461"/>
      <c r="H743" s="461"/>
      <c r="I743" s="461"/>
      <c r="J743" s="461"/>
      <c r="K743" s="461"/>
      <c r="L743" s="461"/>
      <c r="M743" s="461"/>
      <c r="N743" s="1113"/>
    </row>
    <row r="744" spans="2:14" x14ac:dyDescent="0.3">
      <c r="B744" s="850"/>
      <c r="C744" s="461"/>
      <c r="D744" s="461"/>
      <c r="E744" s="461"/>
      <c r="F744" s="1120"/>
      <c r="G744" s="1120"/>
      <c r="H744" s="1120"/>
      <c r="I744" s="863"/>
      <c r="J744" s="863"/>
      <c r="K744" s="863"/>
      <c r="L744" s="863"/>
      <c r="M744" s="1121" t="s">
        <v>24691</v>
      </c>
      <c r="N744" s="1123">
        <f>N733+N738+N742</f>
        <v>29.61</v>
      </c>
    </row>
    <row r="745" spans="2:14" x14ac:dyDescent="0.3">
      <c r="B745" s="850"/>
      <c r="C745" s="461"/>
      <c r="D745" s="461"/>
      <c r="E745" s="461"/>
      <c r="F745" s="1120"/>
      <c r="G745" s="1120"/>
      <c r="H745" s="1120"/>
      <c r="I745" s="1120"/>
      <c r="J745" s="1124"/>
      <c r="K745" s="1124"/>
      <c r="L745" s="1124"/>
      <c r="M745" s="1125" t="s">
        <v>24692</v>
      </c>
      <c r="N745" s="1123">
        <v>1</v>
      </c>
    </row>
    <row r="746" spans="2:14" ht="15.75" thickBot="1" x14ac:dyDescent="0.35">
      <c r="B746" s="855"/>
      <c r="C746" s="954"/>
      <c r="D746" s="954"/>
      <c r="E746" s="954"/>
      <c r="F746" s="1110"/>
      <c r="G746" s="1110"/>
      <c r="H746" s="1110"/>
      <c r="I746" s="1110"/>
      <c r="J746" s="1110"/>
      <c r="K746" s="1110"/>
      <c r="L746" s="1110"/>
      <c r="M746" s="1111" t="s">
        <v>24693</v>
      </c>
      <c r="N746" s="1126">
        <f>TRUNC(N744/N745,2)</f>
        <v>29.61</v>
      </c>
    </row>
    <row r="747" spans="2:14" ht="15.75" thickBot="1" x14ac:dyDescent="0.35">
      <c r="B747" s="850"/>
      <c r="C747" s="461"/>
      <c r="D747" s="461"/>
      <c r="E747" s="461"/>
      <c r="F747" s="461"/>
      <c r="G747" s="461"/>
      <c r="H747" s="461"/>
      <c r="I747" s="461"/>
      <c r="J747" s="461"/>
      <c r="K747" s="461"/>
      <c r="L747" s="461"/>
      <c r="M747" s="461"/>
      <c r="N747" s="1113"/>
    </row>
    <row r="748" spans="2:14" ht="30" x14ac:dyDescent="0.3">
      <c r="B748" s="1104" t="s">
        <v>0</v>
      </c>
      <c r="C748" s="1105" t="s">
        <v>24673</v>
      </c>
      <c r="D748" s="1593" t="s">
        <v>24694</v>
      </c>
      <c r="E748" s="1593"/>
      <c r="F748" s="1593"/>
      <c r="G748" s="1593"/>
      <c r="H748" s="1593"/>
      <c r="I748" s="1594"/>
      <c r="J748" s="1106" t="s">
        <v>3686</v>
      </c>
      <c r="K748" s="1106" t="s">
        <v>24695</v>
      </c>
      <c r="L748" s="1614" t="s">
        <v>24683</v>
      </c>
      <c r="M748" s="1615"/>
      <c r="N748" s="1114" t="s">
        <v>24689</v>
      </c>
    </row>
    <row r="749" spans="2:14" ht="30" x14ac:dyDescent="0.3">
      <c r="B749" s="1115" t="s">
        <v>24795</v>
      </c>
      <c r="C749" s="1116" t="s">
        <v>25183</v>
      </c>
      <c r="D749" s="1628" t="s">
        <v>25290</v>
      </c>
      <c r="E749" s="1604"/>
      <c r="F749" s="1604"/>
      <c r="G749" s="1604"/>
      <c r="H749" s="1604"/>
      <c r="I749" s="1605"/>
      <c r="J749" s="1109" t="s">
        <v>8</v>
      </c>
      <c r="K749" s="1109">
        <f>'MAPA DE COT. - Quiosque'!G149</f>
        <v>72.23</v>
      </c>
      <c r="L749" s="1633">
        <v>1</v>
      </c>
      <c r="M749" s="1634"/>
      <c r="N749" s="1119">
        <f>L749*K749</f>
        <v>72.23</v>
      </c>
    </row>
    <row r="750" spans="2:14" ht="15.75" thickBot="1" x14ac:dyDescent="0.35">
      <c r="B750" s="855"/>
      <c r="C750" s="954"/>
      <c r="D750" s="954"/>
      <c r="E750" s="954"/>
      <c r="F750" s="1110"/>
      <c r="G750" s="1110"/>
      <c r="H750" s="1110"/>
      <c r="I750" s="1110"/>
      <c r="J750" s="1110"/>
      <c r="K750" s="1110"/>
      <c r="L750" s="1110"/>
      <c r="M750" s="1111" t="s">
        <v>24696</v>
      </c>
      <c r="N750" s="1112">
        <f>SUM(N749:N749)</f>
        <v>72.23</v>
      </c>
    </row>
    <row r="751" spans="2:14" ht="15.75" thickBot="1" x14ac:dyDescent="0.35">
      <c r="B751" s="850"/>
      <c r="C751" s="461"/>
      <c r="D751" s="461"/>
      <c r="E751" s="461"/>
      <c r="F751" s="461"/>
      <c r="G751" s="461"/>
      <c r="H751" s="461"/>
      <c r="I751" s="461"/>
      <c r="J751" s="461"/>
      <c r="K751" s="461"/>
      <c r="L751" s="461"/>
      <c r="M751" s="461"/>
      <c r="N751" s="1113"/>
    </row>
    <row r="752" spans="2:14" ht="30" x14ac:dyDescent="0.3">
      <c r="B752" s="1104" t="s">
        <v>0</v>
      </c>
      <c r="C752" s="1106" t="s">
        <v>24673</v>
      </c>
      <c r="D752" s="1593" t="s">
        <v>24697</v>
      </c>
      <c r="E752" s="1593"/>
      <c r="F752" s="1593"/>
      <c r="G752" s="1593"/>
      <c r="H752" s="1593"/>
      <c r="I752" s="1594"/>
      <c r="J752" s="1106" t="s">
        <v>3686</v>
      </c>
      <c r="K752" s="1106" t="s">
        <v>24695</v>
      </c>
      <c r="L752" s="1614" t="s">
        <v>24683</v>
      </c>
      <c r="M752" s="1615"/>
      <c r="N752" s="1114" t="s">
        <v>24689</v>
      </c>
    </row>
    <row r="753" spans="2:14" x14ac:dyDescent="0.3">
      <c r="B753" s="1115"/>
      <c r="C753" s="1116"/>
      <c r="D753" s="1604"/>
      <c r="E753" s="1604"/>
      <c r="F753" s="1604"/>
      <c r="G753" s="1604"/>
      <c r="H753" s="1604"/>
      <c r="I753" s="1605"/>
      <c r="J753" s="1151"/>
      <c r="K753" s="1151"/>
      <c r="L753" s="1626">
        <v>1</v>
      </c>
      <c r="M753" s="1627"/>
      <c r="N753" s="1154">
        <f>K753*L753</f>
        <v>0</v>
      </c>
    </row>
    <row r="754" spans="2:14" x14ac:dyDescent="0.3">
      <c r="B754" s="1115"/>
      <c r="C754" s="1116"/>
      <c r="D754" s="1604"/>
      <c r="E754" s="1604"/>
      <c r="F754" s="1604"/>
      <c r="G754" s="1604"/>
      <c r="H754" s="1604"/>
      <c r="I754" s="1605"/>
      <c r="J754" s="1151"/>
      <c r="K754" s="462"/>
      <c r="L754" s="1626">
        <v>1</v>
      </c>
      <c r="M754" s="1627"/>
      <c r="N754" s="1154">
        <f>K754*L754</f>
        <v>0</v>
      </c>
    </row>
    <row r="755" spans="2:14" ht="15.75" thickBot="1" x14ac:dyDescent="0.35">
      <c r="B755" s="855"/>
      <c r="C755" s="954"/>
      <c r="D755" s="954"/>
      <c r="E755" s="954"/>
      <c r="F755" s="1110"/>
      <c r="G755" s="1110"/>
      <c r="H755" s="1110"/>
      <c r="I755" s="1110"/>
      <c r="J755" s="1110"/>
      <c r="K755" s="1110"/>
      <c r="L755" s="1110"/>
      <c r="M755" s="1111" t="s">
        <v>24698</v>
      </c>
      <c r="N755" s="1112">
        <f>SUM(N753:N754)</f>
        <v>0</v>
      </c>
    </row>
    <row r="756" spans="2:14" ht="15.75" thickBot="1" x14ac:dyDescent="0.35">
      <c r="B756" s="850"/>
      <c r="C756" s="461"/>
      <c r="D756" s="461"/>
      <c r="E756" s="461"/>
      <c r="F756" s="461"/>
      <c r="G756" s="461"/>
      <c r="H756" s="461"/>
      <c r="I756" s="461"/>
      <c r="J756" s="461"/>
      <c r="K756" s="461"/>
      <c r="L756" s="461"/>
      <c r="M756" s="461"/>
      <c r="N756" s="1113"/>
    </row>
    <row r="757" spans="2:14" ht="30" x14ac:dyDescent="0.3">
      <c r="B757" s="1104" t="s">
        <v>0</v>
      </c>
      <c r="C757" s="1106" t="s">
        <v>24673</v>
      </c>
      <c r="D757" s="1593" t="s">
        <v>24699</v>
      </c>
      <c r="E757" s="1593"/>
      <c r="F757" s="1593"/>
      <c r="G757" s="1594"/>
      <c r="H757" s="1106" t="s">
        <v>3686</v>
      </c>
      <c r="I757" s="1106" t="s">
        <v>24700</v>
      </c>
      <c r="J757" s="1106" t="s">
        <v>24701</v>
      </c>
      <c r="K757" s="1106" t="s">
        <v>24695</v>
      </c>
      <c r="L757" s="1614" t="s">
        <v>24683</v>
      </c>
      <c r="M757" s="1615"/>
      <c r="N757" s="1114" t="s">
        <v>24689</v>
      </c>
    </row>
    <row r="758" spans="2:14" x14ac:dyDescent="0.3">
      <c r="B758" s="1115"/>
      <c r="C758" s="1116"/>
      <c r="D758" s="1595"/>
      <c r="E758" s="1595"/>
      <c r="F758" s="1595"/>
      <c r="G758" s="1595"/>
      <c r="H758" s="1109"/>
      <c r="I758" s="1109"/>
      <c r="J758" s="1109"/>
      <c r="K758" s="1109"/>
      <c r="L758" s="1597"/>
      <c r="M758" s="1598"/>
      <c r="N758" s="1119"/>
    </row>
    <row r="759" spans="2:14" x14ac:dyDescent="0.3">
      <c r="B759" s="1115"/>
      <c r="C759" s="1116"/>
      <c r="D759" s="1595"/>
      <c r="E759" s="1595"/>
      <c r="F759" s="1595"/>
      <c r="G759" s="1595"/>
      <c r="H759" s="1109"/>
      <c r="I759" s="1109"/>
      <c r="J759" s="1109"/>
      <c r="K759" s="1109"/>
      <c r="L759" s="1597"/>
      <c r="M759" s="1598"/>
      <c r="N759" s="1119"/>
    </row>
    <row r="760" spans="2:14" x14ac:dyDescent="0.3">
      <c r="B760" s="1115"/>
      <c r="C760" s="1116"/>
      <c r="D760" s="1595"/>
      <c r="E760" s="1595"/>
      <c r="F760" s="1595"/>
      <c r="G760" s="1595"/>
      <c r="H760" s="1109"/>
      <c r="I760" s="1109"/>
      <c r="J760" s="1109"/>
      <c r="K760" s="1109"/>
      <c r="L760" s="1597"/>
      <c r="M760" s="1598"/>
      <c r="N760" s="1119"/>
    </row>
    <row r="761" spans="2:14" x14ac:dyDescent="0.3">
      <c r="B761" s="850"/>
      <c r="C761" s="461"/>
      <c r="D761" s="461"/>
      <c r="E761" s="461"/>
      <c r="F761" s="1120"/>
      <c r="G761" s="1120"/>
      <c r="H761" s="1120"/>
      <c r="I761" s="1120"/>
      <c r="J761" s="1120"/>
      <c r="K761" s="1120"/>
      <c r="L761" s="1120"/>
      <c r="M761" s="1121" t="s">
        <v>24702</v>
      </c>
      <c r="N761" s="1122">
        <f>SUM(N758:N760)</f>
        <v>0</v>
      </c>
    </row>
    <row r="762" spans="2:14" x14ac:dyDescent="0.3">
      <c r="B762" s="850"/>
      <c r="C762" s="461"/>
      <c r="D762" s="461"/>
      <c r="E762" s="461"/>
      <c r="F762" s="461"/>
      <c r="G762" s="461"/>
      <c r="H762" s="461"/>
      <c r="I762" s="461"/>
      <c r="J762" s="461"/>
      <c r="K762" s="461"/>
      <c r="L762" s="461"/>
      <c r="M762" s="461"/>
      <c r="N762" s="1113"/>
    </row>
    <row r="763" spans="2:14" x14ac:dyDescent="0.3">
      <c r="B763" s="1131"/>
      <c r="C763" s="1132"/>
      <c r="D763" s="1132"/>
      <c r="E763" s="1132"/>
      <c r="F763" s="1133"/>
      <c r="G763" s="1133"/>
      <c r="H763" s="1133"/>
      <c r="I763" s="1133"/>
      <c r="J763" s="1133"/>
      <c r="K763" s="1133"/>
      <c r="L763" s="1133"/>
      <c r="M763" s="1134" t="s">
        <v>24703</v>
      </c>
      <c r="N763" s="1123">
        <f>N746+N750+N755+N761</f>
        <v>101.84</v>
      </c>
    </row>
    <row r="764" spans="2:14" x14ac:dyDescent="0.3">
      <c r="B764" s="850"/>
      <c r="C764" s="461"/>
      <c r="D764" s="461"/>
      <c r="E764" s="461"/>
      <c r="F764" s="1120"/>
      <c r="G764" s="1120"/>
      <c r="H764" s="1120"/>
      <c r="I764" s="1120"/>
      <c r="J764" s="1120"/>
      <c r="K764" s="1120"/>
      <c r="L764" s="1120"/>
      <c r="M764" s="1136">
        <f>'QUIOSQUE - MOD 01'!I3</f>
        <v>0.28220000000000001</v>
      </c>
      <c r="N764" s="1123">
        <f>ROUND(N763*M764,2)</f>
        <v>28.74</v>
      </c>
    </row>
    <row r="765" spans="2:14" ht="15.75" thickBot="1" x14ac:dyDescent="0.35">
      <c r="B765" s="1599" t="s">
        <v>24704</v>
      </c>
      <c r="C765" s="1600"/>
      <c r="D765" s="1600"/>
      <c r="E765" s="1600"/>
      <c r="F765" s="1600"/>
      <c r="G765" s="1600"/>
      <c r="H765" s="1600"/>
      <c r="I765" s="1600"/>
      <c r="J765" s="1600"/>
      <c r="K765" s="1600"/>
      <c r="L765" s="1600"/>
      <c r="M765" s="1601"/>
      <c r="N765" s="1126">
        <f>N763+N764</f>
        <v>130.58000000000001</v>
      </c>
    </row>
    <row r="768" spans="2:14" ht="15.75" thickBot="1" x14ac:dyDescent="0.35"/>
    <row r="769" spans="2:14" ht="33.75" customHeight="1" x14ac:dyDescent="0.3">
      <c r="B769" s="1607" t="s">
        <v>25291</v>
      </c>
      <c r="C769" s="1608"/>
      <c r="D769" s="1609"/>
      <c r="E769" s="1610" t="s">
        <v>24669</v>
      </c>
      <c r="F769" s="1610"/>
      <c r="G769" s="1610"/>
      <c r="H769" s="1610"/>
      <c r="I769" s="1610"/>
      <c r="J769" s="1610"/>
      <c r="K769" s="1610"/>
      <c r="L769" s="1623"/>
      <c r="M769" s="1576"/>
      <c r="N769" s="1577"/>
    </row>
    <row r="770" spans="2:14" x14ac:dyDescent="0.3">
      <c r="B770" s="1103" t="s">
        <v>24670</v>
      </c>
      <c r="C770" s="1632" t="s">
        <v>25292</v>
      </c>
      <c r="D770" s="1586"/>
      <c r="E770" s="1586"/>
      <c r="F770" s="1586"/>
      <c r="G770" s="1586"/>
      <c r="H770" s="1586"/>
      <c r="I770" s="1586"/>
      <c r="J770" s="1586"/>
      <c r="K770" s="1586"/>
      <c r="L770" s="1586"/>
      <c r="M770" s="1586"/>
      <c r="N770" s="1587"/>
    </row>
    <row r="771" spans="2:14" x14ac:dyDescent="0.3">
      <c r="B771" s="1103" t="s">
        <v>24671</v>
      </c>
      <c r="C771" s="1588" t="s">
        <v>8</v>
      </c>
      <c r="D771" s="1588"/>
      <c r="E771" s="1588"/>
      <c r="F771" s="1588"/>
      <c r="G771" s="1588"/>
      <c r="H771" s="1588"/>
      <c r="I771" s="1588"/>
      <c r="J771" s="1588"/>
      <c r="K771" s="1588"/>
      <c r="L771" s="1588"/>
      <c r="M771" s="1588"/>
      <c r="N771" s="1589"/>
    </row>
    <row r="772" spans="2:14" ht="15.75" thickBot="1" x14ac:dyDescent="0.35">
      <c r="B772" s="1103" t="s">
        <v>24672</v>
      </c>
      <c r="C772" s="1590">
        <v>44501</v>
      </c>
      <c r="D772" s="1591"/>
      <c r="E772" s="1591"/>
      <c r="F772" s="1591"/>
      <c r="G772" s="1591"/>
      <c r="H772" s="1591"/>
      <c r="I772" s="1591"/>
      <c r="J772" s="1591"/>
      <c r="K772" s="1591"/>
      <c r="L772" s="1591"/>
      <c r="M772" s="1591"/>
      <c r="N772" s="1592"/>
    </row>
    <row r="773" spans="2:14" ht="30" x14ac:dyDescent="0.3">
      <c r="B773" s="1104" t="s">
        <v>0</v>
      </c>
      <c r="C773" s="1105" t="s">
        <v>24673</v>
      </c>
      <c r="D773" s="1593" t="s">
        <v>24674</v>
      </c>
      <c r="E773" s="1593"/>
      <c r="F773" s="1593"/>
      <c r="G773" s="1594"/>
      <c r="H773" s="1106" t="s">
        <v>111</v>
      </c>
      <c r="I773" s="1106" t="s">
        <v>24675</v>
      </c>
      <c r="J773" s="1106" t="s">
        <v>24676</v>
      </c>
      <c r="K773" s="1106" t="s">
        <v>24677</v>
      </c>
      <c r="L773" s="1614" t="s">
        <v>24678</v>
      </c>
      <c r="M773" s="1615"/>
      <c r="N773" s="1114" t="s">
        <v>24679</v>
      </c>
    </row>
    <row r="774" spans="2:14" x14ac:dyDescent="0.3">
      <c r="B774" s="1107"/>
      <c r="C774" s="1108"/>
      <c r="D774" s="1595"/>
      <c r="E774" s="1595"/>
      <c r="F774" s="1595"/>
      <c r="G774" s="1596"/>
      <c r="H774" s="1109"/>
      <c r="I774" s="1109"/>
      <c r="J774" s="1109"/>
      <c r="K774" s="1109"/>
      <c r="L774" s="1597"/>
      <c r="M774" s="1598"/>
      <c r="N774" s="1119"/>
    </row>
    <row r="775" spans="2:14" ht="15.75" thickBot="1" x14ac:dyDescent="0.35">
      <c r="B775" s="855"/>
      <c r="C775" s="954"/>
      <c r="D775" s="954"/>
      <c r="E775" s="954"/>
      <c r="F775" s="1110"/>
      <c r="G775" s="1110"/>
      <c r="H775" s="1110"/>
      <c r="I775" s="1110"/>
      <c r="J775" s="1110"/>
      <c r="K775" s="1110"/>
      <c r="L775" s="1110"/>
      <c r="M775" s="1111" t="s">
        <v>24680</v>
      </c>
      <c r="N775" s="1112">
        <f>SUM(N774:N774)</f>
        <v>0</v>
      </c>
    </row>
    <row r="776" spans="2:14" ht="15.75" thickBot="1" x14ac:dyDescent="0.35">
      <c r="B776" s="850"/>
      <c r="C776" s="461"/>
      <c r="D776" s="461"/>
      <c r="E776" s="461"/>
      <c r="F776" s="461"/>
      <c r="G776" s="461"/>
      <c r="H776" s="461"/>
      <c r="I776" s="461"/>
      <c r="J776" s="461"/>
      <c r="K776" s="461"/>
      <c r="L776" s="461"/>
      <c r="M776" s="461"/>
      <c r="N776" s="1113"/>
    </row>
    <row r="777" spans="2:14" ht="45" x14ac:dyDescent="0.3">
      <c r="B777" s="1104" t="s">
        <v>0</v>
      </c>
      <c r="C777" s="1105" t="s">
        <v>24673</v>
      </c>
      <c r="D777" s="1593" t="s">
        <v>24681</v>
      </c>
      <c r="E777" s="1593"/>
      <c r="F777" s="1593"/>
      <c r="G777" s="1593"/>
      <c r="H777" s="1594"/>
      <c r="I777" s="1106" t="s">
        <v>3686</v>
      </c>
      <c r="J777" s="1106" t="s">
        <v>24682</v>
      </c>
      <c r="K777" s="1106" t="s">
        <v>25177</v>
      </c>
      <c r="L777" s="1106" t="s">
        <v>25178</v>
      </c>
      <c r="M777" s="1106" t="s">
        <v>24683</v>
      </c>
      <c r="N777" s="1114" t="s">
        <v>24679</v>
      </c>
    </row>
    <row r="778" spans="2:14" ht="28.5" customHeight="1" x14ac:dyDescent="0.3">
      <c r="B778" s="1115">
        <v>10101</v>
      </c>
      <c r="C778" s="1116" t="s">
        <v>4379</v>
      </c>
      <c r="D778" s="1604" t="s">
        <v>25268</v>
      </c>
      <c r="E778" s="1604"/>
      <c r="F778" s="1604"/>
      <c r="G778" s="1604"/>
      <c r="H778" s="1605"/>
      <c r="I778" s="1109" t="s">
        <v>75</v>
      </c>
      <c r="J778" s="1117">
        <v>1.5727</v>
      </c>
      <c r="K778" s="1109">
        <v>6.27</v>
      </c>
      <c r="L778" s="1109">
        <f>K778*(1+J778)</f>
        <v>16.13</v>
      </c>
      <c r="M778" s="1118">
        <v>0.8</v>
      </c>
      <c r="N778" s="1119">
        <f>M778*L778</f>
        <v>12.9</v>
      </c>
    </row>
    <row r="779" spans="2:14" x14ac:dyDescent="0.3">
      <c r="B779" s="1115">
        <v>10115</v>
      </c>
      <c r="C779" s="1116" t="s">
        <v>4379</v>
      </c>
      <c r="D779" s="1604" t="s">
        <v>25289</v>
      </c>
      <c r="E779" s="1604"/>
      <c r="F779" s="1604"/>
      <c r="G779" s="1604"/>
      <c r="H779" s="1605"/>
      <c r="I779" s="1109" t="s">
        <v>75</v>
      </c>
      <c r="J779" s="1117">
        <v>1.5727</v>
      </c>
      <c r="K779" s="1109">
        <v>7.43</v>
      </c>
      <c r="L779" s="1109">
        <f>K779*(1+J779)</f>
        <v>19.12</v>
      </c>
      <c r="M779" s="1118">
        <v>0.8</v>
      </c>
      <c r="N779" s="1119">
        <f>M779*L779</f>
        <v>15.3</v>
      </c>
    </row>
    <row r="780" spans="2:14" ht="15.75" thickBot="1" x14ac:dyDescent="0.35">
      <c r="B780" s="855"/>
      <c r="C780" s="954"/>
      <c r="D780" s="954"/>
      <c r="E780" s="954"/>
      <c r="F780" s="1110"/>
      <c r="G780" s="1110"/>
      <c r="H780" s="1110"/>
      <c r="I780" s="1110"/>
      <c r="J780" s="1110"/>
      <c r="K780" s="1110"/>
      <c r="L780" s="1110"/>
      <c r="M780" s="1111" t="s">
        <v>24684</v>
      </c>
      <c r="N780" s="1112">
        <f>SUM(N778:N779)</f>
        <v>28.2</v>
      </c>
    </row>
    <row r="781" spans="2:14" ht="15.75" thickBot="1" x14ac:dyDescent="0.35">
      <c r="B781" s="850"/>
      <c r="C781" s="461"/>
      <c r="D781" s="461"/>
      <c r="E781" s="461"/>
      <c r="F781" s="461"/>
      <c r="G781" s="461"/>
      <c r="H781" s="461"/>
      <c r="I781" s="1120"/>
      <c r="J781" s="1120"/>
      <c r="K781" s="461"/>
      <c r="L781" s="461"/>
      <c r="M781" s="461"/>
      <c r="N781" s="1113"/>
    </row>
    <row r="782" spans="2:14" ht="30" x14ac:dyDescent="0.3">
      <c r="B782" s="1104" t="s">
        <v>0</v>
      </c>
      <c r="C782" s="1105" t="s">
        <v>24673</v>
      </c>
      <c r="D782" s="1593" t="s">
        <v>24685</v>
      </c>
      <c r="E782" s="1593"/>
      <c r="F782" s="1593"/>
      <c r="G782" s="1593"/>
      <c r="H782" s="1594"/>
      <c r="I782" s="1106" t="s">
        <v>2858</v>
      </c>
      <c r="J782" s="1106" t="s">
        <v>24686</v>
      </c>
      <c r="K782" s="1106" t="s">
        <v>24687</v>
      </c>
      <c r="L782" s="1614" t="s">
        <v>24688</v>
      </c>
      <c r="M782" s="1615"/>
      <c r="N782" s="1114" t="s">
        <v>24689</v>
      </c>
    </row>
    <row r="783" spans="2:14" x14ac:dyDescent="0.3">
      <c r="B783" s="1115">
        <v>2000</v>
      </c>
      <c r="C783" s="1116" t="s">
        <v>4389</v>
      </c>
      <c r="D783" s="1604" t="s">
        <v>25181</v>
      </c>
      <c r="E783" s="1604"/>
      <c r="F783" s="1604"/>
      <c r="G783" s="1604"/>
      <c r="H783" s="1605"/>
      <c r="I783" s="1109">
        <v>5</v>
      </c>
      <c r="J783" s="1109" t="s">
        <v>25182</v>
      </c>
      <c r="K783" s="1109"/>
      <c r="L783" s="1597"/>
      <c r="M783" s="1598"/>
      <c r="N783" s="1119">
        <f>N780*(I783/100)</f>
        <v>1.41</v>
      </c>
    </row>
    <row r="784" spans="2:14" x14ac:dyDescent="0.3">
      <c r="B784" s="850"/>
      <c r="C784" s="461"/>
      <c r="D784" s="461"/>
      <c r="E784" s="461"/>
      <c r="F784" s="1120"/>
      <c r="G784" s="1120"/>
      <c r="H784" s="1120"/>
      <c r="I784" s="1120"/>
      <c r="J784" s="1120"/>
      <c r="K784" s="1120"/>
      <c r="L784" s="1120"/>
      <c r="M784" s="1121" t="s">
        <v>24690</v>
      </c>
      <c r="N784" s="1122">
        <f>SUM(N783:N783)</f>
        <v>1.41</v>
      </c>
    </row>
    <row r="785" spans="2:14" x14ac:dyDescent="0.3">
      <c r="B785" s="850"/>
      <c r="C785" s="461"/>
      <c r="D785" s="461"/>
      <c r="E785" s="461"/>
      <c r="F785" s="461"/>
      <c r="G785" s="461"/>
      <c r="H785" s="461"/>
      <c r="I785" s="461"/>
      <c r="J785" s="461"/>
      <c r="K785" s="461"/>
      <c r="L785" s="461"/>
      <c r="M785" s="461"/>
      <c r="N785" s="1113"/>
    </row>
    <row r="786" spans="2:14" x14ac:dyDescent="0.3">
      <c r="B786" s="850"/>
      <c r="C786" s="461"/>
      <c r="D786" s="461"/>
      <c r="E786" s="461"/>
      <c r="F786" s="1120"/>
      <c r="G786" s="1120"/>
      <c r="H786" s="1120"/>
      <c r="I786" s="863"/>
      <c r="J786" s="863"/>
      <c r="K786" s="863"/>
      <c r="L786" s="863"/>
      <c r="M786" s="1121" t="s">
        <v>24691</v>
      </c>
      <c r="N786" s="1123">
        <f>N775+N780+N784</f>
        <v>29.61</v>
      </c>
    </row>
    <row r="787" spans="2:14" x14ac:dyDescent="0.3">
      <c r="B787" s="850"/>
      <c r="C787" s="461"/>
      <c r="D787" s="461"/>
      <c r="E787" s="461"/>
      <c r="F787" s="1120"/>
      <c r="G787" s="1120"/>
      <c r="H787" s="1120"/>
      <c r="I787" s="1120"/>
      <c r="J787" s="1124"/>
      <c r="K787" s="1124"/>
      <c r="L787" s="1124"/>
      <c r="M787" s="1125" t="s">
        <v>24692</v>
      </c>
      <c r="N787" s="1123">
        <v>1</v>
      </c>
    </row>
    <row r="788" spans="2:14" ht="15.75" thickBot="1" x14ac:dyDescent="0.35">
      <c r="B788" s="855"/>
      <c r="C788" s="954"/>
      <c r="D788" s="954"/>
      <c r="E788" s="954"/>
      <c r="F788" s="1110"/>
      <c r="G788" s="1110"/>
      <c r="H788" s="1110"/>
      <c r="I788" s="1110"/>
      <c r="J788" s="1110"/>
      <c r="K788" s="1110"/>
      <c r="L788" s="1110"/>
      <c r="M788" s="1111" t="s">
        <v>24693</v>
      </c>
      <c r="N788" s="1126">
        <f>TRUNC(N786/N787,2)</f>
        <v>29.61</v>
      </c>
    </row>
    <row r="789" spans="2:14" ht="15.75" thickBot="1" x14ac:dyDescent="0.35">
      <c r="B789" s="850"/>
      <c r="C789" s="461"/>
      <c r="D789" s="461"/>
      <c r="E789" s="461"/>
      <c r="F789" s="461"/>
      <c r="G789" s="461"/>
      <c r="H789" s="461"/>
      <c r="I789" s="461"/>
      <c r="J789" s="461"/>
      <c r="K789" s="461"/>
      <c r="L789" s="461"/>
      <c r="M789" s="461"/>
      <c r="N789" s="1113"/>
    </row>
    <row r="790" spans="2:14" ht="30" x14ac:dyDescent="0.3">
      <c r="B790" s="1104" t="s">
        <v>0</v>
      </c>
      <c r="C790" s="1105" t="s">
        <v>24673</v>
      </c>
      <c r="D790" s="1593" t="s">
        <v>24694</v>
      </c>
      <c r="E790" s="1593"/>
      <c r="F790" s="1593"/>
      <c r="G790" s="1593"/>
      <c r="H790" s="1593"/>
      <c r="I790" s="1594"/>
      <c r="J790" s="1106" t="s">
        <v>3686</v>
      </c>
      <c r="K790" s="1106" t="s">
        <v>24695</v>
      </c>
      <c r="L790" s="1614" t="s">
        <v>24683</v>
      </c>
      <c r="M790" s="1615"/>
      <c r="N790" s="1114" t="s">
        <v>24689</v>
      </c>
    </row>
    <row r="791" spans="2:14" ht="30" x14ac:dyDescent="0.3">
      <c r="B791" s="1115" t="s">
        <v>24795</v>
      </c>
      <c r="C791" s="1116" t="s">
        <v>25183</v>
      </c>
      <c r="D791" s="1628" t="s">
        <v>25293</v>
      </c>
      <c r="E791" s="1604"/>
      <c r="F791" s="1604"/>
      <c r="G791" s="1604"/>
      <c r="H791" s="1604"/>
      <c r="I791" s="1605"/>
      <c r="J791" s="1109" t="s">
        <v>8</v>
      </c>
      <c r="K791" s="1109">
        <f>'MAPA DE COT. - Quiosque'!G161</f>
        <v>47.63</v>
      </c>
      <c r="L791" s="1630">
        <v>1</v>
      </c>
      <c r="M791" s="1631"/>
      <c r="N791" s="1119">
        <f>L791*K791</f>
        <v>47.63</v>
      </c>
    </row>
    <row r="792" spans="2:14" ht="15.75" thickBot="1" x14ac:dyDescent="0.35">
      <c r="B792" s="855"/>
      <c r="C792" s="954"/>
      <c r="D792" s="954"/>
      <c r="E792" s="954"/>
      <c r="F792" s="1110"/>
      <c r="G792" s="1110"/>
      <c r="H792" s="1110"/>
      <c r="I792" s="1110"/>
      <c r="J792" s="1110"/>
      <c r="K792" s="1110"/>
      <c r="L792" s="1110"/>
      <c r="M792" s="1111" t="s">
        <v>24696</v>
      </c>
      <c r="N792" s="1112">
        <f>SUM(N791:N791)</f>
        <v>47.63</v>
      </c>
    </row>
    <row r="793" spans="2:14" ht="15.75" thickBot="1" x14ac:dyDescent="0.35">
      <c r="B793" s="850"/>
      <c r="C793" s="461"/>
      <c r="D793" s="461"/>
      <c r="E793" s="461"/>
      <c r="F793" s="461"/>
      <c r="G793" s="461"/>
      <c r="H793" s="461"/>
      <c r="I793" s="461"/>
      <c r="J793" s="461"/>
      <c r="K793" s="461"/>
      <c r="L793" s="461"/>
      <c r="M793" s="461"/>
      <c r="N793" s="1113"/>
    </row>
    <row r="794" spans="2:14" ht="30" x14ac:dyDescent="0.3">
      <c r="B794" s="1104" t="s">
        <v>0</v>
      </c>
      <c r="C794" s="1106" t="s">
        <v>24673</v>
      </c>
      <c r="D794" s="1593" t="s">
        <v>24697</v>
      </c>
      <c r="E794" s="1593"/>
      <c r="F794" s="1593"/>
      <c r="G794" s="1593"/>
      <c r="H794" s="1593"/>
      <c r="I794" s="1594"/>
      <c r="J794" s="1106" t="s">
        <v>3686</v>
      </c>
      <c r="K794" s="1106" t="s">
        <v>24695</v>
      </c>
      <c r="L794" s="1614" t="s">
        <v>24683</v>
      </c>
      <c r="M794" s="1615"/>
      <c r="N794" s="1114" t="s">
        <v>24689</v>
      </c>
    </row>
    <row r="795" spans="2:14" x14ac:dyDescent="0.3">
      <c r="B795" s="1115"/>
      <c r="C795" s="1116"/>
      <c r="D795" s="1604"/>
      <c r="E795" s="1604"/>
      <c r="F795" s="1604"/>
      <c r="G795" s="1604"/>
      <c r="H795" s="1604"/>
      <c r="I795" s="1605"/>
      <c r="J795" s="1151"/>
      <c r="K795" s="1151"/>
      <c r="L795" s="1626">
        <v>1</v>
      </c>
      <c r="M795" s="1627"/>
      <c r="N795" s="1154">
        <f>K795*L795</f>
        <v>0</v>
      </c>
    </row>
    <row r="796" spans="2:14" x14ac:dyDescent="0.3">
      <c r="B796" s="1115"/>
      <c r="C796" s="1116"/>
      <c r="D796" s="1604"/>
      <c r="E796" s="1604"/>
      <c r="F796" s="1604"/>
      <c r="G796" s="1604"/>
      <c r="H796" s="1604"/>
      <c r="I796" s="1605"/>
      <c r="J796" s="1151"/>
      <c r="K796" s="462"/>
      <c r="L796" s="1626">
        <v>1</v>
      </c>
      <c r="M796" s="1627"/>
      <c r="N796" s="1154">
        <f>K796*L796</f>
        <v>0</v>
      </c>
    </row>
    <row r="797" spans="2:14" ht="15.75" thickBot="1" x14ac:dyDescent="0.35">
      <c r="B797" s="855"/>
      <c r="C797" s="954"/>
      <c r="D797" s="954"/>
      <c r="E797" s="954"/>
      <c r="F797" s="1110"/>
      <c r="G797" s="1110"/>
      <c r="H797" s="1110"/>
      <c r="I797" s="1110"/>
      <c r="J797" s="1110"/>
      <c r="K797" s="1110"/>
      <c r="L797" s="1110"/>
      <c r="M797" s="1111" t="s">
        <v>24698</v>
      </c>
      <c r="N797" s="1112">
        <f>SUM(N795:N796)</f>
        <v>0</v>
      </c>
    </row>
    <row r="798" spans="2:14" ht="15.75" thickBot="1" x14ac:dyDescent="0.35">
      <c r="B798" s="850"/>
      <c r="C798" s="461"/>
      <c r="D798" s="461"/>
      <c r="E798" s="461"/>
      <c r="F798" s="461"/>
      <c r="G798" s="461"/>
      <c r="H798" s="461"/>
      <c r="I798" s="461"/>
      <c r="J798" s="461"/>
      <c r="K798" s="461"/>
      <c r="L798" s="461"/>
      <c r="M798" s="461"/>
      <c r="N798" s="1113"/>
    </row>
    <row r="799" spans="2:14" ht="30" x14ac:dyDescent="0.3">
      <c r="B799" s="1104" t="s">
        <v>0</v>
      </c>
      <c r="C799" s="1106" t="s">
        <v>24673</v>
      </c>
      <c r="D799" s="1593" t="s">
        <v>24699</v>
      </c>
      <c r="E799" s="1593"/>
      <c r="F799" s="1593"/>
      <c r="G799" s="1594"/>
      <c r="H799" s="1106" t="s">
        <v>3686</v>
      </c>
      <c r="I799" s="1106" t="s">
        <v>24700</v>
      </c>
      <c r="J799" s="1106" t="s">
        <v>24701</v>
      </c>
      <c r="K799" s="1106" t="s">
        <v>24695</v>
      </c>
      <c r="L799" s="1614" t="s">
        <v>24683</v>
      </c>
      <c r="M799" s="1615"/>
      <c r="N799" s="1114" t="s">
        <v>24689</v>
      </c>
    </row>
    <row r="800" spans="2:14" x14ac:dyDescent="0.3">
      <c r="B800" s="1115"/>
      <c r="C800" s="1116"/>
      <c r="D800" s="1595"/>
      <c r="E800" s="1595"/>
      <c r="F800" s="1595"/>
      <c r="G800" s="1595"/>
      <c r="H800" s="1109"/>
      <c r="I800" s="1109"/>
      <c r="J800" s="1109"/>
      <c r="K800" s="1109"/>
      <c r="L800" s="1597"/>
      <c r="M800" s="1598"/>
      <c r="N800" s="1119"/>
    </row>
    <row r="801" spans="2:14" x14ac:dyDescent="0.3">
      <c r="B801" s="1115"/>
      <c r="C801" s="1116"/>
      <c r="D801" s="1595"/>
      <c r="E801" s="1595"/>
      <c r="F801" s="1595"/>
      <c r="G801" s="1595"/>
      <c r="H801" s="1109"/>
      <c r="I801" s="1109"/>
      <c r="J801" s="1109"/>
      <c r="K801" s="1109"/>
      <c r="L801" s="1597"/>
      <c r="M801" s="1598"/>
      <c r="N801" s="1119"/>
    </row>
    <row r="802" spans="2:14" x14ac:dyDescent="0.3">
      <c r="B802" s="1115"/>
      <c r="C802" s="1116"/>
      <c r="D802" s="1595"/>
      <c r="E802" s="1595"/>
      <c r="F802" s="1595"/>
      <c r="G802" s="1595"/>
      <c r="H802" s="1109"/>
      <c r="I802" s="1109"/>
      <c r="J802" s="1109"/>
      <c r="K802" s="1109"/>
      <c r="L802" s="1597"/>
      <c r="M802" s="1598"/>
      <c r="N802" s="1119"/>
    </row>
    <row r="803" spans="2:14" x14ac:dyDescent="0.3">
      <c r="B803" s="850"/>
      <c r="C803" s="461"/>
      <c r="D803" s="461"/>
      <c r="E803" s="461"/>
      <c r="F803" s="1120"/>
      <c r="G803" s="1120"/>
      <c r="H803" s="1120"/>
      <c r="I803" s="1120"/>
      <c r="J803" s="1120"/>
      <c r="K803" s="1120"/>
      <c r="L803" s="1120"/>
      <c r="M803" s="1121" t="s">
        <v>24702</v>
      </c>
      <c r="N803" s="1122">
        <f>SUM(N800:N802)</f>
        <v>0</v>
      </c>
    </row>
    <row r="804" spans="2:14" x14ac:dyDescent="0.3">
      <c r="B804" s="850"/>
      <c r="C804" s="461"/>
      <c r="D804" s="461"/>
      <c r="E804" s="461"/>
      <c r="F804" s="461"/>
      <c r="G804" s="461"/>
      <c r="H804" s="461"/>
      <c r="I804" s="461"/>
      <c r="J804" s="461"/>
      <c r="K804" s="461"/>
      <c r="L804" s="461"/>
      <c r="M804" s="461"/>
      <c r="N804" s="1113"/>
    </row>
    <row r="805" spans="2:14" x14ac:dyDescent="0.3">
      <c r="B805" s="1131"/>
      <c r="C805" s="1132"/>
      <c r="D805" s="1132"/>
      <c r="E805" s="1132"/>
      <c r="F805" s="1133"/>
      <c r="G805" s="1133"/>
      <c r="H805" s="1133"/>
      <c r="I805" s="1133"/>
      <c r="J805" s="1133"/>
      <c r="K805" s="1133"/>
      <c r="L805" s="1133"/>
      <c r="M805" s="1134" t="s">
        <v>24703</v>
      </c>
      <c r="N805" s="1123">
        <f>N788+N792+N797+N803</f>
        <v>77.239999999999995</v>
      </c>
    </row>
    <row r="806" spans="2:14" x14ac:dyDescent="0.3">
      <c r="B806" s="850"/>
      <c r="C806" s="461"/>
      <c r="D806" s="461"/>
      <c r="E806" s="461"/>
      <c r="F806" s="1120"/>
      <c r="G806" s="1120"/>
      <c r="H806" s="1120"/>
      <c r="I806" s="1120"/>
      <c r="J806" s="1120"/>
      <c r="K806" s="1120"/>
      <c r="L806" s="1120"/>
      <c r="M806" s="1136">
        <f>'QUIOSQUE - MOD 01'!I3</f>
        <v>0.28220000000000001</v>
      </c>
      <c r="N806" s="1123">
        <f>ROUND(N805*M806,2)</f>
        <v>21.8</v>
      </c>
    </row>
    <row r="807" spans="2:14" ht="15.75" thickBot="1" x14ac:dyDescent="0.35">
      <c r="B807" s="1599" t="s">
        <v>24704</v>
      </c>
      <c r="C807" s="1600"/>
      <c r="D807" s="1600"/>
      <c r="E807" s="1600"/>
      <c r="F807" s="1600"/>
      <c r="G807" s="1600"/>
      <c r="H807" s="1600"/>
      <c r="I807" s="1600"/>
      <c r="J807" s="1600"/>
      <c r="K807" s="1600"/>
      <c r="L807" s="1600"/>
      <c r="M807" s="1601"/>
      <c r="N807" s="1126">
        <f>N805+N806</f>
        <v>99.04</v>
      </c>
    </row>
    <row r="810" spans="2:14" ht="15.75" thickBot="1" x14ac:dyDescent="0.35"/>
    <row r="811" spans="2:14" ht="45" customHeight="1" x14ac:dyDescent="0.3">
      <c r="B811" s="1607" t="s">
        <v>25294</v>
      </c>
      <c r="C811" s="1608"/>
      <c r="D811" s="1609"/>
      <c r="E811" s="1610" t="s">
        <v>24669</v>
      </c>
      <c r="F811" s="1610"/>
      <c r="G811" s="1610"/>
      <c r="H811" s="1610"/>
      <c r="I811" s="1610"/>
      <c r="J811" s="1610"/>
      <c r="K811" s="1610"/>
      <c r="L811" s="1623"/>
      <c r="M811" s="1576"/>
      <c r="N811" s="1577"/>
    </row>
    <row r="812" spans="2:14" x14ac:dyDescent="0.3">
      <c r="B812" s="1103" t="s">
        <v>24670</v>
      </c>
      <c r="C812" s="1632" t="s">
        <v>25295</v>
      </c>
      <c r="D812" s="1586"/>
      <c r="E812" s="1586"/>
      <c r="F812" s="1586"/>
      <c r="G812" s="1586"/>
      <c r="H812" s="1586"/>
      <c r="I812" s="1586"/>
      <c r="J812" s="1586"/>
      <c r="K812" s="1586"/>
      <c r="L812" s="1586"/>
      <c r="M812" s="1586"/>
      <c r="N812" s="1587"/>
    </row>
    <row r="813" spans="2:14" x14ac:dyDescent="0.3">
      <c r="B813" s="1103" t="s">
        <v>24671</v>
      </c>
      <c r="C813" s="1588" t="s">
        <v>8</v>
      </c>
      <c r="D813" s="1588"/>
      <c r="E813" s="1588"/>
      <c r="F813" s="1588"/>
      <c r="G813" s="1588"/>
      <c r="H813" s="1588"/>
      <c r="I813" s="1588"/>
      <c r="J813" s="1588"/>
      <c r="K813" s="1588"/>
      <c r="L813" s="1588"/>
      <c r="M813" s="1588"/>
      <c r="N813" s="1589"/>
    </row>
    <row r="814" spans="2:14" ht="15.75" thickBot="1" x14ac:dyDescent="0.35">
      <c r="B814" s="1103" t="s">
        <v>24672</v>
      </c>
      <c r="C814" s="1590">
        <v>44501</v>
      </c>
      <c r="D814" s="1591"/>
      <c r="E814" s="1591"/>
      <c r="F814" s="1591"/>
      <c r="G814" s="1591"/>
      <c r="H814" s="1591"/>
      <c r="I814" s="1591"/>
      <c r="J814" s="1591"/>
      <c r="K814" s="1591"/>
      <c r="L814" s="1591"/>
      <c r="M814" s="1591"/>
      <c r="N814" s="1592"/>
    </row>
    <row r="815" spans="2:14" ht="30" x14ac:dyDescent="0.3">
      <c r="B815" s="1104" t="s">
        <v>0</v>
      </c>
      <c r="C815" s="1105" t="s">
        <v>24673</v>
      </c>
      <c r="D815" s="1593" t="s">
        <v>24674</v>
      </c>
      <c r="E815" s="1593"/>
      <c r="F815" s="1593"/>
      <c r="G815" s="1594"/>
      <c r="H815" s="1106" t="s">
        <v>111</v>
      </c>
      <c r="I815" s="1106" t="s">
        <v>24675</v>
      </c>
      <c r="J815" s="1106" t="s">
        <v>24676</v>
      </c>
      <c r="K815" s="1106" t="s">
        <v>24677</v>
      </c>
      <c r="L815" s="1614" t="s">
        <v>24678</v>
      </c>
      <c r="M815" s="1615"/>
      <c r="N815" s="1114" t="s">
        <v>24679</v>
      </c>
    </row>
    <row r="816" spans="2:14" x14ac:dyDescent="0.3">
      <c r="B816" s="1107"/>
      <c r="C816" s="1108"/>
      <c r="D816" s="1595"/>
      <c r="E816" s="1595"/>
      <c r="F816" s="1595"/>
      <c r="G816" s="1596"/>
      <c r="H816" s="1109"/>
      <c r="I816" s="1109"/>
      <c r="J816" s="1109"/>
      <c r="K816" s="1109"/>
      <c r="L816" s="1597"/>
      <c r="M816" s="1598"/>
      <c r="N816" s="1119"/>
    </row>
    <row r="817" spans="2:14" ht="15.75" thickBot="1" x14ac:dyDescent="0.35">
      <c r="B817" s="855"/>
      <c r="C817" s="954"/>
      <c r="D817" s="954"/>
      <c r="E817" s="954"/>
      <c r="F817" s="1110"/>
      <c r="G817" s="1110"/>
      <c r="H817" s="1110"/>
      <c r="I817" s="1110"/>
      <c r="J817" s="1110"/>
      <c r="K817" s="1110"/>
      <c r="L817" s="1110"/>
      <c r="M817" s="1111" t="s">
        <v>24680</v>
      </c>
      <c r="N817" s="1112">
        <f>SUM(N816:N816)</f>
        <v>0</v>
      </c>
    </row>
    <row r="818" spans="2:14" ht="15.75" thickBot="1" x14ac:dyDescent="0.35">
      <c r="B818" s="850"/>
      <c r="C818" s="461"/>
      <c r="D818" s="461"/>
      <c r="E818" s="461"/>
      <c r="F818" s="461"/>
      <c r="G818" s="461"/>
      <c r="H818" s="461"/>
      <c r="I818" s="461"/>
      <c r="J818" s="461"/>
      <c r="K818" s="461"/>
      <c r="L818" s="461"/>
      <c r="M818" s="461"/>
      <c r="N818" s="1113"/>
    </row>
    <row r="819" spans="2:14" ht="45" x14ac:dyDescent="0.3">
      <c r="B819" s="1104" t="s">
        <v>0</v>
      </c>
      <c r="C819" s="1105" t="s">
        <v>24673</v>
      </c>
      <c r="D819" s="1593" t="s">
        <v>24681</v>
      </c>
      <c r="E819" s="1593"/>
      <c r="F819" s="1593"/>
      <c r="G819" s="1593"/>
      <c r="H819" s="1594"/>
      <c r="I819" s="1106" t="s">
        <v>3686</v>
      </c>
      <c r="J819" s="1106" t="s">
        <v>24682</v>
      </c>
      <c r="K819" s="1106" t="s">
        <v>25177</v>
      </c>
      <c r="L819" s="1106" t="s">
        <v>25178</v>
      </c>
      <c r="M819" s="1106" t="s">
        <v>24683</v>
      </c>
      <c r="N819" s="1114" t="s">
        <v>24679</v>
      </c>
    </row>
    <row r="820" spans="2:14" x14ac:dyDescent="0.3">
      <c r="B820" s="1115">
        <v>10101</v>
      </c>
      <c r="C820" s="1116" t="s">
        <v>4379</v>
      </c>
      <c r="D820" s="1604" t="s">
        <v>25268</v>
      </c>
      <c r="E820" s="1604"/>
      <c r="F820" s="1604"/>
      <c r="G820" s="1604"/>
      <c r="H820" s="1605"/>
      <c r="I820" s="1109" t="s">
        <v>75</v>
      </c>
      <c r="J820" s="1117">
        <v>1.5727</v>
      </c>
      <c r="K820" s="1109">
        <v>6.27</v>
      </c>
      <c r="L820" s="1109">
        <f>K820*(1+J820)</f>
        <v>16.13</v>
      </c>
      <c r="M820" s="1118">
        <v>0.8</v>
      </c>
      <c r="N820" s="1119">
        <f>M820*L820</f>
        <v>12.9</v>
      </c>
    </row>
    <row r="821" spans="2:14" x14ac:dyDescent="0.3">
      <c r="B821" s="1115">
        <v>10115</v>
      </c>
      <c r="C821" s="1116" t="s">
        <v>4379</v>
      </c>
      <c r="D821" s="1604" t="s">
        <v>25289</v>
      </c>
      <c r="E821" s="1604"/>
      <c r="F821" s="1604"/>
      <c r="G821" s="1604"/>
      <c r="H821" s="1605"/>
      <c r="I821" s="1109" t="s">
        <v>75</v>
      </c>
      <c r="J821" s="1117">
        <v>1.5727</v>
      </c>
      <c r="K821" s="1109">
        <v>7.43</v>
      </c>
      <c r="L821" s="1109">
        <f>K821*(1+J821)</f>
        <v>19.12</v>
      </c>
      <c r="M821" s="1118">
        <v>0.8</v>
      </c>
      <c r="N821" s="1119">
        <f>M821*L821</f>
        <v>15.3</v>
      </c>
    </row>
    <row r="822" spans="2:14" ht="15.75" thickBot="1" x14ac:dyDescent="0.35">
      <c r="B822" s="855"/>
      <c r="C822" s="954"/>
      <c r="D822" s="954"/>
      <c r="E822" s="954"/>
      <c r="F822" s="1110"/>
      <c r="G822" s="1110"/>
      <c r="H822" s="1110"/>
      <c r="I822" s="1110"/>
      <c r="J822" s="1110"/>
      <c r="K822" s="1110"/>
      <c r="L822" s="1110"/>
      <c r="M822" s="1111" t="s">
        <v>24684</v>
      </c>
      <c r="N822" s="1112">
        <f>SUM(N820:N821)</f>
        <v>28.2</v>
      </c>
    </row>
    <row r="823" spans="2:14" ht="15.75" thickBot="1" x14ac:dyDescent="0.35">
      <c r="B823" s="850"/>
      <c r="C823" s="461"/>
      <c r="D823" s="461"/>
      <c r="E823" s="461"/>
      <c r="F823" s="461"/>
      <c r="G823" s="461"/>
      <c r="H823" s="461"/>
      <c r="I823" s="1120"/>
      <c r="J823" s="1120"/>
      <c r="K823" s="461"/>
      <c r="L823" s="461"/>
      <c r="M823" s="461"/>
      <c r="N823" s="1113"/>
    </row>
    <row r="824" spans="2:14" ht="30" x14ac:dyDescent="0.3">
      <c r="B824" s="1104" t="s">
        <v>0</v>
      </c>
      <c r="C824" s="1105" t="s">
        <v>24673</v>
      </c>
      <c r="D824" s="1593" t="s">
        <v>24685</v>
      </c>
      <c r="E824" s="1593"/>
      <c r="F824" s="1593"/>
      <c r="G824" s="1593"/>
      <c r="H824" s="1594"/>
      <c r="I824" s="1106" t="s">
        <v>2858</v>
      </c>
      <c r="J824" s="1106" t="s">
        <v>24686</v>
      </c>
      <c r="K824" s="1106" t="s">
        <v>24687</v>
      </c>
      <c r="L824" s="1614" t="s">
        <v>24688</v>
      </c>
      <c r="M824" s="1615"/>
      <c r="N824" s="1114" t="s">
        <v>24689</v>
      </c>
    </row>
    <row r="825" spans="2:14" x14ac:dyDescent="0.3">
      <c r="B825" s="1115">
        <v>2000</v>
      </c>
      <c r="C825" s="1116" t="s">
        <v>4389</v>
      </c>
      <c r="D825" s="1604" t="s">
        <v>25181</v>
      </c>
      <c r="E825" s="1604"/>
      <c r="F825" s="1604"/>
      <c r="G825" s="1604"/>
      <c r="H825" s="1605"/>
      <c r="I825" s="1109">
        <v>5</v>
      </c>
      <c r="J825" s="1109" t="s">
        <v>25182</v>
      </c>
      <c r="K825" s="1109"/>
      <c r="L825" s="1597"/>
      <c r="M825" s="1598"/>
      <c r="N825" s="1119">
        <f>N822*(I825/100)</f>
        <v>1.41</v>
      </c>
    </row>
    <row r="826" spans="2:14" x14ac:dyDescent="0.3">
      <c r="B826" s="850"/>
      <c r="C826" s="461"/>
      <c r="D826" s="461"/>
      <c r="E826" s="461"/>
      <c r="F826" s="1120"/>
      <c r="G826" s="1120"/>
      <c r="H826" s="1120"/>
      <c r="I826" s="1120"/>
      <c r="J826" s="1120"/>
      <c r="K826" s="1120"/>
      <c r="L826" s="1120"/>
      <c r="M826" s="1121" t="s">
        <v>24690</v>
      </c>
      <c r="N826" s="1122">
        <f>SUM(N825:N825)</f>
        <v>1.41</v>
      </c>
    </row>
    <row r="827" spans="2:14" x14ac:dyDescent="0.3">
      <c r="B827" s="850"/>
      <c r="C827" s="461"/>
      <c r="D827" s="461"/>
      <c r="E827" s="461"/>
      <c r="F827" s="461"/>
      <c r="G827" s="461"/>
      <c r="H827" s="461"/>
      <c r="I827" s="461"/>
      <c r="J827" s="461"/>
      <c r="K827" s="461"/>
      <c r="L827" s="461"/>
      <c r="M827" s="461"/>
      <c r="N827" s="1113"/>
    </row>
    <row r="828" spans="2:14" x14ac:dyDescent="0.3">
      <c r="B828" s="850"/>
      <c r="C828" s="461"/>
      <c r="D828" s="461"/>
      <c r="E828" s="461"/>
      <c r="F828" s="1120"/>
      <c r="G828" s="1120"/>
      <c r="H828" s="1120"/>
      <c r="I828" s="863"/>
      <c r="J828" s="863"/>
      <c r="K828" s="863"/>
      <c r="L828" s="863"/>
      <c r="M828" s="1121" t="s">
        <v>24691</v>
      </c>
      <c r="N828" s="1123">
        <f>N817+N822+N826</f>
        <v>29.61</v>
      </c>
    </row>
    <row r="829" spans="2:14" x14ac:dyDescent="0.3">
      <c r="B829" s="850"/>
      <c r="C829" s="461"/>
      <c r="D829" s="461"/>
      <c r="E829" s="461"/>
      <c r="F829" s="1120"/>
      <c r="G829" s="1120"/>
      <c r="H829" s="1120"/>
      <c r="I829" s="1120"/>
      <c r="J829" s="1124"/>
      <c r="K829" s="1124"/>
      <c r="L829" s="1124"/>
      <c r="M829" s="1125" t="s">
        <v>24692</v>
      </c>
      <c r="N829" s="1123">
        <v>1</v>
      </c>
    </row>
    <row r="830" spans="2:14" ht="15.75" thickBot="1" x14ac:dyDescent="0.35">
      <c r="B830" s="855"/>
      <c r="C830" s="954"/>
      <c r="D830" s="954"/>
      <c r="E830" s="954"/>
      <c r="F830" s="1110"/>
      <c r="G830" s="1110"/>
      <c r="H830" s="1110"/>
      <c r="I830" s="1110"/>
      <c r="J830" s="1110"/>
      <c r="K830" s="1110"/>
      <c r="L830" s="1110"/>
      <c r="M830" s="1111" t="s">
        <v>24693</v>
      </c>
      <c r="N830" s="1126">
        <f>TRUNC(N828/N829,2)</f>
        <v>29.61</v>
      </c>
    </row>
    <row r="831" spans="2:14" ht="15.75" thickBot="1" x14ac:dyDescent="0.35">
      <c r="B831" s="850"/>
      <c r="C831" s="461"/>
      <c r="D831" s="461"/>
      <c r="E831" s="461"/>
      <c r="F831" s="461"/>
      <c r="G831" s="461"/>
      <c r="H831" s="461"/>
      <c r="I831" s="461"/>
      <c r="J831" s="461"/>
      <c r="K831" s="461"/>
      <c r="L831" s="461"/>
      <c r="M831" s="461"/>
      <c r="N831" s="1113"/>
    </row>
    <row r="832" spans="2:14" ht="30" x14ac:dyDescent="0.3">
      <c r="B832" s="1104" t="s">
        <v>0</v>
      </c>
      <c r="C832" s="1105" t="s">
        <v>24673</v>
      </c>
      <c r="D832" s="1593" t="s">
        <v>24694</v>
      </c>
      <c r="E832" s="1593"/>
      <c r="F832" s="1593"/>
      <c r="G832" s="1593"/>
      <c r="H832" s="1593"/>
      <c r="I832" s="1594"/>
      <c r="J832" s="1106" t="s">
        <v>3686</v>
      </c>
      <c r="K832" s="1106" t="s">
        <v>24695</v>
      </c>
      <c r="L832" s="1614" t="s">
        <v>24683</v>
      </c>
      <c r="M832" s="1615"/>
      <c r="N832" s="1114" t="s">
        <v>24689</v>
      </c>
    </row>
    <row r="833" spans="2:14" ht="30" x14ac:dyDescent="0.3">
      <c r="B833" s="1115" t="s">
        <v>24795</v>
      </c>
      <c r="C833" s="1116" t="s">
        <v>25183</v>
      </c>
      <c r="D833" s="1628" t="s">
        <v>25296</v>
      </c>
      <c r="E833" s="1604"/>
      <c r="F833" s="1604"/>
      <c r="G833" s="1604"/>
      <c r="H833" s="1604"/>
      <c r="I833" s="1605"/>
      <c r="J833" s="1109" t="s">
        <v>8</v>
      </c>
      <c r="K833" s="1109">
        <f>'MAPA DE COT. - Quiosque'!G173</f>
        <v>190.29</v>
      </c>
      <c r="L833" s="1630">
        <v>1</v>
      </c>
      <c r="M833" s="1631"/>
      <c r="N833" s="1119">
        <f>L833*K833</f>
        <v>190.29</v>
      </c>
    </row>
    <row r="834" spans="2:14" ht="15.75" thickBot="1" x14ac:dyDescent="0.35">
      <c r="B834" s="855"/>
      <c r="C834" s="954"/>
      <c r="D834" s="954"/>
      <c r="E834" s="954"/>
      <c r="F834" s="1110"/>
      <c r="G834" s="1110"/>
      <c r="H834" s="1110"/>
      <c r="I834" s="1110"/>
      <c r="J834" s="1110"/>
      <c r="K834" s="1110"/>
      <c r="L834" s="1110"/>
      <c r="M834" s="1111" t="s">
        <v>24696</v>
      </c>
      <c r="N834" s="1112">
        <f>SUM(N833:N833)</f>
        <v>190.29</v>
      </c>
    </row>
    <row r="835" spans="2:14" ht="15.75" thickBot="1" x14ac:dyDescent="0.35">
      <c r="B835" s="850"/>
      <c r="C835" s="461"/>
      <c r="D835" s="461"/>
      <c r="E835" s="461"/>
      <c r="F835" s="461"/>
      <c r="G835" s="461"/>
      <c r="H835" s="461"/>
      <c r="I835" s="461"/>
      <c r="J835" s="461"/>
      <c r="K835" s="461"/>
      <c r="L835" s="461"/>
      <c r="M835" s="461"/>
      <c r="N835" s="1113"/>
    </row>
    <row r="836" spans="2:14" ht="30" x14ac:dyDescent="0.3">
      <c r="B836" s="1104" t="s">
        <v>0</v>
      </c>
      <c r="C836" s="1106" t="s">
        <v>24673</v>
      </c>
      <c r="D836" s="1593" t="s">
        <v>24697</v>
      </c>
      <c r="E836" s="1593"/>
      <c r="F836" s="1593"/>
      <c r="G836" s="1593"/>
      <c r="H836" s="1593"/>
      <c r="I836" s="1594"/>
      <c r="J836" s="1106" t="s">
        <v>3686</v>
      </c>
      <c r="K836" s="1106" t="s">
        <v>24695</v>
      </c>
      <c r="L836" s="1614" t="s">
        <v>24683</v>
      </c>
      <c r="M836" s="1615"/>
      <c r="N836" s="1114" t="s">
        <v>24689</v>
      </c>
    </row>
    <row r="837" spans="2:14" x14ac:dyDescent="0.3">
      <c r="B837" s="1115"/>
      <c r="C837" s="1116"/>
      <c r="D837" s="1604"/>
      <c r="E837" s="1604"/>
      <c r="F837" s="1604"/>
      <c r="G837" s="1604"/>
      <c r="H837" s="1604"/>
      <c r="I837" s="1605"/>
      <c r="J837" s="1151"/>
      <c r="K837" s="1151"/>
      <c r="L837" s="1626">
        <v>1</v>
      </c>
      <c r="M837" s="1627"/>
      <c r="N837" s="1154">
        <f>K837*L837</f>
        <v>0</v>
      </c>
    </row>
    <row r="838" spans="2:14" x14ac:dyDescent="0.3">
      <c r="B838" s="1115"/>
      <c r="C838" s="1116"/>
      <c r="D838" s="1604"/>
      <c r="E838" s="1604"/>
      <c r="F838" s="1604"/>
      <c r="G838" s="1604"/>
      <c r="H838" s="1604"/>
      <c r="I838" s="1605"/>
      <c r="J838" s="1151"/>
      <c r="K838" s="462"/>
      <c r="L838" s="1626">
        <v>1</v>
      </c>
      <c r="M838" s="1627"/>
      <c r="N838" s="1154">
        <f>K838*L838</f>
        <v>0</v>
      </c>
    </row>
    <row r="839" spans="2:14" ht="15.75" thickBot="1" x14ac:dyDescent="0.35">
      <c r="B839" s="855"/>
      <c r="C839" s="954"/>
      <c r="D839" s="954"/>
      <c r="E839" s="954"/>
      <c r="F839" s="1110"/>
      <c r="G839" s="1110"/>
      <c r="H839" s="1110"/>
      <c r="I839" s="1110"/>
      <c r="J839" s="1110"/>
      <c r="K839" s="1110"/>
      <c r="L839" s="1110"/>
      <c r="M839" s="1111" t="s">
        <v>24698</v>
      </c>
      <c r="N839" s="1112">
        <f>SUM(N837:N838)</f>
        <v>0</v>
      </c>
    </row>
    <row r="840" spans="2:14" ht="15.75" thickBot="1" x14ac:dyDescent="0.35">
      <c r="B840" s="850"/>
      <c r="C840" s="461"/>
      <c r="D840" s="461"/>
      <c r="E840" s="461"/>
      <c r="F840" s="461"/>
      <c r="G840" s="461"/>
      <c r="H840" s="461"/>
      <c r="I840" s="461"/>
      <c r="J840" s="461"/>
      <c r="K840" s="461"/>
      <c r="L840" s="461"/>
      <c r="M840" s="461"/>
      <c r="N840" s="1113"/>
    </row>
    <row r="841" spans="2:14" ht="30" x14ac:dyDescent="0.3">
      <c r="B841" s="1104" t="s">
        <v>0</v>
      </c>
      <c r="C841" s="1106" t="s">
        <v>24673</v>
      </c>
      <c r="D841" s="1593" t="s">
        <v>24699</v>
      </c>
      <c r="E841" s="1593"/>
      <c r="F841" s="1593"/>
      <c r="G841" s="1594"/>
      <c r="H841" s="1106" t="s">
        <v>3686</v>
      </c>
      <c r="I841" s="1106" t="s">
        <v>24700</v>
      </c>
      <c r="J841" s="1106" t="s">
        <v>24701</v>
      </c>
      <c r="K841" s="1106" t="s">
        <v>24695</v>
      </c>
      <c r="L841" s="1614" t="s">
        <v>24683</v>
      </c>
      <c r="M841" s="1615"/>
      <c r="N841" s="1114" t="s">
        <v>24689</v>
      </c>
    </row>
    <row r="842" spans="2:14" x14ac:dyDescent="0.3">
      <c r="B842" s="1115"/>
      <c r="C842" s="1116"/>
      <c r="D842" s="1595"/>
      <c r="E842" s="1595"/>
      <c r="F842" s="1595"/>
      <c r="G842" s="1595"/>
      <c r="H842" s="1109"/>
      <c r="I842" s="1109"/>
      <c r="J842" s="1109"/>
      <c r="K842" s="1109"/>
      <c r="L842" s="1597"/>
      <c r="M842" s="1598"/>
      <c r="N842" s="1119"/>
    </row>
    <row r="843" spans="2:14" x14ac:dyDescent="0.3">
      <c r="B843" s="1115"/>
      <c r="C843" s="1116"/>
      <c r="D843" s="1595"/>
      <c r="E843" s="1595"/>
      <c r="F843" s="1595"/>
      <c r="G843" s="1595"/>
      <c r="H843" s="1109"/>
      <c r="I843" s="1109"/>
      <c r="J843" s="1109"/>
      <c r="K843" s="1109"/>
      <c r="L843" s="1597"/>
      <c r="M843" s="1598"/>
      <c r="N843" s="1119"/>
    </row>
    <row r="844" spans="2:14" x14ac:dyDescent="0.3">
      <c r="B844" s="1115"/>
      <c r="C844" s="1116"/>
      <c r="D844" s="1595"/>
      <c r="E844" s="1595"/>
      <c r="F844" s="1595"/>
      <c r="G844" s="1595"/>
      <c r="H844" s="1109"/>
      <c r="I844" s="1109"/>
      <c r="J844" s="1109"/>
      <c r="K844" s="1109"/>
      <c r="L844" s="1597"/>
      <c r="M844" s="1598"/>
      <c r="N844" s="1119"/>
    </row>
    <row r="845" spans="2:14" x14ac:dyDescent="0.3">
      <c r="B845" s="850"/>
      <c r="C845" s="461"/>
      <c r="D845" s="461"/>
      <c r="E845" s="461"/>
      <c r="F845" s="1120"/>
      <c r="G845" s="1120"/>
      <c r="H845" s="1120"/>
      <c r="I845" s="1120"/>
      <c r="J845" s="1120"/>
      <c r="K845" s="1120"/>
      <c r="L845" s="1120"/>
      <c r="M845" s="1121" t="s">
        <v>24702</v>
      </c>
      <c r="N845" s="1122">
        <f>SUM(N842:N844)</f>
        <v>0</v>
      </c>
    </row>
    <row r="846" spans="2:14" x14ac:dyDescent="0.3">
      <c r="B846" s="850"/>
      <c r="C846" s="461"/>
      <c r="D846" s="461"/>
      <c r="E846" s="461"/>
      <c r="F846" s="461"/>
      <c r="G846" s="461"/>
      <c r="H846" s="461"/>
      <c r="I846" s="461"/>
      <c r="J846" s="461"/>
      <c r="K846" s="461"/>
      <c r="L846" s="461"/>
      <c r="M846" s="461"/>
      <c r="N846" s="1113"/>
    </row>
    <row r="847" spans="2:14" x14ac:dyDescent="0.3">
      <c r="B847" s="1131"/>
      <c r="C847" s="1132"/>
      <c r="D847" s="1132"/>
      <c r="E847" s="1132"/>
      <c r="F847" s="1133"/>
      <c r="G847" s="1133"/>
      <c r="H847" s="1133"/>
      <c r="I847" s="1133"/>
      <c r="J847" s="1133"/>
      <c r="K847" s="1133"/>
      <c r="L847" s="1133"/>
      <c r="M847" s="1134" t="s">
        <v>24703</v>
      </c>
      <c r="N847" s="1123">
        <f>N830+N834+N839+N845</f>
        <v>219.9</v>
      </c>
    </row>
    <row r="848" spans="2:14" x14ac:dyDescent="0.3">
      <c r="B848" s="850"/>
      <c r="C848" s="461"/>
      <c r="D848" s="461"/>
      <c r="E848" s="461"/>
      <c r="F848" s="1120"/>
      <c r="G848" s="1120"/>
      <c r="H848" s="1120"/>
      <c r="I848" s="1120"/>
      <c r="J848" s="1120"/>
      <c r="K848" s="1120"/>
      <c r="L848" s="1120"/>
      <c r="M848" s="1136">
        <f>'QUIOSQUE - MOD 01'!I3</f>
        <v>0.28220000000000001</v>
      </c>
      <c r="N848" s="1123">
        <f>ROUND(N847*M848,2)</f>
        <v>62.06</v>
      </c>
    </row>
    <row r="849" spans="2:14" ht="15.75" thickBot="1" x14ac:dyDescent="0.35">
      <c r="B849" s="1599" t="s">
        <v>24704</v>
      </c>
      <c r="C849" s="1600"/>
      <c r="D849" s="1600"/>
      <c r="E849" s="1600"/>
      <c r="F849" s="1600"/>
      <c r="G849" s="1600"/>
      <c r="H849" s="1600"/>
      <c r="I849" s="1600"/>
      <c r="J849" s="1600"/>
      <c r="K849" s="1600"/>
      <c r="L849" s="1600"/>
      <c r="M849" s="1601"/>
      <c r="N849" s="1126">
        <f>N847+N848</f>
        <v>281.95999999999998</v>
      </c>
    </row>
    <row r="852" spans="2:14" ht="15.75" thickBot="1" x14ac:dyDescent="0.35"/>
    <row r="853" spans="2:14" ht="46.5" customHeight="1" x14ac:dyDescent="0.3">
      <c r="B853" s="1607" t="s">
        <v>24909</v>
      </c>
      <c r="C853" s="1608"/>
      <c r="D853" s="1609"/>
      <c r="E853" s="1610" t="s">
        <v>24669</v>
      </c>
      <c r="F853" s="1610"/>
      <c r="G853" s="1610"/>
      <c r="H853" s="1610"/>
      <c r="I853" s="1610"/>
      <c r="J853" s="1610"/>
      <c r="K853" s="1610"/>
      <c r="L853" s="1623"/>
      <c r="M853" s="1576"/>
      <c r="N853" s="1577"/>
    </row>
    <row r="854" spans="2:14" ht="36" customHeight="1" x14ac:dyDescent="0.3">
      <c r="B854" s="1103" t="s">
        <v>24670</v>
      </c>
      <c r="C854" s="1632" t="s">
        <v>25297</v>
      </c>
      <c r="D854" s="1586"/>
      <c r="E854" s="1586"/>
      <c r="F854" s="1586"/>
      <c r="G854" s="1586"/>
      <c r="H854" s="1586"/>
      <c r="I854" s="1586"/>
      <c r="J854" s="1586"/>
      <c r="K854" s="1586"/>
      <c r="L854" s="1586"/>
      <c r="M854" s="1586"/>
      <c r="N854" s="1587"/>
    </row>
    <row r="855" spans="2:14" x14ac:dyDescent="0.3">
      <c r="B855" s="1103" t="s">
        <v>24671</v>
      </c>
      <c r="C855" s="1588" t="s">
        <v>6</v>
      </c>
      <c r="D855" s="1588"/>
      <c r="E855" s="1588"/>
      <c r="F855" s="1588"/>
      <c r="G855" s="1588"/>
      <c r="H855" s="1588"/>
      <c r="I855" s="1588"/>
      <c r="J855" s="1588"/>
      <c r="K855" s="1588"/>
      <c r="L855" s="1588"/>
      <c r="M855" s="1588"/>
      <c r="N855" s="1589"/>
    </row>
    <row r="856" spans="2:14" ht="15.75" thickBot="1" x14ac:dyDescent="0.35">
      <c r="B856" s="1103" t="s">
        <v>24672</v>
      </c>
      <c r="C856" s="1590">
        <v>44501</v>
      </c>
      <c r="D856" s="1591"/>
      <c r="E856" s="1591"/>
      <c r="F856" s="1591"/>
      <c r="G856" s="1591"/>
      <c r="H856" s="1591"/>
      <c r="I856" s="1591"/>
      <c r="J856" s="1591"/>
      <c r="K856" s="1591"/>
      <c r="L856" s="1591"/>
      <c r="M856" s="1591"/>
      <c r="N856" s="1592"/>
    </row>
    <row r="857" spans="2:14" ht="30" x14ac:dyDescent="0.3">
      <c r="B857" s="1104" t="s">
        <v>0</v>
      </c>
      <c r="C857" s="1105" t="s">
        <v>24673</v>
      </c>
      <c r="D857" s="1593" t="s">
        <v>24674</v>
      </c>
      <c r="E857" s="1593"/>
      <c r="F857" s="1593"/>
      <c r="G857" s="1594"/>
      <c r="H857" s="1106" t="s">
        <v>111</v>
      </c>
      <c r="I857" s="1106" t="s">
        <v>24675</v>
      </c>
      <c r="J857" s="1106" t="s">
        <v>24676</v>
      </c>
      <c r="K857" s="1106" t="s">
        <v>24677</v>
      </c>
      <c r="L857" s="1614" t="s">
        <v>24678</v>
      </c>
      <c r="M857" s="1615"/>
      <c r="N857" s="1114" t="s">
        <v>24679</v>
      </c>
    </row>
    <row r="858" spans="2:14" x14ac:dyDescent="0.3">
      <c r="B858" s="1107"/>
      <c r="C858" s="1108"/>
      <c r="D858" s="1595"/>
      <c r="E858" s="1595"/>
      <c r="F858" s="1595"/>
      <c r="G858" s="1596"/>
      <c r="H858" s="1109"/>
      <c r="I858" s="1109"/>
      <c r="J858" s="1109"/>
      <c r="K858" s="1109"/>
      <c r="L858" s="1597"/>
      <c r="M858" s="1598"/>
      <c r="N858" s="1119"/>
    </row>
    <row r="859" spans="2:14" ht="15.75" thickBot="1" x14ac:dyDescent="0.35">
      <c r="B859" s="855"/>
      <c r="C859" s="954"/>
      <c r="D859" s="954"/>
      <c r="E859" s="954"/>
      <c r="F859" s="1110"/>
      <c r="G859" s="1110"/>
      <c r="H859" s="1110"/>
      <c r="I859" s="1110"/>
      <c r="J859" s="1110"/>
      <c r="K859" s="1110"/>
      <c r="L859" s="1110"/>
      <c r="M859" s="1111" t="s">
        <v>24680</v>
      </c>
      <c r="N859" s="1112">
        <f>SUM(N858:N858)</f>
        <v>0</v>
      </c>
    </row>
    <row r="860" spans="2:14" ht="15.75" thickBot="1" x14ac:dyDescent="0.35">
      <c r="B860" s="850"/>
      <c r="C860" s="461"/>
      <c r="D860" s="461"/>
      <c r="E860" s="461"/>
      <c r="F860" s="461"/>
      <c r="G860" s="461"/>
      <c r="H860" s="461"/>
      <c r="I860" s="461"/>
      <c r="J860" s="461"/>
      <c r="K860" s="461"/>
      <c r="L860" s="461"/>
      <c r="M860" s="461"/>
      <c r="N860" s="1113"/>
    </row>
    <row r="861" spans="2:14" ht="45" x14ac:dyDescent="0.3">
      <c r="B861" s="1104" t="s">
        <v>0</v>
      </c>
      <c r="C861" s="1105" t="s">
        <v>24673</v>
      </c>
      <c r="D861" s="1593" t="s">
        <v>24681</v>
      </c>
      <c r="E861" s="1593"/>
      <c r="F861" s="1593"/>
      <c r="G861" s="1593"/>
      <c r="H861" s="1594"/>
      <c r="I861" s="1106" t="s">
        <v>3686</v>
      </c>
      <c r="J861" s="1106" t="s">
        <v>24682</v>
      </c>
      <c r="K861" s="1106" t="s">
        <v>25177</v>
      </c>
      <c r="L861" s="1106" t="s">
        <v>25178</v>
      </c>
      <c r="M861" s="1106" t="s">
        <v>24683</v>
      </c>
      <c r="N861" s="1114" t="s">
        <v>24679</v>
      </c>
    </row>
    <row r="862" spans="2:14" ht="26.25" customHeight="1" x14ac:dyDescent="0.3">
      <c r="B862" s="1115">
        <v>10139</v>
      </c>
      <c r="C862" s="1116" t="s">
        <v>4379</v>
      </c>
      <c r="D862" s="1604" t="s">
        <v>25195</v>
      </c>
      <c r="E862" s="1604"/>
      <c r="F862" s="1604"/>
      <c r="G862" s="1604"/>
      <c r="H862" s="1605"/>
      <c r="I862" s="1109" t="s">
        <v>75</v>
      </c>
      <c r="J862" s="1117">
        <v>1.5727</v>
      </c>
      <c r="K862" s="1109">
        <v>7.43</v>
      </c>
      <c r="L862" s="1109">
        <f>K862*(1+J862)</f>
        <v>19.12</v>
      </c>
      <c r="M862" s="1118">
        <v>2</v>
      </c>
      <c r="N862" s="1119">
        <f>M862*L862</f>
        <v>38.24</v>
      </c>
    </row>
    <row r="863" spans="2:14" ht="25.5" customHeight="1" x14ac:dyDescent="0.3">
      <c r="B863" s="1115">
        <v>10146</v>
      </c>
      <c r="C863" s="1116" t="s">
        <v>4379</v>
      </c>
      <c r="D863" s="1604" t="s">
        <v>25271</v>
      </c>
      <c r="E863" s="1604"/>
      <c r="F863" s="1604"/>
      <c r="G863" s="1604"/>
      <c r="H863" s="1605"/>
      <c r="I863" s="1109" t="s">
        <v>75</v>
      </c>
      <c r="J863" s="1117">
        <v>1.5727</v>
      </c>
      <c r="K863" s="1109">
        <v>5.46</v>
      </c>
      <c r="L863" s="1109">
        <f>K863*(1+J863)</f>
        <v>14.05</v>
      </c>
      <c r="M863" s="1118">
        <v>6</v>
      </c>
      <c r="N863" s="1119">
        <f>M863*L863</f>
        <v>84.3</v>
      </c>
    </row>
    <row r="864" spans="2:14" ht="15.75" thickBot="1" x14ac:dyDescent="0.35">
      <c r="B864" s="855"/>
      <c r="C864" s="954"/>
      <c r="D864" s="954"/>
      <c r="E864" s="954"/>
      <c r="F864" s="1110"/>
      <c r="G864" s="1110"/>
      <c r="H864" s="1110"/>
      <c r="I864" s="1110"/>
      <c r="J864" s="1110"/>
      <c r="K864" s="1110"/>
      <c r="L864" s="1110"/>
      <c r="M864" s="1111" t="s">
        <v>24684</v>
      </c>
      <c r="N864" s="1112">
        <f>SUM(N862:N863)</f>
        <v>122.54</v>
      </c>
    </row>
    <row r="865" spans="2:14" ht="15.75" thickBot="1" x14ac:dyDescent="0.35">
      <c r="B865" s="850"/>
      <c r="C865" s="461"/>
      <c r="D865" s="461"/>
      <c r="E865" s="461"/>
      <c r="F865" s="461"/>
      <c r="G865" s="461"/>
      <c r="H865" s="461"/>
      <c r="I865" s="1120"/>
      <c r="J865" s="1120"/>
      <c r="K865" s="461"/>
      <c r="L865" s="461"/>
      <c r="M865" s="461"/>
      <c r="N865" s="1113"/>
    </row>
    <row r="866" spans="2:14" ht="30" x14ac:dyDescent="0.3">
      <c r="B866" s="1104" t="s">
        <v>0</v>
      </c>
      <c r="C866" s="1105" t="s">
        <v>24673</v>
      </c>
      <c r="D866" s="1593" t="s">
        <v>24685</v>
      </c>
      <c r="E866" s="1593"/>
      <c r="F866" s="1593"/>
      <c r="G866" s="1593"/>
      <c r="H866" s="1594"/>
      <c r="I866" s="1106" t="s">
        <v>2858</v>
      </c>
      <c r="J866" s="1106" t="s">
        <v>24686</v>
      </c>
      <c r="K866" s="1106" t="s">
        <v>24687</v>
      </c>
      <c r="L866" s="1614" t="s">
        <v>24688</v>
      </c>
      <c r="M866" s="1615"/>
      <c r="N866" s="1114" t="s">
        <v>24689</v>
      </c>
    </row>
    <row r="867" spans="2:14" x14ac:dyDescent="0.3">
      <c r="B867" s="1115"/>
      <c r="C867" s="1116"/>
      <c r="D867" s="1604"/>
      <c r="E867" s="1604"/>
      <c r="F867" s="1604"/>
      <c r="G867" s="1604"/>
      <c r="H867" s="1605"/>
      <c r="I867" s="1109"/>
      <c r="J867" s="1109"/>
      <c r="K867" s="1109"/>
      <c r="L867" s="1597"/>
      <c r="M867" s="1598"/>
      <c r="N867" s="1119"/>
    </row>
    <row r="868" spans="2:14" x14ac:dyDescent="0.3">
      <c r="B868" s="850"/>
      <c r="C868" s="461"/>
      <c r="D868" s="461"/>
      <c r="E868" s="461"/>
      <c r="F868" s="1120"/>
      <c r="G868" s="1120"/>
      <c r="H868" s="1120"/>
      <c r="I868" s="1120"/>
      <c r="J868" s="1120"/>
      <c r="K868" s="1120"/>
      <c r="L868" s="1120"/>
      <c r="M868" s="1121" t="s">
        <v>24690</v>
      </c>
      <c r="N868" s="1122">
        <f>SUM(N867:N867)</f>
        <v>0</v>
      </c>
    </row>
    <row r="869" spans="2:14" x14ac:dyDescent="0.3">
      <c r="B869" s="850"/>
      <c r="C869" s="461"/>
      <c r="D869" s="461"/>
      <c r="E869" s="461"/>
      <c r="F869" s="461"/>
      <c r="G869" s="461"/>
      <c r="H869" s="461"/>
      <c r="I869" s="461"/>
      <c r="J869" s="461"/>
      <c r="K869" s="461"/>
      <c r="L869" s="461"/>
      <c r="M869" s="461"/>
      <c r="N869" s="1113"/>
    </row>
    <row r="870" spans="2:14" x14ac:dyDescent="0.3">
      <c r="B870" s="850"/>
      <c r="C870" s="461"/>
      <c r="D870" s="461"/>
      <c r="E870" s="461"/>
      <c r="F870" s="1120"/>
      <c r="G870" s="1120"/>
      <c r="H870" s="1120"/>
      <c r="I870" s="863"/>
      <c r="J870" s="863"/>
      <c r="K870" s="863"/>
      <c r="L870" s="863"/>
      <c r="M870" s="1121" t="s">
        <v>24691</v>
      </c>
      <c r="N870" s="1123">
        <f>N859+N864+N868</f>
        <v>122.54</v>
      </c>
    </row>
    <row r="871" spans="2:14" x14ac:dyDescent="0.3">
      <c r="B871" s="850"/>
      <c r="C871" s="461"/>
      <c r="D871" s="461"/>
      <c r="E871" s="461"/>
      <c r="F871" s="1120"/>
      <c r="G871" s="1120"/>
      <c r="H871" s="1120"/>
      <c r="I871" s="1120"/>
      <c r="J871" s="1124"/>
      <c r="K871" s="1124"/>
      <c r="L871" s="1124"/>
      <c r="M871" s="1125" t="s">
        <v>24692</v>
      </c>
      <c r="N871" s="1123">
        <v>1</v>
      </c>
    </row>
    <row r="872" spans="2:14" ht="15.75" thickBot="1" x14ac:dyDescent="0.35">
      <c r="B872" s="855"/>
      <c r="C872" s="954"/>
      <c r="D872" s="954"/>
      <c r="E872" s="954"/>
      <c r="F872" s="1110"/>
      <c r="G872" s="1110"/>
      <c r="H872" s="1110"/>
      <c r="I872" s="1110"/>
      <c r="J872" s="1110"/>
      <c r="K872" s="1110"/>
      <c r="L872" s="1110"/>
      <c r="M872" s="1111" t="s">
        <v>24693</v>
      </c>
      <c r="N872" s="1126">
        <f>TRUNC(N870/N871,2)</f>
        <v>122.54</v>
      </c>
    </row>
    <row r="873" spans="2:14" ht="15.75" thickBot="1" x14ac:dyDescent="0.35">
      <c r="B873" s="850"/>
      <c r="C873" s="461"/>
      <c r="D873" s="461"/>
      <c r="E873" s="461"/>
      <c r="F873" s="461"/>
      <c r="G873" s="461"/>
      <c r="H873" s="461"/>
      <c r="I873" s="461"/>
      <c r="J873" s="461"/>
      <c r="K873" s="461"/>
      <c r="L873" s="461"/>
      <c r="M873" s="461"/>
      <c r="N873" s="1113"/>
    </row>
    <row r="874" spans="2:14" ht="30" x14ac:dyDescent="0.3">
      <c r="B874" s="1104" t="s">
        <v>0</v>
      </c>
      <c r="C874" s="1105" t="s">
        <v>24673</v>
      </c>
      <c r="D874" s="1593" t="s">
        <v>24694</v>
      </c>
      <c r="E874" s="1593"/>
      <c r="F874" s="1593"/>
      <c r="G874" s="1593"/>
      <c r="H874" s="1593"/>
      <c r="I874" s="1594"/>
      <c r="J874" s="1106" t="s">
        <v>3686</v>
      </c>
      <c r="K874" s="1106" t="s">
        <v>24695</v>
      </c>
      <c r="L874" s="1614" t="s">
        <v>24683</v>
      </c>
      <c r="M874" s="1615"/>
      <c r="N874" s="1114" t="s">
        <v>24689</v>
      </c>
    </row>
    <row r="875" spans="2:14" ht="47.25" customHeight="1" x14ac:dyDescent="0.3">
      <c r="B875" s="1115">
        <v>34496</v>
      </c>
      <c r="C875" s="1116" t="s">
        <v>24706</v>
      </c>
      <c r="D875" s="1628" t="s">
        <v>25298</v>
      </c>
      <c r="E875" s="1604"/>
      <c r="F875" s="1604"/>
      <c r="G875" s="1604"/>
      <c r="H875" s="1604"/>
      <c r="I875" s="1605"/>
      <c r="J875" s="1109" t="s">
        <v>76</v>
      </c>
      <c r="K875" s="1109">
        <v>344.36</v>
      </c>
      <c r="L875" s="1630">
        <v>1.05</v>
      </c>
      <c r="M875" s="1631"/>
      <c r="N875" s="1119">
        <f>L875*K875</f>
        <v>361.58</v>
      </c>
    </row>
    <row r="876" spans="2:14" ht="15.75" thickBot="1" x14ac:dyDescent="0.35">
      <c r="B876" s="855"/>
      <c r="C876" s="954"/>
      <c r="D876" s="954"/>
      <c r="E876" s="954"/>
      <c r="F876" s="1110"/>
      <c r="G876" s="1110"/>
      <c r="H876" s="1110"/>
      <c r="I876" s="1110"/>
      <c r="J876" s="1110"/>
      <c r="K876" s="1110"/>
      <c r="L876" s="1110"/>
      <c r="M876" s="1111" t="s">
        <v>24696</v>
      </c>
      <c r="N876" s="1112">
        <f>SUM(N875:N875)</f>
        <v>361.58</v>
      </c>
    </row>
    <row r="877" spans="2:14" ht="15.75" thickBot="1" x14ac:dyDescent="0.35">
      <c r="B877" s="850"/>
      <c r="C877" s="461"/>
      <c r="D877" s="461"/>
      <c r="E877" s="461"/>
      <c r="F877" s="461"/>
      <c r="G877" s="461"/>
      <c r="H877" s="461"/>
      <c r="I877" s="461"/>
      <c r="J877" s="461"/>
      <c r="K877" s="461"/>
      <c r="L877" s="461"/>
      <c r="M877" s="461"/>
      <c r="N877" s="1113"/>
    </row>
    <row r="878" spans="2:14" ht="30" x14ac:dyDescent="0.3">
      <c r="B878" s="1104" t="s">
        <v>0</v>
      </c>
      <c r="C878" s="1106" t="s">
        <v>24673</v>
      </c>
      <c r="D878" s="1593" t="s">
        <v>24697</v>
      </c>
      <c r="E878" s="1593"/>
      <c r="F878" s="1593"/>
      <c r="G878" s="1593"/>
      <c r="H878" s="1593"/>
      <c r="I878" s="1594"/>
      <c r="J878" s="1106" t="s">
        <v>3686</v>
      </c>
      <c r="K878" s="1106" t="s">
        <v>24695</v>
      </c>
      <c r="L878" s="1614" t="s">
        <v>24683</v>
      </c>
      <c r="M878" s="1615"/>
      <c r="N878" s="1114" t="s">
        <v>24689</v>
      </c>
    </row>
    <row r="879" spans="2:14" x14ac:dyDescent="0.3">
      <c r="B879" s="1115"/>
      <c r="C879" s="1116"/>
      <c r="D879" s="1604"/>
      <c r="E879" s="1604"/>
      <c r="F879" s="1604"/>
      <c r="G879" s="1604"/>
      <c r="H879" s="1604"/>
      <c r="I879" s="1605"/>
      <c r="J879" s="1151"/>
      <c r="K879" s="1151"/>
      <c r="L879" s="1626">
        <v>1</v>
      </c>
      <c r="M879" s="1627"/>
      <c r="N879" s="1154">
        <f>K879*L879</f>
        <v>0</v>
      </c>
    </row>
    <row r="880" spans="2:14" x14ac:dyDescent="0.3">
      <c r="B880" s="1115"/>
      <c r="C880" s="1116"/>
      <c r="D880" s="1604"/>
      <c r="E880" s="1604"/>
      <c r="F880" s="1604"/>
      <c r="G880" s="1604"/>
      <c r="H880" s="1604"/>
      <c r="I880" s="1605"/>
      <c r="J880" s="1151"/>
      <c r="K880" s="462"/>
      <c r="L880" s="1626">
        <v>1</v>
      </c>
      <c r="M880" s="1627"/>
      <c r="N880" s="1154">
        <f>K880*L880</f>
        <v>0</v>
      </c>
    </row>
    <row r="881" spans="2:14" ht="15.75" thickBot="1" x14ac:dyDescent="0.35">
      <c r="B881" s="855"/>
      <c r="C881" s="954"/>
      <c r="D881" s="954"/>
      <c r="E881" s="954"/>
      <c r="F881" s="1110"/>
      <c r="G881" s="1110"/>
      <c r="H881" s="1110"/>
      <c r="I881" s="1110"/>
      <c r="J881" s="1110"/>
      <c r="K881" s="1110"/>
      <c r="L881" s="1110"/>
      <c r="M881" s="1111" t="s">
        <v>24698</v>
      </c>
      <c r="N881" s="1112">
        <f>SUM(N879:N880)</f>
        <v>0</v>
      </c>
    </row>
    <row r="882" spans="2:14" ht="15.75" thickBot="1" x14ac:dyDescent="0.35">
      <c r="B882" s="850"/>
      <c r="C882" s="461"/>
      <c r="D882" s="461"/>
      <c r="E882" s="461"/>
      <c r="F882" s="461"/>
      <c r="G882" s="461"/>
      <c r="H882" s="461"/>
      <c r="I882" s="461"/>
      <c r="J882" s="461"/>
      <c r="K882" s="461"/>
      <c r="L882" s="461"/>
      <c r="M882" s="461"/>
      <c r="N882" s="1113"/>
    </row>
    <row r="883" spans="2:14" ht="30" x14ac:dyDescent="0.3">
      <c r="B883" s="1104" t="s">
        <v>0</v>
      </c>
      <c r="C883" s="1106" t="s">
        <v>24673</v>
      </c>
      <c r="D883" s="1593" t="s">
        <v>24699</v>
      </c>
      <c r="E883" s="1593"/>
      <c r="F883" s="1593"/>
      <c r="G883" s="1594"/>
      <c r="H883" s="1106" t="s">
        <v>3686</v>
      </c>
      <c r="I883" s="1106" t="s">
        <v>24700</v>
      </c>
      <c r="J883" s="1106" t="s">
        <v>24701</v>
      </c>
      <c r="K883" s="1106" t="s">
        <v>24695</v>
      </c>
      <c r="L883" s="1614" t="s">
        <v>24683</v>
      </c>
      <c r="M883" s="1615"/>
      <c r="N883" s="1114" t="s">
        <v>24689</v>
      </c>
    </row>
    <row r="884" spans="2:14" x14ac:dyDescent="0.3">
      <c r="B884" s="1115"/>
      <c r="C884" s="1116"/>
      <c r="D884" s="1595"/>
      <c r="E884" s="1595"/>
      <c r="F884" s="1595"/>
      <c r="G884" s="1595"/>
      <c r="H884" s="1109"/>
      <c r="I884" s="1109"/>
      <c r="J884" s="1109"/>
      <c r="K884" s="1109"/>
      <c r="L884" s="1597"/>
      <c r="M884" s="1598"/>
      <c r="N884" s="1119"/>
    </row>
    <row r="885" spans="2:14" x14ac:dyDescent="0.3">
      <c r="B885" s="1115"/>
      <c r="C885" s="1116"/>
      <c r="D885" s="1595"/>
      <c r="E885" s="1595"/>
      <c r="F885" s="1595"/>
      <c r="G885" s="1595"/>
      <c r="H885" s="1109"/>
      <c r="I885" s="1109"/>
      <c r="J885" s="1109"/>
      <c r="K885" s="1109"/>
      <c r="L885" s="1597"/>
      <c r="M885" s="1598"/>
      <c r="N885" s="1119"/>
    </row>
    <row r="886" spans="2:14" x14ac:dyDescent="0.3">
      <c r="B886" s="1115"/>
      <c r="C886" s="1116"/>
      <c r="D886" s="1595"/>
      <c r="E886" s="1595"/>
      <c r="F886" s="1595"/>
      <c r="G886" s="1595"/>
      <c r="H886" s="1109"/>
      <c r="I886" s="1109"/>
      <c r="J886" s="1109"/>
      <c r="K886" s="1109"/>
      <c r="L886" s="1597"/>
      <c r="M886" s="1598"/>
      <c r="N886" s="1119"/>
    </row>
    <row r="887" spans="2:14" x14ac:dyDescent="0.3">
      <c r="B887" s="850"/>
      <c r="C887" s="461"/>
      <c r="D887" s="461"/>
      <c r="E887" s="461"/>
      <c r="F887" s="1120"/>
      <c r="G887" s="1120"/>
      <c r="H887" s="1120"/>
      <c r="I887" s="1120"/>
      <c r="J887" s="1120"/>
      <c r="K887" s="1120"/>
      <c r="L887" s="1120"/>
      <c r="M887" s="1121" t="s">
        <v>24702</v>
      </c>
      <c r="N887" s="1122">
        <f>SUM(N884:N886)</f>
        <v>0</v>
      </c>
    </row>
    <row r="888" spans="2:14" x14ac:dyDescent="0.3">
      <c r="B888" s="850"/>
      <c r="C888" s="461"/>
      <c r="D888" s="461"/>
      <c r="E888" s="461"/>
      <c r="F888" s="461"/>
      <c r="G888" s="461"/>
      <c r="H888" s="461"/>
      <c r="I888" s="461"/>
      <c r="J888" s="461"/>
      <c r="K888" s="461"/>
      <c r="L888" s="461"/>
      <c r="M888" s="461"/>
      <c r="N888" s="1113"/>
    </row>
    <row r="889" spans="2:14" x14ac:dyDescent="0.3">
      <c r="B889" s="1131"/>
      <c r="C889" s="1132"/>
      <c r="D889" s="1132"/>
      <c r="E889" s="1132"/>
      <c r="F889" s="1133"/>
      <c r="G889" s="1133"/>
      <c r="H889" s="1133"/>
      <c r="I889" s="1133"/>
      <c r="J889" s="1133"/>
      <c r="K889" s="1133"/>
      <c r="L889" s="1133"/>
      <c r="M889" s="1134" t="s">
        <v>24703</v>
      </c>
      <c r="N889" s="1123">
        <f>N872+N876+N881+N887</f>
        <v>484.12</v>
      </c>
    </row>
    <row r="890" spans="2:14" x14ac:dyDescent="0.3">
      <c r="B890" s="850"/>
      <c r="C890" s="461"/>
      <c r="D890" s="461"/>
      <c r="E890" s="461"/>
      <c r="F890" s="1120"/>
      <c r="G890" s="1120"/>
      <c r="H890" s="1120"/>
      <c r="I890" s="1120"/>
      <c r="J890" s="1120"/>
      <c r="K890" s="1120"/>
      <c r="L890" s="1120"/>
      <c r="M890" s="1136">
        <f>'QUIOSQUE - MOD 01'!I3</f>
        <v>0.28220000000000001</v>
      </c>
      <c r="N890" s="1123">
        <f>ROUND(N889*M890,2)</f>
        <v>136.62</v>
      </c>
    </row>
    <row r="891" spans="2:14" ht="15.75" thickBot="1" x14ac:dyDescent="0.35">
      <c r="B891" s="1599" t="s">
        <v>24704</v>
      </c>
      <c r="C891" s="1600"/>
      <c r="D891" s="1600"/>
      <c r="E891" s="1600"/>
      <c r="F891" s="1600"/>
      <c r="G891" s="1600"/>
      <c r="H891" s="1600"/>
      <c r="I891" s="1600"/>
      <c r="J891" s="1600"/>
      <c r="K891" s="1600"/>
      <c r="L891" s="1600"/>
      <c r="M891" s="1601"/>
      <c r="N891" s="1126">
        <f>N889+N890</f>
        <v>620.74</v>
      </c>
    </row>
    <row r="894" spans="2:14" ht="15.75" thickBot="1" x14ac:dyDescent="0.35"/>
    <row r="895" spans="2:14" ht="43.5" customHeight="1" x14ac:dyDescent="0.3">
      <c r="B895" s="1607" t="s">
        <v>24916</v>
      </c>
      <c r="C895" s="1608"/>
      <c r="D895" s="1609"/>
      <c r="E895" s="1610" t="s">
        <v>24669</v>
      </c>
      <c r="F895" s="1610"/>
      <c r="G895" s="1610"/>
      <c r="H895" s="1610"/>
      <c r="I895" s="1610"/>
      <c r="J895" s="1610"/>
      <c r="K895" s="1610"/>
      <c r="L895" s="1623"/>
      <c r="M895" s="1576"/>
      <c r="N895" s="1577"/>
    </row>
    <row r="896" spans="2:14" ht="36" customHeight="1" x14ac:dyDescent="0.3">
      <c r="B896" s="1103" t="s">
        <v>24670</v>
      </c>
      <c r="C896" s="1632" t="s">
        <v>25299</v>
      </c>
      <c r="D896" s="1586"/>
      <c r="E896" s="1586"/>
      <c r="F896" s="1586"/>
      <c r="G896" s="1586"/>
      <c r="H896" s="1586"/>
      <c r="I896" s="1586"/>
      <c r="J896" s="1586"/>
      <c r="K896" s="1586"/>
      <c r="L896" s="1586"/>
      <c r="M896" s="1586"/>
      <c r="N896" s="1587"/>
    </row>
    <row r="897" spans="2:14" x14ac:dyDescent="0.3">
      <c r="B897" s="1103" t="s">
        <v>24671</v>
      </c>
      <c r="C897" s="1588" t="s">
        <v>6</v>
      </c>
      <c r="D897" s="1588"/>
      <c r="E897" s="1588"/>
      <c r="F897" s="1588"/>
      <c r="G897" s="1588"/>
      <c r="H897" s="1588"/>
      <c r="I897" s="1588"/>
      <c r="J897" s="1588"/>
      <c r="K897" s="1588"/>
      <c r="L897" s="1588"/>
      <c r="M897" s="1588"/>
      <c r="N897" s="1589"/>
    </row>
    <row r="898" spans="2:14" ht="15.75" thickBot="1" x14ac:dyDescent="0.35">
      <c r="B898" s="1103" t="s">
        <v>24672</v>
      </c>
      <c r="C898" s="1590">
        <v>44501</v>
      </c>
      <c r="D898" s="1591"/>
      <c r="E898" s="1591"/>
      <c r="F898" s="1591"/>
      <c r="G898" s="1591"/>
      <c r="H898" s="1591"/>
      <c r="I898" s="1591"/>
      <c r="J898" s="1591"/>
      <c r="K898" s="1591"/>
      <c r="L898" s="1591"/>
      <c r="M898" s="1591"/>
      <c r="N898" s="1592"/>
    </row>
    <row r="899" spans="2:14" ht="30" x14ac:dyDescent="0.3">
      <c r="B899" s="1104" t="s">
        <v>0</v>
      </c>
      <c r="C899" s="1105" t="s">
        <v>24673</v>
      </c>
      <c r="D899" s="1593" t="s">
        <v>24674</v>
      </c>
      <c r="E899" s="1593"/>
      <c r="F899" s="1593"/>
      <c r="G899" s="1594"/>
      <c r="H899" s="1106" t="s">
        <v>111</v>
      </c>
      <c r="I899" s="1106" t="s">
        <v>24675</v>
      </c>
      <c r="J899" s="1106" t="s">
        <v>24676</v>
      </c>
      <c r="K899" s="1106" t="s">
        <v>24677</v>
      </c>
      <c r="L899" s="1614" t="s">
        <v>24678</v>
      </c>
      <c r="M899" s="1615"/>
      <c r="N899" s="1114" t="s">
        <v>24679</v>
      </c>
    </row>
    <row r="900" spans="2:14" ht="30" customHeight="1" x14ac:dyDescent="0.3">
      <c r="B900" s="1115">
        <v>80144</v>
      </c>
      <c r="C900" s="1108" t="s">
        <v>4379</v>
      </c>
      <c r="D900" s="1604" t="s">
        <v>25300</v>
      </c>
      <c r="E900" s="1604"/>
      <c r="F900" s="1604"/>
      <c r="G900" s="1605"/>
      <c r="H900" s="1109"/>
      <c r="I900" s="1109">
        <v>0.1</v>
      </c>
      <c r="J900" s="1109"/>
      <c r="K900" s="1109">
        <v>21.63</v>
      </c>
      <c r="L900" s="1597"/>
      <c r="M900" s="1598"/>
      <c r="N900" s="1119">
        <f>K900*I900</f>
        <v>2.16</v>
      </c>
    </row>
    <row r="901" spans="2:14" ht="30" customHeight="1" x14ac:dyDescent="0.3">
      <c r="B901" s="1115">
        <v>80144</v>
      </c>
      <c r="C901" s="1108" t="s">
        <v>4379</v>
      </c>
      <c r="D901" s="1604" t="s">
        <v>25300</v>
      </c>
      <c r="E901" s="1604"/>
      <c r="F901" s="1604"/>
      <c r="G901" s="1605"/>
      <c r="H901" s="1109"/>
      <c r="I901" s="1109"/>
      <c r="J901" s="1109">
        <v>0.05</v>
      </c>
      <c r="K901" s="1109"/>
      <c r="L901" s="1597">
        <v>14.08</v>
      </c>
      <c r="M901" s="1598"/>
      <c r="N901" s="1119">
        <f>L901*J901</f>
        <v>0.7</v>
      </c>
    </row>
    <row r="902" spans="2:14" ht="30" customHeight="1" thickBot="1" x14ac:dyDescent="0.35">
      <c r="B902" s="855"/>
      <c r="C902" s="954"/>
      <c r="D902" s="954"/>
      <c r="E902" s="954"/>
      <c r="F902" s="1110"/>
      <c r="G902" s="1110"/>
      <c r="H902" s="1110"/>
      <c r="I902" s="1110"/>
      <c r="J902" s="1110"/>
      <c r="K902" s="1110"/>
      <c r="L902" s="1110"/>
      <c r="M902" s="1111" t="s">
        <v>24680</v>
      </c>
      <c r="N902" s="1112">
        <f>SUM(N900:N901)</f>
        <v>2.86</v>
      </c>
    </row>
    <row r="903" spans="2:14" ht="15.75" thickBot="1" x14ac:dyDescent="0.35">
      <c r="B903" s="850"/>
      <c r="C903" s="461"/>
      <c r="D903" s="461"/>
      <c r="E903" s="461"/>
      <c r="F903" s="461"/>
      <c r="G903" s="461"/>
      <c r="H903" s="461"/>
      <c r="I903" s="461"/>
      <c r="J903" s="461"/>
      <c r="K903" s="461"/>
      <c r="L903" s="461"/>
      <c r="M903" s="461"/>
      <c r="N903" s="1113"/>
    </row>
    <row r="904" spans="2:14" ht="45" x14ac:dyDescent="0.3">
      <c r="B904" s="1104" t="s">
        <v>0</v>
      </c>
      <c r="C904" s="1105" t="s">
        <v>24673</v>
      </c>
      <c r="D904" s="1593" t="s">
        <v>24681</v>
      </c>
      <c r="E904" s="1593"/>
      <c r="F904" s="1593"/>
      <c r="G904" s="1593"/>
      <c r="H904" s="1594"/>
      <c r="I904" s="1106" t="s">
        <v>3686</v>
      </c>
      <c r="J904" s="1106" t="s">
        <v>24682</v>
      </c>
      <c r="K904" s="1106" t="s">
        <v>25177</v>
      </c>
      <c r="L904" s="1106" t="s">
        <v>25178</v>
      </c>
      <c r="M904" s="1106" t="s">
        <v>24683</v>
      </c>
      <c r="N904" s="1114" t="s">
        <v>24679</v>
      </c>
    </row>
    <row r="905" spans="2:14" ht="24.75" customHeight="1" x14ac:dyDescent="0.3">
      <c r="B905" s="1115">
        <v>10146</v>
      </c>
      <c r="C905" s="1116" t="s">
        <v>4379</v>
      </c>
      <c r="D905" s="1604" t="s">
        <v>25271</v>
      </c>
      <c r="E905" s="1604"/>
      <c r="F905" s="1604"/>
      <c r="G905" s="1604"/>
      <c r="H905" s="1605"/>
      <c r="I905" s="1109" t="s">
        <v>75</v>
      </c>
      <c r="J905" s="1117">
        <v>1.5727</v>
      </c>
      <c r="K905" s="1109">
        <v>5.46</v>
      </c>
      <c r="L905" s="1109">
        <f>K905*(1+J905)</f>
        <v>14.05</v>
      </c>
      <c r="M905" s="1118">
        <v>0.27</v>
      </c>
      <c r="N905" s="1119">
        <f>M905*L905</f>
        <v>3.79</v>
      </c>
    </row>
    <row r="906" spans="2:14" ht="15.75" thickBot="1" x14ac:dyDescent="0.35">
      <c r="B906" s="855"/>
      <c r="C906" s="954"/>
      <c r="D906" s="954"/>
      <c r="E906" s="954"/>
      <c r="F906" s="1110"/>
      <c r="G906" s="1110"/>
      <c r="H906" s="1110"/>
      <c r="I906" s="1110"/>
      <c r="J906" s="1110"/>
      <c r="K906" s="1110"/>
      <c r="L906" s="1110"/>
      <c r="M906" s="1111" t="s">
        <v>24684</v>
      </c>
      <c r="N906" s="1112">
        <f>SUM(N905:N905)</f>
        <v>3.79</v>
      </c>
    </row>
    <row r="907" spans="2:14" ht="15.75" thickBot="1" x14ac:dyDescent="0.35">
      <c r="B907" s="850"/>
      <c r="C907" s="461"/>
      <c r="D907" s="461"/>
      <c r="E907" s="461"/>
      <c r="F907" s="461"/>
      <c r="G907" s="461"/>
      <c r="H907" s="461"/>
      <c r="I907" s="1120"/>
      <c r="J907" s="1120"/>
      <c r="K907" s="461"/>
      <c r="L907" s="461"/>
      <c r="M907" s="461"/>
      <c r="N907" s="1113"/>
    </row>
    <row r="908" spans="2:14" ht="30" x14ac:dyDescent="0.3">
      <c r="B908" s="1104" t="s">
        <v>0</v>
      </c>
      <c r="C908" s="1105" t="s">
        <v>24673</v>
      </c>
      <c r="D908" s="1593" t="s">
        <v>24685</v>
      </c>
      <c r="E908" s="1593"/>
      <c r="F908" s="1593"/>
      <c r="G908" s="1593"/>
      <c r="H908" s="1594"/>
      <c r="I908" s="1106" t="s">
        <v>2858</v>
      </c>
      <c r="J908" s="1106" t="s">
        <v>24686</v>
      </c>
      <c r="K908" s="1106" t="s">
        <v>24687</v>
      </c>
      <c r="L908" s="1614" t="s">
        <v>24688</v>
      </c>
      <c r="M908" s="1615"/>
      <c r="N908" s="1114" t="s">
        <v>24689</v>
      </c>
    </row>
    <row r="909" spans="2:14" x14ac:dyDescent="0.3">
      <c r="B909" s="1115"/>
      <c r="C909" s="1116"/>
      <c r="D909" s="1604"/>
      <c r="E909" s="1604"/>
      <c r="F909" s="1604"/>
      <c r="G909" s="1604"/>
      <c r="H909" s="1605"/>
      <c r="I909" s="1109"/>
      <c r="J909" s="1109"/>
      <c r="K909" s="1109"/>
      <c r="L909" s="1597"/>
      <c r="M909" s="1598"/>
      <c r="N909" s="1119"/>
    </row>
    <row r="910" spans="2:14" x14ac:dyDescent="0.3">
      <c r="B910" s="850"/>
      <c r="C910" s="461"/>
      <c r="D910" s="461"/>
      <c r="E910" s="461"/>
      <c r="F910" s="1120"/>
      <c r="G910" s="1120"/>
      <c r="H910" s="1120"/>
      <c r="I910" s="1120"/>
      <c r="J910" s="1120"/>
      <c r="K910" s="1120"/>
      <c r="L910" s="1120"/>
      <c r="M910" s="1121" t="s">
        <v>24690</v>
      </c>
      <c r="N910" s="1122">
        <f>SUM(N909:N909)</f>
        <v>0</v>
      </c>
    </row>
    <row r="911" spans="2:14" x14ac:dyDescent="0.3">
      <c r="B911" s="850"/>
      <c r="C911" s="461"/>
      <c r="D911" s="461"/>
      <c r="E911" s="461"/>
      <c r="F911" s="461"/>
      <c r="G911" s="461"/>
      <c r="H911" s="461"/>
      <c r="I911" s="461"/>
      <c r="J911" s="461"/>
      <c r="K911" s="461"/>
      <c r="L911" s="461"/>
      <c r="M911" s="461"/>
      <c r="N911" s="1113"/>
    </row>
    <row r="912" spans="2:14" x14ac:dyDescent="0.3">
      <c r="B912" s="850"/>
      <c r="C912" s="461"/>
      <c r="D912" s="461"/>
      <c r="E912" s="461"/>
      <c r="F912" s="1120"/>
      <c r="G912" s="1120"/>
      <c r="H912" s="1120"/>
      <c r="I912" s="863"/>
      <c r="J912" s="863"/>
      <c r="K912" s="863"/>
      <c r="L912" s="863"/>
      <c r="M912" s="1121" t="s">
        <v>24691</v>
      </c>
      <c r="N912" s="1123">
        <f>N902+N906+N910</f>
        <v>6.65</v>
      </c>
    </row>
    <row r="913" spans="2:14" x14ac:dyDescent="0.3">
      <c r="B913" s="850"/>
      <c r="C913" s="461"/>
      <c r="D913" s="461"/>
      <c r="E913" s="461"/>
      <c r="F913" s="1120"/>
      <c r="G913" s="1120"/>
      <c r="H913" s="1120"/>
      <c r="I913" s="1120"/>
      <c r="J913" s="1124"/>
      <c r="K913" s="1124"/>
      <c r="L913" s="1124"/>
      <c r="M913" s="1125" t="s">
        <v>24692</v>
      </c>
      <c r="N913" s="1123">
        <v>1</v>
      </c>
    </row>
    <row r="914" spans="2:14" ht="15.75" thickBot="1" x14ac:dyDescent="0.35">
      <c r="B914" s="855"/>
      <c r="C914" s="954"/>
      <c r="D914" s="954"/>
      <c r="E914" s="954"/>
      <c r="F914" s="1110"/>
      <c r="G914" s="1110"/>
      <c r="H914" s="1110"/>
      <c r="I914" s="1110"/>
      <c r="J914" s="1110"/>
      <c r="K914" s="1110"/>
      <c r="L914" s="1110"/>
      <c r="M914" s="1111" t="s">
        <v>24693</v>
      </c>
      <c r="N914" s="1126">
        <f>TRUNC(N912/N913,2)</f>
        <v>6.65</v>
      </c>
    </row>
    <row r="915" spans="2:14" ht="15.75" thickBot="1" x14ac:dyDescent="0.35">
      <c r="B915" s="850"/>
      <c r="C915" s="461"/>
      <c r="D915" s="461"/>
      <c r="E915" s="461"/>
      <c r="F915" s="461"/>
      <c r="G915" s="461"/>
      <c r="H915" s="461"/>
      <c r="I915" s="461"/>
      <c r="J915" s="461"/>
      <c r="K915" s="461"/>
      <c r="L915" s="461"/>
      <c r="M915" s="461"/>
      <c r="N915" s="1113"/>
    </row>
    <row r="916" spans="2:14" ht="30" x14ac:dyDescent="0.3">
      <c r="B916" s="1104" t="s">
        <v>0</v>
      </c>
      <c r="C916" s="1105" t="s">
        <v>24673</v>
      </c>
      <c r="D916" s="1593" t="s">
        <v>24694</v>
      </c>
      <c r="E916" s="1593"/>
      <c r="F916" s="1593"/>
      <c r="G916" s="1593"/>
      <c r="H916" s="1593"/>
      <c r="I916" s="1594"/>
      <c r="J916" s="1106" t="s">
        <v>3686</v>
      </c>
      <c r="K916" s="1106" t="s">
        <v>24695</v>
      </c>
      <c r="L916" s="1614" t="s">
        <v>24683</v>
      </c>
      <c r="M916" s="1615"/>
      <c r="N916" s="1114" t="s">
        <v>24689</v>
      </c>
    </row>
    <row r="917" spans="2:14" x14ac:dyDescent="0.3">
      <c r="B917" s="1115">
        <v>34496</v>
      </c>
      <c r="C917" s="1116" t="s">
        <v>24706</v>
      </c>
      <c r="D917" s="1628" t="s">
        <v>25298</v>
      </c>
      <c r="E917" s="1604"/>
      <c r="F917" s="1604"/>
      <c r="G917" s="1604"/>
      <c r="H917" s="1604"/>
      <c r="I917" s="1605"/>
      <c r="J917" s="1109" t="s">
        <v>76</v>
      </c>
      <c r="K917" s="1109">
        <v>344.36</v>
      </c>
      <c r="L917" s="1630">
        <v>1.1100000000000001</v>
      </c>
      <c r="M917" s="1631"/>
      <c r="N917" s="1119">
        <f>L917*K917</f>
        <v>382.24</v>
      </c>
    </row>
    <row r="918" spans="2:14" x14ac:dyDescent="0.3">
      <c r="B918" s="1115">
        <v>40331</v>
      </c>
      <c r="C918" s="1116" t="s">
        <v>4379</v>
      </c>
      <c r="D918" s="1628" t="s">
        <v>25301</v>
      </c>
      <c r="E918" s="1628"/>
      <c r="F918" s="1628"/>
      <c r="G918" s="1628"/>
      <c r="H918" s="1628"/>
      <c r="I918" s="1629"/>
      <c r="J918" s="1109" t="s">
        <v>76</v>
      </c>
      <c r="K918" s="1109">
        <v>31.67</v>
      </c>
      <c r="L918" s="1630">
        <v>1.05</v>
      </c>
      <c r="M918" s="1631"/>
      <c r="N918" s="1119">
        <f>L918*K918</f>
        <v>33.25</v>
      </c>
    </row>
    <row r="919" spans="2:14" ht="15.75" thickBot="1" x14ac:dyDescent="0.35">
      <c r="B919" s="855"/>
      <c r="C919" s="954"/>
      <c r="D919" s="954"/>
      <c r="E919" s="954"/>
      <c r="F919" s="1110"/>
      <c r="G919" s="1110"/>
      <c r="H919" s="1110"/>
      <c r="I919" s="1110"/>
      <c r="J919" s="1110"/>
      <c r="K919" s="1110"/>
      <c r="L919" s="1110"/>
      <c r="M919" s="1111" t="s">
        <v>24696</v>
      </c>
      <c r="N919" s="1112">
        <f>SUM(N917:N918)</f>
        <v>415.49</v>
      </c>
    </row>
    <row r="920" spans="2:14" ht="15.75" thickBot="1" x14ac:dyDescent="0.35">
      <c r="B920" s="850"/>
      <c r="C920" s="461"/>
      <c r="D920" s="461"/>
      <c r="E920" s="461"/>
      <c r="F920" s="461"/>
      <c r="G920" s="461"/>
      <c r="H920" s="461"/>
      <c r="I920" s="461"/>
      <c r="J920" s="461"/>
      <c r="K920" s="461"/>
      <c r="L920" s="461"/>
      <c r="M920" s="461"/>
      <c r="N920" s="1113"/>
    </row>
    <row r="921" spans="2:14" ht="30" x14ac:dyDescent="0.3">
      <c r="B921" s="1104" t="s">
        <v>0</v>
      </c>
      <c r="C921" s="1106" t="s">
        <v>24673</v>
      </c>
      <c r="D921" s="1593" t="s">
        <v>24697</v>
      </c>
      <c r="E921" s="1593"/>
      <c r="F921" s="1593"/>
      <c r="G921" s="1593"/>
      <c r="H921" s="1593"/>
      <c r="I921" s="1594"/>
      <c r="J921" s="1106" t="s">
        <v>3686</v>
      </c>
      <c r="K921" s="1106" t="s">
        <v>24695</v>
      </c>
      <c r="L921" s="1614" t="s">
        <v>24683</v>
      </c>
      <c r="M921" s="1615"/>
      <c r="N921" s="1114" t="s">
        <v>24689</v>
      </c>
    </row>
    <row r="922" spans="2:14" x14ac:dyDescent="0.3">
      <c r="B922" s="1115"/>
      <c r="C922" s="1116"/>
      <c r="D922" s="1604"/>
      <c r="E922" s="1604"/>
      <c r="F922" s="1604"/>
      <c r="G922" s="1604"/>
      <c r="H922" s="1604"/>
      <c r="I922" s="1605"/>
      <c r="J922" s="1151"/>
      <c r="K922" s="1151"/>
      <c r="L922" s="1626">
        <v>1</v>
      </c>
      <c r="M922" s="1627"/>
      <c r="N922" s="1154">
        <f>K922*L922</f>
        <v>0</v>
      </c>
    </row>
    <row r="923" spans="2:14" x14ac:dyDescent="0.3">
      <c r="B923" s="1115"/>
      <c r="C923" s="1116"/>
      <c r="D923" s="1604"/>
      <c r="E923" s="1604"/>
      <c r="F923" s="1604"/>
      <c r="G923" s="1604"/>
      <c r="H923" s="1604"/>
      <c r="I923" s="1605"/>
      <c r="J923" s="1151"/>
      <c r="K923" s="462"/>
      <c r="L923" s="1626">
        <v>1</v>
      </c>
      <c r="M923" s="1627"/>
      <c r="N923" s="1154">
        <f>K923*L923</f>
        <v>0</v>
      </c>
    </row>
    <row r="924" spans="2:14" ht="15.75" thickBot="1" x14ac:dyDescent="0.35">
      <c r="B924" s="855"/>
      <c r="C924" s="954"/>
      <c r="D924" s="954"/>
      <c r="E924" s="954"/>
      <c r="F924" s="1110"/>
      <c r="G924" s="1110"/>
      <c r="H924" s="1110"/>
      <c r="I924" s="1110"/>
      <c r="J924" s="1110"/>
      <c r="K924" s="1110"/>
      <c r="L924" s="1110"/>
      <c r="M924" s="1111" t="s">
        <v>24698</v>
      </c>
      <c r="N924" s="1112">
        <f>SUM(N922:N923)</f>
        <v>0</v>
      </c>
    </row>
    <row r="925" spans="2:14" ht="15.75" thickBot="1" x14ac:dyDescent="0.35">
      <c r="B925" s="850"/>
      <c r="C925" s="461"/>
      <c r="D925" s="461"/>
      <c r="E925" s="461"/>
      <c r="F925" s="461"/>
      <c r="G925" s="461"/>
      <c r="H925" s="461"/>
      <c r="I925" s="461"/>
      <c r="J925" s="461"/>
      <c r="K925" s="461"/>
      <c r="L925" s="461"/>
      <c r="M925" s="461"/>
      <c r="N925" s="1113"/>
    </row>
    <row r="926" spans="2:14" ht="30" x14ac:dyDescent="0.3">
      <c r="B926" s="1104" t="s">
        <v>0</v>
      </c>
      <c r="C926" s="1106" t="s">
        <v>24673</v>
      </c>
      <c r="D926" s="1593" t="s">
        <v>24699</v>
      </c>
      <c r="E926" s="1593"/>
      <c r="F926" s="1593"/>
      <c r="G926" s="1594"/>
      <c r="H926" s="1106" t="s">
        <v>3686</v>
      </c>
      <c r="I926" s="1106" t="s">
        <v>24700</v>
      </c>
      <c r="J926" s="1106" t="s">
        <v>24701</v>
      </c>
      <c r="K926" s="1106" t="s">
        <v>24695</v>
      </c>
      <c r="L926" s="1614" t="s">
        <v>24683</v>
      </c>
      <c r="M926" s="1615"/>
      <c r="N926" s="1114" t="s">
        <v>24689</v>
      </c>
    </row>
    <row r="927" spans="2:14" x14ac:dyDescent="0.3">
      <c r="B927" s="1115"/>
      <c r="C927" s="1116"/>
      <c r="D927" s="1595"/>
      <c r="E927" s="1595"/>
      <c r="F927" s="1595"/>
      <c r="G927" s="1595"/>
      <c r="H927" s="1109"/>
      <c r="I927" s="1109"/>
      <c r="J927" s="1109"/>
      <c r="K927" s="1109"/>
      <c r="L927" s="1597"/>
      <c r="M927" s="1598"/>
      <c r="N927" s="1119"/>
    </row>
    <row r="928" spans="2:14" x14ac:dyDescent="0.3">
      <c r="B928" s="1115"/>
      <c r="C928" s="1116"/>
      <c r="D928" s="1595"/>
      <c r="E928" s="1595"/>
      <c r="F928" s="1595"/>
      <c r="G928" s="1595"/>
      <c r="H928" s="1109"/>
      <c r="I928" s="1109"/>
      <c r="J928" s="1109"/>
      <c r="K928" s="1109"/>
      <c r="L928" s="1597"/>
      <c r="M928" s="1598"/>
      <c r="N928" s="1119"/>
    </row>
    <row r="929" spans="2:14" x14ac:dyDescent="0.3">
      <c r="B929" s="1115"/>
      <c r="C929" s="1116"/>
      <c r="D929" s="1595"/>
      <c r="E929" s="1595"/>
      <c r="F929" s="1595"/>
      <c r="G929" s="1595"/>
      <c r="H929" s="1109"/>
      <c r="I929" s="1109"/>
      <c r="J929" s="1109"/>
      <c r="K929" s="1109"/>
      <c r="L929" s="1597"/>
      <c r="M929" s="1598"/>
      <c r="N929" s="1119"/>
    </row>
    <row r="930" spans="2:14" x14ac:dyDescent="0.3">
      <c r="B930" s="850"/>
      <c r="C930" s="461"/>
      <c r="D930" s="461"/>
      <c r="E930" s="461"/>
      <c r="F930" s="1120"/>
      <c r="G930" s="1120"/>
      <c r="H930" s="1120"/>
      <c r="I930" s="1120"/>
      <c r="J930" s="1120"/>
      <c r="K930" s="1120"/>
      <c r="L930" s="1120"/>
      <c r="M930" s="1121" t="s">
        <v>24702</v>
      </c>
      <c r="N930" s="1122">
        <f>SUM(N927:N929)</f>
        <v>0</v>
      </c>
    </row>
    <row r="931" spans="2:14" x14ac:dyDescent="0.3">
      <c r="B931" s="850"/>
      <c r="C931" s="461"/>
      <c r="D931" s="461"/>
      <c r="E931" s="461"/>
      <c r="F931" s="461"/>
      <c r="G931" s="461"/>
      <c r="H931" s="461"/>
      <c r="I931" s="461"/>
      <c r="J931" s="461"/>
      <c r="K931" s="461"/>
      <c r="L931" s="461"/>
      <c r="M931" s="461"/>
      <c r="N931" s="1113"/>
    </row>
    <row r="932" spans="2:14" x14ac:dyDescent="0.3">
      <c r="B932" s="1131"/>
      <c r="C932" s="1132"/>
      <c r="D932" s="1132"/>
      <c r="E932" s="1132"/>
      <c r="F932" s="1133"/>
      <c r="G932" s="1133"/>
      <c r="H932" s="1133"/>
      <c r="I932" s="1133"/>
      <c r="J932" s="1133"/>
      <c r="K932" s="1133"/>
      <c r="L932" s="1133"/>
      <c r="M932" s="1134" t="s">
        <v>24703</v>
      </c>
      <c r="N932" s="1123">
        <f>N914+N919+N924+N930</f>
        <v>422.14</v>
      </c>
    </row>
    <row r="933" spans="2:14" x14ac:dyDescent="0.3">
      <c r="B933" s="850"/>
      <c r="C933" s="461"/>
      <c r="D933" s="461"/>
      <c r="E933" s="461"/>
      <c r="F933" s="1120"/>
      <c r="G933" s="1120"/>
      <c r="H933" s="1120"/>
      <c r="I933" s="1120"/>
      <c r="J933" s="1120"/>
      <c r="K933" s="1120"/>
      <c r="L933" s="1120"/>
      <c r="M933" s="1136">
        <f>'QUIOSQUE - MOD 01'!I3</f>
        <v>0.28220000000000001</v>
      </c>
      <c r="N933" s="1123">
        <f>ROUND(N932*M933,2)</f>
        <v>119.13</v>
      </c>
    </row>
    <row r="934" spans="2:14" ht="15.75" thickBot="1" x14ac:dyDescent="0.35">
      <c r="B934" s="1599" t="s">
        <v>24704</v>
      </c>
      <c r="C934" s="1600"/>
      <c r="D934" s="1600"/>
      <c r="E934" s="1600"/>
      <c r="F934" s="1600"/>
      <c r="G934" s="1600"/>
      <c r="H934" s="1600"/>
      <c r="I934" s="1600"/>
      <c r="J934" s="1600"/>
      <c r="K934" s="1600"/>
      <c r="L934" s="1600"/>
      <c r="M934" s="1601"/>
      <c r="N934" s="1126">
        <f>N932+N933</f>
        <v>541.27</v>
      </c>
    </row>
    <row r="938" spans="2:14" ht="15.75" thickBot="1" x14ac:dyDescent="0.35"/>
    <row r="939" spans="2:14" ht="44.25" customHeight="1" x14ac:dyDescent="0.3">
      <c r="B939" s="1607" t="s">
        <v>25302</v>
      </c>
      <c r="C939" s="1608"/>
      <c r="D939" s="1609"/>
      <c r="E939" s="1610" t="s">
        <v>24669</v>
      </c>
      <c r="F939" s="1610"/>
      <c r="G939" s="1610"/>
      <c r="H939" s="1610"/>
      <c r="I939" s="1610"/>
      <c r="J939" s="1610"/>
      <c r="K939" s="1610"/>
      <c r="L939" s="1623"/>
      <c r="M939" s="1576"/>
      <c r="N939" s="1577"/>
    </row>
    <row r="940" spans="2:14" x14ac:dyDescent="0.3">
      <c r="B940" s="1103" t="s">
        <v>24670</v>
      </c>
      <c r="C940" s="1632" t="s">
        <v>208</v>
      </c>
      <c r="D940" s="1586"/>
      <c r="E940" s="1586"/>
      <c r="F940" s="1586"/>
      <c r="G940" s="1586"/>
      <c r="H940" s="1586"/>
      <c r="I940" s="1586"/>
      <c r="J940" s="1586"/>
      <c r="K940" s="1586"/>
      <c r="L940" s="1586"/>
      <c r="M940" s="1586"/>
      <c r="N940" s="1587"/>
    </row>
    <row r="941" spans="2:14" x14ac:dyDescent="0.3">
      <c r="B941" s="1103" t="s">
        <v>24671</v>
      </c>
      <c r="C941" s="1588" t="s">
        <v>5</v>
      </c>
      <c r="D941" s="1588"/>
      <c r="E941" s="1588"/>
      <c r="F941" s="1588"/>
      <c r="G941" s="1588"/>
      <c r="H941" s="1588"/>
      <c r="I941" s="1588"/>
      <c r="J941" s="1588"/>
      <c r="K941" s="1588"/>
      <c r="L941" s="1588"/>
      <c r="M941" s="1588"/>
      <c r="N941" s="1589"/>
    </row>
    <row r="942" spans="2:14" ht="15.75" thickBot="1" x14ac:dyDescent="0.35">
      <c r="B942" s="1103" t="s">
        <v>24672</v>
      </c>
      <c r="C942" s="1590">
        <v>44501</v>
      </c>
      <c r="D942" s="1591"/>
      <c r="E942" s="1591"/>
      <c r="F942" s="1591"/>
      <c r="G942" s="1591"/>
      <c r="H942" s="1591"/>
      <c r="I942" s="1591"/>
      <c r="J942" s="1591"/>
      <c r="K942" s="1591"/>
      <c r="L942" s="1591"/>
      <c r="M942" s="1591"/>
      <c r="N942" s="1592"/>
    </row>
    <row r="943" spans="2:14" ht="30" x14ac:dyDescent="0.3">
      <c r="B943" s="1104" t="s">
        <v>0</v>
      </c>
      <c r="C943" s="1105" t="s">
        <v>24673</v>
      </c>
      <c r="D943" s="1593" t="s">
        <v>24674</v>
      </c>
      <c r="E943" s="1593"/>
      <c r="F943" s="1593"/>
      <c r="G943" s="1594"/>
      <c r="H943" s="1106" t="s">
        <v>111</v>
      </c>
      <c r="I943" s="1106" t="s">
        <v>24675</v>
      </c>
      <c r="J943" s="1106" t="s">
        <v>24676</v>
      </c>
      <c r="K943" s="1106" t="s">
        <v>24677</v>
      </c>
      <c r="L943" s="1614" t="s">
        <v>24678</v>
      </c>
      <c r="M943" s="1615"/>
      <c r="N943" s="1114" t="s">
        <v>24679</v>
      </c>
    </row>
    <row r="944" spans="2:14" x14ac:dyDescent="0.3">
      <c r="B944" s="1107"/>
      <c r="C944" s="1108"/>
      <c r="D944" s="1595"/>
      <c r="E944" s="1595"/>
      <c r="F944" s="1595"/>
      <c r="G944" s="1596"/>
      <c r="H944" s="1109"/>
      <c r="I944" s="1109"/>
      <c r="J944" s="1109"/>
      <c r="K944" s="1109"/>
      <c r="L944" s="1597"/>
      <c r="M944" s="1598"/>
      <c r="N944" s="1119"/>
    </row>
    <row r="945" spans="2:14" ht="15.75" thickBot="1" x14ac:dyDescent="0.35">
      <c r="B945" s="855"/>
      <c r="C945" s="954"/>
      <c r="D945" s="954"/>
      <c r="E945" s="954"/>
      <c r="F945" s="1110"/>
      <c r="G945" s="1110"/>
      <c r="H945" s="1110"/>
      <c r="I945" s="1110"/>
      <c r="J945" s="1110"/>
      <c r="K945" s="1110"/>
      <c r="L945" s="1110"/>
      <c r="M945" s="1111" t="s">
        <v>24680</v>
      </c>
      <c r="N945" s="1112">
        <f>SUM(N944:N944)</f>
        <v>0</v>
      </c>
    </row>
    <row r="946" spans="2:14" ht="15.75" thickBot="1" x14ac:dyDescent="0.35">
      <c r="B946" s="850"/>
      <c r="C946" s="461"/>
      <c r="D946" s="461"/>
      <c r="E946" s="461"/>
      <c r="F946" s="461"/>
      <c r="G946" s="461"/>
      <c r="H946" s="461"/>
      <c r="I946" s="461"/>
      <c r="J946" s="461"/>
      <c r="K946" s="461"/>
      <c r="L946" s="461"/>
      <c r="M946" s="461"/>
      <c r="N946" s="1113"/>
    </row>
    <row r="947" spans="2:14" ht="45" x14ac:dyDescent="0.3">
      <c r="B947" s="1104" t="s">
        <v>0</v>
      </c>
      <c r="C947" s="1105" t="s">
        <v>24673</v>
      </c>
      <c r="D947" s="1593" t="s">
        <v>24681</v>
      </c>
      <c r="E947" s="1593"/>
      <c r="F947" s="1593"/>
      <c r="G947" s="1593"/>
      <c r="H947" s="1594"/>
      <c r="I947" s="1106" t="s">
        <v>3686</v>
      </c>
      <c r="J947" s="1106" t="s">
        <v>24682</v>
      </c>
      <c r="K947" s="1106" t="s">
        <v>25177</v>
      </c>
      <c r="L947" s="1106" t="s">
        <v>25178</v>
      </c>
      <c r="M947" s="1106" t="s">
        <v>24683</v>
      </c>
      <c r="N947" s="1114" t="s">
        <v>24679</v>
      </c>
    </row>
    <row r="948" spans="2:14" ht="31.5" customHeight="1" x14ac:dyDescent="0.3">
      <c r="B948" s="1115">
        <v>10139</v>
      </c>
      <c r="C948" s="1116" t="s">
        <v>4379</v>
      </c>
      <c r="D948" s="1604" t="s">
        <v>25303</v>
      </c>
      <c r="E948" s="1604"/>
      <c r="F948" s="1604"/>
      <c r="G948" s="1604"/>
      <c r="H948" s="1605"/>
      <c r="I948" s="1109" t="s">
        <v>75</v>
      </c>
      <c r="J948" s="1117">
        <v>1.5727</v>
      </c>
      <c r="K948" s="1109">
        <v>7.43</v>
      </c>
      <c r="L948" s="1109">
        <f>K948*(1+J948)</f>
        <v>19.12</v>
      </c>
      <c r="M948" s="1118">
        <v>3.3330000000000002</v>
      </c>
      <c r="N948" s="1119">
        <f>M948*L948</f>
        <v>63.73</v>
      </c>
    </row>
    <row r="949" spans="2:14" x14ac:dyDescent="0.3">
      <c r="B949" s="1115">
        <v>10115</v>
      </c>
      <c r="C949" s="1116" t="s">
        <v>4379</v>
      </c>
      <c r="D949" s="1604" t="s">
        <v>25304</v>
      </c>
      <c r="E949" s="1604"/>
      <c r="F949" s="1604"/>
      <c r="G949" s="1604"/>
      <c r="H949" s="1605"/>
      <c r="I949" s="1109" t="s">
        <v>75</v>
      </c>
      <c r="J949" s="1117">
        <v>1.5727</v>
      </c>
      <c r="K949" s="1109">
        <v>5.46</v>
      </c>
      <c r="L949" s="1109">
        <f>K949*(1+J949)</f>
        <v>14.05</v>
      </c>
      <c r="M949" s="1118">
        <v>3.3330000000000002</v>
      </c>
      <c r="N949" s="1119">
        <f>M949*L949</f>
        <v>46.83</v>
      </c>
    </row>
    <row r="950" spans="2:14" ht="15.75" thickBot="1" x14ac:dyDescent="0.35">
      <c r="B950" s="855"/>
      <c r="C950" s="954"/>
      <c r="D950" s="954"/>
      <c r="E950" s="954"/>
      <c r="F950" s="1110"/>
      <c r="G950" s="1110"/>
      <c r="H950" s="1110"/>
      <c r="I950" s="1110"/>
      <c r="J950" s="1110"/>
      <c r="K950" s="1110"/>
      <c r="L950" s="1110"/>
      <c r="M950" s="1111" t="s">
        <v>24684</v>
      </c>
      <c r="N950" s="1112">
        <f>SUM(N948:N949)</f>
        <v>110.56</v>
      </c>
    </row>
    <row r="951" spans="2:14" ht="15.75" thickBot="1" x14ac:dyDescent="0.35">
      <c r="B951" s="850"/>
      <c r="C951" s="461"/>
      <c r="D951" s="461"/>
      <c r="E951" s="461"/>
      <c r="F951" s="461"/>
      <c r="G951" s="461"/>
      <c r="H951" s="461"/>
      <c r="I951" s="1120"/>
      <c r="J951" s="1120"/>
      <c r="K951" s="461"/>
      <c r="L951" s="461"/>
      <c r="M951" s="461"/>
      <c r="N951" s="1113"/>
    </row>
    <row r="952" spans="2:14" ht="30" x14ac:dyDescent="0.3">
      <c r="B952" s="1104" t="s">
        <v>0</v>
      </c>
      <c r="C952" s="1105" t="s">
        <v>24673</v>
      </c>
      <c r="D952" s="1593" t="s">
        <v>24685</v>
      </c>
      <c r="E952" s="1593"/>
      <c r="F952" s="1593"/>
      <c r="G952" s="1593"/>
      <c r="H952" s="1594"/>
      <c r="I952" s="1106" t="s">
        <v>2858</v>
      </c>
      <c r="J952" s="1106" t="s">
        <v>24686</v>
      </c>
      <c r="K952" s="1106" t="s">
        <v>24687</v>
      </c>
      <c r="L952" s="1614" t="s">
        <v>24688</v>
      </c>
      <c r="M952" s="1615"/>
      <c r="N952" s="1114" t="s">
        <v>24689</v>
      </c>
    </row>
    <row r="953" spans="2:14" x14ac:dyDescent="0.3">
      <c r="B953" s="1115"/>
      <c r="C953" s="1116"/>
      <c r="D953" s="1604"/>
      <c r="E953" s="1604"/>
      <c r="F953" s="1604"/>
      <c r="G953" s="1604"/>
      <c r="H953" s="1605"/>
      <c r="I953" s="1109"/>
      <c r="J953" s="1109"/>
      <c r="K953" s="1109"/>
      <c r="L953" s="1597"/>
      <c r="M953" s="1598"/>
      <c r="N953" s="1119">
        <f>N950*(I953/100)</f>
        <v>0</v>
      </c>
    </row>
    <row r="954" spans="2:14" x14ac:dyDescent="0.3">
      <c r="B954" s="850"/>
      <c r="C954" s="461"/>
      <c r="D954" s="461"/>
      <c r="E954" s="461"/>
      <c r="F954" s="1120"/>
      <c r="G954" s="1120"/>
      <c r="H954" s="1120"/>
      <c r="I954" s="1120"/>
      <c r="J954" s="1120"/>
      <c r="K954" s="1120"/>
      <c r="L954" s="1120"/>
      <c r="M954" s="1121" t="s">
        <v>24690</v>
      </c>
      <c r="N954" s="1122">
        <f>SUM(N953:N953)</f>
        <v>0</v>
      </c>
    </row>
    <row r="955" spans="2:14" x14ac:dyDescent="0.3">
      <c r="B955" s="850"/>
      <c r="C955" s="461"/>
      <c r="D955" s="461"/>
      <c r="E955" s="461"/>
      <c r="F955" s="461"/>
      <c r="G955" s="461"/>
      <c r="H955" s="461"/>
      <c r="I955" s="461"/>
      <c r="J955" s="461"/>
      <c r="K955" s="461"/>
      <c r="L955" s="461"/>
      <c r="M955" s="461"/>
      <c r="N955" s="1113"/>
    </row>
    <row r="956" spans="2:14" x14ac:dyDescent="0.3">
      <c r="B956" s="850"/>
      <c r="C956" s="461"/>
      <c r="D956" s="461"/>
      <c r="E956" s="461"/>
      <c r="F956" s="1120"/>
      <c r="G956" s="1120"/>
      <c r="H956" s="1120"/>
      <c r="I956" s="863"/>
      <c r="J956" s="863"/>
      <c r="K956" s="863"/>
      <c r="L956" s="863"/>
      <c r="M956" s="1121" t="s">
        <v>24691</v>
      </c>
      <c r="N956" s="1123">
        <f>N945+N950+N954</f>
        <v>110.56</v>
      </c>
    </row>
    <row r="957" spans="2:14" x14ac:dyDescent="0.3">
      <c r="B957" s="850"/>
      <c r="C957" s="461"/>
      <c r="D957" s="461"/>
      <c r="E957" s="461"/>
      <c r="F957" s="1120"/>
      <c r="G957" s="1120"/>
      <c r="H957" s="1120"/>
      <c r="I957" s="1120"/>
      <c r="J957" s="1124"/>
      <c r="K957" s="1124"/>
      <c r="L957" s="1124"/>
      <c r="M957" s="1125" t="s">
        <v>24692</v>
      </c>
      <c r="N957" s="1123">
        <v>1</v>
      </c>
    </row>
    <row r="958" spans="2:14" ht="15.75" thickBot="1" x14ac:dyDescent="0.35">
      <c r="B958" s="855"/>
      <c r="C958" s="954"/>
      <c r="D958" s="954"/>
      <c r="E958" s="954"/>
      <c r="F958" s="1110"/>
      <c r="G958" s="1110"/>
      <c r="H958" s="1110"/>
      <c r="I958" s="1110"/>
      <c r="J958" s="1110"/>
      <c r="K958" s="1110"/>
      <c r="L958" s="1110"/>
      <c r="M958" s="1111" t="s">
        <v>24693</v>
      </c>
      <c r="N958" s="1126">
        <f>TRUNC(N956/N957,2)</f>
        <v>110.56</v>
      </c>
    </row>
    <row r="959" spans="2:14" ht="15.75" thickBot="1" x14ac:dyDescent="0.35">
      <c r="B959" s="850"/>
      <c r="C959" s="461"/>
      <c r="D959" s="461"/>
      <c r="E959" s="461"/>
      <c r="F959" s="461"/>
      <c r="G959" s="461"/>
      <c r="H959" s="461"/>
      <c r="I959" s="461"/>
      <c r="J959" s="461"/>
      <c r="K959" s="461"/>
      <c r="L959" s="461"/>
      <c r="M959" s="461"/>
      <c r="N959" s="1113"/>
    </row>
    <row r="960" spans="2:14" ht="30" x14ac:dyDescent="0.3">
      <c r="B960" s="1104" t="s">
        <v>0</v>
      </c>
      <c r="C960" s="1105" t="s">
        <v>24673</v>
      </c>
      <c r="D960" s="1593" t="s">
        <v>24694</v>
      </c>
      <c r="E960" s="1593"/>
      <c r="F960" s="1593"/>
      <c r="G960" s="1593"/>
      <c r="H960" s="1593"/>
      <c r="I960" s="1594"/>
      <c r="J960" s="1106" t="s">
        <v>3686</v>
      </c>
      <c r="K960" s="1106" t="s">
        <v>24695</v>
      </c>
      <c r="L960" s="1614" t="s">
        <v>24683</v>
      </c>
      <c r="M960" s="1615"/>
      <c r="N960" s="1114" t="s">
        <v>24689</v>
      </c>
    </row>
    <row r="961" spans="2:14" x14ac:dyDescent="0.3">
      <c r="B961" s="1115">
        <v>20503</v>
      </c>
      <c r="C961" s="1116" t="s">
        <v>4389</v>
      </c>
      <c r="D961" s="1628" t="s">
        <v>25305</v>
      </c>
      <c r="E961" s="1604"/>
      <c r="F961" s="1604"/>
      <c r="G961" s="1604"/>
      <c r="H961" s="1604"/>
      <c r="I961" s="1605"/>
      <c r="J961" s="1109" t="s">
        <v>6</v>
      </c>
      <c r="K961" s="1109">
        <v>90</v>
      </c>
      <c r="L961" s="1630">
        <v>8.6999999999999994E-3</v>
      </c>
      <c r="M961" s="1631"/>
      <c r="N961" s="1119">
        <f>L961*K961</f>
        <v>0.78</v>
      </c>
    </row>
    <row r="962" spans="2:14" x14ac:dyDescent="0.3">
      <c r="B962" s="1115">
        <v>20508</v>
      </c>
      <c r="C962" s="1116" t="s">
        <v>4389</v>
      </c>
      <c r="D962" s="1628" t="s">
        <v>25306</v>
      </c>
      <c r="E962" s="1628"/>
      <c r="F962" s="1628"/>
      <c r="G962" s="1628"/>
      <c r="H962" s="1628"/>
      <c r="I962" s="1629"/>
      <c r="J962" s="1109" t="s">
        <v>20</v>
      </c>
      <c r="K962" s="1109">
        <v>0.46</v>
      </c>
      <c r="L962" s="1630">
        <v>3.78</v>
      </c>
      <c r="M962" s="1631"/>
      <c r="N962" s="1119">
        <f t="shared" ref="N962:N964" si="14">L962*K962</f>
        <v>1.74</v>
      </c>
    </row>
    <row r="963" spans="2:14" x14ac:dyDescent="0.3">
      <c r="B963" s="1115">
        <v>7119</v>
      </c>
      <c r="C963" s="1116" t="s">
        <v>4389</v>
      </c>
      <c r="D963" s="1628" t="s">
        <v>25307</v>
      </c>
      <c r="E963" s="1628"/>
      <c r="F963" s="1628"/>
      <c r="G963" s="1628"/>
      <c r="H963" s="1628"/>
      <c r="I963" s="1629"/>
      <c r="J963" s="1109" t="s">
        <v>5</v>
      </c>
      <c r="K963" s="1109">
        <v>392.7</v>
      </c>
      <c r="L963" s="1630">
        <v>1</v>
      </c>
      <c r="M963" s="1631"/>
      <c r="N963" s="1119">
        <f t="shared" si="14"/>
        <v>392.7</v>
      </c>
    </row>
    <row r="964" spans="2:14" x14ac:dyDescent="0.3">
      <c r="B964" s="1115">
        <v>13252</v>
      </c>
      <c r="C964" s="1116" t="s">
        <v>4389</v>
      </c>
      <c r="D964" s="1628" t="s">
        <v>25308</v>
      </c>
      <c r="E964" s="1604"/>
      <c r="F964" s="1604"/>
      <c r="G964" s="1604"/>
      <c r="H964" s="1604"/>
      <c r="I964" s="1605"/>
      <c r="J964" s="1109" t="s">
        <v>7</v>
      </c>
      <c r="K964" s="1109">
        <v>78.540000000000006</v>
      </c>
      <c r="L964" s="1630">
        <v>2.5099999999999998</v>
      </c>
      <c r="M964" s="1631"/>
      <c r="N964" s="1119">
        <f t="shared" si="14"/>
        <v>197.14</v>
      </c>
    </row>
    <row r="965" spans="2:14" ht="15.75" thickBot="1" x14ac:dyDescent="0.35">
      <c r="B965" s="855"/>
      <c r="C965" s="954"/>
      <c r="D965" s="954"/>
      <c r="E965" s="954"/>
      <c r="F965" s="1110"/>
      <c r="G965" s="1110"/>
      <c r="H965" s="1110"/>
      <c r="I965" s="1110"/>
      <c r="J965" s="1110"/>
      <c r="K965" s="1110"/>
      <c r="L965" s="1110"/>
      <c r="M965" s="1111" t="s">
        <v>24696</v>
      </c>
      <c r="N965" s="1112">
        <f>SUM(N961:N964)</f>
        <v>592.36</v>
      </c>
    </row>
    <row r="966" spans="2:14" ht="15.75" thickBot="1" x14ac:dyDescent="0.35">
      <c r="B966" s="850"/>
      <c r="C966" s="461"/>
      <c r="D966" s="461"/>
      <c r="E966" s="461"/>
      <c r="F966" s="461"/>
      <c r="G966" s="461"/>
      <c r="H966" s="461"/>
      <c r="I966" s="461"/>
      <c r="J966" s="461"/>
      <c r="K966" s="461"/>
      <c r="L966" s="461"/>
      <c r="M966" s="461"/>
      <c r="N966" s="1113"/>
    </row>
    <row r="967" spans="2:14" ht="30" x14ac:dyDescent="0.3">
      <c r="B967" s="1104" t="s">
        <v>0</v>
      </c>
      <c r="C967" s="1106" t="s">
        <v>24673</v>
      </c>
      <c r="D967" s="1593" t="s">
        <v>24697</v>
      </c>
      <c r="E967" s="1593"/>
      <c r="F967" s="1593"/>
      <c r="G967" s="1593"/>
      <c r="H967" s="1593"/>
      <c r="I967" s="1594"/>
      <c r="J967" s="1106" t="s">
        <v>3686</v>
      </c>
      <c r="K967" s="1106" t="s">
        <v>24695</v>
      </c>
      <c r="L967" s="1614" t="s">
        <v>24683</v>
      </c>
      <c r="M967" s="1615"/>
      <c r="N967" s="1114" t="s">
        <v>24689</v>
      </c>
    </row>
    <row r="968" spans="2:14" x14ac:dyDescent="0.3">
      <c r="B968" s="1115"/>
      <c r="C968" s="1116"/>
      <c r="D968" s="1604"/>
      <c r="E968" s="1604"/>
      <c r="F968" s="1604"/>
      <c r="G968" s="1604"/>
      <c r="H968" s="1604"/>
      <c r="I968" s="1605"/>
      <c r="J968" s="1151"/>
      <c r="K968" s="1151"/>
      <c r="L968" s="1626"/>
      <c r="M968" s="1627"/>
      <c r="N968" s="1154"/>
    </row>
    <row r="969" spans="2:14" x14ac:dyDescent="0.3">
      <c r="B969" s="1115"/>
      <c r="C969" s="1116"/>
      <c r="D969" s="1604"/>
      <c r="E969" s="1604"/>
      <c r="F969" s="1604"/>
      <c r="G969" s="1604"/>
      <c r="H969" s="1604"/>
      <c r="I969" s="1605"/>
      <c r="J969" s="1151"/>
      <c r="K969" s="462"/>
      <c r="L969" s="1626"/>
      <c r="M969" s="1627"/>
      <c r="N969" s="1154"/>
    </row>
    <row r="970" spans="2:14" ht="15.75" thickBot="1" x14ac:dyDescent="0.35">
      <c r="B970" s="855"/>
      <c r="C970" s="954"/>
      <c r="D970" s="954"/>
      <c r="E970" s="954"/>
      <c r="F970" s="1110"/>
      <c r="G970" s="1110"/>
      <c r="H970" s="1110"/>
      <c r="I970" s="1110"/>
      <c r="J970" s="1110"/>
      <c r="K970" s="1110"/>
      <c r="L970" s="1110"/>
      <c r="M970" s="1111" t="s">
        <v>24698</v>
      </c>
      <c r="N970" s="1112">
        <f>SUM(N968:N969)</f>
        <v>0</v>
      </c>
    </row>
    <row r="971" spans="2:14" ht="15.75" thickBot="1" x14ac:dyDescent="0.35">
      <c r="B971" s="850"/>
      <c r="C971" s="461"/>
      <c r="D971" s="461"/>
      <c r="E971" s="461"/>
      <c r="F971" s="461"/>
      <c r="G971" s="461"/>
      <c r="H971" s="461"/>
      <c r="I971" s="461"/>
      <c r="J971" s="461"/>
      <c r="K971" s="461"/>
      <c r="L971" s="461"/>
      <c r="M971" s="461"/>
      <c r="N971" s="1113"/>
    </row>
    <row r="972" spans="2:14" ht="30" x14ac:dyDescent="0.3">
      <c r="B972" s="1104" t="s">
        <v>0</v>
      </c>
      <c r="C972" s="1106" t="s">
        <v>24673</v>
      </c>
      <c r="D972" s="1593" t="s">
        <v>24699</v>
      </c>
      <c r="E972" s="1593"/>
      <c r="F972" s="1593"/>
      <c r="G972" s="1594"/>
      <c r="H972" s="1106" t="s">
        <v>3686</v>
      </c>
      <c r="I972" s="1106" t="s">
        <v>24700</v>
      </c>
      <c r="J972" s="1106" t="s">
        <v>24701</v>
      </c>
      <c r="K972" s="1106" t="s">
        <v>24695</v>
      </c>
      <c r="L972" s="1614" t="s">
        <v>24683</v>
      </c>
      <c r="M972" s="1615"/>
      <c r="N972" s="1114" t="s">
        <v>24689</v>
      </c>
    </row>
    <row r="973" spans="2:14" x14ac:dyDescent="0.3">
      <c r="B973" s="1115"/>
      <c r="C973" s="1116"/>
      <c r="D973" s="1595"/>
      <c r="E973" s="1595"/>
      <c r="F973" s="1595"/>
      <c r="G973" s="1595"/>
      <c r="H973" s="1109"/>
      <c r="I973" s="1109"/>
      <c r="J973" s="1109"/>
      <c r="K973" s="1109"/>
      <c r="L973" s="1597"/>
      <c r="M973" s="1598"/>
      <c r="N973" s="1119"/>
    </row>
    <row r="974" spans="2:14" x14ac:dyDescent="0.3">
      <c r="B974" s="1115"/>
      <c r="C974" s="1116"/>
      <c r="D974" s="1595"/>
      <c r="E974" s="1595"/>
      <c r="F974" s="1595"/>
      <c r="G974" s="1595"/>
      <c r="H974" s="1109"/>
      <c r="I974" s="1109"/>
      <c r="J974" s="1109"/>
      <c r="K974" s="1109"/>
      <c r="L974" s="1597"/>
      <c r="M974" s="1598"/>
      <c r="N974" s="1119"/>
    </row>
    <row r="975" spans="2:14" x14ac:dyDescent="0.3">
      <c r="B975" s="1115"/>
      <c r="C975" s="1116"/>
      <c r="D975" s="1595"/>
      <c r="E975" s="1595"/>
      <c r="F975" s="1595"/>
      <c r="G975" s="1595"/>
      <c r="H975" s="1109"/>
      <c r="I975" s="1109"/>
      <c r="J975" s="1109"/>
      <c r="K975" s="1109"/>
      <c r="L975" s="1597"/>
      <c r="M975" s="1598"/>
      <c r="N975" s="1119"/>
    </row>
    <row r="976" spans="2:14" x14ac:dyDescent="0.3">
      <c r="B976" s="850"/>
      <c r="C976" s="461"/>
      <c r="D976" s="461"/>
      <c r="E976" s="461"/>
      <c r="F976" s="1120"/>
      <c r="G976" s="1120"/>
      <c r="H976" s="1120"/>
      <c r="I976" s="1120"/>
      <c r="J976" s="1120"/>
      <c r="K976" s="1120"/>
      <c r="L976" s="1120"/>
      <c r="M976" s="1121" t="s">
        <v>24702</v>
      </c>
      <c r="N976" s="1122">
        <f>SUM(N973:N975)</f>
        <v>0</v>
      </c>
    </row>
    <row r="977" spans="2:14" x14ac:dyDescent="0.3">
      <c r="B977" s="850"/>
      <c r="C977" s="461"/>
      <c r="D977" s="461"/>
      <c r="E977" s="461"/>
      <c r="F977" s="461"/>
      <c r="G977" s="461"/>
      <c r="H977" s="461"/>
      <c r="I977" s="461"/>
      <c r="J977" s="461"/>
      <c r="K977" s="461"/>
      <c r="L977" s="461"/>
      <c r="M977" s="461"/>
      <c r="N977" s="1113"/>
    </row>
    <row r="978" spans="2:14" x14ac:dyDescent="0.3">
      <c r="B978" s="1131"/>
      <c r="C978" s="1132"/>
      <c r="D978" s="1132"/>
      <c r="E978" s="1132"/>
      <c r="F978" s="1133"/>
      <c r="G978" s="1133"/>
      <c r="H978" s="1133"/>
      <c r="I978" s="1133"/>
      <c r="J978" s="1133"/>
      <c r="K978" s="1133"/>
      <c r="L978" s="1133"/>
      <c r="M978" s="1134" t="s">
        <v>24703</v>
      </c>
      <c r="N978" s="1123">
        <f>N958+N965+N970+N976</f>
        <v>702.92</v>
      </c>
    </row>
    <row r="979" spans="2:14" x14ac:dyDescent="0.3">
      <c r="B979" s="850"/>
      <c r="C979" s="461"/>
      <c r="D979" s="461"/>
      <c r="E979" s="461"/>
      <c r="F979" s="1120"/>
      <c r="G979" s="1120"/>
      <c r="H979" s="1120"/>
      <c r="I979" s="1120"/>
      <c r="J979" s="1120"/>
      <c r="K979" s="1120"/>
      <c r="L979" s="1120"/>
      <c r="M979" s="1136">
        <f>'QUIOSQUE - MOD 01'!I3</f>
        <v>0.28220000000000001</v>
      </c>
      <c r="N979" s="1123">
        <f>ROUND(N978*M979,2)</f>
        <v>198.36</v>
      </c>
    </row>
    <row r="980" spans="2:14" ht="15.75" thickBot="1" x14ac:dyDescent="0.35">
      <c r="B980" s="1599" t="s">
        <v>24704</v>
      </c>
      <c r="C980" s="1600"/>
      <c r="D980" s="1600"/>
      <c r="E980" s="1600"/>
      <c r="F980" s="1600"/>
      <c r="G980" s="1600"/>
      <c r="H980" s="1600"/>
      <c r="I980" s="1600"/>
      <c r="J980" s="1600"/>
      <c r="K980" s="1600"/>
      <c r="L980" s="1600"/>
      <c r="M980" s="1601"/>
      <c r="N980" s="1126">
        <f>N978+N979</f>
        <v>901.28</v>
      </c>
    </row>
    <row r="982" spans="2:14" ht="15.75" thickBot="1" x14ac:dyDescent="0.35"/>
    <row r="983" spans="2:14" ht="48.75" customHeight="1" x14ac:dyDescent="0.3">
      <c r="B983" s="1607" t="s">
        <v>25309</v>
      </c>
      <c r="C983" s="1608"/>
      <c r="D983" s="1609"/>
      <c r="E983" s="1610" t="s">
        <v>24669</v>
      </c>
      <c r="F983" s="1610"/>
      <c r="G983" s="1610"/>
      <c r="H983" s="1610"/>
      <c r="I983" s="1610"/>
      <c r="J983" s="1610"/>
      <c r="K983" s="1610"/>
      <c r="L983" s="1623"/>
      <c r="M983" s="1576"/>
      <c r="N983" s="1577"/>
    </row>
    <row r="984" spans="2:14" x14ac:dyDescent="0.3">
      <c r="B984" s="1103" t="s">
        <v>24670</v>
      </c>
      <c r="C984" s="1632" t="s">
        <v>209</v>
      </c>
      <c r="D984" s="1586"/>
      <c r="E984" s="1586"/>
      <c r="F984" s="1586"/>
      <c r="G984" s="1586"/>
      <c r="H984" s="1586"/>
      <c r="I984" s="1586"/>
      <c r="J984" s="1586"/>
      <c r="K984" s="1586"/>
      <c r="L984" s="1586"/>
      <c r="M984" s="1586"/>
      <c r="N984" s="1587"/>
    </row>
    <row r="985" spans="2:14" x14ac:dyDescent="0.3">
      <c r="B985" s="1103" t="s">
        <v>24671</v>
      </c>
      <c r="C985" s="1588" t="s">
        <v>5</v>
      </c>
      <c r="D985" s="1588"/>
      <c r="E985" s="1588"/>
      <c r="F985" s="1588"/>
      <c r="G985" s="1588"/>
      <c r="H985" s="1588"/>
      <c r="I985" s="1588"/>
      <c r="J985" s="1588"/>
      <c r="K985" s="1588"/>
      <c r="L985" s="1588"/>
      <c r="M985" s="1588"/>
      <c r="N985" s="1589"/>
    </row>
    <row r="986" spans="2:14" ht="15.75" thickBot="1" x14ac:dyDescent="0.35">
      <c r="B986" s="1103" t="s">
        <v>24672</v>
      </c>
      <c r="C986" s="1590">
        <v>44501</v>
      </c>
      <c r="D986" s="1591"/>
      <c r="E986" s="1591"/>
      <c r="F986" s="1591"/>
      <c r="G986" s="1591"/>
      <c r="H986" s="1591"/>
      <c r="I986" s="1591"/>
      <c r="J986" s="1591"/>
      <c r="K986" s="1591"/>
      <c r="L986" s="1591"/>
      <c r="M986" s="1591"/>
      <c r="N986" s="1592"/>
    </row>
    <row r="987" spans="2:14" ht="30" x14ac:dyDescent="0.3">
      <c r="B987" s="1104" t="s">
        <v>0</v>
      </c>
      <c r="C987" s="1105" t="s">
        <v>24673</v>
      </c>
      <c r="D987" s="1593" t="s">
        <v>24674</v>
      </c>
      <c r="E987" s="1593"/>
      <c r="F987" s="1593"/>
      <c r="G987" s="1594"/>
      <c r="H987" s="1106" t="s">
        <v>111</v>
      </c>
      <c r="I987" s="1106" t="s">
        <v>24675</v>
      </c>
      <c r="J987" s="1106" t="s">
        <v>24676</v>
      </c>
      <c r="K987" s="1106" t="s">
        <v>24677</v>
      </c>
      <c r="L987" s="1614" t="s">
        <v>24678</v>
      </c>
      <c r="M987" s="1615"/>
      <c r="N987" s="1114" t="s">
        <v>24679</v>
      </c>
    </row>
    <row r="988" spans="2:14" x14ac:dyDescent="0.3">
      <c r="B988" s="1107"/>
      <c r="C988" s="1108"/>
      <c r="D988" s="1595"/>
      <c r="E988" s="1595"/>
      <c r="F988" s="1595"/>
      <c r="G988" s="1596"/>
      <c r="H988" s="1109"/>
      <c r="I988" s="1109"/>
      <c r="J988" s="1109"/>
      <c r="K988" s="1109"/>
      <c r="L988" s="1597"/>
      <c r="M988" s="1598"/>
      <c r="N988" s="1119"/>
    </row>
    <row r="989" spans="2:14" ht="15.75" thickBot="1" x14ac:dyDescent="0.35">
      <c r="B989" s="855"/>
      <c r="C989" s="954"/>
      <c r="D989" s="954"/>
      <c r="E989" s="954"/>
      <c r="F989" s="1110"/>
      <c r="G989" s="1110"/>
      <c r="H989" s="1110"/>
      <c r="I989" s="1110"/>
      <c r="J989" s="1110"/>
      <c r="K989" s="1110"/>
      <c r="L989" s="1110"/>
      <c r="M989" s="1111" t="s">
        <v>24680</v>
      </c>
      <c r="N989" s="1112">
        <f>SUM(N988:N988)</f>
        <v>0</v>
      </c>
    </row>
    <row r="990" spans="2:14" ht="15.75" thickBot="1" x14ac:dyDescent="0.35">
      <c r="B990" s="850"/>
      <c r="C990" s="461"/>
      <c r="D990" s="461"/>
      <c r="E990" s="461"/>
      <c r="F990" s="461"/>
      <c r="G990" s="461"/>
      <c r="H990" s="461"/>
      <c r="I990" s="461"/>
      <c r="J990" s="461"/>
      <c r="K990" s="461"/>
      <c r="L990" s="461"/>
      <c r="M990" s="461"/>
      <c r="N990" s="1113"/>
    </row>
    <row r="991" spans="2:14" ht="45" x14ac:dyDescent="0.3">
      <c r="B991" s="1104" t="s">
        <v>0</v>
      </c>
      <c r="C991" s="1105" t="s">
        <v>24673</v>
      </c>
      <c r="D991" s="1593" t="s">
        <v>24681</v>
      </c>
      <c r="E991" s="1593"/>
      <c r="F991" s="1593"/>
      <c r="G991" s="1593"/>
      <c r="H991" s="1594"/>
      <c r="I991" s="1106" t="s">
        <v>3686</v>
      </c>
      <c r="J991" s="1106" t="s">
        <v>24682</v>
      </c>
      <c r="K991" s="1106" t="s">
        <v>25177</v>
      </c>
      <c r="L991" s="1106" t="s">
        <v>25178</v>
      </c>
      <c r="M991" s="1106" t="s">
        <v>24683</v>
      </c>
      <c r="N991" s="1114" t="s">
        <v>24679</v>
      </c>
    </row>
    <row r="992" spans="2:14" x14ac:dyDescent="0.3">
      <c r="B992" s="1115">
        <v>10139</v>
      </c>
      <c r="C992" s="1116" t="s">
        <v>4379</v>
      </c>
      <c r="D992" s="1604" t="s">
        <v>25303</v>
      </c>
      <c r="E992" s="1604"/>
      <c r="F992" s="1604"/>
      <c r="G992" s="1604"/>
      <c r="H992" s="1605"/>
      <c r="I992" s="1109" t="s">
        <v>75</v>
      </c>
      <c r="J992" s="1117">
        <v>1.5727</v>
      </c>
      <c r="K992" s="1109">
        <v>7.43</v>
      </c>
      <c r="L992" s="1109">
        <f>K992*(1+J992)</f>
        <v>19.12</v>
      </c>
      <c r="M992" s="1118">
        <v>3.3330000000000002</v>
      </c>
      <c r="N992" s="1119">
        <f>M992*L992</f>
        <v>63.73</v>
      </c>
    </row>
    <row r="993" spans="2:14" x14ac:dyDescent="0.3">
      <c r="B993" s="1115">
        <v>10115</v>
      </c>
      <c r="C993" s="1116" t="s">
        <v>4379</v>
      </c>
      <c r="D993" s="1604" t="s">
        <v>25304</v>
      </c>
      <c r="E993" s="1604"/>
      <c r="F993" s="1604"/>
      <c r="G993" s="1604"/>
      <c r="H993" s="1605"/>
      <c r="I993" s="1109" t="s">
        <v>75</v>
      </c>
      <c r="J993" s="1117">
        <v>1.5727</v>
      </c>
      <c r="K993" s="1109">
        <v>5.46</v>
      </c>
      <c r="L993" s="1109">
        <f>K993*(1+J993)</f>
        <v>14.05</v>
      </c>
      <c r="M993" s="1118">
        <v>3.3330000000000002</v>
      </c>
      <c r="N993" s="1119">
        <f>M993*L993</f>
        <v>46.83</v>
      </c>
    </row>
    <row r="994" spans="2:14" ht="15.75" thickBot="1" x14ac:dyDescent="0.35">
      <c r="B994" s="855"/>
      <c r="C994" s="954"/>
      <c r="D994" s="954"/>
      <c r="E994" s="954"/>
      <c r="F994" s="1110"/>
      <c r="G994" s="1110"/>
      <c r="H994" s="1110"/>
      <c r="I994" s="1110"/>
      <c r="J994" s="1110"/>
      <c r="K994" s="1110"/>
      <c r="L994" s="1110"/>
      <c r="M994" s="1111" t="s">
        <v>24684</v>
      </c>
      <c r="N994" s="1112">
        <f>SUM(N992:N993)</f>
        <v>110.56</v>
      </c>
    </row>
    <row r="995" spans="2:14" ht="15.75" thickBot="1" x14ac:dyDescent="0.35">
      <c r="B995" s="850"/>
      <c r="C995" s="461"/>
      <c r="D995" s="461"/>
      <c r="E995" s="461"/>
      <c r="F995" s="461"/>
      <c r="G995" s="461"/>
      <c r="H995" s="461"/>
      <c r="I995" s="1120"/>
      <c r="J995" s="1120"/>
      <c r="K995" s="461"/>
      <c r="L995" s="461"/>
      <c r="M995" s="461"/>
      <c r="N995" s="1113"/>
    </row>
    <row r="996" spans="2:14" ht="30" x14ac:dyDescent="0.3">
      <c r="B996" s="1104" t="s">
        <v>0</v>
      </c>
      <c r="C996" s="1105" t="s">
        <v>24673</v>
      </c>
      <c r="D996" s="1593" t="s">
        <v>24685</v>
      </c>
      <c r="E996" s="1593"/>
      <c r="F996" s="1593"/>
      <c r="G996" s="1593"/>
      <c r="H996" s="1594"/>
      <c r="I996" s="1106" t="s">
        <v>2858</v>
      </c>
      <c r="J996" s="1106" t="s">
        <v>24686</v>
      </c>
      <c r="K996" s="1106" t="s">
        <v>24687</v>
      </c>
      <c r="L996" s="1614" t="s">
        <v>24688</v>
      </c>
      <c r="M996" s="1615"/>
      <c r="N996" s="1114" t="s">
        <v>24689</v>
      </c>
    </row>
    <row r="997" spans="2:14" x14ac:dyDescent="0.3">
      <c r="B997" s="1115"/>
      <c r="C997" s="1116"/>
      <c r="D997" s="1604"/>
      <c r="E997" s="1604"/>
      <c r="F997" s="1604"/>
      <c r="G997" s="1604"/>
      <c r="H997" s="1605"/>
      <c r="I997" s="1109"/>
      <c r="J997" s="1109"/>
      <c r="K997" s="1109"/>
      <c r="L997" s="1597"/>
      <c r="M997" s="1598"/>
      <c r="N997" s="1119">
        <f>N994*(I997/100)</f>
        <v>0</v>
      </c>
    </row>
    <row r="998" spans="2:14" x14ac:dyDescent="0.3">
      <c r="B998" s="850"/>
      <c r="C998" s="461"/>
      <c r="D998" s="461"/>
      <c r="E998" s="461"/>
      <c r="F998" s="1120"/>
      <c r="G998" s="1120"/>
      <c r="H998" s="1120"/>
      <c r="I998" s="1120"/>
      <c r="J998" s="1120"/>
      <c r="K998" s="1120"/>
      <c r="L998" s="1120"/>
      <c r="M998" s="1121" t="s">
        <v>24690</v>
      </c>
      <c r="N998" s="1122">
        <f>SUM(N997:N997)</f>
        <v>0</v>
      </c>
    </row>
    <row r="999" spans="2:14" x14ac:dyDescent="0.3">
      <c r="B999" s="850"/>
      <c r="C999" s="461"/>
      <c r="D999" s="461"/>
      <c r="E999" s="461"/>
      <c r="F999" s="461"/>
      <c r="G999" s="461"/>
      <c r="H999" s="461"/>
      <c r="I999" s="461"/>
      <c r="J999" s="461"/>
      <c r="K999" s="461"/>
      <c r="L999" s="461"/>
      <c r="M999" s="461"/>
      <c r="N999" s="1113"/>
    </row>
    <row r="1000" spans="2:14" x14ac:dyDescent="0.3">
      <c r="B1000" s="850"/>
      <c r="C1000" s="461"/>
      <c r="D1000" s="461"/>
      <c r="E1000" s="461"/>
      <c r="F1000" s="1120"/>
      <c r="G1000" s="1120"/>
      <c r="H1000" s="1120"/>
      <c r="I1000" s="863"/>
      <c r="J1000" s="863"/>
      <c r="K1000" s="863"/>
      <c r="L1000" s="863"/>
      <c r="M1000" s="1121" t="s">
        <v>24691</v>
      </c>
      <c r="N1000" s="1123">
        <f>N989+N994+N998</f>
        <v>110.56</v>
      </c>
    </row>
    <row r="1001" spans="2:14" x14ac:dyDescent="0.3">
      <c r="B1001" s="850"/>
      <c r="C1001" s="461"/>
      <c r="D1001" s="461"/>
      <c r="E1001" s="461"/>
      <c r="F1001" s="1120"/>
      <c r="G1001" s="1120"/>
      <c r="H1001" s="1120"/>
      <c r="I1001" s="1120"/>
      <c r="J1001" s="1124"/>
      <c r="K1001" s="1124"/>
      <c r="L1001" s="1124"/>
      <c r="M1001" s="1125" t="s">
        <v>24692</v>
      </c>
      <c r="N1001" s="1123">
        <v>1</v>
      </c>
    </row>
    <row r="1002" spans="2:14" ht="15.75" thickBot="1" x14ac:dyDescent="0.35">
      <c r="B1002" s="855"/>
      <c r="C1002" s="954"/>
      <c r="D1002" s="954"/>
      <c r="E1002" s="954"/>
      <c r="F1002" s="1110"/>
      <c r="G1002" s="1110"/>
      <c r="H1002" s="1110"/>
      <c r="I1002" s="1110"/>
      <c r="J1002" s="1110"/>
      <c r="K1002" s="1110"/>
      <c r="L1002" s="1110"/>
      <c r="M1002" s="1111" t="s">
        <v>24693</v>
      </c>
      <c r="N1002" s="1126">
        <f>TRUNC(N1000/N1001,2)</f>
        <v>110.56</v>
      </c>
    </row>
    <row r="1003" spans="2:14" ht="15.75" thickBot="1" x14ac:dyDescent="0.35">
      <c r="B1003" s="850"/>
      <c r="C1003" s="461"/>
      <c r="D1003" s="461"/>
      <c r="E1003" s="461"/>
      <c r="F1003" s="461"/>
      <c r="G1003" s="461"/>
      <c r="H1003" s="461"/>
      <c r="I1003" s="461"/>
      <c r="J1003" s="461"/>
      <c r="K1003" s="461"/>
      <c r="L1003" s="461"/>
      <c r="M1003" s="461"/>
      <c r="N1003" s="1113"/>
    </row>
    <row r="1004" spans="2:14" ht="30" x14ac:dyDescent="0.3">
      <c r="B1004" s="1104" t="s">
        <v>0</v>
      </c>
      <c r="C1004" s="1105" t="s">
        <v>24673</v>
      </c>
      <c r="D1004" s="1593" t="s">
        <v>24694</v>
      </c>
      <c r="E1004" s="1593"/>
      <c r="F1004" s="1593"/>
      <c r="G1004" s="1593"/>
      <c r="H1004" s="1593"/>
      <c r="I1004" s="1594"/>
      <c r="J1004" s="1106" t="s">
        <v>3686</v>
      </c>
      <c r="K1004" s="1106" t="s">
        <v>24695</v>
      </c>
      <c r="L1004" s="1614" t="s">
        <v>24683</v>
      </c>
      <c r="M1004" s="1615"/>
      <c r="N1004" s="1114" t="s">
        <v>24689</v>
      </c>
    </row>
    <row r="1005" spans="2:14" x14ac:dyDescent="0.3">
      <c r="B1005" s="1115">
        <v>20503</v>
      </c>
      <c r="C1005" s="1116" t="s">
        <v>4389</v>
      </c>
      <c r="D1005" s="1628" t="s">
        <v>25305</v>
      </c>
      <c r="E1005" s="1604"/>
      <c r="F1005" s="1604"/>
      <c r="G1005" s="1604"/>
      <c r="H1005" s="1604"/>
      <c r="I1005" s="1605"/>
      <c r="J1005" s="1109" t="s">
        <v>6</v>
      </c>
      <c r="K1005" s="1109">
        <v>90</v>
      </c>
      <c r="L1005" s="1630">
        <v>8.6999999999999994E-3</v>
      </c>
      <c r="M1005" s="1631"/>
      <c r="N1005" s="1119">
        <f>L1005*K1005</f>
        <v>0.78</v>
      </c>
    </row>
    <row r="1006" spans="2:14" x14ac:dyDescent="0.3">
      <c r="B1006" s="1115">
        <v>20508</v>
      </c>
      <c r="C1006" s="1116" t="s">
        <v>4389</v>
      </c>
      <c r="D1006" s="1628" t="s">
        <v>25306</v>
      </c>
      <c r="E1006" s="1628"/>
      <c r="F1006" s="1628"/>
      <c r="G1006" s="1628"/>
      <c r="H1006" s="1628"/>
      <c r="I1006" s="1629"/>
      <c r="J1006" s="1109" t="s">
        <v>20</v>
      </c>
      <c r="K1006" s="1109">
        <v>0.46</v>
      </c>
      <c r="L1006" s="1630">
        <v>3.78</v>
      </c>
      <c r="M1006" s="1631"/>
      <c r="N1006" s="1119">
        <f t="shared" ref="N1006:N1008" si="15">L1006*K1006</f>
        <v>1.74</v>
      </c>
    </row>
    <row r="1007" spans="2:14" x14ac:dyDescent="0.3">
      <c r="B1007" s="1115">
        <v>7119</v>
      </c>
      <c r="C1007" s="1116" t="s">
        <v>4389</v>
      </c>
      <c r="D1007" s="1628" t="s">
        <v>25307</v>
      </c>
      <c r="E1007" s="1628"/>
      <c r="F1007" s="1628"/>
      <c r="G1007" s="1628"/>
      <c r="H1007" s="1628"/>
      <c r="I1007" s="1629"/>
      <c r="J1007" s="1109" t="s">
        <v>5</v>
      </c>
      <c r="K1007" s="1109">
        <v>392.7</v>
      </c>
      <c r="L1007" s="1630">
        <v>1</v>
      </c>
      <c r="M1007" s="1631"/>
      <c r="N1007" s="1119">
        <f t="shared" si="15"/>
        <v>392.7</v>
      </c>
    </row>
    <row r="1008" spans="2:14" x14ac:dyDescent="0.3">
      <c r="B1008" s="1115">
        <v>13252</v>
      </c>
      <c r="C1008" s="1116" t="s">
        <v>4389</v>
      </c>
      <c r="D1008" s="1628" t="s">
        <v>25308</v>
      </c>
      <c r="E1008" s="1604"/>
      <c r="F1008" s="1604"/>
      <c r="G1008" s="1604"/>
      <c r="H1008" s="1604"/>
      <c r="I1008" s="1605"/>
      <c r="J1008" s="1109" t="s">
        <v>7</v>
      </c>
      <c r="K1008" s="1109">
        <v>78.540000000000006</v>
      </c>
      <c r="L1008" s="1630">
        <v>6.67</v>
      </c>
      <c r="M1008" s="1631"/>
      <c r="N1008" s="1119">
        <f t="shared" si="15"/>
        <v>523.86</v>
      </c>
    </row>
    <row r="1009" spans="2:14" ht="15.75" thickBot="1" x14ac:dyDescent="0.35">
      <c r="B1009" s="855"/>
      <c r="C1009" s="954"/>
      <c r="D1009" s="954"/>
      <c r="E1009" s="954"/>
      <c r="F1009" s="1110"/>
      <c r="G1009" s="1110"/>
      <c r="H1009" s="1110"/>
      <c r="I1009" s="1110"/>
      <c r="J1009" s="1110"/>
      <c r="K1009" s="1110"/>
      <c r="L1009" s="1110"/>
      <c r="M1009" s="1111" t="s">
        <v>24696</v>
      </c>
      <c r="N1009" s="1112">
        <f>SUM(N1005:N1008)</f>
        <v>919.08</v>
      </c>
    </row>
    <row r="1010" spans="2:14" ht="15.75" thickBot="1" x14ac:dyDescent="0.35">
      <c r="B1010" s="850"/>
      <c r="C1010" s="461"/>
      <c r="D1010" s="461"/>
      <c r="E1010" s="461"/>
      <c r="F1010" s="461"/>
      <c r="G1010" s="461"/>
      <c r="H1010" s="461"/>
      <c r="I1010" s="461"/>
      <c r="J1010" s="461"/>
      <c r="K1010" s="461"/>
      <c r="L1010" s="461"/>
      <c r="M1010" s="461"/>
      <c r="N1010" s="1113"/>
    </row>
    <row r="1011" spans="2:14" ht="30" x14ac:dyDescent="0.3">
      <c r="B1011" s="1104" t="s">
        <v>0</v>
      </c>
      <c r="C1011" s="1106" t="s">
        <v>24673</v>
      </c>
      <c r="D1011" s="1593" t="s">
        <v>24697</v>
      </c>
      <c r="E1011" s="1593"/>
      <c r="F1011" s="1593"/>
      <c r="G1011" s="1593"/>
      <c r="H1011" s="1593"/>
      <c r="I1011" s="1594"/>
      <c r="J1011" s="1106" t="s">
        <v>3686</v>
      </c>
      <c r="K1011" s="1106" t="s">
        <v>24695</v>
      </c>
      <c r="L1011" s="1614" t="s">
        <v>24683</v>
      </c>
      <c r="M1011" s="1615"/>
      <c r="N1011" s="1114" t="s">
        <v>24689</v>
      </c>
    </row>
    <row r="1012" spans="2:14" x14ac:dyDescent="0.3">
      <c r="B1012" s="1115"/>
      <c r="C1012" s="1116"/>
      <c r="D1012" s="1604"/>
      <c r="E1012" s="1604"/>
      <c r="F1012" s="1604"/>
      <c r="G1012" s="1604"/>
      <c r="H1012" s="1604"/>
      <c r="I1012" s="1605"/>
      <c r="J1012" s="1151"/>
      <c r="K1012" s="1151"/>
      <c r="L1012" s="1626"/>
      <c r="M1012" s="1627"/>
      <c r="N1012" s="1154"/>
    </row>
    <row r="1013" spans="2:14" x14ac:dyDescent="0.3">
      <c r="B1013" s="1115"/>
      <c r="C1013" s="1116"/>
      <c r="D1013" s="1604"/>
      <c r="E1013" s="1604"/>
      <c r="F1013" s="1604"/>
      <c r="G1013" s="1604"/>
      <c r="H1013" s="1604"/>
      <c r="I1013" s="1605"/>
      <c r="J1013" s="1151"/>
      <c r="K1013" s="462"/>
      <c r="L1013" s="1626"/>
      <c r="M1013" s="1627"/>
      <c r="N1013" s="1154"/>
    </row>
    <row r="1014" spans="2:14" ht="15.75" thickBot="1" x14ac:dyDescent="0.35">
      <c r="B1014" s="855"/>
      <c r="C1014" s="954"/>
      <c r="D1014" s="954"/>
      <c r="E1014" s="954"/>
      <c r="F1014" s="1110"/>
      <c r="G1014" s="1110"/>
      <c r="H1014" s="1110"/>
      <c r="I1014" s="1110"/>
      <c r="J1014" s="1110"/>
      <c r="K1014" s="1110"/>
      <c r="L1014" s="1110"/>
      <c r="M1014" s="1111" t="s">
        <v>24698</v>
      </c>
      <c r="N1014" s="1112">
        <f>SUM(N1012:N1013)</f>
        <v>0</v>
      </c>
    </row>
    <row r="1015" spans="2:14" ht="15.75" thickBot="1" x14ac:dyDescent="0.35">
      <c r="B1015" s="850"/>
      <c r="C1015" s="461"/>
      <c r="D1015" s="461"/>
      <c r="E1015" s="461"/>
      <c r="F1015" s="461"/>
      <c r="G1015" s="461"/>
      <c r="H1015" s="461"/>
      <c r="I1015" s="461"/>
      <c r="J1015" s="461"/>
      <c r="K1015" s="461"/>
      <c r="L1015" s="461"/>
      <c r="M1015" s="461"/>
      <c r="N1015" s="1113"/>
    </row>
    <row r="1016" spans="2:14" ht="30" x14ac:dyDescent="0.3">
      <c r="B1016" s="1104" t="s">
        <v>0</v>
      </c>
      <c r="C1016" s="1106" t="s">
        <v>24673</v>
      </c>
      <c r="D1016" s="1593" t="s">
        <v>24699</v>
      </c>
      <c r="E1016" s="1593"/>
      <c r="F1016" s="1593"/>
      <c r="G1016" s="1594"/>
      <c r="H1016" s="1106" t="s">
        <v>3686</v>
      </c>
      <c r="I1016" s="1106" t="s">
        <v>24700</v>
      </c>
      <c r="J1016" s="1106" t="s">
        <v>24701</v>
      </c>
      <c r="K1016" s="1106" t="s">
        <v>24695</v>
      </c>
      <c r="L1016" s="1614" t="s">
        <v>24683</v>
      </c>
      <c r="M1016" s="1615"/>
      <c r="N1016" s="1114" t="s">
        <v>24689</v>
      </c>
    </row>
    <row r="1017" spans="2:14" x14ac:dyDescent="0.3">
      <c r="B1017" s="1115"/>
      <c r="C1017" s="1116"/>
      <c r="D1017" s="1595"/>
      <c r="E1017" s="1595"/>
      <c r="F1017" s="1595"/>
      <c r="G1017" s="1595"/>
      <c r="H1017" s="1109"/>
      <c r="I1017" s="1109"/>
      <c r="J1017" s="1109"/>
      <c r="K1017" s="1109"/>
      <c r="L1017" s="1597"/>
      <c r="M1017" s="1598"/>
      <c r="N1017" s="1119"/>
    </row>
    <row r="1018" spans="2:14" x14ac:dyDescent="0.3">
      <c r="B1018" s="1115"/>
      <c r="C1018" s="1116"/>
      <c r="D1018" s="1595"/>
      <c r="E1018" s="1595"/>
      <c r="F1018" s="1595"/>
      <c r="G1018" s="1595"/>
      <c r="H1018" s="1109"/>
      <c r="I1018" s="1109"/>
      <c r="J1018" s="1109"/>
      <c r="K1018" s="1109"/>
      <c r="L1018" s="1597"/>
      <c r="M1018" s="1598"/>
      <c r="N1018" s="1119"/>
    </row>
    <row r="1019" spans="2:14" x14ac:dyDescent="0.3">
      <c r="B1019" s="1115"/>
      <c r="C1019" s="1116"/>
      <c r="D1019" s="1595"/>
      <c r="E1019" s="1595"/>
      <c r="F1019" s="1595"/>
      <c r="G1019" s="1595"/>
      <c r="H1019" s="1109"/>
      <c r="I1019" s="1109"/>
      <c r="J1019" s="1109"/>
      <c r="K1019" s="1109"/>
      <c r="L1019" s="1597"/>
      <c r="M1019" s="1598"/>
      <c r="N1019" s="1119"/>
    </row>
    <row r="1020" spans="2:14" x14ac:dyDescent="0.3">
      <c r="B1020" s="850"/>
      <c r="C1020" s="461"/>
      <c r="D1020" s="461"/>
      <c r="E1020" s="461"/>
      <c r="F1020" s="1120"/>
      <c r="G1020" s="1120"/>
      <c r="H1020" s="1120"/>
      <c r="I1020" s="1120"/>
      <c r="J1020" s="1120"/>
      <c r="K1020" s="1120"/>
      <c r="L1020" s="1120"/>
      <c r="M1020" s="1121" t="s">
        <v>24702</v>
      </c>
      <c r="N1020" s="1122">
        <f>SUM(N1017:N1019)</f>
        <v>0</v>
      </c>
    </row>
    <row r="1021" spans="2:14" x14ac:dyDescent="0.3">
      <c r="B1021" s="850"/>
      <c r="C1021" s="461"/>
      <c r="D1021" s="461"/>
      <c r="E1021" s="461"/>
      <c r="F1021" s="461"/>
      <c r="G1021" s="461"/>
      <c r="H1021" s="461"/>
      <c r="I1021" s="461"/>
      <c r="J1021" s="461"/>
      <c r="K1021" s="461"/>
      <c r="L1021" s="461"/>
      <c r="M1021" s="461"/>
      <c r="N1021" s="1113"/>
    </row>
    <row r="1022" spans="2:14" x14ac:dyDescent="0.3">
      <c r="B1022" s="1131"/>
      <c r="C1022" s="1132"/>
      <c r="D1022" s="1132"/>
      <c r="E1022" s="1132"/>
      <c r="F1022" s="1133"/>
      <c r="G1022" s="1133"/>
      <c r="H1022" s="1133"/>
      <c r="I1022" s="1133"/>
      <c r="J1022" s="1133"/>
      <c r="K1022" s="1133"/>
      <c r="L1022" s="1133"/>
      <c r="M1022" s="1134" t="s">
        <v>24703</v>
      </c>
      <c r="N1022" s="1123">
        <f>N1002+N1009+N1014+N1020</f>
        <v>1029.6400000000001</v>
      </c>
    </row>
    <row r="1023" spans="2:14" x14ac:dyDescent="0.3">
      <c r="B1023" s="850"/>
      <c r="C1023" s="461"/>
      <c r="D1023" s="461"/>
      <c r="E1023" s="461"/>
      <c r="F1023" s="1120"/>
      <c r="G1023" s="1120"/>
      <c r="H1023" s="1120"/>
      <c r="I1023" s="1120"/>
      <c r="J1023" s="1120"/>
      <c r="K1023" s="1120"/>
      <c r="L1023" s="1120"/>
      <c r="M1023" s="1136">
        <f>'QUIOSQUE - MOD 01'!I3</f>
        <v>0.28220000000000001</v>
      </c>
      <c r="N1023" s="1123">
        <f>ROUND(N1022*M1023,2)</f>
        <v>290.56</v>
      </c>
    </row>
    <row r="1024" spans="2:14" ht="15.75" thickBot="1" x14ac:dyDescent="0.35">
      <c r="B1024" s="1599" t="s">
        <v>24704</v>
      </c>
      <c r="C1024" s="1600"/>
      <c r="D1024" s="1600"/>
      <c r="E1024" s="1600"/>
      <c r="F1024" s="1600"/>
      <c r="G1024" s="1600"/>
      <c r="H1024" s="1600"/>
      <c r="I1024" s="1600"/>
      <c r="J1024" s="1600"/>
      <c r="K1024" s="1600"/>
      <c r="L1024" s="1600"/>
      <c r="M1024" s="1601"/>
      <c r="N1024" s="1126">
        <f>N1022+N1023</f>
        <v>1320.2</v>
      </c>
    </row>
    <row r="1026" spans="2:14" ht="15.75" thickBot="1" x14ac:dyDescent="0.35"/>
    <row r="1027" spans="2:14" ht="42" customHeight="1" x14ac:dyDescent="0.3">
      <c r="B1027" s="1607" t="s">
        <v>25310</v>
      </c>
      <c r="C1027" s="1608"/>
      <c r="D1027" s="1609"/>
      <c r="E1027" s="1610" t="s">
        <v>24669</v>
      </c>
      <c r="F1027" s="1610"/>
      <c r="G1027" s="1610"/>
      <c r="H1027" s="1610"/>
      <c r="I1027" s="1610"/>
      <c r="J1027" s="1610"/>
      <c r="K1027" s="1610"/>
      <c r="L1027" s="1146"/>
      <c r="M1027" s="1611"/>
      <c r="N1027" s="1577"/>
    </row>
    <row r="1028" spans="2:14" x14ac:dyDescent="0.3">
      <c r="B1028" s="1103" t="s">
        <v>24670</v>
      </c>
      <c r="C1028" s="1586" t="s">
        <v>24830</v>
      </c>
      <c r="D1028" s="1586"/>
      <c r="E1028" s="1586"/>
      <c r="F1028" s="1586"/>
      <c r="G1028" s="1586"/>
      <c r="H1028" s="1586"/>
      <c r="I1028" s="1586"/>
      <c r="J1028" s="1586"/>
      <c r="K1028" s="1586"/>
      <c r="L1028" s="1586"/>
      <c r="M1028" s="1586"/>
      <c r="N1028" s="1587"/>
    </row>
    <row r="1029" spans="2:14" x14ac:dyDescent="0.3">
      <c r="B1029" s="1103" t="s">
        <v>24671</v>
      </c>
      <c r="C1029" s="1588" t="s">
        <v>8</v>
      </c>
      <c r="D1029" s="1588"/>
      <c r="E1029" s="1588"/>
      <c r="F1029" s="1588"/>
      <c r="G1029" s="1588"/>
      <c r="H1029" s="1588"/>
      <c r="I1029" s="1588"/>
      <c r="J1029" s="1588"/>
      <c r="K1029" s="1588"/>
      <c r="L1029" s="1588"/>
      <c r="M1029" s="1588"/>
      <c r="N1029" s="1589"/>
    </row>
    <row r="1030" spans="2:14" ht="15.75" thickBot="1" x14ac:dyDescent="0.35">
      <c r="B1030" s="1103" t="s">
        <v>24672</v>
      </c>
      <c r="C1030" s="1590">
        <v>44501</v>
      </c>
      <c r="D1030" s="1591"/>
      <c r="E1030" s="1591"/>
      <c r="F1030" s="1591"/>
      <c r="G1030" s="1591"/>
      <c r="H1030" s="1591"/>
      <c r="I1030" s="1591"/>
      <c r="J1030" s="1591"/>
      <c r="K1030" s="1591"/>
      <c r="L1030" s="1591"/>
      <c r="M1030" s="1591"/>
      <c r="N1030" s="1592"/>
    </row>
    <row r="1031" spans="2:14" ht="30" x14ac:dyDescent="0.3">
      <c r="B1031" s="1104" t="s">
        <v>0</v>
      </c>
      <c r="C1031" s="1105" t="s">
        <v>24673</v>
      </c>
      <c r="D1031" s="1593" t="s">
        <v>24674</v>
      </c>
      <c r="E1031" s="1593"/>
      <c r="F1031" s="1593"/>
      <c r="G1031" s="1594"/>
      <c r="H1031" s="1106" t="s">
        <v>111</v>
      </c>
      <c r="I1031" s="1106" t="s">
        <v>24675</v>
      </c>
      <c r="J1031" s="1106" t="s">
        <v>24676</v>
      </c>
      <c r="K1031" s="1106" t="s">
        <v>24677</v>
      </c>
      <c r="L1031" s="1106"/>
      <c r="M1031" s="1106" t="s">
        <v>24678</v>
      </c>
      <c r="N1031" s="1114" t="s">
        <v>24679</v>
      </c>
    </row>
    <row r="1032" spans="2:14" x14ac:dyDescent="0.3">
      <c r="B1032" s="1115"/>
      <c r="C1032" s="1108"/>
      <c r="D1032" s="1595"/>
      <c r="E1032" s="1595"/>
      <c r="F1032" s="1595"/>
      <c r="G1032" s="1596"/>
      <c r="H1032" s="1109"/>
      <c r="I1032" s="1109"/>
      <c r="J1032" s="1109"/>
      <c r="K1032" s="1109"/>
      <c r="L1032" s="1109"/>
      <c r="M1032" s="1109"/>
      <c r="N1032" s="1119"/>
    </row>
    <row r="1033" spans="2:14" ht="15.75" thickBot="1" x14ac:dyDescent="0.35">
      <c r="B1033" s="855"/>
      <c r="C1033" s="954"/>
      <c r="D1033" s="954"/>
      <c r="E1033" s="954"/>
      <c r="F1033" s="1110"/>
      <c r="G1033" s="1110"/>
      <c r="H1033" s="1110"/>
      <c r="I1033" s="1110"/>
      <c r="J1033" s="1110"/>
      <c r="K1033" s="1110"/>
      <c r="L1033" s="1110"/>
      <c r="M1033" s="1111" t="s">
        <v>24680</v>
      </c>
      <c r="N1033" s="1112">
        <f>SUM(N1032)</f>
        <v>0</v>
      </c>
    </row>
    <row r="1034" spans="2:14" ht="15.75" thickBot="1" x14ac:dyDescent="0.35">
      <c r="B1034" s="850"/>
      <c r="C1034" s="461"/>
      <c r="D1034" s="461"/>
      <c r="E1034" s="461"/>
      <c r="F1034" s="461"/>
      <c r="G1034" s="461"/>
      <c r="H1034" s="461"/>
      <c r="I1034" s="461"/>
      <c r="J1034" s="461"/>
      <c r="K1034" s="461"/>
      <c r="L1034" s="461"/>
      <c r="M1034" s="461"/>
      <c r="N1034" s="1113"/>
    </row>
    <row r="1035" spans="2:14" ht="45" x14ac:dyDescent="0.3">
      <c r="B1035" s="1104" t="s">
        <v>0</v>
      </c>
      <c r="C1035" s="1105" t="s">
        <v>24673</v>
      </c>
      <c r="D1035" s="1593" t="s">
        <v>24681</v>
      </c>
      <c r="E1035" s="1593"/>
      <c r="F1035" s="1593"/>
      <c r="G1035" s="1593"/>
      <c r="H1035" s="1594"/>
      <c r="I1035" s="1106" t="s">
        <v>3686</v>
      </c>
      <c r="J1035" s="1106" t="s">
        <v>24682</v>
      </c>
      <c r="K1035" s="1106" t="s">
        <v>24861</v>
      </c>
      <c r="L1035" s="1106" t="s">
        <v>24862</v>
      </c>
      <c r="M1035" s="1106" t="s">
        <v>24683</v>
      </c>
      <c r="N1035" s="1114" t="s">
        <v>24679</v>
      </c>
    </row>
    <row r="1036" spans="2:14" x14ac:dyDescent="0.3">
      <c r="B1036" s="1115">
        <v>10101</v>
      </c>
      <c r="C1036" s="1116" t="s">
        <v>4389</v>
      </c>
      <c r="D1036" s="1604" t="s">
        <v>24788</v>
      </c>
      <c r="E1036" s="1604"/>
      <c r="F1036" s="1604"/>
      <c r="G1036" s="1604"/>
      <c r="H1036" s="1605"/>
      <c r="I1036" s="1109" t="s">
        <v>75</v>
      </c>
      <c r="J1036" s="1117">
        <v>1.5727</v>
      </c>
      <c r="K1036" s="1143">
        <v>6.27</v>
      </c>
      <c r="L1036" s="1143">
        <f>K1036*(1+J1036)</f>
        <v>16.13</v>
      </c>
      <c r="M1036" s="1118">
        <v>0.3</v>
      </c>
      <c r="N1036" s="1119">
        <f>M1036*L1036</f>
        <v>4.84</v>
      </c>
    </row>
    <row r="1037" spans="2:14" x14ac:dyDescent="0.3">
      <c r="B1037" s="1115">
        <v>10115</v>
      </c>
      <c r="C1037" s="1116" t="s">
        <v>4389</v>
      </c>
      <c r="D1037" s="1604" t="s">
        <v>24771</v>
      </c>
      <c r="E1037" s="1604"/>
      <c r="F1037" s="1604"/>
      <c r="G1037" s="1604"/>
      <c r="H1037" s="1605"/>
      <c r="I1037" s="1109" t="s">
        <v>75</v>
      </c>
      <c r="J1037" s="1117">
        <v>1.5727</v>
      </c>
      <c r="K1037" s="1143">
        <v>7.43</v>
      </c>
      <c r="L1037" s="1143">
        <f>K1037*(1+J1037)</f>
        <v>19.12</v>
      </c>
      <c r="M1037" s="1118">
        <v>0.3</v>
      </c>
      <c r="N1037" s="1119">
        <f>M1037*L1037</f>
        <v>5.74</v>
      </c>
    </row>
    <row r="1038" spans="2:14" ht="15.75" thickBot="1" x14ac:dyDescent="0.35">
      <c r="B1038" s="855"/>
      <c r="C1038" s="954"/>
      <c r="D1038" s="954"/>
      <c r="E1038" s="954"/>
      <c r="F1038" s="1110"/>
      <c r="G1038" s="1110"/>
      <c r="H1038" s="1110"/>
      <c r="I1038" s="1110"/>
      <c r="J1038" s="1110"/>
      <c r="K1038" s="1110"/>
      <c r="L1038" s="1110"/>
      <c r="M1038" s="1111" t="s">
        <v>24684</v>
      </c>
      <c r="N1038" s="1112">
        <f>SUM(N1036:N1037)</f>
        <v>10.58</v>
      </c>
    </row>
    <row r="1039" spans="2:14" ht="15.75" thickBot="1" x14ac:dyDescent="0.35">
      <c r="B1039" s="850"/>
      <c r="C1039" s="461"/>
      <c r="D1039" s="461"/>
      <c r="E1039" s="461"/>
      <c r="F1039" s="461"/>
      <c r="G1039" s="461"/>
      <c r="H1039" s="461"/>
      <c r="I1039" s="1120"/>
      <c r="J1039" s="1120"/>
      <c r="K1039" s="461"/>
      <c r="L1039" s="461"/>
      <c r="M1039" s="461"/>
      <c r="N1039" s="1113"/>
    </row>
    <row r="1040" spans="2:14" ht="30" x14ac:dyDescent="0.3">
      <c r="B1040" s="1104" t="s">
        <v>0</v>
      </c>
      <c r="C1040" s="1105" t="s">
        <v>24673</v>
      </c>
      <c r="D1040" s="1593" t="s">
        <v>24685</v>
      </c>
      <c r="E1040" s="1593"/>
      <c r="F1040" s="1593"/>
      <c r="G1040" s="1593"/>
      <c r="H1040" s="1594"/>
      <c r="I1040" s="1106" t="s">
        <v>2858</v>
      </c>
      <c r="J1040" s="1106" t="s">
        <v>24686</v>
      </c>
      <c r="K1040" s="1106" t="s">
        <v>24687</v>
      </c>
      <c r="L1040" s="1106"/>
      <c r="M1040" s="1106" t="s">
        <v>24688</v>
      </c>
      <c r="N1040" s="1114" t="s">
        <v>24689</v>
      </c>
    </row>
    <row r="1041" spans="2:14" x14ac:dyDescent="0.3">
      <c r="B1041" s="1115"/>
      <c r="C1041" s="1116"/>
      <c r="D1041" s="1604"/>
      <c r="E1041" s="1604"/>
      <c r="F1041" s="1604"/>
      <c r="G1041" s="1604"/>
      <c r="H1041" s="1605"/>
      <c r="I1041" s="1109"/>
      <c r="J1041" s="1109"/>
      <c r="K1041" s="1109"/>
      <c r="L1041" s="1109"/>
      <c r="M1041" s="1109"/>
      <c r="N1041" s="1119"/>
    </row>
    <row r="1042" spans="2:14" x14ac:dyDescent="0.3">
      <c r="B1042" s="850"/>
      <c r="C1042" s="461"/>
      <c r="D1042" s="461"/>
      <c r="E1042" s="461"/>
      <c r="F1042" s="1120"/>
      <c r="G1042" s="1120"/>
      <c r="H1042" s="1120"/>
      <c r="I1042" s="1120"/>
      <c r="J1042" s="1120"/>
      <c r="K1042" s="1120"/>
      <c r="L1042" s="1120"/>
      <c r="M1042" s="1121" t="s">
        <v>24690</v>
      </c>
      <c r="N1042" s="1122">
        <f>SUM(N1041:N1041)</f>
        <v>0</v>
      </c>
    </row>
    <row r="1043" spans="2:14" x14ac:dyDescent="0.3">
      <c r="B1043" s="850"/>
      <c r="C1043" s="461"/>
      <c r="D1043" s="461"/>
      <c r="E1043" s="461"/>
      <c r="F1043" s="461"/>
      <c r="G1043" s="461"/>
      <c r="H1043" s="461"/>
      <c r="I1043" s="461"/>
      <c r="J1043" s="461"/>
      <c r="K1043" s="461"/>
      <c r="L1043" s="461"/>
      <c r="M1043" s="461"/>
      <c r="N1043" s="1113"/>
    </row>
    <row r="1044" spans="2:14" x14ac:dyDescent="0.3">
      <c r="B1044" s="850"/>
      <c r="C1044" s="461"/>
      <c r="D1044" s="461"/>
      <c r="E1044" s="461"/>
      <c r="F1044" s="1120"/>
      <c r="G1044" s="1120"/>
      <c r="H1044" s="1120"/>
      <c r="I1044" s="863"/>
      <c r="J1044" s="863"/>
      <c r="K1044" s="863"/>
      <c r="L1044" s="863"/>
      <c r="M1044" s="1121" t="s">
        <v>24691</v>
      </c>
      <c r="N1044" s="1123">
        <f>N1033+N1038+N1042</f>
        <v>10.58</v>
      </c>
    </row>
    <row r="1045" spans="2:14" x14ac:dyDescent="0.3">
      <c r="B1045" s="850"/>
      <c r="C1045" s="461"/>
      <c r="D1045" s="461"/>
      <c r="E1045" s="461"/>
      <c r="F1045" s="1120"/>
      <c r="G1045" s="1120"/>
      <c r="H1045" s="1120"/>
      <c r="I1045" s="1120"/>
      <c r="J1045" s="1124"/>
      <c r="K1045" s="1124"/>
      <c r="L1045" s="1124"/>
      <c r="M1045" s="1125" t="s">
        <v>24692</v>
      </c>
      <c r="N1045" s="1123">
        <v>1</v>
      </c>
    </row>
    <row r="1046" spans="2:14" ht="15.75" thickBot="1" x14ac:dyDescent="0.35">
      <c r="B1046" s="855"/>
      <c r="C1046" s="954"/>
      <c r="D1046" s="954"/>
      <c r="E1046" s="954"/>
      <c r="F1046" s="1110"/>
      <c r="G1046" s="1110"/>
      <c r="H1046" s="1110"/>
      <c r="I1046" s="1110"/>
      <c r="J1046" s="1110"/>
      <c r="K1046" s="1110"/>
      <c r="L1046" s="1110"/>
      <c r="M1046" s="1111" t="s">
        <v>24693</v>
      </c>
      <c r="N1046" s="1126">
        <f>TRUNC(N1044/N1045,2)</f>
        <v>10.58</v>
      </c>
    </row>
    <row r="1047" spans="2:14" ht="15.75" thickBot="1" x14ac:dyDescent="0.35">
      <c r="B1047" s="850"/>
      <c r="C1047" s="461"/>
      <c r="D1047" s="461"/>
      <c r="E1047" s="461"/>
      <c r="F1047" s="461"/>
      <c r="G1047" s="461"/>
      <c r="H1047" s="461"/>
      <c r="I1047" s="461"/>
      <c r="J1047" s="461"/>
      <c r="K1047" s="461"/>
      <c r="L1047" s="461"/>
      <c r="M1047" s="461"/>
      <c r="N1047" s="1113"/>
    </row>
    <row r="1048" spans="2:14" ht="30" x14ac:dyDescent="0.3">
      <c r="B1048" s="1104" t="s">
        <v>0</v>
      </c>
      <c r="C1048" s="1105" t="s">
        <v>24673</v>
      </c>
      <c r="D1048" s="1593" t="s">
        <v>24694</v>
      </c>
      <c r="E1048" s="1593"/>
      <c r="F1048" s="1593"/>
      <c r="G1048" s="1593"/>
      <c r="H1048" s="1593"/>
      <c r="I1048" s="1594"/>
      <c r="J1048" s="1106" t="s">
        <v>3686</v>
      </c>
      <c r="K1048" s="1106" t="s">
        <v>24695</v>
      </c>
      <c r="L1048" s="1106"/>
      <c r="M1048" s="1106" t="s">
        <v>24683</v>
      </c>
      <c r="N1048" s="1114" t="s">
        <v>24689</v>
      </c>
    </row>
    <row r="1049" spans="2:14" ht="30" x14ac:dyDescent="0.3">
      <c r="B1049" s="1115"/>
      <c r="C1049" s="1116" t="s">
        <v>24708</v>
      </c>
      <c r="D1049" s="1604" t="s">
        <v>24830</v>
      </c>
      <c r="E1049" s="1604"/>
      <c r="F1049" s="1604"/>
      <c r="G1049" s="1604"/>
      <c r="H1049" s="1604"/>
      <c r="I1049" s="1605"/>
      <c r="J1049" s="1109" t="s">
        <v>24755</v>
      </c>
      <c r="K1049" s="1143">
        <f>'MAPA DE COT. - Quiosque'!H225</f>
        <v>9.76</v>
      </c>
      <c r="L1049" s="1143"/>
      <c r="M1049" s="1118">
        <v>1</v>
      </c>
      <c r="N1049" s="1119">
        <f>K1049*M1049</f>
        <v>9.76</v>
      </c>
    </row>
    <row r="1050" spans="2:14" x14ac:dyDescent="0.3">
      <c r="B1050" s="1115"/>
      <c r="C1050" s="1116"/>
      <c r="D1050" s="1604"/>
      <c r="E1050" s="1604"/>
      <c r="F1050" s="1604"/>
      <c r="G1050" s="1604"/>
      <c r="H1050" s="1604"/>
      <c r="I1050" s="1605"/>
      <c r="J1050" s="1109"/>
      <c r="K1050" s="1109"/>
      <c r="L1050" s="1109"/>
      <c r="M1050" s="1118"/>
      <c r="N1050" s="1119"/>
    </row>
    <row r="1051" spans="2:14" ht="15.75" thickBot="1" x14ac:dyDescent="0.35">
      <c r="B1051" s="855"/>
      <c r="C1051" s="954"/>
      <c r="D1051" s="954"/>
      <c r="E1051" s="954"/>
      <c r="F1051" s="1110"/>
      <c r="G1051" s="1110"/>
      <c r="H1051" s="1110"/>
      <c r="I1051" s="1110"/>
      <c r="J1051" s="1110"/>
      <c r="K1051" s="1110"/>
      <c r="L1051" s="1110"/>
      <c r="M1051" s="1111" t="s">
        <v>24696</v>
      </c>
      <c r="N1051" s="1112">
        <f>SUM(N1049:N1049)</f>
        <v>9.76</v>
      </c>
    </row>
    <row r="1052" spans="2:14" ht="15.75" thickBot="1" x14ac:dyDescent="0.35">
      <c r="B1052" s="850"/>
      <c r="C1052" s="461"/>
      <c r="D1052" s="461"/>
      <c r="E1052" s="461"/>
      <c r="F1052" s="461"/>
      <c r="G1052" s="461"/>
      <c r="H1052" s="461"/>
      <c r="I1052" s="461"/>
      <c r="J1052" s="461"/>
      <c r="K1052" s="461"/>
      <c r="L1052" s="461"/>
      <c r="M1052" s="461"/>
      <c r="N1052" s="1113"/>
    </row>
    <row r="1053" spans="2:14" ht="30" x14ac:dyDescent="0.3">
      <c r="B1053" s="1104" t="s">
        <v>0</v>
      </c>
      <c r="C1053" s="1106" t="s">
        <v>24673</v>
      </c>
      <c r="D1053" s="1593" t="s">
        <v>24697</v>
      </c>
      <c r="E1053" s="1593"/>
      <c r="F1053" s="1593"/>
      <c r="G1053" s="1593"/>
      <c r="H1053" s="1593"/>
      <c r="I1053" s="1594"/>
      <c r="J1053" s="1106" t="s">
        <v>3686</v>
      </c>
      <c r="K1053" s="1106" t="s">
        <v>24695</v>
      </c>
      <c r="L1053" s="1106"/>
      <c r="M1053" s="1106" t="s">
        <v>24683</v>
      </c>
      <c r="N1053" s="1114" t="s">
        <v>24689</v>
      </c>
    </row>
    <row r="1054" spans="2:14" x14ac:dyDescent="0.3">
      <c r="B1054" s="1127"/>
      <c r="C1054" s="1128"/>
      <c r="D1054" s="1604"/>
      <c r="E1054" s="1604"/>
      <c r="F1054" s="1604"/>
      <c r="G1054" s="1604"/>
      <c r="H1054" s="1604"/>
      <c r="I1054" s="1605"/>
      <c r="J1054" s="462"/>
      <c r="K1054" s="462"/>
      <c r="L1054" s="462"/>
      <c r="M1054" s="1147"/>
      <c r="N1054" s="1130"/>
    </row>
    <row r="1055" spans="2:14" ht="15.75" thickBot="1" x14ac:dyDescent="0.35">
      <c r="B1055" s="855"/>
      <c r="C1055" s="954"/>
      <c r="D1055" s="954"/>
      <c r="E1055" s="954"/>
      <c r="F1055" s="1110"/>
      <c r="G1055" s="1110"/>
      <c r="H1055" s="1110"/>
      <c r="I1055" s="1110"/>
      <c r="J1055" s="1110"/>
      <c r="K1055" s="1110"/>
      <c r="L1055" s="1110"/>
      <c r="M1055" s="1111" t="s">
        <v>24698</v>
      </c>
      <c r="N1055" s="1112">
        <f>SUM(N1054:N1054)</f>
        <v>0</v>
      </c>
    </row>
    <row r="1056" spans="2:14" ht="15.75" thickBot="1" x14ac:dyDescent="0.35">
      <c r="B1056" s="850"/>
      <c r="C1056" s="461"/>
      <c r="D1056" s="461"/>
      <c r="E1056" s="461"/>
      <c r="F1056" s="461"/>
      <c r="G1056" s="461"/>
      <c r="H1056" s="461"/>
      <c r="I1056" s="461"/>
      <c r="J1056" s="461"/>
      <c r="K1056" s="461"/>
      <c r="L1056" s="461"/>
      <c r="M1056" s="461"/>
      <c r="N1056" s="1113"/>
    </row>
    <row r="1057" spans="2:14" ht="30" x14ac:dyDescent="0.3">
      <c r="B1057" s="1104" t="s">
        <v>0</v>
      </c>
      <c r="C1057" s="1106" t="s">
        <v>24673</v>
      </c>
      <c r="D1057" s="1593" t="s">
        <v>24699</v>
      </c>
      <c r="E1057" s="1593"/>
      <c r="F1057" s="1593"/>
      <c r="G1057" s="1594"/>
      <c r="H1057" s="1106" t="s">
        <v>3686</v>
      </c>
      <c r="I1057" s="1106" t="s">
        <v>24700</v>
      </c>
      <c r="J1057" s="1106" t="s">
        <v>24701</v>
      </c>
      <c r="K1057" s="1106" t="s">
        <v>24695</v>
      </c>
      <c r="L1057" s="1106"/>
      <c r="M1057" s="1106" t="s">
        <v>24683</v>
      </c>
      <c r="N1057" s="1114" t="s">
        <v>24689</v>
      </c>
    </row>
    <row r="1058" spans="2:14" x14ac:dyDescent="0.3">
      <c r="B1058" s="1115"/>
      <c r="C1058" s="1116"/>
      <c r="D1058" s="1595"/>
      <c r="E1058" s="1595"/>
      <c r="F1058" s="1595"/>
      <c r="G1058" s="1595"/>
      <c r="H1058" s="1109"/>
      <c r="I1058" s="1109"/>
      <c r="J1058" s="1109"/>
      <c r="K1058" s="1109"/>
      <c r="L1058" s="1109"/>
      <c r="M1058" s="1118"/>
      <c r="N1058" s="1119"/>
    </row>
    <row r="1059" spans="2:14" x14ac:dyDescent="0.3">
      <c r="B1059" s="850"/>
      <c r="C1059" s="461"/>
      <c r="D1059" s="461"/>
      <c r="E1059" s="461"/>
      <c r="F1059" s="1120"/>
      <c r="G1059" s="1120"/>
      <c r="H1059" s="1120"/>
      <c r="I1059" s="1120"/>
      <c r="J1059" s="1120"/>
      <c r="K1059" s="1120"/>
      <c r="L1059" s="1120"/>
      <c r="M1059" s="1121" t="s">
        <v>24702</v>
      </c>
      <c r="N1059" s="1122">
        <f>SUM(N1058:N1058)</f>
        <v>0</v>
      </c>
    </row>
    <row r="1060" spans="2:14" x14ac:dyDescent="0.3">
      <c r="B1060" s="850"/>
      <c r="C1060" s="461"/>
      <c r="D1060" s="461"/>
      <c r="E1060" s="461"/>
      <c r="F1060" s="461"/>
      <c r="G1060" s="461"/>
      <c r="H1060" s="461"/>
      <c r="I1060" s="461"/>
      <c r="J1060" s="461"/>
      <c r="K1060" s="461"/>
      <c r="L1060" s="461"/>
      <c r="M1060" s="461"/>
      <c r="N1060" s="1113"/>
    </row>
    <row r="1061" spans="2:14" x14ac:dyDescent="0.3">
      <c r="B1061" s="1131"/>
      <c r="C1061" s="1132"/>
      <c r="D1061" s="1132"/>
      <c r="E1061" s="1132"/>
      <c r="F1061" s="1133"/>
      <c r="G1061" s="1133"/>
      <c r="H1061" s="1133"/>
      <c r="I1061" s="1133"/>
      <c r="J1061" s="1133"/>
      <c r="K1061" s="1133"/>
      <c r="L1061" s="1133"/>
      <c r="M1061" s="1134" t="s">
        <v>24703</v>
      </c>
      <c r="N1061" s="1123">
        <f>N1046+N1051+N1055+N1059</f>
        <v>20.34</v>
      </c>
    </row>
    <row r="1062" spans="2:14" x14ac:dyDescent="0.3">
      <c r="B1062" s="850"/>
      <c r="C1062" s="461"/>
      <c r="D1062" s="461"/>
      <c r="E1062" s="461"/>
      <c r="F1062" s="1120"/>
      <c r="G1062" s="1120"/>
      <c r="H1062" s="1120"/>
      <c r="I1062" s="1120"/>
      <c r="J1062" s="1120"/>
      <c r="K1062" s="1120"/>
      <c r="L1062" s="1120"/>
      <c r="M1062" s="1136">
        <f>'QUIOSQUE - MOD 01'!I3</f>
        <v>0.28220000000000001</v>
      </c>
      <c r="N1062" s="1123">
        <f>N1061*M1062</f>
        <v>5.74</v>
      </c>
    </row>
    <row r="1063" spans="2:14" ht="15.75" thickBot="1" x14ac:dyDescent="0.35">
      <c r="B1063" s="1599" t="s">
        <v>24704</v>
      </c>
      <c r="C1063" s="1600"/>
      <c r="D1063" s="1600"/>
      <c r="E1063" s="1600"/>
      <c r="F1063" s="1600"/>
      <c r="G1063" s="1600"/>
      <c r="H1063" s="1600"/>
      <c r="I1063" s="1600"/>
      <c r="J1063" s="1600"/>
      <c r="K1063" s="1600"/>
      <c r="L1063" s="1600"/>
      <c r="M1063" s="1601"/>
      <c r="N1063" s="1126">
        <f>N1061+N1062</f>
        <v>26.08</v>
      </c>
    </row>
    <row r="1065" spans="2:14" ht="15.75" thickBot="1" x14ac:dyDescent="0.35"/>
    <row r="1066" spans="2:14" ht="45.75" customHeight="1" x14ac:dyDescent="0.3">
      <c r="B1066" s="1607" t="s">
        <v>25311</v>
      </c>
      <c r="C1066" s="1608"/>
      <c r="D1066" s="1609"/>
      <c r="E1066" s="1610" t="s">
        <v>24669</v>
      </c>
      <c r="F1066" s="1610"/>
      <c r="G1066" s="1610"/>
      <c r="H1066" s="1610"/>
      <c r="I1066" s="1610"/>
      <c r="J1066" s="1610"/>
      <c r="K1066" s="1610"/>
      <c r="L1066" s="1146"/>
      <c r="M1066" s="1611"/>
      <c r="N1066" s="1577"/>
    </row>
    <row r="1067" spans="2:14" x14ac:dyDescent="0.3">
      <c r="B1067" s="1103" t="s">
        <v>24670</v>
      </c>
      <c r="C1067" s="1586" t="s">
        <v>24823</v>
      </c>
      <c r="D1067" s="1586"/>
      <c r="E1067" s="1586"/>
      <c r="F1067" s="1586"/>
      <c r="G1067" s="1586"/>
      <c r="H1067" s="1586"/>
      <c r="I1067" s="1586"/>
      <c r="J1067" s="1586"/>
      <c r="K1067" s="1586"/>
      <c r="L1067" s="1586"/>
      <c r="M1067" s="1586"/>
      <c r="N1067" s="1587"/>
    </row>
    <row r="1068" spans="2:14" x14ac:dyDescent="0.3">
      <c r="B1068" s="1103" t="s">
        <v>24671</v>
      </c>
      <c r="C1068" s="1588" t="s">
        <v>8</v>
      </c>
      <c r="D1068" s="1588"/>
      <c r="E1068" s="1588"/>
      <c r="F1068" s="1588"/>
      <c r="G1068" s="1588"/>
      <c r="H1068" s="1588"/>
      <c r="I1068" s="1588"/>
      <c r="J1068" s="1588"/>
      <c r="K1068" s="1588"/>
      <c r="L1068" s="1588"/>
      <c r="M1068" s="1588"/>
      <c r="N1068" s="1589"/>
    </row>
    <row r="1069" spans="2:14" ht="15.75" thickBot="1" x14ac:dyDescent="0.35">
      <c r="B1069" s="1103" t="s">
        <v>24672</v>
      </c>
      <c r="C1069" s="1590">
        <v>44501</v>
      </c>
      <c r="D1069" s="1591"/>
      <c r="E1069" s="1591"/>
      <c r="F1069" s="1591"/>
      <c r="G1069" s="1591"/>
      <c r="H1069" s="1591"/>
      <c r="I1069" s="1591"/>
      <c r="J1069" s="1591"/>
      <c r="K1069" s="1591"/>
      <c r="L1069" s="1591"/>
      <c r="M1069" s="1591"/>
      <c r="N1069" s="1592"/>
    </row>
    <row r="1070" spans="2:14" ht="30" x14ac:dyDescent="0.3">
      <c r="B1070" s="1104" t="s">
        <v>0</v>
      </c>
      <c r="C1070" s="1105" t="s">
        <v>24673</v>
      </c>
      <c r="D1070" s="1593" t="s">
        <v>24674</v>
      </c>
      <c r="E1070" s="1593"/>
      <c r="F1070" s="1593"/>
      <c r="G1070" s="1594"/>
      <c r="H1070" s="1106" t="s">
        <v>111</v>
      </c>
      <c r="I1070" s="1106" t="s">
        <v>24675</v>
      </c>
      <c r="J1070" s="1106" t="s">
        <v>24676</v>
      </c>
      <c r="K1070" s="1106" t="s">
        <v>24677</v>
      </c>
      <c r="L1070" s="1106"/>
      <c r="M1070" s="1106" t="s">
        <v>24678</v>
      </c>
      <c r="N1070" s="1114" t="s">
        <v>24679</v>
      </c>
    </row>
    <row r="1071" spans="2:14" x14ac:dyDescent="0.3">
      <c r="B1071" s="1115"/>
      <c r="C1071" s="1108"/>
      <c r="D1071" s="1595"/>
      <c r="E1071" s="1595"/>
      <c r="F1071" s="1595"/>
      <c r="G1071" s="1596"/>
      <c r="H1071" s="1109"/>
      <c r="I1071" s="1109"/>
      <c r="J1071" s="1109"/>
      <c r="K1071" s="1109"/>
      <c r="L1071" s="1109"/>
      <c r="M1071" s="1109"/>
      <c r="N1071" s="1119"/>
    </row>
    <row r="1072" spans="2:14" ht="15.75" thickBot="1" x14ac:dyDescent="0.35">
      <c r="B1072" s="855"/>
      <c r="C1072" s="954"/>
      <c r="D1072" s="954"/>
      <c r="E1072" s="954"/>
      <c r="F1072" s="1110"/>
      <c r="G1072" s="1110"/>
      <c r="H1072" s="1110"/>
      <c r="I1072" s="1110"/>
      <c r="J1072" s="1110"/>
      <c r="K1072" s="1110"/>
      <c r="L1072" s="1110"/>
      <c r="M1072" s="1111" t="s">
        <v>24680</v>
      </c>
      <c r="N1072" s="1112">
        <f>SUM(N1071)</f>
        <v>0</v>
      </c>
    </row>
    <row r="1073" spans="2:14" ht="15.75" thickBot="1" x14ac:dyDescent="0.35">
      <c r="B1073" s="850"/>
      <c r="C1073" s="461"/>
      <c r="D1073" s="461"/>
      <c r="E1073" s="461"/>
      <c r="F1073" s="461"/>
      <c r="G1073" s="461"/>
      <c r="H1073" s="461"/>
      <c r="I1073" s="461"/>
      <c r="J1073" s="461"/>
      <c r="K1073" s="461"/>
      <c r="L1073" s="461"/>
      <c r="M1073" s="461"/>
      <c r="N1073" s="1113"/>
    </row>
    <row r="1074" spans="2:14" ht="45" x14ac:dyDescent="0.3">
      <c r="B1074" s="1104" t="s">
        <v>0</v>
      </c>
      <c r="C1074" s="1105" t="s">
        <v>24673</v>
      </c>
      <c r="D1074" s="1593" t="s">
        <v>24681</v>
      </c>
      <c r="E1074" s="1593"/>
      <c r="F1074" s="1593"/>
      <c r="G1074" s="1593"/>
      <c r="H1074" s="1594"/>
      <c r="I1074" s="1106" t="s">
        <v>3686</v>
      </c>
      <c r="J1074" s="1106" t="s">
        <v>24682</v>
      </c>
      <c r="K1074" s="1106" t="s">
        <v>24861</v>
      </c>
      <c r="L1074" s="1106" t="s">
        <v>24862</v>
      </c>
      <c r="M1074" s="1106" t="s">
        <v>24683</v>
      </c>
      <c r="N1074" s="1114" t="s">
        <v>24679</v>
      </c>
    </row>
    <row r="1075" spans="2:14" x14ac:dyDescent="0.3">
      <c r="B1075" s="1115">
        <v>10101</v>
      </c>
      <c r="C1075" s="1116" t="s">
        <v>4389</v>
      </c>
      <c r="D1075" s="1604" t="s">
        <v>24788</v>
      </c>
      <c r="E1075" s="1604"/>
      <c r="F1075" s="1604"/>
      <c r="G1075" s="1604"/>
      <c r="H1075" s="1605"/>
      <c r="I1075" s="1109" t="s">
        <v>75</v>
      </c>
      <c r="J1075" s="1117">
        <v>1.5727</v>
      </c>
      <c r="K1075" s="1143">
        <v>6.27</v>
      </c>
      <c r="L1075" s="1143">
        <f>K1075*(1+J1075)</f>
        <v>16.13</v>
      </c>
      <c r="M1075" s="1118">
        <v>0.3</v>
      </c>
      <c r="N1075" s="1119">
        <f>L1075*M1075</f>
        <v>4.84</v>
      </c>
    </row>
    <row r="1076" spans="2:14" x14ac:dyDescent="0.3">
      <c r="B1076" s="1115">
        <v>10115</v>
      </c>
      <c r="C1076" s="1116" t="s">
        <v>4389</v>
      </c>
      <c r="D1076" s="1604" t="s">
        <v>24771</v>
      </c>
      <c r="E1076" s="1604"/>
      <c r="F1076" s="1604"/>
      <c r="G1076" s="1604"/>
      <c r="H1076" s="1605"/>
      <c r="I1076" s="1109" t="s">
        <v>75</v>
      </c>
      <c r="J1076" s="1117">
        <v>1.5727</v>
      </c>
      <c r="K1076" s="1143">
        <v>7.43</v>
      </c>
      <c r="L1076" s="1143">
        <f>K1076*(1+J1076)</f>
        <v>19.12</v>
      </c>
      <c r="M1076" s="1118">
        <v>0.3</v>
      </c>
      <c r="N1076" s="1119">
        <f>L1076*M1076</f>
        <v>5.74</v>
      </c>
    </row>
    <row r="1077" spans="2:14" ht="15.75" thickBot="1" x14ac:dyDescent="0.35">
      <c r="B1077" s="855"/>
      <c r="C1077" s="954"/>
      <c r="D1077" s="954"/>
      <c r="E1077" s="954"/>
      <c r="F1077" s="1110"/>
      <c r="G1077" s="1110"/>
      <c r="H1077" s="1110"/>
      <c r="I1077" s="1110"/>
      <c r="J1077" s="1110"/>
      <c r="K1077" s="1110"/>
      <c r="L1077" s="1110"/>
      <c r="M1077" s="1111" t="s">
        <v>24684</v>
      </c>
      <c r="N1077" s="1112">
        <f>SUM(N1075:N1076)</f>
        <v>10.58</v>
      </c>
    </row>
    <row r="1078" spans="2:14" ht="15.75" thickBot="1" x14ac:dyDescent="0.35">
      <c r="B1078" s="850"/>
      <c r="C1078" s="461"/>
      <c r="D1078" s="461"/>
      <c r="E1078" s="461"/>
      <c r="F1078" s="461"/>
      <c r="G1078" s="461"/>
      <c r="H1078" s="461"/>
      <c r="I1078" s="1120"/>
      <c r="J1078" s="1120"/>
      <c r="K1078" s="461"/>
      <c r="L1078" s="461"/>
      <c r="M1078" s="461"/>
      <c r="N1078" s="1113"/>
    </row>
    <row r="1079" spans="2:14" ht="30" x14ac:dyDescent="0.3">
      <c r="B1079" s="1104" t="s">
        <v>0</v>
      </c>
      <c r="C1079" s="1105" t="s">
        <v>24673</v>
      </c>
      <c r="D1079" s="1593" t="s">
        <v>24685</v>
      </c>
      <c r="E1079" s="1593"/>
      <c r="F1079" s="1593"/>
      <c r="G1079" s="1593"/>
      <c r="H1079" s="1594"/>
      <c r="I1079" s="1106" t="s">
        <v>2858</v>
      </c>
      <c r="J1079" s="1106" t="s">
        <v>24686</v>
      </c>
      <c r="K1079" s="1106" t="s">
        <v>24687</v>
      </c>
      <c r="L1079" s="1106"/>
      <c r="M1079" s="1106" t="s">
        <v>24688</v>
      </c>
      <c r="N1079" s="1114" t="s">
        <v>24689</v>
      </c>
    </row>
    <row r="1080" spans="2:14" x14ac:dyDescent="0.3">
      <c r="B1080" s="1115"/>
      <c r="C1080" s="1116"/>
      <c r="D1080" s="1604"/>
      <c r="E1080" s="1604"/>
      <c r="F1080" s="1604"/>
      <c r="G1080" s="1604"/>
      <c r="H1080" s="1605"/>
      <c r="I1080" s="1109"/>
      <c r="J1080" s="1109"/>
      <c r="K1080" s="1109"/>
      <c r="L1080" s="1109"/>
      <c r="M1080" s="1109"/>
      <c r="N1080" s="1119"/>
    </row>
    <row r="1081" spans="2:14" x14ac:dyDescent="0.3">
      <c r="B1081" s="850"/>
      <c r="C1081" s="461"/>
      <c r="D1081" s="461"/>
      <c r="E1081" s="461"/>
      <c r="F1081" s="1120"/>
      <c r="G1081" s="1120"/>
      <c r="H1081" s="1120"/>
      <c r="I1081" s="1120"/>
      <c r="J1081" s="1120"/>
      <c r="K1081" s="1120"/>
      <c r="L1081" s="1120"/>
      <c r="M1081" s="1121" t="s">
        <v>24690</v>
      </c>
      <c r="N1081" s="1122">
        <f>SUM(N1080:N1080)</f>
        <v>0</v>
      </c>
    </row>
    <row r="1082" spans="2:14" x14ac:dyDescent="0.3">
      <c r="B1082" s="850"/>
      <c r="C1082" s="461"/>
      <c r="D1082" s="461"/>
      <c r="E1082" s="461"/>
      <c r="F1082" s="461"/>
      <c r="G1082" s="461"/>
      <c r="H1082" s="461"/>
      <c r="I1082" s="461"/>
      <c r="J1082" s="461"/>
      <c r="K1082" s="461"/>
      <c r="L1082" s="461"/>
      <c r="M1082" s="461"/>
      <c r="N1082" s="1113"/>
    </row>
    <row r="1083" spans="2:14" x14ac:dyDescent="0.3">
      <c r="B1083" s="850"/>
      <c r="C1083" s="461"/>
      <c r="D1083" s="461"/>
      <c r="E1083" s="461"/>
      <c r="F1083" s="1120"/>
      <c r="G1083" s="1120"/>
      <c r="H1083" s="1120"/>
      <c r="I1083" s="863"/>
      <c r="J1083" s="863"/>
      <c r="K1083" s="863"/>
      <c r="L1083" s="863"/>
      <c r="M1083" s="1121" t="s">
        <v>24691</v>
      </c>
      <c r="N1083" s="1123">
        <f>N1072+N1077+N1081</f>
        <v>10.58</v>
      </c>
    </row>
    <row r="1084" spans="2:14" x14ac:dyDescent="0.3">
      <c r="B1084" s="850"/>
      <c r="C1084" s="461"/>
      <c r="D1084" s="461"/>
      <c r="E1084" s="461"/>
      <c r="F1084" s="1120"/>
      <c r="G1084" s="1120"/>
      <c r="H1084" s="1120"/>
      <c r="I1084" s="1120"/>
      <c r="J1084" s="1124"/>
      <c r="K1084" s="1124"/>
      <c r="L1084" s="1124"/>
      <c r="M1084" s="1125" t="s">
        <v>24692</v>
      </c>
      <c r="N1084" s="1123">
        <v>1</v>
      </c>
    </row>
    <row r="1085" spans="2:14" ht="15.75" thickBot="1" x14ac:dyDescent="0.35">
      <c r="B1085" s="855"/>
      <c r="C1085" s="954"/>
      <c r="D1085" s="954"/>
      <c r="E1085" s="954"/>
      <c r="F1085" s="1110"/>
      <c r="G1085" s="1110"/>
      <c r="H1085" s="1110"/>
      <c r="I1085" s="1110"/>
      <c r="J1085" s="1110"/>
      <c r="K1085" s="1110"/>
      <c r="L1085" s="1110"/>
      <c r="M1085" s="1111" t="s">
        <v>24693</v>
      </c>
      <c r="N1085" s="1126">
        <f>TRUNC(N1083/N1084,2)</f>
        <v>10.58</v>
      </c>
    </row>
    <row r="1086" spans="2:14" ht="15.75" thickBot="1" x14ac:dyDescent="0.35">
      <c r="B1086" s="850"/>
      <c r="C1086" s="461"/>
      <c r="D1086" s="461"/>
      <c r="E1086" s="461"/>
      <c r="F1086" s="461"/>
      <c r="G1086" s="461"/>
      <c r="H1086" s="461"/>
      <c r="I1086" s="461"/>
      <c r="J1086" s="461"/>
      <c r="K1086" s="461"/>
      <c r="L1086" s="461"/>
      <c r="M1086" s="461"/>
      <c r="N1086" s="1113"/>
    </row>
    <row r="1087" spans="2:14" ht="30" x14ac:dyDescent="0.3">
      <c r="B1087" s="1104" t="s">
        <v>0</v>
      </c>
      <c r="C1087" s="1105" t="s">
        <v>24673</v>
      </c>
      <c r="D1087" s="1593" t="s">
        <v>24694</v>
      </c>
      <c r="E1087" s="1593"/>
      <c r="F1087" s="1593"/>
      <c r="G1087" s="1593"/>
      <c r="H1087" s="1593"/>
      <c r="I1087" s="1594"/>
      <c r="J1087" s="1106" t="s">
        <v>3686</v>
      </c>
      <c r="K1087" s="1106" t="s">
        <v>24695</v>
      </c>
      <c r="L1087" s="1106"/>
      <c r="M1087" s="1106" t="s">
        <v>24683</v>
      </c>
      <c r="N1087" s="1114" t="s">
        <v>24689</v>
      </c>
    </row>
    <row r="1088" spans="2:14" ht="30" x14ac:dyDescent="0.3">
      <c r="B1088" s="1115"/>
      <c r="C1088" s="1116" t="s">
        <v>24708</v>
      </c>
      <c r="D1088" s="1604" t="s">
        <v>24823</v>
      </c>
      <c r="E1088" s="1604"/>
      <c r="F1088" s="1604"/>
      <c r="G1088" s="1604"/>
      <c r="H1088" s="1604"/>
      <c r="I1088" s="1605"/>
      <c r="J1088" s="1109" t="s">
        <v>24755</v>
      </c>
      <c r="K1088" s="1143">
        <f>'MAPA DE COT. - Quiosque'!H212</f>
        <v>12.63</v>
      </c>
      <c r="L1088" s="1143"/>
      <c r="M1088" s="1118">
        <v>1</v>
      </c>
      <c r="N1088" s="1119">
        <f>K1088*M1088</f>
        <v>12.63</v>
      </c>
    </row>
    <row r="1089" spans="2:14" x14ac:dyDescent="0.3">
      <c r="B1089" s="1115"/>
      <c r="C1089" s="1116"/>
      <c r="D1089" s="1604"/>
      <c r="E1089" s="1604"/>
      <c r="F1089" s="1604"/>
      <c r="G1089" s="1604"/>
      <c r="H1089" s="1604"/>
      <c r="I1089" s="1605"/>
      <c r="J1089" s="1109"/>
      <c r="K1089" s="1109"/>
      <c r="L1089" s="1109"/>
      <c r="M1089" s="1118"/>
      <c r="N1089" s="1119"/>
    </row>
    <row r="1090" spans="2:14" ht="15.75" thickBot="1" x14ac:dyDescent="0.35">
      <c r="B1090" s="855"/>
      <c r="C1090" s="954"/>
      <c r="D1090" s="954"/>
      <c r="E1090" s="954"/>
      <c r="F1090" s="1110"/>
      <c r="G1090" s="1110"/>
      <c r="H1090" s="1110"/>
      <c r="I1090" s="1110"/>
      <c r="J1090" s="1110"/>
      <c r="K1090" s="1110"/>
      <c r="L1090" s="1110"/>
      <c r="M1090" s="1111" t="s">
        <v>24696</v>
      </c>
      <c r="N1090" s="1112">
        <f>SUM(N1088:N1088)</f>
        <v>12.63</v>
      </c>
    </row>
    <row r="1091" spans="2:14" ht="15.75" thickBot="1" x14ac:dyDescent="0.35">
      <c r="B1091" s="850"/>
      <c r="C1091" s="461"/>
      <c r="D1091" s="461"/>
      <c r="E1091" s="461"/>
      <c r="F1091" s="461"/>
      <c r="G1091" s="461"/>
      <c r="H1091" s="461"/>
      <c r="I1091" s="461"/>
      <c r="J1091" s="461"/>
      <c r="K1091" s="461"/>
      <c r="L1091" s="461"/>
      <c r="M1091" s="461"/>
      <c r="N1091" s="1113"/>
    </row>
    <row r="1092" spans="2:14" ht="30" x14ac:dyDescent="0.3">
      <c r="B1092" s="1104" t="s">
        <v>0</v>
      </c>
      <c r="C1092" s="1106" t="s">
        <v>24673</v>
      </c>
      <c r="D1092" s="1593" t="s">
        <v>24697</v>
      </c>
      <c r="E1092" s="1593"/>
      <c r="F1092" s="1593"/>
      <c r="G1092" s="1593"/>
      <c r="H1092" s="1593"/>
      <c r="I1092" s="1594"/>
      <c r="J1092" s="1106" t="s">
        <v>3686</v>
      </c>
      <c r="K1092" s="1106" t="s">
        <v>24695</v>
      </c>
      <c r="L1092" s="1106"/>
      <c r="M1092" s="1106" t="s">
        <v>24683</v>
      </c>
      <c r="N1092" s="1114" t="s">
        <v>24689</v>
      </c>
    </row>
    <row r="1093" spans="2:14" x14ac:dyDescent="0.3">
      <c r="B1093" s="1127"/>
      <c r="C1093" s="1128"/>
      <c r="D1093" s="1604"/>
      <c r="E1093" s="1604"/>
      <c r="F1093" s="1604"/>
      <c r="G1093" s="1604"/>
      <c r="H1093" s="1604"/>
      <c r="I1093" s="1605"/>
      <c r="J1093" s="462"/>
      <c r="K1093" s="462"/>
      <c r="L1093" s="462"/>
      <c r="M1093" s="1147"/>
      <c r="N1093" s="1130"/>
    </row>
    <row r="1094" spans="2:14" ht="15.75" thickBot="1" x14ac:dyDescent="0.35">
      <c r="B1094" s="855"/>
      <c r="C1094" s="954"/>
      <c r="D1094" s="954"/>
      <c r="E1094" s="954"/>
      <c r="F1094" s="1110"/>
      <c r="G1094" s="1110"/>
      <c r="H1094" s="1110"/>
      <c r="I1094" s="1110"/>
      <c r="J1094" s="1110"/>
      <c r="K1094" s="1110"/>
      <c r="L1094" s="1110"/>
      <c r="M1094" s="1111" t="s">
        <v>24698</v>
      </c>
      <c r="N1094" s="1112">
        <f>SUM(N1093:N1093)</f>
        <v>0</v>
      </c>
    </row>
    <row r="1095" spans="2:14" ht="15.75" thickBot="1" x14ac:dyDescent="0.35">
      <c r="B1095" s="850"/>
      <c r="C1095" s="461"/>
      <c r="D1095" s="461"/>
      <c r="E1095" s="461"/>
      <c r="F1095" s="461"/>
      <c r="G1095" s="461"/>
      <c r="H1095" s="461"/>
      <c r="I1095" s="461"/>
      <c r="J1095" s="461"/>
      <c r="K1095" s="461"/>
      <c r="L1095" s="461"/>
      <c r="M1095" s="461"/>
      <c r="N1095" s="1113"/>
    </row>
    <row r="1096" spans="2:14" ht="30" x14ac:dyDescent="0.3">
      <c r="B1096" s="1104" t="s">
        <v>0</v>
      </c>
      <c r="C1096" s="1106" t="s">
        <v>24673</v>
      </c>
      <c r="D1096" s="1593" t="s">
        <v>24699</v>
      </c>
      <c r="E1096" s="1593"/>
      <c r="F1096" s="1593"/>
      <c r="G1096" s="1594"/>
      <c r="H1096" s="1106" t="s">
        <v>3686</v>
      </c>
      <c r="I1096" s="1106" t="s">
        <v>24700</v>
      </c>
      <c r="J1096" s="1106" t="s">
        <v>24701</v>
      </c>
      <c r="K1096" s="1106" t="s">
        <v>24695</v>
      </c>
      <c r="L1096" s="1106"/>
      <c r="M1096" s="1106" t="s">
        <v>24683</v>
      </c>
      <c r="N1096" s="1114" t="s">
        <v>24689</v>
      </c>
    </row>
    <row r="1097" spans="2:14" x14ac:dyDescent="0.3">
      <c r="B1097" s="1115"/>
      <c r="C1097" s="1116"/>
      <c r="D1097" s="1595"/>
      <c r="E1097" s="1595"/>
      <c r="F1097" s="1595"/>
      <c r="G1097" s="1595"/>
      <c r="H1097" s="1109"/>
      <c r="I1097" s="1109"/>
      <c r="J1097" s="1109"/>
      <c r="K1097" s="1109"/>
      <c r="L1097" s="1109"/>
      <c r="M1097" s="1118"/>
      <c r="N1097" s="1119"/>
    </row>
    <row r="1098" spans="2:14" x14ac:dyDescent="0.3">
      <c r="B1098" s="850"/>
      <c r="C1098" s="461"/>
      <c r="D1098" s="461"/>
      <c r="E1098" s="461"/>
      <c r="F1098" s="1120"/>
      <c r="G1098" s="1120"/>
      <c r="H1098" s="1120"/>
      <c r="I1098" s="1120"/>
      <c r="J1098" s="1120"/>
      <c r="K1098" s="1120"/>
      <c r="L1098" s="1120"/>
      <c r="M1098" s="1121" t="s">
        <v>24702</v>
      </c>
      <c r="N1098" s="1122">
        <f>SUM(N1097:N1097)</f>
        <v>0</v>
      </c>
    </row>
    <row r="1099" spans="2:14" x14ac:dyDescent="0.3">
      <c r="B1099" s="850"/>
      <c r="C1099" s="461"/>
      <c r="D1099" s="461"/>
      <c r="E1099" s="461"/>
      <c r="F1099" s="461"/>
      <c r="G1099" s="461"/>
      <c r="H1099" s="461"/>
      <c r="I1099" s="461"/>
      <c r="J1099" s="461"/>
      <c r="K1099" s="461"/>
      <c r="L1099" s="461"/>
      <c r="M1099" s="461"/>
      <c r="N1099" s="1113"/>
    </row>
    <row r="1100" spans="2:14" x14ac:dyDescent="0.3">
      <c r="B1100" s="1131"/>
      <c r="C1100" s="1132"/>
      <c r="D1100" s="1132"/>
      <c r="E1100" s="1132"/>
      <c r="F1100" s="1133"/>
      <c r="G1100" s="1133"/>
      <c r="H1100" s="1133"/>
      <c r="I1100" s="1133"/>
      <c r="J1100" s="1133"/>
      <c r="K1100" s="1133"/>
      <c r="L1100" s="1133"/>
      <c r="M1100" s="1134" t="s">
        <v>24703</v>
      </c>
      <c r="N1100" s="1123">
        <f>N1085+N1090+N1094+N1098</f>
        <v>23.21</v>
      </c>
    </row>
    <row r="1101" spans="2:14" x14ac:dyDescent="0.3">
      <c r="B1101" s="850"/>
      <c r="C1101" s="461"/>
      <c r="D1101" s="461"/>
      <c r="E1101" s="461"/>
      <c r="F1101" s="1120"/>
      <c r="G1101" s="1120"/>
      <c r="H1101" s="1120"/>
      <c r="I1101" s="1120"/>
      <c r="J1101" s="1120"/>
      <c r="K1101" s="1120"/>
      <c r="L1101" s="1120"/>
      <c r="M1101" s="1136">
        <f>'QUIOSQUE - MOD 01'!I3</f>
        <v>0.28220000000000001</v>
      </c>
      <c r="N1101" s="1123">
        <f>N1100*M1101</f>
        <v>6.55</v>
      </c>
    </row>
    <row r="1102" spans="2:14" ht="15.75" thickBot="1" x14ac:dyDescent="0.35">
      <c r="B1102" s="1599" t="s">
        <v>24704</v>
      </c>
      <c r="C1102" s="1600"/>
      <c r="D1102" s="1600"/>
      <c r="E1102" s="1600"/>
      <c r="F1102" s="1600"/>
      <c r="G1102" s="1600"/>
      <c r="H1102" s="1600"/>
      <c r="I1102" s="1600"/>
      <c r="J1102" s="1600"/>
      <c r="K1102" s="1600"/>
      <c r="L1102" s="1600"/>
      <c r="M1102" s="1601"/>
      <c r="N1102" s="1126">
        <f>N1100+N1101</f>
        <v>29.76</v>
      </c>
    </row>
    <row r="1104" spans="2:14" ht="15.75" thickBot="1" x14ac:dyDescent="0.35"/>
    <row r="1105" spans="2:14" ht="52.5" customHeight="1" x14ac:dyDescent="0.3">
      <c r="B1105" s="1607" t="s">
        <v>25312</v>
      </c>
      <c r="C1105" s="1608"/>
      <c r="D1105" s="1609"/>
      <c r="E1105" s="1610" t="s">
        <v>24669</v>
      </c>
      <c r="F1105" s="1610"/>
      <c r="G1105" s="1610"/>
      <c r="H1105" s="1610"/>
      <c r="I1105" s="1610"/>
      <c r="J1105" s="1610"/>
      <c r="K1105" s="1610"/>
      <c r="L1105" s="1146"/>
      <c r="M1105" s="1611"/>
      <c r="N1105" s="1577"/>
    </row>
    <row r="1106" spans="2:14" x14ac:dyDescent="0.3">
      <c r="B1106" s="1103" t="s">
        <v>24670</v>
      </c>
      <c r="C1106" s="1586" t="s">
        <v>24844</v>
      </c>
      <c r="D1106" s="1586"/>
      <c r="E1106" s="1586"/>
      <c r="F1106" s="1586"/>
      <c r="G1106" s="1586"/>
      <c r="H1106" s="1586"/>
      <c r="I1106" s="1586"/>
      <c r="J1106" s="1586"/>
      <c r="K1106" s="1586"/>
      <c r="L1106" s="1586"/>
      <c r="M1106" s="1586"/>
      <c r="N1106" s="1587"/>
    </row>
    <row r="1107" spans="2:14" x14ac:dyDescent="0.3">
      <c r="B1107" s="1103" t="s">
        <v>24671</v>
      </c>
      <c r="C1107" s="1588" t="s">
        <v>8</v>
      </c>
      <c r="D1107" s="1588"/>
      <c r="E1107" s="1588"/>
      <c r="F1107" s="1588"/>
      <c r="G1107" s="1588"/>
      <c r="H1107" s="1588"/>
      <c r="I1107" s="1588"/>
      <c r="J1107" s="1588"/>
      <c r="K1107" s="1588"/>
      <c r="L1107" s="1588"/>
      <c r="M1107" s="1588"/>
      <c r="N1107" s="1589"/>
    </row>
    <row r="1108" spans="2:14" ht="15.75" thickBot="1" x14ac:dyDescent="0.35">
      <c r="B1108" s="1103" t="s">
        <v>24672</v>
      </c>
      <c r="C1108" s="1590">
        <v>44501</v>
      </c>
      <c r="D1108" s="1591"/>
      <c r="E1108" s="1591"/>
      <c r="F1108" s="1591"/>
      <c r="G1108" s="1591"/>
      <c r="H1108" s="1591"/>
      <c r="I1108" s="1591"/>
      <c r="J1108" s="1591"/>
      <c r="K1108" s="1591"/>
      <c r="L1108" s="1591"/>
      <c r="M1108" s="1591"/>
      <c r="N1108" s="1592"/>
    </row>
    <row r="1109" spans="2:14" ht="30" x14ac:dyDescent="0.3">
      <c r="B1109" s="1104" t="s">
        <v>0</v>
      </c>
      <c r="C1109" s="1105" t="s">
        <v>24673</v>
      </c>
      <c r="D1109" s="1593" t="s">
        <v>24674</v>
      </c>
      <c r="E1109" s="1593"/>
      <c r="F1109" s="1593"/>
      <c r="G1109" s="1594"/>
      <c r="H1109" s="1106" t="s">
        <v>111</v>
      </c>
      <c r="I1109" s="1106" t="s">
        <v>24675</v>
      </c>
      <c r="J1109" s="1106" t="s">
        <v>24676</v>
      </c>
      <c r="K1109" s="1106" t="s">
        <v>24677</v>
      </c>
      <c r="L1109" s="1106"/>
      <c r="M1109" s="1106" t="s">
        <v>24678</v>
      </c>
      <c r="N1109" s="1114" t="s">
        <v>24679</v>
      </c>
    </row>
    <row r="1110" spans="2:14" x14ac:dyDescent="0.3">
      <c r="B1110" s="1115"/>
      <c r="C1110" s="1108"/>
      <c r="D1110" s="1595"/>
      <c r="E1110" s="1595"/>
      <c r="F1110" s="1595"/>
      <c r="G1110" s="1596"/>
      <c r="H1110" s="1109"/>
      <c r="I1110" s="1109"/>
      <c r="J1110" s="1109"/>
      <c r="K1110" s="1109"/>
      <c r="L1110" s="1109"/>
      <c r="M1110" s="1109"/>
      <c r="N1110" s="1119"/>
    </row>
    <row r="1111" spans="2:14" ht="15.75" thickBot="1" x14ac:dyDescent="0.35">
      <c r="B1111" s="855"/>
      <c r="C1111" s="954"/>
      <c r="D1111" s="954"/>
      <c r="E1111" s="954"/>
      <c r="F1111" s="1110"/>
      <c r="G1111" s="1110"/>
      <c r="H1111" s="1110"/>
      <c r="I1111" s="1110"/>
      <c r="J1111" s="1110"/>
      <c r="K1111" s="1110"/>
      <c r="L1111" s="1110"/>
      <c r="M1111" s="1111" t="s">
        <v>24680</v>
      </c>
      <c r="N1111" s="1112">
        <f>SUM(N1110)</f>
        <v>0</v>
      </c>
    </row>
    <row r="1112" spans="2:14" ht="15.75" thickBot="1" x14ac:dyDescent="0.35">
      <c r="B1112" s="850"/>
      <c r="C1112" s="461"/>
      <c r="D1112" s="461"/>
      <c r="E1112" s="461"/>
      <c r="F1112" s="461"/>
      <c r="G1112" s="461"/>
      <c r="H1112" s="461"/>
      <c r="I1112" s="461"/>
      <c r="J1112" s="461"/>
      <c r="K1112" s="461"/>
      <c r="L1112" s="461"/>
      <c r="M1112" s="461"/>
      <c r="N1112" s="1113"/>
    </row>
    <row r="1113" spans="2:14" ht="45" x14ac:dyDescent="0.3">
      <c r="B1113" s="1104" t="s">
        <v>0</v>
      </c>
      <c r="C1113" s="1105" t="s">
        <v>24673</v>
      </c>
      <c r="D1113" s="1593" t="s">
        <v>24681</v>
      </c>
      <c r="E1113" s="1593"/>
      <c r="F1113" s="1593"/>
      <c r="G1113" s="1593"/>
      <c r="H1113" s="1594"/>
      <c r="I1113" s="1106" t="s">
        <v>3686</v>
      </c>
      <c r="J1113" s="1106" t="s">
        <v>24682</v>
      </c>
      <c r="K1113" s="1106" t="s">
        <v>24861</v>
      </c>
      <c r="L1113" s="1106" t="s">
        <v>24862</v>
      </c>
      <c r="M1113" s="1106" t="s">
        <v>24683</v>
      </c>
      <c r="N1113" s="1114" t="s">
        <v>24679</v>
      </c>
    </row>
    <row r="1114" spans="2:14" x14ac:dyDescent="0.3">
      <c r="B1114" s="1115">
        <v>10101</v>
      </c>
      <c r="C1114" s="1116" t="s">
        <v>4389</v>
      </c>
      <c r="D1114" s="1604" t="s">
        <v>24788</v>
      </c>
      <c r="E1114" s="1604"/>
      <c r="F1114" s="1604"/>
      <c r="G1114" s="1604"/>
      <c r="H1114" s="1605"/>
      <c r="I1114" s="1109" t="s">
        <v>75</v>
      </c>
      <c r="J1114" s="1117">
        <v>1.5727</v>
      </c>
      <c r="K1114" s="1143">
        <v>6.27</v>
      </c>
      <c r="L1114" s="1143">
        <f>K1114*(1+J1114)</f>
        <v>16.13</v>
      </c>
      <c r="M1114" s="1118">
        <v>0.3</v>
      </c>
      <c r="N1114" s="1119">
        <f>L1114*M1114</f>
        <v>4.84</v>
      </c>
    </row>
    <row r="1115" spans="2:14" x14ac:dyDescent="0.3">
      <c r="B1115" s="1115">
        <v>10115</v>
      </c>
      <c r="C1115" s="1116" t="s">
        <v>4389</v>
      </c>
      <c r="D1115" s="1604" t="s">
        <v>24771</v>
      </c>
      <c r="E1115" s="1604"/>
      <c r="F1115" s="1604"/>
      <c r="G1115" s="1604"/>
      <c r="H1115" s="1605"/>
      <c r="I1115" s="1109" t="s">
        <v>75</v>
      </c>
      <c r="J1115" s="1117">
        <v>1.5727</v>
      </c>
      <c r="K1115" s="1143">
        <v>7.43</v>
      </c>
      <c r="L1115" s="1143">
        <f>K1115*(1+J1115)</f>
        <v>19.12</v>
      </c>
      <c r="M1115" s="1118">
        <v>0.3</v>
      </c>
      <c r="N1115" s="1119">
        <f>L1115*M1115</f>
        <v>5.74</v>
      </c>
    </row>
    <row r="1116" spans="2:14" ht="15.75" thickBot="1" x14ac:dyDescent="0.35">
      <c r="B1116" s="855"/>
      <c r="C1116" s="954"/>
      <c r="D1116" s="954"/>
      <c r="E1116" s="954"/>
      <c r="F1116" s="1110"/>
      <c r="G1116" s="1110"/>
      <c r="H1116" s="1110"/>
      <c r="I1116" s="1110"/>
      <c r="J1116" s="1110"/>
      <c r="K1116" s="1110"/>
      <c r="L1116" s="1110"/>
      <c r="M1116" s="1111" t="s">
        <v>24684</v>
      </c>
      <c r="N1116" s="1112">
        <f>SUM(N1114:N1115)</f>
        <v>10.58</v>
      </c>
    </row>
    <row r="1117" spans="2:14" ht="15.75" thickBot="1" x14ac:dyDescent="0.35">
      <c r="B1117" s="850"/>
      <c r="C1117" s="461"/>
      <c r="D1117" s="461"/>
      <c r="E1117" s="461"/>
      <c r="F1117" s="461"/>
      <c r="G1117" s="461"/>
      <c r="H1117" s="461"/>
      <c r="I1117" s="1120"/>
      <c r="J1117" s="1120"/>
      <c r="K1117" s="461"/>
      <c r="L1117" s="461"/>
      <c r="M1117" s="461"/>
      <c r="N1117" s="1113"/>
    </row>
    <row r="1118" spans="2:14" ht="30" x14ac:dyDescent="0.3">
      <c r="B1118" s="1104" t="s">
        <v>0</v>
      </c>
      <c r="C1118" s="1105" t="s">
        <v>24673</v>
      </c>
      <c r="D1118" s="1593" t="s">
        <v>24685</v>
      </c>
      <c r="E1118" s="1593"/>
      <c r="F1118" s="1593"/>
      <c r="G1118" s="1593"/>
      <c r="H1118" s="1594"/>
      <c r="I1118" s="1106" t="s">
        <v>2858</v>
      </c>
      <c r="J1118" s="1106" t="s">
        <v>24686</v>
      </c>
      <c r="K1118" s="1106" t="s">
        <v>24687</v>
      </c>
      <c r="L1118" s="1106"/>
      <c r="M1118" s="1106" t="s">
        <v>24688</v>
      </c>
      <c r="N1118" s="1114" t="s">
        <v>24689</v>
      </c>
    </row>
    <row r="1119" spans="2:14" x14ac:dyDescent="0.3">
      <c r="B1119" s="1115"/>
      <c r="C1119" s="1116"/>
      <c r="D1119" s="1604"/>
      <c r="E1119" s="1604"/>
      <c r="F1119" s="1604"/>
      <c r="G1119" s="1604"/>
      <c r="H1119" s="1605"/>
      <c r="I1119" s="1109"/>
      <c r="J1119" s="1109"/>
      <c r="K1119" s="1109"/>
      <c r="L1119" s="1109"/>
      <c r="M1119" s="1109"/>
      <c r="N1119" s="1119"/>
    </row>
    <row r="1120" spans="2:14" x14ac:dyDescent="0.3">
      <c r="B1120" s="850"/>
      <c r="C1120" s="461"/>
      <c r="D1120" s="461"/>
      <c r="E1120" s="461"/>
      <c r="F1120" s="1120"/>
      <c r="G1120" s="1120"/>
      <c r="H1120" s="1120"/>
      <c r="I1120" s="1120"/>
      <c r="J1120" s="1120"/>
      <c r="K1120" s="1120"/>
      <c r="L1120" s="1120"/>
      <c r="M1120" s="1121" t="s">
        <v>24690</v>
      </c>
      <c r="N1120" s="1122">
        <f>SUM(N1119:N1119)</f>
        <v>0</v>
      </c>
    </row>
    <row r="1121" spans="2:14" x14ac:dyDescent="0.3">
      <c r="B1121" s="850"/>
      <c r="C1121" s="461"/>
      <c r="D1121" s="461"/>
      <c r="E1121" s="461"/>
      <c r="F1121" s="461"/>
      <c r="G1121" s="461"/>
      <c r="H1121" s="461"/>
      <c r="I1121" s="461"/>
      <c r="J1121" s="461"/>
      <c r="K1121" s="461"/>
      <c r="L1121" s="461"/>
      <c r="M1121" s="461"/>
      <c r="N1121" s="1113"/>
    </row>
    <row r="1122" spans="2:14" x14ac:dyDescent="0.3">
      <c r="B1122" s="850"/>
      <c r="C1122" s="461"/>
      <c r="D1122" s="461"/>
      <c r="E1122" s="461"/>
      <c r="F1122" s="1120"/>
      <c r="G1122" s="1120"/>
      <c r="H1122" s="1120"/>
      <c r="I1122" s="863"/>
      <c r="J1122" s="863"/>
      <c r="K1122" s="863"/>
      <c r="L1122" s="863"/>
      <c r="M1122" s="1121" t="s">
        <v>24691</v>
      </c>
      <c r="N1122" s="1123">
        <f>N1111+N1116+N1120</f>
        <v>10.58</v>
      </c>
    </row>
    <row r="1123" spans="2:14" x14ac:dyDescent="0.3">
      <c r="B1123" s="850"/>
      <c r="C1123" s="461"/>
      <c r="D1123" s="461"/>
      <c r="E1123" s="461"/>
      <c r="F1123" s="1120"/>
      <c r="G1123" s="1120"/>
      <c r="H1123" s="1120"/>
      <c r="I1123" s="1120"/>
      <c r="J1123" s="1124"/>
      <c r="K1123" s="1124"/>
      <c r="L1123" s="1124"/>
      <c r="M1123" s="1125" t="s">
        <v>24692</v>
      </c>
      <c r="N1123" s="1123">
        <v>1</v>
      </c>
    </row>
    <row r="1124" spans="2:14" ht="15.75" thickBot="1" x14ac:dyDescent="0.35">
      <c r="B1124" s="855"/>
      <c r="C1124" s="954"/>
      <c r="D1124" s="954"/>
      <c r="E1124" s="954"/>
      <c r="F1124" s="1110"/>
      <c r="G1124" s="1110"/>
      <c r="H1124" s="1110"/>
      <c r="I1124" s="1110"/>
      <c r="J1124" s="1110"/>
      <c r="K1124" s="1110"/>
      <c r="L1124" s="1110"/>
      <c r="M1124" s="1111" t="s">
        <v>24693</v>
      </c>
      <c r="N1124" s="1126">
        <f>TRUNC(N1122/N1123,2)</f>
        <v>10.58</v>
      </c>
    </row>
    <row r="1125" spans="2:14" ht="15.75" thickBot="1" x14ac:dyDescent="0.35">
      <c r="B1125" s="850"/>
      <c r="C1125" s="461"/>
      <c r="D1125" s="461"/>
      <c r="E1125" s="461"/>
      <c r="F1125" s="461"/>
      <c r="G1125" s="461"/>
      <c r="H1125" s="461"/>
      <c r="I1125" s="461"/>
      <c r="J1125" s="461"/>
      <c r="K1125" s="461"/>
      <c r="L1125" s="461"/>
      <c r="M1125" s="461"/>
      <c r="N1125" s="1113"/>
    </row>
    <row r="1126" spans="2:14" ht="30" x14ac:dyDescent="0.3">
      <c r="B1126" s="1104" t="s">
        <v>0</v>
      </c>
      <c r="C1126" s="1105" t="s">
        <v>24673</v>
      </c>
      <c r="D1126" s="1593" t="s">
        <v>24694</v>
      </c>
      <c r="E1126" s="1593"/>
      <c r="F1126" s="1593"/>
      <c r="G1126" s="1593"/>
      <c r="H1126" s="1593"/>
      <c r="I1126" s="1594"/>
      <c r="J1126" s="1106" t="s">
        <v>3686</v>
      </c>
      <c r="K1126" s="1106" t="s">
        <v>24695</v>
      </c>
      <c r="L1126" s="1106"/>
      <c r="M1126" s="1106" t="s">
        <v>24683</v>
      </c>
      <c r="N1126" s="1114" t="s">
        <v>24689</v>
      </c>
    </row>
    <row r="1127" spans="2:14" ht="30" x14ac:dyDescent="0.3">
      <c r="B1127" s="1115"/>
      <c r="C1127" s="1116" t="s">
        <v>24708</v>
      </c>
      <c r="D1127" s="1604" t="s">
        <v>24844</v>
      </c>
      <c r="E1127" s="1604"/>
      <c r="F1127" s="1604"/>
      <c r="G1127" s="1604"/>
      <c r="H1127" s="1604"/>
      <c r="I1127" s="1605"/>
      <c r="J1127" s="1109" t="s">
        <v>24755</v>
      </c>
      <c r="K1127" s="1143">
        <f>'MAPA DE COT. - Quiosque'!H239</f>
        <v>21.02</v>
      </c>
      <c r="L1127" s="1143"/>
      <c r="M1127" s="1118">
        <v>1</v>
      </c>
      <c r="N1127" s="1119">
        <f>K1127*M1127</f>
        <v>21.02</v>
      </c>
    </row>
    <row r="1128" spans="2:14" x14ac:dyDescent="0.3">
      <c r="B1128" s="1115"/>
      <c r="C1128" s="1116"/>
      <c r="D1128" s="1604"/>
      <c r="E1128" s="1604"/>
      <c r="F1128" s="1604"/>
      <c r="G1128" s="1604"/>
      <c r="H1128" s="1604"/>
      <c r="I1128" s="1605"/>
      <c r="J1128" s="1109"/>
      <c r="K1128" s="1109"/>
      <c r="L1128" s="1109"/>
      <c r="M1128" s="1118"/>
      <c r="N1128" s="1119"/>
    </row>
    <row r="1129" spans="2:14" ht="15.75" thickBot="1" x14ac:dyDescent="0.35">
      <c r="B1129" s="855"/>
      <c r="C1129" s="954"/>
      <c r="D1129" s="954"/>
      <c r="E1129" s="954"/>
      <c r="F1129" s="1110"/>
      <c r="G1129" s="1110"/>
      <c r="H1129" s="1110"/>
      <c r="I1129" s="1110"/>
      <c r="J1129" s="1110"/>
      <c r="K1129" s="1110"/>
      <c r="L1129" s="1110"/>
      <c r="M1129" s="1111" t="s">
        <v>24696</v>
      </c>
      <c r="N1129" s="1112">
        <f>SUM(N1127:N1127)</f>
        <v>21.02</v>
      </c>
    </row>
    <row r="1130" spans="2:14" ht="15.75" thickBot="1" x14ac:dyDescent="0.35">
      <c r="B1130" s="850"/>
      <c r="C1130" s="461"/>
      <c r="D1130" s="461"/>
      <c r="E1130" s="461"/>
      <c r="F1130" s="461"/>
      <c r="G1130" s="461"/>
      <c r="H1130" s="461"/>
      <c r="I1130" s="461"/>
      <c r="J1130" s="461"/>
      <c r="K1130" s="461"/>
      <c r="L1130" s="461"/>
      <c r="M1130" s="461"/>
      <c r="N1130" s="1113"/>
    </row>
    <row r="1131" spans="2:14" ht="30" x14ac:dyDescent="0.3">
      <c r="B1131" s="1104" t="s">
        <v>0</v>
      </c>
      <c r="C1131" s="1106" t="s">
        <v>24673</v>
      </c>
      <c r="D1131" s="1593" t="s">
        <v>24697</v>
      </c>
      <c r="E1131" s="1593"/>
      <c r="F1131" s="1593"/>
      <c r="G1131" s="1593"/>
      <c r="H1131" s="1593"/>
      <c r="I1131" s="1594"/>
      <c r="J1131" s="1106" t="s">
        <v>3686</v>
      </c>
      <c r="K1131" s="1106" t="s">
        <v>24695</v>
      </c>
      <c r="L1131" s="1106"/>
      <c r="M1131" s="1106" t="s">
        <v>24683</v>
      </c>
      <c r="N1131" s="1114" t="s">
        <v>24689</v>
      </c>
    </row>
    <row r="1132" spans="2:14" x14ac:dyDescent="0.3">
      <c r="B1132" s="1127"/>
      <c r="C1132" s="1128"/>
      <c r="D1132" s="1604"/>
      <c r="E1132" s="1604"/>
      <c r="F1132" s="1604"/>
      <c r="G1132" s="1604"/>
      <c r="H1132" s="1604"/>
      <c r="I1132" s="1605"/>
      <c r="J1132" s="462"/>
      <c r="K1132" s="462"/>
      <c r="L1132" s="462"/>
      <c r="M1132" s="1147"/>
      <c r="N1132" s="1130"/>
    </row>
    <row r="1133" spans="2:14" ht="15.75" thickBot="1" x14ac:dyDescent="0.35">
      <c r="B1133" s="855"/>
      <c r="C1133" s="954"/>
      <c r="D1133" s="954"/>
      <c r="E1133" s="954"/>
      <c r="F1133" s="1110"/>
      <c r="G1133" s="1110"/>
      <c r="H1133" s="1110"/>
      <c r="I1133" s="1110"/>
      <c r="J1133" s="1110"/>
      <c r="K1133" s="1110"/>
      <c r="L1133" s="1110"/>
      <c r="M1133" s="1111" t="s">
        <v>24698</v>
      </c>
      <c r="N1133" s="1112">
        <f>SUM(N1132:N1132)</f>
        <v>0</v>
      </c>
    </row>
    <row r="1134" spans="2:14" ht="15.75" thickBot="1" x14ac:dyDescent="0.35">
      <c r="B1134" s="850"/>
      <c r="C1134" s="461"/>
      <c r="D1134" s="461"/>
      <c r="E1134" s="461"/>
      <c r="F1134" s="461"/>
      <c r="G1134" s="461"/>
      <c r="H1134" s="461"/>
      <c r="I1134" s="461"/>
      <c r="J1134" s="461"/>
      <c r="K1134" s="461"/>
      <c r="L1134" s="461"/>
      <c r="M1134" s="461"/>
      <c r="N1134" s="1113"/>
    </row>
    <row r="1135" spans="2:14" ht="30" x14ac:dyDescent="0.3">
      <c r="B1135" s="1104" t="s">
        <v>0</v>
      </c>
      <c r="C1135" s="1106" t="s">
        <v>24673</v>
      </c>
      <c r="D1135" s="1593" t="s">
        <v>24699</v>
      </c>
      <c r="E1135" s="1593"/>
      <c r="F1135" s="1593"/>
      <c r="G1135" s="1594"/>
      <c r="H1135" s="1106" t="s">
        <v>3686</v>
      </c>
      <c r="I1135" s="1106" t="s">
        <v>24700</v>
      </c>
      <c r="J1135" s="1106" t="s">
        <v>24701</v>
      </c>
      <c r="K1135" s="1106" t="s">
        <v>24695</v>
      </c>
      <c r="L1135" s="1106"/>
      <c r="M1135" s="1106" t="s">
        <v>24683</v>
      </c>
      <c r="N1135" s="1114" t="s">
        <v>24689</v>
      </c>
    </row>
    <row r="1136" spans="2:14" x14ac:dyDescent="0.3">
      <c r="B1136" s="1115"/>
      <c r="C1136" s="1116"/>
      <c r="D1136" s="1595"/>
      <c r="E1136" s="1595"/>
      <c r="F1136" s="1595"/>
      <c r="G1136" s="1595"/>
      <c r="H1136" s="1109"/>
      <c r="I1136" s="1109"/>
      <c r="J1136" s="1109"/>
      <c r="K1136" s="1109"/>
      <c r="L1136" s="1109"/>
      <c r="M1136" s="1118"/>
      <c r="N1136" s="1119"/>
    </row>
    <row r="1137" spans="2:14" x14ac:dyDescent="0.3">
      <c r="B1137" s="850"/>
      <c r="C1137" s="461"/>
      <c r="D1137" s="461"/>
      <c r="E1137" s="461"/>
      <c r="F1137" s="1120"/>
      <c r="G1137" s="1120"/>
      <c r="H1137" s="1120"/>
      <c r="I1137" s="1120"/>
      <c r="J1137" s="1120"/>
      <c r="K1137" s="1120"/>
      <c r="L1137" s="1120"/>
      <c r="M1137" s="1121" t="s">
        <v>24702</v>
      </c>
      <c r="N1137" s="1122">
        <f>SUM(N1136:N1136)</f>
        <v>0</v>
      </c>
    </row>
    <row r="1138" spans="2:14" x14ac:dyDescent="0.3">
      <c r="B1138" s="850"/>
      <c r="C1138" s="461"/>
      <c r="D1138" s="461"/>
      <c r="E1138" s="461"/>
      <c r="F1138" s="461"/>
      <c r="G1138" s="461"/>
      <c r="H1138" s="461"/>
      <c r="I1138" s="461"/>
      <c r="J1138" s="461"/>
      <c r="K1138" s="461"/>
      <c r="L1138" s="461"/>
      <c r="M1138" s="461"/>
      <c r="N1138" s="1113"/>
    </row>
    <row r="1139" spans="2:14" x14ac:dyDescent="0.3">
      <c r="B1139" s="1131"/>
      <c r="C1139" s="1132"/>
      <c r="D1139" s="1132"/>
      <c r="E1139" s="1132"/>
      <c r="F1139" s="1133"/>
      <c r="G1139" s="1133"/>
      <c r="H1139" s="1133"/>
      <c r="I1139" s="1133"/>
      <c r="J1139" s="1133"/>
      <c r="K1139" s="1133"/>
      <c r="L1139" s="1133"/>
      <c r="M1139" s="1134" t="s">
        <v>24703</v>
      </c>
      <c r="N1139" s="1123">
        <f>N1124+N1129+N1133+N1137</f>
        <v>31.6</v>
      </c>
    </row>
    <row r="1140" spans="2:14" x14ac:dyDescent="0.3">
      <c r="B1140" s="850"/>
      <c r="C1140" s="461"/>
      <c r="D1140" s="461"/>
      <c r="E1140" s="461"/>
      <c r="F1140" s="1120"/>
      <c r="G1140" s="1120"/>
      <c r="H1140" s="1120"/>
      <c r="I1140" s="1120"/>
      <c r="J1140" s="1120"/>
      <c r="K1140" s="1120"/>
      <c r="L1140" s="1120"/>
      <c r="M1140" s="1136">
        <f>'QUIOSQUE - MOD 01'!I3</f>
        <v>0.28220000000000001</v>
      </c>
      <c r="N1140" s="1123">
        <f>N1139*M1140</f>
        <v>8.92</v>
      </c>
    </row>
    <row r="1141" spans="2:14" ht="15.75" thickBot="1" x14ac:dyDescent="0.35">
      <c r="B1141" s="1599" t="s">
        <v>24704</v>
      </c>
      <c r="C1141" s="1600"/>
      <c r="D1141" s="1600"/>
      <c r="E1141" s="1600"/>
      <c r="F1141" s="1600"/>
      <c r="G1141" s="1600"/>
      <c r="H1141" s="1600"/>
      <c r="I1141" s="1600"/>
      <c r="J1141" s="1600"/>
      <c r="K1141" s="1600"/>
      <c r="L1141" s="1600"/>
      <c r="M1141" s="1601"/>
      <c r="N1141" s="1126">
        <f>N1139+N1140</f>
        <v>40.520000000000003</v>
      </c>
    </row>
    <row r="1143" spans="2:14" ht="15.75" thickBot="1" x14ac:dyDescent="0.35"/>
    <row r="1144" spans="2:14" ht="43.5" customHeight="1" x14ac:dyDescent="0.3">
      <c r="B1144" s="1607" t="s">
        <v>25313</v>
      </c>
      <c r="C1144" s="1608"/>
      <c r="D1144" s="1609"/>
      <c r="E1144" s="1610" t="s">
        <v>24669</v>
      </c>
      <c r="F1144" s="1610"/>
      <c r="G1144" s="1610"/>
      <c r="H1144" s="1610"/>
      <c r="I1144" s="1610"/>
      <c r="J1144" s="1610"/>
      <c r="K1144" s="1610"/>
      <c r="L1144" s="1146"/>
      <c r="M1144" s="1611"/>
      <c r="N1144" s="1577"/>
    </row>
    <row r="1145" spans="2:14" x14ac:dyDescent="0.3">
      <c r="B1145" s="1103" t="s">
        <v>24670</v>
      </c>
      <c r="C1145" s="1586" t="s">
        <v>24789</v>
      </c>
      <c r="D1145" s="1586"/>
      <c r="E1145" s="1586"/>
      <c r="F1145" s="1586"/>
      <c r="G1145" s="1586"/>
      <c r="H1145" s="1586"/>
      <c r="I1145" s="1586"/>
      <c r="J1145" s="1586"/>
      <c r="K1145" s="1586"/>
      <c r="L1145" s="1586"/>
      <c r="M1145" s="1586"/>
      <c r="N1145" s="1587"/>
    </row>
    <row r="1146" spans="2:14" x14ac:dyDescent="0.3">
      <c r="B1146" s="1103" t="s">
        <v>24671</v>
      </c>
      <c r="C1146" s="1588" t="s">
        <v>8</v>
      </c>
      <c r="D1146" s="1588"/>
      <c r="E1146" s="1588"/>
      <c r="F1146" s="1588"/>
      <c r="G1146" s="1588"/>
      <c r="H1146" s="1588"/>
      <c r="I1146" s="1588"/>
      <c r="J1146" s="1588"/>
      <c r="K1146" s="1588"/>
      <c r="L1146" s="1588"/>
      <c r="M1146" s="1588"/>
      <c r="N1146" s="1589"/>
    </row>
    <row r="1147" spans="2:14" ht="15.75" thickBot="1" x14ac:dyDescent="0.35">
      <c r="B1147" s="1103" t="s">
        <v>24672</v>
      </c>
      <c r="C1147" s="1590">
        <v>44501</v>
      </c>
      <c r="D1147" s="1591"/>
      <c r="E1147" s="1591"/>
      <c r="F1147" s="1591"/>
      <c r="G1147" s="1591"/>
      <c r="H1147" s="1591"/>
      <c r="I1147" s="1591"/>
      <c r="J1147" s="1591"/>
      <c r="K1147" s="1591"/>
      <c r="L1147" s="1591"/>
      <c r="M1147" s="1591"/>
      <c r="N1147" s="1592"/>
    </row>
    <row r="1148" spans="2:14" ht="30" x14ac:dyDescent="0.3">
      <c r="B1148" s="1104" t="s">
        <v>0</v>
      </c>
      <c r="C1148" s="1105" t="s">
        <v>24673</v>
      </c>
      <c r="D1148" s="1593" t="s">
        <v>24674</v>
      </c>
      <c r="E1148" s="1593"/>
      <c r="F1148" s="1593"/>
      <c r="G1148" s="1594"/>
      <c r="H1148" s="1106" t="s">
        <v>111</v>
      </c>
      <c r="I1148" s="1106" t="s">
        <v>24675</v>
      </c>
      <c r="J1148" s="1106" t="s">
        <v>24676</v>
      </c>
      <c r="K1148" s="1106" t="s">
        <v>24677</v>
      </c>
      <c r="L1148" s="1106"/>
      <c r="M1148" s="1106" t="s">
        <v>24678</v>
      </c>
      <c r="N1148" s="1114" t="s">
        <v>24679</v>
      </c>
    </row>
    <row r="1149" spans="2:14" x14ac:dyDescent="0.3">
      <c r="B1149" s="1115"/>
      <c r="C1149" s="1108"/>
      <c r="D1149" s="1595"/>
      <c r="E1149" s="1595"/>
      <c r="F1149" s="1595"/>
      <c r="G1149" s="1596"/>
      <c r="H1149" s="1109"/>
      <c r="I1149" s="1109"/>
      <c r="J1149" s="1109"/>
      <c r="K1149" s="1109"/>
      <c r="L1149" s="1109"/>
      <c r="M1149" s="1109"/>
      <c r="N1149" s="1119"/>
    </row>
    <row r="1150" spans="2:14" ht="15.75" thickBot="1" x14ac:dyDescent="0.35">
      <c r="B1150" s="855"/>
      <c r="C1150" s="954"/>
      <c r="D1150" s="954"/>
      <c r="E1150" s="954"/>
      <c r="F1150" s="1110"/>
      <c r="G1150" s="1110"/>
      <c r="H1150" s="1110"/>
      <c r="I1150" s="1110"/>
      <c r="J1150" s="1110"/>
      <c r="K1150" s="1110"/>
      <c r="L1150" s="1110"/>
      <c r="M1150" s="1111" t="s">
        <v>24680</v>
      </c>
      <c r="N1150" s="1112">
        <f>SUM(N1149)</f>
        <v>0</v>
      </c>
    </row>
    <row r="1151" spans="2:14" ht="15.75" thickBot="1" x14ac:dyDescent="0.35">
      <c r="B1151" s="850"/>
      <c r="C1151" s="461"/>
      <c r="D1151" s="461"/>
      <c r="E1151" s="461"/>
      <c r="F1151" s="461"/>
      <c r="G1151" s="461"/>
      <c r="H1151" s="461"/>
      <c r="I1151" s="461"/>
      <c r="J1151" s="461"/>
      <c r="K1151" s="461"/>
      <c r="L1151" s="461"/>
      <c r="M1151" s="461"/>
      <c r="N1151" s="1113"/>
    </row>
    <row r="1152" spans="2:14" ht="45" x14ac:dyDescent="0.3">
      <c r="B1152" s="1104" t="s">
        <v>0</v>
      </c>
      <c r="C1152" s="1105" t="s">
        <v>24673</v>
      </c>
      <c r="D1152" s="1593" t="s">
        <v>24681</v>
      </c>
      <c r="E1152" s="1593"/>
      <c r="F1152" s="1593"/>
      <c r="G1152" s="1593"/>
      <c r="H1152" s="1594"/>
      <c r="I1152" s="1106" t="s">
        <v>3686</v>
      </c>
      <c r="J1152" s="1106" t="s">
        <v>24682</v>
      </c>
      <c r="K1152" s="1106" t="s">
        <v>24861</v>
      </c>
      <c r="L1152" s="1106" t="s">
        <v>24862</v>
      </c>
      <c r="M1152" s="1106" t="s">
        <v>24683</v>
      </c>
      <c r="N1152" s="1114" t="s">
        <v>24679</v>
      </c>
    </row>
    <row r="1153" spans="2:14" x14ac:dyDescent="0.3">
      <c r="B1153" s="1115">
        <v>10101</v>
      </c>
      <c r="C1153" s="1116" t="s">
        <v>4389</v>
      </c>
      <c r="D1153" s="1604" t="s">
        <v>24788</v>
      </c>
      <c r="E1153" s="1604"/>
      <c r="F1153" s="1604"/>
      <c r="G1153" s="1604"/>
      <c r="H1153" s="1605"/>
      <c r="I1153" s="1109" t="s">
        <v>75</v>
      </c>
      <c r="J1153" s="1117">
        <v>1.5727</v>
      </c>
      <c r="K1153" s="1143">
        <v>6.27</v>
      </c>
      <c r="L1153" s="1143">
        <f>K1153*(1+J1153)</f>
        <v>16.13</v>
      </c>
      <c r="M1153" s="1118">
        <v>0.3</v>
      </c>
      <c r="N1153" s="1119">
        <f>L1153*M1153</f>
        <v>4.84</v>
      </c>
    </row>
    <row r="1154" spans="2:14" x14ac:dyDescent="0.3">
      <c r="B1154" s="1115">
        <v>10115</v>
      </c>
      <c r="C1154" s="1116" t="s">
        <v>4389</v>
      </c>
      <c r="D1154" s="1604" t="s">
        <v>24771</v>
      </c>
      <c r="E1154" s="1604"/>
      <c r="F1154" s="1604"/>
      <c r="G1154" s="1604"/>
      <c r="H1154" s="1605"/>
      <c r="I1154" s="1109" t="s">
        <v>75</v>
      </c>
      <c r="J1154" s="1117">
        <v>1.5727</v>
      </c>
      <c r="K1154" s="1143">
        <v>7.43</v>
      </c>
      <c r="L1154" s="1143">
        <f>K1154*(1+J1154)</f>
        <v>19.12</v>
      </c>
      <c r="M1154" s="1118">
        <v>0.3</v>
      </c>
      <c r="N1154" s="1119">
        <f>L1154*M1154</f>
        <v>5.74</v>
      </c>
    </row>
    <row r="1155" spans="2:14" ht="15.75" thickBot="1" x14ac:dyDescent="0.35">
      <c r="B1155" s="855"/>
      <c r="C1155" s="954"/>
      <c r="D1155" s="954"/>
      <c r="E1155" s="954"/>
      <c r="F1155" s="1110"/>
      <c r="G1155" s="1110"/>
      <c r="H1155" s="1110"/>
      <c r="I1155" s="1110"/>
      <c r="J1155" s="1110"/>
      <c r="K1155" s="1110"/>
      <c r="L1155" s="1110"/>
      <c r="M1155" s="1111" t="s">
        <v>24684</v>
      </c>
      <c r="N1155" s="1112">
        <f>SUM(N1153:N1154)</f>
        <v>10.58</v>
      </c>
    </row>
    <row r="1156" spans="2:14" ht="15.75" thickBot="1" x14ac:dyDescent="0.35">
      <c r="B1156" s="850"/>
      <c r="C1156" s="461"/>
      <c r="D1156" s="461"/>
      <c r="E1156" s="461"/>
      <c r="F1156" s="461"/>
      <c r="G1156" s="461"/>
      <c r="H1156" s="461"/>
      <c r="I1156" s="1120"/>
      <c r="J1156" s="1120"/>
      <c r="K1156" s="461"/>
      <c r="L1156" s="461"/>
      <c r="M1156" s="461"/>
      <c r="N1156" s="1113"/>
    </row>
    <row r="1157" spans="2:14" ht="30" x14ac:dyDescent="0.3">
      <c r="B1157" s="1104" t="s">
        <v>0</v>
      </c>
      <c r="C1157" s="1105" t="s">
        <v>24673</v>
      </c>
      <c r="D1157" s="1593" t="s">
        <v>24685</v>
      </c>
      <c r="E1157" s="1593"/>
      <c r="F1157" s="1593"/>
      <c r="G1157" s="1593"/>
      <c r="H1157" s="1594"/>
      <c r="I1157" s="1106" t="s">
        <v>2858</v>
      </c>
      <c r="J1157" s="1106" t="s">
        <v>24686</v>
      </c>
      <c r="K1157" s="1106" t="s">
        <v>24687</v>
      </c>
      <c r="L1157" s="1106"/>
      <c r="M1157" s="1106" t="s">
        <v>24688</v>
      </c>
      <c r="N1157" s="1114" t="s">
        <v>24689</v>
      </c>
    </row>
    <row r="1158" spans="2:14" x14ac:dyDescent="0.3">
      <c r="B1158" s="1115"/>
      <c r="C1158" s="1116"/>
      <c r="D1158" s="1604"/>
      <c r="E1158" s="1604"/>
      <c r="F1158" s="1604"/>
      <c r="G1158" s="1604"/>
      <c r="H1158" s="1605"/>
      <c r="I1158" s="1109"/>
      <c r="J1158" s="1109"/>
      <c r="K1158" s="1109"/>
      <c r="L1158" s="1109"/>
      <c r="M1158" s="1109"/>
      <c r="N1158" s="1119"/>
    </row>
    <row r="1159" spans="2:14" x14ac:dyDescent="0.3">
      <c r="B1159" s="850"/>
      <c r="C1159" s="461"/>
      <c r="D1159" s="461"/>
      <c r="E1159" s="461"/>
      <c r="F1159" s="1120"/>
      <c r="G1159" s="1120"/>
      <c r="H1159" s="1120"/>
      <c r="I1159" s="1120"/>
      <c r="J1159" s="1120"/>
      <c r="K1159" s="1120"/>
      <c r="L1159" s="1120"/>
      <c r="M1159" s="1121" t="s">
        <v>24690</v>
      </c>
      <c r="N1159" s="1122">
        <f>SUM(N1158:N1158)</f>
        <v>0</v>
      </c>
    </row>
    <row r="1160" spans="2:14" x14ac:dyDescent="0.3">
      <c r="B1160" s="850"/>
      <c r="C1160" s="461"/>
      <c r="D1160" s="461"/>
      <c r="E1160" s="461"/>
      <c r="F1160" s="461"/>
      <c r="G1160" s="461"/>
      <c r="H1160" s="461"/>
      <c r="I1160" s="461"/>
      <c r="J1160" s="461"/>
      <c r="K1160" s="461"/>
      <c r="L1160" s="461"/>
      <c r="M1160" s="461"/>
      <c r="N1160" s="1113"/>
    </row>
    <row r="1161" spans="2:14" x14ac:dyDescent="0.3">
      <c r="B1161" s="850"/>
      <c r="C1161" s="461"/>
      <c r="D1161" s="461"/>
      <c r="E1161" s="461"/>
      <c r="F1161" s="1120"/>
      <c r="G1161" s="1120"/>
      <c r="H1161" s="1120"/>
      <c r="I1161" s="863"/>
      <c r="J1161" s="863"/>
      <c r="K1161" s="863"/>
      <c r="L1161" s="863"/>
      <c r="M1161" s="1121" t="s">
        <v>24691</v>
      </c>
      <c r="N1161" s="1123">
        <f>N1150+N1155+N1159</f>
        <v>10.58</v>
      </c>
    </row>
    <row r="1162" spans="2:14" x14ac:dyDescent="0.3">
      <c r="B1162" s="850"/>
      <c r="C1162" s="461"/>
      <c r="D1162" s="461"/>
      <c r="E1162" s="461"/>
      <c r="F1162" s="1120"/>
      <c r="G1162" s="1120"/>
      <c r="H1162" s="1120"/>
      <c r="I1162" s="1120"/>
      <c r="J1162" s="1124"/>
      <c r="K1162" s="1124"/>
      <c r="L1162" s="1124"/>
      <c r="M1162" s="1125" t="s">
        <v>24692</v>
      </c>
      <c r="N1162" s="1123">
        <v>1</v>
      </c>
    </row>
    <row r="1163" spans="2:14" ht="15.75" thickBot="1" x14ac:dyDescent="0.35">
      <c r="B1163" s="855"/>
      <c r="C1163" s="954"/>
      <c r="D1163" s="954"/>
      <c r="E1163" s="954"/>
      <c r="F1163" s="1110"/>
      <c r="G1163" s="1110"/>
      <c r="H1163" s="1110"/>
      <c r="I1163" s="1110"/>
      <c r="J1163" s="1110"/>
      <c r="K1163" s="1110"/>
      <c r="L1163" s="1110"/>
      <c r="M1163" s="1111" t="s">
        <v>24693</v>
      </c>
      <c r="N1163" s="1126">
        <f>TRUNC(N1161/N1162,2)</f>
        <v>10.58</v>
      </c>
    </row>
    <row r="1164" spans="2:14" ht="15.75" thickBot="1" x14ac:dyDescent="0.35">
      <c r="B1164" s="850"/>
      <c r="C1164" s="461"/>
      <c r="D1164" s="461"/>
      <c r="E1164" s="461"/>
      <c r="F1164" s="461"/>
      <c r="G1164" s="461"/>
      <c r="H1164" s="461"/>
      <c r="I1164" s="461"/>
      <c r="J1164" s="461"/>
      <c r="K1164" s="461"/>
      <c r="L1164" s="461"/>
      <c r="M1164" s="461"/>
      <c r="N1164" s="1113"/>
    </row>
    <row r="1165" spans="2:14" ht="30" x14ac:dyDescent="0.3">
      <c r="B1165" s="1104" t="s">
        <v>0</v>
      </c>
      <c r="C1165" s="1105" t="s">
        <v>24673</v>
      </c>
      <c r="D1165" s="1593" t="s">
        <v>24694</v>
      </c>
      <c r="E1165" s="1593"/>
      <c r="F1165" s="1593"/>
      <c r="G1165" s="1593"/>
      <c r="H1165" s="1593"/>
      <c r="I1165" s="1594"/>
      <c r="J1165" s="1106" t="s">
        <v>3686</v>
      </c>
      <c r="K1165" s="1106" t="s">
        <v>24695</v>
      </c>
      <c r="L1165" s="1106"/>
      <c r="M1165" s="1106" t="s">
        <v>24683</v>
      </c>
      <c r="N1165" s="1114" t="s">
        <v>24689</v>
      </c>
    </row>
    <row r="1166" spans="2:14" ht="30" x14ac:dyDescent="0.3">
      <c r="B1166" s="1115"/>
      <c r="C1166" s="1116" t="s">
        <v>24708</v>
      </c>
      <c r="D1166" s="1604" t="s">
        <v>24789</v>
      </c>
      <c r="E1166" s="1604"/>
      <c r="F1166" s="1604"/>
      <c r="G1166" s="1604"/>
      <c r="H1166" s="1604"/>
      <c r="I1166" s="1605"/>
      <c r="J1166" s="1109" t="s">
        <v>24755</v>
      </c>
      <c r="K1166" s="1143">
        <f>'MAPA DE COT. - Quiosque'!H199</f>
        <v>12.1</v>
      </c>
      <c r="L1166" s="1143"/>
      <c r="M1166" s="1118">
        <v>1</v>
      </c>
      <c r="N1166" s="1119">
        <f>K1166*M1166</f>
        <v>12.1</v>
      </c>
    </row>
    <row r="1167" spans="2:14" x14ac:dyDescent="0.3">
      <c r="B1167" s="1115"/>
      <c r="C1167" s="1116"/>
      <c r="D1167" s="1604"/>
      <c r="E1167" s="1604"/>
      <c r="F1167" s="1604"/>
      <c r="G1167" s="1604"/>
      <c r="H1167" s="1604"/>
      <c r="I1167" s="1605"/>
      <c r="J1167" s="1109"/>
      <c r="K1167" s="1109"/>
      <c r="L1167" s="1109"/>
      <c r="M1167" s="1118"/>
      <c r="N1167" s="1119"/>
    </row>
    <row r="1168" spans="2:14" ht="15.75" thickBot="1" x14ac:dyDescent="0.35">
      <c r="B1168" s="855"/>
      <c r="C1168" s="954"/>
      <c r="D1168" s="954"/>
      <c r="E1168" s="954"/>
      <c r="F1168" s="1110"/>
      <c r="G1168" s="1110"/>
      <c r="H1168" s="1110"/>
      <c r="I1168" s="1110"/>
      <c r="J1168" s="1110"/>
      <c r="K1168" s="1110"/>
      <c r="L1168" s="1110"/>
      <c r="M1168" s="1111" t="s">
        <v>24696</v>
      </c>
      <c r="N1168" s="1112">
        <f>SUM(N1166:N1166)</f>
        <v>12.1</v>
      </c>
    </row>
    <row r="1169" spans="2:14" ht="15.75" thickBot="1" x14ac:dyDescent="0.35">
      <c r="B1169" s="850"/>
      <c r="C1169" s="461"/>
      <c r="D1169" s="461"/>
      <c r="E1169" s="461"/>
      <c r="F1169" s="461"/>
      <c r="G1169" s="461"/>
      <c r="H1169" s="461"/>
      <c r="I1169" s="461"/>
      <c r="J1169" s="461"/>
      <c r="K1169" s="461"/>
      <c r="L1169" s="461"/>
      <c r="M1169" s="461"/>
      <c r="N1169" s="1113"/>
    </row>
    <row r="1170" spans="2:14" ht="30" x14ac:dyDescent="0.3">
      <c r="B1170" s="1104" t="s">
        <v>0</v>
      </c>
      <c r="C1170" s="1106" t="s">
        <v>24673</v>
      </c>
      <c r="D1170" s="1593" t="s">
        <v>24697</v>
      </c>
      <c r="E1170" s="1593"/>
      <c r="F1170" s="1593"/>
      <c r="G1170" s="1593"/>
      <c r="H1170" s="1593"/>
      <c r="I1170" s="1594"/>
      <c r="J1170" s="1106" t="s">
        <v>3686</v>
      </c>
      <c r="K1170" s="1106" t="s">
        <v>24695</v>
      </c>
      <c r="L1170" s="1106"/>
      <c r="M1170" s="1106" t="s">
        <v>24683</v>
      </c>
      <c r="N1170" s="1114" t="s">
        <v>24689</v>
      </c>
    </row>
    <row r="1171" spans="2:14" x14ac:dyDescent="0.3">
      <c r="B1171" s="1127"/>
      <c r="C1171" s="1128"/>
      <c r="D1171" s="1604"/>
      <c r="E1171" s="1604"/>
      <c r="F1171" s="1604"/>
      <c r="G1171" s="1604"/>
      <c r="H1171" s="1604"/>
      <c r="I1171" s="1605"/>
      <c r="J1171" s="462"/>
      <c r="K1171" s="462"/>
      <c r="L1171" s="462"/>
      <c r="M1171" s="1147"/>
      <c r="N1171" s="1130"/>
    </row>
    <row r="1172" spans="2:14" ht="15.75" thickBot="1" x14ac:dyDescent="0.35">
      <c r="B1172" s="855"/>
      <c r="C1172" s="954"/>
      <c r="D1172" s="954"/>
      <c r="E1172" s="954"/>
      <c r="F1172" s="1110"/>
      <c r="G1172" s="1110"/>
      <c r="H1172" s="1110"/>
      <c r="I1172" s="1110"/>
      <c r="J1172" s="1110"/>
      <c r="K1172" s="1110"/>
      <c r="L1172" s="1110"/>
      <c r="M1172" s="1111" t="s">
        <v>24698</v>
      </c>
      <c r="N1172" s="1112">
        <f>SUM(N1171:N1171)</f>
        <v>0</v>
      </c>
    </row>
    <row r="1173" spans="2:14" ht="15.75" thickBot="1" x14ac:dyDescent="0.35">
      <c r="B1173" s="850"/>
      <c r="C1173" s="461"/>
      <c r="D1173" s="461"/>
      <c r="E1173" s="461"/>
      <c r="F1173" s="461"/>
      <c r="G1173" s="461"/>
      <c r="H1173" s="461"/>
      <c r="I1173" s="461"/>
      <c r="J1173" s="461"/>
      <c r="K1173" s="461"/>
      <c r="L1173" s="461"/>
      <c r="M1173" s="461"/>
      <c r="N1173" s="1113"/>
    </row>
    <row r="1174" spans="2:14" ht="30" x14ac:dyDescent="0.3">
      <c r="B1174" s="1104" t="s">
        <v>0</v>
      </c>
      <c r="C1174" s="1106" t="s">
        <v>24673</v>
      </c>
      <c r="D1174" s="1593" t="s">
        <v>24699</v>
      </c>
      <c r="E1174" s="1593"/>
      <c r="F1174" s="1593"/>
      <c r="G1174" s="1594"/>
      <c r="H1174" s="1106" t="s">
        <v>3686</v>
      </c>
      <c r="I1174" s="1106" t="s">
        <v>24700</v>
      </c>
      <c r="J1174" s="1106" t="s">
        <v>24701</v>
      </c>
      <c r="K1174" s="1106" t="s">
        <v>24695</v>
      </c>
      <c r="L1174" s="1106"/>
      <c r="M1174" s="1106" t="s">
        <v>24683</v>
      </c>
      <c r="N1174" s="1114" t="s">
        <v>24689</v>
      </c>
    </row>
    <row r="1175" spans="2:14" x14ac:dyDescent="0.3">
      <c r="B1175" s="1115"/>
      <c r="C1175" s="1116"/>
      <c r="D1175" s="1595"/>
      <c r="E1175" s="1595"/>
      <c r="F1175" s="1595"/>
      <c r="G1175" s="1595"/>
      <c r="H1175" s="1109"/>
      <c r="I1175" s="1109"/>
      <c r="J1175" s="1109"/>
      <c r="K1175" s="1109"/>
      <c r="L1175" s="1109"/>
      <c r="M1175" s="1118"/>
      <c r="N1175" s="1119"/>
    </row>
    <row r="1176" spans="2:14" x14ac:dyDescent="0.3">
      <c r="B1176" s="850"/>
      <c r="C1176" s="461"/>
      <c r="D1176" s="461"/>
      <c r="E1176" s="461"/>
      <c r="F1176" s="1120"/>
      <c r="G1176" s="1120"/>
      <c r="H1176" s="1120"/>
      <c r="I1176" s="1120"/>
      <c r="J1176" s="1120"/>
      <c r="K1176" s="1120"/>
      <c r="L1176" s="1120"/>
      <c r="M1176" s="1121" t="s">
        <v>24702</v>
      </c>
      <c r="N1176" s="1122">
        <f>SUM(N1175:N1175)</f>
        <v>0</v>
      </c>
    </row>
    <row r="1177" spans="2:14" x14ac:dyDescent="0.3">
      <c r="B1177" s="850"/>
      <c r="C1177" s="461"/>
      <c r="D1177" s="461"/>
      <c r="E1177" s="461"/>
      <c r="F1177" s="461"/>
      <c r="G1177" s="461"/>
      <c r="H1177" s="461"/>
      <c r="I1177" s="461"/>
      <c r="J1177" s="461"/>
      <c r="K1177" s="461"/>
      <c r="L1177" s="461"/>
      <c r="M1177" s="461"/>
      <c r="N1177" s="1113"/>
    </row>
    <row r="1178" spans="2:14" x14ac:dyDescent="0.3">
      <c r="B1178" s="1131"/>
      <c r="C1178" s="1132"/>
      <c r="D1178" s="1132"/>
      <c r="E1178" s="1132"/>
      <c r="F1178" s="1133"/>
      <c r="G1178" s="1133"/>
      <c r="H1178" s="1133"/>
      <c r="I1178" s="1133"/>
      <c r="J1178" s="1133"/>
      <c r="K1178" s="1133"/>
      <c r="L1178" s="1133"/>
      <c r="M1178" s="1134" t="s">
        <v>24703</v>
      </c>
      <c r="N1178" s="1123">
        <f>N1163+N1168+N1172+N1176</f>
        <v>22.68</v>
      </c>
    </row>
    <row r="1179" spans="2:14" x14ac:dyDescent="0.3">
      <c r="B1179" s="850"/>
      <c r="C1179" s="461"/>
      <c r="D1179" s="461"/>
      <c r="E1179" s="461"/>
      <c r="F1179" s="1120"/>
      <c r="G1179" s="1120"/>
      <c r="H1179" s="1120"/>
      <c r="I1179" s="1120"/>
      <c r="J1179" s="1120"/>
      <c r="K1179" s="1120"/>
      <c r="L1179" s="1120"/>
      <c r="M1179" s="1136">
        <f>'QUIOSQUE - MOD 01'!I3</f>
        <v>0.28220000000000001</v>
      </c>
      <c r="N1179" s="1123">
        <f>N1178*M1179</f>
        <v>6.4</v>
      </c>
    </row>
    <row r="1180" spans="2:14" ht="15.75" thickBot="1" x14ac:dyDescent="0.35">
      <c r="B1180" s="1599" t="s">
        <v>24704</v>
      </c>
      <c r="C1180" s="1600"/>
      <c r="D1180" s="1600"/>
      <c r="E1180" s="1600"/>
      <c r="F1180" s="1600"/>
      <c r="G1180" s="1600"/>
      <c r="H1180" s="1600"/>
      <c r="I1180" s="1600"/>
      <c r="J1180" s="1600"/>
      <c r="K1180" s="1600"/>
      <c r="L1180" s="1600"/>
      <c r="M1180" s="1601"/>
      <c r="N1180" s="1126">
        <f>N1178+N1179</f>
        <v>29.08</v>
      </c>
    </row>
    <row r="1182" spans="2:14" ht="15.75" thickBot="1" x14ac:dyDescent="0.35"/>
    <row r="1183" spans="2:14" ht="48" customHeight="1" x14ac:dyDescent="0.3">
      <c r="B1183" s="1607" t="s">
        <v>25314</v>
      </c>
      <c r="C1183" s="1608"/>
      <c r="D1183" s="1609"/>
      <c r="E1183" s="1610" t="s">
        <v>24669</v>
      </c>
      <c r="F1183" s="1610"/>
      <c r="G1183" s="1610"/>
      <c r="H1183" s="1610"/>
      <c r="I1183" s="1610"/>
      <c r="J1183" s="1610"/>
      <c r="K1183" s="1610"/>
      <c r="L1183" s="1146"/>
      <c r="M1183" s="1611"/>
      <c r="N1183" s="1577"/>
    </row>
    <row r="1184" spans="2:14" x14ac:dyDescent="0.3">
      <c r="B1184" s="1103" t="s">
        <v>24670</v>
      </c>
      <c r="C1184" s="1586" t="s">
        <v>25315</v>
      </c>
      <c r="D1184" s="1586"/>
      <c r="E1184" s="1586"/>
      <c r="F1184" s="1586"/>
      <c r="G1184" s="1586"/>
      <c r="H1184" s="1586"/>
      <c r="I1184" s="1586"/>
      <c r="J1184" s="1586"/>
      <c r="K1184" s="1586"/>
      <c r="L1184" s="1586"/>
      <c r="M1184" s="1586"/>
      <c r="N1184" s="1587"/>
    </row>
    <row r="1185" spans="2:14" x14ac:dyDescent="0.3">
      <c r="B1185" s="1103" t="s">
        <v>24671</v>
      </c>
      <c r="C1185" s="1588" t="s">
        <v>8</v>
      </c>
      <c r="D1185" s="1588"/>
      <c r="E1185" s="1588"/>
      <c r="F1185" s="1588"/>
      <c r="G1185" s="1588"/>
      <c r="H1185" s="1588"/>
      <c r="I1185" s="1588"/>
      <c r="J1185" s="1588"/>
      <c r="K1185" s="1588"/>
      <c r="L1185" s="1588"/>
      <c r="M1185" s="1588"/>
      <c r="N1185" s="1589"/>
    </row>
    <row r="1186" spans="2:14" ht="15.75" thickBot="1" x14ac:dyDescent="0.35">
      <c r="B1186" s="1103" t="s">
        <v>24672</v>
      </c>
      <c r="C1186" s="1590">
        <v>44501</v>
      </c>
      <c r="D1186" s="1591"/>
      <c r="E1186" s="1591"/>
      <c r="F1186" s="1591"/>
      <c r="G1186" s="1591"/>
      <c r="H1186" s="1591"/>
      <c r="I1186" s="1591"/>
      <c r="J1186" s="1591"/>
      <c r="K1186" s="1591"/>
      <c r="L1186" s="1591"/>
      <c r="M1186" s="1591"/>
      <c r="N1186" s="1592"/>
    </row>
    <row r="1187" spans="2:14" ht="30" x14ac:dyDescent="0.3">
      <c r="B1187" s="1104" t="s">
        <v>0</v>
      </c>
      <c r="C1187" s="1105" t="s">
        <v>24673</v>
      </c>
      <c r="D1187" s="1593" t="s">
        <v>24674</v>
      </c>
      <c r="E1187" s="1593"/>
      <c r="F1187" s="1593"/>
      <c r="G1187" s="1594"/>
      <c r="H1187" s="1106" t="s">
        <v>111</v>
      </c>
      <c r="I1187" s="1106" t="s">
        <v>24675</v>
      </c>
      <c r="J1187" s="1106" t="s">
        <v>24676</v>
      </c>
      <c r="K1187" s="1106" t="s">
        <v>24677</v>
      </c>
      <c r="L1187" s="1106"/>
      <c r="M1187" s="1106" t="s">
        <v>24678</v>
      </c>
      <c r="N1187" s="1114" t="s">
        <v>24679</v>
      </c>
    </row>
    <row r="1188" spans="2:14" x14ac:dyDescent="0.3">
      <c r="B1188" s="1115"/>
      <c r="C1188" s="1108"/>
      <c r="D1188" s="1595"/>
      <c r="E1188" s="1595"/>
      <c r="F1188" s="1595"/>
      <c r="G1188" s="1596"/>
      <c r="H1188" s="1109"/>
      <c r="I1188" s="1109"/>
      <c r="J1188" s="1109"/>
      <c r="K1188" s="1109"/>
      <c r="L1188" s="1109"/>
      <c r="M1188" s="1109"/>
      <c r="N1188" s="1119"/>
    </row>
    <row r="1189" spans="2:14" ht="15.75" thickBot="1" x14ac:dyDescent="0.35">
      <c r="B1189" s="855"/>
      <c r="C1189" s="954"/>
      <c r="D1189" s="954"/>
      <c r="E1189" s="954"/>
      <c r="F1189" s="1110"/>
      <c r="G1189" s="1110"/>
      <c r="H1189" s="1110"/>
      <c r="I1189" s="1110"/>
      <c r="J1189" s="1110"/>
      <c r="K1189" s="1110"/>
      <c r="L1189" s="1110"/>
      <c r="M1189" s="1111" t="s">
        <v>24680</v>
      </c>
      <c r="N1189" s="1112">
        <f>SUM(N1188)</f>
        <v>0</v>
      </c>
    </row>
    <row r="1190" spans="2:14" ht="15.75" thickBot="1" x14ac:dyDescent="0.35">
      <c r="B1190" s="850"/>
      <c r="C1190" s="461"/>
      <c r="D1190" s="461"/>
      <c r="E1190" s="461"/>
      <c r="F1190" s="461"/>
      <c r="G1190" s="461"/>
      <c r="H1190" s="461"/>
      <c r="I1190" s="461"/>
      <c r="J1190" s="461"/>
      <c r="K1190" s="461"/>
      <c r="L1190" s="461"/>
      <c r="M1190" s="461"/>
      <c r="N1190" s="1113"/>
    </row>
    <row r="1191" spans="2:14" ht="45" x14ac:dyDescent="0.3">
      <c r="B1191" s="1104" t="s">
        <v>0</v>
      </c>
      <c r="C1191" s="1105" t="s">
        <v>24673</v>
      </c>
      <c r="D1191" s="1593" t="s">
        <v>24681</v>
      </c>
      <c r="E1191" s="1593"/>
      <c r="F1191" s="1593"/>
      <c r="G1191" s="1593"/>
      <c r="H1191" s="1594"/>
      <c r="I1191" s="1106" t="s">
        <v>3686</v>
      </c>
      <c r="J1191" s="1106" t="s">
        <v>24682</v>
      </c>
      <c r="K1191" s="1106" t="s">
        <v>24861</v>
      </c>
      <c r="L1191" s="1106" t="s">
        <v>24862</v>
      </c>
      <c r="M1191" s="1106" t="s">
        <v>24683</v>
      </c>
      <c r="N1191" s="1114" t="s">
        <v>24679</v>
      </c>
    </row>
    <row r="1192" spans="2:14" x14ac:dyDescent="0.3">
      <c r="B1192" s="1115">
        <v>10101</v>
      </c>
      <c r="C1192" s="1116" t="s">
        <v>4389</v>
      </c>
      <c r="D1192" s="1604" t="s">
        <v>24788</v>
      </c>
      <c r="E1192" s="1604"/>
      <c r="F1192" s="1604"/>
      <c r="G1192" s="1604"/>
      <c r="H1192" s="1605"/>
      <c r="I1192" s="1109" t="s">
        <v>75</v>
      </c>
      <c r="J1192" s="1117">
        <v>1.5727</v>
      </c>
      <c r="K1192" s="1143">
        <v>6.27</v>
      </c>
      <c r="L1192" s="1143">
        <f>K1192*(1+J1192)</f>
        <v>16.13</v>
      </c>
      <c r="M1192" s="1118">
        <v>0.3</v>
      </c>
      <c r="N1192" s="1119">
        <f>L1192*M1192</f>
        <v>4.84</v>
      </c>
    </row>
    <row r="1193" spans="2:14" x14ac:dyDescent="0.3">
      <c r="B1193" s="1115">
        <v>10115</v>
      </c>
      <c r="C1193" s="1116" t="s">
        <v>4389</v>
      </c>
      <c r="D1193" s="1604" t="s">
        <v>24771</v>
      </c>
      <c r="E1193" s="1604"/>
      <c r="F1193" s="1604"/>
      <c r="G1193" s="1604"/>
      <c r="H1193" s="1605"/>
      <c r="I1193" s="1109" t="s">
        <v>75</v>
      </c>
      <c r="J1193" s="1117">
        <v>1.5727</v>
      </c>
      <c r="K1193" s="1143">
        <v>7.43</v>
      </c>
      <c r="L1193" s="1143">
        <f>K1193*(1+J1193)</f>
        <v>19.12</v>
      </c>
      <c r="M1193" s="1118">
        <v>0.3</v>
      </c>
      <c r="N1193" s="1119">
        <f>L1193*M1193</f>
        <v>5.74</v>
      </c>
    </row>
    <row r="1194" spans="2:14" ht="15.75" thickBot="1" x14ac:dyDescent="0.35">
      <c r="B1194" s="855"/>
      <c r="C1194" s="954"/>
      <c r="D1194" s="954"/>
      <c r="E1194" s="954"/>
      <c r="F1194" s="1110"/>
      <c r="G1194" s="1110"/>
      <c r="H1194" s="1110"/>
      <c r="I1194" s="1110"/>
      <c r="J1194" s="1110"/>
      <c r="K1194" s="1110"/>
      <c r="L1194" s="1110"/>
      <c r="M1194" s="1111" t="s">
        <v>24684</v>
      </c>
      <c r="N1194" s="1112">
        <f>SUM(N1192:N1193)</f>
        <v>10.58</v>
      </c>
    </row>
    <row r="1195" spans="2:14" ht="15.75" thickBot="1" x14ac:dyDescent="0.35">
      <c r="B1195" s="850"/>
      <c r="C1195" s="461"/>
      <c r="D1195" s="461"/>
      <c r="E1195" s="461"/>
      <c r="F1195" s="461"/>
      <c r="G1195" s="461"/>
      <c r="H1195" s="461"/>
      <c r="I1195" s="1120"/>
      <c r="J1195" s="1120"/>
      <c r="K1195" s="461"/>
      <c r="L1195" s="461"/>
      <c r="M1195" s="461"/>
      <c r="N1195" s="1113"/>
    </row>
    <row r="1196" spans="2:14" ht="30" x14ac:dyDescent="0.3">
      <c r="B1196" s="1104" t="s">
        <v>0</v>
      </c>
      <c r="C1196" s="1105" t="s">
        <v>24673</v>
      </c>
      <c r="D1196" s="1593" t="s">
        <v>24685</v>
      </c>
      <c r="E1196" s="1593"/>
      <c r="F1196" s="1593"/>
      <c r="G1196" s="1593"/>
      <c r="H1196" s="1594"/>
      <c r="I1196" s="1106" t="s">
        <v>2858</v>
      </c>
      <c r="J1196" s="1106" t="s">
        <v>24686</v>
      </c>
      <c r="K1196" s="1106" t="s">
        <v>24687</v>
      </c>
      <c r="L1196" s="1106"/>
      <c r="M1196" s="1106" t="s">
        <v>24688</v>
      </c>
      <c r="N1196" s="1114" t="s">
        <v>24689</v>
      </c>
    </row>
    <row r="1197" spans="2:14" x14ac:dyDescent="0.3">
      <c r="B1197" s="1115"/>
      <c r="C1197" s="1116"/>
      <c r="D1197" s="1604"/>
      <c r="E1197" s="1604"/>
      <c r="F1197" s="1604"/>
      <c r="G1197" s="1604"/>
      <c r="H1197" s="1605"/>
      <c r="I1197" s="1109"/>
      <c r="J1197" s="1109"/>
      <c r="K1197" s="1109"/>
      <c r="L1197" s="1109"/>
      <c r="M1197" s="1109"/>
      <c r="N1197" s="1119"/>
    </row>
    <row r="1198" spans="2:14" x14ac:dyDescent="0.3">
      <c r="B1198" s="850"/>
      <c r="C1198" s="461"/>
      <c r="D1198" s="461"/>
      <c r="E1198" s="461"/>
      <c r="F1198" s="1120"/>
      <c r="G1198" s="1120"/>
      <c r="H1198" s="1120"/>
      <c r="I1198" s="1120"/>
      <c r="J1198" s="1120"/>
      <c r="K1198" s="1120"/>
      <c r="L1198" s="1120"/>
      <c r="M1198" s="1121" t="s">
        <v>24690</v>
      </c>
      <c r="N1198" s="1122">
        <f>SUM(N1197:N1197)</f>
        <v>0</v>
      </c>
    </row>
    <row r="1199" spans="2:14" x14ac:dyDescent="0.3">
      <c r="B1199" s="850"/>
      <c r="C1199" s="461"/>
      <c r="D1199" s="461"/>
      <c r="E1199" s="461"/>
      <c r="F1199" s="461"/>
      <c r="G1199" s="461"/>
      <c r="H1199" s="461"/>
      <c r="I1199" s="461"/>
      <c r="J1199" s="461"/>
      <c r="K1199" s="461"/>
      <c r="L1199" s="461"/>
      <c r="M1199" s="461"/>
      <c r="N1199" s="1113"/>
    </row>
    <row r="1200" spans="2:14" x14ac:dyDescent="0.3">
      <c r="B1200" s="850"/>
      <c r="C1200" s="461"/>
      <c r="D1200" s="461"/>
      <c r="E1200" s="461"/>
      <c r="F1200" s="1120"/>
      <c r="G1200" s="1120"/>
      <c r="H1200" s="1120"/>
      <c r="I1200" s="863"/>
      <c r="J1200" s="863"/>
      <c r="K1200" s="863"/>
      <c r="L1200" s="863"/>
      <c r="M1200" s="1121" t="s">
        <v>24691</v>
      </c>
      <c r="N1200" s="1123">
        <f>N1189+N1194+N1198</f>
        <v>10.58</v>
      </c>
    </row>
    <row r="1201" spans="2:14" x14ac:dyDescent="0.3">
      <c r="B1201" s="850"/>
      <c r="C1201" s="461"/>
      <c r="D1201" s="461"/>
      <c r="E1201" s="461"/>
      <c r="F1201" s="1120"/>
      <c r="G1201" s="1120"/>
      <c r="H1201" s="1120"/>
      <c r="I1201" s="1120"/>
      <c r="J1201" s="1124"/>
      <c r="K1201" s="1124"/>
      <c r="L1201" s="1124"/>
      <c r="M1201" s="1125" t="s">
        <v>24692</v>
      </c>
      <c r="N1201" s="1123">
        <v>1</v>
      </c>
    </row>
    <row r="1202" spans="2:14" ht="15.75" thickBot="1" x14ac:dyDescent="0.35">
      <c r="B1202" s="855"/>
      <c r="C1202" s="954"/>
      <c r="D1202" s="954"/>
      <c r="E1202" s="954"/>
      <c r="F1202" s="1110"/>
      <c r="G1202" s="1110"/>
      <c r="H1202" s="1110"/>
      <c r="I1202" s="1110"/>
      <c r="J1202" s="1110"/>
      <c r="K1202" s="1110"/>
      <c r="L1202" s="1110"/>
      <c r="M1202" s="1111" t="s">
        <v>24693</v>
      </c>
      <c r="N1202" s="1126">
        <f>TRUNC(N1200/N1201,2)</f>
        <v>10.58</v>
      </c>
    </row>
    <row r="1203" spans="2:14" ht="15.75" thickBot="1" x14ac:dyDescent="0.35">
      <c r="B1203" s="850"/>
      <c r="C1203" s="461"/>
      <c r="D1203" s="461"/>
      <c r="E1203" s="461"/>
      <c r="F1203" s="461"/>
      <c r="G1203" s="461"/>
      <c r="H1203" s="461"/>
      <c r="I1203" s="461"/>
      <c r="J1203" s="461"/>
      <c r="K1203" s="461"/>
      <c r="L1203" s="461"/>
      <c r="M1203" s="461"/>
      <c r="N1203" s="1113"/>
    </row>
    <row r="1204" spans="2:14" ht="30" x14ac:dyDescent="0.3">
      <c r="B1204" s="1104" t="s">
        <v>0</v>
      </c>
      <c r="C1204" s="1105" t="s">
        <v>24673</v>
      </c>
      <c r="D1204" s="1593" t="s">
        <v>24694</v>
      </c>
      <c r="E1204" s="1593"/>
      <c r="F1204" s="1593"/>
      <c r="G1204" s="1593"/>
      <c r="H1204" s="1593"/>
      <c r="I1204" s="1594"/>
      <c r="J1204" s="1106" t="s">
        <v>3686</v>
      </c>
      <c r="K1204" s="1106" t="s">
        <v>24695</v>
      </c>
      <c r="L1204" s="1106"/>
      <c r="M1204" s="1106" t="s">
        <v>24683</v>
      </c>
      <c r="N1204" s="1114" t="s">
        <v>24689</v>
      </c>
    </row>
    <row r="1205" spans="2:14" ht="30" x14ac:dyDescent="0.3">
      <c r="B1205" s="1115"/>
      <c r="C1205" s="1116" t="s">
        <v>24708</v>
      </c>
      <c r="D1205" s="1604" t="s">
        <v>25315</v>
      </c>
      <c r="E1205" s="1604"/>
      <c r="F1205" s="1604"/>
      <c r="G1205" s="1604"/>
      <c r="H1205" s="1604"/>
      <c r="I1205" s="1605"/>
      <c r="J1205" s="1109" t="s">
        <v>24755</v>
      </c>
      <c r="K1205" s="1143">
        <f>'MAPA DE COT. - Quiosque'!H251</f>
        <v>11.89</v>
      </c>
      <c r="L1205" s="1143"/>
      <c r="M1205" s="1118">
        <v>1</v>
      </c>
      <c r="N1205" s="1119">
        <f>K1205*M1205</f>
        <v>11.89</v>
      </c>
    </row>
    <row r="1206" spans="2:14" x14ac:dyDescent="0.3">
      <c r="B1206" s="1115"/>
      <c r="C1206" s="1116"/>
      <c r="D1206" s="1604"/>
      <c r="E1206" s="1604"/>
      <c r="F1206" s="1604"/>
      <c r="G1206" s="1604"/>
      <c r="H1206" s="1604"/>
      <c r="I1206" s="1605"/>
      <c r="J1206" s="1109"/>
      <c r="K1206" s="1109"/>
      <c r="L1206" s="1109"/>
      <c r="M1206" s="1118"/>
      <c r="N1206" s="1119"/>
    </row>
    <row r="1207" spans="2:14" ht="15.75" thickBot="1" x14ac:dyDescent="0.35">
      <c r="B1207" s="855"/>
      <c r="C1207" s="954"/>
      <c r="D1207" s="954"/>
      <c r="E1207" s="954"/>
      <c r="F1207" s="1110"/>
      <c r="G1207" s="1110"/>
      <c r="H1207" s="1110"/>
      <c r="I1207" s="1110"/>
      <c r="J1207" s="1110"/>
      <c r="K1207" s="1110"/>
      <c r="L1207" s="1110"/>
      <c r="M1207" s="1111" t="s">
        <v>24696</v>
      </c>
      <c r="N1207" s="1112">
        <f>SUM(N1205:N1205)</f>
        <v>11.89</v>
      </c>
    </row>
    <row r="1208" spans="2:14" ht="15.75" thickBot="1" x14ac:dyDescent="0.35">
      <c r="B1208" s="850"/>
      <c r="C1208" s="461"/>
      <c r="D1208" s="461"/>
      <c r="E1208" s="461"/>
      <c r="F1208" s="461"/>
      <c r="G1208" s="461"/>
      <c r="H1208" s="461"/>
      <c r="I1208" s="461"/>
      <c r="J1208" s="461"/>
      <c r="K1208" s="461"/>
      <c r="L1208" s="461"/>
      <c r="M1208" s="461"/>
      <c r="N1208" s="1113"/>
    </row>
    <row r="1209" spans="2:14" ht="30" x14ac:dyDescent="0.3">
      <c r="B1209" s="1104" t="s">
        <v>0</v>
      </c>
      <c r="C1209" s="1106" t="s">
        <v>24673</v>
      </c>
      <c r="D1209" s="1593" t="s">
        <v>24697</v>
      </c>
      <c r="E1209" s="1593"/>
      <c r="F1209" s="1593"/>
      <c r="G1209" s="1593"/>
      <c r="H1209" s="1593"/>
      <c r="I1209" s="1594"/>
      <c r="J1209" s="1106" t="s">
        <v>3686</v>
      </c>
      <c r="K1209" s="1106" t="s">
        <v>24695</v>
      </c>
      <c r="L1209" s="1106"/>
      <c r="M1209" s="1106" t="s">
        <v>24683</v>
      </c>
      <c r="N1209" s="1114" t="s">
        <v>24689</v>
      </c>
    </row>
    <row r="1210" spans="2:14" x14ac:dyDescent="0.3">
      <c r="B1210" s="1127"/>
      <c r="C1210" s="1128"/>
      <c r="D1210" s="1604"/>
      <c r="E1210" s="1604"/>
      <c r="F1210" s="1604"/>
      <c r="G1210" s="1604"/>
      <c r="H1210" s="1604"/>
      <c r="I1210" s="1605"/>
      <c r="J1210" s="462"/>
      <c r="K1210" s="462"/>
      <c r="L1210" s="462"/>
      <c r="M1210" s="1147"/>
      <c r="N1210" s="1130"/>
    </row>
    <row r="1211" spans="2:14" ht="15.75" thickBot="1" x14ac:dyDescent="0.35">
      <c r="B1211" s="855"/>
      <c r="C1211" s="954"/>
      <c r="D1211" s="954"/>
      <c r="E1211" s="954"/>
      <c r="F1211" s="1110"/>
      <c r="G1211" s="1110"/>
      <c r="H1211" s="1110"/>
      <c r="I1211" s="1110"/>
      <c r="J1211" s="1110"/>
      <c r="K1211" s="1110"/>
      <c r="L1211" s="1110"/>
      <c r="M1211" s="1111" t="s">
        <v>24698</v>
      </c>
      <c r="N1211" s="1112">
        <f>SUM(N1210:N1210)</f>
        <v>0</v>
      </c>
    </row>
    <row r="1212" spans="2:14" ht="15.75" thickBot="1" x14ac:dyDescent="0.35">
      <c r="B1212" s="850"/>
      <c r="C1212" s="461"/>
      <c r="D1212" s="461"/>
      <c r="E1212" s="461"/>
      <c r="F1212" s="461"/>
      <c r="G1212" s="461"/>
      <c r="H1212" s="461"/>
      <c r="I1212" s="461"/>
      <c r="J1212" s="461"/>
      <c r="K1212" s="461"/>
      <c r="L1212" s="461"/>
      <c r="M1212" s="461"/>
      <c r="N1212" s="1113"/>
    </row>
    <row r="1213" spans="2:14" ht="30" x14ac:dyDescent="0.3">
      <c r="B1213" s="1104" t="s">
        <v>0</v>
      </c>
      <c r="C1213" s="1106" t="s">
        <v>24673</v>
      </c>
      <c r="D1213" s="1593" t="s">
        <v>24699</v>
      </c>
      <c r="E1213" s="1593"/>
      <c r="F1213" s="1593"/>
      <c r="G1213" s="1594"/>
      <c r="H1213" s="1106" t="s">
        <v>3686</v>
      </c>
      <c r="I1213" s="1106" t="s">
        <v>24700</v>
      </c>
      <c r="J1213" s="1106" t="s">
        <v>24701</v>
      </c>
      <c r="K1213" s="1106" t="s">
        <v>24695</v>
      </c>
      <c r="L1213" s="1106"/>
      <c r="M1213" s="1106" t="s">
        <v>24683</v>
      </c>
      <c r="N1213" s="1114" t="s">
        <v>24689</v>
      </c>
    </row>
    <row r="1214" spans="2:14" x14ac:dyDescent="0.3">
      <c r="B1214" s="1115"/>
      <c r="C1214" s="1116"/>
      <c r="D1214" s="1595"/>
      <c r="E1214" s="1595"/>
      <c r="F1214" s="1595"/>
      <c r="G1214" s="1595"/>
      <c r="H1214" s="1109"/>
      <c r="I1214" s="1109"/>
      <c r="J1214" s="1109"/>
      <c r="K1214" s="1109"/>
      <c r="L1214" s="1109"/>
      <c r="M1214" s="1118"/>
      <c r="N1214" s="1119"/>
    </row>
    <row r="1215" spans="2:14" x14ac:dyDescent="0.3">
      <c r="B1215" s="850"/>
      <c r="C1215" s="461"/>
      <c r="D1215" s="461"/>
      <c r="E1215" s="461"/>
      <c r="F1215" s="1120"/>
      <c r="G1215" s="1120"/>
      <c r="H1215" s="1120"/>
      <c r="I1215" s="1120"/>
      <c r="J1215" s="1120"/>
      <c r="K1215" s="1120"/>
      <c r="L1215" s="1120"/>
      <c r="M1215" s="1121" t="s">
        <v>24702</v>
      </c>
      <c r="N1215" s="1122">
        <f>SUM(N1214:N1214)</f>
        <v>0</v>
      </c>
    </row>
    <row r="1216" spans="2:14" x14ac:dyDescent="0.3">
      <c r="B1216" s="850"/>
      <c r="C1216" s="461"/>
      <c r="D1216" s="461"/>
      <c r="E1216" s="461"/>
      <c r="F1216" s="461"/>
      <c r="G1216" s="461"/>
      <c r="H1216" s="461"/>
      <c r="I1216" s="461"/>
      <c r="J1216" s="461"/>
      <c r="K1216" s="461"/>
      <c r="L1216" s="461"/>
      <c r="M1216" s="461"/>
      <c r="N1216" s="1113"/>
    </row>
    <row r="1217" spans="2:14" x14ac:dyDescent="0.3">
      <c r="B1217" s="1131"/>
      <c r="C1217" s="1132"/>
      <c r="D1217" s="1132"/>
      <c r="E1217" s="1132"/>
      <c r="F1217" s="1133"/>
      <c r="G1217" s="1133"/>
      <c r="H1217" s="1133"/>
      <c r="I1217" s="1133"/>
      <c r="J1217" s="1133"/>
      <c r="K1217" s="1133"/>
      <c r="L1217" s="1133"/>
      <c r="M1217" s="1134" t="s">
        <v>24703</v>
      </c>
      <c r="N1217" s="1123">
        <f>N1202+N1207+N1211+N1215</f>
        <v>22.47</v>
      </c>
    </row>
    <row r="1218" spans="2:14" x14ac:dyDescent="0.3">
      <c r="B1218" s="850"/>
      <c r="C1218" s="461"/>
      <c r="D1218" s="461"/>
      <c r="E1218" s="461"/>
      <c r="F1218" s="1120"/>
      <c r="G1218" s="1120"/>
      <c r="H1218" s="1120"/>
      <c r="I1218" s="1120"/>
      <c r="J1218" s="1120"/>
      <c r="K1218" s="1120"/>
      <c r="L1218" s="1120"/>
      <c r="M1218" s="1136">
        <f>'QUIOSQUE - MOD 01'!I3</f>
        <v>0.28220000000000001</v>
      </c>
      <c r="N1218" s="1123">
        <f>N1217*M1218</f>
        <v>6.34</v>
      </c>
    </row>
    <row r="1219" spans="2:14" ht="15.75" thickBot="1" x14ac:dyDescent="0.35">
      <c r="B1219" s="1599" t="s">
        <v>24704</v>
      </c>
      <c r="C1219" s="1600"/>
      <c r="D1219" s="1600"/>
      <c r="E1219" s="1600"/>
      <c r="F1219" s="1600"/>
      <c r="G1219" s="1600"/>
      <c r="H1219" s="1600"/>
      <c r="I1219" s="1600"/>
      <c r="J1219" s="1600"/>
      <c r="K1219" s="1600"/>
      <c r="L1219" s="1600"/>
      <c r="M1219" s="1601"/>
      <c r="N1219" s="1126">
        <f>N1217+N1218</f>
        <v>28.81</v>
      </c>
    </row>
    <row r="1222" spans="2:14" ht="15.75" thickBot="1" x14ac:dyDescent="0.35"/>
    <row r="1223" spans="2:14" ht="48" customHeight="1" x14ac:dyDescent="0.3">
      <c r="B1223" s="1607" t="s">
        <v>25316</v>
      </c>
      <c r="C1223" s="1608"/>
      <c r="D1223" s="1609"/>
      <c r="E1223" s="1610" t="s">
        <v>24669</v>
      </c>
      <c r="F1223" s="1610"/>
      <c r="G1223" s="1610"/>
      <c r="H1223" s="1610"/>
      <c r="I1223" s="1610"/>
      <c r="J1223" s="1610"/>
      <c r="K1223" s="1610"/>
      <c r="L1223" s="1146"/>
      <c r="M1223" s="1611"/>
      <c r="N1223" s="1577"/>
    </row>
    <row r="1224" spans="2:14" x14ac:dyDescent="0.3">
      <c r="B1224" s="1103" t="s">
        <v>24670</v>
      </c>
      <c r="C1224" s="1586" t="s">
        <v>25317</v>
      </c>
      <c r="D1224" s="1586"/>
      <c r="E1224" s="1586"/>
      <c r="F1224" s="1586"/>
      <c r="G1224" s="1586"/>
      <c r="H1224" s="1586"/>
      <c r="I1224" s="1586"/>
      <c r="J1224" s="1586"/>
      <c r="K1224" s="1586"/>
      <c r="L1224" s="1586"/>
      <c r="M1224" s="1586"/>
      <c r="N1224" s="1587"/>
    </row>
    <row r="1225" spans="2:14" x14ac:dyDescent="0.3">
      <c r="B1225" s="1103" t="s">
        <v>24671</v>
      </c>
      <c r="C1225" s="1588" t="s">
        <v>8</v>
      </c>
      <c r="D1225" s="1588"/>
      <c r="E1225" s="1588"/>
      <c r="F1225" s="1588"/>
      <c r="G1225" s="1588"/>
      <c r="H1225" s="1588"/>
      <c r="I1225" s="1588"/>
      <c r="J1225" s="1588"/>
      <c r="K1225" s="1588"/>
      <c r="L1225" s="1588"/>
      <c r="M1225" s="1588"/>
      <c r="N1225" s="1589"/>
    </row>
    <row r="1226" spans="2:14" ht="15.75" thickBot="1" x14ac:dyDescent="0.35">
      <c r="B1226" s="1103" t="s">
        <v>24672</v>
      </c>
      <c r="C1226" s="1590">
        <v>44501</v>
      </c>
      <c r="D1226" s="1591"/>
      <c r="E1226" s="1591"/>
      <c r="F1226" s="1591"/>
      <c r="G1226" s="1591"/>
      <c r="H1226" s="1591"/>
      <c r="I1226" s="1591"/>
      <c r="J1226" s="1591"/>
      <c r="K1226" s="1591"/>
      <c r="L1226" s="1591"/>
      <c r="M1226" s="1591"/>
      <c r="N1226" s="1592"/>
    </row>
    <row r="1227" spans="2:14" ht="30" x14ac:dyDescent="0.3">
      <c r="B1227" s="1104" t="s">
        <v>0</v>
      </c>
      <c r="C1227" s="1105" t="s">
        <v>24673</v>
      </c>
      <c r="D1227" s="1593" t="s">
        <v>24674</v>
      </c>
      <c r="E1227" s="1593"/>
      <c r="F1227" s="1593"/>
      <c r="G1227" s="1594"/>
      <c r="H1227" s="1106" t="s">
        <v>111</v>
      </c>
      <c r="I1227" s="1106" t="s">
        <v>24675</v>
      </c>
      <c r="J1227" s="1106" t="s">
        <v>24676</v>
      </c>
      <c r="K1227" s="1106" t="s">
        <v>24677</v>
      </c>
      <c r="L1227" s="1106"/>
      <c r="M1227" s="1106" t="s">
        <v>24678</v>
      </c>
      <c r="N1227" s="1114" t="s">
        <v>24679</v>
      </c>
    </row>
    <row r="1228" spans="2:14" x14ac:dyDescent="0.3">
      <c r="B1228" s="1115"/>
      <c r="C1228" s="1108"/>
      <c r="D1228" s="1595"/>
      <c r="E1228" s="1595"/>
      <c r="F1228" s="1595"/>
      <c r="G1228" s="1596"/>
      <c r="H1228" s="1109"/>
      <c r="I1228" s="1109"/>
      <c r="J1228" s="1109"/>
      <c r="K1228" s="1109"/>
      <c r="L1228" s="1109"/>
      <c r="M1228" s="1109"/>
      <c r="N1228" s="1119"/>
    </row>
    <row r="1229" spans="2:14" ht="15.75" thickBot="1" x14ac:dyDescent="0.35">
      <c r="B1229" s="855"/>
      <c r="C1229" s="954"/>
      <c r="D1229" s="954"/>
      <c r="E1229" s="954"/>
      <c r="F1229" s="1110"/>
      <c r="G1229" s="1110"/>
      <c r="H1229" s="1110"/>
      <c r="I1229" s="1110"/>
      <c r="J1229" s="1110"/>
      <c r="K1229" s="1110"/>
      <c r="L1229" s="1110"/>
      <c r="M1229" s="1111" t="s">
        <v>24680</v>
      </c>
      <c r="N1229" s="1112">
        <f>SUM(N1228)</f>
        <v>0</v>
      </c>
    </row>
    <row r="1230" spans="2:14" ht="15.75" thickBot="1" x14ac:dyDescent="0.35">
      <c r="B1230" s="850"/>
      <c r="C1230" s="461"/>
      <c r="D1230" s="461"/>
      <c r="E1230" s="461"/>
      <c r="F1230" s="461"/>
      <c r="G1230" s="461"/>
      <c r="H1230" s="461"/>
      <c r="I1230" s="461"/>
      <c r="J1230" s="461"/>
      <c r="K1230" s="461"/>
      <c r="L1230" s="461"/>
      <c r="M1230" s="461"/>
      <c r="N1230" s="1113"/>
    </row>
    <row r="1231" spans="2:14" ht="45" x14ac:dyDescent="0.3">
      <c r="B1231" s="1104" t="s">
        <v>0</v>
      </c>
      <c r="C1231" s="1105" t="s">
        <v>24673</v>
      </c>
      <c r="D1231" s="1593" t="s">
        <v>24681</v>
      </c>
      <c r="E1231" s="1593"/>
      <c r="F1231" s="1593"/>
      <c r="G1231" s="1593"/>
      <c r="H1231" s="1594"/>
      <c r="I1231" s="1106" t="s">
        <v>3686</v>
      </c>
      <c r="J1231" s="1106" t="s">
        <v>24682</v>
      </c>
      <c r="K1231" s="1106" t="s">
        <v>24861</v>
      </c>
      <c r="L1231" s="1106" t="s">
        <v>24862</v>
      </c>
      <c r="M1231" s="1106" t="s">
        <v>24683</v>
      </c>
      <c r="N1231" s="1114" t="s">
        <v>24679</v>
      </c>
    </row>
    <row r="1232" spans="2:14" x14ac:dyDescent="0.3">
      <c r="B1232" s="1115">
        <v>10101</v>
      </c>
      <c r="C1232" s="1116" t="s">
        <v>4389</v>
      </c>
      <c r="D1232" s="1604" t="s">
        <v>24788</v>
      </c>
      <c r="E1232" s="1604"/>
      <c r="F1232" s="1604"/>
      <c r="G1232" s="1604"/>
      <c r="H1232" s="1605"/>
      <c r="I1232" s="1109" t="s">
        <v>75</v>
      </c>
      <c r="J1232" s="1117">
        <v>1.5727</v>
      </c>
      <c r="K1232" s="1143">
        <v>6.27</v>
      </c>
      <c r="L1232" s="1143">
        <f>K1232*(1+J1232)</f>
        <v>16.13</v>
      </c>
      <c r="M1232" s="1118">
        <v>1</v>
      </c>
      <c r="N1232" s="1119">
        <f>L1232*M1232</f>
        <v>16.13</v>
      </c>
    </row>
    <row r="1233" spans="2:14" ht="15.75" thickBot="1" x14ac:dyDescent="0.35">
      <c r="B1233" s="855"/>
      <c r="C1233" s="954"/>
      <c r="D1233" s="954"/>
      <c r="E1233" s="954"/>
      <c r="F1233" s="1110"/>
      <c r="G1233" s="1110"/>
      <c r="H1233" s="1110"/>
      <c r="I1233" s="1110"/>
      <c r="J1233" s="1110"/>
      <c r="K1233" s="1110"/>
      <c r="L1233" s="1110"/>
      <c r="M1233" s="1111" t="s">
        <v>24684</v>
      </c>
      <c r="N1233" s="1112">
        <f>SUM(N1232:N1232)</f>
        <v>16.13</v>
      </c>
    </row>
    <row r="1234" spans="2:14" ht="15.75" thickBot="1" x14ac:dyDescent="0.35">
      <c r="B1234" s="850"/>
      <c r="C1234" s="461"/>
      <c r="D1234" s="461"/>
      <c r="E1234" s="461"/>
      <c r="F1234" s="461"/>
      <c r="G1234" s="461"/>
      <c r="H1234" s="461"/>
      <c r="I1234" s="1120"/>
      <c r="J1234" s="1120"/>
      <c r="K1234" s="461"/>
      <c r="L1234" s="461"/>
      <c r="M1234" s="461"/>
      <c r="N1234" s="1113"/>
    </row>
    <row r="1235" spans="2:14" ht="30" x14ac:dyDescent="0.3">
      <c r="B1235" s="1104" t="s">
        <v>0</v>
      </c>
      <c r="C1235" s="1105" t="s">
        <v>24673</v>
      </c>
      <c r="D1235" s="1593" t="s">
        <v>24685</v>
      </c>
      <c r="E1235" s="1593"/>
      <c r="F1235" s="1593"/>
      <c r="G1235" s="1593"/>
      <c r="H1235" s="1594"/>
      <c r="I1235" s="1106" t="s">
        <v>2858</v>
      </c>
      <c r="J1235" s="1106" t="s">
        <v>24686</v>
      </c>
      <c r="K1235" s="1106" t="s">
        <v>24687</v>
      </c>
      <c r="L1235" s="1106"/>
      <c r="M1235" s="1106" t="s">
        <v>24688</v>
      </c>
      <c r="N1235" s="1114" t="s">
        <v>24689</v>
      </c>
    </row>
    <row r="1236" spans="2:14" x14ac:dyDescent="0.3">
      <c r="B1236" s="1115"/>
      <c r="C1236" s="1116"/>
      <c r="D1236" s="1604"/>
      <c r="E1236" s="1604"/>
      <c r="F1236" s="1604"/>
      <c r="G1236" s="1604"/>
      <c r="H1236" s="1605"/>
      <c r="I1236" s="1109"/>
      <c r="J1236" s="1109"/>
      <c r="K1236" s="1109"/>
      <c r="L1236" s="1109"/>
      <c r="M1236" s="1109"/>
      <c r="N1236" s="1119"/>
    </row>
    <row r="1237" spans="2:14" x14ac:dyDescent="0.3">
      <c r="B1237" s="850"/>
      <c r="C1237" s="461"/>
      <c r="D1237" s="461"/>
      <c r="E1237" s="461"/>
      <c r="F1237" s="1120"/>
      <c r="G1237" s="1120"/>
      <c r="H1237" s="1120"/>
      <c r="I1237" s="1120"/>
      <c r="J1237" s="1120"/>
      <c r="K1237" s="1120"/>
      <c r="L1237" s="1120"/>
      <c r="M1237" s="1121" t="s">
        <v>24690</v>
      </c>
      <c r="N1237" s="1122">
        <f>SUM(N1236:N1236)</f>
        <v>0</v>
      </c>
    </row>
    <row r="1238" spans="2:14" x14ac:dyDescent="0.3">
      <c r="B1238" s="850"/>
      <c r="C1238" s="461"/>
      <c r="D1238" s="461"/>
      <c r="E1238" s="461"/>
      <c r="F1238" s="461"/>
      <c r="G1238" s="461"/>
      <c r="H1238" s="461"/>
      <c r="I1238" s="461"/>
      <c r="J1238" s="461"/>
      <c r="K1238" s="461"/>
      <c r="L1238" s="461"/>
      <c r="M1238" s="461"/>
      <c r="N1238" s="1113"/>
    </row>
    <row r="1239" spans="2:14" x14ac:dyDescent="0.3">
      <c r="B1239" s="850"/>
      <c r="C1239" s="461"/>
      <c r="D1239" s="461"/>
      <c r="E1239" s="461"/>
      <c r="F1239" s="1120"/>
      <c r="G1239" s="1120"/>
      <c r="H1239" s="1120"/>
      <c r="I1239" s="863"/>
      <c r="J1239" s="863"/>
      <c r="K1239" s="863"/>
      <c r="L1239" s="863"/>
      <c r="M1239" s="1121" t="s">
        <v>24691</v>
      </c>
      <c r="N1239" s="1123">
        <f>N1229+N1233+N1237</f>
        <v>16.13</v>
      </c>
    </row>
    <row r="1240" spans="2:14" x14ac:dyDescent="0.3">
      <c r="B1240" s="850"/>
      <c r="C1240" s="461"/>
      <c r="D1240" s="461"/>
      <c r="E1240" s="461"/>
      <c r="F1240" s="1120"/>
      <c r="G1240" s="1120"/>
      <c r="H1240" s="1120"/>
      <c r="I1240" s="1120"/>
      <c r="J1240" s="1124"/>
      <c r="K1240" s="1124"/>
      <c r="L1240" s="1124"/>
      <c r="M1240" s="1125" t="s">
        <v>24692</v>
      </c>
      <c r="N1240" s="1123">
        <v>1</v>
      </c>
    </row>
    <row r="1241" spans="2:14" ht="15.75" thickBot="1" x14ac:dyDescent="0.35">
      <c r="B1241" s="855"/>
      <c r="C1241" s="954"/>
      <c r="D1241" s="954"/>
      <c r="E1241" s="954"/>
      <c r="F1241" s="1110"/>
      <c r="G1241" s="1110"/>
      <c r="H1241" s="1110"/>
      <c r="I1241" s="1110"/>
      <c r="J1241" s="1110"/>
      <c r="K1241" s="1110"/>
      <c r="L1241" s="1110"/>
      <c r="M1241" s="1111" t="s">
        <v>24693</v>
      </c>
      <c r="N1241" s="1126">
        <f>TRUNC(N1239/N1240,2)</f>
        <v>16.13</v>
      </c>
    </row>
    <row r="1242" spans="2:14" ht="15.75" thickBot="1" x14ac:dyDescent="0.35">
      <c r="B1242" s="850"/>
      <c r="C1242" s="461"/>
      <c r="D1242" s="461"/>
      <c r="E1242" s="461"/>
      <c r="F1242" s="461"/>
      <c r="G1242" s="461"/>
      <c r="H1242" s="461"/>
      <c r="I1242" s="461"/>
      <c r="J1242" s="461"/>
      <c r="K1242" s="461"/>
      <c r="L1242" s="461"/>
      <c r="M1242" s="461"/>
      <c r="N1242" s="1113"/>
    </row>
    <row r="1243" spans="2:14" ht="30" x14ac:dyDescent="0.3">
      <c r="B1243" s="1104" t="s">
        <v>0</v>
      </c>
      <c r="C1243" s="1105" t="s">
        <v>24673</v>
      </c>
      <c r="D1243" s="1593" t="s">
        <v>24694</v>
      </c>
      <c r="E1243" s="1593"/>
      <c r="F1243" s="1593"/>
      <c r="G1243" s="1593"/>
      <c r="H1243" s="1593"/>
      <c r="I1243" s="1594"/>
      <c r="J1243" s="1106" t="s">
        <v>3686</v>
      </c>
      <c r="K1243" s="1106" t="s">
        <v>24695</v>
      </c>
      <c r="L1243" s="1106"/>
      <c r="M1243" s="1106" t="s">
        <v>24683</v>
      </c>
      <c r="N1243" s="1114" t="s">
        <v>24689</v>
      </c>
    </row>
    <row r="1244" spans="2:14" ht="30" x14ac:dyDescent="0.3">
      <c r="B1244" s="1115" t="s">
        <v>24795</v>
      </c>
      <c r="C1244" s="1116" t="s">
        <v>24793</v>
      </c>
      <c r="D1244" s="1604" t="s">
        <v>25318</v>
      </c>
      <c r="E1244" s="1604"/>
      <c r="F1244" s="1604"/>
      <c r="G1244" s="1604"/>
      <c r="H1244" s="1604"/>
      <c r="I1244" s="1605"/>
      <c r="J1244" s="1109" t="s">
        <v>8</v>
      </c>
      <c r="K1244" s="1143">
        <f>'MAPA DE COT. - Quiosque'!H348</f>
        <v>655.95</v>
      </c>
      <c r="L1244" s="1143"/>
      <c r="M1244" s="1118">
        <v>1</v>
      </c>
      <c r="N1244" s="1119">
        <f>K1244*M1244</f>
        <v>655.95</v>
      </c>
    </row>
    <row r="1245" spans="2:14" x14ac:dyDescent="0.3">
      <c r="B1245" s="1115"/>
      <c r="C1245" s="1116"/>
      <c r="D1245" s="1604"/>
      <c r="E1245" s="1604"/>
      <c r="F1245" s="1604"/>
      <c r="G1245" s="1604"/>
      <c r="H1245" s="1604"/>
      <c r="I1245" s="1605"/>
      <c r="J1245" s="1109"/>
      <c r="K1245" s="1109"/>
      <c r="L1245" s="1109"/>
      <c r="M1245" s="1118"/>
      <c r="N1245" s="1119"/>
    </row>
    <row r="1246" spans="2:14" ht="15.75" thickBot="1" x14ac:dyDescent="0.35">
      <c r="B1246" s="855"/>
      <c r="C1246" s="954"/>
      <c r="D1246" s="954"/>
      <c r="E1246" s="954"/>
      <c r="F1246" s="1110"/>
      <c r="G1246" s="1110"/>
      <c r="H1246" s="1110"/>
      <c r="I1246" s="1110"/>
      <c r="J1246" s="1110"/>
      <c r="K1246" s="1110"/>
      <c r="L1246" s="1110"/>
      <c r="M1246" s="1111" t="s">
        <v>24696</v>
      </c>
      <c r="N1246" s="1112">
        <f>SUM(N1244:N1244)</f>
        <v>655.95</v>
      </c>
    </row>
    <row r="1247" spans="2:14" ht="15.75" thickBot="1" x14ac:dyDescent="0.35">
      <c r="B1247" s="850"/>
      <c r="C1247" s="461"/>
      <c r="D1247" s="461"/>
      <c r="E1247" s="461"/>
      <c r="F1247" s="461"/>
      <c r="G1247" s="461"/>
      <c r="H1247" s="461"/>
      <c r="I1247" s="461"/>
      <c r="J1247" s="461"/>
      <c r="K1247" s="461"/>
      <c r="L1247" s="461"/>
      <c r="M1247" s="461"/>
      <c r="N1247" s="1113"/>
    </row>
    <row r="1248" spans="2:14" ht="30" x14ac:dyDescent="0.3">
      <c r="B1248" s="1104" t="s">
        <v>0</v>
      </c>
      <c r="C1248" s="1106" t="s">
        <v>24673</v>
      </c>
      <c r="D1248" s="1593" t="s">
        <v>24697</v>
      </c>
      <c r="E1248" s="1593"/>
      <c r="F1248" s="1593"/>
      <c r="G1248" s="1593"/>
      <c r="H1248" s="1593"/>
      <c r="I1248" s="1594"/>
      <c r="J1248" s="1106" t="s">
        <v>3686</v>
      </c>
      <c r="K1248" s="1106" t="s">
        <v>24695</v>
      </c>
      <c r="L1248" s="1106"/>
      <c r="M1248" s="1106" t="s">
        <v>24683</v>
      </c>
      <c r="N1248" s="1114" t="s">
        <v>24689</v>
      </c>
    </row>
    <row r="1249" spans="2:14" x14ac:dyDescent="0.3">
      <c r="B1249" s="1127"/>
      <c r="C1249" s="1128"/>
      <c r="D1249" s="1604"/>
      <c r="E1249" s="1604"/>
      <c r="F1249" s="1604"/>
      <c r="G1249" s="1604"/>
      <c r="H1249" s="1604"/>
      <c r="I1249" s="1605"/>
      <c r="J1249" s="462"/>
      <c r="K1249" s="462"/>
      <c r="L1249" s="462"/>
      <c r="M1249" s="1147"/>
      <c r="N1249" s="1130"/>
    </row>
    <row r="1250" spans="2:14" ht="15.75" thickBot="1" x14ac:dyDescent="0.35">
      <c r="B1250" s="855"/>
      <c r="C1250" s="954"/>
      <c r="D1250" s="954"/>
      <c r="E1250" s="954"/>
      <c r="F1250" s="1110"/>
      <c r="G1250" s="1110"/>
      <c r="H1250" s="1110"/>
      <c r="I1250" s="1110"/>
      <c r="J1250" s="1110"/>
      <c r="K1250" s="1110"/>
      <c r="L1250" s="1110"/>
      <c r="M1250" s="1111" t="s">
        <v>24698</v>
      </c>
      <c r="N1250" s="1112">
        <f>SUM(N1249:N1249)</f>
        <v>0</v>
      </c>
    </row>
    <row r="1251" spans="2:14" ht="15.75" thickBot="1" x14ac:dyDescent="0.35">
      <c r="B1251" s="850"/>
      <c r="C1251" s="461"/>
      <c r="D1251" s="461"/>
      <c r="E1251" s="461"/>
      <c r="F1251" s="461"/>
      <c r="G1251" s="461"/>
      <c r="H1251" s="461"/>
      <c r="I1251" s="461"/>
      <c r="J1251" s="461"/>
      <c r="K1251" s="461"/>
      <c r="L1251" s="461"/>
      <c r="M1251" s="461"/>
      <c r="N1251" s="1113"/>
    </row>
    <row r="1252" spans="2:14" ht="30" x14ac:dyDescent="0.3">
      <c r="B1252" s="1104" t="s">
        <v>0</v>
      </c>
      <c r="C1252" s="1106" t="s">
        <v>24673</v>
      </c>
      <c r="D1252" s="1593" t="s">
        <v>24699</v>
      </c>
      <c r="E1252" s="1593"/>
      <c r="F1252" s="1593"/>
      <c r="G1252" s="1594"/>
      <c r="H1252" s="1106" t="s">
        <v>3686</v>
      </c>
      <c r="I1252" s="1106" t="s">
        <v>24700</v>
      </c>
      <c r="J1252" s="1106" t="s">
        <v>24701</v>
      </c>
      <c r="K1252" s="1106" t="s">
        <v>24695</v>
      </c>
      <c r="L1252" s="1106"/>
      <c r="M1252" s="1106" t="s">
        <v>24683</v>
      </c>
      <c r="N1252" s="1114" t="s">
        <v>24689</v>
      </c>
    </row>
    <row r="1253" spans="2:14" x14ac:dyDescent="0.3">
      <c r="B1253" s="1115"/>
      <c r="C1253" s="1116"/>
      <c r="D1253" s="1595"/>
      <c r="E1253" s="1595"/>
      <c r="F1253" s="1595"/>
      <c r="G1253" s="1595"/>
      <c r="H1253" s="1109"/>
      <c r="I1253" s="1109"/>
      <c r="J1253" s="1109"/>
      <c r="K1253" s="1109"/>
      <c r="L1253" s="1109"/>
      <c r="M1253" s="1118"/>
      <c r="N1253" s="1119"/>
    </row>
    <row r="1254" spans="2:14" x14ac:dyDescent="0.3">
      <c r="B1254" s="850"/>
      <c r="C1254" s="461"/>
      <c r="D1254" s="461"/>
      <c r="E1254" s="461"/>
      <c r="F1254" s="1120"/>
      <c r="G1254" s="1120"/>
      <c r="H1254" s="1120"/>
      <c r="I1254" s="1120"/>
      <c r="J1254" s="1120"/>
      <c r="K1254" s="1120"/>
      <c r="L1254" s="1120"/>
      <c r="M1254" s="1121" t="s">
        <v>24702</v>
      </c>
      <c r="N1254" s="1122">
        <f>SUM(N1253:N1253)</f>
        <v>0</v>
      </c>
    </row>
    <row r="1255" spans="2:14" x14ac:dyDescent="0.3">
      <c r="B1255" s="850"/>
      <c r="C1255" s="461"/>
      <c r="D1255" s="461"/>
      <c r="E1255" s="461"/>
      <c r="F1255" s="461"/>
      <c r="G1255" s="461"/>
      <c r="H1255" s="461"/>
      <c r="I1255" s="461"/>
      <c r="J1255" s="461"/>
      <c r="K1255" s="461"/>
      <c r="L1255" s="461"/>
      <c r="M1255" s="461"/>
      <c r="N1255" s="1113"/>
    </row>
    <row r="1256" spans="2:14" x14ac:dyDescent="0.3">
      <c r="B1256" s="1131"/>
      <c r="C1256" s="1132"/>
      <c r="D1256" s="1132"/>
      <c r="E1256" s="1132"/>
      <c r="F1256" s="1133"/>
      <c r="G1256" s="1133"/>
      <c r="H1256" s="1133"/>
      <c r="I1256" s="1133"/>
      <c r="J1256" s="1133"/>
      <c r="K1256" s="1133"/>
      <c r="L1256" s="1133"/>
      <c r="M1256" s="1134" t="s">
        <v>24703</v>
      </c>
      <c r="N1256" s="1123">
        <f>N1241+N1246+N1250+N1254</f>
        <v>672.08</v>
      </c>
    </row>
    <row r="1257" spans="2:14" x14ac:dyDescent="0.3">
      <c r="B1257" s="850"/>
      <c r="C1257" s="461"/>
      <c r="D1257" s="461"/>
      <c r="E1257" s="461"/>
      <c r="F1257" s="1120"/>
      <c r="G1257" s="1120"/>
      <c r="H1257" s="1120"/>
      <c r="I1257" s="1120"/>
      <c r="J1257" s="1120"/>
      <c r="K1257" s="1120"/>
      <c r="L1257" s="1120"/>
      <c r="M1257" s="1136">
        <f>'QUIOSQUE - MOD 01'!I4</f>
        <v>0.15570000000000001</v>
      </c>
      <c r="N1257" s="1123">
        <f>N1256*M1257</f>
        <v>104.64</v>
      </c>
    </row>
    <row r="1258" spans="2:14" ht="15.75" thickBot="1" x14ac:dyDescent="0.35">
      <c r="B1258" s="1599" t="s">
        <v>24704</v>
      </c>
      <c r="C1258" s="1600"/>
      <c r="D1258" s="1600"/>
      <c r="E1258" s="1600"/>
      <c r="F1258" s="1600"/>
      <c r="G1258" s="1600"/>
      <c r="H1258" s="1600"/>
      <c r="I1258" s="1600"/>
      <c r="J1258" s="1600"/>
      <c r="K1258" s="1600"/>
      <c r="L1258" s="1600"/>
      <c r="M1258" s="1601"/>
      <c r="N1258" s="1126">
        <f>N1256+N1257</f>
        <v>776.72</v>
      </c>
    </row>
    <row r="1261" spans="2:14" ht="15.75" thickBot="1" x14ac:dyDescent="0.35"/>
    <row r="1262" spans="2:14" ht="45" customHeight="1" x14ac:dyDescent="0.3">
      <c r="B1262" s="1607" t="s">
        <v>24727</v>
      </c>
      <c r="C1262" s="1608"/>
      <c r="D1262" s="1609"/>
      <c r="E1262" s="1610" t="s">
        <v>24669</v>
      </c>
      <c r="F1262" s="1610"/>
      <c r="G1262" s="1610"/>
      <c r="H1262" s="1610"/>
      <c r="I1262" s="1610"/>
      <c r="J1262" s="1610"/>
      <c r="K1262" s="1610"/>
      <c r="L1262" s="1146"/>
      <c r="M1262" s="1611"/>
      <c r="N1262" s="1577"/>
    </row>
    <row r="1263" spans="2:14" x14ac:dyDescent="0.3">
      <c r="B1263" s="1103" t="s">
        <v>24670</v>
      </c>
      <c r="C1263" s="1586" t="s">
        <v>25319</v>
      </c>
      <c r="D1263" s="1586"/>
      <c r="E1263" s="1586"/>
      <c r="F1263" s="1586"/>
      <c r="G1263" s="1586"/>
      <c r="H1263" s="1586"/>
      <c r="I1263" s="1586"/>
      <c r="J1263" s="1586"/>
      <c r="K1263" s="1586"/>
      <c r="L1263" s="1586"/>
      <c r="M1263" s="1586"/>
      <c r="N1263" s="1587"/>
    </row>
    <row r="1264" spans="2:14" x14ac:dyDescent="0.3">
      <c r="B1264" s="1103" t="s">
        <v>24671</v>
      </c>
      <c r="C1264" s="1588" t="s">
        <v>5</v>
      </c>
      <c r="D1264" s="1588"/>
      <c r="E1264" s="1588"/>
      <c r="F1264" s="1588"/>
      <c r="G1264" s="1588"/>
      <c r="H1264" s="1588"/>
      <c r="I1264" s="1588"/>
      <c r="J1264" s="1588"/>
      <c r="K1264" s="1588"/>
      <c r="L1264" s="1588"/>
      <c r="M1264" s="1588"/>
      <c r="N1264" s="1589"/>
    </row>
    <row r="1265" spans="2:14" ht="15.75" thickBot="1" x14ac:dyDescent="0.35">
      <c r="B1265" s="1103" t="s">
        <v>24672</v>
      </c>
      <c r="C1265" s="1590">
        <v>44501</v>
      </c>
      <c r="D1265" s="1591"/>
      <c r="E1265" s="1591"/>
      <c r="F1265" s="1591"/>
      <c r="G1265" s="1591"/>
      <c r="H1265" s="1591"/>
      <c r="I1265" s="1591"/>
      <c r="J1265" s="1591"/>
      <c r="K1265" s="1591"/>
      <c r="L1265" s="1591"/>
      <c r="M1265" s="1591"/>
      <c r="N1265" s="1592"/>
    </row>
    <row r="1266" spans="2:14" ht="30" x14ac:dyDescent="0.3">
      <c r="B1266" s="1104" t="s">
        <v>0</v>
      </c>
      <c r="C1266" s="1105" t="s">
        <v>24673</v>
      </c>
      <c r="D1266" s="1593" t="s">
        <v>24674</v>
      </c>
      <c r="E1266" s="1593"/>
      <c r="F1266" s="1593"/>
      <c r="G1266" s="1594"/>
      <c r="H1266" s="1106" t="s">
        <v>111</v>
      </c>
      <c r="I1266" s="1106" t="s">
        <v>24675</v>
      </c>
      <c r="J1266" s="1106" t="s">
        <v>24676</v>
      </c>
      <c r="K1266" s="1106" t="s">
        <v>24677</v>
      </c>
      <c r="L1266" s="1106"/>
      <c r="M1266" s="1106" t="s">
        <v>24678</v>
      </c>
      <c r="N1266" s="1114" t="s">
        <v>24679</v>
      </c>
    </row>
    <row r="1267" spans="2:14" x14ac:dyDescent="0.3">
      <c r="B1267" s="1115"/>
      <c r="C1267" s="1108"/>
      <c r="D1267" s="1595"/>
      <c r="E1267" s="1595"/>
      <c r="F1267" s="1595"/>
      <c r="G1267" s="1596"/>
      <c r="H1267" s="1109"/>
      <c r="I1267" s="1109"/>
      <c r="J1267" s="1109"/>
      <c r="K1267" s="1109"/>
      <c r="L1267" s="1109"/>
      <c r="M1267" s="1109"/>
      <c r="N1267" s="1119"/>
    </row>
    <row r="1268" spans="2:14" ht="15.75" thickBot="1" x14ac:dyDescent="0.35">
      <c r="B1268" s="855"/>
      <c r="C1268" s="954"/>
      <c r="D1268" s="954"/>
      <c r="E1268" s="954"/>
      <c r="F1268" s="1110"/>
      <c r="G1268" s="1110"/>
      <c r="H1268" s="1110"/>
      <c r="I1268" s="1110"/>
      <c r="J1268" s="1110"/>
      <c r="K1268" s="1110"/>
      <c r="L1268" s="1110"/>
      <c r="M1268" s="1111" t="s">
        <v>24680</v>
      </c>
      <c r="N1268" s="1112">
        <f>SUM(N1267)</f>
        <v>0</v>
      </c>
    </row>
    <row r="1269" spans="2:14" ht="15.75" thickBot="1" x14ac:dyDescent="0.35">
      <c r="B1269" s="850"/>
      <c r="C1269" s="461"/>
      <c r="D1269" s="461"/>
      <c r="E1269" s="461"/>
      <c r="F1269" s="461"/>
      <c r="G1269" s="461"/>
      <c r="H1269" s="461"/>
      <c r="I1269" s="461"/>
      <c r="J1269" s="461"/>
      <c r="K1269" s="461"/>
      <c r="L1269" s="461"/>
      <c r="M1269" s="461"/>
      <c r="N1269" s="1113"/>
    </row>
    <row r="1270" spans="2:14" ht="45" x14ac:dyDescent="0.3">
      <c r="B1270" s="1104" t="s">
        <v>0</v>
      </c>
      <c r="C1270" s="1105" t="s">
        <v>24673</v>
      </c>
      <c r="D1270" s="1593" t="s">
        <v>24681</v>
      </c>
      <c r="E1270" s="1593"/>
      <c r="F1270" s="1593"/>
      <c r="G1270" s="1593"/>
      <c r="H1270" s="1594"/>
      <c r="I1270" s="1106" t="s">
        <v>3686</v>
      </c>
      <c r="J1270" s="1106" t="s">
        <v>24682</v>
      </c>
      <c r="K1270" s="1106" t="s">
        <v>24861</v>
      </c>
      <c r="L1270" s="1106" t="s">
        <v>24862</v>
      </c>
      <c r="M1270" s="1106" t="s">
        <v>24683</v>
      </c>
      <c r="N1270" s="1114" t="s">
        <v>24679</v>
      </c>
    </row>
    <row r="1271" spans="2:14" x14ac:dyDescent="0.3">
      <c r="B1271" s="1115">
        <v>10139</v>
      </c>
      <c r="C1271" s="1116" t="s">
        <v>4389</v>
      </c>
      <c r="D1271" s="1604" t="s">
        <v>404</v>
      </c>
      <c r="E1271" s="1604"/>
      <c r="F1271" s="1604"/>
      <c r="G1271" s="1604"/>
      <c r="H1271" s="1605"/>
      <c r="I1271" s="1109" t="s">
        <v>75</v>
      </c>
      <c r="J1271" s="1117">
        <v>1.5727</v>
      </c>
      <c r="K1271" s="1143">
        <v>7.43</v>
      </c>
      <c r="L1271" s="1143">
        <f>K1271*(1+J1271)</f>
        <v>19.12</v>
      </c>
      <c r="M1271" s="1118">
        <v>0.35630000000000001</v>
      </c>
      <c r="N1271" s="1119">
        <f>L1271*M1271</f>
        <v>6.81</v>
      </c>
    </row>
    <row r="1272" spans="2:14" x14ac:dyDescent="0.3">
      <c r="B1272" s="1115">
        <v>10146</v>
      </c>
      <c r="C1272" s="1116" t="s">
        <v>4389</v>
      </c>
      <c r="D1272" s="1604" t="s">
        <v>405</v>
      </c>
      <c r="E1272" s="1604"/>
      <c r="F1272" s="1604"/>
      <c r="G1272" s="1604"/>
      <c r="H1272" s="1605"/>
      <c r="I1272" s="1109" t="s">
        <v>75</v>
      </c>
      <c r="J1272" s="1117">
        <v>1.5727</v>
      </c>
      <c r="K1272" s="1143">
        <v>5.46</v>
      </c>
      <c r="L1272" s="1143">
        <f>K1272*(1+J1272)</f>
        <v>14.05</v>
      </c>
      <c r="M1272" s="1118">
        <v>0.1779</v>
      </c>
      <c r="N1272" s="1119">
        <f>L1272*M1272</f>
        <v>2.5</v>
      </c>
    </row>
    <row r="1273" spans="2:14" ht="15.75" thickBot="1" x14ac:dyDescent="0.35">
      <c r="B1273" s="855"/>
      <c r="C1273" s="954"/>
      <c r="D1273" s="954"/>
      <c r="E1273" s="954"/>
      <c r="F1273" s="1110"/>
      <c r="G1273" s="1110"/>
      <c r="H1273" s="1110"/>
      <c r="I1273" s="1110"/>
      <c r="J1273" s="1110"/>
      <c r="K1273" s="1110"/>
      <c r="L1273" s="1110"/>
      <c r="M1273" s="1111" t="s">
        <v>24684</v>
      </c>
      <c r="N1273" s="1112">
        <f>SUM(N1271:N1272)</f>
        <v>9.31</v>
      </c>
    </row>
    <row r="1274" spans="2:14" ht="15.75" thickBot="1" x14ac:dyDescent="0.35">
      <c r="B1274" s="850"/>
      <c r="C1274" s="461"/>
      <c r="D1274" s="461"/>
      <c r="E1274" s="461"/>
      <c r="F1274" s="461"/>
      <c r="G1274" s="461"/>
      <c r="H1274" s="461"/>
      <c r="I1274" s="1120"/>
      <c r="J1274" s="1120"/>
      <c r="K1274" s="461"/>
      <c r="L1274" s="461"/>
      <c r="M1274" s="461"/>
      <c r="N1274" s="1113"/>
    </row>
    <row r="1275" spans="2:14" ht="30" x14ac:dyDescent="0.3">
      <c r="B1275" s="1104" t="s">
        <v>0</v>
      </c>
      <c r="C1275" s="1105" t="s">
        <v>24673</v>
      </c>
      <c r="D1275" s="1593" t="s">
        <v>24685</v>
      </c>
      <c r="E1275" s="1593"/>
      <c r="F1275" s="1593"/>
      <c r="G1275" s="1593"/>
      <c r="H1275" s="1594"/>
      <c r="I1275" s="1106" t="s">
        <v>2858</v>
      </c>
      <c r="J1275" s="1106" t="s">
        <v>24686</v>
      </c>
      <c r="K1275" s="1106" t="s">
        <v>24687</v>
      </c>
      <c r="L1275" s="1106"/>
      <c r="M1275" s="1106" t="s">
        <v>24688</v>
      </c>
      <c r="N1275" s="1114" t="s">
        <v>24689</v>
      </c>
    </row>
    <row r="1276" spans="2:14" x14ac:dyDescent="0.3">
      <c r="B1276" s="1115"/>
      <c r="C1276" s="1116"/>
      <c r="D1276" s="1604"/>
      <c r="E1276" s="1604"/>
      <c r="F1276" s="1604"/>
      <c r="G1276" s="1604"/>
      <c r="H1276" s="1605"/>
      <c r="I1276" s="1109"/>
      <c r="J1276" s="1109"/>
      <c r="K1276" s="1109"/>
      <c r="L1276" s="1109"/>
      <c r="M1276" s="1109"/>
      <c r="N1276" s="1119"/>
    </row>
    <row r="1277" spans="2:14" x14ac:dyDescent="0.3">
      <c r="B1277" s="850"/>
      <c r="C1277" s="461"/>
      <c r="D1277" s="461"/>
      <c r="E1277" s="461"/>
      <c r="F1277" s="1120"/>
      <c r="G1277" s="1120"/>
      <c r="H1277" s="1120"/>
      <c r="I1277" s="1120"/>
      <c r="J1277" s="1120"/>
      <c r="K1277" s="1120"/>
      <c r="L1277" s="1120"/>
      <c r="M1277" s="1121" t="s">
        <v>24690</v>
      </c>
      <c r="N1277" s="1122">
        <f>SUM(N1276:N1276)</f>
        <v>0</v>
      </c>
    </row>
    <row r="1278" spans="2:14" x14ac:dyDescent="0.3">
      <c r="B1278" s="850"/>
      <c r="C1278" s="461"/>
      <c r="D1278" s="461"/>
      <c r="E1278" s="461"/>
      <c r="F1278" s="461"/>
      <c r="G1278" s="461"/>
      <c r="H1278" s="461"/>
      <c r="I1278" s="461"/>
      <c r="J1278" s="461"/>
      <c r="K1278" s="461"/>
      <c r="L1278" s="461"/>
      <c r="M1278" s="461"/>
      <c r="N1278" s="1113"/>
    </row>
    <row r="1279" spans="2:14" x14ac:dyDescent="0.3">
      <c r="B1279" s="850"/>
      <c r="C1279" s="461"/>
      <c r="D1279" s="461"/>
      <c r="E1279" s="461"/>
      <c r="F1279" s="1120"/>
      <c r="G1279" s="1120"/>
      <c r="H1279" s="1120"/>
      <c r="I1279" s="863"/>
      <c r="J1279" s="863"/>
      <c r="K1279" s="863"/>
      <c r="L1279" s="863"/>
      <c r="M1279" s="1121" t="s">
        <v>24691</v>
      </c>
      <c r="N1279" s="1123">
        <f>N1268+N1273+N1277</f>
        <v>9.31</v>
      </c>
    </row>
    <row r="1280" spans="2:14" x14ac:dyDescent="0.3">
      <c r="B1280" s="850"/>
      <c r="C1280" s="461"/>
      <c r="D1280" s="461"/>
      <c r="E1280" s="461"/>
      <c r="F1280" s="1120"/>
      <c r="G1280" s="1120"/>
      <c r="H1280" s="1120"/>
      <c r="I1280" s="1120"/>
      <c r="J1280" s="1124"/>
      <c r="K1280" s="1124"/>
      <c r="L1280" s="1124"/>
      <c r="M1280" s="1125" t="s">
        <v>24692</v>
      </c>
      <c r="N1280" s="1123">
        <v>1</v>
      </c>
    </row>
    <row r="1281" spans="2:14" ht="15.75" thickBot="1" x14ac:dyDescent="0.35">
      <c r="B1281" s="855"/>
      <c r="C1281" s="954"/>
      <c r="D1281" s="954"/>
      <c r="E1281" s="954"/>
      <c r="F1281" s="1110"/>
      <c r="G1281" s="1110"/>
      <c r="H1281" s="1110"/>
      <c r="I1281" s="1110"/>
      <c r="J1281" s="1110"/>
      <c r="K1281" s="1110"/>
      <c r="L1281" s="1110"/>
      <c r="M1281" s="1111" t="s">
        <v>24693</v>
      </c>
      <c r="N1281" s="1126">
        <f>TRUNC(N1279/N1280,2)</f>
        <v>9.31</v>
      </c>
    </row>
    <row r="1282" spans="2:14" ht="15.75" thickBot="1" x14ac:dyDescent="0.35">
      <c r="B1282" s="850"/>
      <c r="C1282" s="461"/>
      <c r="D1282" s="461"/>
      <c r="E1282" s="461"/>
      <c r="F1282" s="461"/>
      <c r="G1282" s="461"/>
      <c r="H1282" s="461"/>
      <c r="I1282" s="461"/>
      <c r="J1282" s="461"/>
      <c r="K1282" s="461"/>
      <c r="L1282" s="461"/>
      <c r="M1282" s="461"/>
      <c r="N1282" s="1113"/>
    </row>
    <row r="1283" spans="2:14" ht="39.75" customHeight="1" x14ac:dyDescent="0.3">
      <c r="B1283" s="1104" t="s">
        <v>0</v>
      </c>
      <c r="C1283" s="1105" t="s">
        <v>24673</v>
      </c>
      <c r="D1283" s="1593" t="s">
        <v>24694</v>
      </c>
      <c r="E1283" s="1593"/>
      <c r="F1283" s="1593"/>
      <c r="G1283" s="1593"/>
      <c r="H1283" s="1593"/>
      <c r="I1283" s="1594"/>
      <c r="J1283" s="1106" t="s">
        <v>3686</v>
      </c>
      <c r="K1283" s="1106" t="s">
        <v>24695</v>
      </c>
      <c r="L1283" s="1106"/>
      <c r="M1283" s="1106" t="s">
        <v>24683</v>
      </c>
      <c r="N1283" s="1114" t="s">
        <v>24689</v>
      </c>
    </row>
    <row r="1284" spans="2:14" ht="32.25" customHeight="1" x14ac:dyDescent="0.3">
      <c r="B1284" s="1115">
        <v>142</v>
      </c>
      <c r="C1284" s="1116" t="s">
        <v>24706</v>
      </c>
      <c r="D1284" s="1604" t="s">
        <v>25320</v>
      </c>
      <c r="E1284" s="1604"/>
      <c r="F1284" s="1604"/>
      <c r="G1284" s="1604"/>
      <c r="H1284" s="1604"/>
      <c r="I1284" s="1605"/>
      <c r="J1284" s="1109" t="s">
        <v>25321</v>
      </c>
      <c r="K1284" s="1143">
        <v>29.92</v>
      </c>
      <c r="L1284" s="1143"/>
      <c r="M1284" s="1118">
        <v>0.88290000000000002</v>
      </c>
      <c r="N1284" s="1119">
        <f t="shared" ref="N1284:N1286" si="16">K1284*M1284</f>
        <v>26.42</v>
      </c>
    </row>
    <row r="1285" spans="2:14" ht="45.75" customHeight="1" x14ac:dyDescent="0.3">
      <c r="B1285" s="1115">
        <v>4914</v>
      </c>
      <c r="C1285" s="1116" t="s">
        <v>24706</v>
      </c>
      <c r="D1285" s="1604" t="s">
        <v>25322</v>
      </c>
      <c r="E1285" s="1604"/>
      <c r="F1285" s="1604"/>
      <c r="G1285" s="1604"/>
      <c r="H1285" s="1604"/>
      <c r="I1285" s="1605"/>
      <c r="J1285" s="1109" t="s">
        <v>2884</v>
      </c>
      <c r="K1285" s="1143">
        <v>607.39</v>
      </c>
      <c r="L1285" s="1143"/>
      <c r="M1285" s="1118">
        <v>1</v>
      </c>
      <c r="N1285" s="1119">
        <f t="shared" si="16"/>
        <v>607.39</v>
      </c>
    </row>
    <row r="1286" spans="2:14" ht="48.75" customHeight="1" x14ac:dyDescent="0.3">
      <c r="B1286" s="1115">
        <v>7568</v>
      </c>
      <c r="C1286" s="1116" t="s">
        <v>24706</v>
      </c>
      <c r="D1286" s="1604" t="s">
        <v>25323</v>
      </c>
      <c r="E1286" s="1604"/>
      <c r="F1286" s="1604"/>
      <c r="G1286" s="1604"/>
      <c r="H1286" s="1604"/>
      <c r="I1286" s="1605"/>
      <c r="J1286" s="1109" t="s">
        <v>24804</v>
      </c>
      <c r="K1286" s="1143">
        <v>0.61</v>
      </c>
      <c r="L1286" s="1143"/>
      <c r="M1286" s="1118">
        <v>4.8166000000000002</v>
      </c>
      <c r="N1286" s="1119">
        <f t="shared" si="16"/>
        <v>2.94</v>
      </c>
    </row>
    <row r="1287" spans="2:14" ht="46.5" customHeight="1" x14ac:dyDescent="0.3">
      <c r="B1287" s="1115">
        <v>36888</v>
      </c>
      <c r="C1287" s="1116" t="s">
        <v>24706</v>
      </c>
      <c r="D1287" s="1604" t="s">
        <v>25324</v>
      </c>
      <c r="E1287" s="1604"/>
      <c r="F1287" s="1604"/>
      <c r="G1287" s="1604"/>
      <c r="H1287" s="1604"/>
      <c r="I1287" s="1605"/>
      <c r="J1287" s="1109" t="s">
        <v>82</v>
      </c>
      <c r="K1287" s="1143">
        <v>48.85</v>
      </c>
      <c r="L1287" s="1143"/>
      <c r="M1287" s="1118">
        <v>6.8503999999999996</v>
      </c>
      <c r="N1287" s="1119">
        <f>K1287*M1287</f>
        <v>334.64</v>
      </c>
    </row>
    <row r="1288" spans="2:14" x14ac:dyDescent="0.3">
      <c r="B1288" s="1115"/>
      <c r="C1288" s="1116"/>
      <c r="D1288" s="1604"/>
      <c r="E1288" s="1604"/>
      <c r="F1288" s="1604"/>
      <c r="G1288" s="1604"/>
      <c r="H1288" s="1604"/>
      <c r="I1288" s="1605"/>
      <c r="J1288" s="1109"/>
      <c r="K1288" s="1109"/>
      <c r="L1288" s="1109"/>
      <c r="M1288" s="1118"/>
      <c r="N1288" s="1119"/>
    </row>
    <row r="1289" spans="2:14" ht="15.75" thickBot="1" x14ac:dyDescent="0.35">
      <c r="B1289" s="855"/>
      <c r="C1289" s="954"/>
      <c r="D1289" s="954"/>
      <c r="E1289" s="954"/>
      <c r="F1289" s="1110"/>
      <c r="G1289" s="1110"/>
      <c r="H1289" s="1110"/>
      <c r="I1289" s="1110"/>
      <c r="J1289" s="1110"/>
      <c r="K1289" s="1110"/>
      <c r="L1289" s="1110"/>
      <c r="M1289" s="1111" t="s">
        <v>24696</v>
      </c>
      <c r="N1289" s="1112">
        <f>SUM(N1284:N1287)</f>
        <v>971.39</v>
      </c>
    </row>
    <row r="1290" spans="2:14" ht="15.75" thickBot="1" x14ac:dyDescent="0.35">
      <c r="B1290" s="850"/>
      <c r="C1290" s="461"/>
      <c r="D1290" s="461"/>
      <c r="E1290" s="461"/>
      <c r="F1290" s="461"/>
      <c r="G1290" s="461"/>
      <c r="H1290" s="461"/>
      <c r="I1290" s="461"/>
      <c r="J1290" s="461"/>
      <c r="K1290" s="461"/>
      <c r="L1290" s="461"/>
      <c r="M1290" s="461"/>
      <c r="N1290" s="1113"/>
    </row>
    <row r="1291" spans="2:14" ht="30" x14ac:dyDescent="0.3">
      <c r="B1291" s="1104" t="s">
        <v>0</v>
      </c>
      <c r="C1291" s="1106" t="s">
        <v>24673</v>
      </c>
      <c r="D1291" s="1593" t="s">
        <v>24697</v>
      </c>
      <c r="E1291" s="1593"/>
      <c r="F1291" s="1593"/>
      <c r="G1291" s="1593"/>
      <c r="H1291" s="1593"/>
      <c r="I1291" s="1594"/>
      <c r="J1291" s="1106" t="s">
        <v>3686</v>
      </c>
      <c r="K1291" s="1106" t="s">
        <v>24695</v>
      </c>
      <c r="L1291" s="1106"/>
      <c r="M1291" s="1106" t="s">
        <v>24683</v>
      </c>
      <c r="N1291" s="1114" t="s">
        <v>24689</v>
      </c>
    </row>
    <row r="1292" spans="2:14" x14ac:dyDescent="0.3">
      <c r="B1292" s="1127"/>
      <c r="C1292" s="1128"/>
      <c r="D1292" s="1604"/>
      <c r="E1292" s="1604"/>
      <c r="F1292" s="1604"/>
      <c r="G1292" s="1604"/>
      <c r="H1292" s="1604"/>
      <c r="I1292" s="1605"/>
      <c r="J1292" s="462"/>
      <c r="K1292" s="462"/>
      <c r="L1292" s="462"/>
      <c r="M1292" s="1147"/>
      <c r="N1292" s="1130"/>
    </row>
    <row r="1293" spans="2:14" ht="15.75" thickBot="1" x14ac:dyDescent="0.35">
      <c r="B1293" s="855"/>
      <c r="C1293" s="954"/>
      <c r="D1293" s="954"/>
      <c r="E1293" s="954"/>
      <c r="F1293" s="1110"/>
      <c r="G1293" s="1110"/>
      <c r="H1293" s="1110"/>
      <c r="I1293" s="1110"/>
      <c r="J1293" s="1110"/>
      <c r="K1293" s="1110"/>
      <c r="L1293" s="1110"/>
      <c r="M1293" s="1111" t="s">
        <v>24698</v>
      </c>
      <c r="N1293" s="1112">
        <f>SUM(N1292:N1292)</f>
        <v>0</v>
      </c>
    </row>
    <row r="1294" spans="2:14" ht="15.75" thickBot="1" x14ac:dyDescent="0.35">
      <c r="B1294" s="850"/>
      <c r="C1294" s="461"/>
      <c r="D1294" s="461"/>
      <c r="E1294" s="461"/>
      <c r="F1294" s="461"/>
      <c r="G1294" s="461"/>
      <c r="H1294" s="461"/>
      <c r="I1294" s="461"/>
      <c r="J1294" s="461"/>
      <c r="K1294" s="461"/>
      <c r="L1294" s="461"/>
      <c r="M1294" s="461"/>
      <c r="N1294" s="1113"/>
    </row>
    <row r="1295" spans="2:14" ht="30" x14ac:dyDescent="0.3">
      <c r="B1295" s="1104" t="s">
        <v>0</v>
      </c>
      <c r="C1295" s="1106" t="s">
        <v>24673</v>
      </c>
      <c r="D1295" s="1593" t="s">
        <v>24699</v>
      </c>
      <c r="E1295" s="1593"/>
      <c r="F1295" s="1593"/>
      <c r="G1295" s="1594"/>
      <c r="H1295" s="1106" t="s">
        <v>3686</v>
      </c>
      <c r="I1295" s="1106" t="s">
        <v>24700</v>
      </c>
      <c r="J1295" s="1106" t="s">
        <v>24701</v>
      </c>
      <c r="K1295" s="1106" t="s">
        <v>24695</v>
      </c>
      <c r="L1295" s="1106"/>
      <c r="M1295" s="1106" t="s">
        <v>24683</v>
      </c>
      <c r="N1295" s="1114" t="s">
        <v>24689</v>
      </c>
    </row>
    <row r="1296" spans="2:14" x14ac:dyDescent="0.3">
      <c r="B1296" s="1115"/>
      <c r="C1296" s="1116"/>
      <c r="D1296" s="1595"/>
      <c r="E1296" s="1595"/>
      <c r="F1296" s="1595"/>
      <c r="G1296" s="1595"/>
      <c r="H1296" s="1109"/>
      <c r="I1296" s="1109"/>
      <c r="J1296" s="1109"/>
      <c r="K1296" s="1109"/>
      <c r="L1296" s="1109"/>
      <c r="M1296" s="1118"/>
      <c r="N1296" s="1119"/>
    </row>
    <row r="1297" spans="2:14" x14ac:dyDescent="0.3">
      <c r="B1297" s="850"/>
      <c r="C1297" s="461"/>
      <c r="D1297" s="461"/>
      <c r="E1297" s="461"/>
      <c r="F1297" s="1120"/>
      <c r="G1297" s="1120"/>
      <c r="H1297" s="1120"/>
      <c r="I1297" s="1120"/>
      <c r="J1297" s="1120"/>
      <c r="K1297" s="1120"/>
      <c r="L1297" s="1120"/>
      <c r="M1297" s="1121" t="s">
        <v>24702</v>
      </c>
      <c r="N1297" s="1122">
        <f>SUM(N1296:N1296)</f>
        <v>0</v>
      </c>
    </row>
    <row r="1298" spans="2:14" x14ac:dyDescent="0.3">
      <c r="B1298" s="850"/>
      <c r="C1298" s="461"/>
      <c r="D1298" s="461"/>
      <c r="E1298" s="461"/>
      <c r="F1298" s="461"/>
      <c r="G1298" s="461"/>
      <c r="H1298" s="461"/>
      <c r="I1298" s="461"/>
      <c r="J1298" s="461"/>
      <c r="K1298" s="461"/>
      <c r="L1298" s="461"/>
      <c r="M1298" s="461"/>
      <c r="N1298" s="1113"/>
    </row>
    <row r="1299" spans="2:14" x14ac:dyDescent="0.3">
      <c r="B1299" s="1131"/>
      <c r="C1299" s="1132"/>
      <c r="D1299" s="1132"/>
      <c r="E1299" s="1132"/>
      <c r="F1299" s="1133"/>
      <c r="G1299" s="1133"/>
      <c r="H1299" s="1133"/>
      <c r="I1299" s="1133"/>
      <c r="J1299" s="1133"/>
      <c r="K1299" s="1133"/>
      <c r="L1299" s="1133"/>
      <c r="M1299" s="1134" t="s">
        <v>24703</v>
      </c>
      <c r="N1299" s="1123">
        <f>N1281+N1289+N1293+N1297</f>
        <v>980.7</v>
      </c>
    </row>
    <row r="1300" spans="2:14" x14ac:dyDescent="0.3">
      <c r="B1300" s="850"/>
      <c r="C1300" s="461"/>
      <c r="D1300" s="461"/>
      <c r="E1300" s="461"/>
      <c r="F1300" s="1120"/>
      <c r="G1300" s="1120"/>
      <c r="H1300" s="1120"/>
      <c r="I1300" s="1120"/>
      <c r="J1300" s="1120"/>
      <c r="K1300" s="1120"/>
      <c r="L1300" s="1120"/>
      <c r="M1300" s="1136">
        <f>'QUIOSQUE - MOD 01'!I3</f>
        <v>0.28220000000000001</v>
      </c>
      <c r="N1300" s="1123">
        <f>N1299*M1300</f>
        <v>276.75</v>
      </c>
    </row>
    <row r="1301" spans="2:14" ht="15.75" thickBot="1" x14ac:dyDescent="0.35">
      <c r="B1301" s="1599" t="s">
        <v>24704</v>
      </c>
      <c r="C1301" s="1600"/>
      <c r="D1301" s="1600"/>
      <c r="E1301" s="1600"/>
      <c r="F1301" s="1600"/>
      <c r="G1301" s="1600"/>
      <c r="H1301" s="1600"/>
      <c r="I1301" s="1600"/>
      <c r="J1301" s="1600"/>
      <c r="K1301" s="1600"/>
      <c r="L1301" s="1600"/>
      <c r="M1301" s="1601"/>
      <c r="N1301" s="1126">
        <f>N1299+N1300</f>
        <v>1257.45</v>
      </c>
    </row>
    <row r="1303" spans="2:14" ht="15.75" thickBot="1" x14ac:dyDescent="0.35"/>
    <row r="1304" spans="2:14" ht="45.75" customHeight="1" x14ac:dyDescent="0.3">
      <c r="B1304" s="1607" t="s">
        <v>24728</v>
      </c>
      <c r="C1304" s="1608"/>
      <c r="D1304" s="1609"/>
      <c r="E1304" s="1610" t="s">
        <v>24669</v>
      </c>
      <c r="F1304" s="1610"/>
      <c r="G1304" s="1610"/>
      <c r="H1304" s="1610"/>
      <c r="I1304" s="1610"/>
      <c r="J1304" s="1610"/>
      <c r="K1304" s="1610"/>
      <c r="L1304" s="1146"/>
      <c r="M1304" s="1611"/>
      <c r="N1304" s="1577"/>
    </row>
    <row r="1305" spans="2:14" x14ac:dyDescent="0.3">
      <c r="B1305" s="1103" t="s">
        <v>24670</v>
      </c>
      <c r="C1305" s="1586" t="s">
        <v>25325</v>
      </c>
      <c r="D1305" s="1586"/>
      <c r="E1305" s="1586"/>
      <c r="F1305" s="1586"/>
      <c r="G1305" s="1586"/>
      <c r="H1305" s="1586"/>
      <c r="I1305" s="1586"/>
      <c r="J1305" s="1586"/>
      <c r="K1305" s="1586"/>
      <c r="L1305" s="1586"/>
      <c r="M1305" s="1586"/>
      <c r="N1305" s="1587"/>
    </row>
    <row r="1306" spans="2:14" x14ac:dyDescent="0.3">
      <c r="B1306" s="1103" t="s">
        <v>24671</v>
      </c>
      <c r="C1306" s="1588" t="s">
        <v>5</v>
      </c>
      <c r="D1306" s="1588"/>
      <c r="E1306" s="1588"/>
      <c r="F1306" s="1588"/>
      <c r="G1306" s="1588"/>
      <c r="H1306" s="1588"/>
      <c r="I1306" s="1588"/>
      <c r="J1306" s="1588"/>
      <c r="K1306" s="1588"/>
      <c r="L1306" s="1588"/>
      <c r="M1306" s="1588"/>
      <c r="N1306" s="1589"/>
    </row>
    <row r="1307" spans="2:14" ht="15.75" thickBot="1" x14ac:dyDescent="0.35">
      <c r="B1307" s="1103" t="s">
        <v>24672</v>
      </c>
      <c r="C1307" s="1590">
        <v>44501</v>
      </c>
      <c r="D1307" s="1591"/>
      <c r="E1307" s="1591"/>
      <c r="F1307" s="1591"/>
      <c r="G1307" s="1591"/>
      <c r="H1307" s="1591"/>
      <c r="I1307" s="1591"/>
      <c r="J1307" s="1591"/>
      <c r="K1307" s="1591"/>
      <c r="L1307" s="1591"/>
      <c r="M1307" s="1591"/>
      <c r="N1307" s="1592"/>
    </row>
    <row r="1308" spans="2:14" ht="30" x14ac:dyDescent="0.3">
      <c r="B1308" s="1104" t="s">
        <v>0</v>
      </c>
      <c r="C1308" s="1105" t="s">
        <v>24673</v>
      </c>
      <c r="D1308" s="1593" t="s">
        <v>24674</v>
      </c>
      <c r="E1308" s="1593"/>
      <c r="F1308" s="1593"/>
      <c r="G1308" s="1594"/>
      <c r="H1308" s="1106" t="s">
        <v>111</v>
      </c>
      <c r="I1308" s="1106" t="s">
        <v>24675</v>
      </c>
      <c r="J1308" s="1106" t="s">
        <v>24676</v>
      </c>
      <c r="K1308" s="1106" t="s">
        <v>24677</v>
      </c>
      <c r="L1308" s="1106"/>
      <c r="M1308" s="1106" t="s">
        <v>24678</v>
      </c>
      <c r="N1308" s="1114" t="s">
        <v>24679</v>
      </c>
    </row>
    <row r="1309" spans="2:14" x14ac:dyDescent="0.3">
      <c r="B1309" s="1115"/>
      <c r="C1309" s="1108"/>
      <c r="D1309" s="1595"/>
      <c r="E1309" s="1595"/>
      <c r="F1309" s="1595"/>
      <c r="G1309" s="1596"/>
      <c r="H1309" s="1109"/>
      <c r="I1309" s="1109"/>
      <c r="J1309" s="1109"/>
      <c r="K1309" s="1109"/>
      <c r="L1309" s="1109"/>
      <c r="M1309" s="1109"/>
      <c r="N1309" s="1119"/>
    </row>
    <row r="1310" spans="2:14" ht="15.75" thickBot="1" x14ac:dyDescent="0.35">
      <c r="B1310" s="855"/>
      <c r="C1310" s="954"/>
      <c r="D1310" s="954"/>
      <c r="E1310" s="954"/>
      <c r="F1310" s="1110"/>
      <c r="G1310" s="1110"/>
      <c r="H1310" s="1110"/>
      <c r="I1310" s="1110"/>
      <c r="J1310" s="1110"/>
      <c r="K1310" s="1110"/>
      <c r="L1310" s="1110"/>
      <c r="M1310" s="1111" t="s">
        <v>24680</v>
      </c>
      <c r="N1310" s="1112">
        <f>SUM(N1309)</f>
        <v>0</v>
      </c>
    </row>
    <row r="1311" spans="2:14" ht="15.75" thickBot="1" x14ac:dyDescent="0.35">
      <c r="B1311" s="850"/>
      <c r="C1311" s="461"/>
      <c r="D1311" s="461"/>
      <c r="E1311" s="461"/>
      <c r="F1311" s="461"/>
      <c r="G1311" s="461"/>
      <c r="H1311" s="461"/>
      <c r="I1311" s="461"/>
      <c r="J1311" s="461"/>
      <c r="K1311" s="461"/>
      <c r="L1311" s="461"/>
      <c r="M1311" s="461"/>
      <c r="N1311" s="1113"/>
    </row>
    <row r="1312" spans="2:14" ht="45" x14ac:dyDescent="0.3">
      <c r="B1312" s="1104" t="s">
        <v>0</v>
      </c>
      <c r="C1312" s="1105" t="s">
        <v>24673</v>
      </c>
      <c r="D1312" s="1593" t="s">
        <v>24681</v>
      </c>
      <c r="E1312" s="1593"/>
      <c r="F1312" s="1593"/>
      <c r="G1312" s="1593"/>
      <c r="H1312" s="1594"/>
      <c r="I1312" s="1106" t="s">
        <v>3686</v>
      </c>
      <c r="J1312" s="1106" t="s">
        <v>24682</v>
      </c>
      <c r="K1312" s="1106" t="s">
        <v>24861</v>
      </c>
      <c r="L1312" s="1106" t="s">
        <v>24862</v>
      </c>
      <c r="M1312" s="1106" t="s">
        <v>24683</v>
      </c>
      <c r="N1312" s="1114" t="s">
        <v>24679</v>
      </c>
    </row>
    <row r="1313" spans="2:14" x14ac:dyDescent="0.3">
      <c r="B1313" s="1115">
        <v>10139</v>
      </c>
      <c r="C1313" s="1116" t="s">
        <v>4389</v>
      </c>
      <c r="D1313" s="1604" t="s">
        <v>404</v>
      </c>
      <c r="E1313" s="1604"/>
      <c r="F1313" s="1604"/>
      <c r="G1313" s="1604"/>
      <c r="H1313" s="1605"/>
      <c r="I1313" s="1109" t="s">
        <v>75</v>
      </c>
      <c r="J1313" s="1117">
        <v>1.5727</v>
      </c>
      <c r="K1313" s="1143">
        <v>7.43</v>
      </c>
      <c r="L1313" s="1143">
        <f>K1313*(1+J1313)</f>
        <v>19.12</v>
      </c>
      <c r="M1313" s="1118">
        <v>0.35630000000000001</v>
      </c>
      <c r="N1313" s="1119">
        <f>L1313*M1313</f>
        <v>6.81</v>
      </c>
    </row>
    <row r="1314" spans="2:14" x14ac:dyDescent="0.3">
      <c r="B1314" s="1115">
        <v>10146</v>
      </c>
      <c r="C1314" s="1116" t="s">
        <v>4389</v>
      </c>
      <c r="D1314" s="1604" t="s">
        <v>405</v>
      </c>
      <c r="E1314" s="1604"/>
      <c r="F1314" s="1604"/>
      <c r="G1314" s="1604"/>
      <c r="H1314" s="1605"/>
      <c r="I1314" s="1109" t="s">
        <v>75</v>
      </c>
      <c r="J1314" s="1117">
        <v>1.5727</v>
      </c>
      <c r="K1314" s="1143">
        <v>5.46</v>
      </c>
      <c r="L1314" s="1143">
        <f>K1314*(1+J1314)</f>
        <v>14.05</v>
      </c>
      <c r="M1314" s="1118">
        <v>0.1779</v>
      </c>
      <c r="N1314" s="1119">
        <f>L1314*M1314</f>
        <v>2.5</v>
      </c>
    </row>
    <row r="1315" spans="2:14" ht="15.75" thickBot="1" x14ac:dyDescent="0.35">
      <c r="B1315" s="855"/>
      <c r="C1315" s="954"/>
      <c r="D1315" s="954"/>
      <c r="E1315" s="954"/>
      <c r="F1315" s="1110"/>
      <c r="G1315" s="1110"/>
      <c r="H1315" s="1110"/>
      <c r="I1315" s="1110"/>
      <c r="J1315" s="1110"/>
      <c r="K1315" s="1110"/>
      <c r="L1315" s="1110"/>
      <c r="M1315" s="1111" t="s">
        <v>24684</v>
      </c>
      <c r="N1315" s="1112">
        <f>SUM(N1313:N1314)</f>
        <v>9.31</v>
      </c>
    </row>
    <row r="1316" spans="2:14" ht="15.75" thickBot="1" x14ac:dyDescent="0.35">
      <c r="B1316" s="850"/>
      <c r="C1316" s="461"/>
      <c r="D1316" s="461"/>
      <c r="E1316" s="461"/>
      <c r="F1316" s="461"/>
      <c r="G1316" s="461"/>
      <c r="H1316" s="461"/>
      <c r="I1316" s="1120"/>
      <c r="J1316" s="1120"/>
      <c r="K1316" s="461"/>
      <c r="L1316" s="461"/>
      <c r="M1316" s="461"/>
      <c r="N1316" s="1113"/>
    </row>
    <row r="1317" spans="2:14" ht="30" x14ac:dyDescent="0.3">
      <c r="B1317" s="1104" t="s">
        <v>0</v>
      </c>
      <c r="C1317" s="1105" t="s">
        <v>24673</v>
      </c>
      <c r="D1317" s="1593" t="s">
        <v>24685</v>
      </c>
      <c r="E1317" s="1593"/>
      <c r="F1317" s="1593"/>
      <c r="G1317" s="1593"/>
      <c r="H1317" s="1594"/>
      <c r="I1317" s="1106" t="s">
        <v>2858</v>
      </c>
      <c r="J1317" s="1106" t="s">
        <v>24686</v>
      </c>
      <c r="K1317" s="1106" t="s">
        <v>24687</v>
      </c>
      <c r="L1317" s="1106"/>
      <c r="M1317" s="1106" t="s">
        <v>24688</v>
      </c>
      <c r="N1317" s="1114" t="s">
        <v>24689</v>
      </c>
    </row>
    <row r="1318" spans="2:14" x14ac:dyDescent="0.3">
      <c r="B1318" s="1115"/>
      <c r="C1318" s="1116"/>
      <c r="D1318" s="1604"/>
      <c r="E1318" s="1604"/>
      <c r="F1318" s="1604"/>
      <c r="G1318" s="1604"/>
      <c r="H1318" s="1605"/>
      <c r="I1318" s="1109"/>
      <c r="J1318" s="1109"/>
      <c r="K1318" s="1109"/>
      <c r="L1318" s="1109"/>
      <c r="M1318" s="1109"/>
      <c r="N1318" s="1119"/>
    </row>
    <row r="1319" spans="2:14" x14ac:dyDescent="0.3">
      <c r="B1319" s="850"/>
      <c r="C1319" s="461"/>
      <c r="D1319" s="461"/>
      <c r="E1319" s="461"/>
      <c r="F1319" s="1120"/>
      <c r="G1319" s="1120"/>
      <c r="H1319" s="1120"/>
      <c r="I1319" s="1120"/>
      <c r="J1319" s="1120"/>
      <c r="K1319" s="1120"/>
      <c r="L1319" s="1120"/>
      <c r="M1319" s="1121" t="s">
        <v>24690</v>
      </c>
      <c r="N1319" s="1122">
        <f>SUM(N1318:N1318)</f>
        <v>0</v>
      </c>
    </row>
    <row r="1320" spans="2:14" x14ac:dyDescent="0.3">
      <c r="B1320" s="850"/>
      <c r="C1320" s="461"/>
      <c r="D1320" s="461"/>
      <c r="E1320" s="461"/>
      <c r="F1320" s="461"/>
      <c r="G1320" s="461"/>
      <c r="H1320" s="461"/>
      <c r="I1320" s="461"/>
      <c r="J1320" s="461"/>
      <c r="K1320" s="461"/>
      <c r="L1320" s="461"/>
      <c r="M1320" s="461"/>
      <c r="N1320" s="1113"/>
    </row>
    <row r="1321" spans="2:14" x14ac:dyDescent="0.3">
      <c r="B1321" s="850"/>
      <c r="C1321" s="461"/>
      <c r="D1321" s="461"/>
      <c r="E1321" s="461"/>
      <c r="F1321" s="1120"/>
      <c r="G1321" s="1120"/>
      <c r="H1321" s="1120"/>
      <c r="I1321" s="863"/>
      <c r="J1321" s="863"/>
      <c r="K1321" s="863"/>
      <c r="L1321" s="863"/>
      <c r="M1321" s="1121" t="s">
        <v>24691</v>
      </c>
      <c r="N1321" s="1123">
        <f>N1310+N1315+N1319</f>
        <v>9.31</v>
      </c>
    </row>
    <row r="1322" spans="2:14" x14ac:dyDescent="0.3">
      <c r="B1322" s="850"/>
      <c r="C1322" s="461"/>
      <c r="D1322" s="461"/>
      <c r="E1322" s="461"/>
      <c r="F1322" s="1120"/>
      <c r="G1322" s="1120"/>
      <c r="H1322" s="1120"/>
      <c r="I1322" s="1120"/>
      <c r="J1322" s="1124"/>
      <c r="K1322" s="1124"/>
      <c r="L1322" s="1124"/>
      <c r="M1322" s="1125" t="s">
        <v>24692</v>
      </c>
      <c r="N1322" s="1123">
        <v>1</v>
      </c>
    </row>
    <row r="1323" spans="2:14" ht="15.75" thickBot="1" x14ac:dyDescent="0.35">
      <c r="B1323" s="855"/>
      <c r="C1323" s="954"/>
      <c r="D1323" s="954"/>
      <c r="E1323" s="954"/>
      <c r="F1323" s="1110"/>
      <c r="G1323" s="1110"/>
      <c r="H1323" s="1110"/>
      <c r="I1323" s="1110"/>
      <c r="J1323" s="1110"/>
      <c r="K1323" s="1110"/>
      <c r="L1323" s="1110"/>
      <c r="M1323" s="1111" t="s">
        <v>24693</v>
      </c>
      <c r="N1323" s="1126">
        <f>TRUNC(N1321/N1322,2)</f>
        <v>9.31</v>
      </c>
    </row>
    <row r="1324" spans="2:14" ht="15.75" thickBot="1" x14ac:dyDescent="0.35">
      <c r="B1324" s="850"/>
      <c r="C1324" s="461"/>
      <c r="D1324" s="461"/>
      <c r="E1324" s="461"/>
      <c r="F1324" s="461"/>
      <c r="G1324" s="461"/>
      <c r="H1324" s="461"/>
      <c r="I1324" s="461"/>
      <c r="J1324" s="461"/>
      <c r="K1324" s="461"/>
      <c r="L1324" s="461"/>
      <c r="M1324" s="461"/>
      <c r="N1324" s="1113"/>
    </row>
    <row r="1325" spans="2:14" ht="30" x14ac:dyDescent="0.3">
      <c r="B1325" s="1104" t="s">
        <v>0</v>
      </c>
      <c r="C1325" s="1105" t="s">
        <v>24673</v>
      </c>
      <c r="D1325" s="1593" t="s">
        <v>24694</v>
      </c>
      <c r="E1325" s="1593"/>
      <c r="F1325" s="1593"/>
      <c r="G1325" s="1593"/>
      <c r="H1325" s="1593"/>
      <c r="I1325" s="1594"/>
      <c r="J1325" s="1106" t="s">
        <v>3686</v>
      </c>
      <c r="K1325" s="1106" t="s">
        <v>24695</v>
      </c>
      <c r="L1325" s="1106"/>
      <c r="M1325" s="1106" t="s">
        <v>24683</v>
      </c>
      <c r="N1325" s="1114" t="s">
        <v>24689</v>
      </c>
    </row>
    <row r="1326" spans="2:14" x14ac:dyDescent="0.3">
      <c r="B1326" s="1115">
        <v>142</v>
      </c>
      <c r="C1326" s="1116" t="s">
        <v>24706</v>
      </c>
      <c r="D1326" s="1604" t="s">
        <v>25320</v>
      </c>
      <c r="E1326" s="1604"/>
      <c r="F1326" s="1604"/>
      <c r="G1326" s="1604"/>
      <c r="H1326" s="1604"/>
      <c r="I1326" s="1605"/>
      <c r="J1326" s="1109" t="s">
        <v>25321</v>
      </c>
      <c r="K1326" s="1143">
        <v>29.92</v>
      </c>
      <c r="L1326" s="1143"/>
      <c r="M1326" s="1118">
        <v>0.88290000000000002</v>
      </c>
      <c r="N1326" s="1119">
        <f t="shared" ref="N1326:N1328" si="17">K1326*M1326</f>
        <v>26.42</v>
      </c>
    </row>
    <row r="1327" spans="2:14" x14ac:dyDescent="0.3">
      <c r="B1327" s="1115">
        <v>4914</v>
      </c>
      <c r="C1327" s="1116" t="s">
        <v>24706</v>
      </c>
      <c r="D1327" s="1604" t="s">
        <v>25322</v>
      </c>
      <c r="E1327" s="1604"/>
      <c r="F1327" s="1604"/>
      <c r="G1327" s="1604"/>
      <c r="H1327" s="1604"/>
      <c r="I1327" s="1605"/>
      <c r="J1327" s="1109" t="s">
        <v>2884</v>
      </c>
      <c r="K1327" s="1143">
        <v>607.39</v>
      </c>
      <c r="L1327" s="1143"/>
      <c r="M1327" s="1118">
        <v>1</v>
      </c>
      <c r="N1327" s="1119">
        <f t="shared" si="17"/>
        <v>607.39</v>
      </c>
    </row>
    <row r="1328" spans="2:14" x14ac:dyDescent="0.3">
      <c r="B1328" s="1115">
        <v>7568</v>
      </c>
      <c r="C1328" s="1116" t="s">
        <v>24706</v>
      </c>
      <c r="D1328" s="1604" t="s">
        <v>25323</v>
      </c>
      <c r="E1328" s="1604"/>
      <c r="F1328" s="1604"/>
      <c r="G1328" s="1604"/>
      <c r="H1328" s="1604"/>
      <c r="I1328" s="1605"/>
      <c r="J1328" s="1109" t="s">
        <v>24804</v>
      </c>
      <c r="K1328" s="1143">
        <v>0.61</v>
      </c>
      <c r="L1328" s="1143"/>
      <c r="M1328" s="1118">
        <v>4.8166000000000002</v>
      </c>
      <c r="N1328" s="1119">
        <f t="shared" si="17"/>
        <v>2.94</v>
      </c>
    </row>
    <row r="1329" spans="2:14" x14ac:dyDescent="0.3">
      <c r="B1329" s="1115">
        <v>36888</v>
      </c>
      <c r="C1329" s="1116" t="s">
        <v>24706</v>
      </c>
      <c r="D1329" s="1604" t="s">
        <v>25324</v>
      </c>
      <c r="E1329" s="1604"/>
      <c r="F1329" s="1604"/>
      <c r="G1329" s="1604"/>
      <c r="H1329" s="1604"/>
      <c r="I1329" s="1605"/>
      <c r="J1329" s="1109" t="s">
        <v>82</v>
      </c>
      <c r="K1329" s="1143">
        <v>48.85</v>
      </c>
      <c r="L1329" s="1143"/>
      <c r="M1329" s="1118">
        <v>6.8503999999999996</v>
      </c>
      <c r="N1329" s="1119">
        <f>K1329*M1329</f>
        <v>334.64</v>
      </c>
    </row>
    <row r="1330" spans="2:14" ht="30" x14ac:dyDescent="0.3">
      <c r="B1330" s="1115" t="s">
        <v>24795</v>
      </c>
      <c r="C1330" s="1116" t="s">
        <v>24793</v>
      </c>
      <c r="D1330" s="1604" t="s">
        <v>25326</v>
      </c>
      <c r="E1330" s="1604"/>
      <c r="F1330" s="1604"/>
      <c r="G1330" s="1604"/>
      <c r="H1330" s="1604"/>
      <c r="I1330" s="1605"/>
      <c r="J1330" s="1109" t="s">
        <v>82</v>
      </c>
      <c r="K1330" s="1143">
        <f>'MAPA DE COT. - Quiosque'!G187</f>
        <v>9.41</v>
      </c>
      <c r="L1330" s="1143"/>
      <c r="M1330" s="1118">
        <v>1</v>
      </c>
      <c r="N1330" s="1119">
        <f>K1330*M1330</f>
        <v>9.41</v>
      </c>
    </row>
    <row r="1331" spans="2:14" x14ac:dyDescent="0.3">
      <c r="B1331" s="1115"/>
      <c r="C1331" s="1116"/>
      <c r="D1331" s="1604"/>
      <c r="E1331" s="1604"/>
      <c r="F1331" s="1604"/>
      <c r="G1331" s="1604"/>
      <c r="H1331" s="1604"/>
      <c r="I1331" s="1605"/>
      <c r="J1331" s="1109"/>
      <c r="K1331" s="1109"/>
      <c r="L1331" s="1109"/>
      <c r="M1331" s="1118"/>
      <c r="N1331" s="1119"/>
    </row>
    <row r="1332" spans="2:14" ht="15.75" thickBot="1" x14ac:dyDescent="0.35">
      <c r="B1332" s="855"/>
      <c r="C1332" s="954"/>
      <c r="D1332" s="954"/>
      <c r="E1332" s="954"/>
      <c r="F1332" s="1110"/>
      <c r="G1332" s="1110"/>
      <c r="H1332" s="1110"/>
      <c r="I1332" s="1110"/>
      <c r="J1332" s="1110"/>
      <c r="K1332" s="1110"/>
      <c r="L1332" s="1110"/>
      <c r="M1332" s="1111" t="s">
        <v>24696</v>
      </c>
      <c r="N1332" s="1112">
        <f>SUM(N1326:N1330)</f>
        <v>980.8</v>
      </c>
    </row>
    <row r="1333" spans="2:14" ht="15.75" thickBot="1" x14ac:dyDescent="0.35">
      <c r="B1333" s="850"/>
      <c r="C1333" s="461"/>
      <c r="D1333" s="461"/>
      <c r="E1333" s="461"/>
      <c r="F1333" s="461"/>
      <c r="G1333" s="461"/>
      <c r="H1333" s="461"/>
      <c r="I1333" s="461"/>
      <c r="J1333" s="461"/>
      <c r="K1333" s="461"/>
      <c r="L1333" s="461"/>
      <c r="M1333" s="461"/>
      <c r="N1333" s="1113"/>
    </row>
    <row r="1334" spans="2:14" ht="30" x14ac:dyDescent="0.3">
      <c r="B1334" s="1104" t="s">
        <v>0</v>
      </c>
      <c r="C1334" s="1106" t="s">
        <v>24673</v>
      </c>
      <c r="D1334" s="1593" t="s">
        <v>24697</v>
      </c>
      <c r="E1334" s="1593"/>
      <c r="F1334" s="1593"/>
      <c r="G1334" s="1593"/>
      <c r="H1334" s="1593"/>
      <c r="I1334" s="1594"/>
      <c r="J1334" s="1106" t="s">
        <v>3686</v>
      </c>
      <c r="K1334" s="1106" t="s">
        <v>24695</v>
      </c>
      <c r="L1334" s="1106"/>
      <c r="M1334" s="1106" t="s">
        <v>24683</v>
      </c>
      <c r="N1334" s="1114" t="s">
        <v>24689</v>
      </c>
    </row>
    <row r="1335" spans="2:14" x14ac:dyDescent="0.3">
      <c r="B1335" s="1127"/>
      <c r="C1335" s="1128"/>
      <c r="D1335" s="1604"/>
      <c r="E1335" s="1604"/>
      <c r="F1335" s="1604"/>
      <c r="G1335" s="1604"/>
      <c r="H1335" s="1604"/>
      <c r="I1335" s="1605"/>
      <c r="J1335" s="462"/>
      <c r="K1335" s="462"/>
      <c r="L1335" s="462"/>
      <c r="M1335" s="1147"/>
      <c r="N1335" s="1130"/>
    </row>
    <row r="1336" spans="2:14" ht="15.75" thickBot="1" x14ac:dyDescent="0.35">
      <c r="B1336" s="855"/>
      <c r="C1336" s="954"/>
      <c r="D1336" s="954"/>
      <c r="E1336" s="954"/>
      <c r="F1336" s="1110"/>
      <c r="G1336" s="1110"/>
      <c r="H1336" s="1110"/>
      <c r="I1336" s="1110"/>
      <c r="J1336" s="1110"/>
      <c r="K1336" s="1110"/>
      <c r="L1336" s="1110"/>
      <c r="M1336" s="1111" t="s">
        <v>24698</v>
      </c>
      <c r="N1336" s="1112">
        <f>SUM(N1335:N1335)</f>
        <v>0</v>
      </c>
    </row>
    <row r="1337" spans="2:14" ht="15.75" thickBot="1" x14ac:dyDescent="0.35">
      <c r="B1337" s="850"/>
      <c r="C1337" s="461"/>
      <c r="D1337" s="461"/>
      <c r="E1337" s="461"/>
      <c r="F1337" s="461"/>
      <c r="G1337" s="461"/>
      <c r="H1337" s="461"/>
      <c r="I1337" s="461"/>
      <c r="J1337" s="461"/>
      <c r="K1337" s="461"/>
      <c r="L1337" s="461"/>
      <c r="M1337" s="461"/>
      <c r="N1337" s="1113"/>
    </row>
    <row r="1338" spans="2:14" ht="30" x14ac:dyDescent="0.3">
      <c r="B1338" s="1104" t="s">
        <v>0</v>
      </c>
      <c r="C1338" s="1106" t="s">
        <v>24673</v>
      </c>
      <c r="D1338" s="1593" t="s">
        <v>24699</v>
      </c>
      <c r="E1338" s="1593"/>
      <c r="F1338" s="1593"/>
      <c r="G1338" s="1594"/>
      <c r="H1338" s="1106" t="s">
        <v>3686</v>
      </c>
      <c r="I1338" s="1106" t="s">
        <v>24700</v>
      </c>
      <c r="J1338" s="1106" t="s">
        <v>24701</v>
      </c>
      <c r="K1338" s="1106" t="s">
        <v>24695</v>
      </c>
      <c r="L1338" s="1106"/>
      <c r="M1338" s="1106" t="s">
        <v>24683</v>
      </c>
      <c r="N1338" s="1114" t="s">
        <v>24689</v>
      </c>
    </row>
    <row r="1339" spans="2:14" x14ac:dyDescent="0.3">
      <c r="B1339" s="1115"/>
      <c r="C1339" s="1116"/>
      <c r="D1339" s="1595"/>
      <c r="E1339" s="1595"/>
      <c r="F1339" s="1595"/>
      <c r="G1339" s="1595"/>
      <c r="H1339" s="1109"/>
      <c r="I1339" s="1109"/>
      <c r="J1339" s="1109"/>
      <c r="K1339" s="1109"/>
      <c r="L1339" s="1109"/>
      <c r="M1339" s="1118"/>
      <c r="N1339" s="1119"/>
    </row>
    <row r="1340" spans="2:14" x14ac:dyDescent="0.3">
      <c r="B1340" s="850"/>
      <c r="C1340" s="461"/>
      <c r="D1340" s="461"/>
      <c r="E1340" s="461"/>
      <c r="F1340" s="1120"/>
      <c r="G1340" s="1120"/>
      <c r="H1340" s="1120"/>
      <c r="I1340" s="1120"/>
      <c r="J1340" s="1120"/>
      <c r="K1340" s="1120"/>
      <c r="L1340" s="1120"/>
      <c r="M1340" s="1121" t="s">
        <v>24702</v>
      </c>
      <c r="N1340" s="1122">
        <f>SUM(N1339:N1339)</f>
        <v>0</v>
      </c>
    </row>
    <row r="1341" spans="2:14" x14ac:dyDescent="0.3">
      <c r="B1341" s="850"/>
      <c r="C1341" s="461"/>
      <c r="D1341" s="461"/>
      <c r="E1341" s="461"/>
      <c r="F1341" s="461"/>
      <c r="G1341" s="461"/>
      <c r="H1341" s="461"/>
      <c r="I1341" s="461"/>
      <c r="J1341" s="461"/>
      <c r="K1341" s="461"/>
      <c r="L1341" s="461"/>
      <c r="M1341" s="461"/>
      <c r="N1341" s="1113"/>
    </row>
    <row r="1342" spans="2:14" x14ac:dyDescent="0.3">
      <c r="B1342" s="1131"/>
      <c r="C1342" s="1132"/>
      <c r="D1342" s="1132"/>
      <c r="E1342" s="1132"/>
      <c r="F1342" s="1133"/>
      <c r="G1342" s="1133"/>
      <c r="H1342" s="1133"/>
      <c r="I1342" s="1133"/>
      <c r="J1342" s="1133"/>
      <c r="K1342" s="1133"/>
      <c r="L1342" s="1133"/>
      <c r="M1342" s="1134" t="s">
        <v>24703</v>
      </c>
      <c r="N1342" s="1123">
        <f>N1323+N1332+N1336+N1340</f>
        <v>990.11</v>
      </c>
    </row>
    <row r="1343" spans="2:14" x14ac:dyDescent="0.3">
      <c r="B1343" s="850"/>
      <c r="C1343" s="461"/>
      <c r="D1343" s="461"/>
      <c r="E1343" s="461"/>
      <c r="F1343" s="1120"/>
      <c r="G1343" s="1120"/>
      <c r="H1343" s="1120"/>
      <c r="I1343" s="1120"/>
      <c r="J1343" s="1120"/>
      <c r="K1343" s="1120"/>
      <c r="L1343" s="1120"/>
      <c r="M1343" s="1136">
        <f>'QUIOSQUE - MOD 01'!I3</f>
        <v>0.28220000000000001</v>
      </c>
      <c r="N1343" s="1123">
        <f>N1342*M1343</f>
        <v>279.41000000000003</v>
      </c>
    </row>
    <row r="1344" spans="2:14" ht="15.75" thickBot="1" x14ac:dyDescent="0.35">
      <c r="B1344" s="1599" t="s">
        <v>24704</v>
      </c>
      <c r="C1344" s="1600"/>
      <c r="D1344" s="1600"/>
      <c r="E1344" s="1600"/>
      <c r="F1344" s="1600"/>
      <c r="G1344" s="1600"/>
      <c r="H1344" s="1600"/>
      <c r="I1344" s="1600"/>
      <c r="J1344" s="1600"/>
      <c r="K1344" s="1600"/>
      <c r="L1344" s="1600"/>
      <c r="M1344" s="1601"/>
      <c r="N1344" s="1126">
        <f>N1342+N1343</f>
        <v>1269.52</v>
      </c>
    </row>
    <row r="1346" spans="2:14" ht="15.75" thickBot="1" x14ac:dyDescent="0.35"/>
    <row r="1347" spans="2:14" ht="53.25" customHeight="1" x14ac:dyDescent="0.3">
      <c r="B1347" s="1607" t="s">
        <v>24917</v>
      </c>
      <c r="C1347" s="1608"/>
      <c r="D1347" s="1609"/>
      <c r="E1347" s="1610" t="s">
        <v>24669</v>
      </c>
      <c r="F1347" s="1610"/>
      <c r="G1347" s="1610"/>
      <c r="H1347" s="1610"/>
      <c r="I1347" s="1610"/>
      <c r="J1347" s="1610"/>
      <c r="K1347" s="1610"/>
      <c r="L1347" s="1146"/>
      <c r="M1347" s="1611"/>
      <c r="N1347" s="1577"/>
    </row>
    <row r="1348" spans="2:14" x14ac:dyDescent="0.3">
      <c r="B1348" s="1103" t="s">
        <v>24670</v>
      </c>
      <c r="C1348" s="1586" t="s">
        <v>25327</v>
      </c>
      <c r="D1348" s="1586"/>
      <c r="E1348" s="1586"/>
      <c r="F1348" s="1586"/>
      <c r="G1348" s="1586"/>
      <c r="H1348" s="1586"/>
      <c r="I1348" s="1586"/>
      <c r="J1348" s="1586"/>
      <c r="K1348" s="1586"/>
      <c r="L1348" s="1586"/>
      <c r="M1348" s="1586"/>
      <c r="N1348" s="1587"/>
    </row>
    <row r="1349" spans="2:14" x14ac:dyDescent="0.3">
      <c r="B1349" s="1103" t="s">
        <v>24671</v>
      </c>
      <c r="C1349" s="1588" t="s">
        <v>5</v>
      </c>
      <c r="D1349" s="1588"/>
      <c r="E1349" s="1588"/>
      <c r="F1349" s="1588"/>
      <c r="G1349" s="1588"/>
      <c r="H1349" s="1588"/>
      <c r="I1349" s="1588"/>
      <c r="J1349" s="1588"/>
      <c r="K1349" s="1588"/>
      <c r="L1349" s="1588"/>
      <c r="M1349" s="1588"/>
      <c r="N1349" s="1589"/>
    </row>
    <row r="1350" spans="2:14" ht="15.75" thickBot="1" x14ac:dyDescent="0.35">
      <c r="B1350" s="1103" t="s">
        <v>24672</v>
      </c>
      <c r="C1350" s="1590">
        <v>44501</v>
      </c>
      <c r="D1350" s="1591"/>
      <c r="E1350" s="1591"/>
      <c r="F1350" s="1591"/>
      <c r="G1350" s="1591"/>
      <c r="H1350" s="1591"/>
      <c r="I1350" s="1591"/>
      <c r="J1350" s="1591"/>
      <c r="K1350" s="1591"/>
      <c r="L1350" s="1591"/>
      <c r="M1350" s="1591"/>
      <c r="N1350" s="1592"/>
    </row>
    <row r="1351" spans="2:14" ht="30" x14ac:dyDescent="0.3">
      <c r="B1351" s="1104" t="s">
        <v>0</v>
      </c>
      <c r="C1351" s="1105" t="s">
        <v>24673</v>
      </c>
      <c r="D1351" s="1593" t="s">
        <v>24674</v>
      </c>
      <c r="E1351" s="1593"/>
      <c r="F1351" s="1593"/>
      <c r="G1351" s="1594"/>
      <c r="H1351" s="1106" t="s">
        <v>111</v>
      </c>
      <c r="I1351" s="1106" t="s">
        <v>24675</v>
      </c>
      <c r="J1351" s="1106" t="s">
        <v>24676</v>
      </c>
      <c r="K1351" s="1106" t="s">
        <v>24677</v>
      </c>
      <c r="L1351" s="1106"/>
      <c r="M1351" s="1106" t="s">
        <v>24678</v>
      </c>
      <c r="N1351" s="1114" t="s">
        <v>24679</v>
      </c>
    </row>
    <row r="1352" spans="2:14" x14ac:dyDescent="0.3">
      <c r="B1352" s="1115"/>
      <c r="C1352" s="1108"/>
      <c r="D1352" s="1595"/>
      <c r="E1352" s="1595"/>
      <c r="F1352" s="1595"/>
      <c r="G1352" s="1596"/>
      <c r="H1352" s="1109"/>
      <c r="I1352" s="1109"/>
      <c r="J1352" s="1109"/>
      <c r="K1352" s="1109"/>
      <c r="L1352" s="1109"/>
      <c r="M1352" s="1109"/>
      <c r="N1352" s="1119"/>
    </row>
    <row r="1353" spans="2:14" ht="15.75" thickBot="1" x14ac:dyDescent="0.35">
      <c r="B1353" s="855"/>
      <c r="C1353" s="954"/>
      <c r="D1353" s="954"/>
      <c r="E1353" s="954"/>
      <c r="F1353" s="1110"/>
      <c r="G1353" s="1110"/>
      <c r="H1353" s="1110"/>
      <c r="I1353" s="1110"/>
      <c r="J1353" s="1110"/>
      <c r="K1353" s="1110"/>
      <c r="L1353" s="1110"/>
      <c r="M1353" s="1111" t="s">
        <v>24680</v>
      </c>
      <c r="N1353" s="1112">
        <f>SUM(N1352)</f>
        <v>0</v>
      </c>
    </row>
    <row r="1354" spans="2:14" ht="15.75" thickBot="1" x14ac:dyDescent="0.35">
      <c r="B1354" s="850"/>
      <c r="C1354" s="461"/>
      <c r="D1354" s="461"/>
      <c r="E1354" s="461"/>
      <c r="F1354" s="461"/>
      <c r="G1354" s="461"/>
      <c r="H1354" s="461"/>
      <c r="I1354" s="461"/>
      <c r="J1354" s="461"/>
      <c r="K1354" s="461"/>
      <c r="L1354" s="461"/>
      <c r="M1354" s="461"/>
      <c r="N1354" s="1113"/>
    </row>
    <row r="1355" spans="2:14" ht="45" x14ac:dyDescent="0.3">
      <c r="B1355" s="1104" t="s">
        <v>0</v>
      </c>
      <c r="C1355" s="1105" t="s">
        <v>24673</v>
      </c>
      <c r="D1355" s="1593" t="s">
        <v>24681</v>
      </c>
      <c r="E1355" s="1593"/>
      <c r="F1355" s="1593"/>
      <c r="G1355" s="1593"/>
      <c r="H1355" s="1594"/>
      <c r="I1355" s="1106" t="s">
        <v>3686</v>
      </c>
      <c r="J1355" s="1106" t="s">
        <v>24682</v>
      </c>
      <c r="K1355" s="1106" t="s">
        <v>24861</v>
      </c>
      <c r="L1355" s="1106" t="s">
        <v>24862</v>
      </c>
      <c r="M1355" s="1106" t="s">
        <v>24683</v>
      </c>
      <c r="N1355" s="1114" t="s">
        <v>24679</v>
      </c>
    </row>
    <row r="1356" spans="2:14" x14ac:dyDescent="0.3">
      <c r="B1356" s="1115">
        <v>10139</v>
      </c>
      <c r="C1356" s="1116" t="s">
        <v>4389</v>
      </c>
      <c r="D1356" s="1604" t="s">
        <v>404</v>
      </c>
      <c r="E1356" s="1604"/>
      <c r="F1356" s="1604"/>
      <c r="G1356" s="1604"/>
      <c r="H1356" s="1605"/>
      <c r="I1356" s="1109" t="s">
        <v>75</v>
      </c>
      <c r="J1356" s="1117">
        <v>1.5727</v>
      </c>
      <c r="K1356" s="1143">
        <v>7.43</v>
      </c>
      <c r="L1356" s="1143">
        <f>K1356*(1+J1356)</f>
        <v>19.12</v>
      </c>
      <c r="M1356" s="1118">
        <v>4.1989999999999998</v>
      </c>
      <c r="N1356" s="1119">
        <f>L1356*M1356</f>
        <v>80.28</v>
      </c>
    </row>
    <row r="1357" spans="2:14" x14ac:dyDescent="0.3">
      <c r="B1357" s="1115">
        <v>10146</v>
      </c>
      <c r="C1357" s="1116" t="s">
        <v>4389</v>
      </c>
      <c r="D1357" s="1604" t="s">
        <v>405</v>
      </c>
      <c r="E1357" s="1604"/>
      <c r="F1357" s="1604"/>
      <c r="G1357" s="1604"/>
      <c r="H1357" s="1605"/>
      <c r="I1357" s="1109" t="s">
        <v>75</v>
      </c>
      <c r="J1357" s="1117">
        <v>1.5727</v>
      </c>
      <c r="K1357" s="1143">
        <v>5.46</v>
      </c>
      <c r="L1357" s="1143">
        <f>K1357*(1+J1357)</f>
        <v>14.05</v>
      </c>
      <c r="M1357" s="1118">
        <v>2.1</v>
      </c>
      <c r="N1357" s="1119">
        <f>L1357*M1357</f>
        <v>29.51</v>
      </c>
    </row>
    <row r="1358" spans="2:14" ht="15.75" thickBot="1" x14ac:dyDescent="0.35">
      <c r="B1358" s="855"/>
      <c r="C1358" s="954"/>
      <c r="D1358" s="954"/>
      <c r="E1358" s="954"/>
      <c r="F1358" s="1110"/>
      <c r="G1358" s="1110"/>
      <c r="H1358" s="1110"/>
      <c r="I1358" s="1110"/>
      <c r="J1358" s="1110"/>
      <c r="K1358" s="1110"/>
      <c r="L1358" s="1110"/>
      <c r="M1358" s="1111" t="s">
        <v>24684</v>
      </c>
      <c r="N1358" s="1112">
        <f>SUM(N1356:N1357)</f>
        <v>109.79</v>
      </c>
    </row>
    <row r="1359" spans="2:14" ht="15.75" thickBot="1" x14ac:dyDescent="0.35">
      <c r="B1359" s="850"/>
      <c r="C1359" s="461"/>
      <c r="D1359" s="461"/>
      <c r="E1359" s="461"/>
      <c r="F1359" s="461"/>
      <c r="G1359" s="461"/>
      <c r="H1359" s="461"/>
      <c r="I1359" s="1120"/>
      <c r="J1359" s="1120"/>
      <c r="K1359" s="461"/>
      <c r="L1359" s="461"/>
      <c r="M1359" s="461"/>
      <c r="N1359" s="1113"/>
    </row>
    <row r="1360" spans="2:14" ht="30" x14ac:dyDescent="0.3">
      <c r="B1360" s="1104" t="s">
        <v>0</v>
      </c>
      <c r="C1360" s="1105" t="s">
        <v>24673</v>
      </c>
      <c r="D1360" s="1593" t="s">
        <v>24685</v>
      </c>
      <c r="E1360" s="1593"/>
      <c r="F1360" s="1593"/>
      <c r="G1360" s="1593"/>
      <c r="H1360" s="1594"/>
      <c r="I1360" s="1106" t="s">
        <v>2858</v>
      </c>
      <c r="J1360" s="1106" t="s">
        <v>24686</v>
      </c>
      <c r="K1360" s="1106" t="s">
        <v>24687</v>
      </c>
      <c r="L1360" s="1106"/>
      <c r="M1360" s="1106" t="s">
        <v>24688</v>
      </c>
      <c r="N1360" s="1114" t="s">
        <v>24689</v>
      </c>
    </row>
    <row r="1361" spans="2:14" x14ac:dyDescent="0.3">
      <c r="B1361" s="1115"/>
      <c r="C1361" s="1116"/>
      <c r="D1361" s="1604"/>
      <c r="E1361" s="1604"/>
      <c r="F1361" s="1604"/>
      <c r="G1361" s="1604"/>
      <c r="H1361" s="1605"/>
      <c r="I1361" s="1109"/>
      <c r="J1361" s="1109"/>
      <c r="K1361" s="1109"/>
      <c r="L1361" s="1109"/>
      <c r="M1361" s="1109"/>
      <c r="N1361" s="1119"/>
    </row>
    <row r="1362" spans="2:14" x14ac:dyDescent="0.3">
      <c r="B1362" s="850"/>
      <c r="C1362" s="461"/>
      <c r="D1362" s="461"/>
      <c r="E1362" s="461"/>
      <c r="F1362" s="1120"/>
      <c r="G1362" s="1120"/>
      <c r="H1362" s="1120"/>
      <c r="I1362" s="1120"/>
      <c r="J1362" s="1120"/>
      <c r="K1362" s="1120"/>
      <c r="L1362" s="1120"/>
      <c r="M1362" s="1121" t="s">
        <v>24690</v>
      </c>
      <c r="N1362" s="1122">
        <f>SUM(N1361:N1361)</f>
        <v>0</v>
      </c>
    </row>
    <row r="1363" spans="2:14" x14ac:dyDescent="0.3">
      <c r="B1363" s="850"/>
      <c r="C1363" s="461"/>
      <c r="D1363" s="461"/>
      <c r="E1363" s="461"/>
      <c r="F1363" s="461"/>
      <c r="G1363" s="461"/>
      <c r="H1363" s="461"/>
      <c r="I1363" s="461"/>
      <c r="J1363" s="461"/>
      <c r="K1363" s="461"/>
      <c r="L1363" s="461"/>
      <c r="M1363" s="461"/>
      <c r="N1363" s="1113"/>
    </row>
    <row r="1364" spans="2:14" x14ac:dyDescent="0.3">
      <c r="B1364" s="850"/>
      <c r="C1364" s="461"/>
      <c r="D1364" s="461"/>
      <c r="E1364" s="461"/>
      <c r="F1364" s="1120"/>
      <c r="G1364" s="1120"/>
      <c r="H1364" s="1120"/>
      <c r="I1364" s="863"/>
      <c r="J1364" s="863"/>
      <c r="K1364" s="863"/>
      <c r="L1364" s="863"/>
      <c r="M1364" s="1121" t="s">
        <v>24691</v>
      </c>
      <c r="N1364" s="1123">
        <f>N1353+N1358+N1362</f>
        <v>109.79</v>
      </c>
    </row>
    <row r="1365" spans="2:14" x14ac:dyDescent="0.3">
      <c r="B1365" s="850"/>
      <c r="C1365" s="461"/>
      <c r="D1365" s="461"/>
      <c r="E1365" s="461"/>
      <c r="F1365" s="1120"/>
      <c r="G1365" s="1120"/>
      <c r="H1365" s="1120"/>
      <c r="I1365" s="1120"/>
      <c r="J1365" s="1124"/>
      <c r="K1365" s="1124"/>
      <c r="L1365" s="1124"/>
      <c r="M1365" s="1125" t="s">
        <v>24692</v>
      </c>
      <c r="N1365" s="1123">
        <v>1</v>
      </c>
    </row>
    <row r="1366" spans="2:14" ht="15.75" thickBot="1" x14ac:dyDescent="0.35">
      <c r="B1366" s="855"/>
      <c r="C1366" s="954"/>
      <c r="D1366" s="954"/>
      <c r="E1366" s="954"/>
      <c r="F1366" s="1110"/>
      <c r="G1366" s="1110"/>
      <c r="H1366" s="1110"/>
      <c r="I1366" s="1110"/>
      <c r="J1366" s="1110"/>
      <c r="K1366" s="1110"/>
      <c r="L1366" s="1110"/>
      <c r="M1366" s="1111" t="s">
        <v>24693</v>
      </c>
      <c r="N1366" s="1126">
        <f>TRUNC(N1364/N1365,2)</f>
        <v>109.79</v>
      </c>
    </row>
    <row r="1367" spans="2:14" ht="15.75" thickBot="1" x14ac:dyDescent="0.35">
      <c r="B1367" s="850"/>
      <c r="C1367" s="461"/>
      <c r="D1367" s="461"/>
      <c r="E1367" s="461"/>
      <c r="F1367" s="461"/>
      <c r="G1367" s="461"/>
      <c r="H1367" s="461"/>
      <c r="I1367" s="461"/>
      <c r="J1367" s="461"/>
      <c r="K1367" s="461"/>
      <c r="L1367" s="461"/>
      <c r="M1367" s="461"/>
      <c r="N1367" s="1113"/>
    </row>
    <row r="1368" spans="2:14" ht="30" x14ac:dyDescent="0.3">
      <c r="B1368" s="1104" t="s">
        <v>0</v>
      </c>
      <c r="C1368" s="1105" t="s">
        <v>24673</v>
      </c>
      <c r="D1368" s="1593" t="s">
        <v>24694</v>
      </c>
      <c r="E1368" s="1593"/>
      <c r="F1368" s="1593"/>
      <c r="G1368" s="1593"/>
      <c r="H1368" s="1593"/>
      <c r="I1368" s="1594"/>
      <c r="J1368" s="1106" t="s">
        <v>3686</v>
      </c>
      <c r="K1368" s="1106" t="s">
        <v>24695</v>
      </c>
      <c r="L1368" s="1106"/>
      <c r="M1368" s="1106" t="s">
        <v>24683</v>
      </c>
      <c r="N1368" s="1114" t="s">
        <v>24689</v>
      </c>
    </row>
    <row r="1369" spans="2:14" ht="37.5" customHeight="1" x14ac:dyDescent="0.3">
      <c r="B1369" s="1115">
        <v>715</v>
      </c>
      <c r="C1369" s="1116" t="s">
        <v>24706</v>
      </c>
      <c r="D1369" s="1604" t="s">
        <v>25328</v>
      </c>
      <c r="E1369" s="1604"/>
      <c r="F1369" s="1604"/>
      <c r="G1369" s="1604"/>
      <c r="H1369" s="1604"/>
      <c r="I1369" s="1605"/>
      <c r="J1369" s="1109" t="s">
        <v>24804</v>
      </c>
      <c r="K1369" s="1143">
        <v>17.899999999999999</v>
      </c>
      <c r="L1369" s="1143"/>
      <c r="M1369" s="1118">
        <v>25.68</v>
      </c>
      <c r="N1369" s="1119">
        <f t="shared" ref="N1369:N1371" si="18">K1369*M1369</f>
        <v>459.67</v>
      </c>
    </row>
    <row r="1370" spans="2:14" x14ac:dyDescent="0.3">
      <c r="B1370" s="1115">
        <v>43059</v>
      </c>
      <c r="C1370" s="1116" t="s">
        <v>24706</v>
      </c>
      <c r="D1370" s="1604" t="s">
        <v>25329</v>
      </c>
      <c r="E1370" s="1604"/>
      <c r="F1370" s="1604"/>
      <c r="G1370" s="1604"/>
      <c r="H1370" s="1604"/>
      <c r="I1370" s="1605"/>
      <c r="J1370" s="1109" t="s">
        <v>77</v>
      </c>
      <c r="K1370" s="1143">
        <v>11.09</v>
      </c>
      <c r="L1370" s="1143"/>
      <c r="M1370" s="1118">
        <v>0.54500000000000004</v>
      </c>
      <c r="N1370" s="1119">
        <f t="shared" si="18"/>
        <v>6.04</v>
      </c>
    </row>
    <row r="1371" spans="2:14" ht="72" customHeight="1" x14ac:dyDescent="0.3">
      <c r="B1371" s="1115">
        <v>87292</v>
      </c>
      <c r="C1371" s="1116" t="s">
        <v>24706</v>
      </c>
      <c r="D1371" s="1604" t="s">
        <v>25330</v>
      </c>
      <c r="E1371" s="1604"/>
      <c r="F1371" s="1604"/>
      <c r="G1371" s="1604"/>
      <c r="H1371" s="1604"/>
      <c r="I1371" s="1605"/>
      <c r="J1371" s="1109" t="s">
        <v>76</v>
      </c>
      <c r="K1371" s="1143">
        <v>433.63</v>
      </c>
      <c r="L1371" s="1143"/>
      <c r="M1371" s="1118">
        <v>1.7000000000000001E-2</v>
      </c>
      <c r="N1371" s="1119">
        <f t="shared" si="18"/>
        <v>7.37</v>
      </c>
    </row>
    <row r="1372" spans="2:14" x14ac:dyDescent="0.3">
      <c r="B1372" s="1115"/>
      <c r="C1372" s="1116"/>
      <c r="D1372" s="1604"/>
      <c r="E1372" s="1604"/>
      <c r="F1372" s="1604"/>
      <c r="G1372" s="1604"/>
      <c r="H1372" s="1604"/>
      <c r="I1372" s="1605"/>
      <c r="J1372" s="1109"/>
      <c r="K1372" s="1109"/>
      <c r="L1372" s="1109"/>
      <c r="M1372" s="1118"/>
      <c r="N1372" s="1119"/>
    </row>
    <row r="1373" spans="2:14" ht="15.75" thickBot="1" x14ac:dyDescent="0.35">
      <c r="B1373" s="855"/>
      <c r="C1373" s="954"/>
      <c r="D1373" s="954"/>
      <c r="E1373" s="954"/>
      <c r="F1373" s="1110"/>
      <c r="G1373" s="1110"/>
      <c r="H1373" s="1110"/>
      <c r="I1373" s="1110"/>
      <c r="J1373" s="1110"/>
      <c r="K1373" s="1110"/>
      <c r="L1373" s="1110"/>
      <c r="M1373" s="1111" t="s">
        <v>24696</v>
      </c>
      <c r="N1373" s="1112">
        <f>SUM(N1369:N1371)</f>
        <v>473.08</v>
      </c>
    </row>
    <row r="1374" spans="2:14" ht="15.75" thickBot="1" x14ac:dyDescent="0.35">
      <c r="B1374" s="850"/>
      <c r="C1374" s="461"/>
      <c r="D1374" s="461"/>
      <c r="E1374" s="461"/>
      <c r="F1374" s="461"/>
      <c r="G1374" s="461"/>
      <c r="H1374" s="461"/>
      <c r="I1374" s="461"/>
      <c r="J1374" s="461"/>
      <c r="K1374" s="461"/>
      <c r="L1374" s="461"/>
      <c r="M1374" s="461"/>
      <c r="N1374" s="1113"/>
    </row>
    <row r="1375" spans="2:14" ht="30" x14ac:dyDescent="0.3">
      <c r="B1375" s="1104" t="s">
        <v>0</v>
      </c>
      <c r="C1375" s="1106" t="s">
        <v>24673</v>
      </c>
      <c r="D1375" s="1593" t="s">
        <v>24697</v>
      </c>
      <c r="E1375" s="1593"/>
      <c r="F1375" s="1593"/>
      <c r="G1375" s="1593"/>
      <c r="H1375" s="1593"/>
      <c r="I1375" s="1594"/>
      <c r="J1375" s="1106" t="s">
        <v>3686</v>
      </c>
      <c r="K1375" s="1106" t="s">
        <v>24695</v>
      </c>
      <c r="L1375" s="1106"/>
      <c r="M1375" s="1106" t="s">
        <v>24683</v>
      </c>
      <c r="N1375" s="1114" t="s">
        <v>24689</v>
      </c>
    </row>
    <row r="1376" spans="2:14" x14ac:dyDescent="0.3">
      <c r="B1376" s="1127"/>
      <c r="C1376" s="1128"/>
      <c r="D1376" s="1604"/>
      <c r="E1376" s="1604"/>
      <c r="F1376" s="1604"/>
      <c r="G1376" s="1604"/>
      <c r="H1376" s="1604"/>
      <c r="I1376" s="1605"/>
      <c r="J1376" s="462"/>
      <c r="K1376" s="462"/>
      <c r="L1376" s="462"/>
      <c r="M1376" s="1147"/>
      <c r="N1376" s="1130"/>
    </row>
    <row r="1377" spans="2:14" ht="15.75" thickBot="1" x14ac:dyDescent="0.35">
      <c r="B1377" s="855"/>
      <c r="C1377" s="954"/>
      <c r="D1377" s="954"/>
      <c r="E1377" s="954"/>
      <c r="F1377" s="1110"/>
      <c r="G1377" s="1110"/>
      <c r="H1377" s="1110"/>
      <c r="I1377" s="1110"/>
      <c r="J1377" s="1110"/>
      <c r="K1377" s="1110"/>
      <c r="L1377" s="1110"/>
      <c r="M1377" s="1111" t="s">
        <v>24698</v>
      </c>
      <c r="N1377" s="1112">
        <f>SUM(N1376:N1376)</f>
        <v>0</v>
      </c>
    </row>
    <row r="1378" spans="2:14" ht="15.75" thickBot="1" x14ac:dyDescent="0.35">
      <c r="B1378" s="850"/>
      <c r="C1378" s="461"/>
      <c r="D1378" s="461"/>
      <c r="E1378" s="461"/>
      <c r="F1378" s="461"/>
      <c r="G1378" s="461"/>
      <c r="H1378" s="461"/>
      <c r="I1378" s="461"/>
      <c r="J1378" s="461"/>
      <c r="K1378" s="461"/>
      <c r="L1378" s="461"/>
      <c r="M1378" s="461"/>
      <c r="N1378" s="1113"/>
    </row>
    <row r="1379" spans="2:14" ht="30" x14ac:dyDescent="0.3">
      <c r="B1379" s="1104" t="s">
        <v>0</v>
      </c>
      <c r="C1379" s="1106" t="s">
        <v>24673</v>
      </c>
      <c r="D1379" s="1593" t="s">
        <v>24699</v>
      </c>
      <c r="E1379" s="1593"/>
      <c r="F1379" s="1593"/>
      <c r="G1379" s="1594"/>
      <c r="H1379" s="1106" t="s">
        <v>3686</v>
      </c>
      <c r="I1379" s="1106" t="s">
        <v>24700</v>
      </c>
      <c r="J1379" s="1106" t="s">
        <v>24701</v>
      </c>
      <c r="K1379" s="1106" t="s">
        <v>24695</v>
      </c>
      <c r="L1379" s="1106"/>
      <c r="M1379" s="1106" t="s">
        <v>24683</v>
      </c>
      <c r="N1379" s="1114" t="s">
        <v>24689</v>
      </c>
    </row>
    <row r="1380" spans="2:14" x14ac:dyDescent="0.3">
      <c r="B1380" s="1115"/>
      <c r="C1380" s="1116"/>
      <c r="D1380" s="1595"/>
      <c r="E1380" s="1595"/>
      <c r="F1380" s="1595"/>
      <c r="G1380" s="1595"/>
      <c r="H1380" s="1109"/>
      <c r="I1380" s="1109"/>
      <c r="J1380" s="1109"/>
      <c r="K1380" s="1109"/>
      <c r="L1380" s="1109"/>
      <c r="M1380" s="1118"/>
      <c r="N1380" s="1119"/>
    </row>
    <row r="1381" spans="2:14" x14ac:dyDescent="0.3">
      <c r="B1381" s="850"/>
      <c r="C1381" s="461"/>
      <c r="D1381" s="461"/>
      <c r="E1381" s="461"/>
      <c r="F1381" s="1120"/>
      <c r="G1381" s="1120"/>
      <c r="H1381" s="1120"/>
      <c r="I1381" s="1120"/>
      <c r="J1381" s="1120"/>
      <c r="K1381" s="1120"/>
      <c r="L1381" s="1120"/>
      <c r="M1381" s="1121" t="s">
        <v>24702</v>
      </c>
      <c r="N1381" s="1122">
        <f>SUM(N1380:N1380)</f>
        <v>0</v>
      </c>
    </row>
    <row r="1382" spans="2:14" x14ac:dyDescent="0.3">
      <c r="B1382" s="850"/>
      <c r="C1382" s="461"/>
      <c r="D1382" s="461"/>
      <c r="E1382" s="461"/>
      <c r="F1382" s="461"/>
      <c r="G1382" s="461"/>
      <c r="H1382" s="461"/>
      <c r="I1382" s="461"/>
      <c r="J1382" s="461"/>
      <c r="K1382" s="461"/>
      <c r="L1382" s="461"/>
      <c r="M1382" s="461"/>
      <c r="N1382" s="1113"/>
    </row>
    <row r="1383" spans="2:14" x14ac:dyDescent="0.3">
      <c r="B1383" s="1131"/>
      <c r="C1383" s="1132"/>
      <c r="D1383" s="1132"/>
      <c r="E1383" s="1132"/>
      <c r="F1383" s="1133"/>
      <c r="G1383" s="1133"/>
      <c r="H1383" s="1133"/>
      <c r="I1383" s="1133"/>
      <c r="J1383" s="1133"/>
      <c r="K1383" s="1133"/>
      <c r="L1383" s="1133"/>
      <c r="M1383" s="1134" t="s">
        <v>24703</v>
      </c>
      <c r="N1383" s="1123">
        <f>N1366+N1373+N1377+N1381</f>
        <v>582.87</v>
      </c>
    </row>
    <row r="1384" spans="2:14" x14ac:dyDescent="0.3">
      <c r="B1384" s="850"/>
      <c r="C1384" s="461"/>
      <c r="D1384" s="461"/>
      <c r="E1384" s="461"/>
      <c r="F1384" s="1120"/>
      <c r="G1384" s="1120"/>
      <c r="H1384" s="1120"/>
      <c r="I1384" s="1120"/>
      <c r="J1384" s="1120"/>
      <c r="K1384" s="1120"/>
      <c r="L1384" s="1120"/>
      <c r="M1384" s="1136">
        <f>'QUIOSQUE - MOD 01'!I3</f>
        <v>0.28220000000000001</v>
      </c>
      <c r="N1384" s="1123">
        <f>N1383*M1384</f>
        <v>164.49</v>
      </c>
    </row>
    <row r="1385" spans="2:14" ht="15.75" thickBot="1" x14ac:dyDescent="0.35">
      <c r="B1385" s="1599" t="s">
        <v>24704</v>
      </c>
      <c r="C1385" s="1600"/>
      <c r="D1385" s="1600"/>
      <c r="E1385" s="1600"/>
      <c r="F1385" s="1600"/>
      <c r="G1385" s="1600"/>
      <c r="H1385" s="1600"/>
      <c r="I1385" s="1600"/>
      <c r="J1385" s="1600"/>
      <c r="K1385" s="1600"/>
      <c r="L1385" s="1600"/>
      <c r="M1385" s="1601"/>
      <c r="N1385" s="1126">
        <f>N1383+N1384</f>
        <v>747.36</v>
      </c>
    </row>
    <row r="1388" spans="2:14" ht="15.75" thickBot="1" x14ac:dyDescent="0.35"/>
    <row r="1389" spans="2:14" ht="48" customHeight="1" x14ac:dyDescent="0.3">
      <c r="B1389" s="1607" t="s">
        <v>24766</v>
      </c>
      <c r="C1389" s="1608"/>
      <c r="D1389" s="1609"/>
      <c r="E1389" s="1610" t="s">
        <v>24669</v>
      </c>
      <c r="F1389" s="1610"/>
      <c r="G1389" s="1610"/>
      <c r="H1389" s="1610"/>
      <c r="I1389" s="1610"/>
      <c r="J1389" s="1610"/>
      <c r="K1389" s="1610"/>
      <c r="L1389" s="1146"/>
      <c r="M1389" s="1611"/>
      <c r="N1389" s="1577"/>
    </row>
    <row r="1390" spans="2:14" x14ac:dyDescent="0.3">
      <c r="B1390" s="1103" t="s">
        <v>24670</v>
      </c>
      <c r="C1390" s="1586" t="s">
        <v>25331</v>
      </c>
      <c r="D1390" s="1586"/>
      <c r="E1390" s="1586"/>
      <c r="F1390" s="1586"/>
      <c r="G1390" s="1586"/>
      <c r="H1390" s="1586"/>
      <c r="I1390" s="1586"/>
      <c r="J1390" s="1586"/>
      <c r="K1390" s="1586"/>
      <c r="L1390" s="1586"/>
      <c r="M1390" s="1586"/>
      <c r="N1390" s="1587"/>
    </row>
    <row r="1391" spans="2:14" x14ac:dyDescent="0.3">
      <c r="B1391" s="1103" t="s">
        <v>24671</v>
      </c>
      <c r="C1391" s="1588" t="s">
        <v>5</v>
      </c>
      <c r="D1391" s="1588"/>
      <c r="E1391" s="1588"/>
      <c r="F1391" s="1588"/>
      <c r="G1391" s="1588"/>
      <c r="H1391" s="1588"/>
      <c r="I1391" s="1588"/>
      <c r="J1391" s="1588"/>
      <c r="K1391" s="1588"/>
      <c r="L1391" s="1588"/>
      <c r="M1391" s="1588"/>
      <c r="N1391" s="1589"/>
    </row>
    <row r="1392" spans="2:14" ht="15.75" thickBot="1" x14ac:dyDescent="0.35">
      <c r="B1392" s="1103" t="s">
        <v>24672</v>
      </c>
      <c r="C1392" s="1590">
        <v>44501</v>
      </c>
      <c r="D1392" s="1591"/>
      <c r="E1392" s="1591"/>
      <c r="F1392" s="1591"/>
      <c r="G1392" s="1591"/>
      <c r="H1392" s="1591"/>
      <c r="I1392" s="1591"/>
      <c r="J1392" s="1591"/>
      <c r="K1392" s="1591"/>
      <c r="L1392" s="1591"/>
      <c r="M1392" s="1591"/>
      <c r="N1392" s="1592"/>
    </row>
    <row r="1393" spans="2:14" ht="30" x14ac:dyDescent="0.3">
      <c r="B1393" s="1104" t="s">
        <v>0</v>
      </c>
      <c r="C1393" s="1105" t="s">
        <v>24673</v>
      </c>
      <c r="D1393" s="1593" t="s">
        <v>24674</v>
      </c>
      <c r="E1393" s="1593"/>
      <c r="F1393" s="1593"/>
      <c r="G1393" s="1594"/>
      <c r="H1393" s="1106" t="s">
        <v>111</v>
      </c>
      <c r="I1393" s="1106" t="s">
        <v>24675</v>
      </c>
      <c r="J1393" s="1106" t="s">
        <v>24676</v>
      </c>
      <c r="K1393" s="1106" t="s">
        <v>24677</v>
      </c>
      <c r="L1393" s="1106"/>
      <c r="M1393" s="1106" t="s">
        <v>24678</v>
      </c>
      <c r="N1393" s="1114" t="s">
        <v>24679</v>
      </c>
    </row>
    <row r="1394" spans="2:14" x14ac:dyDescent="0.3">
      <c r="B1394" s="1115"/>
      <c r="C1394" s="1108"/>
      <c r="D1394" s="1595"/>
      <c r="E1394" s="1595"/>
      <c r="F1394" s="1595"/>
      <c r="G1394" s="1596"/>
      <c r="H1394" s="1109"/>
      <c r="I1394" s="1109"/>
      <c r="J1394" s="1109"/>
      <c r="K1394" s="1109"/>
      <c r="L1394" s="1109"/>
      <c r="M1394" s="1109"/>
      <c r="N1394" s="1119"/>
    </row>
    <row r="1395" spans="2:14" ht="15.75" thickBot="1" x14ac:dyDescent="0.35">
      <c r="B1395" s="855"/>
      <c r="C1395" s="954"/>
      <c r="D1395" s="954"/>
      <c r="E1395" s="954"/>
      <c r="F1395" s="1110"/>
      <c r="G1395" s="1110"/>
      <c r="H1395" s="1110"/>
      <c r="I1395" s="1110"/>
      <c r="J1395" s="1110"/>
      <c r="K1395" s="1110"/>
      <c r="L1395" s="1110"/>
      <c r="M1395" s="1111" t="s">
        <v>24680</v>
      </c>
      <c r="N1395" s="1112">
        <f>SUM(N1394)</f>
        <v>0</v>
      </c>
    </row>
    <row r="1396" spans="2:14" ht="15.75" thickBot="1" x14ac:dyDescent="0.35">
      <c r="B1396" s="850"/>
      <c r="C1396" s="461"/>
      <c r="D1396" s="461"/>
      <c r="E1396" s="461"/>
      <c r="F1396" s="461"/>
      <c r="G1396" s="461"/>
      <c r="H1396" s="461"/>
      <c r="I1396" s="461"/>
      <c r="J1396" s="461"/>
      <c r="K1396" s="461"/>
      <c r="L1396" s="461"/>
      <c r="M1396" s="461"/>
      <c r="N1396" s="1113"/>
    </row>
    <row r="1397" spans="2:14" ht="45" x14ac:dyDescent="0.3">
      <c r="B1397" s="1104" t="s">
        <v>0</v>
      </c>
      <c r="C1397" s="1105" t="s">
        <v>24673</v>
      </c>
      <c r="D1397" s="1593" t="s">
        <v>24681</v>
      </c>
      <c r="E1397" s="1593"/>
      <c r="F1397" s="1593"/>
      <c r="G1397" s="1593"/>
      <c r="H1397" s="1594"/>
      <c r="I1397" s="1106" t="s">
        <v>3686</v>
      </c>
      <c r="J1397" s="1106" t="s">
        <v>24682</v>
      </c>
      <c r="K1397" s="1106" t="s">
        <v>24861</v>
      </c>
      <c r="L1397" s="1106" t="s">
        <v>24862</v>
      </c>
      <c r="M1397" s="1106" t="s">
        <v>24683</v>
      </c>
      <c r="N1397" s="1114" t="s">
        <v>24679</v>
      </c>
    </row>
    <row r="1398" spans="2:14" x14ac:dyDescent="0.3">
      <c r="B1398" s="1115">
        <v>10101</v>
      </c>
      <c r="C1398" s="1116" t="s">
        <v>4389</v>
      </c>
      <c r="D1398" s="1604" t="s">
        <v>396</v>
      </c>
      <c r="E1398" s="1604"/>
      <c r="F1398" s="1604"/>
      <c r="G1398" s="1604"/>
      <c r="H1398" s="1605"/>
      <c r="I1398" s="1109" t="s">
        <v>75</v>
      </c>
      <c r="J1398" s="1117">
        <v>1.5727</v>
      </c>
      <c r="K1398" s="1143">
        <v>6.27</v>
      </c>
      <c r="L1398" s="1143">
        <f>K1398*(1+J1398)</f>
        <v>16.13</v>
      </c>
      <c r="M1398" s="1118">
        <v>0.27800000000000002</v>
      </c>
      <c r="N1398" s="1119">
        <f>L1398*M1398</f>
        <v>4.4800000000000004</v>
      </c>
    </row>
    <row r="1399" spans="2:14" x14ac:dyDescent="0.3">
      <c r="B1399" s="1115">
        <v>12873</v>
      </c>
      <c r="C1399" s="1116" t="s">
        <v>24706</v>
      </c>
      <c r="D1399" s="1604" t="s">
        <v>25332</v>
      </c>
      <c r="E1399" s="1604"/>
      <c r="F1399" s="1604"/>
      <c r="G1399" s="1604"/>
      <c r="H1399" s="1605"/>
      <c r="I1399" s="1109" t="s">
        <v>75</v>
      </c>
      <c r="J1399" s="1117">
        <v>1.5727</v>
      </c>
      <c r="K1399" s="1143">
        <v>17.309999999999999</v>
      </c>
      <c r="L1399" s="1143">
        <f>K1399*(1+J1399)</f>
        <v>44.53</v>
      </c>
      <c r="M1399" s="1118">
        <v>1.375</v>
      </c>
      <c r="N1399" s="1119">
        <f>L1399*M1399</f>
        <v>61.23</v>
      </c>
    </row>
    <row r="1400" spans="2:14" ht="15.75" thickBot="1" x14ac:dyDescent="0.35">
      <c r="B1400" s="855"/>
      <c r="C1400" s="954"/>
      <c r="D1400" s="954"/>
      <c r="E1400" s="954"/>
      <c r="F1400" s="1110"/>
      <c r="G1400" s="1110"/>
      <c r="H1400" s="1110"/>
      <c r="I1400" s="1110"/>
      <c r="J1400" s="1110"/>
      <c r="K1400" s="1110"/>
      <c r="L1400" s="1110"/>
      <c r="M1400" s="1111" t="s">
        <v>24684</v>
      </c>
      <c r="N1400" s="1112">
        <f>SUM(N1398:N1399)</f>
        <v>65.709999999999994</v>
      </c>
    </row>
    <row r="1401" spans="2:14" ht="15.75" thickBot="1" x14ac:dyDescent="0.35">
      <c r="B1401" s="850"/>
      <c r="C1401" s="461"/>
      <c r="D1401" s="461"/>
      <c r="E1401" s="461"/>
      <c r="F1401" s="461"/>
      <c r="G1401" s="461"/>
      <c r="H1401" s="461"/>
      <c r="I1401" s="1120"/>
      <c r="J1401" s="1120"/>
      <c r="K1401" s="461"/>
      <c r="L1401" s="461"/>
      <c r="M1401" s="461"/>
      <c r="N1401" s="1113"/>
    </row>
    <row r="1402" spans="2:14" ht="30" x14ac:dyDescent="0.3">
      <c r="B1402" s="1104" t="s">
        <v>0</v>
      </c>
      <c r="C1402" s="1105" t="s">
        <v>24673</v>
      </c>
      <c r="D1402" s="1593" t="s">
        <v>24685</v>
      </c>
      <c r="E1402" s="1593"/>
      <c r="F1402" s="1593"/>
      <c r="G1402" s="1593"/>
      <c r="H1402" s="1594"/>
      <c r="I1402" s="1106" t="s">
        <v>2858</v>
      </c>
      <c r="J1402" s="1106" t="s">
        <v>24686</v>
      </c>
      <c r="K1402" s="1106" t="s">
        <v>24687</v>
      </c>
      <c r="L1402" s="1106"/>
      <c r="M1402" s="1106" t="s">
        <v>24688</v>
      </c>
      <c r="N1402" s="1114" t="s">
        <v>24689</v>
      </c>
    </row>
    <row r="1403" spans="2:14" x14ac:dyDescent="0.3">
      <c r="B1403" s="1115"/>
      <c r="C1403" s="1116"/>
      <c r="D1403" s="1604"/>
      <c r="E1403" s="1604"/>
      <c r="F1403" s="1604"/>
      <c r="G1403" s="1604"/>
      <c r="H1403" s="1605"/>
      <c r="I1403" s="1109"/>
      <c r="J1403" s="1109"/>
      <c r="K1403" s="1109"/>
      <c r="L1403" s="1109"/>
      <c r="M1403" s="1109"/>
      <c r="N1403" s="1119"/>
    </row>
    <row r="1404" spans="2:14" x14ac:dyDescent="0.3">
      <c r="B1404" s="850"/>
      <c r="C1404" s="461"/>
      <c r="D1404" s="461"/>
      <c r="E1404" s="461"/>
      <c r="F1404" s="1120"/>
      <c r="G1404" s="1120"/>
      <c r="H1404" s="1120"/>
      <c r="I1404" s="1120"/>
      <c r="J1404" s="1120"/>
      <c r="K1404" s="1120"/>
      <c r="L1404" s="1120"/>
      <c r="M1404" s="1121" t="s">
        <v>24690</v>
      </c>
      <c r="N1404" s="1122">
        <f>SUM(N1403:N1403)</f>
        <v>0</v>
      </c>
    </row>
    <row r="1405" spans="2:14" x14ac:dyDescent="0.3">
      <c r="B1405" s="850"/>
      <c r="C1405" s="461"/>
      <c r="D1405" s="461"/>
      <c r="E1405" s="461"/>
      <c r="F1405" s="461"/>
      <c r="G1405" s="461"/>
      <c r="H1405" s="461"/>
      <c r="I1405" s="461"/>
      <c r="J1405" s="461"/>
      <c r="K1405" s="461"/>
      <c r="L1405" s="461"/>
      <c r="M1405" s="461"/>
      <c r="N1405" s="1113"/>
    </row>
    <row r="1406" spans="2:14" x14ac:dyDescent="0.3">
      <c r="B1406" s="850"/>
      <c r="C1406" s="461"/>
      <c r="D1406" s="461"/>
      <c r="E1406" s="461"/>
      <c r="F1406" s="1120"/>
      <c r="G1406" s="1120"/>
      <c r="H1406" s="1120"/>
      <c r="I1406" s="863"/>
      <c r="J1406" s="863"/>
      <c r="K1406" s="863"/>
      <c r="L1406" s="863"/>
      <c r="M1406" s="1121" t="s">
        <v>24691</v>
      </c>
      <c r="N1406" s="1123">
        <f>N1395+N1400+N1404</f>
        <v>65.709999999999994</v>
      </c>
    </row>
    <row r="1407" spans="2:14" x14ac:dyDescent="0.3">
      <c r="B1407" s="850"/>
      <c r="C1407" s="461"/>
      <c r="D1407" s="461"/>
      <c r="E1407" s="461"/>
      <c r="F1407" s="1120"/>
      <c r="G1407" s="1120"/>
      <c r="H1407" s="1120"/>
      <c r="I1407" s="1120"/>
      <c r="J1407" s="1124"/>
      <c r="K1407" s="1124"/>
      <c r="L1407" s="1124"/>
      <c r="M1407" s="1125" t="s">
        <v>24692</v>
      </c>
      <c r="N1407" s="1123">
        <v>1</v>
      </c>
    </row>
    <row r="1408" spans="2:14" ht="15.75" thickBot="1" x14ac:dyDescent="0.35">
      <c r="B1408" s="855"/>
      <c r="C1408" s="954"/>
      <c r="D1408" s="954"/>
      <c r="E1408" s="954"/>
      <c r="F1408" s="1110"/>
      <c r="G1408" s="1110"/>
      <c r="H1408" s="1110"/>
      <c r="I1408" s="1110"/>
      <c r="J1408" s="1110"/>
      <c r="K1408" s="1110"/>
      <c r="L1408" s="1110"/>
      <c r="M1408" s="1111" t="s">
        <v>24693</v>
      </c>
      <c r="N1408" s="1126">
        <f>TRUNC(N1406/N1407,2)</f>
        <v>65.709999999999994</v>
      </c>
    </row>
    <row r="1409" spans="2:14" ht="15.75" thickBot="1" x14ac:dyDescent="0.35">
      <c r="B1409" s="850"/>
      <c r="C1409" s="461"/>
      <c r="D1409" s="461"/>
      <c r="E1409" s="461"/>
      <c r="F1409" s="461"/>
      <c r="G1409" s="461"/>
      <c r="H1409" s="461"/>
      <c r="I1409" s="461"/>
      <c r="J1409" s="461"/>
      <c r="K1409" s="461"/>
      <c r="L1409" s="461"/>
      <c r="M1409" s="461"/>
      <c r="N1409" s="1113"/>
    </row>
    <row r="1410" spans="2:14" ht="30" x14ac:dyDescent="0.3">
      <c r="B1410" s="1104" t="s">
        <v>0</v>
      </c>
      <c r="C1410" s="1105" t="s">
        <v>24673</v>
      </c>
      <c r="D1410" s="1593" t="s">
        <v>24694</v>
      </c>
      <c r="E1410" s="1593"/>
      <c r="F1410" s="1593"/>
      <c r="G1410" s="1593"/>
      <c r="H1410" s="1593"/>
      <c r="I1410" s="1594"/>
      <c r="J1410" s="1106" t="s">
        <v>3686</v>
      </c>
      <c r="K1410" s="1106" t="s">
        <v>24695</v>
      </c>
      <c r="L1410" s="1614" t="s">
        <v>24683</v>
      </c>
      <c r="M1410" s="1615"/>
      <c r="N1410" s="1114" t="s">
        <v>24689</v>
      </c>
    </row>
    <row r="1411" spans="2:14" ht="33" customHeight="1" x14ac:dyDescent="0.3">
      <c r="B1411" s="1115">
        <v>511</v>
      </c>
      <c r="C1411" s="1116" t="s">
        <v>24706</v>
      </c>
      <c r="D1411" s="1604" t="s">
        <v>25333</v>
      </c>
      <c r="E1411" s="1604"/>
      <c r="F1411" s="1604"/>
      <c r="G1411" s="1604"/>
      <c r="H1411" s="1604"/>
      <c r="I1411" s="1605"/>
      <c r="J1411" s="1109" t="s">
        <v>85</v>
      </c>
      <c r="K1411" s="1143">
        <v>9.8800000000000008</v>
      </c>
      <c r="L1411" s="1624">
        <v>0.61499999999999999</v>
      </c>
      <c r="M1411" s="1625"/>
      <c r="N1411" s="1119">
        <f>K1411*L1411</f>
        <v>6.08</v>
      </c>
    </row>
    <row r="1412" spans="2:14" ht="33" customHeight="1" x14ac:dyDescent="0.3">
      <c r="B1412" s="1115">
        <v>4014</v>
      </c>
      <c r="C1412" s="1116" t="s">
        <v>24706</v>
      </c>
      <c r="D1412" s="1604" t="s">
        <v>25334</v>
      </c>
      <c r="E1412" s="1604"/>
      <c r="F1412" s="1604"/>
      <c r="G1412" s="1604"/>
      <c r="H1412" s="1604"/>
      <c r="I1412" s="1605"/>
      <c r="J1412" s="1109" t="s">
        <v>2884</v>
      </c>
      <c r="K1412" s="1143">
        <v>62.18</v>
      </c>
      <c r="L1412" s="1624">
        <v>1.125</v>
      </c>
      <c r="M1412" s="1625"/>
      <c r="N1412" s="1119">
        <f t="shared" ref="N1412:N1414" si="19">K1412*L1412</f>
        <v>69.95</v>
      </c>
    </row>
    <row r="1413" spans="2:14" ht="32.25" customHeight="1" x14ac:dyDescent="0.3">
      <c r="B1413" s="1115">
        <v>4015</v>
      </c>
      <c r="C1413" s="1116" t="s">
        <v>24706</v>
      </c>
      <c r="D1413" s="1604" t="s">
        <v>25335</v>
      </c>
      <c r="E1413" s="1604"/>
      <c r="F1413" s="1604"/>
      <c r="G1413" s="1604"/>
      <c r="H1413" s="1604"/>
      <c r="I1413" s="1605"/>
      <c r="J1413" s="1109" t="s">
        <v>2884</v>
      </c>
      <c r="K1413" s="1143">
        <v>76.349999999999994</v>
      </c>
      <c r="L1413" s="1624">
        <v>1.125</v>
      </c>
      <c r="M1413" s="1625"/>
      <c r="N1413" s="1119">
        <f t="shared" si="19"/>
        <v>85.89</v>
      </c>
    </row>
    <row r="1414" spans="2:14" x14ac:dyDescent="0.3">
      <c r="B1414" s="1115">
        <v>4226</v>
      </c>
      <c r="C1414" s="1116" t="s">
        <v>24706</v>
      </c>
      <c r="D1414" s="1604" t="s">
        <v>25336</v>
      </c>
      <c r="E1414" s="1604"/>
      <c r="F1414" s="1604"/>
      <c r="G1414" s="1604"/>
      <c r="H1414" s="1604"/>
      <c r="I1414" s="1605"/>
      <c r="J1414" s="1109" t="s">
        <v>77</v>
      </c>
      <c r="K1414" s="1143">
        <v>7.56</v>
      </c>
      <c r="L1414" s="1624">
        <v>0.52</v>
      </c>
      <c r="M1414" s="1625"/>
      <c r="N1414" s="1119">
        <f t="shared" si="19"/>
        <v>3.93</v>
      </c>
    </row>
    <row r="1415" spans="2:14" x14ac:dyDescent="0.3">
      <c r="B1415" s="1115"/>
      <c r="C1415" s="1116"/>
      <c r="D1415" s="1604"/>
      <c r="E1415" s="1604"/>
      <c r="F1415" s="1604"/>
      <c r="G1415" s="1604"/>
      <c r="H1415" s="1604"/>
      <c r="I1415" s="1605"/>
      <c r="J1415" s="1109"/>
      <c r="K1415" s="1109"/>
      <c r="L1415" s="1109"/>
      <c r="M1415" s="1118"/>
      <c r="N1415" s="1119"/>
    </row>
    <row r="1416" spans="2:14" ht="15.75" thickBot="1" x14ac:dyDescent="0.35">
      <c r="B1416" s="855"/>
      <c r="C1416" s="954"/>
      <c r="D1416" s="954"/>
      <c r="E1416" s="954"/>
      <c r="F1416" s="1110"/>
      <c r="G1416" s="1110"/>
      <c r="H1416" s="1110"/>
      <c r="I1416" s="1110"/>
      <c r="J1416" s="1110"/>
      <c r="K1416" s="1110"/>
      <c r="L1416" s="1110"/>
      <c r="M1416" s="1111" t="s">
        <v>24696</v>
      </c>
      <c r="N1416" s="1112">
        <f>SUM(N1411:N1414)</f>
        <v>165.85</v>
      </c>
    </row>
    <row r="1417" spans="2:14" ht="15.75" thickBot="1" x14ac:dyDescent="0.35">
      <c r="B1417" s="850"/>
      <c r="C1417" s="461"/>
      <c r="D1417" s="461"/>
      <c r="E1417" s="461"/>
      <c r="F1417" s="461"/>
      <c r="G1417" s="461"/>
      <c r="H1417" s="461"/>
      <c r="I1417" s="461"/>
      <c r="J1417" s="461"/>
      <c r="K1417" s="461"/>
      <c r="L1417" s="461"/>
      <c r="M1417" s="461"/>
      <c r="N1417" s="1113"/>
    </row>
    <row r="1418" spans="2:14" ht="30" x14ac:dyDescent="0.3">
      <c r="B1418" s="1104" t="s">
        <v>0</v>
      </c>
      <c r="C1418" s="1106" t="s">
        <v>24673</v>
      </c>
      <c r="D1418" s="1593" t="s">
        <v>24697</v>
      </c>
      <c r="E1418" s="1593"/>
      <c r="F1418" s="1593"/>
      <c r="G1418" s="1593"/>
      <c r="H1418" s="1593"/>
      <c r="I1418" s="1594"/>
      <c r="J1418" s="1106" t="s">
        <v>3686</v>
      </c>
      <c r="K1418" s="1106" t="s">
        <v>24695</v>
      </c>
      <c r="L1418" s="1106"/>
      <c r="M1418" s="1106" t="s">
        <v>24683</v>
      </c>
      <c r="N1418" s="1114" t="s">
        <v>24689</v>
      </c>
    </row>
    <row r="1419" spans="2:14" x14ac:dyDescent="0.3">
      <c r="B1419" s="1127"/>
      <c r="C1419" s="1128"/>
      <c r="D1419" s="1604"/>
      <c r="E1419" s="1604"/>
      <c r="F1419" s="1604"/>
      <c r="G1419" s="1604"/>
      <c r="H1419" s="1604"/>
      <c r="I1419" s="1605"/>
      <c r="J1419" s="462"/>
      <c r="K1419" s="462"/>
      <c r="L1419" s="462"/>
      <c r="M1419" s="1147"/>
      <c r="N1419" s="1130"/>
    </row>
    <row r="1420" spans="2:14" ht="15.75" thickBot="1" x14ac:dyDescent="0.35">
      <c r="B1420" s="855"/>
      <c r="C1420" s="954"/>
      <c r="D1420" s="954"/>
      <c r="E1420" s="954"/>
      <c r="F1420" s="1110"/>
      <c r="G1420" s="1110"/>
      <c r="H1420" s="1110"/>
      <c r="I1420" s="1110"/>
      <c r="J1420" s="1110"/>
      <c r="K1420" s="1110"/>
      <c r="L1420" s="1110"/>
      <c r="M1420" s="1111" t="s">
        <v>24698</v>
      </c>
      <c r="N1420" s="1112">
        <f>SUM(N1419:N1419)</f>
        <v>0</v>
      </c>
    </row>
    <row r="1421" spans="2:14" ht="15.75" thickBot="1" x14ac:dyDescent="0.35">
      <c r="B1421" s="850"/>
      <c r="C1421" s="461"/>
      <c r="D1421" s="461"/>
      <c r="E1421" s="461"/>
      <c r="F1421" s="461"/>
      <c r="G1421" s="461"/>
      <c r="H1421" s="461"/>
      <c r="I1421" s="461"/>
      <c r="J1421" s="461"/>
      <c r="K1421" s="461"/>
      <c r="L1421" s="461"/>
      <c r="M1421" s="461"/>
      <c r="N1421" s="1113"/>
    </row>
    <row r="1422" spans="2:14" ht="30" x14ac:dyDescent="0.3">
      <c r="B1422" s="1104" t="s">
        <v>0</v>
      </c>
      <c r="C1422" s="1106" t="s">
        <v>24673</v>
      </c>
      <c r="D1422" s="1593" t="s">
        <v>24699</v>
      </c>
      <c r="E1422" s="1593"/>
      <c r="F1422" s="1593"/>
      <c r="G1422" s="1594"/>
      <c r="H1422" s="1106" t="s">
        <v>3686</v>
      </c>
      <c r="I1422" s="1106" t="s">
        <v>24700</v>
      </c>
      <c r="J1422" s="1106" t="s">
        <v>24701</v>
      </c>
      <c r="K1422" s="1106" t="s">
        <v>24695</v>
      </c>
      <c r="L1422" s="1106"/>
      <c r="M1422" s="1106" t="s">
        <v>24683</v>
      </c>
      <c r="N1422" s="1114" t="s">
        <v>24689</v>
      </c>
    </row>
    <row r="1423" spans="2:14" x14ac:dyDescent="0.3">
      <c r="B1423" s="1115"/>
      <c r="C1423" s="1116"/>
      <c r="D1423" s="1595"/>
      <c r="E1423" s="1595"/>
      <c r="F1423" s="1595"/>
      <c r="G1423" s="1595"/>
      <c r="H1423" s="1109"/>
      <c r="I1423" s="1109"/>
      <c r="J1423" s="1109"/>
      <c r="K1423" s="1109"/>
      <c r="L1423" s="1109"/>
      <c r="M1423" s="1118"/>
      <c r="N1423" s="1119"/>
    </row>
    <row r="1424" spans="2:14" x14ac:dyDescent="0.3">
      <c r="B1424" s="850"/>
      <c r="C1424" s="461"/>
      <c r="D1424" s="461"/>
      <c r="E1424" s="461"/>
      <c r="F1424" s="1120"/>
      <c r="G1424" s="1120"/>
      <c r="H1424" s="1120"/>
      <c r="I1424" s="1120"/>
      <c r="J1424" s="1120"/>
      <c r="K1424" s="1120"/>
      <c r="L1424" s="1120"/>
      <c r="M1424" s="1121" t="s">
        <v>24702</v>
      </c>
      <c r="N1424" s="1122">
        <f>SUM(N1423:N1423)</f>
        <v>0</v>
      </c>
    </row>
    <row r="1425" spans="2:14" x14ac:dyDescent="0.3">
      <c r="B1425" s="850"/>
      <c r="C1425" s="461"/>
      <c r="D1425" s="461"/>
      <c r="E1425" s="461"/>
      <c r="F1425" s="461"/>
      <c r="G1425" s="461"/>
      <c r="H1425" s="461"/>
      <c r="I1425" s="461"/>
      <c r="J1425" s="461"/>
      <c r="K1425" s="461"/>
      <c r="L1425" s="461"/>
      <c r="M1425" s="461"/>
      <c r="N1425" s="1113"/>
    </row>
    <row r="1426" spans="2:14" x14ac:dyDescent="0.3">
      <c r="B1426" s="1131"/>
      <c r="C1426" s="1132"/>
      <c r="D1426" s="1132"/>
      <c r="E1426" s="1132"/>
      <c r="F1426" s="1133"/>
      <c r="G1426" s="1133"/>
      <c r="H1426" s="1133"/>
      <c r="I1426" s="1133"/>
      <c r="J1426" s="1133"/>
      <c r="K1426" s="1133"/>
      <c r="L1426" s="1133"/>
      <c r="M1426" s="1134" t="s">
        <v>24703</v>
      </c>
      <c r="N1426" s="1123">
        <f>N1408+N1416+N1420+N1424</f>
        <v>231.56</v>
      </c>
    </row>
    <row r="1427" spans="2:14" x14ac:dyDescent="0.3">
      <c r="B1427" s="850"/>
      <c r="C1427" s="461"/>
      <c r="D1427" s="461"/>
      <c r="E1427" s="461"/>
      <c r="F1427" s="1120"/>
      <c r="G1427" s="1120"/>
      <c r="H1427" s="1120"/>
      <c r="I1427" s="1120"/>
      <c r="J1427" s="1120"/>
      <c r="K1427" s="1120"/>
      <c r="L1427" s="1120"/>
      <c r="M1427" s="1136">
        <f>'QUIOSQUE - MOD 01'!I3</f>
        <v>0.28220000000000001</v>
      </c>
      <c r="N1427" s="1123">
        <f>N1426*M1427</f>
        <v>65.349999999999994</v>
      </c>
    </row>
    <row r="1428" spans="2:14" ht="15.75" thickBot="1" x14ac:dyDescent="0.35">
      <c r="B1428" s="1599" t="s">
        <v>24704</v>
      </c>
      <c r="C1428" s="1600"/>
      <c r="D1428" s="1600"/>
      <c r="E1428" s="1600"/>
      <c r="F1428" s="1600"/>
      <c r="G1428" s="1600"/>
      <c r="H1428" s="1600"/>
      <c r="I1428" s="1600"/>
      <c r="J1428" s="1600"/>
      <c r="K1428" s="1600"/>
      <c r="L1428" s="1600"/>
      <c r="M1428" s="1601"/>
      <c r="N1428" s="1126">
        <f>N1426+N1427</f>
        <v>296.91000000000003</v>
      </c>
    </row>
    <row r="1430" spans="2:14" ht="15.75" thickBot="1" x14ac:dyDescent="0.35"/>
    <row r="1431" spans="2:14" ht="46.5" customHeight="1" x14ac:dyDescent="0.3">
      <c r="B1431" s="1607" t="s">
        <v>24866</v>
      </c>
      <c r="C1431" s="1608"/>
      <c r="D1431" s="1609"/>
      <c r="E1431" s="1610" t="s">
        <v>24669</v>
      </c>
      <c r="F1431" s="1610"/>
      <c r="G1431" s="1610"/>
      <c r="H1431" s="1610"/>
      <c r="I1431" s="1610"/>
      <c r="J1431" s="1610"/>
      <c r="K1431" s="1610"/>
      <c r="L1431" s="1146"/>
      <c r="M1431" s="1611"/>
      <c r="N1431" s="1577"/>
    </row>
    <row r="1432" spans="2:14" ht="30.75" customHeight="1" x14ac:dyDescent="0.3">
      <c r="B1432" s="1103" t="s">
        <v>24670</v>
      </c>
      <c r="C1432" s="1586" t="s">
        <v>25337</v>
      </c>
      <c r="D1432" s="1586"/>
      <c r="E1432" s="1586"/>
      <c r="F1432" s="1586"/>
      <c r="G1432" s="1586"/>
      <c r="H1432" s="1586"/>
      <c r="I1432" s="1586"/>
      <c r="J1432" s="1586"/>
      <c r="K1432" s="1586"/>
      <c r="L1432" s="1586"/>
      <c r="M1432" s="1586"/>
      <c r="N1432" s="1587"/>
    </row>
    <row r="1433" spans="2:14" x14ac:dyDescent="0.3">
      <c r="B1433" s="1103" t="s">
        <v>24671</v>
      </c>
      <c r="C1433" s="1588" t="s">
        <v>24804</v>
      </c>
      <c r="D1433" s="1588"/>
      <c r="E1433" s="1588"/>
      <c r="F1433" s="1588"/>
      <c r="G1433" s="1588"/>
      <c r="H1433" s="1588"/>
      <c r="I1433" s="1588"/>
      <c r="J1433" s="1588"/>
      <c r="K1433" s="1588"/>
      <c r="L1433" s="1588"/>
      <c r="M1433" s="1588"/>
      <c r="N1433" s="1589"/>
    </row>
    <row r="1434" spans="2:14" ht="15.75" thickBot="1" x14ac:dyDescent="0.35">
      <c r="B1434" s="1103" t="s">
        <v>24672</v>
      </c>
      <c r="C1434" s="1590">
        <v>44501</v>
      </c>
      <c r="D1434" s="1591"/>
      <c r="E1434" s="1591"/>
      <c r="F1434" s="1591"/>
      <c r="G1434" s="1591"/>
      <c r="H1434" s="1591"/>
      <c r="I1434" s="1591"/>
      <c r="J1434" s="1591"/>
      <c r="K1434" s="1591"/>
      <c r="L1434" s="1591"/>
      <c r="M1434" s="1591"/>
      <c r="N1434" s="1592"/>
    </row>
    <row r="1435" spans="2:14" ht="30" x14ac:dyDescent="0.3">
      <c r="B1435" s="1104" t="s">
        <v>0</v>
      </c>
      <c r="C1435" s="1105" t="s">
        <v>24673</v>
      </c>
      <c r="D1435" s="1593" t="s">
        <v>24674</v>
      </c>
      <c r="E1435" s="1593"/>
      <c r="F1435" s="1593"/>
      <c r="G1435" s="1594"/>
      <c r="H1435" s="1106" t="s">
        <v>111</v>
      </c>
      <c r="I1435" s="1106" t="s">
        <v>24675</v>
      </c>
      <c r="J1435" s="1106" t="s">
        <v>24676</v>
      </c>
      <c r="K1435" s="1106" t="s">
        <v>24677</v>
      </c>
      <c r="L1435" s="1106"/>
      <c r="M1435" s="1106" t="s">
        <v>24678</v>
      </c>
      <c r="N1435" s="1114" t="s">
        <v>24679</v>
      </c>
    </row>
    <row r="1436" spans="2:14" x14ac:dyDescent="0.3">
      <c r="B1436" s="1115"/>
      <c r="C1436" s="1108"/>
      <c r="D1436" s="1595"/>
      <c r="E1436" s="1595"/>
      <c r="F1436" s="1595"/>
      <c r="G1436" s="1596"/>
      <c r="H1436" s="1109"/>
      <c r="I1436" s="1109"/>
      <c r="J1436" s="1109"/>
      <c r="K1436" s="1109"/>
      <c r="L1436" s="1109"/>
      <c r="M1436" s="1109"/>
      <c r="N1436" s="1119"/>
    </row>
    <row r="1437" spans="2:14" ht="15.75" thickBot="1" x14ac:dyDescent="0.35">
      <c r="B1437" s="855"/>
      <c r="C1437" s="954"/>
      <c r="D1437" s="954"/>
      <c r="E1437" s="954"/>
      <c r="F1437" s="1110"/>
      <c r="G1437" s="1110"/>
      <c r="H1437" s="1110"/>
      <c r="I1437" s="1110"/>
      <c r="J1437" s="1110"/>
      <c r="K1437" s="1110"/>
      <c r="L1437" s="1110"/>
      <c r="M1437" s="1111" t="s">
        <v>24680</v>
      </c>
      <c r="N1437" s="1112">
        <f>SUM(N1436)</f>
        <v>0</v>
      </c>
    </row>
    <row r="1438" spans="2:14" ht="15.75" thickBot="1" x14ac:dyDescent="0.35">
      <c r="B1438" s="850"/>
      <c r="C1438" s="461"/>
      <c r="D1438" s="461"/>
      <c r="E1438" s="461"/>
      <c r="F1438" s="461"/>
      <c r="G1438" s="461"/>
      <c r="H1438" s="461"/>
      <c r="I1438" s="461"/>
      <c r="J1438" s="461"/>
      <c r="K1438" s="461"/>
      <c r="L1438" s="461"/>
      <c r="M1438" s="461"/>
      <c r="N1438" s="1113"/>
    </row>
    <row r="1439" spans="2:14" ht="45" x14ac:dyDescent="0.3">
      <c r="B1439" s="1104" t="s">
        <v>0</v>
      </c>
      <c r="C1439" s="1105" t="s">
        <v>24673</v>
      </c>
      <c r="D1439" s="1593" t="s">
        <v>24681</v>
      </c>
      <c r="E1439" s="1593"/>
      <c r="F1439" s="1593"/>
      <c r="G1439" s="1593"/>
      <c r="H1439" s="1594"/>
      <c r="I1439" s="1106" t="s">
        <v>3686</v>
      </c>
      <c r="J1439" s="1106" t="s">
        <v>24682</v>
      </c>
      <c r="K1439" s="1106" t="s">
        <v>24861</v>
      </c>
      <c r="L1439" s="1106" t="s">
        <v>24862</v>
      </c>
      <c r="M1439" s="1106" t="s">
        <v>24683</v>
      </c>
      <c r="N1439" s="1114" t="s">
        <v>24679</v>
      </c>
    </row>
    <row r="1440" spans="2:14" x14ac:dyDescent="0.3">
      <c r="B1440" s="1115">
        <v>246</v>
      </c>
      <c r="C1440" s="1116" t="s">
        <v>24706</v>
      </c>
      <c r="D1440" s="1604" t="s">
        <v>25338</v>
      </c>
      <c r="E1440" s="1604"/>
      <c r="F1440" s="1604"/>
      <c r="G1440" s="1604"/>
      <c r="H1440" s="1605"/>
      <c r="I1440" s="1109" t="s">
        <v>75</v>
      </c>
      <c r="J1440" s="1117">
        <v>1.5727</v>
      </c>
      <c r="K1440" s="1143">
        <v>11.34</v>
      </c>
      <c r="L1440" s="1143">
        <f>K1440*(1+J1440)</f>
        <v>29.17</v>
      </c>
      <c r="M1440" s="1118">
        <v>0.11899999999999999</v>
      </c>
      <c r="N1440" s="1119">
        <f>L1440*M1440</f>
        <v>3.47</v>
      </c>
    </row>
    <row r="1441" spans="2:14" x14ac:dyDescent="0.3">
      <c r="B1441" s="1115">
        <v>10118</v>
      </c>
      <c r="C1441" s="1116" t="s">
        <v>4389</v>
      </c>
      <c r="D1441" s="1604" t="s">
        <v>400</v>
      </c>
      <c r="E1441" s="1604"/>
      <c r="F1441" s="1604"/>
      <c r="G1441" s="1604"/>
      <c r="H1441" s="1605"/>
      <c r="I1441" s="1109" t="s">
        <v>75</v>
      </c>
      <c r="J1441" s="1117">
        <v>1.5727</v>
      </c>
      <c r="K1441" s="1143">
        <v>7.43</v>
      </c>
      <c r="L1441" s="1143">
        <f>K1441*(1+J1441)</f>
        <v>19.12</v>
      </c>
      <c r="M1441" s="1118">
        <v>0.11899999999999999</v>
      </c>
      <c r="N1441" s="1119">
        <f>L1441*M1441</f>
        <v>2.2799999999999998</v>
      </c>
    </row>
    <row r="1442" spans="2:14" ht="15.75" thickBot="1" x14ac:dyDescent="0.35">
      <c r="B1442" s="855"/>
      <c r="C1442" s="954"/>
      <c r="D1442" s="954"/>
      <c r="E1442" s="954"/>
      <c r="F1442" s="1110"/>
      <c r="G1442" s="1110"/>
      <c r="H1442" s="1110"/>
      <c r="I1442" s="1110"/>
      <c r="J1442" s="1110"/>
      <c r="K1442" s="1110"/>
      <c r="L1442" s="1110"/>
      <c r="M1442" s="1111" t="s">
        <v>24684</v>
      </c>
      <c r="N1442" s="1112">
        <f>SUM(N1440:N1441)</f>
        <v>5.75</v>
      </c>
    </row>
    <row r="1443" spans="2:14" ht="15.75" thickBot="1" x14ac:dyDescent="0.35">
      <c r="B1443" s="850"/>
      <c r="C1443" s="461"/>
      <c r="D1443" s="461"/>
      <c r="E1443" s="461"/>
      <c r="F1443" s="461"/>
      <c r="G1443" s="461"/>
      <c r="H1443" s="461"/>
      <c r="I1443" s="1120"/>
      <c r="J1443" s="1120"/>
      <c r="K1443" s="461"/>
      <c r="L1443" s="461"/>
      <c r="M1443" s="461"/>
      <c r="N1443" s="1113"/>
    </row>
    <row r="1444" spans="2:14" ht="30" x14ac:dyDescent="0.3">
      <c r="B1444" s="1104" t="s">
        <v>0</v>
      </c>
      <c r="C1444" s="1105" t="s">
        <v>24673</v>
      </c>
      <c r="D1444" s="1593" t="s">
        <v>24685</v>
      </c>
      <c r="E1444" s="1593"/>
      <c r="F1444" s="1593"/>
      <c r="G1444" s="1593"/>
      <c r="H1444" s="1594"/>
      <c r="I1444" s="1106" t="s">
        <v>2858</v>
      </c>
      <c r="J1444" s="1106" t="s">
        <v>24686</v>
      </c>
      <c r="K1444" s="1106" t="s">
        <v>24687</v>
      </c>
      <c r="L1444" s="1106"/>
      <c r="M1444" s="1106" t="s">
        <v>24688</v>
      </c>
      <c r="N1444" s="1114" t="s">
        <v>24689</v>
      </c>
    </row>
    <row r="1445" spans="2:14" x14ac:dyDescent="0.3">
      <c r="B1445" s="1115"/>
      <c r="C1445" s="1116"/>
      <c r="D1445" s="1604"/>
      <c r="E1445" s="1604"/>
      <c r="F1445" s="1604"/>
      <c r="G1445" s="1604"/>
      <c r="H1445" s="1605"/>
      <c r="I1445" s="1109"/>
      <c r="J1445" s="1109"/>
      <c r="K1445" s="1109"/>
      <c r="L1445" s="1109"/>
      <c r="M1445" s="1109"/>
      <c r="N1445" s="1119"/>
    </row>
    <row r="1446" spans="2:14" x14ac:dyDescent="0.3">
      <c r="B1446" s="850"/>
      <c r="C1446" s="461"/>
      <c r="D1446" s="461"/>
      <c r="E1446" s="461"/>
      <c r="F1446" s="1120"/>
      <c r="G1446" s="1120"/>
      <c r="H1446" s="1120"/>
      <c r="I1446" s="1120"/>
      <c r="J1446" s="1120"/>
      <c r="K1446" s="1120"/>
      <c r="L1446" s="1120"/>
      <c r="M1446" s="1121" t="s">
        <v>24690</v>
      </c>
      <c r="N1446" s="1122">
        <f>SUM(N1445:N1445)</f>
        <v>0</v>
      </c>
    </row>
    <row r="1447" spans="2:14" x14ac:dyDescent="0.3">
      <c r="B1447" s="850"/>
      <c r="C1447" s="461"/>
      <c r="D1447" s="461"/>
      <c r="E1447" s="461"/>
      <c r="F1447" s="461"/>
      <c r="G1447" s="461"/>
      <c r="H1447" s="461"/>
      <c r="I1447" s="461"/>
      <c r="J1447" s="461"/>
      <c r="K1447" s="461"/>
      <c r="L1447" s="461"/>
      <c r="M1447" s="461"/>
      <c r="N1447" s="1113"/>
    </row>
    <row r="1448" spans="2:14" x14ac:dyDescent="0.3">
      <c r="B1448" s="850"/>
      <c r="C1448" s="461"/>
      <c r="D1448" s="461"/>
      <c r="E1448" s="461"/>
      <c r="F1448" s="1120"/>
      <c r="G1448" s="1120"/>
      <c r="H1448" s="1120"/>
      <c r="I1448" s="863"/>
      <c r="J1448" s="863"/>
      <c r="K1448" s="863"/>
      <c r="L1448" s="863"/>
      <c r="M1448" s="1121" t="s">
        <v>24691</v>
      </c>
      <c r="N1448" s="1123">
        <f>N1437+N1442+N1446</f>
        <v>5.75</v>
      </c>
    </row>
    <row r="1449" spans="2:14" x14ac:dyDescent="0.3">
      <c r="B1449" s="850"/>
      <c r="C1449" s="461"/>
      <c r="D1449" s="461"/>
      <c r="E1449" s="461"/>
      <c r="F1449" s="1120"/>
      <c r="G1449" s="1120"/>
      <c r="H1449" s="1120"/>
      <c r="I1449" s="1120"/>
      <c r="J1449" s="1124"/>
      <c r="K1449" s="1124"/>
      <c r="L1449" s="1124"/>
      <c r="M1449" s="1125" t="s">
        <v>24692</v>
      </c>
      <c r="N1449" s="1123">
        <v>1</v>
      </c>
    </row>
    <row r="1450" spans="2:14" ht="15.75" thickBot="1" x14ac:dyDescent="0.35">
      <c r="B1450" s="855"/>
      <c r="C1450" s="954"/>
      <c r="D1450" s="954"/>
      <c r="E1450" s="954"/>
      <c r="F1450" s="1110"/>
      <c r="G1450" s="1110"/>
      <c r="H1450" s="1110"/>
      <c r="I1450" s="1110"/>
      <c r="J1450" s="1110"/>
      <c r="K1450" s="1110"/>
      <c r="L1450" s="1110"/>
      <c r="M1450" s="1111" t="s">
        <v>24693</v>
      </c>
      <c r="N1450" s="1126">
        <f>TRUNC(N1448/N1449,2)</f>
        <v>5.75</v>
      </c>
    </row>
    <row r="1451" spans="2:14" ht="15.75" thickBot="1" x14ac:dyDescent="0.35">
      <c r="B1451" s="850"/>
      <c r="C1451" s="461"/>
      <c r="D1451" s="461"/>
      <c r="E1451" s="461"/>
      <c r="F1451" s="461"/>
      <c r="G1451" s="461"/>
      <c r="H1451" s="461"/>
      <c r="I1451" s="461"/>
      <c r="J1451" s="461"/>
      <c r="K1451" s="461"/>
      <c r="L1451" s="461"/>
      <c r="M1451" s="461"/>
      <c r="N1451" s="1113"/>
    </row>
    <row r="1452" spans="2:14" ht="30" x14ac:dyDescent="0.3">
      <c r="B1452" s="1104" t="s">
        <v>0</v>
      </c>
      <c r="C1452" s="1105" t="s">
        <v>24673</v>
      </c>
      <c r="D1452" s="1593" t="s">
        <v>24694</v>
      </c>
      <c r="E1452" s="1593"/>
      <c r="F1452" s="1593"/>
      <c r="G1452" s="1593"/>
      <c r="H1452" s="1593"/>
      <c r="I1452" s="1594"/>
      <c r="J1452" s="1106" t="s">
        <v>3686</v>
      </c>
      <c r="K1452" s="1106" t="s">
        <v>24695</v>
      </c>
      <c r="L1452" s="1614" t="s">
        <v>24683</v>
      </c>
      <c r="M1452" s="1615"/>
      <c r="N1452" s="1114" t="s">
        <v>24689</v>
      </c>
    </row>
    <row r="1453" spans="2:14" ht="33" customHeight="1" x14ac:dyDescent="0.3">
      <c r="B1453" s="1115">
        <v>108</v>
      </c>
      <c r="C1453" s="1116" t="s">
        <v>24706</v>
      </c>
      <c r="D1453" s="1604" t="s">
        <v>25339</v>
      </c>
      <c r="E1453" s="1604"/>
      <c r="F1453" s="1604"/>
      <c r="G1453" s="1604"/>
      <c r="H1453" s="1604"/>
      <c r="I1453" s="1605"/>
      <c r="J1453" s="1109" t="s">
        <v>24804</v>
      </c>
      <c r="K1453" s="1143">
        <v>2.84</v>
      </c>
      <c r="L1453" s="1624">
        <v>1</v>
      </c>
      <c r="M1453" s="1625"/>
      <c r="N1453" s="1119">
        <f>K1453*L1453</f>
        <v>2.84</v>
      </c>
    </row>
    <row r="1454" spans="2:14" x14ac:dyDescent="0.3">
      <c r="B1454" s="1115">
        <v>122</v>
      </c>
      <c r="C1454" s="1116" t="s">
        <v>24706</v>
      </c>
      <c r="D1454" s="1604" t="s">
        <v>25340</v>
      </c>
      <c r="E1454" s="1604"/>
      <c r="F1454" s="1604"/>
      <c r="G1454" s="1604"/>
      <c r="H1454" s="1604"/>
      <c r="I1454" s="1605"/>
      <c r="J1454" s="1109" t="s">
        <v>24804</v>
      </c>
      <c r="K1454" s="1143">
        <v>65.55</v>
      </c>
      <c r="L1454" s="1624">
        <v>8.9999999999999993E-3</v>
      </c>
      <c r="M1454" s="1625"/>
      <c r="N1454" s="1119">
        <f t="shared" ref="N1454:N1456" si="20">K1454*L1454</f>
        <v>0.59</v>
      </c>
    </row>
    <row r="1455" spans="2:14" ht="29.25" customHeight="1" x14ac:dyDescent="0.3">
      <c r="B1455" s="1115">
        <v>20083</v>
      </c>
      <c r="C1455" s="1116" t="s">
        <v>24706</v>
      </c>
      <c r="D1455" s="1604" t="s">
        <v>25341</v>
      </c>
      <c r="E1455" s="1604"/>
      <c r="F1455" s="1604"/>
      <c r="G1455" s="1604"/>
      <c r="H1455" s="1604"/>
      <c r="I1455" s="1605"/>
      <c r="J1455" s="1109" t="s">
        <v>24804</v>
      </c>
      <c r="K1455" s="1143">
        <v>74.27</v>
      </c>
      <c r="L1455" s="1624">
        <v>1.0999999999999999E-2</v>
      </c>
      <c r="M1455" s="1625"/>
      <c r="N1455" s="1119">
        <f t="shared" si="20"/>
        <v>0.82</v>
      </c>
    </row>
    <row r="1456" spans="2:14" x14ac:dyDescent="0.3">
      <c r="B1456" s="1115">
        <v>38383</v>
      </c>
      <c r="C1456" s="1116" t="s">
        <v>24706</v>
      </c>
      <c r="D1456" s="1604" t="s">
        <v>25342</v>
      </c>
      <c r="E1456" s="1604"/>
      <c r="F1456" s="1604"/>
      <c r="G1456" s="1604"/>
      <c r="H1456" s="1604"/>
      <c r="I1456" s="1605"/>
      <c r="J1456" s="1109" t="s">
        <v>24804</v>
      </c>
      <c r="K1456" s="1143">
        <v>1.99</v>
      </c>
      <c r="L1456" s="1624">
        <v>0.06</v>
      </c>
      <c r="M1456" s="1625"/>
      <c r="N1456" s="1119">
        <f t="shared" si="20"/>
        <v>0.12</v>
      </c>
    </row>
    <row r="1457" spans="2:14" x14ac:dyDescent="0.3">
      <c r="B1457" s="1115"/>
      <c r="C1457" s="1116"/>
      <c r="D1457" s="1604"/>
      <c r="E1457" s="1604"/>
      <c r="F1457" s="1604"/>
      <c r="G1457" s="1604"/>
      <c r="H1457" s="1604"/>
      <c r="I1457" s="1605"/>
      <c r="J1457" s="1109"/>
      <c r="K1457" s="1109"/>
      <c r="L1457" s="1109"/>
      <c r="M1457" s="1118"/>
      <c r="N1457" s="1119"/>
    </row>
    <row r="1458" spans="2:14" ht="15.75" thickBot="1" x14ac:dyDescent="0.35">
      <c r="B1458" s="855"/>
      <c r="C1458" s="954"/>
      <c r="D1458" s="954"/>
      <c r="E1458" s="954"/>
      <c r="F1458" s="1110"/>
      <c r="G1458" s="1110"/>
      <c r="H1458" s="1110"/>
      <c r="I1458" s="1110"/>
      <c r="J1458" s="1110"/>
      <c r="K1458" s="1110"/>
      <c r="L1458" s="1110"/>
      <c r="M1458" s="1111" t="s">
        <v>24696</v>
      </c>
      <c r="N1458" s="1112">
        <f>SUM(N1453:N1456)</f>
        <v>4.37</v>
      </c>
    </row>
    <row r="1459" spans="2:14" ht="15.75" thickBot="1" x14ac:dyDescent="0.35">
      <c r="B1459" s="850"/>
      <c r="C1459" s="461"/>
      <c r="D1459" s="461"/>
      <c r="E1459" s="461"/>
      <c r="F1459" s="461"/>
      <c r="G1459" s="461"/>
      <c r="H1459" s="461"/>
      <c r="I1459" s="461"/>
      <c r="J1459" s="461"/>
      <c r="K1459" s="461"/>
      <c r="L1459" s="461"/>
      <c r="M1459" s="461"/>
      <c r="N1459" s="1113"/>
    </row>
    <row r="1460" spans="2:14" ht="30" x14ac:dyDescent="0.3">
      <c r="B1460" s="1104" t="s">
        <v>0</v>
      </c>
      <c r="C1460" s="1106" t="s">
        <v>24673</v>
      </c>
      <c r="D1460" s="1593" t="s">
        <v>24697</v>
      </c>
      <c r="E1460" s="1593"/>
      <c r="F1460" s="1593"/>
      <c r="G1460" s="1593"/>
      <c r="H1460" s="1593"/>
      <c r="I1460" s="1594"/>
      <c r="J1460" s="1106" t="s">
        <v>3686</v>
      </c>
      <c r="K1460" s="1106" t="s">
        <v>24695</v>
      </c>
      <c r="L1460" s="1106"/>
      <c r="M1460" s="1106" t="s">
        <v>24683</v>
      </c>
      <c r="N1460" s="1114" t="s">
        <v>24689</v>
      </c>
    </row>
    <row r="1461" spans="2:14" x14ac:dyDescent="0.3">
      <c r="B1461" s="1127"/>
      <c r="C1461" s="1128"/>
      <c r="D1461" s="1604"/>
      <c r="E1461" s="1604"/>
      <c r="F1461" s="1604"/>
      <c r="G1461" s="1604"/>
      <c r="H1461" s="1604"/>
      <c r="I1461" s="1605"/>
      <c r="J1461" s="462"/>
      <c r="K1461" s="462"/>
      <c r="L1461" s="462"/>
      <c r="M1461" s="1147"/>
      <c r="N1461" s="1130"/>
    </row>
    <row r="1462" spans="2:14" ht="15.75" thickBot="1" x14ac:dyDescent="0.35">
      <c r="B1462" s="855"/>
      <c r="C1462" s="954"/>
      <c r="D1462" s="954"/>
      <c r="E1462" s="954"/>
      <c r="F1462" s="1110"/>
      <c r="G1462" s="1110"/>
      <c r="H1462" s="1110"/>
      <c r="I1462" s="1110"/>
      <c r="J1462" s="1110"/>
      <c r="K1462" s="1110"/>
      <c r="L1462" s="1110"/>
      <c r="M1462" s="1111" t="s">
        <v>24698</v>
      </c>
      <c r="N1462" s="1112">
        <f>SUM(N1461:N1461)</f>
        <v>0</v>
      </c>
    </row>
    <row r="1463" spans="2:14" ht="15.75" thickBot="1" x14ac:dyDescent="0.35">
      <c r="B1463" s="850"/>
      <c r="C1463" s="461"/>
      <c r="D1463" s="461"/>
      <c r="E1463" s="461"/>
      <c r="F1463" s="461"/>
      <c r="G1463" s="461"/>
      <c r="H1463" s="461"/>
      <c r="I1463" s="461"/>
      <c r="J1463" s="461"/>
      <c r="K1463" s="461"/>
      <c r="L1463" s="461"/>
      <c r="M1463" s="461"/>
      <c r="N1463" s="1113"/>
    </row>
    <row r="1464" spans="2:14" ht="30" x14ac:dyDescent="0.3">
      <c r="B1464" s="1104" t="s">
        <v>0</v>
      </c>
      <c r="C1464" s="1106" t="s">
        <v>24673</v>
      </c>
      <c r="D1464" s="1593" t="s">
        <v>24699</v>
      </c>
      <c r="E1464" s="1593"/>
      <c r="F1464" s="1593"/>
      <c r="G1464" s="1594"/>
      <c r="H1464" s="1106" t="s">
        <v>3686</v>
      </c>
      <c r="I1464" s="1106" t="s">
        <v>24700</v>
      </c>
      <c r="J1464" s="1106" t="s">
        <v>24701</v>
      </c>
      <c r="K1464" s="1106" t="s">
        <v>24695</v>
      </c>
      <c r="L1464" s="1106"/>
      <c r="M1464" s="1106" t="s">
        <v>24683</v>
      </c>
      <c r="N1464" s="1114" t="s">
        <v>24689</v>
      </c>
    </row>
    <row r="1465" spans="2:14" x14ac:dyDescent="0.3">
      <c r="B1465" s="1115"/>
      <c r="C1465" s="1116"/>
      <c r="D1465" s="1595"/>
      <c r="E1465" s="1595"/>
      <c r="F1465" s="1595"/>
      <c r="G1465" s="1595"/>
      <c r="H1465" s="1109"/>
      <c r="I1465" s="1109"/>
      <c r="J1465" s="1109"/>
      <c r="K1465" s="1109"/>
      <c r="L1465" s="1109"/>
      <c r="M1465" s="1118"/>
      <c r="N1465" s="1119"/>
    </row>
    <row r="1466" spans="2:14" x14ac:dyDescent="0.3">
      <c r="B1466" s="850"/>
      <c r="C1466" s="461"/>
      <c r="D1466" s="461"/>
      <c r="E1466" s="461"/>
      <c r="F1466" s="1120"/>
      <c r="G1466" s="1120"/>
      <c r="H1466" s="1120"/>
      <c r="I1466" s="1120"/>
      <c r="J1466" s="1120"/>
      <c r="K1466" s="1120"/>
      <c r="L1466" s="1120"/>
      <c r="M1466" s="1121" t="s">
        <v>24702</v>
      </c>
      <c r="N1466" s="1122">
        <f>SUM(N1465:N1465)</f>
        <v>0</v>
      </c>
    </row>
    <row r="1467" spans="2:14" x14ac:dyDescent="0.3">
      <c r="B1467" s="850"/>
      <c r="C1467" s="461"/>
      <c r="D1467" s="461"/>
      <c r="E1467" s="461"/>
      <c r="F1467" s="461"/>
      <c r="G1467" s="461"/>
      <c r="H1467" s="461"/>
      <c r="I1467" s="461"/>
      <c r="J1467" s="461"/>
      <c r="K1467" s="461"/>
      <c r="L1467" s="461"/>
      <c r="M1467" s="461"/>
      <c r="N1467" s="1113"/>
    </row>
    <row r="1468" spans="2:14" x14ac:dyDescent="0.3">
      <c r="B1468" s="1131"/>
      <c r="C1468" s="1132"/>
      <c r="D1468" s="1132"/>
      <c r="E1468" s="1132"/>
      <c r="F1468" s="1133"/>
      <c r="G1468" s="1133"/>
      <c r="H1468" s="1133"/>
      <c r="I1468" s="1133"/>
      <c r="J1468" s="1133"/>
      <c r="K1468" s="1133"/>
      <c r="L1468" s="1133"/>
      <c r="M1468" s="1134" t="s">
        <v>24703</v>
      </c>
      <c r="N1468" s="1123">
        <f>N1450+N1458+N1462+N1466</f>
        <v>10.119999999999999</v>
      </c>
    </row>
    <row r="1469" spans="2:14" x14ac:dyDescent="0.3">
      <c r="B1469" s="850"/>
      <c r="C1469" s="461"/>
      <c r="D1469" s="461"/>
      <c r="E1469" s="461"/>
      <c r="F1469" s="1120"/>
      <c r="G1469" s="1120"/>
      <c r="H1469" s="1120"/>
      <c r="I1469" s="1120"/>
      <c r="J1469" s="1120"/>
      <c r="K1469" s="1120"/>
      <c r="L1469" s="1120"/>
      <c r="M1469" s="1136">
        <f>'QUIOSQUE - MOD 01'!I3</f>
        <v>0.28220000000000001</v>
      </c>
      <c r="N1469" s="1123">
        <f>N1468*M1469</f>
        <v>2.86</v>
      </c>
    </row>
    <row r="1470" spans="2:14" ht="15.75" thickBot="1" x14ac:dyDescent="0.35">
      <c r="B1470" s="1599" t="s">
        <v>24704</v>
      </c>
      <c r="C1470" s="1600"/>
      <c r="D1470" s="1600"/>
      <c r="E1470" s="1600"/>
      <c r="F1470" s="1600"/>
      <c r="G1470" s="1600"/>
      <c r="H1470" s="1600"/>
      <c r="I1470" s="1600"/>
      <c r="J1470" s="1600"/>
      <c r="K1470" s="1600"/>
      <c r="L1470" s="1600"/>
      <c r="M1470" s="1601"/>
      <c r="N1470" s="1126">
        <f>N1468+N1469</f>
        <v>12.98</v>
      </c>
    </row>
    <row r="1471" spans="2:14" ht="15.75" thickBot="1" x14ac:dyDescent="0.35"/>
    <row r="1472" spans="2:14" ht="45" customHeight="1" x14ac:dyDescent="0.3">
      <c r="B1472" s="1607" t="s">
        <v>24867</v>
      </c>
      <c r="C1472" s="1608"/>
      <c r="D1472" s="1609"/>
      <c r="E1472" s="1610" t="s">
        <v>24669</v>
      </c>
      <c r="F1472" s="1610"/>
      <c r="G1472" s="1610"/>
      <c r="H1472" s="1610"/>
      <c r="I1472" s="1610"/>
      <c r="J1472" s="1610"/>
      <c r="K1472" s="1610"/>
      <c r="L1472" s="1146"/>
      <c r="M1472" s="1611"/>
      <c r="N1472" s="1577"/>
    </row>
    <row r="1473" spans="2:14" ht="33" customHeight="1" x14ac:dyDescent="0.3">
      <c r="B1473" s="1103" t="s">
        <v>24670</v>
      </c>
      <c r="C1473" s="1586" t="s">
        <v>25343</v>
      </c>
      <c r="D1473" s="1586"/>
      <c r="E1473" s="1586"/>
      <c r="F1473" s="1586"/>
      <c r="G1473" s="1586"/>
      <c r="H1473" s="1586"/>
      <c r="I1473" s="1586"/>
      <c r="J1473" s="1586"/>
      <c r="K1473" s="1586"/>
      <c r="L1473" s="1586"/>
      <c r="M1473" s="1586"/>
      <c r="N1473" s="1587"/>
    </row>
    <row r="1474" spans="2:14" x14ac:dyDescent="0.3">
      <c r="B1474" s="1103" t="s">
        <v>24671</v>
      </c>
      <c r="C1474" s="1588" t="s">
        <v>24804</v>
      </c>
      <c r="D1474" s="1588"/>
      <c r="E1474" s="1588"/>
      <c r="F1474" s="1588"/>
      <c r="G1474" s="1588"/>
      <c r="H1474" s="1588"/>
      <c r="I1474" s="1588"/>
      <c r="J1474" s="1588"/>
      <c r="K1474" s="1588"/>
      <c r="L1474" s="1588"/>
      <c r="M1474" s="1588"/>
      <c r="N1474" s="1589"/>
    </row>
    <row r="1475" spans="2:14" ht="15.75" thickBot="1" x14ac:dyDescent="0.35">
      <c r="B1475" s="1103" t="s">
        <v>24672</v>
      </c>
      <c r="C1475" s="1590">
        <v>44501</v>
      </c>
      <c r="D1475" s="1591"/>
      <c r="E1475" s="1591"/>
      <c r="F1475" s="1591"/>
      <c r="G1475" s="1591"/>
      <c r="H1475" s="1591"/>
      <c r="I1475" s="1591"/>
      <c r="J1475" s="1591"/>
      <c r="K1475" s="1591"/>
      <c r="L1475" s="1591"/>
      <c r="M1475" s="1591"/>
      <c r="N1475" s="1592"/>
    </row>
    <row r="1476" spans="2:14" ht="30" x14ac:dyDescent="0.3">
      <c r="B1476" s="1104" t="s">
        <v>0</v>
      </c>
      <c r="C1476" s="1105" t="s">
        <v>24673</v>
      </c>
      <c r="D1476" s="1593" t="s">
        <v>24674</v>
      </c>
      <c r="E1476" s="1593"/>
      <c r="F1476" s="1593"/>
      <c r="G1476" s="1594"/>
      <c r="H1476" s="1106" t="s">
        <v>111</v>
      </c>
      <c r="I1476" s="1106" t="s">
        <v>24675</v>
      </c>
      <c r="J1476" s="1106" t="s">
        <v>24676</v>
      </c>
      <c r="K1476" s="1106" t="s">
        <v>24677</v>
      </c>
      <c r="L1476" s="1106"/>
      <c r="M1476" s="1106" t="s">
        <v>24678</v>
      </c>
      <c r="N1476" s="1114" t="s">
        <v>24679</v>
      </c>
    </row>
    <row r="1477" spans="2:14" x14ac:dyDescent="0.3">
      <c r="B1477" s="1115"/>
      <c r="C1477" s="1108"/>
      <c r="D1477" s="1595"/>
      <c r="E1477" s="1595"/>
      <c r="F1477" s="1595"/>
      <c r="G1477" s="1596"/>
      <c r="H1477" s="1109"/>
      <c r="I1477" s="1109"/>
      <c r="J1477" s="1109"/>
      <c r="K1477" s="1109"/>
      <c r="L1477" s="1109"/>
      <c r="M1477" s="1109"/>
      <c r="N1477" s="1119"/>
    </row>
    <row r="1478" spans="2:14" ht="15.75" thickBot="1" x14ac:dyDescent="0.35">
      <c r="B1478" s="855"/>
      <c r="C1478" s="954"/>
      <c r="D1478" s="954"/>
      <c r="E1478" s="954"/>
      <c r="F1478" s="1110"/>
      <c r="G1478" s="1110"/>
      <c r="H1478" s="1110"/>
      <c r="I1478" s="1110"/>
      <c r="J1478" s="1110"/>
      <c r="K1478" s="1110"/>
      <c r="L1478" s="1110"/>
      <c r="M1478" s="1111" t="s">
        <v>24680</v>
      </c>
      <c r="N1478" s="1112">
        <f>SUM(N1477)</f>
        <v>0</v>
      </c>
    </row>
    <row r="1479" spans="2:14" ht="15.75" thickBot="1" x14ac:dyDescent="0.35">
      <c r="B1479" s="850"/>
      <c r="C1479" s="461"/>
      <c r="D1479" s="461"/>
      <c r="E1479" s="461"/>
      <c r="F1479" s="461"/>
      <c r="G1479" s="461"/>
      <c r="H1479" s="461"/>
      <c r="I1479" s="461"/>
      <c r="J1479" s="461"/>
      <c r="K1479" s="461"/>
      <c r="L1479" s="461"/>
      <c r="M1479" s="461"/>
      <c r="N1479" s="1113"/>
    </row>
    <row r="1480" spans="2:14" ht="45" x14ac:dyDescent="0.3">
      <c r="B1480" s="1104" t="s">
        <v>0</v>
      </c>
      <c r="C1480" s="1105" t="s">
        <v>24673</v>
      </c>
      <c r="D1480" s="1593" t="s">
        <v>24681</v>
      </c>
      <c r="E1480" s="1593"/>
      <c r="F1480" s="1593"/>
      <c r="G1480" s="1593"/>
      <c r="H1480" s="1594"/>
      <c r="I1480" s="1106" t="s">
        <v>3686</v>
      </c>
      <c r="J1480" s="1106" t="s">
        <v>24682</v>
      </c>
      <c r="K1480" s="1106" t="s">
        <v>24861</v>
      </c>
      <c r="L1480" s="1106" t="s">
        <v>24862</v>
      </c>
      <c r="M1480" s="1106" t="s">
        <v>24683</v>
      </c>
      <c r="N1480" s="1114" t="s">
        <v>24679</v>
      </c>
    </row>
    <row r="1481" spans="2:14" x14ac:dyDescent="0.3">
      <c r="B1481" s="1115">
        <v>246</v>
      </c>
      <c r="C1481" s="1116" t="s">
        <v>24706</v>
      </c>
      <c r="D1481" s="1604" t="s">
        <v>25338</v>
      </c>
      <c r="E1481" s="1604"/>
      <c r="F1481" s="1604"/>
      <c r="G1481" s="1604"/>
      <c r="H1481" s="1605"/>
      <c r="I1481" s="1109" t="s">
        <v>75</v>
      </c>
      <c r="J1481" s="1117">
        <v>1.5727</v>
      </c>
      <c r="K1481" s="1143">
        <v>11.34</v>
      </c>
      <c r="L1481" s="1143">
        <f>K1481*(1+J1481)</f>
        <v>29.17</v>
      </c>
      <c r="M1481" s="1118">
        <v>8.5000000000000006E-2</v>
      </c>
      <c r="N1481" s="1119">
        <f>L1481*M1481</f>
        <v>2.48</v>
      </c>
    </row>
    <row r="1482" spans="2:14" x14ac:dyDescent="0.3">
      <c r="B1482" s="1115">
        <v>10118</v>
      </c>
      <c r="C1482" s="1116" t="s">
        <v>4389</v>
      </c>
      <c r="D1482" s="1604" t="s">
        <v>400</v>
      </c>
      <c r="E1482" s="1604"/>
      <c r="F1482" s="1604"/>
      <c r="G1482" s="1604"/>
      <c r="H1482" s="1605"/>
      <c r="I1482" s="1109" t="s">
        <v>75</v>
      </c>
      <c r="J1482" s="1117">
        <v>1.5727</v>
      </c>
      <c r="K1482" s="1143">
        <v>7.43</v>
      </c>
      <c r="L1482" s="1143">
        <f>K1482*(1+J1482)</f>
        <v>19.12</v>
      </c>
      <c r="M1482" s="1118">
        <v>8.5000000000000006E-2</v>
      </c>
      <c r="N1482" s="1119">
        <f>L1482*M1482</f>
        <v>1.63</v>
      </c>
    </row>
    <row r="1483" spans="2:14" ht="15.75" thickBot="1" x14ac:dyDescent="0.35">
      <c r="B1483" s="855"/>
      <c r="C1483" s="954"/>
      <c r="D1483" s="954"/>
      <c r="E1483" s="954"/>
      <c r="F1483" s="1110"/>
      <c r="G1483" s="1110"/>
      <c r="H1483" s="1110"/>
      <c r="I1483" s="1110"/>
      <c r="J1483" s="1110"/>
      <c r="K1483" s="1110"/>
      <c r="L1483" s="1110"/>
      <c r="M1483" s="1111" t="s">
        <v>24684</v>
      </c>
      <c r="N1483" s="1112">
        <f>SUM(N1481:N1482)</f>
        <v>4.1100000000000003</v>
      </c>
    </row>
    <row r="1484" spans="2:14" ht="15.75" thickBot="1" x14ac:dyDescent="0.35">
      <c r="B1484" s="850"/>
      <c r="C1484" s="461"/>
      <c r="D1484" s="461"/>
      <c r="E1484" s="461"/>
      <c r="F1484" s="461"/>
      <c r="G1484" s="461"/>
      <c r="H1484" s="461"/>
      <c r="I1484" s="1120"/>
      <c r="J1484" s="1120"/>
      <c r="K1484" s="461"/>
      <c r="L1484" s="461"/>
      <c r="M1484" s="461"/>
      <c r="N1484" s="1113"/>
    </row>
    <row r="1485" spans="2:14" ht="30" x14ac:dyDescent="0.3">
      <c r="B1485" s="1104" t="s">
        <v>0</v>
      </c>
      <c r="C1485" s="1105" t="s">
        <v>24673</v>
      </c>
      <c r="D1485" s="1593" t="s">
        <v>24685</v>
      </c>
      <c r="E1485" s="1593"/>
      <c r="F1485" s="1593"/>
      <c r="G1485" s="1593"/>
      <c r="H1485" s="1594"/>
      <c r="I1485" s="1106" t="s">
        <v>2858</v>
      </c>
      <c r="J1485" s="1106" t="s">
        <v>24686</v>
      </c>
      <c r="K1485" s="1106" t="s">
        <v>24687</v>
      </c>
      <c r="L1485" s="1106"/>
      <c r="M1485" s="1106" t="s">
        <v>24688</v>
      </c>
      <c r="N1485" s="1114" t="s">
        <v>24689</v>
      </c>
    </row>
    <row r="1486" spans="2:14" x14ac:dyDescent="0.3">
      <c r="B1486" s="1115"/>
      <c r="C1486" s="1116"/>
      <c r="D1486" s="1604"/>
      <c r="E1486" s="1604"/>
      <c r="F1486" s="1604"/>
      <c r="G1486" s="1604"/>
      <c r="H1486" s="1605"/>
      <c r="I1486" s="1109"/>
      <c r="J1486" s="1109"/>
      <c r="K1486" s="1109"/>
      <c r="L1486" s="1109"/>
      <c r="M1486" s="1109"/>
      <c r="N1486" s="1119"/>
    </row>
    <row r="1487" spans="2:14" x14ac:dyDescent="0.3">
      <c r="B1487" s="850"/>
      <c r="C1487" s="461"/>
      <c r="D1487" s="461"/>
      <c r="E1487" s="461"/>
      <c r="F1487" s="1120"/>
      <c r="G1487" s="1120"/>
      <c r="H1487" s="1120"/>
      <c r="I1487" s="1120"/>
      <c r="J1487" s="1120"/>
      <c r="K1487" s="1120"/>
      <c r="L1487" s="1120"/>
      <c r="M1487" s="1121" t="s">
        <v>24690</v>
      </c>
      <c r="N1487" s="1122">
        <f>SUM(N1486:N1486)</f>
        <v>0</v>
      </c>
    </row>
    <row r="1488" spans="2:14" x14ac:dyDescent="0.3">
      <c r="B1488" s="850"/>
      <c r="C1488" s="461"/>
      <c r="D1488" s="461"/>
      <c r="E1488" s="461"/>
      <c r="F1488" s="461"/>
      <c r="G1488" s="461"/>
      <c r="H1488" s="461"/>
      <c r="I1488" s="461"/>
      <c r="J1488" s="461"/>
      <c r="K1488" s="461"/>
      <c r="L1488" s="461"/>
      <c r="M1488" s="461"/>
      <c r="N1488" s="1113"/>
    </row>
    <row r="1489" spans="2:14" x14ac:dyDescent="0.3">
      <c r="B1489" s="850"/>
      <c r="C1489" s="461"/>
      <c r="D1489" s="461"/>
      <c r="E1489" s="461"/>
      <c r="F1489" s="1120"/>
      <c r="G1489" s="1120"/>
      <c r="H1489" s="1120"/>
      <c r="I1489" s="863"/>
      <c r="J1489" s="863"/>
      <c r="K1489" s="863"/>
      <c r="L1489" s="863"/>
      <c r="M1489" s="1121" t="s">
        <v>24691</v>
      </c>
      <c r="N1489" s="1123">
        <f>N1478+N1483+N1487</f>
        <v>4.1100000000000003</v>
      </c>
    </row>
    <row r="1490" spans="2:14" x14ac:dyDescent="0.3">
      <c r="B1490" s="850"/>
      <c r="C1490" s="461"/>
      <c r="D1490" s="461"/>
      <c r="E1490" s="461"/>
      <c r="F1490" s="1120"/>
      <c r="G1490" s="1120"/>
      <c r="H1490" s="1120"/>
      <c r="I1490" s="1120"/>
      <c r="J1490" s="1124"/>
      <c r="K1490" s="1124"/>
      <c r="L1490" s="1124"/>
      <c r="M1490" s="1125" t="s">
        <v>24692</v>
      </c>
      <c r="N1490" s="1123">
        <v>1</v>
      </c>
    </row>
    <row r="1491" spans="2:14" ht="15.75" thickBot="1" x14ac:dyDescent="0.35">
      <c r="B1491" s="855"/>
      <c r="C1491" s="954"/>
      <c r="D1491" s="954"/>
      <c r="E1491" s="954"/>
      <c r="F1491" s="1110"/>
      <c r="G1491" s="1110"/>
      <c r="H1491" s="1110"/>
      <c r="I1491" s="1110"/>
      <c r="J1491" s="1110"/>
      <c r="K1491" s="1110"/>
      <c r="L1491" s="1110"/>
      <c r="M1491" s="1111" t="s">
        <v>24693</v>
      </c>
      <c r="N1491" s="1126">
        <f>TRUNC(N1489/N1490,2)</f>
        <v>4.1100000000000003</v>
      </c>
    </row>
    <row r="1492" spans="2:14" ht="15.75" thickBot="1" x14ac:dyDescent="0.35">
      <c r="B1492" s="850"/>
      <c r="C1492" s="461"/>
      <c r="D1492" s="461"/>
      <c r="E1492" s="461"/>
      <c r="F1492" s="461"/>
      <c r="G1492" s="461"/>
      <c r="H1492" s="461"/>
      <c r="I1492" s="461"/>
      <c r="J1492" s="461"/>
      <c r="K1492" s="461"/>
      <c r="L1492" s="461"/>
      <c r="M1492" s="461"/>
      <c r="N1492" s="1113"/>
    </row>
    <row r="1493" spans="2:14" ht="30" x14ac:dyDescent="0.3">
      <c r="B1493" s="1104" t="s">
        <v>0</v>
      </c>
      <c r="C1493" s="1105" t="s">
        <v>24673</v>
      </c>
      <c r="D1493" s="1593" t="s">
        <v>24694</v>
      </c>
      <c r="E1493" s="1593"/>
      <c r="F1493" s="1593"/>
      <c r="G1493" s="1593"/>
      <c r="H1493" s="1593"/>
      <c r="I1493" s="1594"/>
      <c r="J1493" s="1106" t="s">
        <v>3686</v>
      </c>
      <c r="K1493" s="1106" t="s">
        <v>24695</v>
      </c>
      <c r="L1493" s="1614" t="s">
        <v>24683</v>
      </c>
      <c r="M1493" s="1615"/>
      <c r="N1493" s="1114" t="s">
        <v>24689</v>
      </c>
    </row>
    <row r="1494" spans="2:14" ht="30.75" customHeight="1" x14ac:dyDescent="0.3">
      <c r="B1494" s="1115">
        <v>113</v>
      </c>
      <c r="C1494" s="1116" t="s">
        <v>24706</v>
      </c>
      <c r="D1494" s="1604" t="s">
        <v>25344</v>
      </c>
      <c r="E1494" s="1604"/>
      <c r="F1494" s="1604"/>
      <c r="G1494" s="1604"/>
      <c r="H1494" s="1604"/>
      <c r="I1494" s="1605"/>
      <c r="J1494" s="1109" t="s">
        <v>24804</v>
      </c>
      <c r="K1494" s="1143">
        <v>18.73</v>
      </c>
      <c r="L1494" s="1624">
        <v>1</v>
      </c>
      <c r="M1494" s="1625"/>
      <c r="N1494" s="1119">
        <f>K1494*L1494</f>
        <v>18.73</v>
      </c>
    </row>
    <row r="1495" spans="2:14" x14ac:dyDescent="0.3">
      <c r="B1495" s="1115">
        <v>122</v>
      </c>
      <c r="C1495" s="1116" t="s">
        <v>24706</v>
      </c>
      <c r="D1495" s="1604" t="s">
        <v>25340</v>
      </c>
      <c r="E1495" s="1604"/>
      <c r="F1495" s="1604"/>
      <c r="G1495" s="1604"/>
      <c r="H1495" s="1604"/>
      <c r="I1495" s="1605"/>
      <c r="J1495" s="1109" t="s">
        <v>24804</v>
      </c>
      <c r="K1495" s="1143">
        <v>65.55</v>
      </c>
      <c r="L1495" s="1624">
        <v>2.4E-2</v>
      </c>
      <c r="M1495" s="1625"/>
      <c r="N1495" s="1119">
        <f t="shared" ref="N1495:N1497" si="21">K1495*L1495</f>
        <v>1.57</v>
      </c>
    </row>
    <row r="1496" spans="2:14" ht="30.75" customHeight="1" x14ac:dyDescent="0.3">
      <c r="B1496" s="1115">
        <v>20083</v>
      </c>
      <c r="C1496" s="1116" t="s">
        <v>24706</v>
      </c>
      <c r="D1496" s="1604" t="s">
        <v>25341</v>
      </c>
      <c r="E1496" s="1604"/>
      <c r="F1496" s="1604"/>
      <c r="G1496" s="1604"/>
      <c r="H1496" s="1604"/>
      <c r="I1496" s="1605"/>
      <c r="J1496" s="1109" t="s">
        <v>24804</v>
      </c>
      <c r="K1496" s="1143">
        <v>74.27</v>
      </c>
      <c r="L1496" s="1624">
        <v>0.03</v>
      </c>
      <c r="M1496" s="1625"/>
      <c r="N1496" s="1119">
        <f t="shared" si="21"/>
        <v>2.23</v>
      </c>
    </row>
    <row r="1497" spans="2:14" x14ac:dyDescent="0.3">
      <c r="B1497" s="1115">
        <v>38383</v>
      </c>
      <c r="C1497" s="1116" t="s">
        <v>24706</v>
      </c>
      <c r="D1497" s="1604" t="s">
        <v>25342</v>
      </c>
      <c r="E1497" s="1604"/>
      <c r="F1497" s="1604"/>
      <c r="G1497" s="1604"/>
      <c r="H1497" s="1604"/>
      <c r="I1497" s="1605"/>
      <c r="J1497" s="1109" t="s">
        <v>24804</v>
      </c>
      <c r="K1497" s="1143">
        <v>1.99</v>
      </c>
      <c r="L1497" s="1624">
        <v>2.8000000000000001E-2</v>
      </c>
      <c r="M1497" s="1625"/>
      <c r="N1497" s="1119">
        <f t="shared" si="21"/>
        <v>0.06</v>
      </c>
    </row>
    <row r="1498" spans="2:14" x14ac:dyDescent="0.3">
      <c r="B1498" s="1115"/>
      <c r="C1498" s="1116"/>
      <c r="D1498" s="1604"/>
      <c r="E1498" s="1604"/>
      <c r="F1498" s="1604"/>
      <c r="G1498" s="1604"/>
      <c r="H1498" s="1604"/>
      <c r="I1498" s="1605"/>
      <c r="J1498" s="1109"/>
      <c r="K1498" s="1109"/>
      <c r="L1498" s="1109"/>
      <c r="M1498" s="1118"/>
      <c r="N1498" s="1119"/>
    </row>
    <row r="1499" spans="2:14" ht="15.75" thickBot="1" x14ac:dyDescent="0.35">
      <c r="B1499" s="855"/>
      <c r="C1499" s="954"/>
      <c r="D1499" s="954"/>
      <c r="E1499" s="954"/>
      <c r="F1499" s="1110"/>
      <c r="G1499" s="1110"/>
      <c r="H1499" s="1110"/>
      <c r="I1499" s="1110"/>
      <c r="J1499" s="1110"/>
      <c r="K1499" s="1110"/>
      <c r="L1499" s="1110"/>
      <c r="M1499" s="1111" t="s">
        <v>24696</v>
      </c>
      <c r="N1499" s="1112">
        <f>SUM(N1494:N1497)</f>
        <v>22.59</v>
      </c>
    </row>
    <row r="1500" spans="2:14" ht="15.75" thickBot="1" x14ac:dyDescent="0.35">
      <c r="B1500" s="850"/>
      <c r="C1500" s="461"/>
      <c r="D1500" s="461"/>
      <c r="E1500" s="461"/>
      <c r="F1500" s="461"/>
      <c r="G1500" s="461"/>
      <c r="H1500" s="461"/>
      <c r="I1500" s="461"/>
      <c r="J1500" s="461"/>
      <c r="K1500" s="461"/>
      <c r="L1500" s="461"/>
      <c r="M1500" s="461"/>
      <c r="N1500" s="1113"/>
    </row>
    <row r="1501" spans="2:14" ht="30" x14ac:dyDescent="0.3">
      <c r="B1501" s="1104" t="s">
        <v>0</v>
      </c>
      <c r="C1501" s="1106" t="s">
        <v>24673</v>
      </c>
      <c r="D1501" s="1593" t="s">
        <v>24697</v>
      </c>
      <c r="E1501" s="1593"/>
      <c r="F1501" s="1593"/>
      <c r="G1501" s="1593"/>
      <c r="H1501" s="1593"/>
      <c r="I1501" s="1594"/>
      <c r="J1501" s="1106" t="s">
        <v>3686</v>
      </c>
      <c r="K1501" s="1106" t="s">
        <v>24695</v>
      </c>
      <c r="L1501" s="1106"/>
      <c r="M1501" s="1106" t="s">
        <v>24683</v>
      </c>
      <c r="N1501" s="1114" t="s">
        <v>24689</v>
      </c>
    </row>
    <row r="1502" spans="2:14" x14ac:dyDescent="0.3">
      <c r="B1502" s="1127"/>
      <c r="C1502" s="1128"/>
      <c r="D1502" s="1604"/>
      <c r="E1502" s="1604"/>
      <c r="F1502" s="1604"/>
      <c r="G1502" s="1604"/>
      <c r="H1502" s="1604"/>
      <c r="I1502" s="1605"/>
      <c r="J1502" s="462"/>
      <c r="K1502" s="462"/>
      <c r="L1502" s="462"/>
      <c r="M1502" s="1147"/>
      <c r="N1502" s="1130"/>
    </row>
    <row r="1503" spans="2:14" ht="15.75" thickBot="1" x14ac:dyDescent="0.35">
      <c r="B1503" s="855"/>
      <c r="C1503" s="954"/>
      <c r="D1503" s="954"/>
      <c r="E1503" s="954"/>
      <c r="F1503" s="1110"/>
      <c r="G1503" s="1110"/>
      <c r="H1503" s="1110"/>
      <c r="I1503" s="1110"/>
      <c r="J1503" s="1110"/>
      <c r="K1503" s="1110"/>
      <c r="L1503" s="1110"/>
      <c r="M1503" s="1111" t="s">
        <v>24698</v>
      </c>
      <c r="N1503" s="1112">
        <f>SUM(N1502:N1502)</f>
        <v>0</v>
      </c>
    </row>
    <row r="1504" spans="2:14" ht="15.75" thickBot="1" x14ac:dyDescent="0.35">
      <c r="B1504" s="850"/>
      <c r="C1504" s="461"/>
      <c r="D1504" s="461"/>
      <c r="E1504" s="461"/>
      <c r="F1504" s="461"/>
      <c r="G1504" s="461"/>
      <c r="H1504" s="461"/>
      <c r="I1504" s="461"/>
      <c r="J1504" s="461"/>
      <c r="K1504" s="461"/>
      <c r="L1504" s="461"/>
      <c r="M1504" s="461"/>
      <c r="N1504" s="1113"/>
    </row>
    <row r="1505" spans="2:14" ht="30" x14ac:dyDescent="0.3">
      <c r="B1505" s="1104" t="s">
        <v>0</v>
      </c>
      <c r="C1505" s="1106" t="s">
        <v>24673</v>
      </c>
      <c r="D1505" s="1593" t="s">
        <v>24699</v>
      </c>
      <c r="E1505" s="1593"/>
      <c r="F1505" s="1593"/>
      <c r="G1505" s="1594"/>
      <c r="H1505" s="1106" t="s">
        <v>3686</v>
      </c>
      <c r="I1505" s="1106" t="s">
        <v>24700</v>
      </c>
      <c r="J1505" s="1106" t="s">
        <v>24701</v>
      </c>
      <c r="K1505" s="1106" t="s">
        <v>24695</v>
      </c>
      <c r="L1505" s="1106"/>
      <c r="M1505" s="1106" t="s">
        <v>24683</v>
      </c>
      <c r="N1505" s="1114" t="s">
        <v>24689</v>
      </c>
    </row>
    <row r="1506" spans="2:14" x14ac:dyDescent="0.3">
      <c r="B1506" s="1115"/>
      <c r="C1506" s="1116"/>
      <c r="D1506" s="1595"/>
      <c r="E1506" s="1595"/>
      <c r="F1506" s="1595"/>
      <c r="G1506" s="1595"/>
      <c r="H1506" s="1109"/>
      <c r="I1506" s="1109"/>
      <c r="J1506" s="1109"/>
      <c r="K1506" s="1109"/>
      <c r="L1506" s="1109"/>
      <c r="M1506" s="1118"/>
      <c r="N1506" s="1119"/>
    </row>
    <row r="1507" spans="2:14" x14ac:dyDescent="0.3">
      <c r="B1507" s="850"/>
      <c r="C1507" s="461"/>
      <c r="D1507" s="461"/>
      <c r="E1507" s="461"/>
      <c r="F1507" s="1120"/>
      <c r="G1507" s="1120"/>
      <c r="H1507" s="1120"/>
      <c r="I1507" s="1120"/>
      <c r="J1507" s="1120"/>
      <c r="K1507" s="1120"/>
      <c r="L1507" s="1120"/>
      <c r="M1507" s="1121" t="s">
        <v>24702</v>
      </c>
      <c r="N1507" s="1122">
        <f>SUM(N1506:N1506)</f>
        <v>0</v>
      </c>
    </row>
    <row r="1508" spans="2:14" x14ac:dyDescent="0.3">
      <c r="B1508" s="850"/>
      <c r="C1508" s="461"/>
      <c r="D1508" s="461"/>
      <c r="E1508" s="461"/>
      <c r="F1508" s="461"/>
      <c r="G1508" s="461"/>
      <c r="H1508" s="461"/>
      <c r="I1508" s="461"/>
      <c r="J1508" s="461"/>
      <c r="K1508" s="461"/>
      <c r="L1508" s="461"/>
      <c r="M1508" s="461"/>
      <c r="N1508" s="1113"/>
    </row>
    <row r="1509" spans="2:14" x14ac:dyDescent="0.3">
      <c r="B1509" s="1131"/>
      <c r="C1509" s="1132"/>
      <c r="D1509" s="1132"/>
      <c r="E1509" s="1132"/>
      <c r="F1509" s="1133"/>
      <c r="G1509" s="1133"/>
      <c r="H1509" s="1133"/>
      <c r="I1509" s="1133"/>
      <c r="J1509" s="1133"/>
      <c r="K1509" s="1133"/>
      <c r="L1509" s="1133"/>
      <c r="M1509" s="1134" t="s">
        <v>24703</v>
      </c>
      <c r="N1509" s="1123">
        <f>N1491+N1499+N1503+N1507</f>
        <v>26.7</v>
      </c>
    </row>
    <row r="1510" spans="2:14" x14ac:dyDescent="0.3">
      <c r="B1510" s="850"/>
      <c r="C1510" s="461"/>
      <c r="D1510" s="461"/>
      <c r="E1510" s="461"/>
      <c r="F1510" s="1120"/>
      <c r="G1510" s="1120"/>
      <c r="H1510" s="1120"/>
      <c r="I1510" s="1120"/>
      <c r="J1510" s="1120"/>
      <c r="K1510" s="1120"/>
      <c r="L1510" s="1120"/>
      <c r="M1510" s="1136">
        <f>'QUIOSQUE - MOD 01'!I3</f>
        <v>0.28220000000000001</v>
      </c>
      <c r="N1510" s="1123">
        <f>N1509*M1510</f>
        <v>7.53</v>
      </c>
    </row>
    <row r="1511" spans="2:14" ht="15.75" thickBot="1" x14ac:dyDescent="0.35">
      <c r="B1511" s="1599" t="s">
        <v>24704</v>
      </c>
      <c r="C1511" s="1600"/>
      <c r="D1511" s="1600"/>
      <c r="E1511" s="1600"/>
      <c r="F1511" s="1600"/>
      <c r="G1511" s="1600"/>
      <c r="H1511" s="1600"/>
      <c r="I1511" s="1600"/>
      <c r="J1511" s="1600"/>
      <c r="K1511" s="1600"/>
      <c r="L1511" s="1600"/>
      <c r="M1511" s="1601"/>
      <c r="N1511" s="1126">
        <f>N1509+N1510</f>
        <v>34.229999999999997</v>
      </c>
    </row>
    <row r="1513" spans="2:14" ht="15.75" thickBot="1" x14ac:dyDescent="0.35"/>
    <row r="1514" spans="2:14" ht="45" customHeight="1" x14ac:dyDescent="0.3">
      <c r="B1514" s="1607" t="s">
        <v>24868</v>
      </c>
      <c r="C1514" s="1608"/>
      <c r="D1514" s="1609"/>
      <c r="E1514" s="1610" t="s">
        <v>24669</v>
      </c>
      <c r="F1514" s="1610"/>
      <c r="G1514" s="1610"/>
      <c r="H1514" s="1610"/>
      <c r="I1514" s="1610"/>
      <c r="J1514" s="1610"/>
      <c r="K1514" s="1610"/>
      <c r="L1514" s="1146"/>
      <c r="M1514" s="1611"/>
      <c r="N1514" s="1577"/>
    </row>
    <row r="1515" spans="2:14" ht="30" customHeight="1" x14ac:dyDescent="0.3">
      <c r="B1515" s="1103" t="s">
        <v>24670</v>
      </c>
      <c r="C1515" s="1586" t="s">
        <v>25345</v>
      </c>
      <c r="D1515" s="1586"/>
      <c r="E1515" s="1586"/>
      <c r="F1515" s="1586"/>
      <c r="G1515" s="1586"/>
      <c r="H1515" s="1586"/>
      <c r="I1515" s="1586"/>
      <c r="J1515" s="1586"/>
      <c r="K1515" s="1586"/>
      <c r="L1515" s="1586"/>
      <c r="M1515" s="1586"/>
      <c r="N1515" s="1587"/>
    </row>
    <row r="1516" spans="2:14" x14ac:dyDescent="0.3">
      <c r="B1516" s="1103" t="s">
        <v>24671</v>
      </c>
      <c r="C1516" s="1588" t="s">
        <v>24804</v>
      </c>
      <c r="D1516" s="1588"/>
      <c r="E1516" s="1588"/>
      <c r="F1516" s="1588"/>
      <c r="G1516" s="1588"/>
      <c r="H1516" s="1588"/>
      <c r="I1516" s="1588"/>
      <c r="J1516" s="1588"/>
      <c r="K1516" s="1588"/>
      <c r="L1516" s="1588"/>
      <c r="M1516" s="1588"/>
      <c r="N1516" s="1589"/>
    </row>
    <row r="1517" spans="2:14" ht="15.75" thickBot="1" x14ac:dyDescent="0.35">
      <c r="B1517" s="1103" t="s">
        <v>24672</v>
      </c>
      <c r="C1517" s="1590">
        <v>44501</v>
      </c>
      <c r="D1517" s="1591"/>
      <c r="E1517" s="1591"/>
      <c r="F1517" s="1591"/>
      <c r="G1517" s="1591"/>
      <c r="H1517" s="1591"/>
      <c r="I1517" s="1591"/>
      <c r="J1517" s="1591"/>
      <c r="K1517" s="1591"/>
      <c r="L1517" s="1591"/>
      <c r="M1517" s="1591"/>
      <c r="N1517" s="1592"/>
    </row>
    <row r="1518" spans="2:14" ht="30" x14ac:dyDescent="0.3">
      <c r="B1518" s="1104" t="s">
        <v>0</v>
      </c>
      <c r="C1518" s="1105" t="s">
        <v>24673</v>
      </c>
      <c r="D1518" s="1593" t="s">
        <v>24674</v>
      </c>
      <c r="E1518" s="1593"/>
      <c r="F1518" s="1593"/>
      <c r="G1518" s="1594"/>
      <c r="H1518" s="1106" t="s">
        <v>111</v>
      </c>
      <c r="I1518" s="1106" t="s">
        <v>24675</v>
      </c>
      <c r="J1518" s="1106" t="s">
        <v>24676</v>
      </c>
      <c r="K1518" s="1106" t="s">
        <v>24677</v>
      </c>
      <c r="L1518" s="1106"/>
      <c r="M1518" s="1106" t="s">
        <v>24678</v>
      </c>
      <c r="N1518" s="1114" t="s">
        <v>24679</v>
      </c>
    </row>
    <row r="1519" spans="2:14" x14ac:dyDescent="0.3">
      <c r="B1519" s="1115"/>
      <c r="C1519" s="1108"/>
      <c r="D1519" s="1595"/>
      <c r="E1519" s="1595"/>
      <c r="F1519" s="1595"/>
      <c r="G1519" s="1596"/>
      <c r="H1519" s="1109"/>
      <c r="I1519" s="1109"/>
      <c r="J1519" s="1109"/>
      <c r="K1519" s="1109"/>
      <c r="L1519" s="1109"/>
      <c r="M1519" s="1109"/>
      <c r="N1519" s="1119"/>
    </row>
    <row r="1520" spans="2:14" ht="15.75" thickBot="1" x14ac:dyDescent="0.35">
      <c r="B1520" s="855"/>
      <c r="C1520" s="954"/>
      <c r="D1520" s="954"/>
      <c r="E1520" s="954"/>
      <c r="F1520" s="1110"/>
      <c r="G1520" s="1110"/>
      <c r="H1520" s="1110"/>
      <c r="I1520" s="1110"/>
      <c r="J1520" s="1110"/>
      <c r="K1520" s="1110"/>
      <c r="L1520" s="1110"/>
      <c r="M1520" s="1111" t="s">
        <v>24680</v>
      </c>
      <c r="N1520" s="1112">
        <f>SUM(N1519)</f>
        <v>0</v>
      </c>
    </row>
    <row r="1521" spans="2:14" ht="15.75" thickBot="1" x14ac:dyDescent="0.35">
      <c r="B1521" s="850"/>
      <c r="C1521" s="461"/>
      <c r="D1521" s="461"/>
      <c r="E1521" s="461"/>
      <c r="F1521" s="461"/>
      <c r="G1521" s="461"/>
      <c r="H1521" s="461"/>
      <c r="I1521" s="461"/>
      <c r="J1521" s="461"/>
      <c r="K1521" s="461"/>
      <c r="L1521" s="461"/>
      <c r="M1521" s="461"/>
      <c r="N1521" s="1113"/>
    </row>
    <row r="1522" spans="2:14" ht="45" x14ac:dyDescent="0.3">
      <c r="B1522" s="1104" t="s">
        <v>0</v>
      </c>
      <c r="C1522" s="1105" t="s">
        <v>24673</v>
      </c>
      <c r="D1522" s="1593" t="s">
        <v>24681</v>
      </c>
      <c r="E1522" s="1593"/>
      <c r="F1522" s="1593"/>
      <c r="G1522" s="1593"/>
      <c r="H1522" s="1594"/>
      <c r="I1522" s="1106" t="s">
        <v>3686</v>
      </c>
      <c r="J1522" s="1106" t="s">
        <v>24682</v>
      </c>
      <c r="K1522" s="1106" t="s">
        <v>24861</v>
      </c>
      <c r="L1522" s="1106" t="s">
        <v>24862</v>
      </c>
      <c r="M1522" s="1106" t="s">
        <v>24683</v>
      </c>
      <c r="N1522" s="1114" t="s">
        <v>24679</v>
      </c>
    </row>
    <row r="1523" spans="2:14" x14ac:dyDescent="0.3">
      <c r="B1523" s="1115">
        <v>246</v>
      </c>
      <c r="C1523" s="1116" t="s">
        <v>24706</v>
      </c>
      <c r="D1523" s="1604" t="s">
        <v>25338</v>
      </c>
      <c r="E1523" s="1604"/>
      <c r="F1523" s="1604"/>
      <c r="G1523" s="1604"/>
      <c r="H1523" s="1605"/>
      <c r="I1523" s="1109" t="s">
        <v>75</v>
      </c>
      <c r="J1523" s="1117">
        <v>1.5727</v>
      </c>
      <c r="K1523" s="1143">
        <v>11.34</v>
      </c>
      <c r="L1523" s="1143">
        <f>K1523*(1+J1523)</f>
        <v>29.17</v>
      </c>
      <c r="M1523" s="1118">
        <v>7.1999999999999995E-2</v>
      </c>
      <c r="N1523" s="1119">
        <f>L1523*M1523</f>
        <v>2.1</v>
      </c>
    </row>
    <row r="1524" spans="2:14" x14ac:dyDescent="0.3">
      <c r="B1524" s="1115">
        <v>10118</v>
      </c>
      <c r="C1524" s="1116" t="s">
        <v>4389</v>
      </c>
      <c r="D1524" s="1604" t="s">
        <v>400</v>
      </c>
      <c r="E1524" s="1604"/>
      <c r="F1524" s="1604"/>
      <c r="G1524" s="1604"/>
      <c r="H1524" s="1605"/>
      <c r="I1524" s="1109" t="s">
        <v>75</v>
      </c>
      <c r="J1524" s="1117">
        <v>1.5727</v>
      </c>
      <c r="K1524" s="1143">
        <v>7.43</v>
      </c>
      <c r="L1524" s="1143">
        <f>K1524*(1+J1524)</f>
        <v>19.12</v>
      </c>
      <c r="M1524" s="1118">
        <v>7.1999999999999995E-2</v>
      </c>
      <c r="N1524" s="1119">
        <f>L1524*M1524</f>
        <v>1.38</v>
      </c>
    </row>
    <row r="1525" spans="2:14" ht="15.75" thickBot="1" x14ac:dyDescent="0.35">
      <c r="B1525" s="855"/>
      <c r="C1525" s="954"/>
      <c r="D1525" s="954"/>
      <c r="E1525" s="954"/>
      <c r="F1525" s="1110"/>
      <c r="G1525" s="1110"/>
      <c r="H1525" s="1110"/>
      <c r="I1525" s="1110"/>
      <c r="J1525" s="1110"/>
      <c r="K1525" s="1110"/>
      <c r="L1525" s="1110"/>
      <c r="M1525" s="1111" t="s">
        <v>24684</v>
      </c>
      <c r="N1525" s="1112">
        <f>SUM(N1523:N1524)</f>
        <v>3.48</v>
      </c>
    </row>
    <row r="1526" spans="2:14" ht="15.75" thickBot="1" x14ac:dyDescent="0.35">
      <c r="B1526" s="850"/>
      <c r="C1526" s="461"/>
      <c r="D1526" s="461"/>
      <c r="E1526" s="461"/>
      <c r="F1526" s="461"/>
      <c r="G1526" s="461"/>
      <c r="H1526" s="461"/>
      <c r="I1526" s="1120"/>
      <c r="J1526" s="1120"/>
      <c r="K1526" s="461"/>
      <c r="L1526" s="461"/>
      <c r="M1526" s="461"/>
      <c r="N1526" s="1113"/>
    </row>
    <row r="1527" spans="2:14" ht="30" x14ac:dyDescent="0.3">
      <c r="B1527" s="1104" t="s">
        <v>0</v>
      </c>
      <c r="C1527" s="1105" t="s">
        <v>24673</v>
      </c>
      <c r="D1527" s="1593" t="s">
        <v>24685</v>
      </c>
      <c r="E1527" s="1593"/>
      <c r="F1527" s="1593"/>
      <c r="G1527" s="1593"/>
      <c r="H1527" s="1594"/>
      <c r="I1527" s="1106" t="s">
        <v>2858</v>
      </c>
      <c r="J1527" s="1106" t="s">
        <v>24686</v>
      </c>
      <c r="K1527" s="1106" t="s">
        <v>24687</v>
      </c>
      <c r="L1527" s="1106"/>
      <c r="M1527" s="1106" t="s">
        <v>24688</v>
      </c>
      <c r="N1527" s="1114" t="s">
        <v>24689</v>
      </c>
    </row>
    <row r="1528" spans="2:14" x14ac:dyDescent="0.3">
      <c r="B1528" s="1115"/>
      <c r="C1528" s="1116"/>
      <c r="D1528" s="1604"/>
      <c r="E1528" s="1604"/>
      <c r="F1528" s="1604"/>
      <c r="G1528" s="1604"/>
      <c r="H1528" s="1605"/>
      <c r="I1528" s="1109"/>
      <c r="J1528" s="1109"/>
      <c r="K1528" s="1109"/>
      <c r="L1528" s="1109"/>
      <c r="M1528" s="1109"/>
      <c r="N1528" s="1119"/>
    </row>
    <row r="1529" spans="2:14" x14ac:dyDescent="0.3">
      <c r="B1529" s="850"/>
      <c r="C1529" s="461"/>
      <c r="D1529" s="461"/>
      <c r="E1529" s="461"/>
      <c r="F1529" s="1120"/>
      <c r="G1529" s="1120"/>
      <c r="H1529" s="1120"/>
      <c r="I1529" s="1120"/>
      <c r="J1529" s="1120"/>
      <c r="K1529" s="1120"/>
      <c r="L1529" s="1120"/>
      <c r="M1529" s="1121" t="s">
        <v>24690</v>
      </c>
      <c r="N1529" s="1122">
        <f>SUM(N1528:N1528)</f>
        <v>0</v>
      </c>
    </row>
    <row r="1530" spans="2:14" x14ac:dyDescent="0.3">
      <c r="B1530" s="850"/>
      <c r="C1530" s="461"/>
      <c r="D1530" s="461"/>
      <c r="E1530" s="461"/>
      <c r="F1530" s="461"/>
      <c r="G1530" s="461"/>
      <c r="H1530" s="461"/>
      <c r="I1530" s="461"/>
      <c r="J1530" s="461"/>
      <c r="K1530" s="461"/>
      <c r="L1530" s="461"/>
      <c r="M1530" s="461"/>
      <c r="N1530" s="1113"/>
    </row>
    <row r="1531" spans="2:14" x14ac:dyDescent="0.3">
      <c r="B1531" s="850"/>
      <c r="C1531" s="461"/>
      <c r="D1531" s="461"/>
      <c r="E1531" s="461"/>
      <c r="F1531" s="1120"/>
      <c r="G1531" s="1120"/>
      <c r="H1531" s="1120"/>
      <c r="I1531" s="863"/>
      <c r="J1531" s="863"/>
      <c r="K1531" s="863"/>
      <c r="L1531" s="863"/>
      <c r="M1531" s="1121" t="s">
        <v>24691</v>
      </c>
      <c r="N1531" s="1123">
        <f>N1520+N1525+N1529</f>
        <v>3.48</v>
      </c>
    </row>
    <row r="1532" spans="2:14" x14ac:dyDescent="0.3">
      <c r="B1532" s="850"/>
      <c r="C1532" s="461"/>
      <c r="D1532" s="461"/>
      <c r="E1532" s="461"/>
      <c r="F1532" s="1120"/>
      <c r="G1532" s="1120"/>
      <c r="H1532" s="1120"/>
      <c r="I1532" s="1120"/>
      <c r="J1532" s="1124"/>
      <c r="K1532" s="1124"/>
      <c r="L1532" s="1124"/>
      <c r="M1532" s="1125" t="s">
        <v>24692</v>
      </c>
      <c r="N1532" s="1123">
        <v>1</v>
      </c>
    </row>
    <row r="1533" spans="2:14" ht="15.75" thickBot="1" x14ac:dyDescent="0.35">
      <c r="B1533" s="855"/>
      <c r="C1533" s="954"/>
      <c r="D1533" s="954"/>
      <c r="E1533" s="954"/>
      <c r="F1533" s="1110"/>
      <c r="G1533" s="1110"/>
      <c r="H1533" s="1110"/>
      <c r="I1533" s="1110"/>
      <c r="J1533" s="1110"/>
      <c r="K1533" s="1110"/>
      <c r="L1533" s="1110"/>
      <c r="M1533" s="1111" t="s">
        <v>24693</v>
      </c>
      <c r="N1533" s="1126">
        <f>TRUNC(N1531/N1532,2)</f>
        <v>3.48</v>
      </c>
    </row>
    <row r="1534" spans="2:14" ht="15.75" thickBot="1" x14ac:dyDescent="0.35">
      <c r="B1534" s="850"/>
      <c r="C1534" s="461"/>
      <c r="D1534" s="461"/>
      <c r="E1534" s="461"/>
      <c r="F1534" s="461"/>
      <c r="G1534" s="461"/>
      <c r="H1534" s="461"/>
      <c r="I1534" s="461"/>
      <c r="J1534" s="461"/>
      <c r="K1534" s="461"/>
      <c r="L1534" s="461"/>
      <c r="M1534" s="461"/>
      <c r="N1534" s="1113"/>
    </row>
    <row r="1535" spans="2:14" ht="30" x14ac:dyDescent="0.3">
      <c r="B1535" s="1104" t="s">
        <v>0</v>
      </c>
      <c r="C1535" s="1105" t="s">
        <v>24673</v>
      </c>
      <c r="D1535" s="1593" t="s">
        <v>24694</v>
      </c>
      <c r="E1535" s="1593"/>
      <c r="F1535" s="1593"/>
      <c r="G1535" s="1593"/>
      <c r="H1535" s="1593"/>
      <c r="I1535" s="1594"/>
      <c r="J1535" s="1106" t="s">
        <v>3686</v>
      </c>
      <c r="K1535" s="1106" t="s">
        <v>24695</v>
      </c>
      <c r="L1535" s="1614" t="s">
        <v>24683</v>
      </c>
      <c r="M1535" s="1615"/>
      <c r="N1535" s="1114" t="s">
        <v>24689</v>
      </c>
    </row>
    <row r="1536" spans="2:14" ht="32.25" customHeight="1" x14ac:dyDescent="0.3">
      <c r="B1536" s="1115">
        <v>112</v>
      </c>
      <c r="C1536" s="1116" t="s">
        <v>24706</v>
      </c>
      <c r="D1536" s="1604" t="s">
        <v>25346</v>
      </c>
      <c r="E1536" s="1604"/>
      <c r="F1536" s="1604"/>
      <c r="G1536" s="1604"/>
      <c r="H1536" s="1604"/>
      <c r="I1536" s="1605"/>
      <c r="J1536" s="1109" t="s">
        <v>24804</v>
      </c>
      <c r="K1536" s="1143">
        <v>6.9</v>
      </c>
      <c r="L1536" s="1624">
        <v>1</v>
      </c>
      <c r="M1536" s="1625"/>
      <c r="N1536" s="1119">
        <f>K1536*L1536</f>
        <v>6.9</v>
      </c>
    </row>
    <row r="1537" spans="2:14" x14ac:dyDescent="0.3">
      <c r="B1537" s="1115">
        <v>122</v>
      </c>
      <c r="C1537" s="1116" t="s">
        <v>24706</v>
      </c>
      <c r="D1537" s="1604" t="s">
        <v>25340</v>
      </c>
      <c r="E1537" s="1604"/>
      <c r="F1537" s="1604"/>
      <c r="G1537" s="1604"/>
      <c r="H1537" s="1604"/>
      <c r="I1537" s="1605"/>
      <c r="J1537" s="1109" t="s">
        <v>24804</v>
      </c>
      <c r="K1537" s="1143">
        <v>65.55</v>
      </c>
      <c r="L1537" s="1624">
        <v>1.7999999999999999E-2</v>
      </c>
      <c r="M1537" s="1625"/>
      <c r="N1537" s="1119">
        <f t="shared" ref="N1537:N1539" si="22">K1537*L1537</f>
        <v>1.18</v>
      </c>
    </row>
    <row r="1538" spans="2:14" ht="30" customHeight="1" x14ac:dyDescent="0.3">
      <c r="B1538" s="1115">
        <v>20083</v>
      </c>
      <c r="C1538" s="1116" t="s">
        <v>24706</v>
      </c>
      <c r="D1538" s="1604" t="s">
        <v>25341</v>
      </c>
      <c r="E1538" s="1604"/>
      <c r="F1538" s="1604"/>
      <c r="G1538" s="1604"/>
      <c r="H1538" s="1604"/>
      <c r="I1538" s="1605"/>
      <c r="J1538" s="1109" t="s">
        <v>24804</v>
      </c>
      <c r="K1538" s="1143">
        <v>74.27</v>
      </c>
      <c r="L1538" s="1624">
        <v>2.1999999999999999E-2</v>
      </c>
      <c r="M1538" s="1625"/>
      <c r="N1538" s="1119">
        <f t="shared" si="22"/>
        <v>1.63</v>
      </c>
    </row>
    <row r="1539" spans="2:14" x14ac:dyDescent="0.3">
      <c r="B1539" s="1115">
        <v>38383</v>
      </c>
      <c r="C1539" s="1116" t="s">
        <v>24706</v>
      </c>
      <c r="D1539" s="1604" t="s">
        <v>25342</v>
      </c>
      <c r="E1539" s="1604"/>
      <c r="F1539" s="1604"/>
      <c r="G1539" s="1604"/>
      <c r="H1539" s="1604"/>
      <c r="I1539" s="1605"/>
      <c r="J1539" s="1109" t="s">
        <v>24804</v>
      </c>
      <c r="K1539" s="1143">
        <v>1.99</v>
      </c>
      <c r="L1539" s="1624">
        <v>2.4E-2</v>
      </c>
      <c r="M1539" s="1625"/>
      <c r="N1539" s="1119">
        <f t="shared" si="22"/>
        <v>0.05</v>
      </c>
    </row>
    <row r="1540" spans="2:14" x14ac:dyDescent="0.3">
      <c r="B1540" s="1115"/>
      <c r="C1540" s="1116"/>
      <c r="D1540" s="1604"/>
      <c r="E1540" s="1604"/>
      <c r="F1540" s="1604"/>
      <c r="G1540" s="1604"/>
      <c r="H1540" s="1604"/>
      <c r="I1540" s="1605"/>
      <c r="J1540" s="1109"/>
      <c r="K1540" s="1109"/>
      <c r="L1540" s="1109"/>
      <c r="M1540" s="1118"/>
      <c r="N1540" s="1119"/>
    </row>
    <row r="1541" spans="2:14" ht="15.75" thickBot="1" x14ac:dyDescent="0.35">
      <c r="B1541" s="855"/>
      <c r="C1541" s="954"/>
      <c r="D1541" s="954"/>
      <c r="E1541" s="954"/>
      <c r="F1541" s="1110"/>
      <c r="G1541" s="1110"/>
      <c r="H1541" s="1110"/>
      <c r="I1541" s="1110"/>
      <c r="J1541" s="1110"/>
      <c r="K1541" s="1110"/>
      <c r="L1541" s="1110"/>
      <c r="M1541" s="1111" t="s">
        <v>24696</v>
      </c>
      <c r="N1541" s="1112">
        <f>SUM(N1536:N1539)</f>
        <v>9.76</v>
      </c>
    </row>
    <row r="1542" spans="2:14" ht="15.75" thickBot="1" x14ac:dyDescent="0.35">
      <c r="B1542" s="850"/>
      <c r="C1542" s="461"/>
      <c r="D1542" s="461"/>
      <c r="E1542" s="461"/>
      <c r="F1542" s="461"/>
      <c r="G1542" s="461"/>
      <c r="H1542" s="461"/>
      <c r="I1542" s="461"/>
      <c r="J1542" s="461"/>
      <c r="K1542" s="461"/>
      <c r="L1542" s="461"/>
      <c r="M1542" s="461"/>
      <c r="N1542" s="1113"/>
    </row>
    <row r="1543" spans="2:14" ht="30" x14ac:dyDescent="0.3">
      <c r="B1543" s="1104" t="s">
        <v>0</v>
      </c>
      <c r="C1543" s="1106" t="s">
        <v>24673</v>
      </c>
      <c r="D1543" s="1593" t="s">
        <v>24697</v>
      </c>
      <c r="E1543" s="1593"/>
      <c r="F1543" s="1593"/>
      <c r="G1543" s="1593"/>
      <c r="H1543" s="1593"/>
      <c r="I1543" s="1594"/>
      <c r="J1543" s="1106" t="s">
        <v>3686</v>
      </c>
      <c r="K1543" s="1106" t="s">
        <v>24695</v>
      </c>
      <c r="L1543" s="1106"/>
      <c r="M1543" s="1106" t="s">
        <v>24683</v>
      </c>
      <c r="N1543" s="1114" t="s">
        <v>24689</v>
      </c>
    </row>
    <row r="1544" spans="2:14" x14ac:dyDescent="0.3">
      <c r="B1544" s="1127"/>
      <c r="C1544" s="1128"/>
      <c r="D1544" s="1604"/>
      <c r="E1544" s="1604"/>
      <c r="F1544" s="1604"/>
      <c r="G1544" s="1604"/>
      <c r="H1544" s="1604"/>
      <c r="I1544" s="1605"/>
      <c r="J1544" s="462"/>
      <c r="K1544" s="462"/>
      <c r="L1544" s="462"/>
      <c r="M1544" s="1147"/>
      <c r="N1544" s="1130"/>
    </row>
    <row r="1545" spans="2:14" ht="15.75" thickBot="1" x14ac:dyDescent="0.35">
      <c r="B1545" s="855"/>
      <c r="C1545" s="954"/>
      <c r="D1545" s="954"/>
      <c r="E1545" s="954"/>
      <c r="F1545" s="1110"/>
      <c r="G1545" s="1110"/>
      <c r="H1545" s="1110"/>
      <c r="I1545" s="1110"/>
      <c r="J1545" s="1110"/>
      <c r="K1545" s="1110"/>
      <c r="L1545" s="1110"/>
      <c r="M1545" s="1111" t="s">
        <v>24698</v>
      </c>
      <c r="N1545" s="1112">
        <f>SUM(N1544:N1544)</f>
        <v>0</v>
      </c>
    </row>
    <row r="1546" spans="2:14" ht="15.75" thickBot="1" x14ac:dyDescent="0.35">
      <c r="B1546" s="850"/>
      <c r="C1546" s="461"/>
      <c r="D1546" s="461"/>
      <c r="E1546" s="461"/>
      <c r="F1546" s="461"/>
      <c r="G1546" s="461"/>
      <c r="H1546" s="461"/>
      <c r="I1546" s="461"/>
      <c r="J1546" s="461"/>
      <c r="K1546" s="461"/>
      <c r="L1546" s="461"/>
      <c r="M1546" s="461"/>
      <c r="N1546" s="1113"/>
    </row>
    <row r="1547" spans="2:14" ht="30" x14ac:dyDescent="0.3">
      <c r="B1547" s="1104" t="s">
        <v>0</v>
      </c>
      <c r="C1547" s="1106" t="s">
        <v>24673</v>
      </c>
      <c r="D1547" s="1593" t="s">
        <v>24699</v>
      </c>
      <c r="E1547" s="1593"/>
      <c r="F1547" s="1593"/>
      <c r="G1547" s="1594"/>
      <c r="H1547" s="1106" t="s">
        <v>3686</v>
      </c>
      <c r="I1547" s="1106" t="s">
        <v>24700</v>
      </c>
      <c r="J1547" s="1106" t="s">
        <v>24701</v>
      </c>
      <c r="K1547" s="1106" t="s">
        <v>24695</v>
      </c>
      <c r="L1547" s="1106"/>
      <c r="M1547" s="1106" t="s">
        <v>24683</v>
      </c>
      <c r="N1547" s="1114" t="s">
        <v>24689</v>
      </c>
    </row>
    <row r="1548" spans="2:14" x14ac:dyDescent="0.3">
      <c r="B1548" s="1115"/>
      <c r="C1548" s="1116"/>
      <c r="D1548" s="1595"/>
      <c r="E1548" s="1595"/>
      <c r="F1548" s="1595"/>
      <c r="G1548" s="1595"/>
      <c r="H1548" s="1109"/>
      <c r="I1548" s="1109"/>
      <c r="J1548" s="1109"/>
      <c r="K1548" s="1109"/>
      <c r="L1548" s="1109"/>
      <c r="M1548" s="1118"/>
      <c r="N1548" s="1119"/>
    </row>
    <row r="1549" spans="2:14" x14ac:dyDescent="0.3">
      <c r="B1549" s="850"/>
      <c r="C1549" s="461"/>
      <c r="D1549" s="461"/>
      <c r="E1549" s="461"/>
      <c r="F1549" s="1120"/>
      <c r="G1549" s="1120"/>
      <c r="H1549" s="1120"/>
      <c r="I1549" s="1120"/>
      <c r="J1549" s="1120"/>
      <c r="K1549" s="1120"/>
      <c r="L1549" s="1120"/>
      <c r="M1549" s="1121" t="s">
        <v>24702</v>
      </c>
      <c r="N1549" s="1122">
        <f>SUM(N1548:N1548)</f>
        <v>0</v>
      </c>
    </row>
    <row r="1550" spans="2:14" x14ac:dyDescent="0.3">
      <c r="B1550" s="850"/>
      <c r="C1550" s="461"/>
      <c r="D1550" s="461"/>
      <c r="E1550" s="461"/>
      <c r="F1550" s="461"/>
      <c r="G1550" s="461"/>
      <c r="H1550" s="461"/>
      <c r="I1550" s="461"/>
      <c r="J1550" s="461"/>
      <c r="K1550" s="461"/>
      <c r="L1550" s="461"/>
      <c r="M1550" s="461"/>
      <c r="N1550" s="1113"/>
    </row>
    <row r="1551" spans="2:14" x14ac:dyDescent="0.3">
      <c r="B1551" s="1131"/>
      <c r="C1551" s="1132"/>
      <c r="D1551" s="1132"/>
      <c r="E1551" s="1132"/>
      <c r="F1551" s="1133"/>
      <c r="G1551" s="1133"/>
      <c r="H1551" s="1133"/>
      <c r="I1551" s="1133"/>
      <c r="J1551" s="1133"/>
      <c r="K1551" s="1133"/>
      <c r="L1551" s="1133"/>
      <c r="M1551" s="1134" t="s">
        <v>24703</v>
      </c>
      <c r="N1551" s="1123">
        <f>N1533+N1541+N1545+N1549</f>
        <v>13.24</v>
      </c>
    </row>
    <row r="1552" spans="2:14" x14ac:dyDescent="0.3">
      <c r="B1552" s="850"/>
      <c r="C1552" s="461"/>
      <c r="D1552" s="461"/>
      <c r="E1552" s="461"/>
      <c r="F1552" s="1120"/>
      <c r="G1552" s="1120"/>
      <c r="H1552" s="1120"/>
      <c r="I1552" s="1120"/>
      <c r="J1552" s="1120"/>
      <c r="K1552" s="1120"/>
      <c r="L1552" s="1120"/>
      <c r="M1552" s="1136">
        <f>'QUIOSQUE - MOD 01'!I3</f>
        <v>0.28220000000000001</v>
      </c>
      <c r="N1552" s="1123">
        <f>N1551*M1552</f>
        <v>3.74</v>
      </c>
    </row>
    <row r="1553" spans="2:14" ht="15.75" thickBot="1" x14ac:dyDescent="0.35">
      <c r="B1553" s="1599" t="s">
        <v>24704</v>
      </c>
      <c r="C1553" s="1600"/>
      <c r="D1553" s="1600"/>
      <c r="E1553" s="1600"/>
      <c r="F1553" s="1600"/>
      <c r="G1553" s="1600"/>
      <c r="H1553" s="1600"/>
      <c r="I1553" s="1600"/>
      <c r="J1553" s="1600"/>
      <c r="K1553" s="1600"/>
      <c r="L1553" s="1600"/>
      <c r="M1553" s="1601"/>
      <c r="N1553" s="1126">
        <f>N1551+N1552</f>
        <v>16.98</v>
      </c>
    </row>
    <row r="1555" spans="2:14" ht="15.75" thickBot="1" x14ac:dyDescent="0.35"/>
    <row r="1556" spans="2:14" ht="52.5" customHeight="1" x14ac:dyDescent="0.3">
      <c r="B1556" s="1607" t="s">
        <v>24869</v>
      </c>
      <c r="C1556" s="1608"/>
      <c r="D1556" s="1609"/>
      <c r="E1556" s="1610" t="s">
        <v>24669</v>
      </c>
      <c r="F1556" s="1610"/>
      <c r="G1556" s="1610"/>
      <c r="H1556" s="1610"/>
      <c r="I1556" s="1610"/>
      <c r="J1556" s="1610"/>
      <c r="K1556" s="1610"/>
      <c r="L1556" s="1146"/>
      <c r="M1556" s="1611"/>
      <c r="N1556" s="1577"/>
    </row>
    <row r="1557" spans="2:14" ht="34.5" customHeight="1" x14ac:dyDescent="0.3">
      <c r="B1557" s="1103" t="s">
        <v>24670</v>
      </c>
      <c r="C1557" s="1586" t="s">
        <v>25347</v>
      </c>
      <c r="D1557" s="1586"/>
      <c r="E1557" s="1586"/>
      <c r="F1557" s="1586"/>
      <c r="G1557" s="1586"/>
      <c r="H1557" s="1586"/>
      <c r="I1557" s="1586"/>
      <c r="J1557" s="1586"/>
      <c r="K1557" s="1586"/>
      <c r="L1557" s="1586"/>
      <c r="M1557" s="1586"/>
      <c r="N1557" s="1587"/>
    </row>
    <row r="1558" spans="2:14" x14ac:dyDescent="0.3">
      <c r="B1558" s="1103" t="s">
        <v>24671</v>
      </c>
      <c r="C1558" s="1588" t="s">
        <v>24804</v>
      </c>
      <c r="D1558" s="1588"/>
      <c r="E1558" s="1588"/>
      <c r="F1558" s="1588"/>
      <c r="G1558" s="1588"/>
      <c r="H1558" s="1588"/>
      <c r="I1558" s="1588"/>
      <c r="J1558" s="1588"/>
      <c r="K1558" s="1588"/>
      <c r="L1558" s="1588"/>
      <c r="M1558" s="1588"/>
      <c r="N1558" s="1589"/>
    </row>
    <row r="1559" spans="2:14" ht="15.75" thickBot="1" x14ac:dyDescent="0.35">
      <c r="B1559" s="1103" t="s">
        <v>24672</v>
      </c>
      <c r="C1559" s="1590">
        <v>44501</v>
      </c>
      <c r="D1559" s="1591"/>
      <c r="E1559" s="1591"/>
      <c r="F1559" s="1591"/>
      <c r="G1559" s="1591"/>
      <c r="H1559" s="1591"/>
      <c r="I1559" s="1591"/>
      <c r="J1559" s="1591"/>
      <c r="K1559" s="1591"/>
      <c r="L1559" s="1591"/>
      <c r="M1559" s="1591"/>
      <c r="N1559" s="1592"/>
    </row>
    <row r="1560" spans="2:14" ht="30" x14ac:dyDescent="0.3">
      <c r="B1560" s="1104" t="s">
        <v>0</v>
      </c>
      <c r="C1560" s="1105" t="s">
        <v>24673</v>
      </c>
      <c r="D1560" s="1593" t="s">
        <v>24674</v>
      </c>
      <c r="E1560" s="1593"/>
      <c r="F1560" s="1593"/>
      <c r="G1560" s="1594"/>
      <c r="H1560" s="1106" t="s">
        <v>111</v>
      </c>
      <c r="I1560" s="1106" t="s">
        <v>24675</v>
      </c>
      <c r="J1560" s="1106" t="s">
        <v>24676</v>
      </c>
      <c r="K1560" s="1106" t="s">
        <v>24677</v>
      </c>
      <c r="L1560" s="1106"/>
      <c r="M1560" s="1106" t="s">
        <v>24678</v>
      </c>
      <c r="N1560" s="1114" t="s">
        <v>24679</v>
      </c>
    </row>
    <row r="1561" spans="2:14" x14ac:dyDescent="0.3">
      <c r="B1561" s="1115"/>
      <c r="C1561" s="1108"/>
      <c r="D1561" s="1595"/>
      <c r="E1561" s="1595"/>
      <c r="F1561" s="1595"/>
      <c r="G1561" s="1596"/>
      <c r="H1561" s="1109"/>
      <c r="I1561" s="1109"/>
      <c r="J1561" s="1109"/>
      <c r="K1561" s="1109"/>
      <c r="L1561" s="1109"/>
      <c r="M1561" s="1109"/>
      <c r="N1561" s="1119"/>
    </row>
    <row r="1562" spans="2:14" ht="15.75" thickBot="1" x14ac:dyDescent="0.35">
      <c r="B1562" s="855"/>
      <c r="C1562" s="954"/>
      <c r="D1562" s="954"/>
      <c r="E1562" s="954"/>
      <c r="F1562" s="1110"/>
      <c r="G1562" s="1110"/>
      <c r="H1562" s="1110"/>
      <c r="I1562" s="1110"/>
      <c r="J1562" s="1110"/>
      <c r="K1562" s="1110"/>
      <c r="L1562" s="1110"/>
      <c r="M1562" s="1111" t="s">
        <v>24680</v>
      </c>
      <c r="N1562" s="1112">
        <f>SUM(N1561)</f>
        <v>0</v>
      </c>
    </row>
    <row r="1563" spans="2:14" ht="15.75" thickBot="1" x14ac:dyDescent="0.35">
      <c r="B1563" s="850"/>
      <c r="C1563" s="461"/>
      <c r="D1563" s="461"/>
      <c r="E1563" s="461"/>
      <c r="F1563" s="461"/>
      <c r="G1563" s="461"/>
      <c r="H1563" s="461"/>
      <c r="I1563" s="461"/>
      <c r="J1563" s="461"/>
      <c r="K1563" s="461"/>
      <c r="L1563" s="461"/>
      <c r="M1563" s="461"/>
      <c r="N1563" s="1113"/>
    </row>
    <row r="1564" spans="2:14" ht="45" x14ac:dyDescent="0.3">
      <c r="B1564" s="1104" t="s">
        <v>0</v>
      </c>
      <c r="C1564" s="1105" t="s">
        <v>24673</v>
      </c>
      <c r="D1564" s="1593" t="s">
        <v>24681</v>
      </c>
      <c r="E1564" s="1593"/>
      <c r="F1564" s="1593"/>
      <c r="G1564" s="1593"/>
      <c r="H1564" s="1594"/>
      <c r="I1564" s="1106" t="s">
        <v>3686</v>
      </c>
      <c r="J1564" s="1106" t="s">
        <v>24682</v>
      </c>
      <c r="K1564" s="1106" t="s">
        <v>24861</v>
      </c>
      <c r="L1564" s="1106" t="s">
        <v>24862</v>
      </c>
      <c r="M1564" s="1106" t="s">
        <v>24683</v>
      </c>
      <c r="N1564" s="1114" t="s">
        <v>24679</v>
      </c>
    </row>
    <row r="1565" spans="2:14" x14ac:dyDescent="0.3">
      <c r="B1565" s="1115">
        <v>246</v>
      </c>
      <c r="C1565" s="1116" t="s">
        <v>24706</v>
      </c>
      <c r="D1565" s="1604" t="s">
        <v>25338</v>
      </c>
      <c r="E1565" s="1604"/>
      <c r="F1565" s="1604"/>
      <c r="G1565" s="1604"/>
      <c r="H1565" s="1605"/>
      <c r="I1565" s="1109" t="s">
        <v>75</v>
      </c>
      <c r="J1565" s="1117">
        <v>1.5727</v>
      </c>
      <c r="K1565" s="1143">
        <v>11.34</v>
      </c>
      <c r="L1565" s="1143">
        <f>K1565*(1+J1565)</f>
        <v>29.17</v>
      </c>
      <c r="M1565" s="1118">
        <v>5.8999999999999997E-2</v>
      </c>
      <c r="N1565" s="1119">
        <f>L1565*M1565</f>
        <v>1.72</v>
      </c>
    </row>
    <row r="1566" spans="2:14" x14ac:dyDescent="0.3">
      <c r="B1566" s="1115">
        <v>10118</v>
      </c>
      <c r="C1566" s="1116" t="s">
        <v>4389</v>
      </c>
      <c r="D1566" s="1604" t="s">
        <v>400</v>
      </c>
      <c r="E1566" s="1604"/>
      <c r="F1566" s="1604"/>
      <c r="G1566" s="1604"/>
      <c r="H1566" s="1605"/>
      <c r="I1566" s="1109" t="s">
        <v>75</v>
      </c>
      <c r="J1566" s="1117">
        <v>1.5727</v>
      </c>
      <c r="K1566" s="1143">
        <v>7.43</v>
      </c>
      <c r="L1566" s="1143">
        <f>K1566*(1+J1566)</f>
        <v>19.12</v>
      </c>
      <c r="M1566" s="1118">
        <v>5.8999999999999997E-2</v>
      </c>
      <c r="N1566" s="1119">
        <f>L1566*M1566</f>
        <v>1.1299999999999999</v>
      </c>
    </row>
    <row r="1567" spans="2:14" ht="15.75" thickBot="1" x14ac:dyDescent="0.35">
      <c r="B1567" s="855"/>
      <c r="C1567" s="954"/>
      <c r="D1567" s="954"/>
      <c r="E1567" s="954"/>
      <c r="F1567" s="1110"/>
      <c r="G1567" s="1110"/>
      <c r="H1567" s="1110"/>
      <c r="I1567" s="1110"/>
      <c r="J1567" s="1110"/>
      <c r="K1567" s="1110"/>
      <c r="L1567" s="1110"/>
      <c r="M1567" s="1111" t="s">
        <v>24684</v>
      </c>
      <c r="N1567" s="1112">
        <f>SUM(N1565:N1566)</f>
        <v>2.85</v>
      </c>
    </row>
    <row r="1568" spans="2:14" ht="15.75" thickBot="1" x14ac:dyDescent="0.35">
      <c r="B1568" s="850"/>
      <c r="C1568" s="461"/>
      <c r="D1568" s="461"/>
      <c r="E1568" s="461"/>
      <c r="F1568" s="461"/>
      <c r="G1568" s="461"/>
      <c r="H1568" s="461"/>
      <c r="I1568" s="1120"/>
      <c r="J1568" s="1120"/>
      <c r="K1568" s="461"/>
      <c r="L1568" s="461"/>
      <c r="M1568" s="461"/>
      <c r="N1568" s="1113"/>
    </row>
    <row r="1569" spans="2:14" ht="30" x14ac:dyDescent="0.3">
      <c r="B1569" s="1104" t="s">
        <v>0</v>
      </c>
      <c r="C1569" s="1105" t="s">
        <v>24673</v>
      </c>
      <c r="D1569" s="1593" t="s">
        <v>24685</v>
      </c>
      <c r="E1569" s="1593"/>
      <c r="F1569" s="1593"/>
      <c r="G1569" s="1593"/>
      <c r="H1569" s="1594"/>
      <c r="I1569" s="1106" t="s">
        <v>2858</v>
      </c>
      <c r="J1569" s="1106" t="s">
        <v>24686</v>
      </c>
      <c r="K1569" s="1106" t="s">
        <v>24687</v>
      </c>
      <c r="L1569" s="1106"/>
      <c r="M1569" s="1106" t="s">
        <v>24688</v>
      </c>
      <c r="N1569" s="1114" t="s">
        <v>24689</v>
      </c>
    </row>
    <row r="1570" spans="2:14" x14ac:dyDescent="0.3">
      <c r="B1570" s="1115"/>
      <c r="C1570" s="1116"/>
      <c r="D1570" s="1604"/>
      <c r="E1570" s="1604"/>
      <c r="F1570" s="1604"/>
      <c r="G1570" s="1604"/>
      <c r="H1570" s="1605"/>
      <c r="I1570" s="1109"/>
      <c r="J1570" s="1109"/>
      <c r="K1570" s="1109"/>
      <c r="L1570" s="1109"/>
      <c r="M1570" s="1109"/>
      <c r="N1570" s="1119"/>
    </row>
    <row r="1571" spans="2:14" x14ac:dyDescent="0.3">
      <c r="B1571" s="850"/>
      <c r="C1571" s="461"/>
      <c r="D1571" s="461"/>
      <c r="E1571" s="461"/>
      <c r="F1571" s="1120"/>
      <c r="G1571" s="1120"/>
      <c r="H1571" s="1120"/>
      <c r="I1571" s="1120"/>
      <c r="J1571" s="1120"/>
      <c r="K1571" s="1120"/>
      <c r="L1571" s="1120"/>
      <c r="M1571" s="1121" t="s">
        <v>24690</v>
      </c>
      <c r="N1571" s="1122">
        <f>SUM(N1570:N1570)</f>
        <v>0</v>
      </c>
    </row>
    <row r="1572" spans="2:14" x14ac:dyDescent="0.3">
      <c r="B1572" s="850"/>
      <c r="C1572" s="461"/>
      <c r="D1572" s="461"/>
      <c r="E1572" s="461"/>
      <c r="F1572" s="461"/>
      <c r="G1572" s="461"/>
      <c r="H1572" s="461"/>
      <c r="I1572" s="461"/>
      <c r="J1572" s="461"/>
      <c r="K1572" s="461"/>
      <c r="L1572" s="461"/>
      <c r="M1572" s="461"/>
      <c r="N1572" s="1113"/>
    </row>
    <row r="1573" spans="2:14" x14ac:dyDescent="0.3">
      <c r="B1573" s="850"/>
      <c r="C1573" s="461"/>
      <c r="D1573" s="461"/>
      <c r="E1573" s="461"/>
      <c r="F1573" s="1120"/>
      <c r="G1573" s="1120"/>
      <c r="H1573" s="1120"/>
      <c r="I1573" s="863"/>
      <c r="J1573" s="863"/>
      <c r="K1573" s="863"/>
      <c r="L1573" s="863"/>
      <c r="M1573" s="1121" t="s">
        <v>24691</v>
      </c>
      <c r="N1573" s="1123">
        <f>N1562+N1567+N1571</f>
        <v>2.85</v>
      </c>
    </row>
    <row r="1574" spans="2:14" x14ac:dyDescent="0.3">
      <c r="B1574" s="850"/>
      <c r="C1574" s="461"/>
      <c r="D1574" s="461"/>
      <c r="E1574" s="461"/>
      <c r="F1574" s="1120"/>
      <c r="G1574" s="1120"/>
      <c r="H1574" s="1120"/>
      <c r="I1574" s="1120"/>
      <c r="J1574" s="1124"/>
      <c r="K1574" s="1124"/>
      <c r="L1574" s="1124"/>
      <c r="M1574" s="1125" t="s">
        <v>24692</v>
      </c>
      <c r="N1574" s="1123">
        <v>1</v>
      </c>
    </row>
    <row r="1575" spans="2:14" ht="15.75" thickBot="1" x14ac:dyDescent="0.35">
      <c r="B1575" s="855"/>
      <c r="C1575" s="954"/>
      <c r="D1575" s="954"/>
      <c r="E1575" s="954"/>
      <c r="F1575" s="1110"/>
      <c r="G1575" s="1110"/>
      <c r="H1575" s="1110"/>
      <c r="I1575" s="1110"/>
      <c r="J1575" s="1110"/>
      <c r="K1575" s="1110"/>
      <c r="L1575" s="1110"/>
      <c r="M1575" s="1111" t="s">
        <v>24693</v>
      </c>
      <c r="N1575" s="1126">
        <f>TRUNC(N1573/N1574,2)</f>
        <v>2.85</v>
      </c>
    </row>
    <row r="1576" spans="2:14" ht="15.75" thickBot="1" x14ac:dyDescent="0.35">
      <c r="B1576" s="850"/>
      <c r="C1576" s="461"/>
      <c r="D1576" s="461"/>
      <c r="E1576" s="461"/>
      <c r="F1576" s="461"/>
      <c r="G1576" s="461"/>
      <c r="H1576" s="461"/>
      <c r="I1576" s="461"/>
      <c r="J1576" s="461"/>
      <c r="K1576" s="461"/>
      <c r="L1576" s="461"/>
      <c r="M1576" s="461"/>
      <c r="N1576" s="1113"/>
    </row>
    <row r="1577" spans="2:14" ht="30" x14ac:dyDescent="0.3">
      <c r="B1577" s="1104" t="s">
        <v>0</v>
      </c>
      <c r="C1577" s="1105" t="s">
        <v>24673</v>
      </c>
      <c r="D1577" s="1593" t="s">
        <v>24694</v>
      </c>
      <c r="E1577" s="1593"/>
      <c r="F1577" s="1593"/>
      <c r="G1577" s="1593"/>
      <c r="H1577" s="1593"/>
      <c r="I1577" s="1594"/>
      <c r="J1577" s="1106" t="s">
        <v>3686</v>
      </c>
      <c r="K1577" s="1106" t="s">
        <v>24695</v>
      </c>
      <c r="L1577" s="1614" t="s">
        <v>24683</v>
      </c>
      <c r="M1577" s="1615"/>
      <c r="N1577" s="1114" t="s">
        <v>24689</v>
      </c>
    </row>
    <row r="1578" spans="2:14" ht="30" customHeight="1" x14ac:dyDescent="0.3">
      <c r="B1578" s="1115">
        <v>109</v>
      </c>
      <c r="C1578" s="1116" t="s">
        <v>24706</v>
      </c>
      <c r="D1578" s="1604" t="s">
        <v>25348</v>
      </c>
      <c r="E1578" s="1604"/>
      <c r="F1578" s="1604"/>
      <c r="G1578" s="1604"/>
      <c r="H1578" s="1604"/>
      <c r="I1578" s="1605"/>
      <c r="J1578" s="1109" t="s">
        <v>24804</v>
      </c>
      <c r="K1578" s="1143">
        <v>5.42</v>
      </c>
      <c r="L1578" s="1624">
        <v>1</v>
      </c>
      <c r="M1578" s="1625"/>
      <c r="N1578" s="1119">
        <f>K1578*L1578</f>
        <v>5.42</v>
      </c>
    </row>
    <row r="1579" spans="2:14" x14ac:dyDescent="0.3">
      <c r="B1579" s="1115">
        <v>122</v>
      </c>
      <c r="C1579" s="1116" t="s">
        <v>24706</v>
      </c>
      <c r="D1579" s="1604" t="s">
        <v>25340</v>
      </c>
      <c r="E1579" s="1604"/>
      <c r="F1579" s="1604"/>
      <c r="G1579" s="1604"/>
      <c r="H1579" s="1604"/>
      <c r="I1579" s="1605"/>
      <c r="J1579" s="1109" t="s">
        <v>24804</v>
      </c>
      <c r="K1579" s="1143">
        <v>65.55</v>
      </c>
      <c r="L1579" s="1624">
        <v>1.2E-2</v>
      </c>
      <c r="M1579" s="1625"/>
      <c r="N1579" s="1119">
        <f t="shared" ref="N1579:N1581" si="23">K1579*L1579</f>
        <v>0.79</v>
      </c>
    </row>
    <row r="1580" spans="2:14" ht="30" customHeight="1" x14ac:dyDescent="0.3">
      <c r="B1580" s="1115">
        <v>20083</v>
      </c>
      <c r="C1580" s="1116" t="s">
        <v>24706</v>
      </c>
      <c r="D1580" s="1604" t="s">
        <v>25341</v>
      </c>
      <c r="E1580" s="1604"/>
      <c r="F1580" s="1604"/>
      <c r="G1580" s="1604"/>
      <c r="H1580" s="1604"/>
      <c r="I1580" s="1605"/>
      <c r="J1580" s="1109" t="s">
        <v>24804</v>
      </c>
      <c r="K1580" s="1143">
        <v>74.27</v>
      </c>
      <c r="L1580" s="1624">
        <v>1.4E-2</v>
      </c>
      <c r="M1580" s="1625"/>
      <c r="N1580" s="1119">
        <f t="shared" si="23"/>
        <v>1.04</v>
      </c>
    </row>
    <row r="1581" spans="2:14" x14ac:dyDescent="0.3">
      <c r="B1581" s="1115">
        <v>38383</v>
      </c>
      <c r="C1581" s="1116" t="s">
        <v>24706</v>
      </c>
      <c r="D1581" s="1604" t="s">
        <v>25342</v>
      </c>
      <c r="E1581" s="1604"/>
      <c r="F1581" s="1604"/>
      <c r="G1581" s="1604"/>
      <c r="H1581" s="1604"/>
      <c r="I1581" s="1605"/>
      <c r="J1581" s="1109" t="s">
        <v>24804</v>
      </c>
      <c r="K1581" s="1143">
        <v>1.99</v>
      </c>
      <c r="L1581" s="1624">
        <v>0.02</v>
      </c>
      <c r="M1581" s="1625"/>
      <c r="N1581" s="1119">
        <f t="shared" si="23"/>
        <v>0.04</v>
      </c>
    </row>
    <row r="1582" spans="2:14" x14ac:dyDescent="0.3">
      <c r="B1582" s="1115"/>
      <c r="C1582" s="1116"/>
      <c r="D1582" s="1604"/>
      <c r="E1582" s="1604"/>
      <c r="F1582" s="1604"/>
      <c r="G1582" s="1604"/>
      <c r="H1582" s="1604"/>
      <c r="I1582" s="1605"/>
      <c r="J1582" s="1109"/>
      <c r="K1582" s="1109"/>
      <c r="L1582" s="1109"/>
      <c r="M1582" s="1118"/>
      <c r="N1582" s="1119"/>
    </row>
    <row r="1583" spans="2:14" ht="15.75" thickBot="1" x14ac:dyDescent="0.35">
      <c r="B1583" s="855"/>
      <c r="C1583" s="954"/>
      <c r="D1583" s="954"/>
      <c r="E1583" s="954"/>
      <c r="F1583" s="1110"/>
      <c r="G1583" s="1110"/>
      <c r="H1583" s="1110"/>
      <c r="I1583" s="1110"/>
      <c r="J1583" s="1110"/>
      <c r="K1583" s="1110"/>
      <c r="L1583" s="1110"/>
      <c r="M1583" s="1111" t="s">
        <v>24696</v>
      </c>
      <c r="N1583" s="1112">
        <f>SUM(N1578:N1581)</f>
        <v>7.29</v>
      </c>
    </row>
    <row r="1584" spans="2:14" ht="15.75" thickBot="1" x14ac:dyDescent="0.35">
      <c r="B1584" s="850"/>
      <c r="C1584" s="461"/>
      <c r="D1584" s="461"/>
      <c r="E1584" s="461"/>
      <c r="F1584" s="461"/>
      <c r="G1584" s="461"/>
      <c r="H1584" s="461"/>
      <c r="I1584" s="461"/>
      <c r="J1584" s="461"/>
      <c r="K1584" s="461"/>
      <c r="L1584" s="461"/>
      <c r="M1584" s="461"/>
      <c r="N1584" s="1113"/>
    </row>
    <row r="1585" spans="2:14" ht="30" x14ac:dyDescent="0.3">
      <c r="B1585" s="1104" t="s">
        <v>0</v>
      </c>
      <c r="C1585" s="1106" t="s">
        <v>24673</v>
      </c>
      <c r="D1585" s="1593" t="s">
        <v>24697</v>
      </c>
      <c r="E1585" s="1593"/>
      <c r="F1585" s="1593"/>
      <c r="G1585" s="1593"/>
      <c r="H1585" s="1593"/>
      <c r="I1585" s="1594"/>
      <c r="J1585" s="1106" t="s">
        <v>3686</v>
      </c>
      <c r="K1585" s="1106" t="s">
        <v>24695</v>
      </c>
      <c r="L1585" s="1106"/>
      <c r="M1585" s="1106" t="s">
        <v>24683</v>
      </c>
      <c r="N1585" s="1114" t="s">
        <v>24689</v>
      </c>
    </row>
    <row r="1586" spans="2:14" x14ac:dyDescent="0.3">
      <c r="B1586" s="1127"/>
      <c r="C1586" s="1128"/>
      <c r="D1586" s="1604"/>
      <c r="E1586" s="1604"/>
      <c r="F1586" s="1604"/>
      <c r="G1586" s="1604"/>
      <c r="H1586" s="1604"/>
      <c r="I1586" s="1605"/>
      <c r="J1586" s="462"/>
      <c r="K1586" s="462"/>
      <c r="L1586" s="462"/>
      <c r="M1586" s="1147"/>
      <c r="N1586" s="1130"/>
    </row>
    <row r="1587" spans="2:14" ht="15.75" thickBot="1" x14ac:dyDescent="0.35">
      <c r="B1587" s="855"/>
      <c r="C1587" s="954"/>
      <c r="D1587" s="954"/>
      <c r="E1587" s="954"/>
      <c r="F1587" s="1110"/>
      <c r="G1587" s="1110"/>
      <c r="H1587" s="1110"/>
      <c r="I1587" s="1110"/>
      <c r="J1587" s="1110"/>
      <c r="K1587" s="1110"/>
      <c r="L1587" s="1110"/>
      <c r="M1587" s="1111" t="s">
        <v>24698</v>
      </c>
      <c r="N1587" s="1112">
        <f>SUM(N1586:N1586)</f>
        <v>0</v>
      </c>
    </row>
    <row r="1588" spans="2:14" ht="15.75" thickBot="1" x14ac:dyDescent="0.35">
      <c r="B1588" s="850"/>
      <c r="C1588" s="461"/>
      <c r="D1588" s="461"/>
      <c r="E1588" s="461"/>
      <c r="F1588" s="461"/>
      <c r="G1588" s="461"/>
      <c r="H1588" s="461"/>
      <c r="I1588" s="461"/>
      <c r="J1588" s="461"/>
      <c r="K1588" s="461"/>
      <c r="L1588" s="461"/>
      <c r="M1588" s="461"/>
      <c r="N1588" s="1113"/>
    </row>
    <row r="1589" spans="2:14" ht="30" x14ac:dyDescent="0.3">
      <c r="B1589" s="1104" t="s">
        <v>0</v>
      </c>
      <c r="C1589" s="1106" t="s">
        <v>24673</v>
      </c>
      <c r="D1589" s="1593" t="s">
        <v>24699</v>
      </c>
      <c r="E1589" s="1593"/>
      <c r="F1589" s="1593"/>
      <c r="G1589" s="1594"/>
      <c r="H1589" s="1106" t="s">
        <v>3686</v>
      </c>
      <c r="I1589" s="1106" t="s">
        <v>24700</v>
      </c>
      <c r="J1589" s="1106" t="s">
        <v>24701</v>
      </c>
      <c r="K1589" s="1106" t="s">
        <v>24695</v>
      </c>
      <c r="L1589" s="1106"/>
      <c r="M1589" s="1106" t="s">
        <v>24683</v>
      </c>
      <c r="N1589" s="1114" t="s">
        <v>24689</v>
      </c>
    </row>
    <row r="1590" spans="2:14" x14ac:dyDescent="0.3">
      <c r="B1590" s="1115"/>
      <c r="C1590" s="1116"/>
      <c r="D1590" s="1595"/>
      <c r="E1590" s="1595"/>
      <c r="F1590" s="1595"/>
      <c r="G1590" s="1595"/>
      <c r="H1590" s="1109"/>
      <c r="I1590" s="1109"/>
      <c r="J1590" s="1109"/>
      <c r="K1590" s="1109"/>
      <c r="L1590" s="1109"/>
      <c r="M1590" s="1118"/>
      <c r="N1590" s="1119"/>
    </row>
    <row r="1591" spans="2:14" x14ac:dyDescent="0.3">
      <c r="B1591" s="850"/>
      <c r="C1591" s="461"/>
      <c r="D1591" s="461"/>
      <c r="E1591" s="461"/>
      <c r="F1591" s="1120"/>
      <c r="G1591" s="1120"/>
      <c r="H1591" s="1120"/>
      <c r="I1591" s="1120"/>
      <c r="J1591" s="1120"/>
      <c r="K1591" s="1120"/>
      <c r="L1591" s="1120"/>
      <c r="M1591" s="1121" t="s">
        <v>24702</v>
      </c>
      <c r="N1591" s="1122">
        <f>SUM(N1590:N1590)</f>
        <v>0</v>
      </c>
    </row>
    <row r="1592" spans="2:14" x14ac:dyDescent="0.3">
      <c r="B1592" s="850"/>
      <c r="C1592" s="461"/>
      <c r="D1592" s="461"/>
      <c r="E1592" s="461"/>
      <c r="F1592" s="461"/>
      <c r="G1592" s="461"/>
      <c r="H1592" s="461"/>
      <c r="I1592" s="461"/>
      <c r="J1592" s="461"/>
      <c r="K1592" s="461"/>
      <c r="L1592" s="461"/>
      <c r="M1592" s="461"/>
      <c r="N1592" s="1113"/>
    </row>
    <row r="1593" spans="2:14" x14ac:dyDescent="0.3">
      <c r="B1593" s="1131"/>
      <c r="C1593" s="1132"/>
      <c r="D1593" s="1132"/>
      <c r="E1593" s="1132"/>
      <c r="F1593" s="1133"/>
      <c r="G1593" s="1133"/>
      <c r="H1593" s="1133"/>
      <c r="I1593" s="1133"/>
      <c r="J1593" s="1133"/>
      <c r="K1593" s="1133"/>
      <c r="L1593" s="1133"/>
      <c r="M1593" s="1134" t="s">
        <v>24703</v>
      </c>
      <c r="N1593" s="1123">
        <f>N1575+N1583+N1587+N1591</f>
        <v>10.14</v>
      </c>
    </row>
    <row r="1594" spans="2:14" x14ac:dyDescent="0.3">
      <c r="B1594" s="850"/>
      <c r="C1594" s="461"/>
      <c r="D1594" s="461"/>
      <c r="E1594" s="461"/>
      <c r="F1594" s="1120"/>
      <c r="G1594" s="1120"/>
      <c r="H1594" s="1120"/>
      <c r="I1594" s="1120"/>
      <c r="J1594" s="1120"/>
      <c r="K1594" s="1120"/>
      <c r="L1594" s="1120"/>
      <c r="M1594" s="1136">
        <f>'QUIOSQUE - MOD 01'!I3</f>
        <v>0.28220000000000001</v>
      </c>
      <c r="N1594" s="1123">
        <f>N1593*M1594</f>
        <v>2.86</v>
      </c>
    </row>
    <row r="1595" spans="2:14" ht="15.75" thickBot="1" x14ac:dyDescent="0.35">
      <c r="B1595" s="1599" t="s">
        <v>24704</v>
      </c>
      <c r="C1595" s="1600"/>
      <c r="D1595" s="1600"/>
      <c r="E1595" s="1600"/>
      <c r="F1595" s="1600"/>
      <c r="G1595" s="1600"/>
      <c r="H1595" s="1600"/>
      <c r="I1595" s="1600"/>
      <c r="J1595" s="1600"/>
      <c r="K1595" s="1600"/>
      <c r="L1595" s="1600"/>
      <c r="M1595" s="1601"/>
      <c r="N1595" s="1126">
        <f>N1593+N1594</f>
        <v>13</v>
      </c>
    </row>
    <row r="1597" spans="2:14" ht="15.75" thickBot="1" x14ac:dyDescent="0.35"/>
    <row r="1598" spans="2:14" ht="47.25" customHeight="1" x14ac:dyDescent="0.3">
      <c r="B1598" s="1607" t="s">
        <v>24870</v>
      </c>
      <c r="C1598" s="1608"/>
      <c r="D1598" s="1609"/>
      <c r="E1598" s="1610" t="s">
        <v>24669</v>
      </c>
      <c r="F1598" s="1610"/>
      <c r="G1598" s="1610"/>
      <c r="H1598" s="1610"/>
      <c r="I1598" s="1610"/>
      <c r="J1598" s="1610"/>
      <c r="K1598" s="1610"/>
      <c r="L1598" s="1146"/>
      <c r="M1598" s="1611"/>
      <c r="N1598" s="1577"/>
    </row>
    <row r="1599" spans="2:14" x14ac:dyDescent="0.3">
      <c r="B1599" s="1103" t="s">
        <v>24670</v>
      </c>
      <c r="C1599" s="1586" t="s">
        <v>25349</v>
      </c>
      <c r="D1599" s="1586"/>
      <c r="E1599" s="1586"/>
      <c r="F1599" s="1586"/>
      <c r="G1599" s="1586"/>
      <c r="H1599" s="1586"/>
      <c r="I1599" s="1586"/>
      <c r="J1599" s="1586"/>
      <c r="K1599" s="1586"/>
      <c r="L1599" s="1586"/>
      <c r="M1599" s="1586"/>
      <c r="N1599" s="1587"/>
    </row>
    <row r="1600" spans="2:14" x14ac:dyDescent="0.3">
      <c r="B1600" s="1103" t="s">
        <v>24671</v>
      </c>
      <c r="C1600" s="1588" t="s">
        <v>24804</v>
      </c>
      <c r="D1600" s="1588"/>
      <c r="E1600" s="1588"/>
      <c r="F1600" s="1588"/>
      <c r="G1600" s="1588"/>
      <c r="H1600" s="1588"/>
      <c r="I1600" s="1588"/>
      <c r="J1600" s="1588"/>
      <c r="K1600" s="1588"/>
      <c r="L1600" s="1588"/>
      <c r="M1600" s="1588"/>
      <c r="N1600" s="1589"/>
    </row>
    <row r="1601" spans="2:14" ht="15.75" thickBot="1" x14ac:dyDescent="0.35">
      <c r="B1601" s="1103" t="s">
        <v>24672</v>
      </c>
      <c r="C1601" s="1590">
        <v>44501</v>
      </c>
      <c r="D1601" s="1591"/>
      <c r="E1601" s="1591"/>
      <c r="F1601" s="1591"/>
      <c r="G1601" s="1591"/>
      <c r="H1601" s="1591"/>
      <c r="I1601" s="1591"/>
      <c r="J1601" s="1591"/>
      <c r="K1601" s="1591"/>
      <c r="L1601" s="1591"/>
      <c r="M1601" s="1591"/>
      <c r="N1601" s="1592"/>
    </row>
    <row r="1602" spans="2:14" ht="30" x14ac:dyDescent="0.3">
      <c r="B1602" s="1104" t="s">
        <v>0</v>
      </c>
      <c r="C1602" s="1105" t="s">
        <v>24673</v>
      </c>
      <c r="D1602" s="1593" t="s">
        <v>24674</v>
      </c>
      <c r="E1602" s="1593"/>
      <c r="F1602" s="1593"/>
      <c r="G1602" s="1594"/>
      <c r="H1602" s="1106" t="s">
        <v>111</v>
      </c>
      <c r="I1602" s="1106" t="s">
        <v>24675</v>
      </c>
      <c r="J1602" s="1106" t="s">
        <v>24676</v>
      </c>
      <c r="K1602" s="1106" t="s">
        <v>24677</v>
      </c>
      <c r="L1602" s="1106"/>
      <c r="M1602" s="1106" t="s">
        <v>24678</v>
      </c>
      <c r="N1602" s="1114" t="s">
        <v>24679</v>
      </c>
    </row>
    <row r="1603" spans="2:14" x14ac:dyDescent="0.3">
      <c r="B1603" s="1115"/>
      <c r="C1603" s="1108"/>
      <c r="D1603" s="1595"/>
      <c r="E1603" s="1595"/>
      <c r="F1603" s="1595"/>
      <c r="G1603" s="1596"/>
      <c r="H1603" s="1109"/>
      <c r="I1603" s="1109"/>
      <c r="J1603" s="1109"/>
      <c r="K1603" s="1109"/>
      <c r="L1603" s="1109"/>
      <c r="M1603" s="1109"/>
      <c r="N1603" s="1119"/>
    </row>
    <row r="1604" spans="2:14" ht="15.75" thickBot="1" x14ac:dyDescent="0.35">
      <c r="B1604" s="855"/>
      <c r="C1604" s="954"/>
      <c r="D1604" s="954"/>
      <c r="E1604" s="954"/>
      <c r="F1604" s="1110"/>
      <c r="G1604" s="1110"/>
      <c r="H1604" s="1110"/>
      <c r="I1604" s="1110"/>
      <c r="J1604" s="1110"/>
      <c r="K1604" s="1110"/>
      <c r="L1604" s="1110"/>
      <c r="M1604" s="1111" t="s">
        <v>24680</v>
      </c>
      <c r="N1604" s="1112">
        <f>SUM(N1603)</f>
        <v>0</v>
      </c>
    </row>
    <row r="1605" spans="2:14" ht="15.75" thickBot="1" x14ac:dyDescent="0.35">
      <c r="B1605" s="850"/>
      <c r="C1605" s="461"/>
      <c r="D1605" s="461"/>
      <c r="E1605" s="461"/>
      <c r="F1605" s="461"/>
      <c r="G1605" s="461"/>
      <c r="H1605" s="461"/>
      <c r="I1605" s="461"/>
      <c r="J1605" s="461"/>
      <c r="K1605" s="461"/>
      <c r="L1605" s="461"/>
      <c r="M1605" s="461"/>
      <c r="N1605" s="1113"/>
    </row>
    <row r="1606" spans="2:14" ht="45" x14ac:dyDescent="0.3">
      <c r="B1606" s="1104" t="s">
        <v>0</v>
      </c>
      <c r="C1606" s="1105" t="s">
        <v>24673</v>
      </c>
      <c r="D1606" s="1593" t="s">
        <v>24681</v>
      </c>
      <c r="E1606" s="1593"/>
      <c r="F1606" s="1593"/>
      <c r="G1606" s="1593"/>
      <c r="H1606" s="1594"/>
      <c r="I1606" s="1106" t="s">
        <v>3686</v>
      </c>
      <c r="J1606" s="1106" t="s">
        <v>24682</v>
      </c>
      <c r="K1606" s="1106" t="s">
        <v>24861</v>
      </c>
      <c r="L1606" s="1106" t="s">
        <v>24862</v>
      </c>
      <c r="M1606" s="1106" t="s">
        <v>24683</v>
      </c>
      <c r="N1606" s="1114" t="s">
        <v>24679</v>
      </c>
    </row>
    <row r="1607" spans="2:14" x14ac:dyDescent="0.3">
      <c r="B1607" s="1115">
        <v>246</v>
      </c>
      <c r="C1607" s="1116" t="s">
        <v>24706</v>
      </c>
      <c r="D1607" s="1604" t="s">
        <v>25338</v>
      </c>
      <c r="E1607" s="1604"/>
      <c r="F1607" s="1604"/>
      <c r="G1607" s="1604"/>
      <c r="H1607" s="1605"/>
      <c r="I1607" s="1109" t="s">
        <v>75</v>
      </c>
      <c r="J1607" s="1117">
        <v>1.5727</v>
      </c>
      <c r="K1607" s="1143">
        <v>11.34</v>
      </c>
      <c r="L1607" s="1143">
        <f>K1607*(1+J1607)</f>
        <v>29.17</v>
      </c>
      <c r="M1607" s="1118">
        <v>0.108</v>
      </c>
      <c r="N1607" s="1119">
        <f>L1607*M1607</f>
        <v>3.15</v>
      </c>
    </row>
    <row r="1608" spans="2:14" x14ac:dyDescent="0.3">
      <c r="B1608" s="1115">
        <v>10118</v>
      </c>
      <c r="C1608" s="1116" t="s">
        <v>4389</v>
      </c>
      <c r="D1608" s="1604" t="s">
        <v>400</v>
      </c>
      <c r="E1608" s="1604"/>
      <c r="F1608" s="1604"/>
      <c r="G1608" s="1604"/>
      <c r="H1608" s="1605"/>
      <c r="I1608" s="1109" t="s">
        <v>75</v>
      </c>
      <c r="J1608" s="1117">
        <v>1.5727</v>
      </c>
      <c r="K1608" s="1143">
        <v>7.43</v>
      </c>
      <c r="L1608" s="1143">
        <f>K1608*(1+J1608)</f>
        <v>19.12</v>
      </c>
      <c r="M1608" s="1118">
        <v>0.108</v>
      </c>
      <c r="N1608" s="1119">
        <f>L1608*M1608</f>
        <v>2.06</v>
      </c>
    </row>
    <row r="1609" spans="2:14" ht="15.75" thickBot="1" x14ac:dyDescent="0.35">
      <c r="B1609" s="855"/>
      <c r="C1609" s="954"/>
      <c r="D1609" s="954"/>
      <c r="E1609" s="954"/>
      <c r="F1609" s="1110"/>
      <c r="G1609" s="1110"/>
      <c r="H1609" s="1110"/>
      <c r="I1609" s="1110"/>
      <c r="J1609" s="1110"/>
      <c r="K1609" s="1110"/>
      <c r="L1609" s="1110"/>
      <c r="M1609" s="1111" t="s">
        <v>24684</v>
      </c>
      <c r="N1609" s="1112">
        <f>SUM(N1607:N1608)</f>
        <v>5.21</v>
      </c>
    </row>
    <row r="1610" spans="2:14" ht="15.75" thickBot="1" x14ac:dyDescent="0.35">
      <c r="B1610" s="850"/>
      <c r="C1610" s="461"/>
      <c r="D1610" s="461"/>
      <c r="E1610" s="461"/>
      <c r="F1610" s="461"/>
      <c r="G1610" s="461"/>
      <c r="H1610" s="461"/>
      <c r="I1610" s="1120"/>
      <c r="J1610" s="1120"/>
      <c r="K1610" s="461"/>
      <c r="L1610" s="461"/>
      <c r="M1610" s="461"/>
      <c r="N1610" s="1113"/>
    </row>
    <row r="1611" spans="2:14" ht="30" x14ac:dyDescent="0.3">
      <c r="B1611" s="1104" t="s">
        <v>0</v>
      </c>
      <c r="C1611" s="1105" t="s">
        <v>24673</v>
      </c>
      <c r="D1611" s="1593" t="s">
        <v>24685</v>
      </c>
      <c r="E1611" s="1593"/>
      <c r="F1611" s="1593"/>
      <c r="G1611" s="1593"/>
      <c r="H1611" s="1594"/>
      <c r="I1611" s="1106" t="s">
        <v>2858</v>
      </c>
      <c r="J1611" s="1106" t="s">
        <v>24686</v>
      </c>
      <c r="K1611" s="1106" t="s">
        <v>24687</v>
      </c>
      <c r="L1611" s="1106"/>
      <c r="M1611" s="1106" t="s">
        <v>24688</v>
      </c>
      <c r="N1611" s="1114" t="s">
        <v>24689</v>
      </c>
    </row>
    <row r="1612" spans="2:14" x14ac:dyDescent="0.3">
      <c r="B1612" s="1115"/>
      <c r="C1612" s="1116"/>
      <c r="D1612" s="1604"/>
      <c r="E1612" s="1604"/>
      <c r="F1612" s="1604"/>
      <c r="G1612" s="1604"/>
      <c r="H1612" s="1605"/>
      <c r="I1612" s="1109"/>
      <c r="J1612" s="1109"/>
      <c r="K1612" s="1109"/>
      <c r="L1612" s="1109"/>
      <c r="M1612" s="1109"/>
      <c r="N1612" s="1119"/>
    </row>
    <row r="1613" spans="2:14" x14ac:dyDescent="0.3">
      <c r="B1613" s="850"/>
      <c r="C1613" s="461"/>
      <c r="D1613" s="461"/>
      <c r="E1613" s="461"/>
      <c r="F1613" s="1120"/>
      <c r="G1613" s="1120"/>
      <c r="H1613" s="1120"/>
      <c r="I1613" s="1120"/>
      <c r="J1613" s="1120"/>
      <c r="K1613" s="1120"/>
      <c r="L1613" s="1120"/>
      <c r="M1613" s="1121" t="s">
        <v>24690</v>
      </c>
      <c r="N1613" s="1122">
        <f>SUM(N1612:N1612)</f>
        <v>0</v>
      </c>
    </row>
    <row r="1614" spans="2:14" x14ac:dyDescent="0.3">
      <c r="B1614" s="850"/>
      <c r="C1614" s="461"/>
      <c r="D1614" s="461"/>
      <c r="E1614" s="461"/>
      <c r="F1614" s="461"/>
      <c r="G1614" s="461"/>
      <c r="H1614" s="461"/>
      <c r="I1614" s="461"/>
      <c r="J1614" s="461"/>
      <c r="K1614" s="461"/>
      <c r="L1614" s="461"/>
      <c r="M1614" s="461"/>
      <c r="N1614" s="1113"/>
    </row>
    <row r="1615" spans="2:14" x14ac:dyDescent="0.3">
      <c r="B1615" s="850"/>
      <c r="C1615" s="461"/>
      <c r="D1615" s="461"/>
      <c r="E1615" s="461"/>
      <c r="F1615" s="1120"/>
      <c r="G1615" s="1120"/>
      <c r="H1615" s="1120"/>
      <c r="I1615" s="863"/>
      <c r="J1615" s="863"/>
      <c r="K1615" s="863"/>
      <c r="L1615" s="863"/>
      <c r="M1615" s="1121" t="s">
        <v>24691</v>
      </c>
      <c r="N1615" s="1123">
        <f>N1604+N1609+N1613</f>
        <v>5.21</v>
      </c>
    </row>
    <row r="1616" spans="2:14" x14ac:dyDescent="0.3">
      <c r="B1616" s="850"/>
      <c r="C1616" s="461"/>
      <c r="D1616" s="461"/>
      <c r="E1616" s="461"/>
      <c r="F1616" s="1120"/>
      <c r="G1616" s="1120"/>
      <c r="H1616" s="1120"/>
      <c r="I1616" s="1120"/>
      <c r="J1616" s="1124"/>
      <c r="K1616" s="1124"/>
      <c r="L1616" s="1124"/>
      <c r="M1616" s="1125" t="s">
        <v>24692</v>
      </c>
      <c r="N1616" s="1123">
        <v>1</v>
      </c>
    </row>
    <row r="1617" spans="2:14" ht="15.75" thickBot="1" x14ac:dyDescent="0.35">
      <c r="B1617" s="855"/>
      <c r="C1617" s="954"/>
      <c r="D1617" s="954"/>
      <c r="E1617" s="954"/>
      <c r="F1617" s="1110"/>
      <c r="G1617" s="1110"/>
      <c r="H1617" s="1110"/>
      <c r="I1617" s="1110"/>
      <c r="J1617" s="1110"/>
      <c r="K1617" s="1110"/>
      <c r="L1617" s="1110"/>
      <c r="M1617" s="1111" t="s">
        <v>24693</v>
      </c>
      <c r="N1617" s="1126">
        <f>TRUNC(N1615/N1616,2)</f>
        <v>5.21</v>
      </c>
    </row>
    <row r="1618" spans="2:14" ht="15.75" thickBot="1" x14ac:dyDescent="0.35">
      <c r="B1618" s="850"/>
      <c r="C1618" s="461"/>
      <c r="D1618" s="461"/>
      <c r="E1618" s="461"/>
      <c r="F1618" s="461"/>
      <c r="G1618" s="461"/>
      <c r="H1618" s="461"/>
      <c r="I1618" s="461"/>
      <c r="J1618" s="461"/>
      <c r="K1618" s="461"/>
      <c r="L1618" s="461"/>
      <c r="M1618" s="461"/>
      <c r="N1618" s="1113"/>
    </row>
    <row r="1619" spans="2:14" ht="30" x14ac:dyDescent="0.3">
      <c r="B1619" s="1104" t="s">
        <v>0</v>
      </c>
      <c r="C1619" s="1105" t="s">
        <v>24673</v>
      </c>
      <c r="D1619" s="1593" t="s">
        <v>24694</v>
      </c>
      <c r="E1619" s="1593"/>
      <c r="F1619" s="1593"/>
      <c r="G1619" s="1593"/>
      <c r="H1619" s="1593"/>
      <c r="I1619" s="1594"/>
      <c r="J1619" s="1106" t="s">
        <v>3686</v>
      </c>
      <c r="K1619" s="1106" t="s">
        <v>24695</v>
      </c>
      <c r="L1619" s="1614" t="s">
        <v>24683</v>
      </c>
      <c r="M1619" s="1615"/>
      <c r="N1619" s="1114" t="s">
        <v>24689</v>
      </c>
    </row>
    <row r="1620" spans="2:14" ht="34.5" customHeight="1" x14ac:dyDescent="0.3">
      <c r="B1620" s="1115">
        <v>1959</v>
      </c>
      <c r="C1620" s="1116" t="s">
        <v>24706</v>
      </c>
      <c r="D1620" s="1604" t="s">
        <v>25350</v>
      </c>
      <c r="E1620" s="1604"/>
      <c r="F1620" s="1604"/>
      <c r="G1620" s="1604"/>
      <c r="H1620" s="1604"/>
      <c r="I1620" s="1605"/>
      <c r="J1620" s="1109" t="s">
        <v>24804</v>
      </c>
      <c r="K1620" s="1143">
        <v>23.62</v>
      </c>
      <c r="L1620" s="1624">
        <v>1</v>
      </c>
      <c r="M1620" s="1625"/>
      <c r="N1620" s="1119">
        <f>K1620*L1620</f>
        <v>23.62</v>
      </c>
    </row>
    <row r="1621" spans="2:14" x14ac:dyDescent="0.3">
      <c r="B1621" s="1115">
        <v>122</v>
      </c>
      <c r="C1621" s="1116" t="s">
        <v>24706</v>
      </c>
      <c r="D1621" s="1604" t="s">
        <v>25340</v>
      </c>
      <c r="E1621" s="1604"/>
      <c r="F1621" s="1604"/>
      <c r="G1621" s="1604"/>
      <c r="H1621" s="1604"/>
      <c r="I1621" s="1605"/>
      <c r="J1621" s="1109" t="s">
        <v>24804</v>
      </c>
      <c r="K1621" s="1143">
        <v>65.55</v>
      </c>
      <c r="L1621" s="1624">
        <v>1.7999999999999999E-2</v>
      </c>
      <c r="M1621" s="1625"/>
      <c r="N1621" s="1119">
        <f t="shared" ref="N1621:N1623" si="24">K1621*L1621</f>
        <v>1.18</v>
      </c>
    </row>
    <row r="1622" spans="2:14" x14ac:dyDescent="0.3">
      <c r="B1622" s="1115">
        <v>20083</v>
      </c>
      <c r="C1622" s="1116" t="s">
        <v>24706</v>
      </c>
      <c r="D1622" s="1604" t="s">
        <v>25341</v>
      </c>
      <c r="E1622" s="1604"/>
      <c r="F1622" s="1604"/>
      <c r="G1622" s="1604"/>
      <c r="H1622" s="1604"/>
      <c r="I1622" s="1605"/>
      <c r="J1622" s="1109" t="s">
        <v>24804</v>
      </c>
      <c r="K1622" s="1143">
        <v>74.27</v>
      </c>
      <c r="L1622" s="1624">
        <v>2.1999999999999999E-2</v>
      </c>
      <c r="M1622" s="1625"/>
      <c r="N1622" s="1119">
        <f t="shared" si="24"/>
        <v>1.63</v>
      </c>
    </row>
    <row r="1623" spans="2:14" x14ac:dyDescent="0.3">
      <c r="B1623" s="1115">
        <v>38383</v>
      </c>
      <c r="C1623" s="1116" t="s">
        <v>24706</v>
      </c>
      <c r="D1623" s="1604" t="s">
        <v>25342</v>
      </c>
      <c r="E1623" s="1604"/>
      <c r="F1623" s="1604"/>
      <c r="G1623" s="1604"/>
      <c r="H1623" s="1604"/>
      <c r="I1623" s="1605"/>
      <c r="J1623" s="1109" t="s">
        <v>24804</v>
      </c>
      <c r="K1623" s="1143">
        <v>1.99</v>
      </c>
      <c r="L1623" s="1624">
        <v>2.4E-2</v>
      </c>
      <c r="M1623" s="1625"/>
      <c r="N1623" s="1119">
        <f t="shared" si="24"/>
        <v>0.05</v>
      </c>
    </row>
    <row r="1624" spans="2:14" x14ac:dyDescent="0.3">
      <c r="B1624" s="1115"/>
      <c r="C1624" s="1116"/>
      <c r="D1624" s="1604"/>
      <c r="E1624" s="1604"/>
      <c r="F1624" s="1604"/>
      <c r="G1624" s="1604"/>
      <c r="H1624" s="1604"/>
      <c r="I1624" s="1605"/>
      <c r="J1624" s="1109"/>
      <c r="K1624" s="1109"/>
      <c r="L1624" s="1109"/>
      <c r="M1624" s="1118"/>
      <c r="N1624" s="1119"/>
    </row>
    <row r="1625" spans="2:14" ht="15.75" thickBot="1" x14ac:dyDescent="0.35">
      <c r="B1625" s="855"/>
      <c r="C1625" s="954"/>
      <c r="D1625" s="954"/>
      <c r="E1625" s="954"/>
      <c r="F1625" s="1110"/>
      <c r="G1625" s="1110"/>
      <c r="H1625" s="1110"/>
      <c r="I1625" s="1110"/>
      <c r="J1625" s="1110"/>
      <c r="K1625" s="1110"/>
      <c r="L1625" s="1110"/>
      <c r="M1625" s="1111" t="s">
        <v>24696</v>
      </c>
      <c r="N1625" s="1112">
        <f>SUM(N1620:N1623)</f>
        <v>26.48</v>
      </c>
    </row>
    <row r="1626" spans="2:14" ht="15.75" thickBot="1" x14ac:dyDescent="0.35">
      <c r="B1626" s="850"/>
      <c r="C1626" s="461"/>
      <c r="D1626" s="461"/>
      <c r="E1626" s="461"/>
      <c r="F1626" s="461"/>
      <c r="G1626" s="461"/>
      <c r="H1626" s="461"/>
      <c r="I1626" s="461"/>
      <c r="J1626" s="461"/>
      <c r="K1626" s="461"/>
      <c r="L1626" s="461"/>
      <c r="M1626" s="461"/>
      <c r="N1626" s="1113"/>
    </row>
    <row r="1627" spans="2:14" ht="30" x14ac:dyDescent="0.3">
      <c r="B1627" s="1104" t="s">
        <v>0</v>
      </c>
      <c r="C1627" s="1106" t="s">
        <v>24673</v>
      </c>
      <c r="D1627" s="1593" t="s">
        <v>24697</v>
      </c>
      <c r="E1627" s="1593"/>
      <c r="F1627" s="1593"/>
      <c r="G1627" s="1593"/>
      <c r="H1627" s="1593"/>
      <c r="I1627" s="1594"/>
      <c r="J1627" s="1106" t="s">
        <v>3686</v>
      </c>
      <c r="K1627" s="1106" t="s">
        <v>24695</v>
      </c>
      <c r="L1627" s="1106"/>
      <c r="M1627" s="1106" t="s">
        <v>24683</v>
      </c>
      <c r="N1627" s="1114" t="s">
        <v>24689</v>
      </c>
    </row>
    <row r="1628" spans="2:14" x14ac:dyDescent="0.3">
      <c r="B1628" s="1127"/>
      <c r="C1628" s="1128"/>
      <c r="D1628" s="1604"/>
      <c r="E1628" s="1604"/>
      <c r="F1628" s="1604"/>
      <c r="G1628" s="1604"/>
      <c r="H1628" s="1604"/>
      <c r="I1628" s="1605"/>
      <c r="J1628" s="462"/>
      <c r="K1628" s="462"/>
      <c r="L1628" s="462"/>
      <c r="M1628" s="1147"/>
      <c r="N1628" s="1130"/>
    </row>
    <row r="1629" spans="2:14" ht="15.75" thickBot="1" x14ac:dyDescent="0.35">
      <c r="B1629" s="855"/>
      <c r="C1629" s="954"/>
      <c r="D1629" s="954"/>
      <c r="E1629" s="954"/>
      <c r="F1629" s="1110"/>
      <c r="G1629" s="1110"/>
      <c r="H1629" s="1110"/>
      <c r="I1629" s="1110"/>
      <c r="J1629" s="1110"/>
      <c r="K1629" s="1110"/>
      <c r="L1629" s="1110"/>
      <c r="M1629" s="1111" t="s">
        <v>24698</v>
      </c>
      <c r="N1629" s="1112">
        <f>SUM(N1628:N1628)</f>
        <v>0</v>
      </c>
    </row>
    <row r="1630" spans="2:14" ht="15.75" thickBot="1" x14ac:dyDescent="0.35">
      <c r="B1630" s="850"/>
      <c r="C1630" s="461"/>
      <c r="D1630" s="461"/>
      <c r="E1630" s="461"/>
      <c r="F1630" s="461"/>
      <c r="G1630" s="461"/>
      <c r="H1630" s="461"/>
      <c r="I1630" s="461"/>
      <c r="J1630" s="461"/>
      <c r="K1630" s="461"/>
      <c r="L1630" s="461"/>
      <c r="M1630" s="461"/>
      <c r="N1630" s="1113"/>
    </row>
    <row r="1631" spans="2:14" ht="30" x14ac:dyDescent="0.3">
      <c r="B1631" s="1104" t="s">
        <v>0</v>
      </c>
      <c r="C1631" s="1106" t="s">
        <v>24673</v>
      </c>
      <c r="D1631" s="1593" t="s">
        <v>24699</v>
      </c>
      <c r="E1631" s="1593"/>
      <c r="F1631" s="1593"/>
      <c r="G1631" s="1594"/>
      <c r="H1631" s="1106" t="s">
        <v>3686</v>
      </c>
      <c r="I1631" s="1106" t="s">
        <v>24700</v>
      </c>
      <c r="J1631" s="1106" t="s">
        <v>24701</v>
      </c>
      <c r="K1631" s="1106" t="s">
        <v>24695</v>
      </c>
      <c r="L1631" s="1106"/>
      <c r="M1631" s="1106" t="s">
        <v>24683</v>
      </c>
      <c r="N1631" s="1114" t="s">
        <v>24689</v>
      </c>
    </row>
    <row r="1632" spans="2:14" x14ac:dyDescent="0.3">
      <c r="B1632" s="1115"/>
      <c r="C1632" s="1116"/>
      <c r="D1632" s="1595"/>
      <c r="E1632" s="1595"/>
      <c r="F1632" s="1595"/>
      <c r="G1632" s="1595"/>
      <c r="H1632" s="1109"/>
      <c r="I1632" s="1109"/>
      <c r="J1632" s="1109"/>
      <c r="K1632" s="1109"/>
      <c r="L1632" s="1109"/>
      <c r="M1632" s="1118"/>
      <c r="N1632" s="1119"/>
    </row>
    <row r="1633" spans="2:14" x14ac:dyDescent="0.3">
      <c r="B1633" s="850"/>
      <c r="C1633" s="461"/>
      <c r="D1633" s="461"/>
      <c r="E1633" s="461"/>
      <c r="F1633" s="1120"/>
      <c r="G1633" s="1120"/>
      <c r="H1633" s="1120"/>
      <c r="I1633" s="1120"/>
      <c r="J1633" s="1120"/>
      <c r="K1633" s="1120"/>
      <c r="L1633" s="1120"/>
      <c r="M1633" s="1121" t="s">
        <v>24702</v>
      </c>
      <c r="N1633" s="1122">
        <f>SUM(N1632:N1632)</f>
        <v>0</v>
      </c>
    </row>
    <row r="1634" spans="2:14" x14ac:dyDescent="0.3">
      <c r="B1634" s="850"/>
      <c r="C1634" s="461"/>
      <c r="D1634" s="461"/>
      <c r="E1634" s="461"/>
      <c r="F1634" s="461"/>
      <c r="G1634" s="461"/>
      <c r="H1634" s="461"/>
      <c r="I1634" s="461"/>
      <c r="J1634" s="461"/>
      <c r="K1634" s="461"/>
      <c r="L1634" s="461"/>
      <c r="M1634" s="461"/>
      <c r="N1634" s="1113"/>
    </row>
    <row r="1635" spans="2:14" x14ac:dyDescent="0.3">
      <c r="B1635" s="1131"/>
      <c r="C1635" s="1132"/>
      <c r="D1635" s="1132"/>
      <c r="E1635" s="1132"/>
      <c r="F1635" s="1133"/>
      <c r="G1635" s="1133"/>
      <c r="H1635" s="1133"/>
      <c r="I1635" s="1133"/>
      <c r="J1635" s="1133"/>
      <c r="K1635" s="1133"/>
      <c r="L1635" s="1133"/>
      <c r="M1635" s="1134" t="s">
        <v>24703</v>
      </c>
      <c r="N1635" s="1123">
        <f>N1617+N1625+N1629+N1633</f>
        <v>31.69</v>
      </c>
    </row>
    <row r="1636" spans="2:14" x14ac:dyDescent="0.3">
      <c r="B1636" s="850"/>
      <c r="C1636" s="461"/>
      <c r="D1636" s="461"/>
      <c r="E1636" s="461"/>
      <c r="F1636" s="1120"/>
      <c r="G1636" s="1120"/>
      <c r="H1636" s="1120"/>
      <c r="I1636" s="1120"/>
      <c r="J1636" s="1120"/>
      <c r="K1636" s="1120"/>
      <c r="L1636" s="1120"/>
      <c r="M1636" s="1136">
        <f>'QUIOSQUE - MOD 01'!I3</f>
        <v>0.28220000000000001</v>
      </c>
      <c r="N1636" s="1123">
        <f>N1635*M1636</f>
        <v>8.94</v>
      </c>
    </row>
    <row r="1637" spans="2:14" ht="15.75" thickBot="1" x14ac:dyDescent="0.35">
      <c r="B1637" s="1599" t="s">
        <v>24704</v>
      </c>
      <c r="C1637" s="1600"/>
      <c r="D1637" s="1600"/>
      <c r="E1637" s="1600"/>
      <c r="F1637" s="1600"/>
      <c r="G1637" s="1600"/>
      <c r="H1637" s="1600"/>
      <c r="I1637" s="1600"/>
      <c r="J1637" s="1600"/>
      <c r="K1637" s="1600"/>
      <c r="L1637" s="1600"/>
      <c r="M1637" s="1601"/>
      <c r="N1637" s="1126">
        <f>N1635+N1636</f>
        <v>40.630000000000003</v>
      </c>
    </row>
    <row r="1639" spans="2:14" ht="15.75" thickBot="1" x14ac:dyDescent="0.35"/>
    <row r="1640" spans="2:14" ht="50.25" customHeight="1" x14ac:dyDescent="0.3">
      <c r="B1640" s="1607" t="s">
        <v>24920</v>
      </c>
      <c r="C1640" s="1608"/>
      <c r="D1640" s="1609"/>
      <c r="E1640" s="1610" t="s">
        <v>24669</v>
      </c>
      <c r="F1640" s="1610"/>
      <c r="G1640" s="1610"/>
      <c r="H1640" s="1610"/>
      <c r="I1640" s="1610"/>
      <c r="J1640" s="1610"/>
      <c r="K1640" s="1610"/>
      <c r="L1640" s="1146"/>
      <c r="M1640" s="1611"/>
      <c r="N1640" s="1577"/>
    </row>
    <row r="1641" spans="2:14" x14ac:dyDescent="0.3">
      <c r="B1641" s="1103" t="s">
        <v>24670</v>
      </c>
      <c r="C1641" s="1586" t="s">
        <v>25351</v>
      </c>
      <c r="D1641" s="1586"/>
      <c r="E1641" s="1586"/>
      <c r="F1641" s="1586"/>
      <c r="G1641" s="1586"/>
      <c r="H1641" s="1586"/>
      <c r="I1641" s="1586"/>
      <c r="J1641" s="1586"/>
      <c r="K1641" s="1586"/>
      <c r="L1641" s="1586"/>
      <c r="M1641" s="1586"/>
      <c r="N1641" s="1587"/>
    </row>
    <row r="1642" spans="2:14" x14ac:dyDescent="0.3">
      <c r="B1642" s="1103" t="s">
        <v>24671</v>
      </c>
      <c r="C1642" s="1588" t="s">
        <v>24804</v>
      </c>
      <c r="D1642" s="1588"/>
      <c r="E1642" s="1588"/>
      <c r="F1642" s="1588"/>
      <c r="G1642" s="1588"/>
      <c r="H1642" s="1588"/>
      <c r="I1642" s="1588"/>
      <c r="J1642" s="1588"/>
      <c r="K1642" s="1588"/>
      <c r="L1642" s="1588"/>
      <c r="M1642" s="1588"/>
      <c r="N1642" s="1589"/>
    </row>
    <row r="1643" spans="2:14" ht="15.75" thickBot="1" x14ac:dyDescent="0.35">
      <c r="B1643" s="1103" t="s">
        <v>24672</v>
      </c>
      <c r="C1643" s="1590">
        <v>44501</v>
      </c>
      <c r="D1643" s="1591"/>
      <c r="E1643" s="1591"/>
      <c r="F1643" s="1591"/>
      <c r="G1643" s="1591"/>
      <c r="H1643" s="1591"/>
      <c r="I1643" s="1591"/>
      <c r="J1643" s="1591"/>
      <c r="K1643" s="1591"/>
      <c r="L1643" s="1591"/>
      <c r="M1643" s="1591"/>
      <c r="N1643" s="1592"/>
    </row>
    <row r="1644" spans="2:14" ht="30" x14ac:dyDescent="0.3">
      <c r="B1644" s="1104" t="s">
        <v>0</v>
      </c>
      <c r="C1644" s="1105" t="s">
        <v>24673</v>
      </c>
      <c r="D1644" s="1593" t="s">
        <v>24674</v>
      </c>
      <c r="E1644" s="1593"/>
      <c r="F1644" s="1593"/>
      <c r="G1644" s="1594"/>
      <c r="H1644" s="1106" t="s">
        <v>111</v>
      </c>
      <c r="I1644" s="1106" t="s">
        <v>24675</v>
      </c>
      <c r="J1644" s="1106" t="s">
        <v>24676</v>
      </c>
      <c r="K1644" s="1106" t="s">
        <v>24677</v>
      </c>
      <c r="L1644" s="1106"/>
      <c r="M1644" s="1106" t="s">
        <v>24678</v>
      </c>
      <c r="N1644" s="1114" t="s">
        <v>24679</v>
      </c>
    </row>
    <row r="1645" spans="2:14" x14ac:dyDescent="0.3">
      <c r="B1645" s="1115"/>
      <c r="C1645" s="1108"/>
      <c r="D1645" s="1595"/>
      <c r="E1645" s="1595"/>
      <c r="F1645" s="1595"/>
      <c r="G1645" s="1596"/>
      <c r="H1645" s="1109"/>
      <c r="I1645" s="1109"/>
      <c r="J1645" s="1109"/>
      <c r="K1645" s="1109"/>
      <c r="L1645" s="1109"/>
      <c r="M1645" s="1109"/>
      <c r="N1645" s="1119"/>
    </row>
    <row r="1646" spans="2:14" ht="15.75" thickBot="1" x14ac:dyDescent="0.35">
      <c r="B1646" s="855"/>
      <c r="C1646" s="954"/>
      <c r="D1646" s="954"/>
      <c r="E1646" s="954"/>
      <c r="F1646" s="1110"/>
      <c r="G1646" s="1110"/>
      <c r="H1646" s="1110"/>
      <c r="I1646" s="1110"/>
      <c r="J1646" s="1110"/>
      <c r="K1646" s="1110"/>
      <c r="L1646" s="1110"/>
      <c r="M1646" s="1111" t="s">
        <v>24680</v>
      </c>
      <c r="N1646" s="1112">
        <f>SUM(N1645)</f>
        <v>0</v>
      </c>
    </row>
    <row r="1647" spans="2:14" ht="15.75" thickBot="1" x14ac:dyDescent="0.35">
      <c r="B1647" s="850"/>
      <c r="C1647" s="461"/>
      <c r="D1647" s="461"/>
      <c r="E1647" s="461"/>
      <c r="F1647" s="461"/>
      <c r="G1647" s="461"/>
      <c r="H1647" s="461"/>
      <c r="I1647" s="461"/>
      <c r="J1647" s="461"/>
      <c r="K1647" s="461"/>
      <c r="L1647" s="461"/>
      <c r="M1647" s="461"/>
      <c r="N1647" s="1113"/>
    </row>
    <row r="1648" spans="2:14" ht="45" x14ac:dyDescent="0.3">
      <c r="B1648" s="1104" t="s">
        <v>0</v>
      </c>
      <c r="C1648" s="1105" t="s">
        <v>24673</v>
      </c>
      <c r="D1648" s="1593" t="s">
        <v>24681</v>
      </c>
      <c r="E1648" s="1593"/>
      <c r="F1648" s="1593"/>
      <c r="G1648" s="1593"/>
      <c r="H1648" s="1594"/>
      <c r="I1648" s="1106" t="s">
        <v>3686</v>
      </c>
      <c r="J1648" s="1106" t="s">
        <v>24682</v>
      </c>
      <c r="K1648" s="1106" t="s">
        <v>24861</v>
      </c>
      <c r="L1648" s="1106" t="s">
        <v>24862</v>
      </c>
      <c r="M1648" s="1106" t="s">
        <v>24683</v>
      </c>
      <c r="N1648" s="1114" t="s">
        <v>24679</v>
      </c>
    </row>
    <row r="1649" spans="2:14" x14ac:dyDescent="0.3">
      <c r="B1649" s="1115">
        <v>246</v>
      </c>
      <c r="C1649" s="1116" t="s">
        <v>24706</v>
      </c>
      <c r="D1649" s="1604" t="s">
        <v>25338</v>
      </c>
      <c r="E1649" s="1604"/>
      <c r="F1649" s="1604"/>
      <c r="G1649" s="1604"/>
      <c r="H1649" s="1605"/>
      <c r="I1649" s="1109" t="s">
        <v>75</v>
      </c>
      <c r="J1649" s="1117">
        <v>1.5727</v>
      </c>
      <c r="K1649" s="1143">
        <v>11.34</v>
      </c>
      <c r="L1649" s="1143">
        <f>K1649*(1+J1649)</f>
        <v>29.17</v>
      </c>
      <c r="M1649" s="1118">
        <v>0.129</v>
      </c>
      <c r="N1649" s="1119">
        <f>L1649*M1649</f>
        <v>3.76</v>
      </c>
    </row>
    <row r="1650" spans="2:14" x14ac:dyDescent="0.3">
      <c r="B1650" s="1115">
        <v>10118</v>
      </c>
      <c r="C1650" s="1116" t="s">
        <v>4389</v>
      </c>
      <c r="D1650" s="1604" t="s">
        <v>400</v>
      </c>
      <c r="E1650" s="1604"/>
      <c r="F1650" s="1604"/>
      <c r="G1650" s="1604"/>
      <c r="H1650" s="1605"/>
      <c r="I1650" s="1109" t="s">
        <v>75</v>
      </c>
      <c r="J1650" s="1117">
        <v>1.5727</v>
      </c>
      <c r="K1650" s="1143">
        <v>7.43</v>
      </c>
      <c r="L1650" s="1143">
        <f>K1650*(1+J1650)</f>
        <v>19.12</v>
      </c>
      <c r="M1650" s="1118">
        <v>0.129</v>
      </c>
      <c r="N1650" s="1119">
        <f>L1650*M1650</f>
        <v>2.4700000000000002</v>
      </c>
    </row>
    <row r="1651" spans="2:14" ht="15.75" thickBot="1" x14ac:dyDescent="0.35">
      <c r="B1651" s="855"/>
      <c r="C1651" s="954"/>
      <c r="D1651" s="954"/>
      <c r="E1651" s="954"/>
      <c r="F1651" s="1110"/>
      <c r="G1651" s="1110"/>
      <c r="H1651" s="1110"/>
      <c r="I1651" s="1110"/>
      <c r="J1651" s="1110"/>
      <c r="K1651" s="1110"/>
      <c r="L1651" s="1110"/>
      <c r="M1651" s="1111" t="s">
        <v>24684</v>
      </c>
      <c r="N1651" s="1112">
        <f>SUM(N1649:N1650)</f>
        <v>6.23</v>
      </c>
    </row>
    <row r="1652" spans="2:14" ht="15.75" thickBot="1" x14ac:dyDescent="0.35">
      <c r="B1652" s="850"/>
      <c r="C1652" s="461"/>
      <c r="D1652" s="461"/>
      <c r="E1652" s="461"/>
      <c r="F1652" s="461"/>
      <c r="G1652" s="461"/>
      <c r="H1652" s="461"/>
      <c r="I1652" s="1120"/>
      <c r="J1652" s="1120"/>
      <c r="K1652" s="461"/>
      <c r="L1652" s="461"/>
      <c r="M1652" s="461"/>
      <c r="N1652" s="1113"/>
    </row>
    <row r="1653" spans="2:14" ht="30" x14ac:dyDescent="0.3">
      <c r="B1653" s="1104" t="s">
        <v>0</v>
      </c>
      <c r="C1653" s="1105" t="s">
        <v>24673</v>
      </c>
      <c r="D1653" s="1593" t="s">
        <v>24685</v>
      </c>
      <c r="E1653" s="1593"/>
      <c r="F1653" s="1593"/>
      <c r="G1653" s="1593"/>
      <c r="H1653" s="1594"/>
      <c r="I1653" s="1106" t="s">
        <v>2858</v>
      </c>
      <c r="J1653" s="1106" t="s">
        <v>24686</v>
      </c>
      <c r="K1653" s="1106" t="s">
        <v>24687</v>
      </c>
      <c r="L1653" s="1106"/>
      <c r="M1653" s="1106" t="s">
        <v>24688</v>
      </c>
      <c r="N1653" s="1114" t="s">
        <v>24689</v>
      </c>
    </row>
    <row r="1654" spans="2:14" x14ac:dyDescent="0.3">
      <c r="B1654" s="1115"/>
      <c r="C1654" s="1116"/>
      <c r="D1654" s="1604"/>
      <c r="E1654" s="1604"/>
      <c r="F1654" s="1604"/>
      <c r="G1654" s="1604"/>
      <c r="H1654" s="1605"/>
      <c r="I1654" s="1109"/>
      <c r="J1654" s="1109"/>
      <c r="K1654" s="1109"/>
      <c r="L1654" s="1109"/>
      <c r="M1654" s="1109"/>
      <c r="N1654" s="1119"/>
    </row>
    <row r="1655" spans="2:14" x14ac:dyDescent="0.3">
      <c r="B1655" s="850"/>
      <c r="C1655" s="461"/>
      <c r="D1655" s="461"/>
      <c r="E1655" s="461"/>
      <c r="F1655" s="1120"/>
      <c r="G1655" s="1120"/>
      <c r="H1655" s="1120"/>
      <c r="I1655" s="1120"/>
      <c r="J1655" s="1120"/>
      <c r="K1655" s="1120"/>
      <c r="L1655" s="1120"/>
      <c r="M1655" s="1121" t="s">
        <v>24690</v>
      </c>
      <c r="N1655" s="1122">
        <f>SUM(N1654:N1654)</f>
        <v>0</v>
      </c>
    </row>
    <row r="1656" spans="2:14" x14ac:dyDescent="0.3">
      <c r="B1656" s="850"/>
      <c r="C1656" s="461"/>
      <c r="D1656" s="461"/>
      <c r="E1656" s="461"/>
      <c r="F1656" s="461"/>
      <c r="G1656" s="461"/>
      <c r="H1656" s="461"/>
      <c r="I1656" s="461"/>
      <c r="J1656" s="461"/>
      <c r="K1656" s="461"/>
      <c r="L1656" s="461"/>
      <c r="M1656" s="461"/>
      <c r="N1656" s="1113"/>
    </row>
    <row r="1657" spans="2:14" x14ac:dyDescent="0.3">
      <c r="B1657" s="850"/>
      <c r="C1657" s="461"/>
      <c r="D1657" s="461"/>
      <c r="E1657" s="461"/>
      <c r="F1657" s="1120"/>
      <c r="G1657" s="1120"/>
      <c r="H1657" s="1120"/>
      <c r="I1657" s="863"/>
      <c r="J1657" s="863"/>
      <c r="K1657" s="863"/>
      <c r="L1657" s="863"/>
      <c r="M1657" s="1121" t="s">
        <v>24691</v>
      </c>
      <c r="N1657" s="1123">
        <f>N1646+N1651+N1655</f>
        <v>6.23</v>
      </c>
    </row>
    <row r="1658" spans="2:14" x14ac:dyDescent="0.3">
      <c r="B1658" s="850"/>
      <c r="C1658" s="461"/>
      <c r="D1658" s="461"/>
      <c r="E1658" s="461"/>
      <c r="F1658" s="1120"/>
      <c r="G1658" s="1120"/>
      <c r="H1658" s="1120"/>
      <c r="I1658" s="1120"/>
      <c r="J1658" s="1124"/>
      <c r="K1658" s="1124"/>
      <c r="L1658" s="1124"/>
      <c r="M1658" s="1125" t="s">
        <v>24692</v>
      </c>
      <c r="N1658" s="1123">
        <v>1</v>
      </c>
    </row>
    <row r="1659" spans="2:14" ht="15.75" thickBot="1" x14ac:dyDescent="0.35">
      <c r="B1659" s="855"/>
      <c r="C1659" s="954"/>
      <c r="D1659" s="954"/>
      <c r="E1659" s="954"/>
      <c r="F1659" s="1110"/>
      <c r="G1659" s="1110"/>
      <c r="H1659" s="1110"/>
      <c r="I1659" s="1110"/>
      <c r="J1659" s="1110"/>
      <c r="K1659" s="1110"/>
      <c r="L1659" s="1110"/>
      <c r="M1659" s="1111" t="s">
        <v>24693</v>
      </c>
      <c r="N1659" s="1126">
        <f>TRUNC(N1657/N1658,2)</f>
        <v>6.23</v>
      </c>
    </row>
    <row r="1660" spans="2:14" ht="15.75" thickBot="1" x14ac:dyDescent="0.35">
      <c r="B1660" s="850"/>
      <c r="C1660" s="461"/>
      <c r="D1660" s="461"/>
      <c r="E1660" s="461"/>
      <c r="F1660" s="461"/>
      <c r="G1660" s="461"/>
      <c r="H1660" s="461"/>
      <c r="I1660" s="461"/>
      <c r="J1660" s="461"/>
      <c r="K1660" s="461"/>
      <c r="L1660" s="461"/>
      <c r="M1660" s="461"/>
      <c r="N1660" s="1113"/>
    </row>
    <row r="1661" spans="2:14" ht="30" x14ac:dyDescent="0.3">
      <c r="B1661" s="1104" t="s">
        <v>0</v>
      </c>
      <c r="C1661" s="1105" t="s">
        <v>24673</v>
      </c>
      <c r="D1661" s="1593" t="s">
        <v>24694</v>
      </c>
      <c r="E1661" s="1593"/>
      <c r="F1661" s="1593"/>
      <c r="G1661" s="1593"/>
      <c r="H1661" s="1593"/>
      <c r="I1661" s="1594"/>
      <c r="J1661" s="1106" t="s">
        <v>3686</v>
      </c>
      <c r="K1661" s="1106" t="s">
        <v>24695</v>
      </c>
      <c r="L1661" s="1614" t="s">
        <v>24683</v>
      </c>
      <c r="M1661" s="1615"/>
      <c r="N1661" s="1114" t="s">
        <v>24689</v>
      </c>
    </row>
    <row r="1662" spans="2:14" ht="36" customHeight="1" x14ac:dyDescent="0.3">
      <c r="B1662" s="1115">
        <v>1955</v>
      </c>
      <c r="C1662" s="1116" t="s">
        <v>24706</v>
      </c>
      <c r="D1662" s="1604" t="s">
        <v>25352</v>
      </c>
      <c r="E1662" s="1604"/>
      <c r="F1662" s="1604"/>
      <c r="G1662" s="1604"/>
      <c r="H1662" s="1604"/>
      <c r="I1662" s="1605"/>
      <c r="J1662" s="1109" t="s">
        <v>24804</v>
      </c>
      <c r="K1662" s="1143">
        <v>3.72</v>
      </c>
      <c r="L1662" s="1624">
        <v>1</v>
      </c>
      <c r="M1662" s="1625"/>
      <c r="N1662" s="1119">
        <f>K1662*L1662</f>
        <v>3.72</v>
      </c>
    </row>
    <row r="1663" spans="2:14" x14ac:dyDescent="0.3">
      <c r="B1663" s="1115">
        <v>122</v>
      </c>
      <c r="C1663" s="1116" t="s">
        <v>24706</v>
      </c>
      <c r="D1663" s="1604" t="s">
        <v>25340</v>
      </c>
      <c r="E1663" s="1604"/>
      <c r="F1663" s="1604"/>
      <c r="G1663" s="1604"/>
      <c r="H1663" s="1604"/>
      <c r="I1663" s="1605"/>
      <c r="J1663" s="1109" t="s">
        <v>24804</v>
      </c>
      <c r="K1663" s="1143">
        <v>65.55</v>
      </c>
      <c r="L1663" s="1624">
        <v>6.0000000000000001E-3</v>
      </c>
      <c r="M1663" s="1625"/>
      <c r="N1663" s="1119">
        <f t="shared" ref="N1663:N1665" si="25">K1663*L1663</f>
        <v>0.39</v>
      </c>
    </row>
    <row r="1664" spans="2:14" x14ac:dyDescent="0.3">
      <c r="B1664" s="1115">
        <v>20083</v>
      </c>
      <c r="C1664" s="1116" t="s">
        <v>24706</v>
      </c>
      <c r="D1664" s="1604" t="s">
        <v>25341</v>
      </c>
      <c r="E1664" s="1604"/>
      <c r="F1664" s="1604"/>
      <c r="G1664" s="1604"/>
      <c r="H1664" s="1604"/>
      <c r="I1664" s="1605"/>
      <c r="J1664" s="1109" t="s">
        <v>24804</v>
      </c>
      <c r="K1664" s="1143">
        <v>74.27</v>
      </c>
      <c r="L1664" s="1624">
        <v>6.0000000000000001E-3</v>
      </c>
      <c r="M1664" s="1625"/>
      <c r="N1664" s="1119">
        <f t="shared" si="25"/>
        <v>0.45</v>
      </c>
    </row>
    <row r="1665" spans="2:14" x14ac:dyDescent="0.3">
      <c r="B1665" s="1115">
        <v>38383</v>
      </c>
      <c r="C1665" s="1116" t="s">
        <v>24706</v>
      </c>
      <c r="D1665" s="1604" t="s">
        <v>25342</v>
      </c>
      <c r="E1665" s="1604"/>
      <c r="F1665" s="1604"/>
      <c r="G1665" s="1604"/>
      <c r="H1665" s="1604"/>
      <c r="I1665" s="1605"/>
      <c r="J1665" s="1109" t="s">
        <v>24804</v>
      </c>
      <c r="K1665" s="1143">
        <v>1.99</v>
      </c>
      <c r="L1665" s="1624">
        <v>4.2999999999999997E-2</v>
      </c>
      <c r="M1665" s="1625"/>
      <c r="N1665" s="1119">
        <f t="shared" si="25"/>
        <v>0.09</v>
      </c>
    </row>
    <row r="1666" spans="2:14" x14ac:dyDescent="0.3">
      <c r="B1666" s="1115"/>
      <c r="C1666" s="1116"/>
      <c r="D1666" s="1604"/>
      <c r="E1666" s="1604"/>
      <c r="F1666" s="1604"/>
      <c r="G1666" s="1604"/>
      <c r="H1666" s="1604"/>
      <c r="I1666" s="1605"/>
      <c r="J1666" s="1109"/>
      <c r="K1666" s="1109"/>
      <c r="L1666" s="1109"/>
      <c r="M1666" s="1118"/>
      <c r="N1666" s="1119"/>
    </row>
    <row r="1667" spans="2:14" ht="15.75" thickBot="1" x14ac:dyDescent="0.35">
      <c r="B1667" s="855"/>
      <c r="C1667" s="954"/>
      <c r="D1667" s="954"/>
      <c r="E1667" s="954"/>
      <c r="F1667" s="1110"/>
      <c r="G1667" s="1110"/>
      <c r="H1667" s="1110"/>
      <c r="I1667" s="1110"/>
      <c r="J1667" s="1110"/>
      <c r="K1667" s="1110"/>
      <c r="L1667" s="1110"/>
      <c r="M1667" s="1111" t="s">
        <v>24696</v>
      </c>
      <c r="N1667" s="1112">
        <f>SUM(N1662:N1665)</f>
        <v>4.6500000000000004</v>
      </c>
    </row>
    <row r="1668" spans="2:14" ht="15.75" thickBot="1" x14ac:dyDescent="0.35">
      <c r="B1668" s="850"/>
      <c r="C1668" s="461"/>
      <c r="D1668" s="461"/>
      <c r="E1668" s="461"/>
      <c r="F1668" s="461"/>
      <c r="G1668" s="461"/>
      <c r="H1668" s="461"/>
      <c r="I1668" s="461"/>
      <c r="J1668" s="461"/>
      <c r="K1668" s="461"/>
      <c r="L1668" s="461"/>
      <c r="M1668" s="461"/>
      <c r="N1668" s="1113"/>
    </row>
    <row r="1669" spans="2:14" ht="30" x14ac:dyDescent="0.3">
      <c r="B1669" s="1104" t="s">
        <v>0</v>
      </c>
      <c r="C1669" s="1106" t="s">
        <v>24673</v>
      </c>
      <c r="D1669" s="1593" t="s">
        <v>24697</v>
      </c>
      <c r="E1669" s="1593"/>
      <c r="F1669" s="1593"/>
      <c r="G1669" s="1593"/>
      <c r="H1669" s="1593"/>
      <c r="I1669" s="1594"/>
      <c r="J1669" s="1106" t="s">
        <v>3686</v>
      </c>
      <c r="K1669" s="1106" t="s">
        <v>24695</v>
      </c>
      <c r="L1669" s="1106"/>
      <c r="M1669" s="1106" t="s">
        <v>24683</v>
      </c>
      <c r="N1669" s="1114" t="s">
        <v>24689</v>
      </c>
    </row>
    <row r="1670" spans="2:14" x14ac:dyDescent="0.3">
      <c r="B1670" s="1127"/>
      <c r="C1670" s="1128"/>
      <c r="D1670" s="1604"/>
      <c r="E1670" s="1604"/>
      <c r="F1670" s="1604"/>
      <c r="G1670" s="1604"/>
      <c r="H1670" s="1604"/>
      <c r="I1670" s="1605"/>
      <c r="J1670" s="462"/>
      <c r="K1670" s="462"/>
      <c r="L1670" s="462"/>
      <c r="M1670" s="1147"/>
      <c r="N1670" s="1130"/>
    </row>
    <row r="1671" spans="2:14" ht="15.75" thickBot="1" x14ac:dyDescent="0.35">
      <c r="B1671" s="855"/>
      <c r="C1671" s="954"/>
      <c r="D1671" s="954"/>
      <c r="E1671" s="954"/>
      <c r="F1671" s="1110"/>
      <c r="G1671" s="1110"/>
      <c r="H1671" s="1110"/>
      <c r="I1671" s="1110"/>
      <c r="J1671" s="1110"/>
      <c r="K1671" s="1110"/>
      <c r="L1671" s="1110"/>
      <c r="M1671" s="1111" t="s">
        <v>24698</v>
      </c>
      <c r="N1671" s="1112">
        <f>SUM(N1670:N1670)</f>
        <v>0</v>
      </c>
    </row>
    <row r="1672" spans="2:14" ht="15.75" thickBot="1" x14ac:dyDescent="0.35">
      <c r="B1672" s="850"/>
      <c r="C1672" s="461"/>
      <c r="D1672" s="461"/>
      <c r="E1672" s="461"/>
      <c r="F1672" s="461"/>
      <c r="G1672" s="461"/>
      <c r="H1672" s="461"/>
      <c r="I1672" s="461"/>
      <c r="J1672" s="461"/>
      <c r="K1672" s="461"/>
      <c r="L1672" s="461"/>
      <c r="M1672" s="461"/>
      <c r="N1672" s="1113"/>
    </row>
    <row r="1673" spans="2:14" ht="30" x14ac:dyDescent="0.3">
      <c r="B1673" s="1104" t="s">
        <v>0</v>
      </c>
      <c r="C1673" s="1106" t="s">
        <v>24673</v>
      </c>
      <c r="D1673" s="1593" t="s">
        <v>24699</v>
      </c>
      <c r="E1673" s="1593"/>
      <c r="F1673" s="1593"/>
      <c r="G1673" s="1594"/>
      <c r="H1673" s="1106" t="s">
        <v>3686</v>
      </c>
      <c r="I1673" s="1106" t="s">
        <v>24700</v>
      </c>
      <c r="J1673" s="1106" t="s">
        <v>24701</v>
      </c>
      <c r="K1673" s="1106" t="s">
        <v>24695</v>
      </c>
      <c r="L1673" s="1106"/>
      <c r="M1673" s="1106" t="s">
        <v>24683</v>
      </c>
      <c r="N1673" s="1114" t="s">
        <v>24689</v>
      </c>
    </row>
    <row r="1674" spans="2:14" x14ac:dyDescent="0.3">
      <c r="B1674" s="1115"/>
      <c r="C1674" s="1116"/>
      <c r="D1674" s="1595"/>
      <c r="E1674" s="1595"/>
      <c r="F1674" s="1595"/>
      <c r="G1674" s="1595"/>
      <c r="H1674" s="1109"/>
      <c r="I1674" s="1109"/>
      <c r="J1674" s="1109"/>
      <c r="K1674" s="1109"/>
      <c r="L1674" s="1109"/>
      <c r="M1674" s="1118"/>
      <c r="N1674" s="1119"/>
    </row>
    <row r="1675" spans="2:14" x14ac:dyDescent="0.3">
      <c r="B1675" s="850"/>
      <c r="C1675" s="461"/>
      <c r="D1675" s="461"/>
      <c r="E1675" s="461"/>
      <c r="F1675" s="1120"/>
      <c r="G1675" s="1120"/>
      <c r="H1675" s="1120"/>
      <c r="I1675" s="1120"/>
      <c r="J1675" s="1120"/>
      <c r="K1675" s="1120"/>
      <c r="L1675" s="1120"/>
      <c r="M1675" s="1121" t="s">
        <v>24702</v>
      </c>
      <c r="N1675" s="1122">
        <f>SUM(N1674:N1674)</f>
        <v>0</v>
      </c>
    </row>
    <row r="1676" spans="2:14" x14ac:dyDescent="0.3">
      <c r="B1676" s="850"/>
      <c r="C1676" s="461"/>
      <c r="D1676" s="461"/>
      <c r="E1676" s="461"/>
      <c r="F1676" s="461"/>
      <c r="G1676" s="461"/>
      <c r="H1676" s="461"/>
      <c r="I1676" s="461"/>
      <c r="J1676" s="461"/>
      <c r="K1676" s="461"/>
      <c r="L1676" s="461"/>
      <c r="M1676" s="461"/>
      <c r="N1676" s="1113"/>
    </row>
    <row r="1677" spans="2:14" x14ac:dyDescent="0.3">
      <c r="B1677" s="1131"/>
      <c r="C1677" s="1132"/>
      <c r="D1677" s="1132"/>
      <c r="E1677" s="1132"/>
      <c r="F1677" s="1133"/>
      <c r="G1677" s="1133"/>
      <c r="H1677" s="1133"/>
      <c r="I1677" s="1133"/>
      <c r="J1677" s="1133"/>
      <c r="K1677" s="1133"/>
      <c r="L1677" s="1133"/>
      <c r="M1677" s="1134" t="s">
        <v>24703</v>
      </c>
      <c r="N1677" s="1123">
        <f>N1659+N1667+N1671+N1675</f>
        <v>10.88</v>
      </c>
    </row>
    <row r="1678" spans="2:14" x14ac:dyDescent="0.3">
      <c r="B1678" s="850"/>
      <c r="C1678" s="461"/>
      <c r="D1678" s="461"/>
      <c r="E1678" s="461"/>
      <c r="F1678" s="1120"/>
      <c r="G1678" s="1120"/>
      <c r="H1678" s="1120"/>
      <c r="I1678" s="1120"/>
      <c r="J1678" s="1120"/>
      <c r="K1678" s="1120"/>
      <c r="L1678" s="1120"/>
      <c r="M1678" s="1136">
        <f>'QUIOSQUE - MOD 01'!I3</f>
        <v>0.28220000000000001</v>
      </c>
      <c r="N1678" s="1123">
        <f>N1677*M1678</f>
        <v>3.07</v>
      </c>
    </row>
    <row r="1679" spans="2:14" ht="15.75" thickBot="1" x14ac:dyDescent="0.35">
      <c r="B1679" s="1599" t="s">
        <v>24704</v>
      </c>
      <c r="C1679" s="1600"/>
      <c r="D1679" s="1600"/>
      <c r="E1679" s="1600"/>
      <c r="F1679" s="1600"/>
      <c r="G1679" s="1600"/>
      <c r="H1679" s="1600"/>
      <c r="I1679" s="1600"/>
      <c r="J1679" s="1600"/>
      <c r="K1679" s="1600"/>
      <c r="L1679" s="1600"/>
      <c r="M1679" s="1601"/>
      <c r="N1679" s="1126">
        <f>N1677+N1678</f>
        <v>13.95</v>
      </c>
    </row>
    <row r="1681" spans="2:14" ht="15.75" thickBot="1" x14ac:dyDescent="0.35"/>
    <row r="1682" spans="2:14" ht="51" customHeight="1" x14ac:dyDescent="0.3">
      <c r="B1682" s="1607" t="s">
        <v>24871</v>
      </c>
      <c r="C1682" s="1608"/>
      <c r="D1682" s="1609"/>
      <c r="E1682" s="1610" t="s">
        <v>24669</v>
      </c>
      <c r="F1682" s="1610"/>
      <c r="G1682" s="1610"/>
      <c r="H1682" s="1610"/>
      <c r="I1682" s="1610"/>
      <c r="J1682" s="1610"/>
      <c r="K1682" s="1610"/>
      <c r="L1682" s="1146"/>
      <c r="M1682" s="1611"/>
      <c r="N1682" s="1577"/>
    </row>
    <row r="1683" spans="2:14" x14ac:dyDescent="0.3">
      <c r="B1683" s="1103" t="s">
        <v>24670</v>
      </c>
      <c r="C1683" s="1586" t="s">
        <v>25353</v>
      </c>
      <c r="D1683" s="1586"/>
      <c r="E1683" s="1586"/>
      <c r="F1683" s="1586"/>
      <c r="G1683" s="1586"/>
      <c r="H1683" s="1586"/>
      <c r="I1683" s="1586"/>
      <c r="J1683" s="1586"/>
      <c r="K1683" s="1586"/>
      <c r="L1683" s="1586"/>
      <c r="M1683" s="1586"/>
      <c r="N1683" s="1587"/>
    </row>
    <row r="1684" spans="2:14" x14ac:dyDescent="0.3">
      <c r="B1684" s="1103" t="s">
        <v>24671</v>
      </c>
      <c r="C1684" s="1588" t="s">
        <v>24804</v>
      </c>
      <c r="D1684" s="1588"/>
      <c r="E1684" s="1588"/>
      <c r="F1684" s="1588"/>
      <c r="G1684" s="1588"/>
      <c r="H1684" s="1588"/>
      <c r="I1684" s="1588"/>
      <c r="J1684" s="1588"/>
      <c r="K1684" s="1588"/>
      <c r="L1684" s="1588"/>
      <c r="M1684" s="1588"/>
      <c r="N1684" s="1589"/>
    </row>
    <row r="1685" spans="2:14" ht="15.75" thickBot="1" x14ac:dyDescent="0.35">
      <c r="B1685" s="1103" t="s">
        <v>24672</v>
      </c>
      <c r="C1685" s="1590">
        <v>44501</v>
      </c>
      <c r="D1685" s="1591"/>
      <c r="E1685" s="1591"/>
      <c r="F1685" s="1591"/>
      <c r="G1685" s="1591"/>
      <c r="H1685" s="1591"/>
      <c r="I1685" s="1591"/>
      <c r="J1685" s="1591"/>
      <c r="K1685" s="1591"/>
      <c r="L1685" s="1591"/>
      <c r="M1685" s="1591"/>
      <c r="N1685" s="1592"/>
    </row>
    <row r="1686" spans="2:14" ht="30" x14ac:dyDescent="0.3">
      <c r="B1686" s="1104" t="s">
        <v>0</v>
      </c>
      <c r="C1686" s="1105" t="s">
        <v>24673</v>
      </c>
      <c r="D1686" s="1593" t="s">
        <v>24674</v>
      </c>
      <c r="E1686" s="1593"/>
      <c r="F1686" s="1593"/>
      <c r="G1686" s="1594"/>
      <c r="H1686" s="1106" t="s">
        <v>111</v>
      </c>
      <c r="I1686" s="1106" t="s">
        <v>24675</v>
      </c>
      <c r="J1686" s="1106" t="s">
        <v>24676</v>
      </c>
      <c r="K1686" s="1106" t="s">
        <v>24677</v>
      </c>
      <c r="L1686" s="1106"/>
      <c r="M1686" s="1106" t="s">
        <v>24678</v>
      </c>
      <c r="N1686" s="1114" t="s">
        <v>24679</v>
      </c>
    </row>
    <row r="1687" spans="2:14" x14ac:dyDescent="0.3">
      <c r="B1687" s="1115"/>
      <c r="C1687" s="1108"/>
      <c r="D1687" s="1595"/>
      <c r="E1687" s="1595"/>
      <c r="F1687" s="1595"/>
      <c r="G1687" s="1596"/>
      <c r="H1687" s="1109"/>
      <c r="I1687" s="1109"/>
      <c r="J1687" s="1109"/>
      <c r="K1687" s="1109"/>
      <c r="L1687" s="1109"/>
      <c r="M1687" s="1109"/>
      <c r="N1687" s="1119"/>
    </row>
    <row r="1688" spans="2:14" ht="15.75" thickBot="1" x14ac:dyDescent="0.35">
      <c r="B1688" s="855"/>
      <c r="C1688" s="954"/>
      <c r="D1688" s="954"/>
      <c r="E1688" s="954"/>
      <c r="F1688" s="1110"/>
      <c r="G1688" s="1110"/>
      <c r="H1688" s="1110"/>
      <c r="I1688" s="1110"/>
      <c r="J1688" s="1110"/>
      <c r="K1688" s="1110"/>
      <c r="L1688" s="1110"/>
      <c r="M1688" s="1111" t="s">
        <v>24680</v>
      </c>
      <c r="N1688" s="1112">
        <f>SUM(N1687)</f>
        <v>0</v>
      </c>
    </row>
    <row r="1689" spans="2:14" ht="15.75" thickBot="1" x14ac:dyDescent="0.35">
      <c r="B1689" s="850"/>
      <c r="C1689" s="461"/>
      <c r="D1689" s="461"/>
      <c r="E1689" s="461"/>
      <c r="F1689" s="461"/>
      <c r="G1689" s="461"/>
      <c r="H1689" s="461"/>
      <c r="I1689" s="461"/>
      <c r="J1689" s="461"/>
      <c r="K1689" s="461"/>
      <c r="L1689" s="461"/>
      <c r="M1689" s="461"/>
      <c r="N1689" s="1113"/>
    </row>
    <row r="1690" spans="2:14" ht="45" x14ac:dyDescent="0.3">
      <c r="B1690" s="1104" t="s">
        <v>0</v>
      </c>
      <c r="C1690" s="1105" t="s">
        <v>24673</v>
      </c>
      <c r="D1690" s="1593" t="s">
        <v>24681</v>
      </c>
      <c r="E1690" s="1593"/>
      <c r="F1690" s="1593"/>
      <c r="G1690" s="1593"/>
      <c r="H1690" s="1594"/>
      <c r="I1690" s="1106" t="s">
        <v>3686</v>
      </c>
      <c r="J1690" s="1106" t="s">
        <v>24682</v>
      </c>
      <c r="K1690" s="1106" t="s">
        <v>24861</v>
      </c>
      <c r="L1690" s="1106" t="s">
        <v>24862</v>
      </c>
      <c r="M1690" s="1106" t="s">
        <v>24683</v>
      </c>
      <c r="N1690" s="1114" t="s">
        <v>24679</v>
      </c>
    </row>
    <row r="1691" spans="2:14" x14ac:dyDescent="0.3">
      <c r="B1691" s="1115">
        <v>246</v>
      </c>
      <c r="C1691" s="1116" t="s">
        <v>24706</v>
      </c>
      <c r="D1691" s="1604" t="s">
        <v>25338</v>
      </c>
      <c r="E1691" s="1604"/>
      <c r="F1691" s="1604"/>
      <c r="G1691" s="1604"/>
      <c r="H1691" s="1605"/>
      <c r="I1691" s="1109" t="s">
        <v>75</v>
      </c>
      <c r="J1691" s="1117">
        <v>1.5727</v>
      </c>
      <c r="K1691" s="1143">
        <v>11.34</v>
      </c>
      <c r="L1691" s="1143">
        <f>K1691*(1+J1691)</f>
        <v>29.17</v>
      </c>
      <c r="M1691" s="1118">
        <v>0.17899999999999999</v>
      </c>
      <c r="N1691" s="1119">
        <f>L1691*M1691</f>
        <v>5.22</v>
      </c>
    </row>
    <row r="1692" spans="2:14" x14ac:dyDescent="0.3">
      <c r="B1692" s="1115">
        <v>10118</v>
      </c>
      <c r="C1692" s="1116" t="s">
        <v>4389</v>
      </c>
      <c r="D1692" s="1604" t="s">
        <v>400</v>
      </c>
      <c r="E1692" s="1604"/>
      <c r="F1692" s="1604"/>
      <c r="G1692" s="1604"/>
      <c r="H1692" s="1605"/>
      <c r="I1692" s="1109" t="s">
        <v>75</v>
      </c>
      <c r="J1692" s="1117">
        <v>1.5727</v>
      </c>
      <c r="K1692" s="1143">
        <v>7.43</v>
      </c>
      <c r="L1692" s="1143">
        <f>K1692*(1+J1692)</f>
        <v>19.12</v>
      </c>
      <c r="M1692" s="1118">
        <v>0.17899999999999999</v>
      </c>
      <c r="N1692" s="1119">
        <f>L1692*M1692</f>
        <v>3.42</v>
      </c>
    </row>
    <row r="1693" spans="2:14" ht="15.75" thickBot="1" x14ac:dyDescent="0.35">
      <c r="B1693" s="855"/>
      <c r="C1693" s="954"/>
      <c r="D1693" s="954"/>
      <c r="E1693" s="954"/>
      <c r="F1693" s="1110"/>
      <c r="G1693" s="1110"/>
      <c r="H1693" s="1110"/>
      <c r="I1693" s="1110"/>
      <c r="J1693" s="1110"/>
      <c r="K1693" s="1110"/>
      <c r="L1693" s="1110"/>
      <c r="M1693" s="1111" t="s">
        <v>24684</v>
      </c>
      <c r="N1693" s="1112">
        <f>SUM(N1691:N1692)</f>
        <v>8.64</v>
      </c>
    </row>
    <row r="1694" spans="2:14" ht="15.75" thickBot="1" x14ac:dyDescent="0.35">
      <c r="B1694" s="850"/>
      <c r="C1694" s="461"/>
      <c r="D1694" s="461"/>
      <c r="E1694" s="461"/>
      <c r="F1694" s="461"/>
      <c r="G1694" s="461"/>
      <c r="H1694" s="461"/>
      <c r="I1694" s="1120"/>
      <c r="J1694" s="1120"/>
      <c r="K1694" s="461"/>
      <c r="L1694" s="461"/>
      <c r="M1694" s="461"/>
      <c r="N1694" s="1113"/>
    </row>
    <row r="1695" spans="2:14" ht="30" x14ac:dyDescent="0.3">
      <c r="B1695" s="1104" t="s">
        <v>0</v>
      </c>
      <c r="C1695" s="1105" t="s">
        <v>24673</v>
      </c>
      <c r="D1695" s="1593" t="s">
        <v>24685</v>
      </c>
      <c r="E1695" s="1593"/>
      <c r="F1695" s="1593"/>
      <c r="G1695" s="1593"/>
      <c r="H1695" s="1594"/>
      <c r="I1695" s="1106" t="s">
        <v>2858</v>
      </c>
      <c r="J1695" s="1106" t="s">
        <v>24686</v>
      </c>
      <c r="K1695" s="1106" t="s">
        <v>24687</v>
      </c>
      <c r="L1695" s="1106"/>
      <c r="M1695" s="1106" t="s">
        <v>24688</v>
      </c>
      <c r="N1695" s="1114" t="s">
        <v>24689</v>
      </c>
    </row>
    <row r="1696" spans="2:14" x14ac:dyDescent="0.3">
      <c r="B1696" s="1115"/>
      <c r="C1696" s="1116"/>
      <c r="D1696" s="1604"/>
      <c r="E1696" s="1604"/>
      <c r="F1696" s="1604"/>
      <c r="G1696" s="1604"/>
      <c r="H1696" s="1605"/>
      <c r="I1696" s="1109"/>
      <c r="J1696" s="1109"/>
      <c r="K1696" s="1109"/>
      <c r="L1696" s="1109"/>
      <c r="M1696" s="1109"/>
      <c r="N1696" s="1119"/>
    </row>
    <row r="1697" spans="2:14" x14ac:dyDescent="0.3">
      <c r="B1697" s="850"/>
      <c r="C1697" s="461"/>
      <c r="D1697" s="461"/>
      <c r="E1697" s="461"/>
      <c r="F1697" s="1120"/>
      <c r="G1697" s="1120"/>
      <c r="H1697" s="1120"/>
      <c r="I1697" s="1120"/>
      <c r="J1697" s="1120"/>
      <c r="K1697" s="1120"/>
      <c r="L1697" s="1120"/>
      <c r="M1697" s="1121" t="s">
        <v>24690</v>
      </c>
      <c r="N1697" s="1122">
        <f>SUM(N1696:N1696)</f>
        <v>0</v>
      </c>
    </row>
    <row r="1698" spans="2:14" x14ac:dyDescent="0.3">
      <c r="B1698" s="850"/>
      <c r="C1698" s="461"/>
      <c r="D1698" s="461"/>
      <c r="E1698" s="461"/>
      <c r="F1698" s="461"/>
      <c r="G1698" s="461"/>
      <c r="H1698" s="461"/>
      <c r="I1698" s="461"/>
      <c r="J1698" s="461"/>
      <c r="K1698" s="461"/>
      <c r="L1698" s="461"/>
      <c r="M1698" s="461"/>
      <c r="N1698" s="1113"/>
    </row>
    <row r="1699" spans="2:14" x14ac:dyDescent="0.3">
      <c r="B1699" s="850"/>
      <c r="C1699" s="461"/>
      <c r="D1699" s="461"/>
      <c r="E1699" s="461"/>
      <c r="F1699" s="1120"/>
      <c r="G1699" s="1120"/>
      <c r="H1699" s="1120"/>
      <c r="I1699" s="863"/>
      <c r="J1699" s="863"/>
      <c r="K1699" s="863"/>
      <c r="L1699" s="863"/>
      <c r="M1699" s="1121" t="s">
        <v>24691</v>
      </c>
      <c r="N1699" s="1123">
        <f>N1688+N1693+N1697</f>
        <v>8.64</v>
      </c>
    </row>
    <row r="1700" spans="2:14" x14ac:dyDescent="0.3">
      <c r="B1700" s="850"/>
      <c r="C1700" s="461"/>
      <c r="D1700" s="461"/>
      <c r="E1700" s="461"/>
      <c r="F1700" s="1120"/>
      <c r="G1700" s="1120"/>
      <c r="H1700" s="1120"/>
      <c r="I1700" s="1120"/>
      <c r="J1700" s="1124"/>
      <c r="K1700" s="1124"/>
      <c r="L1700" s="1124"/>
      <c r="M1700" s="1125" t="s">
        <v>24692</v>
      </c>
      <c r="N1700" s="1123">
        <v>1</v>
      </c>
    </row>
    <row r="1701" spans="2:14" ht="15.75" thickBot="1" x14ac:dyDescent="0.35">
      <c r="B1701" s="855"/>
      <c r="C1701" s="954"/>
      <c r="D1701" s="954"/>
      <c r="E1701" s="954"/>
      <c r="F1701" s="1110"/>
      <c r="G1701" s="1110"/>
      <c r="H1701" s="1110"/>
      <c r="I1701" s="1110"/>
      <c r="J1701" s="1110"/>
      <c r="K1701" s="1110"/>
      <c r="L1701" s="1110"/>
      <c r="M1701" s="1111" t="s">
        <v>24693</v>
      </c>
      <c r="N1701" s="1126">
        <f>TRUNC(N1699/N1700,2)</f>
        <v>8.64</v>
      </c>
    </row>
    <row r="1702" spans="2:14" ht="15.75" thickBot="1" x14ac:dyDescent="0.35">
      <c r="B1702" s="850"/>
      <c r="C1702" s="461"/>
      <c r="D1702" s="461"/>
      <c r="E1702" s="461"/>
      <c r="F1702" s="461"/>
      <c r="G1702" s="461"/>
      <c r="H1702" s="461"/>
      <c r="I1702" s="461"/>
      <c r="J1702" s="461"/>
      <c r="K1702" s="461"/>
      <c r="L1702" s="461"/>
      <c r="M1702" s="461"/>
      <c r="N1702" s="1113"/>
    </row>
    <row r="1703" spans="2:14" ht="30" x14ac:dyDescent="0.3">
      <c r="B1703" s="1104" t="s">
        <v>0</v>
      </c>
      <c r="C1703" s="1105" t="s">
        <v>24673</v>
      </c>
      <c r="D1703" s="1593" t="s">
        <v>24694</v>
      </c>
      <c r="E1703" s="1593"/>
      <c r="F1703" s="1593"/>
      <c r="G1703" s="1593"/>
      <c r="H1703" s="1593"/>
      <c r="I1703" s="1594"/>
      <c r="J1703" s="1106" t="s">
        <v>3686</v>
      </c>
      <c r="K1703" s="1106" t="s">
        <v>24695</v>
      </c>
      <c r="L1703" s="1614" t="s">
        <v>24683</v>
      </c>
      <c r="M1703" s="1615"/>
      <c r="N1703" s="1114" t="s">
        <v>24689</v>
      </c>
    </row>
    <row r="1704" spans="2:14" ht="32.25" customHeight="1" x14ac:dyDescent="0.3">
      <c r="B1704" s="1115">
        <v>1957</v>
      </c>
      <c r="C1704" s="1116" t="s">
        <v>24706</v>
      </c>
      <c r="D1704" s="1604" t="s">
        <v>25354</v>
      </c>
      <c r="E1704" s="1604"/>
      <c r="F1704" s="1604"/>
      <c r="G1704" s="1604"/>
      <c r="H1704" s="1604"/>
      <c r="I1704" s="1605"/>
      <c r="J1704" s="1109" t="s">
        <v>24804</v>
      </c>
      <c r="K1704" s="1143">
        <v>10.91</v>
      </c>
      <c r="L1704" s="1624">
        <v>1</v>
      </c>
      <c r="M1704" s="1625"/>
      <c r="N1704" s="1119">
        <f>K1704*L1704</f>
        <v>10.91</v>
      </c>
    </row>
    <row r="1705" spans="2:14" x14ac:dyDescent="0.3">
      <c r="B1705" s="1115">
        <v>122</v>
      </c>
      <c r="C1705" s="1116" t="s">
        <v>24706</v>
      </c>
      <c r="D1705" s="1604" t="s">
        <v>25340</v>
      </c>
      <c r="E1705" s="1604"/>
      <c r="F1705" s="1604"/>
      <c r="G1705" s="1604"/>
      <c r="H1705" s="1604"/>
      <c r="I1705" s="1605"/>
      <c r="J1705" s="1109" t="s">
        <v>24804</v>
      </c>
      <c r="K1705" s="1143">
        <v>65.55</v>
      </c>
      <c r="L1705" s="1624">
        <v>8.9999999999999993E-3</v>
      </c>
      <c r="M1705" s="1625"/>
      <c r="N1705" s="1119">
        <f t="shared" ref="N1705:N1707" si="26">K1705*L1705</f>
        <v>0.59</v>
      </c>
    </row>
    <row r="1706" spans="2:14" x14ac:dyDescent="0.3">
      <c r="B1706" s="1115">
        <v>20083</v>
      </c>
      <c r="C1706" s="1116" t="s">
        <v>24706</v>
      </c>
      <c r="D1706" s="1604" t="s">
        <v>25341</v>
      </c>
      <c r="E1706" s="1604"/>
      <c r="F1706" s="1604"/>
      <c r="G1706" s="1604"/>
      <c r="H1706" s="1604"/>
      <c r="I1706" s="1605"/>
      <c r="J1706" s="1109" t="s">
        <v>24804</v>
      </c>
      <c r="K1706" s="1143">
        <v>74.27</v>
      </c>
      <c r="L1706" s="1624">
        <v>1.0999999999999999E-2</v>
      </c>
      <c r="M1706" s="1625"/>
      <c r="N1706" s="1119">
        <f t="shared" si="26"/>
        <v>0.82</v>
      </c>
    </row>
    <row r="1707" spans="2:14" x14ac:dyDescent="0.3">
      <c r="B1707" s="1115">
        <v>38383</v>
      </c>
      <c r="C1707" s="1116" t="s">
        <v>24706</v>
      </c>
      <c r="D1707" s="1604" t="s">
        <v>25342</v>
      </c>
      <c r="E1707" s="1604"/>
      <c r="F1707" s="1604"/>
      <c r="G1707" s="1604"/>
      <c r="H1707" s="1604"/>
      <c r="I1707" s="1605"/>
      <c r="J1707" s="1109" t="s">
        <v>24804</v>
      </c>
      <c r="K1707" s="1143">
        <v>1.99</v>
      </c>
      <c r="L1707" s="1624">
        <v>0.06</v>
      </c>
      <c r="M1707" s="1625"/>
      <c r="N1707" s="1119">
        <f t="shared" si="26"/>
        <v>0.12</v>
      </c>
    </row>
    <row r="1708" spans="2:14" x14ac:dyDescent="0.3">
      <c r="B1708" s="1115"/>
      <c r="C1708" s="1116"/>
      <c r="D1708" s="1604"/>
      <c r="E1708" s="1604"/>
      <c r="F1708" s="1604"/>
      <c r="G1708" s="1604"/>
      <c r="H1708" s="1604"/>
      <c r="I1708" s="1605"/>
      <c r="J1708" s="1109"/>
      <c r="K1708" s="1109"/>
      <c r="L1708" s="1109"/>
      <c r="M1708" s="1118"/>
      <c r="N1708" s="1119"/>
    </row>
    <row r="1709" spans="2:14" ht="15.75" thickBot="1" x14ac:dyDescent="0.35">
      <c r="B1709" s="855"/>
      <c r="C1709" s="954"/>
      <c r="D1709" s="954"/>
      <c r="E1709" s="954"/>
      <c r="F1709" s="1110"/>
      <c r="G1709" s="1110"/>
      <c r="H1709" s="1110"/>
      <c r="I1709" s="1110"/>
      <c r="J1709" s="1110"/>
      <c r="K1709" s="1110"/>
      <c r="L1709" s="1110"/>
      <c r="M1709" s="1111" t="s">
        <v>24696</v>
      </c>
      <c r="N1709" s="1112">
        <f>SUM(N1704:N1707)</f>
        <v>12.44</v>
      </c>
    </row>
    <row r="1710" spans="2:14" ht="15.75" thickBot="1" x14ac:dyDescent="0.35">
      <c r="B1710" s="850"/>
      <c r="C1710" s="461"/>
      <c r="D1710" s="461"/>
      <c r="E1710" s="461"/>
      <c r="F1710" s="461"/>
      <c r="G1710" s="461"/>
      <c r="H1710" s="461"/>
      <c r="I1710" s="461"/>
      <c r="J1710" s="461"/>
      <c r="K1710" s="461"/>
      <c r="L1710" s="461"/>
      <c r="M1710" s="461"/>
      <c r="N1710" s="1113"/>
    </row>
    <row r="1711" spans="2:14" ht="30" x14ac:dyDescent="0.3">
      <c r="B1711" s="1104" t="s">
        <v>0</v>
      </c>
      <c r="C1711" s="1106" t="s">
        <v>24673</v>
      </c>
      <c r="D1711" s="1593" t="s">
        <v>24697</v>
      </c>
      <c r="E1711" s="1593"/>
      <c r="F1711" s="1593"/>
      <c r="G1711" s="1593"/>
      <c r="H1711" s="1593"/>
      <c r="I1711" s="1594"/>
      <c r="J1711" s="1106" t="s">
        <v>3686</v>
      </c>
      <c r="K1711" s="1106" t="s">
        <v>24695</v>
      </c>
      <c r="L1711" s="1106"/>
      <c r="M1711" s="1106" t="s">
        <v>24683</v>
      </c>
      <c r="N1711" s="1114" t="s">
        <v>24689</v>
      </c>
    </row>
    <row r="1712" spans="2:14" x14ac:dyDescent="0.3">
      <c r="B1712" s="1127"/>
      <c r="C1712" s="1128"/>
      <c r="D1712" s="1604"/>
      <c r="E1712" s="1604"/>
      <c r="F1712" s="1604"/>
      <c r="G1712" s="1604"/>
      <c r="H1712" s="1604"/>
      <c r="I1712" s="1605"/>
      <c r="J1712" s="462"/>
      <c r="K1712" s="462"/>
      <c r="L1712" s="462"/>
      <c r="M1712" s="1147"/>
      <c r="N1712" s="1130"/>
    </row>
    <row r="1713" spans="2:14" ht="15.75" thickBot="1" x14ac:dyDescent="0.35">
      <c r="B1713" s="855"/>
      <c r="C1713" s="954"/>
      <c r="D1713" s="954"/>
      <c r="E1713" s="954"/>
      <c r="F1713" s="1110"/>
      <c r="G1713" s="1110"/>
      <c r="H1713" s="1110"/>
      <c r="I1713" s="1110"/>
      <c r="J1713" s="1110"/>
      <c r="K1713" s="1110"/>
      <c r="L1713" s="1110"/>
      <c r="M1713" s="1111" t="s">
        <v>24698</v>
      </c>
      <c r="N1713" s="1112">
        <f>SUM(N1712:N1712)</f>
        <v>0</v>
      </c>
    </row>
    <row r="1714" spans="2:14" ht="15.75" thickBot="1" x14ac:dyDescent="0.35">
      <c r="B1714" s="850"/>
      <c r="C1714" s="461"/>
      <c r="D1714" s="461"/>
      <c r="E1714" s="461"/>
      <c r="F1714" s="461"/>
      <c r="G1714" s="461"/>
      <c r="H1714" s="461"/>
      <c r="I1714" s="461"/>
      <c r="J1714" s="461"/>
      <c r="K1714" s="461"/>
      <c r="L1714" s="461"/>
      <c r="M1714" s="461"/>
      <c r="N1714" s="1113"/>
    </row>
    <row r="1715" spans="2:14" ht="30" x14ac:dyDescent="0.3">
      <c r="B1715" s="1104" t="s">
        <v>0</v>
      </c>
      <c r="C1715" s="1106" t="s">
        <v>24673</v>
      </c>
      <c r="D1715" s="1593" t="s">
        <v>24699</v>
      </c>
      <c r="E1715" s="1593"/>
      <c r="F1715" s="1593"/>
      <c r="G1715" s="1594"/>
      <c r="H1715" s="1106" t="s">
        <v>3686</v>
      </c>
      <c r="I1715" s="1106" t="s">
        <v>24700</v>
      </c>
      <c r="J1715" s="1106" t="s">
        <v>24701</v>
      </c>
      <c r="K1715" s="1106" t="s">
        <v>24695</v>
      </c>
      <c r="L1715" s="1106"/>
      <c r="M1715" s="1106" t="s">
        <v>24683</v>
      </c>
      <c r="N1715" s="1114" t="s">
        <v>24689</v>
      </c>
    </row>
    <row r="1716" spans="2:14" x14ac:dyDescent="0.3">
      <c r="B1716" s="1115"/>
      <c r="C1716" s="1116"/>
      <c r="D1716" s="1595"/>
      <c r="E1716" s="1595"/>
      <c r="F1716" s="1595"/>
      <c r="G1716" s="1595"/>
      <c r="H1716" s="1109"/>
      <c r="I1716" s="1109"/>
      <c r="J1716" s="1109"/>
      <c r="K1716" s="1109"/>
      <c r="L1716" s="1109"/>
      <c r="M1716" s="1118"/>
      <c r="N1716" s="1119"/>
    </row>
    <row r="1717" spans="2:14" x14ac:dyDescent="0.3">
      <c r="B1717" s="850"/>
      <c r="C1717" s="461"/>
      <c r="D1717" s="461"/>
      <c r="E1717" s="461"/>
      <c r="F1717" s="1120"/>
      <c r="G1717" s="1120"/>
      <c r="H1717" s="1120"/>
      <c r="I1717" s="1120"/>
      <c r="J1717" s="1120"/>
      <c r="K1717" s="1120"/>
      <c r="L1717" s="1120"/>
      <c r="M1717" s="1121" t="s">
        <v>24702</v>
      </c>
      <c r="N1717" s="1122">
        <f>SUM(N1716:N1716)</f>
        <v>0</v>
      </c>
    </row>
    <row r="1718" spans="2:14" x14ac:dyDescent="0.3">
      <c r="B1718" s="850"/>
      <c r="C1718" s="461"/>
      <c r="D1718" s="461"/>
      <c r="E1718" s="461"/>
      <c r="F1718" s="461"/>
      <c r="G1718" s="461"/>
      <c r="H1718" s="461"/>
      <c r="I1718" s="461"/>
      <c r="J1718" s="461"/>
      <c r="K1718" s="461"/>
      <c r="L1718" s="461"/>
      <c r="M1718" s="461"/>
      <c r="N1718" s="1113"/>
    </row>
    <row r="1719" spans="2:14" x14ac:dyDescent="0.3">
      <c r="B1719" s="1131"/>
      <c r="C1719" s="1132"/>
      <c r="D1719" s="1132"/>
      <c r="E1719" s="1132"/>
      <c r="F1719" s="1133"/>
      <c r="G1719" s="1133"/>
      <c r="H1719" s="1133"/>
      <c r="I1719" s="1133"/>
      <c r="J1719" s="1133"/>
      <c r="K1719" s="1133"/>
      <c r="L1719" s="1133"/>
      <c r="M1719" s="1134" t="s">
        <v>24703</v>
      </c>
      <c r="N1719" s="1123">
        <f>N1701+N1709+N1713+N1717</f>
        <v>21.08</v>
      </c>
    </row>
    <row r="1720" spans="2:14" x14ac:dyDescent="0.3">
      <c r="B1720" s="850"/>
      <c r="C1720" s="461"/>
      <c r="D1720" s="461"/>
      <c r="E1720" s="461"/>
      <c r="F1720" s="1120"/>
      <c r="G1720" s="1120"/>
      <c r="H1720" s="1120"/>
      <c r="I1720" s="1120"/>
      <c r="J1720" s="1120"/>
      <c r="K1720" s="1120"/>
      <c r="L1720" s="1120"/>
      <c r="M1720" s="1136">
        <f>'QUIOSQUE - MOD 01'!I3</f>
        <v>0.28220000000000001</v>
      </c>
      <c r="N1720" s="1123">
        <f>N1719*M1720</f>
        <v>5.95</v>
      </c>
    </row>
    <row r="1721" spans="2:14" ht="15.75" thickBot="1" x14ac:dyDescent="0.35">
      <c r="B1721" s="1599" t="s">
        <v>24704</v>
      </c>
      <c r="C1721" s="1600"/>
      <c r="D1721" s="1600"/>
      <c r="E1721" s="1600"/>
      <c r="F1721" s="1600"/>
      <c r="G1721" s="1600"/>
      <c r="H1721" s="1600"/>
      <c r="I1721" s="1600"/>
      <c r="J1721" s="1600"/>
      <c r="K1721" s="1600"/>
      <c r="L1721" s="1600"/>
      <c r="M1721" s="1601"/>
      <c r="N1721" s="1126">
        <f>N1719+N1720</f>
        <v>27.03</v>
      </c>
    </row>
    <row r="1723" spans="2:14" ht="15.75" thickBot="1" x14ac:dyDescent="0.35"/>
    <row r="1724" spans="2:14" ht="47.25" customHeight="1" x14ac:dyDescent="0.3">
      <c r="B1724" s="1607" t="s">
        <v>24872</v>
      </c>
      <c r="C1724" s="1608"/>
      <c r="D1724" s="1609"/>
      <c r="E1724" s="1610" t="s">
        <v>24669</v>
      </c>
      <c r="F1724" s="1610"/>
      <c r="G1724" s="1610"/>
      <c r="H1724" s="1610"/>
      <c r="I1724" s="1610"/>
      <c r="J1724" s="1610"/>
      <c r="K1724" s="1610"/>
      <c r="L1724" s="1146"/>
      <c r="M1724" s="1611"/>
      <c r="N1724" s="1577"/>
    </row>
    <row r="1725" spans="2:14" x14ac:dyDescent="0.3">
      <c r="B1725" s="1103" t="s">
        <v>24670</v>
      </c>
      <c r="C1725" s="1586" t="s">
        <v>25355</v>
      </c>
      <c r="D1725" s="1586"/>
      <c r="E1725" s="1586"/>
      <c r="F1725" s="1586"/>
      <c r="G1725" s="1586"/>
      <c r="H1725" s="1586"/>
      <c r="I1725" s="1586"/>
      <c r="J1725" s="1586"/>
      <c r="K1725" s="1586"/>
      <c r="L1725" s="1586"/>
      <c r="M1725" s="1586"/>
      <c r="N1725" s="1587"/>
    </row>
    <row r="1726" spans="2:14" x14ac:dyDescent="0.3">
      <c r="B1726" s="1103" t="s">
        <v>24671</v>
      </c>
      <c r="C1726" s="1588" t="s">
        <v>24804</v>
      </c>
      <c r="D1726" s="1588"/>
      <c r="E1726" s="1588"/>
      <c r="F1726" s="1588"/>
      <c r="G1726" s="1588"/>
      <c r="H1726" s="1588"/>
      <c r="I1726" s="1588"/>
      <c r="J1726" s="1588"/>
      <c r="K1726" s="1588"/>
      <c r="L1726" s="1588"/>
      <c r="M1726" s="1588"/>
      <c r="N1726" s="1589"/>
    </row>
    <row r="1727" spans="2:14" ht="15.75" thickBot="1" x14ac:dyDescent="0.35">
      <c r="B1727" s="1103" t="s">
        <v>24672</v>
      </c>
      <c r="C1727" s="1590">
        <v>44501</v>
      </c>
      <c r="D1727" s="1591"/>
      <c r="E1727" s="1591"/>
      <c r="F1727" s="1591"/>
      <c r="G1727" s="1591"/>
      <c r="H1727" s="1591"/>
      <c r="I1727" s="1591"/>
      <c r="J1727" s="1591"/>
      <c r="K1727" s="1591"/>
      <c r="L1727" s="1591"/>
      <c r="M1727" s="1591"/>
      <c r="N1727" s="1592"/>
    </row>
    <row r="1728" spans="2:14" ht="30" x14ac:dyDescent="0.3">
      <c r="B1728" s="1104" t="s">
        <v>0</v>
      </c>
      <c r="C1728" s="1105" t="s">
        <v>24673</v>
      </c>
      <c r="D1728" s="1593" t="s">
        <v>24674</v>
      </c>
      <c r="E1728" s="1593"/>
      <c r="F1728" s="1593"/>
      <c r="G1728" s="1594"/>
      <c r="H1728" s="1106" t="s">
        <v>111</v>
      </c>
      <c r="I1728" s="1106" t="s">
        <v>24675</v>
      </c>
      <c r="J1728" s="1106" t="s">
        <v>24676</v>
      </c>
      <c r="K1728" s="1106" t="s">
        <v>24677</v>
      </c>
      <c r="L1728" s="1106"/>
      <c r="M1728" s="1106" t="s">
        <v>24678</v>
      </c>
      <c r="N1728" s="1114" t="s">
        <v>24679</v>
      </c>
    </row>
    <row r="1729" spans="2:14" x14ac:dyDescent="0.3">
      <c r="B1729" s="1115"/>
      <c r="C1729" s="1108"/>
      <c r="D1729" s="1595"/>
      <c r="E1729" s="1595"/>
      <c r="F1729" s="1595"/>
      <c r="G1729" s="1596"/>
      <c r="H1729" s="1109"/>
      <c r="I1729" s="1109"/>
      <c r="J1729" s="1109"/>
      <c r="K1729" s="1109"/>
      <c r="L1729" s="1109"/>
      <c r="M1729" s="1109"/>
      <c r="N1729" s="1119"/>
    </row>
    <row r="1730" spans="2:14" ht="15.75" thickBot="1" x14ac:dyDescent="0.35">
      <c r="B1730" s="855"/>
      <c r="C1730" s="954"/>
      <c r="D1730" s="954"/>
      <c r="E1730" s="954"/>
      <c r="F1730" s="1110"/>
      <c r="G1730" s="1110"/>
      <c r="H1730" s="1110"/>
      <c r="I1730" s="1110"/>
      <c r="J1730" s="1110"/>
      <c r="K1730" s="1110"/>
      <c r="L1730" s="1110"/>
      <c r="M1730" s="1111" t="s">
        <v>24680</v>
      </c>
      <c r="N1730" s="1112">
        <f>SUM(N1729)</f>
        <v>0</v>
      </c>
    </row>
    <row r="1731" spans="2:14" ht="15.75" thickBot="1" x14ac:dyDescent="0.35">
      <c r="B1731" s="850"/>
      <c r="C1731" s="461"/>
      <c r="D1731" s="461"/>
      <c r="E1731" s="461"/>
      <c r="F1731" s="461"/>
      <c r="G1731" s="461"/>
      <c r="H1731" s="461"/>
      <c r="I1731" s="461"/>
      <c r="J1731" s="461"/>
      <c r="K1731" s="461"/>
      <c r="L1731" s="461"/>
      <c r="M1731" s="461"/>
      <c r="N1731" s="1113"/>
    </row>
    <row r="1732" spans="2:14" ht="45" x14ac:dyDescent="0.3">
      <c r="B1732" s="1104" t="s">
        <v>0</v>
      </c>
      <c r="C1732" s="1105" t="s">
        <v>24673</v>
      </c>
      <c r="D1732" s="1593" t="s">
        <v>24681</v>
      </c>
      <c r="E1732" s="1593"/>
      <c r="F1732" s="1593"/>
      <c r="G1732" s="1593"/>
      <c r="H1732" s="1594"/>
      <c r="I1732" s="1106" t="s">
        <v>3686</v>
      </c>
      <c r="J1732" s="1106" t="s">
        <v>24682</v>
      </c>
      <c r="K1732" s="1106" t="s">
        <v>24861</v>
      </c>
      <c r="L1732" s="1106" t="s">
        <v>24862</v>
      </c>
      <c r="M1732" s="1106" t="s">
        <v>24683</v>
      </c>
      <c r="N1732" s="1114" t="s">
        <v>24679</v>
      </c>
    </row>
    <row r="1733" spans="2:14" x14ac:dyDescent="0.3">
      <c r="B1733" s="1115">
        <v>246</v>
      </c>
      <c r="C1733" s="1116" t="s">
        <v>24706</v>
      </c>
      <c r="D1733" s="1604" t="s">
        <v>25338</v>
      </c>
      <c r="E1733" s="1604"/>
      <c r="F1733" s="1604"/>
      <c r="G1733" s="1604"/>
      <c r="H1733" s="1605"/>
      <c r="I1733" s="1109" t="s">
        <v>75</v>
      </c>
      <c r="J1733" s="1117">
        <v>1.5727</v>
      </c>
      <c r="K1733" s="1143">
        <v>11.34</v>
      </c>
      <c r="L1733" s="1143">
        <f>K1733*(1+J1733)</f>
        <v>29.17</v>
      </c>
      <c r="M1733" s="1118">
        <v>0.108</v>
      </c>
      <c r="N1733" s="1119">
        <f>L1733*M1733</f>
        <v>3.15</v>
      </c>
    </row>
    <row r="1734" spans="2:14" x14ac:dyDescent="0.3">
      <c r="B1734" s="1115">
        <v>10118</v>
      </c>
      <c r="C1734" s="1116" t="s">
        <v>4389</v>
      </c>
      <c r="D1734" s="1604" t="s">
        <v>400</v>
      </c>
      <c r="E1734" s="1604"/>
      <c r="F1734" s="1604"/>
      <c r="G1734" s="1604"/>
      <c r="H1734" s="1605"/>
      <c r="I1734" s="1109" t="s">
        <v>75</v>
      </c>
      <c r="J1734" s="1117">
        <v>1.5727</v>
      </c>
      <c r="K1734" s="1143">
        <v>7.43</v>
      </c>
      <c r="L1734" s="1143">
        <f>K1734*(1+J1734)</f>
        <v>19.12</v>
      </c>
      <c r="M1734" s="1118">
        <v>0.108</v>
      </c>
      <c r="N1734" s="1119">
        <f>L1734*M1734</f>
        <v>2.06</v>
      </c>
    </row>
    <row r="1735" spans="2:14" ht="15.75" thickBot="1" x14ac:dyDescent="0.35">
      <c r="B1735" s="855"/>
      <c r="C1735" s="954"/>
      <c r="D1735" s="954"/>
      <c r="E1735" s="954"/>
      <c r="F1735" s="1110"/>
      <c r="G1735" s="1110"/>
      <c r="H1735" s="1110"/>
      <c r="I1735" s="1110"/>
      <c r="J1735" s="1110"/>
      <c r="K1735" s="1110"/>
      <c r="L1735" s="1110"/>
      <c r="M1735" s="1111" t="s">
        <v>24684</v>
      </c>
      <c r="N1735" s="1112">
        <f>SUM(N1733:N1734)</f>
        <v>5.21</v>
      </c>
    </row>
    <row r="1736" spans="2:14" ht="15.75" thickBot="1" x14ac:dyDescent="0.35">
      <c r="B1736" s="850"/>
      <c r="C1736" s="461"/>
      <c r="D1736" s="461"/>
      <c r="E1736" s="461"/>
      <c r="F1736" s="461"/>
      <c r="G1736" s="461"/>
      <c r="H1736" s="461"/>
      <c r="I1736" s="1120"/>
      <c r="J1736" s="1120"/>
      <c r="K1736" s="461"/>
      <c r="L1736" s="461"/>
      <c r="M1736" s="461"/>
      <c r="N1736" s="1113"/>
    </row>
    <row r="1737" spans="2:14" ht="30" x14ac:dyDescent="0.3">
      <c r="B1737" s="1104" t="s">
        <v>0</v>
      </c>
      <c r="C1737" s="1105" t="s">
        <v>24673</v>
      </c>
      <c r="D1737" s="1593" t="s">
        <v>24685</v>
      </c>
      <c r="E1737" s="1593"/>
      <c r="F1737" s="1593"/>
      <c r="G1737" s="1593"/>
      <c r="H1737" s="1594"/>
      <c r="I1737" s="1106" t="s">
        <v>2858</v>
      </c>
      <c r="J1737" s="1106" t="s">
        <v>24686</v>
      </c>
      <c r="K1737" s="1106" t="s">
        <v>24687</v>
      </c>
      <c r="L1737" s="1106"/>
      <c r="M1737" s="1106" t="s">
        <v>24688</v>
      </c>
      <c r="N1737" s="1114" t="s">
        <v>24689</v>
      </c>
    </row>
    <row r="1738" spans="2:14" x14ac:dyDescent="0.3">
      <c r="B1738" s="1115"/>
      <c r="C1738" s="1116"/>
      <c r="D1738" s="1604"/>
      <c r="E1738" s="1604"/>
      <c r="F1738" s="1604"/>
      <c r="G1738" s="1604"/>
      <c r="H1738" s="1605"/>
      <c r="I1738" s="1109"/>
      <c r="J1738" s="1109"/>
      <c r="K1738" s="1109"/>
      <c r="L1738" s="1109"/>
      <c r="M1738" s="1109"/>
      <c r="N1738" s="1119"/>
    </row>
    <row r="1739" spans="2:14" x14ac:dyDescent="0.3">
      <c r="B1739" s="850"/>
      <c r="C1739" s="461"/>
      <c r="D1739" s="461"/>
      <c r="E1739" s="461"/>
      <c r="F1739" s="1120"/>
      <c r="G1739" s="1120"/>
      <c r="H1739" s="1120"/>
      <c r="I1739" s="1120"/>
      <c r="J1739" s="1120"/>
      <c r="K1739" s="1120"/>
      <c r="L1739" s="1120"/>
      <c r="M1739" s="1121" t="s">
        <v>24690</v>
      </c>
      <c r="N1739" s="1122">
        <f>SUM(N1738:N1738)</f>
        <v>0</v>
      </c>
    </row>
    <row r="1740" spans="2:14" x14ac:dyDescent="0.3">
      <c r="B1740" s="850"/>
      <c r="C1740" s="461"/>
      <c r="D1740" s="461"/>
      <c r="E1740" s="461"/>
      <c r="F1740" s="461"/>
      <c r="G1740" s="461"/>
      <c r="H1740" s="461"/>
      <c r="I1740" s="461"/>
      <c r="J1740" s="461"/>
      <c r="K1740" s="461"/>
      <c r="L1740" s="461"/>
      <c r="M1740" s="461"/>
      <c r="N1740" s="1113"/>
    </row>
    <row r="1741" spans="2:14" x14ac:dyDescent="0.3">
      <c r="B1741" s="850"/>
      <c r="C1741" s="461"/>
      <c r="D1741" s="461"/>
      <c r="E1741" s="461"/>
      <c r="F1741" s="1120"/>
      <c r="G1741" s="1120"/>
      <c r="H1741" s="1120"/>
      <c r="I1741" s="863"/>
      <c r="J1741" s="863"/>
      <c r="K1741" s="863"/>
      <c r="L1741" s="863"/>
      <c r="M1741" s="1121" t="s">
        <v>24691</v>
      </c>
      <c r="N1741" s="1123">
        <f>N1730+N1735+N1739</f>
        <v>5.21</v>
      </c>
    </row>
    <row r="1742" spans="2:14" x14ac:dyDescent="0.3">
      <c r="B1742" s="850"/>
      <c r="C1742" s="461"/>
      <c r="D1742" s="461"/>
      <c r="E1742" s="461"/>
      <c r="F1742" s="1120"/>
      <c r="G1742" s="1120"/>
      <c r="H1742" s="1120"/>
      <c r="I1742" s="1120"/>
      <c r="J1742" s="1124"/>
      <c r="K1742" s="1124"/>
      <c r="L1742" s="1124"/>
      <c r="M1742" s="1125" t="s">
        <v>24692</v>
      </c>
      <c r="N1742" s="1123">
        <v>1</v>
      </c>
    </row>
    <row r="1743" spans="2:14" ht="15.75" thickBot="1" x14ac:dyDescent="0.35">
      <c r="B1743" s="855"/>
      <c r="C1743" s="954"/>
      <c r="D1743" s="954"/>
      <c r="E1743" s="954"/>
      <c r="F1743" s="1110"/>
      <c r="G1743" s="1110"/>
      <c r="H1743" s="1110"/>
      <c r="I1743" s="1110"/>
      <c r="J1743" s="1110"/>
      <c r="K1743" s="1110"/>
      <c r="L1743" s="1110"/>
      <c r="M1743" s="1111" t="s">
        <v>24693</v>
      </c>
      <c r="N1743" s="1126">
        <f>TRUNC(N1741/N1742,2)</f>
        <v>5.21</v>
      </c>
    </row>
    <row r="1744" spans="2:14" ht="15.75" thickBot="1" x14ac:dyDescent="0.35">
      <c r="B1744" s="850"/>
      <c r="C1744" s="461"/>
      <c r="D1744" s="461"/>
      <c r="E1744" s="461"/>
      <c r="F1744" s="461"/>
      <c r="G1744" s="461"/>
      <c r="H1744" s="461"/>
      <c r="I1744" s="461"/>
      <c r="J1744" s="461"/>
      <c r="K1744" s="461"/>
      <c r="L1744" s="461"/>
      <c r="M1744" s="461"/>
      <c r="N1744" s="1113"/>
    </row>
    <row r="1745" spans="2:14" ht="30" x14ac:dyDescent="0.3">
      <c r="B1745" s="1104" t="s">
        <v>0</v>
      </c>
      <c r="C1745" s="1105" t="s">
        <v>24673</v>
      </c>
      <c r="D1745" s="1593" t="s">
        <v>24694</v>
      </c>
      <c r="E1745" s="1593"/>
      <c r="F1745" s="1593"/>
      <c r="G1745" s="1593"/>
      <c r="H1745" s="1593"/>
      <c r="I1745" s="1594"/>
      <c r="J1745" s="1106" t="s">
        <v>3686</v>
      </c>
      <c r="K1745" s="1106" t="s">
        <v>24695</v>
      </c>
      <c r="L1745" s="1614" t="s">
        <v>24683</v>
      </c>
      <c r="M1745" s="1615"/>
      <c r="N1745" s="1114" t="s">
        <v>24689</v>
      </c>
    </row>
    <row r="1746" spans="2:14" ht="33" customHeight="1" x14ac:dyDescent="0.3">
      <c r="B1746" s="1115">
        <v>3540</v>
      </c>
      <c r="C1746" s="1116" t="s">
        <v>24706</v>
      </c>
      <c r="D1746" s="1604" t="s">
        <v>25356</v>
      </c>
      <c r="E1746" s="1604"/>
      <c r="F1746" s="1604"/>
      <c r="G1746" s="1604"/>
      <c r="H1746" s="1604"/>
      <c r="I1746" s="1605"/>
      <c r="J1746" s="1109" t="s">
        <v>24804</v>
      </c>
      <c r="K1746" s="1143">
        <v>8.77</v>
      </c>
      <c r="L1746" s="1624">
        <v>1</v>
      </c>
      <c r="M1746" s="1625"/>
      <c r="N1746" s="1119">
        <f>K1746*L1746</f>
        <v>8.77</v>
      </c>
    </row>
    <row r="1747" spans="2:14" x14ac:dyDescent="0.3">
      <c r="B1747" s="1115">
        <v>122</v>
      </c>
      <c r="C1747" s="1116" t="s">
        <v>24706</v>
      </c>
      <c r="D1747" s="1604" t="s">
        <v>25340</v>
      </c>
      <c r="E1747" s="1604"/>
      <c r="F1747" s="1604"/>
      <c r="G1747" s="1604"/>
      <c r="H1747" s="1604"/>
      <c r="I1747" s="1605"/>
      <c r="J1747" s="1109" t="s">
        <v>24804</v>
      </c>
      <c r="K1747" s="1143">
        <v>65.55</v>
      </c>
      <c r="L1747" s="1624">
        <v>1.7999999999999999E-2</v>
      </c>
      <c r="M1747" s="1625"/>
      <c r="N1747" s="1119">
        <f t="shared" ref="N1747:N1749" si="27">K1747*L1747</f>
        <v>1.18</v>
      </c>
    </row>
    <row r="1748" spans="2:14" x14ac:dyDescent="0.3">
      <c r="B1748" s="1115">
        <v>20083</v>
      </c>
      <c r="C1748" s="1116" t="s">
        <v>24706</v>
      </c>
      <c r="D1748" s="1604" t="s">
        <v>25341</v>
      </c>
      <c r="E1748" s="1604"/>
      <c r="F1748" s="1604"/>
      <c r="G1748" s="1604"/>
      <c r="H1748" s="1604"/>
      <c r="I1748" s="1605"/>
      <c r="J1748" s="1109" t="s">
        <v>24804</v>
      </c>
      <c r="K1748" s="1143">
        <v>74.27</v>
      </c>
      <c r="L1748" s="1624">
        <v>2.1999999999999999E-2</v>
      </c>
      <c r="M1748" s="1625"/>
      <c r="N1748" s="1119">
        <f t="shared" si="27"/>
        <v>1.63</v>
      </c>
    </row>
    <row r="1749" spans="2:14" x14ac:dyDescent="0.3">
      <c r="B1749" s="1115">
        <v>38383</v>
      </c>
      <c r="C1749" s="1116" t="s">
        <v>24706</v>
      </c>
      <c r="D1749" s="1604" t="s">
        <v>25342</v>
      </c>
      <c r="E1749" s="1604"/>
      <c r="F1749" s="1604"/>
      <c r="G1749" s="1604"/>
      <c r="H1749" s="1604"/>
      <c r="I1749" s="1605"/>
      <c r="J1749" s="1109" t="s">
        <v>24804</v>
      </c>
      <c r="K1749" s="1143">
        <v>1.99</v>
      </c>
      <c r="L1749" s="1624">
        <v>2.4E-2</v>
      </c>
      <c r="M1749" s="1625"/>
      <c r="N1749" s="1119">
        <f t="shared" si="27"/>
        <v>0.05</v>
      </c>
    </row>
    <row r="1750" spans="2:14" x14ac:dyDescent="0.3">
      <c r="B1750" s="1115"/>
      <c r="C1750" s="1116"/>
      <c r="D1750" s="1604"/>
      <c r="E1750" s="1604"/>
      <c r="F1750" s="1604"/>
      <c r="G1750" s="1604"/>
      <c r="H1750" s="1604"/>
      <c r="I1750" s="1605"/>
      <c r="J1750" s="1109"/>
      <c r="K1750" s="1109"/>
      <c r="L1750" s="1109"/>
      <c r="M1750" s="1118"/>
      <c r="N1750" s="1119"/>
    </row>
    <row r="1751" spans="2:14" ht="15.75" thickBot="1" x14ac:dyDescent="0.35">
      <c r="B1751" s="855"/>
      <c r="C1751" s="954"/>
      <c r="D1751" s="954"/>
      <c r="E1751" s="954"/>
      <c r="F1751" s="1110"/>
      <c r="G1751" s="1110"/>
      <c r="H1751" s="1110"/>
      <c r="I1751" s="1110"/>
      <c r="J1751" s="1110"/>
      <c r="K1751" s="1110"/>
      <c r="L1751" s="1110"/>
      <c r="M1751" s="1111" t="s">
        <v>24696</v>
      </c>
      <c r="N1751" s="1112">
        <f>SUM(N1746:N1749)</f>
        <v>11.63</v>
      </c>
    </row>
    <row r="1752" spans="2:14" ht="15.75" thickBot="1" x14ac:dyDescent="0.35">
      <c r="B1752" s="850"/>
      <c r="C1752" s="461"/>
      <c r="D1752" s="461"/>
      <c r="E1752" s="461"/>
      <c r="F1752" s="461"/>
      <c r="G1752" s="461"/>
      <c r="H1752" s="461"/>
      <c r="I1752" s="461"/>
      <c r="J1752" s="461"/>
      <c r="K1752" s="461"/>
      <c r="L1752" s="461"/>
      <c r="M1752" s="461"/>
      <c r="N1752" s="1113"/>
    </row>
    <row r="1753" spans="2:14" ht="30" x14ac:dyDescent="0.3">
      <c r="B1753" s="1104" t="s">
        <v>0</v>
      </c>
      <c r="C1753" s="1106" t="s">
        <v>24673</v>
      </c>
      <c r="D1753" s="1593" t="s">
        <v>24697</v>
      </c>
      <c r="E1753" s="1593"/>
      <c r="F1753" s="1593"/>
      <c r="G1753" s="1593"/>
      <c r="H1753" s="1593"/>
      <c r="I1753" s="1594"/>
      <c r="J1753" s="1106" t="s">
        <v>3686</v>
      </c>
      <c r="K1753" s="1106" t="s">
        <v>24695</v>
      </c>
      <c r="L1753" s="1106"/>
      <c r="M1753" s="1106" t="s">
        <v>24683</v>
      </c>
      <c r="N1753" s="1114" t="s">
        <v>24689</v>
      </c>
    </row>
    <row r="1754" spans="2:14" x14ac:dyDescent="0.3">
      <c r="B1754" s="1127"/>
      <c r="C1754" s="1128"/>
      <c r="D1754" s="1604"/>
      <c r="E1754" s="1604"/>
      <c r="F1754" s="1604"/>
      <c r="G1754" s="1604"/>
      <c r="H1754" s="1604"/>
      <c r="I1754" s="1605"/>
      <c r="J1754" s="462"/>
      <c r="K1754" s="462"/>
      <c r="L1754" s="462"/>
      <c r="M1754" s="1147"/>
      <c r="N1754" s="1130"/>
    </row>
    <row r="1755" spans="2:14" ht="15.75" thickBot="1" x14ac:dyDescent="0.35">
      <c r="B1755" s="855"/>
      <c r="C1755" s="954"/>
      <c r="D1755" s="954"/>
      <c r="E1755" s="954"/>
      <c r="F1755" s="1110"/>
      <c r="G1755" s="1110"/>
      <c r="H1755" s="1110"/>
      <c r="I1755" s="1110"/>
      <c r="J1755" s="1110"/>
      <c r="K1755" s="1110"/>
      <c r="L1755" s="1110"/>
      <c r="M1755" s="1111" t="s">
        <v>24698</v>
      </c>
      <c r="N1755" s="1112">
        <f>SUM(N1754:N1754)</f>
        <v>0</v>
      </c>
    </row>
    <row r="1756" spans="2:14" ht="15.75" thickBot="1" x14ac:dyDescent="0.35">
      <c r="B1756" s="850"/>
      <c r="C1756" s="461"/>
      <c r="D1756" s="461"/>
      <c r="E1756" s="461"/>
      <c r="F1756" s="461"/>
      <c r="G1756" s="461"/>
      <c r="H1756" s="461"/>
      <c r="I1756" s="461"/>
      <c r="J1756" s="461"/>
      <c r="K1756" s="461"/>
      <c r="L1756" s="461"/>
      <c r="M1756" s="461"/>
      <c r="N1756" s="1113"/>
    </row>
    <row r="1757" spans="2:14" ht="30" x14ac:dyDescent="0.3">
      <c r="B1757" s="1104" t="s">
        <v>0</v>
      </c>
      <c r="C1757" s="1106" t="s">
        <v>24673</v>
      </c>
      <c r="D1757" s="1593" t="s">
        <v>24699</v>
      </c>
      <c r="E1757" s="1593"/>
      <c r="F1757" s="1593"/>
      <c r="G1757" s="1594"/>
      <c r="H1757" s="1106" t="s">
        <v>3686</v>
      </c>
      <c r="I1757" s="1106" t="s">
        <v>24700</v>
      </c>
      <c r="J1757" s="1106" t="s">
        <v>24701</v>
      </c>
      <c r="K1757" s="1106" t="s">
        <v>24695</v>
      </c>
      <c r="L1757" s="1106"/>
      <c r="M1757" s="1106" t="s">
        <v>24683</v>
      </c>
      <c r="N1757" s="1114" t="s">
        <v>24689</v>
      </c>
    </row>
    <row r="1758" spans="2:14" x14ac:dyDescent="0.3">
      <c r="B1758" s="1115"/>
      <c r="C1758" s="1116"/>
      <c r="D1758" s="1595"/>
      <c r="E1758" s="1595"/>
      <c r="F1758" s="1595"/>
      <c r="G1758" s="1595"/>
      <c r="H1758" s="1109"/>
      <c r="I1758" s="1109"/>
      <c r="J1758" s="1109"/>
      <c r="K1758" s="1109"/>
      <c r="L1758" s="1109"/>
      <c r="M1758" s="1118"/>
      <c r="N1758" s="1119"/>
    </row>
    <row r="1759" spans="2:14" x14ac:dyDescent="0.3">
      <c r="B1759" s="850"/>
      <c r="C1759" s="461"/>
      <c r="D1759" s="461"/>
      <c r="E1759" s="461"/>
      <c r="F1759" s="1120"/>
      <c r="G1759" s="1120"/>
      <c r="H1759" s="1120"/>
      <c r="I1759" s="1120"/>
      <c r="J1759" s="1120"/>
      <c r="K1759" s="1120"/>
      <c r="L1759" s="1120"/>
      <c r="M1759" s="1121" t="s">
        <v>24702</v>
      </c>
      <c r="N1759" s="1122">
        <f>SUM(N1758:N1758)</f>
        <v>0</v>
      </c>
    </row>
    <row r="1760" spans="2:14" x14ac:dyDescent="0.3">
      <c r="B1760" s="850"/>
      <c r="C1760" s="461"/>
      <c r="D1760" s="461"/>
      <c r="E1760" s="461"/>
      <c r="F1760" s="461"/>
      <c r="G1760" s="461"/>
      <c r="H1760" s="461"/>
      <c r="I1760" s="461"/>
      <c r="J1760" s="461"/>
      <c r="K1760" s="461"/>
      <c r="L1760" s="461"/>
      <c r="M1760" s="461"/>
      <c r="N1760" s="1113"/>
    </row>
    <row r="1761" spans="2:14" x14ac:dyDescent="0.3">
      <c r="B1761" s="1131"/>
      <c r="C1761" s="1132"/>
      <c r="D1761" s="1132"/>
      <c r="E1761" s="1132"/>
      <c r="F1761" s="1133"/>
      <c r="G1761" s="1133"/>
      <c r="H1761" s="1133"/>
      <c r="I1761" s="1133"/>
      <c r="J1761" s="1133"/>
      <c r="K1761" s="1133"/>
      <c r="L1761" s="1133"/>
      <c r="M1761" s="1134" t="s">
        <v>24703</v>
      </c>
      <c r="N1761" s="1123">
        <f>N1743+N1751+N1755+N1759</f>
        <v>16.84</v>
      </c>
    </row>
    <row r="1762" spans="2:14" x14ac:dyDescent="0.3">
      <c r="B1762" s="850"/>
      <c r="C1762" s="461"/>
      <c r="D1762" s="461"/>
      <c r="E1762" s="461"/>
      <c r="F1762" s="1120"/>
      <c r="G1762" s="1120"/>
      <c r="H1762" s="1120"/>
      <c r="I1762" s="1120"/>
      <c r="J1762" s="1120"/>
      <c r="K1762" s="1120"/>
      <c r="L1762" s="1120"/>
      <c r="M1762" s="1136">
        <f>'QUIOSQUE - MOD 01'!I3</f>
        <v>0.28220000000000001</v>
      </c>
      <c r="N1762" s="1123">
        <f>N1761*M1762</f>
        <v>4.75</v>
      </c>
    </row>
    <row r="1763" spans="2:14" ht="15.75" thickBot="1" x14ac:dyDescent="0.35">
      <c r="B1763" s="1599" t="s">
        <v>24704</v>
      </c>
      <c r="C1763" s="1600"/>
      <c r="D1763" s="1600"/>
      <c r="E1763" s="1600"/>
      <c r="F1763" s="1600"/>
      <c r="G1763" s="1600"/>
      <c r="H1763" s="1600"/>
      <c r="I1763" s="1600"/>
      <c r="J1763" s="1600"/>
      <c r="K1763" s="1600"/>
      <c r="L1763" s="1600"/>
      <c r="M1763" s="1601"/>
      <c r="N1763" s="1126">
        <f>N1761+N1762</f>
        <v>21.59</v>
      </c>
    </row>
    <row r="1765" spans="2:14" ht="15.75" thickBot="1" x14ac:dyDescent="0.35"/>
    <row r="1766" spans="2:14" ht="50.25" customHeight="1" x14ac:dyDescent="0.3">
      <c r="B1766" s="1607" t="s">
        <v>24873</v>
      </c>
      <c r="C1766" s="1608"/>
      <c r="D1766" s="1609"/>
      <c r="E1766" s="1610" t="s">
        <v>24669</v>
      </c>
      <c r="F1766" s="1610"/>
      <c r="G1766" s="1610"/>
      <c r="H1766" s="1610"/>
      <c r="I1766" s="1610"/>
      <c r="J1766" s="1610"/>
      <c r="K1766" s="1610"/>
      <c r="L1766" s="1146"/>
      <c r="M1766" s="1611"/>
      <c r="N1766" s="1577"/>
    </row>
    <row r="1767" spans="2:14" x14ac:dyDescent="0.3">
      <c r="B1767" s="1103" t="s">
        <v>24670</v>
      </c>
      <c r="C1767" s="1586" t="s">
        <v>25357</v>
      </c>
      <c r="D1767" s="1586"/>
      <c r="E1767" s="1586"/>
      <c r="F1767" s="1586"/>
      <c r="G1767" s="1586"/>
      <c r="H1767" s="1586"/>
      <c r="I1767" s="1586"/>
      <c r="J1767" s="1586"/>
      <c r="K1767" s="1586"/>
      <c r="L1767" s="1586"/>
      <c r="M1767" s="1586"/>
      <c r="N1767" s="1587"/>
    </row>
    <row r="1768" spans="2:14" x14ac:dyDescent="0.3">
      <c r="B1768" s="1103" t="s">
        <v>24671</v>
      </c>
      <c r="C1768" s="1588" t="s">
        <v>24804</v>
      </c>
      <c r="D1768" s="1588"/>
      <c r="E1768" s="1588"/>
      <c r="F1768" s="1588"/>
      <c r="G1768" s="1588"/>
      <c r="H1768" s="1588"/>
      <c r="I1768" s="1588"/>
      <c r="J1768" s="1588"/>
      <c r="K1768" s="1588"/>
      <c r="L1768" s="1588"/>
      <c r="M1768" s="1588"/>
      <c r="N1768" s="1589"/>
    </row>
    <row r="1769" spans="2:14" ht="15.75" thickBot="1" x14ac:dyDescent="0.35">
      <c r="B1769" s="1103" t="s">
        <v>24672</v>
      </c>
      <c r="C1769" s="1590">
        <v>44501</v>
      </c>
      <c r="D1769" s="1591"/>
      <c r="E1769" s="1591"/>
      <c r="F1769" s="1591"/>
      <c r="G1769" s="1591"/>
      <c r="H1769" s="1591"/>
      <c r="I1769" s="1591"/>
      <c r="J1769" s="1591"/>
      <c r="K1769" s="1591"/>
      <c r="L1769" s="1591"/>
      <c r="M1769" s="1591"/>
      <c r="N1769" s="1592"/>
    </row>
    <row r="1770" spans="2:14" ht="30" x14ac:dyDescent="0.3">
      <c r="B1770" s="1104" t="s">
        <v>0</v>
      </c>
      <c r="C1770" s="1105" t="s">
        <v>24673</v>
      </c>
      <c r="D1770" s="1593" t="s">
        <v>24674</v>
      </c>
      <c r="E1770" s="1593"/>
      <c r="F1770" s="1593"/>
      <c r="G1770" s="1594"/>
      <c r="H1770" s="1106" t="s">
        <v>111</v>
      </c>
      <c r="I1770" s="1106" t="s">
        <v>24675</v>
      </c>
      <c r="J1770" s="1106" t="s">
        <v>24676</v>
      </c>
      <c r="K1770" s="1106" t="s">
        <v>24677</v>
      </c>
      <c r="L1770" s="1106"/>
      <c r="M1770" s="1106" t="s">
        <v>24678</v>
      </c>
      <c r="N1770" s="1114" t="s">
        <v>24679</v>
      </c>
    </row>
    <row r="1771" spans="2:14" x14ac:dyDescent="0.3">
      <c r="B1771" s="1115"/>
      <c r="C1771" s="1108"/>
      <c r="D1771" s="1595"/>
      <c r="E1771" s="1595"/>
      <c r="F1771" s="1595"/>
      <c r="G1771" s="1596"/>
      <c r="H1771" s="1109"/>
      <c r="I1771" s="1109"/>
      <c r="J1771" s="1109"/>
      <c r="K1771" s="1109"/>
      <c r="L1771" s="1109"/>
      <c r="M1771" s="1109"/>
      <c r="N1771" s="1119"/>
    </row>
    <row r="1772" spans="2:14" ht="15.75" thickBot="1" x14ac:dyDescent="0.35">
      <c r="B1772" s="855"/>
      <c r="C1772" s="954"/>
      <c r="D1772" s="954"/>
      <c r="E1772" s="954"/>
      <c r="F1772" s="1110"/>
      <c r="G1772" s="1110"/>
      <c r="H1772" s="1110"/>
      <c r="I1772" s="1110"/>
      <c r="J1772" s="1110"/>
      <c r="K1772" s="1110"/>
      <c r="L1772" s="1110"/>
      <c r="M1772" s="1111" t="s">
        <v>24680</v>
      </c>
      <c r="N1772" s="1112">
        <f>SUM(N1771)</f>
        <v>0</v>
      </c>
    </row>
    <row r="1773" spans="2:14" ht="15.75" thickBot="1" x14ac:dyDescent="0.35">
      <c r="B1773" s="850"/>
      <c r="C1773" s="461"/>
      <c r="D1773" s="461"/>
      <c r="E1773" s="461"/>
      <c r="F1773" s="461"/>
      <c r="G1773" s="461"/>
      <c r="H1773" s="461"/>
      <c r="I1773" s="461"/>
      <c r="J1773" s="461"/>
      <c r="K1773" s="461"/>
      <c r="L1773" s="461"/>
      <c r="M1773" s="461"/>
      <c r="N1773" s="1113"/>
    </row>
    <row r="1774" spans="2:14" ht="45" x14ac:dyDescent="0.3">
      <c r="B1774" s="1104" t="s">
        <v>0</v>
      </c>
      <c r="C1774" s="1105" t="s">
        <v>24673</v>
      </c>
      <c r="D1774" s="1593" t="s">
        <v>24681</v>
      </c>
      <c r="E1774" s="1593"/>
      <c r="F1774" s="1593"/>
      <c r="G1774" s="1593"/>
      <c r="H1774" s="1594"/>
      <c r="I1774" s="1106" t="s">
        <v>3686</v>
      </c>
      <c r="J1774" s="1106" t="s">
        <v>24682</v>
      </c>
      <c r="K1774" s="1106" t="s">
        <v>24861</v>
      </c>
      <c r="L1774" s="1106" t="s">
        <v>24862</v>
      </c>
      <c r="M1774" s="1106" t="s">
        <v>24683</v>
      </c>
      <c r="N1774" s="1114" t="s">
        <v>24679</v>
      </c>
    </row>
    <row r="1775" spans="2:14" x14ac:dyDescent="0.3">
      <c r="B1775" s="1115">
        <v>246</v>
      </c>
      <c r="C1775" s="1116" t="s">
        <v>24706</v>
      </c>
      <c r="D1775" s="1604" t="s">
        <v>25338</v>
      </c>
      <c r="E1775" s="1604"/>
      <c r="F1775" s="1604"/>
      <c r="G1775" s="1604"/>
      <c r="H1775" s="1605"/>
      <c r="I1775" s="1109" t="s">
        <v>75</v>
      </c>
      <c r="J1775" s="1117">
        <v>1.5727</v>
      </c>
      <c r="K1775" s="1143">
        <v>11.34</v>
      </c>
      <c r="L1775" s="1143">
        <f>K1775*(1+J1775)</f>
        <v>29.17</v>
      </c>
      <c r="M1775" s="1118">
        <v>0.17899999999999999</v>
      </c>
      <c r="N1775" s="1119">
        <f>L1775*M1775</f>
        <v>5.22</v>
      </c>
    </row>
    <row r="1776" spans="2:14" x14ac:dyDescent="0.3">
      <c r="B1776" s="1115">
        <v>10118</v>
      </c>
      <c r="C1776" s="1116" t="s">
        <v>4389</v>
      </c>
      <c r="D1776" s="1604" t="s">
        <v>400</v>
      </c>
      <c r="E1776" s="1604"/>
      <c r="F1776" s="1604"/>
      <c r="G1776" s="1604"/>
      <c r="H1776" s="1605"/>
      <c r="I1776" s="1109" t="s">
        <v>75</v>
      </c>
      <c r="J1776" s="1117">
        <v>1.5727</v>
      </c>
      <c r="K1776" s="1143">
        <v>7.43</v>
      </c>
      <c r="L1776" s="1143">
        <f>K1776*(1+J1776)</f>
        <v>19.12</v>
      </c>
      <c r="M1776" s="1118">
        <v>0.17899999999999999</v>
      </c>
      <c r="N1776" s="1119">
        <f>L1776*M1776</f>
        <v>3.42</v>
      </c>
    </row>
    <row r="1777" spans="2:14" ht="15.75" thickBot="1" x14ac:dyDescent="0.35">
      <c r="B1777" s="855"/>
      <c r="C1777" s="954"/>
      <c r="D1777" s="954"/>
      <c r="E1777" s="954"/>
      <c r="F1777" s="1110"/>
      <c r="G1777" s="1110"/>
      <c r="H1777" s="1110"/>
      <c r="I1777" s="1110"/>
      <c r="J1777" s="1110"/>
      <c r="K1777" s="1110"/>
      <c r="L1777" s="1110"/>
      <c r="M1777" s="1111" t="s">
        <v>24684</v>
      </c>
      <c r="N1777" s="1112">
        <f>SUM(N1775:N1776)</f>
        <v>8.64</v>
      </c>
    </row>
    <row r="1778" spans="2:14" ht="15.75" thickBot="1" x14ac:dyDescent="0.35">
      <c r="B1778" s="850"/>
      <c r="C1778" s="461"/>
      <c r="D1778" s="461"/>
      <c r="E1778" s="461"/>
      <c r="F1778" s="461"/>
      <c r="G1778" s="461"/>
      <c r="H1778" s="461"/>
      <c r="I1778" s="1120"/>
      <c r="J1778" s="1120"/>
      <c r="K1778" s="461"/>
      <c r="L1778" s="461"/>
      <c r="M1778" s="461"/>
      <c r="N1778" s="1113"/>
    </row>
    <row r="1779" spans="2:14" ht="30" x14ac:dyDescent="0.3">
      <c r="B1779" s="1104" t="s">
        <v>0</v>
      </c>
      <c r="C1779" s="1105" t="s">
        <v>24673</v>
      </c>
      <c r="D1779" s="1593" t="s">
        <v>24685</v>
      </c>
      <c r="E1779" s="1593"/>
      <c r="F1779" s="1593"/>
      <c r="G1779" s="1593"/>
      <c r="H1779" s="1594"/>
      <c r="I1779" s="1106" t="s">
        <v>2858</v>
      </c>
      <c r="J1779" s="1106" t="s">
        <v>24686</v>
      </c>
      <c r="K1779" s="1106" t="s">
        <v>24687</v>
      </c>
      <c r="L1779" s="1106"/>
      <c r="M1779" s="1106" t="s">
        <v>24688</v>
      </c>
      <c r="N1779" s="1114" t="s">
        <v>24689</v>
      </c>
    </row>
    <row r="1780" spans="2:14" x14ac:dyDescent="0.3">
      <c r="B1780" s="1115"/>
      <c r="C1780" s="1116"/>
      <c r="D1780" s="1604"/>
      <c r="E1780" s="1604"/>
      <c r="F1780" s="1604"/>
      <c r="G1780" s="1604"/>
      <c r="H1780" s="1605"/>
      <c r="I1780" s="1109"/>
      <c r="J1780" s="1109"/>
      <c r="K1780" s="1109"/>
      <c r="L1780" s="1109"/>
      <c r="M1780" s="1109"/>
      <c r="N1780" s="1119"/>
    </row>
    <row r="1781" spans="2:14" x14ac:dyDescent="0.3">
      <c r="B1781" s="850"/>
      <c r="C1781" s="461"/>
      <c r="D1781" s="461"/>
      <c r="E1781" s="461"/>
      <c r="F1781" s="1120"/>
      <c r="G1781" s="1120"/>
      <c r="H1781" s="1120"/>
      <c r="I1781" s="1120"/>
      <c r="J1781" s="1120"/>
      <c r="K1781" s="1120"/>
      <c r="L1781" s="1120"/>
      <c r="M1781" s="1121" t="s">
        <v>24690</v>
      </c>
      <c r="N1781" s="1122">
        <f>SUM(N1780:N1780)</f>
        <v>0</v>
      </c>
    </row>
    <row r="1782" spans="2:14" x14ac:dyDescent="0.3">
      <c r="B1782" s="850"/>
      <c r="C1782" s="461"/>
      <c r="D1782" s="461"/>
      <c r="E1782" s="461"/>
      <c r="F1782" s="461"/>
      <c r="G1782" s="461"/>
      <c r="H1782" s="461"/>
      <c r="I1782" s="461"/>
      <c r="J1782" s="461"/>
      <c r="K1782" s="461"/>
      <c r="L1782" s="461"/>
      <c r="M1782" s="461"/>
      <c r="N1782" s="1113"/>
    </row>
    <row r="1783" spans="2:14" x14ac:dyDescent="0.3">
      <c r="B1783" s="850"/>
      <c r="C1783" s="461"/>
      <c r="D1783" s="461"/>
      <c r="E1783" s="461"/>
      <c r="F1783" s="1120"/>
      <c r="G1783" s="1120"/>
      <c r="H1783" s="1120"/>
      <c r="I1783" s="863"/>
      <c r="J1783" s="863"/>
      <c r="K1783" s="863"/>
      <c r="L1783" s="863"/>
      <c r="M1783" s="1121" t="s">
        <v>24691</v>
      </c>
      <c r="N1783" s="1123">
        <f>N1772+N1777+N1781</f>
        <v>8.64</v>
      </c>
    </row>
    <row r="1784" spans="2:14" x14ac:dyDescent="0.3">
      <c r="B1784" s="850"/>
      <c r="C1784" s="461"/>
      <c r="D1784" s="461"/>
      <c r="E1784" s="461"/>
      <c r="F1784" s="1120"/>
      <c r="G1784" s="1120"/>
      <c r="H1784" s="1120"/>
      <c r="I1784" s="1120"/>
      <c r="J1784" s="1124"/>
      <c r="K1784" s="1124"/>
      <c r="L1784" s="1124"/>
      <c r="M1784" s="1125" t="s">
        <v>24692</v>
      </c>
      <c r="N1784" s="1123">
        <v>1</v>
      </c>
    </row>
    <row r="1785" spans="2:14" ht="15.75" thickBot="1" x14ac:dyDescent="0.35">
      <c r="B1785" s="855"/>
      <c r="C1785" s="954"/>
      <c r="D1785" s="954"/>
      <c r="E1785" s="954"/>
      <c r="F1785" s="1110"/>
      <c r="G1785" s="1110"/>
      <c r="H1785" s="1110"/>
      <c r="I1785" s="1110"/>
      <c r="J1785" s="1110"/>
      <c r="K1785" s="1110"/>
      <c r="L1785" s="1110"/>
      <c r="M1785" s="1111" t="s">
        <v>24693</v>
      </c>
      <c r="N1785" s="1126">
        <f>TRUNC(N1783/N1784,2)</f>
        <v>8.64</v>
      </c>
    </row>
    <row r="1786" spans="2:14" ht="15.75" thickBot="1" x14ac:dyDescent="0.35">
      <c r="B1786" s="850"/>
      <c r="C1786" s="461"/>
      <c r="D1786" s="461"/>
      <c r="E1786" s="461"/>
      <c r="F1786" s="461"/>
      <c r="G1786" s="461"/>
      <c r="H1786" s="461"/>
      <c r="I1786" s="461"/>
      <c r="J1786" s="461"/>
      <c r="K1786" s="461"/>
      <c r="L1786" s="461"/>
      <c r="M1786" s="461"/>
      <c r="N1786" s="1113"/>
    </row>
    <row r="1787" spans="2:14" ht="30" x14ac:dyDescent="0.3">
      <c r="B1787" s="1104" t="s">
        <v>0</v>
      </c>
      <c r="C1787" s="1105" t="s">
        <v>24673</v>
      </c>
      <c r="D1787" s="1593" t="s">
        <v>24694</v>
      </c>
      <c r="E1787" s="1593"/>
      <c r="F1787" s="1593"/>
      <c r="G1787" s="1593"/>
      <c r="H1787" s="1593"/>
      <c r="I1787" s="1594"/>
      <c r="J1787" s="1106" t="s">
        <v>3686</v>
      </c>
      <c r="K1787" s="1106" t="s">
        <v>24695</v>
      </c>
      <c r="L1787" s="1614" t="s">
        <v>24683</v>
      </c>
      <c r="M1787" s="1615"/>
      <c r="N1787" s="1114" t="s">
        <v>24689</v>
      </c>
    </row>
    <row r="1788" spans="2:14" ht="33.75" customHeight="1" x14ac:dyDescent="0.3">
      <c r="B1788" s="1115">
        <v>3536</v>
      </c>
      <c r="C1788" s="1116" t="s">
        <v>24706</v>
      </c>
      <c r="D1788" s="1604" t="s">
        <v>25358</v>
      </c>
      <c r="E1788" s="1604"/>
      <c r="F1788" s="1604"/>
      <c r="G1788" s="1604"/>
      <c r="H1788" s="1604"/>
      <c r="I1788" s="1605"/>
      <c r="J1788" s="1109" t="s">
        <v>24804</v>
      </c>
      <c r="K1788" s="1143">
        <v>3.41</v>
      </c>
      <c r="L1788" s="1624">
        <v>1</v>
      </c>
      <c r="M1788" s="1625"/>
      <c r="N1788" s="1119">
        <f>K1788*L1788</f>
        <v>3.41</v>
      </c>
    </row>
    <row r="1789" spans="2:14" x14ac:dyDescent="0.3">
      <c r="B1789" s="1115">
        <v>122</v>
      </c>
      <c r="C1789" s="1116" t="s">
        <v>24706</v>
      </c>
      <c r="D1789" s="1604" t="s">
        <v>25340</v>
      </c>
      <c r="E1789" s="1604"/>
      <c r="F1789" s="1604"/>
      <c r="G1789" s="1604"/>
      <c r="H1789" s="1604"/>
      <c r="I1789" s="1605"/>
      <c r="J1789" s="1109" t="s">
        <v>24804</v>
      </c>
      <c r="K1789" s="1143">
        <v>65.55</v>
      </c>
      <c r="L1789" s="1624">
        <v>8.9999999999999993E-3</v>
      </c>
      <c r="M1789" s="1625"/>
      <c r="N1789" s="1119">
        <f t="shared" ref="N1789:N1791" si="28">K1789*L1789</f>
        <v>0.59</v>
      </c>
    </row>
    <row r="1790" spans="2:14" x14ac:dyDescent="0.3">
      <c r="B1790" s="1115">
        <v>20083</v>
      </c>
      <c r="C1790" s="1116" t="s">
        <v>24706</v>
      </c>
      <c r="D1790" s="1604" t="s">
        <v>25341</v>
      </c>
      <c r="E1790" s="1604"/>
      <c r="F1790" s="1604"/>
      <c r="G1790" s="1604"/>
      <c r="H1790" s="1604"/>
      <c r="I1790" s="1605"/>
      <c r="J1790" s="1109" t="s">
        <v>24804</v>
      </c>
      <c r="K1790" s="1143">
        <v>74.27</v>
      </c>
      <c r="L1790" s="1624">
        <v>1.0999999999999999E-2</v>
      </c>
      <c r="M1790" s="1625"/>
      <c r="N1790" s="1119">
        <f t="shared" si="28"/>
        <v>0.82</v>
      </c>
    </row>
    <row r="1791" spans="2:14" x14ac:dyDescent="0.3">
      <c r="B1791" s="1115">
        <v>38383</v>
      </c>
      <c r="C1791" s="1116" t="s">
        <v>24706</v>
      </c>
      <c r="D1791" s="1604" t="s">
        <v>25342</v>
      </c>
      <c r="E1791" s="1604"/>
      <c r="F1791" s="1604"/>
      <c r="G1791" s="1604"/>
      <c r="H1791" s="1604"/>
      <c r="I1791" s="1605"/>
      <c r="J1791" s="1109" t="s">
        <v>24804</v>
      </c>
      <c r="K1791" s="1143">
        <v>1.99</v>
      </c>
      <c r="L1791" s="1624">
        <v>0.06</v>
      </c>
      <c r="M1791" s="1625"/>
      <c r="N1791" s="1119">
        <f t="shared" si="28"/>
        <v>0.12</v>
      </c>
    </row>
    <row r="1792" spans="2:14" x14ac:dyDescent="0.3">
      <c r="B1792" s="1115"/>
      <c r="C1792" s="1116"/>
      <c r="D1792" s="1604"/>
      <c r="E1792" s="1604"/>
      <c r="F1792" s="1604"/>
      <c r="G1792" s="1604"/>
      <c r="H1792" s="1604"/>
      <c r="I1792" s="1605"/>
      <c r="J1792" s="1109"/>
      <c r="K1792" s="1109"/>
      <c r="L1792" s="1109"/>
      <c r="M1792" s="1118"/>
      <c r="N1792" s="1119"/>
    </row>
    <row r="1793" spans="2:14" ht="15.75" thickBot="1" x14ac:dyDescent="0.35">
      <c r="B1793" s="855"/>
      <c r="C1793" s="954"/>
      <c r="D1793" s="954"/>
      <c r="E1793" s="954"/>
      <c r="F1793" s="1110"/>
      <c r="G1793" s="1110"/>
      <c r="H1793" s="1110"/>
      <c r="I1793" s="1110"/>
      <c r="J1793" s="1110"/>
      <c r="K1793" s="1110"/>
      <c r="L1793" s="1110"/>
      <c r="M1793" s="1111" t="s">
        <v>24696</v>
      </c>
      <c r="N1793" s="1112">
        <f>SUM(N1788:N1791)</f>
        <v>4.9400000000000004</v>
      </c>
    </row>
    <row r="1794" spans="2:14" ht="15.75" thickBot="1" x14ac:dyDescent="0.35">
      <c r="B1794" s="850"/>
      <c r="C1794" s="461"/>
      <c r="D1794" s="461"/>
      <c r="E1794" s="461"/>
      <c r="F1794" s="461"/>
      <c r="G1794" s="461"/>
      <c r="H1794" s="461"/>
      <c r="I1794" s="461"/>
      <c r="J1794" s="461"/>
      <c r="K1794" s="461"/>
      <c r="L1794" s="461"/>
      <c r="M1794" s="461"/>
      <c r="N1794" s="1113"/>
    </row>
    <row r="1795" spans="2:14" ht="30" x14ac:dyDescent="0.3">
      <c r="B1795" s="1104" t="s">
        <v>0</v>
      </c>
      <c r="C1795" s="1106" t="s">
        <v>24673</v>
      </c>
      <c r="D1795" s="1593" t="s">
        <v>24697</v>
      </c>
      <c r="E1795" s="1593"/>
      <c r="F1795" s="1593"/>
      <c r="G1795" s="1593"/>
      <c r="H1795" s="1593"/>
      <c r="I1795" s="1594"/>
      <c r="J1795" s="1106" t="s">
        <v>3686</v>
      </c>
      <c r="K1795" s="1106" t="s">
        <v>24695</v>
      </c>
      <c r="L1795" s="1106"/>
      <c r="M1795" s="1106" t="s">
        <v>24683</v>
      </c>
      <c r="N1795" s="1114" t="s">
        <v>24689</v>
      </c>
    </row>
    <row r="1796" spans="2:14" x14ac:dyDescent="0.3">
      <c r="B1796" s="1127"/>
      <c r="C1796" s="1128"/>
      <c r="D1796" s="1604"/>
      <c r="E1796" s="1604"/>
      <c r="F1796" s="1604"/>
      <c r="G1796" s="1604"/>
      <c r="H1796" s="1604"/>
      <c r="I1796" s="1605"/>
      <c r="J1796" s="462"/>
      <c r="K1796" s="462"/>
      <c r="L1796" s="462"/>
      <c r="M1796" s="1147"/>
      <c r="N1796" s="1130"/>
    </row>
    <row r="1797" spans="2:14" ht="15.75" thickBot="1" x14ac:dyDescent="0.35">
      <c r="B1797" s="855"/>
      <c r="C1797" s="954"/>
      <c r="D1797" s="954"/>
      <c r="E1797" s="954"/>
      <c r="F1797" s="1110"/>
      <c r="G1797" s="1110"/>
      <c r="H1797" s="1110"/>
      <c r="I1797" s="1110"/>
      <c r="J1797" s="1110"/>
      <c r="K1797" s="1110"/>
      <c r="L1797" s="1110"/>
      <c r="M1797" s="1111" t="s">
        <v>24698</v>
      </c>
      <c r="N1797" s="1112">
        <f>SUM(N1796:N1796)</f>
        <v>0</v>
      </c>
    </row>
    <row r="1798" spans="2:14" ht="15.75" thickBot="1" x14ac:dyDescent="0.35">
      <c r="B1798" s="850"/>
      <c r="C1798" s="461"/>
      <c r="D1798" s="461"/>
      <c r="E1798" s="461"/>
      <c r="F1798" s="461"/>
      <c r="G1798" s="461"/>
      <c r="H1798" s="461"/>
      <c r="I1798" s="461"/>
      <c r="J1798" s="461"/>
      <c r="K1798" s="461"/>
      <c r="L1798" s="461"/>
      <c r="M1798" s="461"/>
      <c r="N1798" s="1113"/>
    </row>
    <row r="1799" spans="2:14" ht="30" x14ac:dyDescent="0.3">
      <c r="B1799" s="1104" t="s">
        <v>0</v>
      </c>
      <c r="C1799" s="1106" t="s">
        <v>24673</v>
      </c>
      <c r="D1799" s="1593" t="s">
        <v>24699</v>
      </c>
      <c r="E1799" s="1593"/>
      <c r="F1799" s="1593"/>
      <c r="G1799" s="1594"/>
      <c r="H1799" s="1106" t="s">
        <v>3686</v>
      </c>
      <c r="I1799" s="1106" t="s">
        <v>24700</v>
      </c>
      <c r="J1799" s="1106" t="s">
        <v>24701</v>
      </c>
      <c r="K1799" s="1106" t="s">
        <v>24695</v>
      </c>
      <c r="L1799" s="1106"/>
      <c r="M1799" s="1106" t="s">
        <v>24683</v>
      </c>
      <c r="N1799" s="1114" t="s">
        <v>24689</v>
      </c>
    </row>
    <row r="1800" spans="2:14" x14ac:dyDescent="0.3">
      <c r="B1800" s="1115"/>
      <c r="C1800" s="1116"/>
      <c r="D1800" s="1595"/>
      <c r="E1800" s="1595"/>
      <c r="F1800" s="1595"/>
      <c r="G1800" s="1595"/>
      <c r="H1800" s="1109"/>
      <c r="I1800" s="1109"/>
      <c r="J1800" s="1109"/>
      <c r="K1800" s="1109"/>
      <c r="L1800" s="1109"/>
      <c r="M1800" s="1118"/>
      <c r="N1800" s="1119"/>
    </row>
    <row r="1801" spans="2:14" x14ac:dyDescent="0.3">
      <c r="B1801" s="850"/>
      <c r="C1801" s="461"/>
      <c r="D1801" s="461"/>
      <c r="E1801" s="461"/>
      <c r="F1801" s="1120"/>
      <c r="G1801" s="1120"/>
      <c r="H1801" s="1120"/>
      <c r="I1801" s="1120"/>
      <c r="J1801" s="1120"/>
      <c r="K1801" s="1120"/>
      <c r="L1801" s="1120"/>
      <c r="M1801" s="1121" t="s">
        <v>24702</v>
      </c>
      <c r="N1801" s="1122">
        <f>SUM(N1800:N1800)</f>
        <v>0</v>
      </c>
    </row>
    <row r="1802" spans="2:14" x14ac:dyDescent="0.3">
      <c r="B1802" s="850"/>
      <c r="C1802" s="461"/>
      <c r="D1802" s="461"/>
      <c r="E1802" s="461"/>
      <c r="F1802" s="461"/>
      <c r="G1802" s="461"/>
      <c r="H1802" s="461"/>
      <c r="I1802" s="461"/>
      <c r="J1802" s="461"/>
      <c r="K1802" s="461"/>
      <c r="L1802" s="461"/>
      <c r="M1802" s="461"/>
      <c r="N1802" s="1113"/>
    </row>
    <row r="1803" spans="2:14" x14ac:dyDescent="0.3">
      <c r="B1803" s="1131"/>
      <c r="C1803" s="1132"/>
      <c r="D1803" s="1132"/>
      <c r="E1803" s="1132"/>
      <c r="F1803" s="1133"/>
      <c r="G1803" s="1133"/>
      <c r="H1803" s="1133"/>
      <c r="I1803" s="1133"/>
      <c r="J1803" s="1133"/>
      <c r="K1803" s="1133"/>
      <c r="L1803" s="1133"/>
      <c r="M1803" s="1134" t="s">
        <v>24703</v>
      </c>
      <c r="N1803" s="1123">
        <f>N1785+N1793+N1797+N1801</f>
        <v>13.58</v>
      </c>
    </row>
    <row r="1804" spans="2:14" x14ac:dyDescent="0.3">
      <c r="B1804" s="850"/>
      <c r="C1804" s="461"/>
      <c r="D1804" s="461"/>
      <c r="E1804" s="461"/>
      <c r="F1804" s="1120"/>
      <c r="G1804" s="1120"/>
      <c r="H1804" s="1120"/>
      <c r="I1804" s="1120"/>
      <c r="J1804" s="1120"/>
      <c r="K1804" s="1120"/>
      <c r="L1804" s="1120"/>
      <c r="M1804" s="1136">
        <f>'QUIOSQUE - MOD 01'!I3</f>
        <v>0.28220000000000001</v>
      </c>
      <c r="N1804" s="1123">
        <f>N1803*M1804</f>
        <v>3.83</v>
      </c>
    </row>
    <row r="1805" spans="2:14" ht="15.75" thickBot="1" x14ac:dyDescent="0.35">
      <c r="B1805" s="1599" t="s">
        <v>24704</v>
      </c>
      <c r="C1805" s="1600"/>
      <c r="D1805" s="1600"/>
      <c r="E1805" s="1600"/>
      <c r="F1805" s="1600"/>
      <c r="G1805" s="1600"/>
      <c r="H1805" s="1600"/>
      <c r="I1805" s="1600"/>
      <c r="J1805" s="1600"/>
      <c r="K1805" s="1600"/>
      <c r="L1805" s="1600"/>
      <c r="M1805" s="1601"/>
      <c r="N1805" s="1126">
        <f>N1803+N1804</f>
        <v>17.41</v>
      </c>
    </row>
    <row r="1807" spans="2:14" ht="15.75" thickBot="1" x14ac:dyDescent="0.35"/>
    <row r="1808" spans="2:14" ht="52.5" customHeight="1" x14ac:dyDescent="0.3">
      <c r="B1808" s="1607" t="s">
        <v>24875</v>
      </c>
      <c r="C1808" s="1608"/>
      <c r="D1808" s="1609"/>
      <c r="E1808" s="1610" t="s">
        <v>24669</v>
      </c>
      <c r="F1808" s="1610"/>
      <c r="G1808" s="1610"/>
      <c r="H1808" s="1610"/>
      <c r="I1808" s="1610"/>
      <c r="J1808" s="1610"/>
      <c r="K1808" s="1610"/>
      <c r="L1808" s="1146"/>
      <c r="M1808" s="1611"/>
      <c r="N1808" s="1577"/>
    </row>
    <row r="1809" spans="2:14" ht="30.75" customHeight="1" x14ac:dyDescent="0.3">
      <c r="B1809" s="1103" t="s">
        <v>24670</v>
      </c>
      <c r="C1809" s="1586" t="s">
        <v>25359</v>
      </c>
      <c r="D1809" s="1586"/>
      <c r="E1809" s="1586"/>
      <c r="F1809" s="1586"/>
      <c r="G1809" s="1586"/>
      <c r="H1809" s="1586"/>
      <c r="I1809" s="1586"/>
      <c r="J1809" s="1586"/>
      <c r="K1809" s="1586"/>
      <c r="L1809" s="1586"/>
      <c r="M1809" s="1586"/>
      <c r="N1809" s="1587"/>
    </row>
    <row r="1810" spans="2:14" x14ac:dyDescent="0.3">
      <c r="B1810" s="1103" t="s">
        <v>24671</v>
      </c>
      <c r="C1810" s="1588" t="s">
        <v>24804</v>
      </c>
      <c r="D1810" s="1588"/>
      <c r="E1810" s="1588"/>
      <c r="F1810" s="1588"/>
      <c r="G1810" s="1588"/>
      <c r="H1810" s="1588"/>
      <c r="I1810" s="1588"/>
      <c r="J1810" s="1588"/>
      <c r="K1810" s="1588"/>
      <c r="L1810" s="1588"/>
      <c r="M1810" s="1588"/>
      <c r="N1810" s="1589"/>
    </row>
    <row r="1811" spans="2:14" ht="15.75" thickBot="1" x14ac:dyDescent="0.35">
      <c r="B1811" s="1103" t="s">
        <v>24672</v>
      </c>
      <c r="C1811" s="1590">
        <v>44501</v>
      </c>
      <c r="D1811" s="1591"/>
      <c r="E1811" s="1591"/>
      <c r="F1811" s="1591"/>
      <c r="G1811" s="1591"/>
      <c r="H1811" s="1591"/>
      <c r="I1811" s="1591"/>
      <c r="J1811" s="1591"/>
      <c r="K1811" s="1591"/>
      <c r="L1811" s="1591"/>
      <c r="M1811" s="1591"/>
      <c r="N1811" s="1592"/>
    </row>
    <row r="1812" spans="2:14" ht="30" x14ac:dyDescent="0.3">
      <c r="B1812" s="1104" t="s">
        <v>0</v>
      </c>
      <c r="C1812" s="1105" t="s">
        <v>24673</v>
      </c>
      <c r="D1812" s="1593" t="s">
        <v>24674</v>
      </c>
      <c r="E1812" s="1593"/>
      <c r="F1812" s="1593"/>
      <c r="G1812" s="1594"/>
      <c r="H1812" s="1106" t="s">
        <v>111</v>
      </c>
      <c r="I1812" s="1106" t="s">
        <v>24675</v>
      </c>
      <c r="J1812" s="1106" t="s">
        <v>24676</v>
      </c>
      <c r="K1812" s="1106" t="s">
        <v>24677</v>
      </c>
      <c r="L1812" s="1106"/>
      <c r="M1812" s="1106" t="s">
        <v>24678</v>
      </c>
      <c r="N1812" s="1114" t="s">
        <v>24679</v>
      </c>
    </row>
    <row r="1813" spans="2:14" x14ac:dyDescent="0.3">
      <c r="B1813" s="1115"/>
      <c r="C1813" s="1108"/>
      <c r="D1813" s="1595"/>
      <c r="E1813" s="1595"/>
      <c r="F1813" s="1595"/>
      <c r="G1813" s="1596"/>
      <c r="H1813" s="1109"/>
      <c r="I1813" s="1109"/>
      <c r="J1813" s="1109"/>
      <c r="K1813" s="1109"/>
      <c r="L1813" s="1109"/>
      <c r="M1813" s="1109"/>
      <c r="N1813" s="1119"/>
    </row>
    <row r="1814" spans="2:14" ht="15.75" thickBot="1" x14ac:dyDescent="0.35">
      <c r="B1814" s="855"/>
      <c r="C1814" s="954"/>
      <c r="D1814" s="954"/>
      <c r="E1814" s="954"/>
      <c r="F1814" s="1110"/>
      <c r="G1814" s="1110"/>
      <c r="H1814" s="1110"/>
      <c r="I1814" s="1110"/>
      <c r="J1814" s="1110"/>
      <c r="K1814" s="1110"/>
      <c r="L1814" s="1110"/>
      <c r="M1814" s="1111" t="s">
        <v>24680</v>
      </c>
      <c r="N1814" s="1112">
        <f>SUM(N1813)</f>
        <v>0</v>
      </c>
    </row>
    <row r="1815" spans="2:14" ht="15.75" thickBot="1" x14ac:dyDescent="0.35">
      <c r="B1815" s="850"/>
      <c r="C1815" s="461"/>
      <c r="D1815" s="461"/>
      <c r="E1815" s="461"/>
      <c r="F1815" s="461"/>
      <c r="G1815" s="461"/>
      <c r="H1815" s="461"/>
      <c r="I1815" s="461"/>
      <c r="J1815" s="461"/>
      <c r="K1815" s="461"/>
      <c r="L1815" s="461"/>
      <c r="M1815" s="461"/>
      <c r="N1815" s="1113"/>
    </row>
    <row r="1816" spans="2:14" ht="45" x14ac:dyDescent="0.3">
      <c r="B1816" s="1104" t="s">
        <v>0</v>
      </c>
      <c r="C1816" s="1105" t="s">
        <v>24673</v>
      </c>
      <c r="D1816" s="1593" t="s">
        <v>24681</v>
      </c>
      <c r="E1816" s="1593"/>
      <c r="F1816" s="1593"/>
      <c r="G1816" s="1593"/>
      <c r="H1816" s="1594"/>
      <c r="I1816" s="1106" t="s">
        <v>3686</v>
      </c>
      <c r="J1816" s="1106" t="s">
        <v>24682</v>
      </c>
      <c r="K1816" s="1106" t="s">
        <v>24861</v>
      </c>
      <c r="L1816" s="1106" t="s">
        <v>24862</v>
      </c>
      <c r="M1816" s="1106" t="s">
        <v>24683</v>
      </c>
      <c r="N1816" s="1114" t="s">
        <v>24679</v>
      </c>
    </row>
    <row r="1817" spans="2:14" x14ac:dyDescent="0.3">
      <c r="B1817" s="1115">
        <v>246</v>
      </c>
      <c r="C1817" s="1116" t="s">
        <v>24706</v>
      </c>
      <c r="D1817" s="1604" t="s">
        <v>25338</v>
      </c>
      <c r="E1817" s="1604"/>
      <c r="F1817" s="1604"/>
      <c r="G1817" s="1604"/>
      <c r="H1817" s="1605"/>
      <c r="I1817" s="1109" t="s">
        <v>75</v>
      </c>
      <c r="J1817" s="1117">
        <v>1.5727</v>
      </c>
      <c r="K1817" s="1143">
        <v>11.34</v>
      </c>
      <c r="L1817" s="1143">
        <f>K1817*(1+J1817)</f>
        <v>29.17</v>
      </c>
      <c r="M1817" s="1118">
        <v>0.159</v>
      </c>
      <c r="N1817" s="1119">
        <f>L1817*M1817</f>
        <v>4.6399999999999997</v>
      </c>
    </row>
    <row r="1818" spans="2:14" x14ac:dyDescent="0.3">
      <c r="B1818" s="1115">
        <v>10118</v>
      </c>
      <c r="C1818" s="1116" t="s">
        <v>4389</v>
      </c>
      <c r="D1818" s="1604" t="s">
        <v>400</v>
      </c>
      <c r="E1818" s="1604"/>
      <c r="F1818" s="1604"/>
      <c r="G1818" s="1604"/>
      <c r="H1818" s="1605"/>
      <c r="I1818" s="1109" t="s">
        <v>75</v>
      </c>
      <c r="J1818" s="1117">
        <v>1.5727</v>
      </c>
      <c r="K1818" s="1143">
        <v>7.43</v>
      </c>
      <c r="L1818" s="1143">
        <f>K1818*(1+J1818)</f>
        <v>19.12</v>
      </c>
      <c r="M1818" s="1118">
        <v>0.159</v>
      </c>
      <c r="N1818" s="1119">
        <f>L1818*M1818</f>
        <v>3.04</v>
      </c>
    </row>
    <row r="1819" spans="2:14" ht="15.75" thickBot="1" x14ac:dyDescent="0.35">
      <c r="B1819" s="855"/>
      <c r="C1819" s="954"/>
      <c r="D1819" s="954"/>
      <c r="E1819" s="954"/>
      <c r="F1819" s="1110"/>
      <c r="G1819" s="1110"/>
      <c r="H1819" s="1110"/>
      <c r="I1819" s="1110"/>
      <c r="J1819" s="1110"/>
      <c r="K1819" s="1110"/>
      <c r="L1819" s="1110"/>
      <c r="M1819" s="1111" t="s">
        <v>24684</v>
      </c>
      <c r="N1819" s="1112">
        <f>SUM(N1817:N1818)</f>
        <v>7.68</v>
      </c>
    </row>
    <row r="1820" spans="2:14" ht="15.75" thickBot="1" x14ac:dyDescent="0.35">
      <c r="B1820" s="850"/>
      <c r="C1820" s="461"/>
      <c r="D1820" s="461"/>
      <c r="E1820" s="461"/>
      <c r="F1820" s="461"/>
      <c r="G1820" s="461"/>
      <c r="H1820" s="461"/>
      <c r="I1820" s="1120"/>
      <c r="J1820" s="1120"/>
      <c r="K1820" s="461"/>
      <c r="L1820" s="461"/>
      <c r="M1820" s="461"/>
      <c r="N1820" s="1113"/>
    </row>
    <row r="1821" spans="2:14" ht="30" x14ac:dyDescent="0.3">
      <c r="B1821" s="1104" t="s">
        <v>0</v>
      </c>
      <c r="C1821" s="1105" t="s">
        <v>24673</v>
      </c>
      <c r="D1821" s="1593" t="s">
        <v>24685</v>
      </c>
      <c r="E1821" s="1593"/>
      <c r="F1821" s="1593"/>
      <c r="G1821" s="1593"/>
      <c r="H1821" s="1594"/>
      <c r="I1821" s="1106" t="s">
        <v>2858</v>
      </c>
      <c r="J1821" s="1106" t="s">
        <v>24686</v>
      </c>
      <c r="K1821" s="1106" t="s">
        <v>24687</v>
      </c>
      <c r="L1821" s="1106"/>
      <c r="M1821" s="1106" t="s">
        <v>24688</v>
      </c>
      <c r="N1821" s="1114" t="s">
        <v>24689</v>
      </c>
    </row>
    <row r="1822" spans="2:14" x14ac:dyDescent="0.3">
      <c r="B1822" s="1115"/>
      <c r="C1822" s="1116"/>
      <c r="D1822" s="1604"/>
      <c r="E1822" s="1604"/>
      <c r="F1822" s="1604"/>
      <c r="G1822" s="1604"/>
      <c r="H1822" s="1605"/>
      <c r="I1822" s="1109"/>
      <c r="J1822" s="1109"/>
      <c r="K1822" s="1109"/>
      <c r="L1822" s="1109"/>
      <c r="M1822" s="1109"/>
      <c r="N1822" s="1119"/>
    </row>
    <row r="1823" spans="2:14" x14ac:dyDescent="0.3">
      <c r="B1823" s="850"/>
      <c r="C1823" s="461"/>
      <c r="D1823" s="461"/>
      <c r="E1823" s="461"/>
      <c r="F1823" s="1120"/>
      <c r="G1823" s="1120"/>
      <c r="H1823" s="1120"/>
      <c r="I1823" s="1120"/>
      <c r="J1823" s="1120"/>
      <c r="K1823" s="1120"/>
      <c r="L1823" s="1120"/>
      <c r="M1823" s="1121" t="s">
        <v>24690</v>
      </c>
      <c r="N1823" s="1122">
        <f>SUM(N1822:N1822)</f>
        <v>0</v>
      </c>
    </row>
    <row r="1824" spans="2:14" x14ac:dyDescent="0.3">
      <c r="B1824" s="850"/>
      <c r="C1824" s="461"/>
      <c r="D1824" s="461"/>
      <c r="E1824" s="461"/>
      <c r="F1824" s="461"/>
      <c r="G1824" s="461"/>
      <c r="H1824" s="461"/>
      <c r="I1824" s="461"/>
      <c r="J1824" s="461"/>
      <c r="K1824" s="461"/>
      <c r="L1824" s="461"/>
      <c r="M1824" s="461"/>
      <c r="N1824" s="1113"/>
    </row>
    <row r="1825" spans="2:14" x14ac:dyDescent="0.3">
      <c r="B1825" s="850"/>
      <c r="C1825" s="461"/>
      <c r="D1825" s="461"/>
      <c r="E1825" s="461"/>
      <c r="F1825" s="1120"/>
      <c r="G1825" s="1120"/>
      <c r="H1825" s="1120"/>
      <c r="I1825" s="863"/>
      <c r="J1825" s="863"/>
      <c r="K1825" s="863"/>
      <c r="L1825" s="863"/>
      <c r="M1825" s="1121" t="s">
        <v>24691</v>
      </c>
      <c r="N1825" s="1123">
        <f>N1814+N1819+N1823</f>
        <v>7.68</v>
      </c>
    </row>
    <row r="1826" spans="2:14" x14ac:dyDescent="0.3">
      <c r="B1826" s="850"/>
      <c r="C1826" s="461"/>
      <c r="D1826" s="461"/>
      <c r="E1826" s="461"/>
      <c r="F1826" s="1120"/>
      <c r="G1826" s="1120"/>
      <c r="H1826" s="1120"/>
      <c r="I1826" s="1120"/>
      <c r="J1826" s="1124"/>
      <c r="K1826" s="1124"/>
      <c r="L1826" s="1124"/>
      <c r="M1826" s="1125" t="s">
        <v>24692</v>
      </c>
      <c r="N1826" s="1123">
        <v>1</v>
      </c>
    </row>
    <row r="1827" spans="2:14" ht="15.75" thickBot="1" x14ac:dyDescent="0.35">
      <c r="B1827" s="855"/>
      <c r="C1827" s="954"/>
      <c r="D1827" s="954"/>
      <c r="E1827" s="954"/>
      <c r="F1827" s="1110"/>
      <c r="G1827" s="1110"/>
      <c r="H1827" s="1110"/>
      <c r="I1827" s="1110"/>
      <c r="J1827" s="1110"/>
      <c r="K1827" s="1110"/>
      <c r="L1827" s="1110"/>
      <c r="M1827" s="1111" t="s">
        <v>24693</v>
      </c>
      <c r="N1827" s="1126">
        <f>TRUNC(N1825/N1826,2)</f>
        <v>7.68</v>
      </c>
    </row>
    <row r="1828" spans="2:14" ht="15.75" thickBot="1" x14ac:dyDescent="0.35">
      <c r="B1828" s="850"/>
      <c r="C1828" s="461"/>
      <c r="D1828" s="461"/>
      <c r="E1828" s="461"/>
      <c r="F1828" s="461"/>
      <c r="G1828" s="461"/>
      <c r="H1828" s="461"/>
      <c r="I1828" s="461"/>
      <c r="J1828" s="461"/>
      <c r="K1828" s="461"/>
      <c r="L1828" s="461"/>
      <c r="M1828" s="461"/>
      <c r="N1828" s="1113"/>
    </row>
    <row r="1829" spans="2:14" ht="30" x14ac:dyDescent="0.3">
      <c r="B1829" s="1104" t="s">
        <v>0</v>
      </c>
      <c r="C1829" s="1105" t="s">
        <v>24673</v>
      </c>
      <c r="D1829" s="1593" t="s">
        <v>24694</v>
      </c>
      <c r="E1829" s="1593"/>
      <c r="F1829" s="1593"/>
      <c r="G1829" s="1593"/>
      <c r="H1829" s="1593"/>
      <c r="I1829" s="1594"/>
      <c r="J1829" s="1106" t="s">
        <v>3686</v>
      </c>
      <c r="K1829" s="1106" t="s">
        <v>24695</v>
      </c>
      <c r="L1829" s="1614" t="s">
        <v>24683</v>
      </c>
      <c r="M1829" s="1615"/>
      <c r="N1829" s="1114" t="s">
        <v>24689</v>
      </c>
    </row>
    <row r="1830" spans="2:14" ht="32.25" customHeight="1" x14ac:dyDescent="0.3">
      <c r="B1830" s="1115">
        <v>7140</v>
      </c>
      <c r="C1830" s="1116" t="s">
        <v>24706</v>
      </c>
      <c r="D1830" s="1604" t="s">
        <v>25360</v>
      </c>
      <c r="E1830" s="1604"/>
      <c r="F1830" s="1604"/>
      <c r="G1830" s="1604"/>
      <c r="H1830" s="1604"/>
      <c r="I1830" s="1605"/>
      <c r="J1830" s="1109" t="s">
        <v>24804</v>
      </c>
      <c r="K1830" s="1143">
        <v>6.45</v>
      </c>
      <c r="L1830" s="1624">
        <v>1</v>
      </c>
      <c r="M1830" s="1625"/>
      <c r="N1830" s="1119">
        <f>K1830*L1830</f>
        <v>6.45</v>
      </c>
    </row>
    <row r="1831" spans="2:14" x14ac:dyDescent="0.3">
      <c r="B1831" s="1115">
        <v>20080</v>
      </c>
      <c r="C1831" s="1116" t="s">
        <v>24706</v>
      </c>
      <c r="D1831" s="1604" t="s">
        <v>25361</v>
      </c>
      <c r="E1831" s="1604"/>
      <c r="F1831" s="1604"/>
      <c r="G1831" s="1604"/>
      <c r="H1831" s="1604"/>
      <c r="I1831" s="1605"/>
      <c r="J1831" s="1109" t="s">
        <v>24804</v>
      </c>
      <c r="K1831" s="1143">
        <v>21.39</v>
      </c>
      <c r="L1831" s="1624">
        <v>0.06</v>
      </c>
      <c r="M1831" s="1625"/>
      <c r="N1831" s="1119">
        <f t="shared" ref="N1831:N1833" si="29">K1831*L1831</f>
        <v>1.28</v>
      </c>
    </row>
    <row r="1832" spans="2:14" x14ac:dyDescent="0.3">
      <c r="B1832" s="1115">
        <v>20083</v>
      </c>
      <c r="C1832" s="1116" t="s">
        <v>24706</v>
      </c>
      <c r="D1832" s="1604" t="s">
        <v>25341</v>
      </c>
      <c r="E1832" s="1604"/>
      <c r="F1832" s="1604"/>
      <c r="G1832" s="1604"/>
      <c r="H1832" s="1604"/>
      <c r="I1832" s="1605"/>
      <c r="J1832" s="1109" t="s">
        <v>24804</v>
      </c>
      <c r="K1832" s="1143">
        <v>74.27</v>
      </c>
      <c r="L1832" s="1624">
        <v>1.4E-2</v>
      </c>
      <c r="M1832" s="1625"/>
      <c r="N1832" s="1119">
        <f t="shared" si="29"/>
        <v>1.04</v>
      </c>
    </row>
    <row r="1833" spans="2:14" x14ac:dyDescent="0.3">
      <c r="B1833" s="1115">
        <v>38383</v>
      </c>
      <c r="C1833" s="1116" t="s">
        <v>24706</v>
      </c>
      <c r="D1833" s="1604" t="s">
        <v>25342</v>
      </c>
      <c r="E1833" s="1604"/>
      <c r="F1833" s="1604"/>
      <c r="G1833" s="1604"/>
      <c r="H1833" s="1604"/>
      <c r="I1833" s="1605"/>
      <c r="J1833" s="1109" t="s">
        <v>24804</v>
      </c>
      <c r="K1833" s="1143">
        <v>1.99</v>
      </c>
      <c r="L1833" s="1624">
        <v>2.4E-2</v>
      </c>
      <c r="M1833" s="1625"/>
      <c r="N1833" s="1119">
        <f t="shared" si="29"/>
        <v>0.05</v>
      </c>
    </row>
    <row r="1834" spans="2:14" x14ac:dyDescent="0.3">
      <c r="B1834" s="1115"/>
      <c r="C1834" s="1116"/>
      <c r="D1834" s="1604"/>
      <c r="E1834" s="1604"/>
      <c r="F1834" s="1604"/>
      <c r="G1834" s="1604"/>
      <c r="H1834" s="1604"/>
      <c r="I1834" s="1605"/>
      <c r="J1834" s="1109"/>
      <c r="K1834" s="1109"/>
      <c r="L1834" s="1109"/>
      <c r="M1834" s="1118"/>
      <c r="N1834" s="1119"/>
    </row>
    <row r="1835" spans="2:14" ht="15.75" thickBot="1" x14ac:dyDescent="0.35">
      <c r="B1835" s="855"/>
      <c r="C1835" s="954"/>
      <c r="D1835" s="954"/>
      <c r="E1835" s="954"/>
      <c r="F1835" s="1110"/>
      <c r="G1835" s="1110"/>
      <c r="H1835" s="1110"/>
      <c r="I1835" s="1110"/>
      <c r="J1835" s="1110"/>
      <c r="K1835" s="1110"/>
      <c r="L1835" s="1110"/>
      <c r="M1835" s="1111" t="s">
        <v>24696</v>
      </c>
      <c r="N1835" s="1112">
        <f>SUM(N1830:N1833)</f>
        <v>8.82</v>
      </c>
    </row>
    <row r="1836" spans="2:14" ht="15.75" thickBot="1" x14ac:dyDescent="0.35">
      <c r="B1836" s="850"/>
      <c r="C1836" s="461"/>
      <c r="D1836" s="461"/>
      <c r="E1836" s="461"/>
      <c r="F1836" s="461"/>
      <c r="G1836" s="461"/>
      <c r="H1836" s="461"/>
      <c r="I1836" s="461"/>
      <c r="J1836" s="461"/>
      <c r="K1836" s="461"/>
      <c r="L1836" s="461"/>
      <c r="M1836" s="461"/>
      <c r="N1836" s="1113"/>
    </row>
    <row r="1837" spans="2:14" ht="30" x14ac:dyDescent="0.3">
      <c r="B1837" s="1104" t="s">
        <v>0</v>
      </c>
      <c r="C1837" s="1106" t="s">
        <v>24673</v>
      </c>
      <c r="D1837" s="1593" t="s">
        <v>24697</v>
      </c>
      <c r="E1837" s="1593"/>
      <c r="F1837" s="1593"/>
      <c r="G1837" s="1593"/>
      <c r="H1837" s="1593"/>
      <c r="I1837" s="1594"/>
      <c r="J1837" s="1106" t="s">
        <v>3686</v>
      </c>
      <c r="K1837" s="1106" t="s">
        <v>24695</v>
      </c>
      <c r="L1837" s="1106"/>
      <c r="M1837" s="1106" t="s">
        <v>24683</v>
      </c>
      <c r="N1837" s="1114" t="s">
        <v>24689</v>
      </c>
    </row>
    <row r="1838" spans="2:14" x14ac:dyDescent="0.3">
      <c r="B1838" s="1127"/>
      <c r="C1838" s="1128"/>
      <c r="D1838" s="1604"/>
      <c r="E1838" s="1604"/>
      <c r="F1838" s="1604"/>
      <c r="G1838" s="1604"/>
      <c r="H1838" s="1604"/>
      <c r="I1838" s="1605"/>
      <c r="J1838" s="462"/>
      <c r="K1838" s="462"/>
      <c r="L1838" s="462"/>
      <c r="M1838" s="1147"/>
      <c r="N1838" s="1130"/>
    </row>
    <row r="1839" spans="2:14" ht="15.75" thickBot="1" x14ac:dyDescent="0.35">
      <c r="B1839" s="855"/>
      <c r="C1839" s="954"/>
      <c r="D1839" s="954"/>
      <c r="E1839" s="954"/>
      <c r="F1839" s="1110"/>
      <c r="G1839" s="1110"/>
      <c r="H1839" s="1110"/>
      <c r="I1839" s="1110"/>
      <c r="J1839" s="1110"/>
      <c r="K1839" s="1110"/>
      <c r="L1839" s="1110"/>
      <c r="M1839" s="1111" t="s">
        <v>24698</v>
      </c>
      <c r="N1839" s="1112">
        <f>SUM(N1838:N1838)</f>
        <v>0</v>
      </c>
    </row>
    <row r="1840" spans="2:14" ht="15.75" thickBot="1" x14ac:dyDescent="0.35">
      <c r="B1840" s="850"/>
      <c r="C1840" s="461"/>
      <c r="D1840" s="461"/>
      <c r="E1840" s="461"/>
      <c r="F1840" s="461"/>
      <c r="G1840" s="461"/>
      <c r="H1840" s="461"/>
      <c r="I1840" s="461"/>
      <c r="J1840" s="461"/>
      <c r="K1840" s="461"/>
      <c r="L1840" s="461"/>
      <c r="M1840" s="461"/>
      <c r="N1840" s="1113"/>
    </row>
    <row r="1841" spans="2:14" ht="30" x14ac:dyDescent="0.3">
      <c r="B1841" s="1104" t="s">
        <v>0</v>
      </c>
      <c r="C1841" s="1106" t="s">
        <v>24673</v>
      </c>
      <c r="D1841" s="1593" t="s">
        <v>24699</v>
      </c>
      <c r="E1841" s="1593"/>
      <c r="F1841" s="1593"/>
      <c r="G1841" s="1594"/>
      <c r="H1841" s="1106" t="s">
        <v>3686</v>
      </c>
      <c r="I1841" s="1106" t="s">
        <v>24700</v>
      </c>
      <c r="J1841" s="1106" t="s">
        <v>24701</v>
      </c>
      <c r="K1841" s="1106" t="s">
        <v>24695</v>
      </c>
      <c r="L1841" s="1106"/>
      <c r="M1841" s="1106" t="s">
        <v>24683</v>
      </c>
      <c r="N1841" s="1114" t="s">
        <v>24689</v>
      </c>
    </row>
    <row r="1842" spans="2:14" x14ac:dyDescent="0.3">
      <c r="B1842" s="1115"/>
      <c r="C1842" s="1116"/>
      <c r="D1842" s="1595"/>
      <c r="E1842" s="1595"/>
      <c r="F1842" s="1595"/>
      <c r="G1842" s="1595"/>
      <c r="H1842" s="1109"/>
      <c r="I1842" s="1109"/>
      <c r="J1842" s="1109"/>
      <c r="K1842" s="1109"/>
      <c r="L1842" s="1109"/>
      <c r="M1842" s="1118"/>
      <c r="N1842" s="1119"/>
    </row>
    <row r="1843" spans="2:14" x14ac:dyDescent="0.3">
      <c r="B1843" s="850"/>
      <c r="C1843" s="461"/>
      <c r="D1843" s="461"/>
      <c r="E1843" s="461"/>
      <c r="F1843" s="1120"/>
      <c r="G1843" s="1120"/>
      <c r="H1843" s="1120"/>
      <c r="I1843" s="1120"/>
      <c r="J1843" s="1120"/>
      <c r="K1843" s="1120"/>
      <c r="L1843" s="1120"/>
      <c r="M1843" s="1121" t="s">
        <v>24702</v>
      </c>
      <c r="N1843" s="1122">
        <f>SUM(N1842:N1842)</f>
        <v>0</v>
      </c>
    </row>
    <row r="1844" spans="2:14" x14ac:dyDescent="0.3">
      <c r="B1844" s="850"/>
      <c r="C1844" s="461"/>
      <c r="D1844" s="461"/>
      <c r="E1844" s="461"/>
      <c r="F1844" s="461"/>
      <c r="G1844" s="461"/>
      <c r="H1844" s="461"/>
      <c r="I1844" s="461"/>
      <c r="J1844" s="461"/>
      <c r="K1844" s="461"/>
      <c r="L1844" s="461"/>
      <c r="M1844" s="461"/>
      <c r="N1844" s="1113"/>
    </row>
    <row r="1845" spans="2:14" x14ac:dyDescent="0.3">
      <c r="B1845" s="1131"/>
      <c r="C1845" s="1132"/>
      <c r="D1845" s="1132"/>
      <c r="E1845" s="1132"/>
      <c r="F1845" s="1133"/>
      <c r="G1845" s="1133"/>
      <c r="H1845" s="1133"/>
      <c r="I1845" s="1133"/>
      <c r="J1845" s="1133"/>
      <c r="K1845" s="1133"/>
      <c r="L1845" s="1133"/>
      <c r="M1845" s="1134" t="s">
        <v>24703</v>
      </c>
      <c r="N1845" s="1123">
        <f>N1827+N1835+N1839+N1843</f>
        <v>16.5</v>
      </c>
    </row>
    <row r="1846" spans="2:14" x14ac:dyDescent="0.3">
      <c r="B1846" s="850"/>
      <c r="C1846" s="461"/>
      <c r="D1846" s="461"/>
      <c r="E1846" s="461"/>
      <c r="F1846" s="1120"/>
      <c r="G1846" s="1120"/>
      <c r="H1846" s="1120"/>
      <c r="I1846" s="1120"/>
      <c r="J1846" s="1120"/>
      <c r="K1846" s="1120"/>
      <c r="L1846" s="1120"/>
      <c r="M1846" s="1136">
        <f>'QUIOSQUE - MOD 01'!I3</f>
        <v>0.28220000000000001</v>
      </c>
      <c r="N1846" s="1123">
        <f>N1845*M1846</f>
        <v>4.66</v>
      </c>
    </row>
    <row r="1847" spans="2:14" ht="15.75" thickBot="1" x14ac:dyDescent="0.35">
      <c r="B1847" s="1599" t="s">
        <v>24704</v>
      </c>
      <c r="C1847" s="1600"/>
      <c r="D1847" s="1600"/>
      <c r="E1847" s="1600"/>
      <c r="F1847" s="1600"/>
      <c r="G1847" s="1600"/>
      <c r="H1847" s="1600"/>
      <c r="I1847" s="1600"/>
      <c r="J1847" s="1600"/>
      <c r="K1847" s="1600"/>
      <c r="L1847" s="1600"/>
      <c r="M1847" s="1601"/>
      <c r="N1847" s="1126">
        <f>N1845+N1846</f>
        <v>21.16</v>
      </c>
    </row>
    <row r="1849" spans="2:14" ht="15.75" thickBot="1" x14ac:dyDescent="0.35"/>
    <row r="1850" spans="2:14" ht="50.25" customHeight="1" x14ac:dyDescent="0.3">
      <c r="B1850" s="1607" t="s">
        <v>24876</v>
      </c>
      <c r="C1850" s="1608"/>
      <c r="D1850" s="1609"/>
      <c r="E1850" s="1610" t="s">
        <v>24669</v>
      </c>
      <c r="F1850" s="1610"/>
      <c r="G1850" s="1610"/>
      <c r="H1850" s="1610"/>
      <c r="I1850" s="1610"/>
      <c r="J1850" s="1610"/>
      <c r="K1850" s="1610"/>
      <c r="L1850" s="1146"/>
      <c r="M1850" s="1611"/>
      <c r="N1850" s="1577"/>
    </row>
    <row r="1851" spans="2:14" ht="33.75" customHeight="1" x14ac:dyDescent="0.3">
      <c r="B1851" s="1103" t="s">
        <v>24670</v>
      </c>
      <c r="C1851" s="1586" t="s">
        <v>25362</v>
      </c>
      <c r="D1851" s="1586"/>
      <c r="E1851" s="1586"/>
      <c r="F1851" s="1586"/>
      <c r="G1851" s="1586"/>
      <c r="H1851" s="1586"/>
      <c r="I1851" s="1586"/>
      <c r="J1851" s="1586"/>
      <c r="K1851" s="1586"/>
      <c r="L1851" s="1586"/>
      <c r="M1851" s="1586"/>
      <c r="N1851" s="1587"/>
    </row>
    <row r="1852" spans="2:14" x14ac:dyDescent="0.3">
      <c r="B1852" s="1103" t="s">
        <v>24671</v>
      </c>
      <c r="C1852" s="1588" t="s">
        <v>24804</v>
      </c>
      <c r="D1852" s="1588"/>
      <c r="E1852" s="1588"/>
      <c r="F1852" s="1588"/>
      <c r="G1852" s="1588"/>
      <c r="H1852" s="1588"/>
      <c r="I1852" s="1588"/>
      <c r="J1852" s="1588"/>
      <c r="K1852" s="1588"/>
      <c r="L1852" s="1588"/>
      <c r="M1852" s="1588"/>
      <c r="N1852" s="1589"/>
    </row>
    <row r="1853" spans="2:14" ht="15.75" thickBot="1" x14ac:dyDescent="0.35">
      <c r="B1853" s="1103" t="s">
        <v>24672</v>
      </c>
      <c r="C1853" s="1590">
        <v>44501</v>
      </c>
      <c r="D1853" s="1591"/>
      <c r="E1853" s="1591"/>
      <c r="F1853" s="1591"/>
      <c r="G1853" s="1591"/>
      <c r="H1853" s="1591"/>
      <c r="I1853" s="1591"/>
      <c r="J1853" s="1591"/>
      <c r="K1853" s="1591"/>
      <c r="L1853" s="1591"/>
      <c r="M1853" s="1591"/>
      <c r="N1853" s="1592"/>
    </row>
    <row r="1854" spans="2:14" ht="30" x14ac:dyDescent="0.3">
      <c r="B1854" s="1104" t="s">
        <v>0</v>
      </c>
      <c r="C1854" s="1105" t="s">
        <v>24673</v>
      </c>
      <c r="D1854" s="1593" t="s">
        <v>24674</v>
      </c>
      <c r="E1854" s="1593"/>
      <c r="F1854" s="1593"/>
      <c r="G1854" s="1594"/>
      <c r="H1854" s="1106" t="s">
        <v>111</v>
      </c>
      <c r="I1854" s="1106" t="s">
        <v>24675</v>
      </c>
      <c r="J1854" s="1106" t="s">
        <v>24676</v>
      </c>
      <c r="K1854" s="1106" t="s">
        <v>24677</v>
      </c>
      <c r="L1854" s="1106"/>
      <c r="M1854" s="1106" t="s">
        <v>24678</v>
      </c>
      <c r="N1854" s="1114" t="s">
        <v>24679</v>
      </c>
    </row>
    <row r="1855" spans="2:14" x14ac:dyDescent="0.3">
      <c r="B1855" s="1115"/>
      <c r="C1855" s="1108"/>
      <c r="D1855" s="1595"/>
      <c r="E1855" s="1595"/>
      <c r="F1855" s="1595"/>
      <c r="G1855" s="1596"/>
      <c r="H1855" s="1109"/>
      <c r="I1855" s="1109"/>
      <c r="J1855" s="1109"/>
      <c r="K1855" s="1109"/>
      <c r="L1855" s="1109"/>
      <c r="M1855" s="1109"/>
      <c r="N1855" s="1119"/>
    </row>
    <row r="1856" spans="2:14" ht="15.75" thickBot="1" x14ac:dyDescent="0.35">
      <c r="B1856" s="855"/>
      <c r="C1856" s="954"/>
      <c r="D1856" s="954"/>
      <c r="E1856" s="954"/>
      <c r="F1856" s="1110"/>
      <c r="G1856" s="1110"/>
      <c r="H1856" s="1110"/>
      <c r="I1856" s="1110"/>
      <c r="J1856" s="1110"/>
      <c r="K1856" s="1110"/>
      <c r="L1856" s="1110"/>
      <c r="M1856" s="1111" t="s">
        <v>24680</v>
      </c>
      <c r="N1856" s="1112">
        <f>SUM(N1855)</f>
        <v>0</v>
      </c>
    </row>
    <row r="1857" spans="2:14" ht="15.75" thickBot="1" x14ac:dyDescent="0.35">
      <c r="B1857" s="850"/>
      <c r="C1857" s="461"/>
      <c r="D1857" s="461"/>
      <c r="E1857" s="461"/>
      <c r="F1857" s="461"/>
      <c r="G1857" s="461"/>
      <c r="H1857" s="461"/>
      <c r="I1857" s="461"/>
      <c r="J1857" s="461"/>
      <c r="K1857" s="461"/>
      <c r="L1857" s="461"/>
      <c r="M1857" s="461"/>
      <c r="N1857" s="1113"/>
    </row>
    <row r="1858" spans="2:14" ht="45" x14ac:dyDescent="0.3">
      <c r="B1858" s="1104" t="s">
        <v>0</v>
      </c>
      <c r="C1858" s="1105" t="s">
        <v>24673</v>
      </c>
      <c r="D1858" s="1593" t="s">
        <v>24681</v>
      </c>
      <c r="E1858" s="1593"/>
      <c r="F1858" s="1593"/>
      <c r="G1858" s="1593"/>
      <c r="H1858" s="1594"/>
      <c r="I1858" s="1106" t="s">
        <v>3686</v>
      </c>
      <c r="J1858" s="1106" t="s">
        <v>24682</v>
      </c>
      <c r="K1858" s="1106" t="s">
        <v>24861</v>
      </c>
      <c r="L1858" s="1106" t="s">
        <v>24862</v>
      </c>
      <c r="M1858" s="1106" t="s">
        <v>24683</v>
      </c>
      <c r="N1858" s="1114" t="s">
        <v>24679</v>
      </c>
    </row>
    <row r="1859" spans="2:14" x14ac:dyDescent="0.3">
      <c r="B1859" s="1115">
        <v>246</v>
      </c>
      <c r="C1859" s="1116" t="s">
        <v>24706</v>
      </c>
      <c r="D1859" s="1604" t="s">
        <v>25338</v>
      </c>
      <c r="E1859" s="1604"/>
      <c r="F1859" s="1604"/>
      <c r="G1859" s="1604"/>
      <c r="H1859" s="1605"/>
      <c r="I1859" s="1109" t="s">
        <v>75</v>
      </c>
      <c r="J1859" s="1117">
        <v>1.5727</v>
      </c>
      <c r="K1859" s="1143">
        <v>11.34</v>
      </c>
      <c r="L1859" s="1143">
        <f>K1859*(1+J1859)</f>
        <v>29.17</v>
      </c>
      <c r="M1859" s="1118">
        <v>0.22700000000000001</v>
      </c>
      <c r="N1859" s="1119">
        <f>L1859*M1859</f>
        <v>6.62</v>
      </c>
    </row>
    <row r="1860" spans="2:14" x14ac:dyDescent="0.3">
      <c r="B1860" s="1115">
        <v>10118</v>
      </c>
      <c r="C1860" s="1116" t="s">
        <v>4389</v>
      </c>
      <c r="D1860" s="1604" t="s">
        <v>400</v>
      </c>
      <c r="E1860" s="1604"/>
      <c r="F1860" s="1604"/>
      <c r="G1860" s="1604"/>
      <c r="H1860" s="1605"/>
      <c r="I1860" s="1109" t="s">
        <v>75</v>
      </c>
      <c r="J1860" s="1117">
        <v>1.5727</v>
      </c>
      <c r="K1860" s="1143">
        <v>7.43</v>
      </c>
      <c r="L1860" s="1143">
        <f>K1860*(1+J1860)</f>
        <v>19.12</v>
      </c>
      <c r="M1860" s="1118">
        <v>0.22700000000000001</v>
      </c>
      <c r="N1860" s="1119">
        <f>L1860*M1860</f>
        <v>4.34</v>
      </c>
    </row>
    <row r="1861" spans="2:14" ht="15.75" thickBot="1" x14ac:dyDescent="0.35">
      <c r="B1861" s="855"/>
      <c r="C1861" s="954"/>
      <c r="D1861" s="954"/>
      <c r="E1861" s="954"/>
      <c r="F1861" s="1110"/>
      <c r="G1861" s="1110"/>
      <c r="H1861" s="1110"/>
      <c r="I1861" s="1110"/>
      <c r="J1861" s="1110"/>
      <c r="K1861" s="1110"/>
      <c r="L1861" s="1110"/>
      <c r="M1861" s="1111" t="s">
        <v>24684</v>
      </c>
      <c r="N1861" s="1112">
        <f>SUM(N1859:N1860)</f>
        <v>10.96</v>
      </c>
    </row>
    <row r="1862" spans="2:14" ht="15.75" thickBot="1" x14ac:dyDescent="0.35">
      <c r="B1862" s="850"/>
      <c r="C1862" s="461"/>
      <c r="D1862" s="461"/>
      <c r="E1862" s="461"/>
      <c r="F1862" s="461"/>
      <c r="G1862" s="461"/>
      <c r="H1862" s="461"/>
      <c r="I1862" s="1120"/>
      <c r="J1862" s="1120"/>
      <c r="K1862" s="461"/>
      <c r="L1862" s="461"/>
      <c r="M1862" s="461"/>
      <c r="N1862" s="1113"/>
    </row>
    <row r="1863" spans="2:14" ht="30" x14ac:dyDescent="0.3">
      <c r="B1863" s="1104" t="s">
        <v>0</v>
      </c>
      <c r="C1863" s="1105" t="s">
        <v>24673</v>
      </c>
      <c r="D1863" s="1593" t="s">
        <v>24685</v>
      </c>
      <c r="E1863" s="1593"/>
      <c r="F1863" s="1593"/>
      <c r="G1863" s="1593"/>
      <c r="H1863" s="1594"/>
      <c r="I1863" s="1106" t="s">
        <v>2858</v>
      </c>
      <c r="J1863" s="1106" t="s">
        <v>24686</v>
      </c>
      <c r="K1863" s="1106" t="s">
        <v>24687</v>
      </c>
      <c r="L1863" s="1106"/>
      <c r="M1863" s="1106" t="s">
        <v>24688</v>
      </c>
      <c r="N1863" s="1114" t="s">
        <v>24689</v>
      </c>
    </row>
    <row r="1864" spans="2:14" x14ac:dyDescent="0.3">
      <c r="B1864" s="1115"/>
      <c r="C1864" s="1116"/>
      <c r="D1864" s="1604"/>
      <c r="E1864" s="1604"/>
      <c r="F1864" s="1604"/>
      <c r="G1864" s="1604"/>
      <c r="H1864" s="1605"/>
      <c r="I1864" s="1109"/>
      <c r="J1864" s="1109"/>
      <c r="K1864" s="1109"/>
      <c r="L1864" s="1109"/>
      <c r="M1864" s="1109"/>
      <c r="N1864" s="1119"/>
    </row>
    <row r="1865" spans="2:14" x14ac:dyDescent="0.3">
      <c r="B1865" s="850"/>
      <c r="C1865" s="461"/>
      <c r="D1865" s="461"/>
      <c r="E1865" s="461"/>
      <c r="F1865" s="1120"/>
      <c r="G1865" s="1120"/>
      <c r="H1865" s="1120"/>
      <c r="I1865" s="1120"/>
      <c r="J1865" s="1120"/>
      <c r="K1865" s="1120"/>
      <c r="L1865" s="1120"/>
      <c r="M1865" s="1121" t="s">
        <v>24690</v>
      </c>
      <c r="N1865" s="1122">
        <f>SUM(N1864:N1864)</f>
        <v>0</v>
      </c>
    </row>
    <row r="1866" spans="2:14" x14ac:dyDescent="0.3">
      <c r="B1866" s="850"/>
      <c r="C1866" s="461"/>
      <c r="D1866" s="461"/>
      <c r="E1866" s="461"/>
      <c r="F1866" s="461"/>
      <c r="G1866" s="461"/>
      <c r="H1866" s="461"/>
      <c r="I1866" s="461"/>
      <c r="J1866" s="461"/>
      <c r="K1866" s="461"/>
      <c r="L1866" s="461"/>
      <c r="M1866" s="461"/>
      <c r="N1866" s="1113"/>
    </row>
    <row r="1867" spans="2:14" x14ac:dyDescent="0.3">
      <c r="B1867" s="850"/>
      <c r="C1867" s="461"/>
      <c r="D1867" s="461"/>
      <c r="E1867" s="461"/>
      <c r="F1867" s="1120"/>
      <c r="G1867" s="1120"/>
      <c r="H1867" s="1120"/>
      <c r="I1867" s="863"/>
      <c r="J1867" s="863"/>
      <c r="K1867" s="863"/>
      <c r="L1867" s="863"/>
      <c r="M1867" s="1121" t="s">
        <v>24691</v>
      </c>
      <c r="N1867" s="1123">
        <f>N1856+N1861+N1865</f>
        <v>10.96</v>
      </c>
    </row>
    <row r="1868" spans="2:14" x14ac:dyDescent="0.3">
      <c r="B1868" s="850"/>
      <c r="C1868" s="461"/>
      <c r="D1868" s="461"/>
      <c r="E1868" s="461"/>
      <c r="F1868" s="1120"/>
      <c r="G1868" s="1120"/>
      <c r="H1868" s="1120"/>
      <c r="I1868" s="1120"/>
      <c r="J1868" s="1124"/>
      <c r="K1868" s="1124"/>
      <c r="L1868" s="1124"/>
      <c r="M1868" s="1125" t="s">
        <v>24692</v>
      </c>
      <c r="N1868" s="1123">
        <v>1</v>
      </c>
    </row>
    <row r="1869" spans="2:14" ht="15.75" thickBot="1" x14ac:dyDescent="0.35">
      <c r="B1869" s="855"/>
      <c r="C1869" s="954"/>
      <c r="D1869" s="954"/>
      <c r="E1869" s="954"/>
      <c r="F1869" s="1110"/>
      <c r="G1869" s="1110"/>
      <c r="H1869" s="1110"/>
      <c r="I1869" s="1110"/>
      <c r="J1869" s="1110"/>
      <c r="K1869" s="1110"/>
      <c r="L1869" s="1110"/>
      <c r="M1869" s="1111" t="s">
        <v>24693</v>
      </c>
      <c r="N1869" s="1126">
        <f>TRUNC(N1867/N1868,2)</f>
        <v>10.96</v>
      </c>
    </row>
    <row r="1870" spans="2:14" ht="15.75" thickBot="1" x14ac:dyDescent="0.35">
      <c r="B1870" s="850"/>
      <c r="C1870" s="461"/>
      <c r="D1870" s="461"/>
      <c r="E1870" s="461"/>
      <c r="F1870" s="461"/>
      <c r="G1870" s="461"/>
      <c r="H1870" s="461"/>
      <c r="I1870" s="461"/>
      <c r="J1870" s="461"/>
      <c r="K1870" s="461"/>
      <c r="L1870" s="461"/>
      <c r="M1870" s="461"/>
      <c r="N1870" s="1113"/>
    </row>
    <row r="1871" spans="2:14" ht="30" x14ac:dyDescent="0.3">
      <c r="B1871" s="1104" t="s">
        <v>0</v>
      </c>
      <c r="C1871" s="1105" t="s">
        <v>24673</v>
      </c>
      <c r="D1871" s="1593" t="s">
        <v>24694</v>
      </c>
      <c r="E1871" s="1593"/>
      <c r="F1871" s="1593"/>
      <c r="G1871" s="1593"/>
      <c r="H1871" s="1593"/>
      <c r="I1871" s="1594"/>
      <c r="J1871" s="1106" t="s">
        <v>3686</v>
      </c>
      <c r="K1871" s="1106" t="s">
        <v>24695</v>
      </c>
      <c r="L1871" s="1614" t="s">
        <v>24683</v>
      </c>
      <c r="M1871" s="1615"/>
      <c r="N1871" s="1114" t="s">
        <v>24689</v>
      </c>
    </row>
    <row r="1872" spans="2:14" ht="30" customHeight="1" x14ac:dyDescent="0.3">
      <c r="B1872" s="1115">
        <v>7142</v>
      </c>
      <c r="C1872" s="1116" t="s">
        <v>24706</v>
      </c>
      <c r="D1872" s="1604" t="s">
        <v>25363</v>
      </c>
      <c r="E1872" s="1604"/>
      <c r="F1872" s="1604"/>
      <c r="G1872" s="1604"/>
      <c r="H1872" s="1604"/>
      <c r="I1872" s="1605"/>
      <c r="J1872" s="1109" t="s">
        <v>24804</v>
      </c>
      <c r="K1872" s="1143">
        <v>15.78</v>
      </c>
      <c r="L1872" s="1624">
        <v>1</v>
      </c>
      <c r="M1872" s="1625"/>
      <c r="N1872" s="1119">
        <f>K1872*L1872</f>
        <v>15.78</v>
      </c>
    </row>
    <row r="1873" spans="2:14" x14ac:dyDescent="0.3">
      <c r="B1873" s="1115">
        <v>20080</v>
      </c>
      <c r="C1873" s="1116" t="s">
        <v>24706</v>
      </c>
      <c r="D1873" s="1604" t="s">
        <v>25361</v>
      </c>
      <c r="E1873" s="1604"/>
      <c r="F1873" s="1604"/>
      <c r="G1873" s="1604"/>
      <c r="H1873" s="1604"/>
      <c r="I1873" s="1605"/>
      <c r="J1873" s="1109" t="s">
        <v>24804</v>
      </c>
      <c r="K1873" s="1143">
        <v>21.39</v>
      </c>
      <c r="L1873" s="1624">
        <v>0.107</v>
      </c>
      <c r="M1873" s="1625"/>
      <c r="N1873" s="1119">
        <f t="shared" ref="N1873:N1875" si="30">K1873*L1873</f>
        <v>2.29</v>
      </c>
    </row>
    <row r="1874" spans="2:14" x14ac:dyDescent="0.3">
      <c r="B1874" s="1115">
        <v>20083</v>
      </c>
      <c r="C1874" s="1116" t="s">
        <v>24706</v>
      </c>
      <c r="D1874" s="1604" t="s">
        <v>25341</v>
      </c>
      <c r="E1874" s="1604"/>
      <c r="F1874" s="1604"/>
      <c r="G1874" s="1604"/>
      <c r="H1874" s="1604"/>
      <c r="I1874" s="1605"/>
      <c r="J1874" s="1109" t="s">
        <v>24804</v>
      </c>
      <c r="K1874" s="1143">
        <v>74.27</v>
      </c>
      <c r="L1874" s="1624">
        <v>2.7E-2</v>
      </c>
      <c r="M1874" s="1625"/>
      <c r="N1874" s="1119">
        <f t="shared" si="30"/>
        <v>2.0099999999999998</v>
      </c>
    </row>
    <row r="1875" spans="2:14" x14ac:dyDescent="0.3">
      <c r="B1875" s="1115">
        <v>38383</v>
      </c>
      <c r="C1875" s="1116" t="s">
        <v>24706</v>
      </c>
      <c r="D1875" s="1604" t="s">
        <v>25342</v>
      </c>
      <c r="E1875" s="1604"/>
      <c r="F1875" s="1604"/>
      <c r="G1875" s="1604"/>
      <c r="H1875" s="1604"/>
      <c r="I1875" s="1605"/>
      <c r="J1875" s="1109" t="s">
        <v>24804</v>
      </c>
      <c r="K1875" s="1143">
        <v>1.99</v>
      </c>
      <c r="L1875" s="1624">
        <v>3.4000000000000002E-2</v>
      </c>
      <c r="M1875" s="1625"/>
      <c r="N1875" s="1119">
        <f t="shared" si="30"/>
        <v>7.0000000000000007E-2</v>
      </c>
    </row>
    <row r="1876" spans="2:14" x14ac:dyDescent="0.3">
      <c r="B1876" s="1115"/>
      <c r="C1876" s="1116"/>
      <c r="D1876" s="1604"/>
      <c r="E1876" s="1604"/>
      <c r="F1876" s="1604"/>
      <c r="G1876" s="1604"/>
      <c r="H1876" s="1604"/>
      <c r="I1876" s="1605"/>
      <c r="J1876" s="1109"/>
      <c r="K1876" s="1109"/>
      <c r="L1876" s="1109"/>
      <c r="M1876" s="1118"/>
      <c r="N1876" s="1119"/>
    </row>
    <row r="1877" spans="2:14" ht="15.75" thickBot="1" x14ac:dyDescent="0.35">
      <c r="B1877" s="855"/>
      <c r="C1877" s="954"/>
      <c r="D1877" s="954"/>
      <c r="E1877" s="954"/>
      <c r="F1877" s="1110"/>
      <c r="G1877" s="1110"/>
      <c r="H1877" s="1110"/>
      <c r="I1877" s="1110"/>
      <c r="J1877" s="1110"/>
      <c r="K1877" s="1110"/>
      <c r="L1877" s="1110"/>
      <c r="M1877" s="1111" t="s">
        <v>24696</v>
      </c>
      <c r="N1877" s="1112">
        <f>SUM(N1872:N1875)</f>
        <v>20.149999999999999</v>
      </c>
    </row>
    <row r="1878" spans="2:14" ht="15.75" thickBot="1" x14ac:dyDescent="0.35">
      <c r="B1878" s="850"/>
      <c r="C1878" s="461"/>
      <c r="D1878" s="461"/>
      <c r="E1878" s="461"/>
      <c r="F1878" s="461"/>
      <c r="G1878" s="461"/>
      <c r="H1878" s="461"/>
      <c r="I1878" s="461"/>
      <c r="J1878" s="461"/>
      <c r="K1878" s="461"/>
      <c r="L1878" s="461"/>
      <c r="M1878" s="461"/>
      <c r="N1878" s="1113"/>
    </row>
    <row r="1879" spans="2:14" ht="30" x14ac:dyDescent="0.3">
      <c r="B1879" s="1104" t="s">
        <v>0</v>
      </c>
      <c r="C1879" s="1106" t="s">
        <v>24673</v>
      </c>
      <c r="D1879" s="1593" t="s">
        <v>24697</v>
      </c>
      <c r="E1879" s="1593"/>
      <c r="F1879" s="1593"/>
      <c r="G1879" s="1593"/>
      <c r="H1879" s="1593"/>
      <c r="I1879" s="1594"/>
      <c r="J1879" s="1106" t="s">
        <v>3686</v>
      </c>
      <c r="K1879" s="1106" t="s">
        <v>24695</v>
      </c>
      <c r="L1879" s="1106"/>
      <c r="M1879" s="1106" t="s">
        <v>24683</v>
      </c>
      <c r="N1879" s="1114" t="s">
        <v>24689</v>
      </c>
    </row>
    <row r="1880" spans="2:14" x14ac:dyDescent="0.3">
      <c r="B1880" s="1127"/>
      <c r="C1880" s="1128"/>
      <c r="D1880" s="1604"/>
      <c r="E1880" s="1604"/>
      <c r="F1880" s="1604"/>
      <c r="G1880" s="1604"/>
      <c r="H1880" s="1604"/>
      <c r="I1880" s="1605"/>
      <c r="J1880" s="462"/>
      <c r="K1880" s="462"/>
      <c r="L1880" s="462"/>
      <c r="M1880" s="1147"/>
      <c r="N1880" s="1130"/>
    </row>
    <row r="1881" spans="2:14" ht="15.75" thickBot="1" x14ac:dyDescent="0.35">
      <c r="B1881" s="855"/>
      <c r="C1881" s="954"/>
      <c r="D1881" s="954"/>
      <c r="E1881" s="954"/>
      <c r="F1881" s="1110"/>
      <c r="G1881" s="1110"/>
      <c r="H1881" s="1110"/>
      <c r="I1881" s="1110"/>
      <c r="J1881" s="1110"/>
      <c r="K1881" s="1110"/>
      <c r="L1881" s="1110"/>
      <c r="M1881" s="1111" t="s">
        <v>24698</v>
      </c>
      <c r="N1881" s="1112">
        <f>SUM(N1880:N1880)</f>
        <v>0</v>
      </c>
    </row>
    <row r="1882" spans="2:14" ht="15.75" thickBot="1" x14ac:dyDescent="0.35">
      <c r="B1882" s="850"/>
      <c r="C1882" s="461"/>
      <c r="D1882" s="461"/>
      <c r="E1882" s="461"/>
      <c r="F1882" s="461"/>
      <c r="G1882" s="461"/>
      <c r="H1882" s="461"/>
      <c r="I1882" s="461"/>
      <c r="J1882" s="461"/>
      <c r="K1882" s="461"/>
      <c r="L1882" s="461"/>
      <c r="M1882" s="461"/>
      <c r="N1882" s="1113"/>
    </row>
    <row r="1883" spans="2:14" ht="30" x14ac:dyDescent="0.3">
      <c r="B1883" s="1104" t="s">
        <v>0</v>
      </c>
      <c r="C1883" s="1106" t="s">
        <v>24673</v>
      </c>
      <c r="D1883" s="1593" t="s">
        <v>24699</v>
      </c>
      <c r="E1883" s="1593"/>
      <c r="F1883" s="1593"/>
      <c r="G1883" s="1594"/>
      <c r="H1883" s="1106" t="s">
        <v>3686</v>
      </c>
      <c r="I1883" s="1106" t="s">
        <v>24700</v>
      </c>
      <c r="J1883" s="1106" t="s">
        <v>24701</v>
      </c>
      <c r="K1883" s="1106" t="s">
        <v>24695</v>
      </c>
      <c r="L1883" s="1106"/>
      <c r="M1883" s="1106" t="s">
        <v>24683</v>
      </c>
      <c r="N1883" s="1114" t="s">
        <v>24689</v>
      </c>
    </row>
    <row r="1884" spans="2:14" x14ac:dyDescent="0.3">
      <c r="B1884" s="1115"/>
      <c r="C1884" s="1116"/>
      <c r="D1884" s="1595"/>
      <c r="E1884" s="1595"/>
      <c r="F1884" s="1595"/>
      <c r="G1884" s="1595"/>
      <c r="H1884" s="1109"/>
      <c r="I1884" s="1109"/>
      <c r="J1884" s="1109"/>
      <c r="K1884" s="1109"/>
      <c r="L1884" s="1109"/>
      <c r="M1884" s="1118"/>
      <c r="N1884" s="1119"/>
    </row>
    <row r="1885" spans="2:14" x14ac:dyDescent="0.3">
      <c r="B1885" s="850"/>
      <c r="C1885" s="461"/>
      <c r="D1885" s="461"/>
      <c r="E1885" s="461"/>
      <c r="F1885" s="1120"/>
      <c r="G1885" s="1120"/>
      <c r="H1885" s="1120"/>
      <c r="I1885" s="1120"/>
      <c r="J1885" s="1120"/>
      <c r="K1885" s="1120"/>
      <c r="L1885" s="1120"/>
      <c r="M1885" s="1121" t="s">
        <v>24702</v>
      </c>
      <c r="N1885" s="1122">
        <f>SUM(N1884:N1884)</f>
        <v>0</v>
      </c>
    </row>
    <row r="1886" spans="2:14" x14ac:dyDescent="0.3">
      <c r="B1886" s="850"/>
      <c r="C1886" s="461"/>
      <c r="D1886" s="461"/>
      <c r="E1886" s="461"/>
      <c r="F1886" s="461"/>
      <c r="G1886" s="461"/>
      <c r="H1886" s="461"/>
      <c r="I1886" s="461"/>
      <c r="J1886" s="461"/>
      <c r="K1886" s="461"/>
      <c r="L1886" s="461"/>
      <c r="M1886" s="461"/>
      <c r="N1886" s="1113"/>
    </row>
    <row r="1887" spans="2:14" x14ac:dyDescent="0.3">
      <c r="B1887" s="1131"/>
      <c r="C1887" s="1132"/>
      <c r="D1887" s="1132"/>
      <c r="E1887" s="1132"/>
      <c r="F1887" s="1133"/>
      <c r="G1887" s="1133"/>
      <c r="H1887" s="1133"/>
      <c r="I1887" s="1133"/>
      <c r="J1887" s="1133"/>
      <c r="K1887" s="1133"/>
      <c r="L1887" s="1133"/>
      <c r="M1887" s="1134" t="s">
        <v>24703</v>
      </c>
      <c r="N1887" s="1123">
        <f>N1869+N1877+N1881+N1885</f>
        <v>31.11</v>
      </c>
    </row>
    <row r="1888" spans="2:14" x14ac:dyDescent="0.3">
      <c r="B1888" s="850"/>
      <c r="C1888" s="461"/>
      <c r="D1888" s="461"/>
      <c r="E1888" s="461"/>
      <c r="F1888" s="1120"/>
      <c r="G1888" s="1120"/>
      <c r="H1888" s="1120"/>
      <c r="I1888" s="1120"/>
      <c r="J1888" s="1120"/>
      <c r="K1888" s="1120"/>
      <c r="L1888" s="1120"/>
      <c r="M1888" s="1136">
        <f>'QUIOSQUE - MOD 01'!I3</f>
        <v>0.28220000000000001</v>
      </c>
      <c r="N1888" s="1123">
        <f>N1887*M1888</f>
        <v>8.7799999999999994</v>
      </c>
    </row>
    <row r="1889" spans="2:14" ht="15.75" thickBot="1" x14ac:dyDescent="0.35">
      <c r="B1889" s="1599" t="s">
        <v>24704</v>
      </c>
      <c r="C1889" s="1600"/>
      <c r="D1889" s="1600"/>
      <c r="E1889" s="1600"/>
      <c r="F1889" s="1600"/>
      <c r="G1889" s="1600"/>
      <c r="H1889" s="1600"/>
      <c r="I1889" s="1600"/>
      <c r="J1889" s="1600"/>
      <c r="K1889" s="1600"/>
      <c r="L1889" s="1600"/>
      <c r="M1889" s="1601"/>
      <c r="N1889" s="1126">
        <f>N1887+N1888</f>
        <v>39.89</v>
      </c>
    </row>
    <row r="1891" spans="2:14" ht="15.75" thickBot="1" x14ac:dyDescent="0.35"/>
    <row r="1892" spans="2:14" ht="45" customHeight="1" x14ac:dyDescent="0.3">
      <c r="B1892" s="1607" t="s">
        <v>24877</v>
      </c>
      <c r="C1892" s="1608"/>
      <c r="D1892" s="1609"/>
      <c r="E1892" s="1610" t="s">
        <v>24669</v>
      </c>
      <c r="F1892" s="1610"/>
      <c r="G1892" s="1610"/>
      <c r="H1892" s="1610"/>
      <c r="I1892" s="1610"/>
      <c r="J1892" s="1610"/>
      <c r="K1892" s="1610"/>
      <c r="L1892" s="1146"/>
      <c r="M1892" s="1611"/>
      <c r="N1892" s="1577"/>
    </row>
    <row r="1893" spans="2:14" ht="35.25" customHeight="1" x14ac:dyDescent="0.3">
      <c r="B1893" s="1103" t="s">
        <v>24670</v>
      </c>
      <c r="C1893" s="1586" t="s">
        <v>25364</v>
      </c>
      <c r="D1893" s="1586"/>
      <c r="E1893" s="1586"/>
      <c r="F1893" s="1586"/>
      <c r="G1893" s="1586"/>
      <c r="H1893" s="1586"/>
      <c r="I1893" s="1586"/>
      <c r="J1893" s="1586"/>
      <c r="K1893" s="1586"/>
      <c r="L1893" s="1586"/>
      <c r="M1893" s="1586"/>
      <c r="N1893" s="1587"/>
    </row>
    <row r="1894" spans="2:14" x14ac:dyDescent="0.3">
      <c r="B1894" s="1103" t="s">
        <v>24671</v>
      </c>
      <c r="C1894" s="1588" t="s">
        <v>24804</v>
      </c>
      <c r="D1894" s="1588"/>
      <c r="E1894" s="1588"/>
      <c r="F1894" s="1588"/>
      <c r="G1894" s="1588"/>
      <c r="H1894" s="1588"/>
      <c r="I1894" s="1588"/>
      <c r="J1894" s="1588"/>
      <c r="K1894" s="1588"/>
      <c r="L1894" s="1588"/>
      <c r="M1894" s="1588"/>
      <c r="N1894" s="1589"/>
    </row>
    <row r="1895" spans="2:14" ht="15.75" thickBot="1" x14ac:dyDescent="0.35">
      <c r="B1895" s="1103" t="s">
        <v>24672</v>
      </c>
      <c r="C1895" s="1590">
        <v>44501</v>
      </c>
      <c r="D1895" s="1591"/>
      <c r="E1895" s="1591"/>
      <c r="F1895" s="1591"/>
      <c r="G1895" s="1591"/>
      <c r="H1895" s="1591"/>
      <c r="I1895" s="1591"/>
      <c r="J1895" s="1591"/>
      <c r="K1895" s="1591"/>
      <c r="L1895" s="1591"/>
      <c r="M1895" s="1591"/>
      <c r="N1895" s="1592"/>
    </row>
    <row r="1896" spans="2:14" ht="30" x14ac:dyDescent="0.3">
      <c r="B1896" s="1104" t="s">
        <v>0</v>
      </c>
      <c r="C1896" s="1105" t="s">
        <v>24673</v>
      </c>
      <c r="D1896" s="1593" t="s">
        <v>24674</v>
      </c>
      <c r="E1896" s="1593"/>
      <c r="F1896" s="1593"/>
      <c r="G1896" s="1594"/>
      <c r="H1896" s="1106" t="s">
        <v>111</v>
      </c>
      <c r="I1896" s="1106" t="s">
        <v>24675</v>
      </c>
      <c r="J1896" s="1106" t="s">
        <v>24676</v>
      </c>
      <c r="K1896" s="1106" t="s">
        <v>24677</v>
      </c>
      <c r="L1896" s="1106"/>
      <c r="M1896" s="1106" t="s">
        <v>24678</v>
      </c>
      <c r="N1896" s="1114" t="s">
        <v>24679</v>
      </c>
    </row>
    <row r="1897" spans="2:14" x14ac:dyDescent="0.3">
      <c r="B1897" s="1115"/>
      <c r="C1897" s="1108"/>
      <c r="D1897" s="1595"/>
      <c r="E1897" s="1595"/>
      <c r="F1897" s="1595"/>
      <c r="G1897" s="1596"/>
      <c r="H1897" s="1109"/>
      <c r="I1897" s="1109"/>
      <c r="J1897" s="1109"/>
      <c r="K1897" s="1109"/>
      <c r="L1897" s="1109"/>
      <c r="M1897" s="1109"/>
      <c r="N1897" s="1119"/>
    </row>
    <row r="1898" spans="2:14" ht="15.75" thickBot="1" x14ac:dyDescent="0.35">
      <c r="B1898" s="855"/>
      <c r="C1898" s="954"/>
      <c r="D1898" s="954"/>
      <c r="E1898" s="954"/>
      <c r="F1898" s="1110"/>
      <c r="G1898" s="1110"/>
      <c r="H1898" s="1110"/>
      <c r="I1898" s="1110"/>
      <c r="J1898" s="1110"/>
      <c r="K1898" s="1110"/>
      <c r="L1898" s="1110"/>
      <c r="M1898" s="1111" t="s">
        <v>24680</v>
      </c>
      <c r="N1898" s="1112">
        <f>SUM(N1897)</f>
        <v>0</v>
      </c>
    </row>
    <row r="1899" spans="2:14" ht="15.75" thickBot="1" x14ac:dyDescent="0.35">
      <c r="B1899" s="850"/>
      <c r="C1899" s="461"/>
      <c r="D1899" s="461"/>
      <c r="E1899" s="461"/>
      <c r="F1899" s="461"/>
      <c r="G1899" s="461"/>
      <c r="H1899" s="461"/>
      <c r="I1899" s="461"/>
      <c r="J1899" s="461"/>
      <c r="K1899" s="461"/>
      <c r="L1899" s="461"/>
      <c r="M1899" s="461"/>
      <c r="N1899" s="1113"/>
    </row>
    <row r="1900" spans="2:14" ht="45" x14ac:dyDescent="0.3">
      <c r="B1900" s="1104" t="s">
        <v>0</v>
      </c>
      <c r="C1900" s="1105" t="s">
        <v>24673</v>
      </c>
      <c r="D1900" s="1593" t="s">
        <v>24681</v>
      </c>
      <c r="E1900" s="1593"/>
      <c r="F1900" s="1593"/>
      <c r="G1900" s="1593"/>
      <c r="H1900" s="1594"/>
      <c r="I1900" s="1106" t="s">
        <v>3686</v>
      </c>
      <c r="J1900" s="1106" t="s">
        <v>24682</v>
      </c>
      <c r="K1900" s="1106" t="s">
        <v>24861</v>
      </c>
      <c r="L1900" s="1106" t="s">
        <v>24862</v>
      </c>
      <c r="M1900" s="1106" t="s">
        <v>24683</v>
      </c>
      <c r="N1900" s="1114" t="s">
        <v>24679</v>
      </c>
    </row>
    <row r="1901" spans="2:14" x14ac:dyDescent="0.3">
      <c r="B1901" s="1115">
        <v>246</v>
      </c>
      <c r="C1901" s="1116" t="s">
        <v>24706</v>
      </c>
      <c r="D1901" s="1604" t="s">
        <v>25338</v>
      </c>
      <c r="E1901" s="1604"/>
      <c r="F1901" s="1604"/>
      <c r="G1901" s="1604"/>
      <c r="H1901" s="1605"/>
      <c r="I1901" s="1109" t="s">
        <v>75</v>
      </c>
      <c r="J1901" s="1117">
        <v>1.5727</v>
      </c>
      <c r="K1901" s="1143">
        <v>11.34</v>
      </c>
      <c r="L1901" s="1143">
        <f>K1901*(1+J1901)</f>
        <v>29.17</v>
      </c>
      <c r="M1901" s="1118">
        <v>0.159</v>
      </c>
      <c r="N1901" s="1119">
        <f>L1901*M1901</f>
        <v>4.6399999999999997</v>
      </c>
    </row>
    <row r="1902" spans="2:14" x14ac:dyDescent="0.3">
      <c r="B1902" s="1115">
        <v>10118</v>
      </c>
      <c r="C1902" s="1116" t="s">
        <v>4389</v>
      </c>
      <c r="D1902" s="1604" t="s">
        <v>400</v>
      </c>
      <c r="E1902" s="1604"/>
      <c r="F1902" s="1604"/>
      <c r="G1902" s="1604"/>
      <c r="H1902" s="1605"/>
      <c r="I1902" s="1109" t="s">
        <v>75</v>
      </c>
      <c r="J1902" s="1117">
        <v>1.5727</v>
      </c>
      <c r="K1902" s="1143">
        <v>7.43</v>
      </c>
      <c r="L1902" s="1143">
        <f>K1902*(1+J1902)</f>
        <v>19.12</v>
      </c>
      <c r="M1902" s="1118">
        <v>0.159</v>
      </c>
      <c r="N1902" s="1119">
        <f>L1902*M1902</f>
        <v>3.04</v>
      </c>
    </row>
    <row r="1903" spans="2:14" ht="15.75" thickBot="1" x14ac:dyDescent="0.35">
      <c r="B1903" s="855"/>
      <c r="C1903" s="954"/>
      <c r="D1903" s="954"/>
      <c r="E1903" s="954"/>
      <c r="F1903" s="1110"/>
      <c r="G1903" s="1110"/>
      <c r="H1903" s="1110"/>
      <c r="I1903" s="1110"/>
      <c r="J1903" s="1110"/>
      <c r="K1903" s="1110"/>
      <c r="L1903" s="1110"/>
      <c r="M1903" s="1111" t="s">
        <v>24684</v>
      </c>
      <c r="N1903" s="1112">
        <f>SUM(N1901:N1902)</f>
        <v>7.68</v>
      </c>
    </row>
    <row r="1904" spans="2:14" ht="15.75" thickBot="1" x14ac:dyDescent="0.35">
      <c r="B1904" s="850"/>
      <c r="C1904" s="461"/>
      <c r="D1904" s="461"/>
      <c r="E1904" s="461"/>
      <c r="F1904" s="461"/>
      <c r="G1904" s="461"/>
      <c r="H1904" s="461"/>
      <c r="I1904" s="1120"/>
      <c r="J1904" s="1120"/>
      <c r="K1904" s="461"/>
      <c r="L1904" s="461"/>
      <c r="M1904" s="461"/>
      <c r="N1904" s="1113"/>
    </row>
    <row r="1905" spans="2:14" ht="30" x14ac:dyDescent="0.3">
      <c r="B1905" s="1104" t="s">
        <v>0</v>
      </c>
      <c r="C1905" s="1105" t="s">
        <v>24673</v>
      </c>
      <c r="D1905" s="1593" t="s">
        <v>24685</v>
      </c>
      <c r="E1905" s="1593"/>
      <c r="F1905" s="1593"/>
      <c r="G1905" s="1593"/>
      <c r="H1905" s="1594"/>
      <c r="I1905" s="1106" t="s">
        <v>2858</v>
      </c>
      <c r="J1905" s="1106" t="s">
        <v>24686</v>
      </c>
      <c r="K1905" s="1106" t="s">
        <v>24687</v>
      </c>
      <c r="L1905" s="1106"/>
      <c r="M1905" s="1106" t="s">
        <v>24688</v>
      </c>
      <c r="N1905" s="1114" t="s">
        <v>24689</v>
      </c>
    </row>
    <row r="1906" spans="2:14" x14ac:dyDescent="0.3">
      <c r="B1906" s="1115"/>
      <c r="C1906" s="1116"/>
      <c r="D1906" s="1604"/>
      <c r="E1906" s="1604"/>
      <c r="F1906" s="1604"/>
      <c r="G1906" s="1604"/>
      <c r="H1906" s="1605"/>
      <c r="I1906" s="1109"/>
      <c r="J1906" s="1109"/>
      <c r="K1906" s="1109"/>
      <c r="L1906" s="1109"/>
      <c r="M1906" s="1109"/>
      <c r="N1906" s="1119"/>
    </row>
    <row r="1907" spans="2:14" x14ac:dyDescent="0.3">
      <c r="B1907" s="850"/>
      <c r="C1907" s="461"/>
      <c r="D1907" s="461"/>
      <c r="E1907" s="461"/>
      <c r="F1907" s="1120"/>
      <c r="G1907" s="1120"/>
      <c r="H1907" s="1120"/>
      <c r="I1907" s="1120"/>
      <c r="J1907" s="1120"/>
      <c r="K1907" s="1120"/>
      <c r="L1907" s="1120"/>
      <c r="M1907" s="1121" t="s">
        <v>24690</v>
      </c>
      <c r="N1907" s="1122">
        <f>SUM(N1906:N1906)</f>
        <v>0</v>
      </c>
    </row>
    <row r="1908" spans="2:14" x14ac:dyDescent="0.3">
      <c r="B1908" s="850"/>
      <c r="C1908" s="461"/>
      <c r="D1908" s="461"/>
      <c r="E1908" s="461"/>
      <c r="F1908" s="461"/>
      <c r="G1908" s="461"/>
      <c r="H1908" s="461"/>
      <c r="I1908" s="461"/>
      <c r="J1908" s="461"/>
      <c r="K1908" s="461"/>
      <c r="L1908" s="461"/>
      <c r="M1908" s="461"/>
      <c r="N1908" s="1113"/>
    </row>
    <row r="1909" spans="2:14" x14ac:dyDescent="0.3">
      <c r="B1909" s="850"/>
      <c r="C1909" s="461"/>
      <c r="D1909" s="461"/>
      <c r="E1909" s="461"/>
      <c r="F1909" s="1120"/>
      <c r="G1909" s="1120"/>
      <c r="H1909" s="1120"/>
      <c r="I1909" s="863"/>
      <c r="J1909" s="863"/>
      <c r="K1909" s="863"/>
      <c r="L1909" s="863"/>
      <c r="M1909" s="1121" t="s">
        <v>24691</v>
      </c>
      <c r="N1909" s="1123">
        <f>N1898+N1903+N1907</f>
        <v>7.68</v>
      </c>
    </row>
    <row r="1910" spans="2:14" x14ac:dyDescent="0.3">
      <c r="B1910" s="850"/>
      <c r="C1910" s="461"/>
      <c r="D1910" s="461"/>
      <c r="E1910" s="461"/>
      <c r="F1910" s="1120"/>
      <c r="G1910" s="1120"/>
      <c r="H1910" s="1120"/>
      <c r="I1910" s="1120"/>
      <c r="J1910" s="1124"/>
      <c r="K1910" s="1124"/>
      <c r="L1910" s="1124"/>
      <c r="M1910" s="1125" t="s">
        <v>24692</v>
      </c>
      <c r="N1910" s="1123">
        <v>1</v>
      </c>
    </row>
    <row r="1911" spans="2:14" ht="15.75" thickBot="1" x14ac:dyDescent="0.35">
      <c r="B1911" s="855"/>
      <c r="C1911" s="954"/>
      <c r="D1911" s="954"/>
      <c r="E1911" s="954"/>
      <c r="F1911" s="1110"/>
      <c r="G1911" s="1110"/>
      <c r="H1911" s="1110"/>
      <c r="I1911" s="1110"/>
      <c r="J1911" s="1110"/>
      <c r="K1911" s="1110"/>
      <c r="L1911" s="1110"/>
      <c r="M1911" s="1111" t="s">
        <v>24693</v>
      </c>
      <c r="N1911" s="1126">
        <f>TRUNC(N1909/N1910,2)</f>
        <v>7.68</v>
      </c>
    </row>
    <row r="1912" spans="2:14" ht="15.75" thickBot="1" x14ac:dyDescent="0.35">
      <c r="B1912" s="850"/>
      <c r="C1912" s="461"/>
      <c r="D1912" s="461"/>
      <c r="E1912" s="461"/>
      <c r="F1912" s="461"/>
      <c r="G1912" s="461"/>
      <c r="H1912" s="461"/>
      <c r="I1912" s="461"/>
      <c r="J1912" s="461"/>
      <c r="K1912" s="461"/>
      <c r="L1912" s="461"/>
      <c r="M1912" s="461"/>
      <c r="N1912" s="1113"/>
    </row>
    <row r="1913" spans="2:14" ht="30" x14ac:dyDescent="0.3">
      <c r="B1913" s="1104" t="s">
        <v>0</v>
      </c>
      <c r="C1913" s="1105" t="s">
        <v>24673</v>
      </c>
      <c r="D1913" s="1593" t="s">
        <v>24694</v>
      </c>
      <c r="E1913" s="1593"/>
      <c r="F1913" s="1593"/>
      <c r="G1913" s="1593"/>
      <c r="H1913" s="1593"/>
      <c r="I1913" s="1594"/>
      <c r="J1913" s="1106" t="s">
        <v>3686</v>
      </c>
      <c r="K1913" s="1106" t="s">
        <v>24695</v>
      </c>
      <c r="L1913" s="1614" t="s">
        <v>24683</v>
      </c>
      <c r="M1913" s="1615"/>
      <c r="N1913" s="1114" t="s">
        <v>24689</v>
      </c>
    </row>
    <row r="1914" spans="2:14" ht="33" customHeight="1" x14ac:dyDescent="0.3">
      <c r="B1914" s="1115">
        <v>7136</v>
      </c>
      <c r="C1914" s="1116" t="s">
        <v>24706</v>
      </c>
      <c r="D1914" s="1604" t="s">
        <v>25365</v>
      </c>
      <c r="E1914" s="1604"/>
      <c r="F1914" s="1604"/>
      <c r="G1914" s="1604"/>
      <c r="H1914" s="1604"/>
      <c r="I1914" s="1605"/>
      <c r="J1914" s="1109" t="s">
        <v>24804</v>
      </c>
      <c r="K1914" s="1143">
        <v>9.58</v>
      </c>
      <c r="L1914" s="1624">
        <v>1</v>
      </c>
      <c r="M1914" s="1625"/>
      <c r="N1914" s="1119">
        <f>K1914*L1914</f>
        <v>9.58</v>
      </c>
    </row>
    <row r="1915" spans="2:14" x14ac:dyDescent="0.3">
      <c r="B1915" s="1115">
        <v>20080</v>
      </c>
      <c r="C1915" s="1116" t="s">
        <v>24706</v>
      </c>
      <c r="D1915" s="1604" t="s">
        <v>25361</v>
      </c>
      <c r="E1915" s="1604"/>
      <c r="F1915" s="1604"/>
      <c r="G1915" s="1604"/>
      <c r="H1915" s="1604"/>
      <c r="I1915" s="1605"/>
      <c r="J1915" s="1109" t="s">
        <v>24804</v>
      </c>
      <c r="K1915" s="1143">
        <v>21.39</v>
      </c>
      <c r="L1915" s="1624">
        <v>0.06</v>
      </c>
      <c r="M1915" s="1625"/>
      <c r="N1915" s="1119">
        <f t="shared" ref="N1915:N1917" si="31">K1915*L1915</f>
        <v>1.28</v>
      </c>
    </row>
    <row r="1916" spans="2:14" x14ac:dyDescent="0.3">
      <c r="B1916" s="1115">
        <v>20083</v>
      </c>
      <c r="C1916" s="1116" t="s">
        <v>24706</v>
      </c>
      <c r="D1916" s="1604" t="s">
        <v>25341</v>
      </c>
      <c r="E1916" s="1604"/>
      <c r="F1916" s="1604"/>
      <c r="G1916" s="1604"/>
      <c r="H1916" s="1604"/>
      <c r="I1916" s="1605"/>
      <c r="J1916" s="1109" t="s">
        <v>24804</v>
      </c>
      <c r="K1916" s="1143">
        <v>74.27</v>
      </c>
      <c r="L1916" s="1624">
        <v>1.4E-2</v>
      </c>
      <c r="M1916" s="1625"/>
      <c r="N1916" s="1119">
        <f t="shared" si="31"/>
        <v>1.04</v>
      </c>
    </row>
    <row r="1917" spans="2:14" x14ac:dyDescent="0.3">
      <c r="B1917" s="1115">
        <v>38383</v>
      </c>
      <c r="C1917" s="1116" t="s">
        <v>24706</v>
      </c>
      <c r="D1917" s="1604" t="s">
        <v>25342</v>
      </c>
      <c r="E1917" s="1604"/>
      <c r="F1917" s="1604"/>
      <c r="G1917" s="1604"/>
      <c r="H1917" s="1604"/>
      <c r="I1917" s="1605"/>
      <c r="J1917" s="1109" t="s">
        <v>24804</v>
      </c>
      <c r="K1917" s="1143">
        <v>1.99</v>
      </c>
      <c r="L1917" s="1624">
        <v>2.4E-2</v>
      </c>
      <c r="M1917" s="1625"/>
      <c r="N1917" s="1119">
        <f t="shared" si="31"/>
        <v>0.05</v>
      </c>
    </row>
    <row r="1918" spans="2:14" x14ac:dyDescent="0.3">
      <c r="B1918" s="1115"/>
      <c r="C1918" s="1116"/>
      <c r="D1918" s="1604"/>
      <c r="E1918" s="1604"/>
      <c r="F1918" s="1604"/>
      <c r="G1918" s="1604"/>
      <c r="H1918" s="1604"/>
      <c r="I1918" s="1605"/>
      <c r="J1918" s="1109"/>
      <c r="K1918" s="1109"/>
      <c r="L1918" s="1109"/>
      <c r="M1918" s="1118"/>
      <c r="N1918" s="1119"/>
    </row>
    <row r="1919" spans="2:14" ht="15.75" thickBot="1" x14ac:dyDescent="0.35">
      <c r="B1919" s="855"/>
      <c r="C1919" s="954"/>
      <c r="D1919" s="954"/>
      <c r="E1919" s="954"/>
      <c r="F1919" s="1110"/>
      <c r="G1919" s="1110"/>
      <c r="H1919" s="1110"/>
      <c r="I1919" s="1110"/>
      <c r="J1919" s="1110"/>
      <c r="K1919" s="1110"/>
      <c r="L1919" s="1110"/>
      <c r="M1919" s="1111" t="s">
        <v>24696</v>
      </c>
      <c r="N1919" s="1112">
        <f>SUM(N1914:N1917)</f>
        <v>11.95</v>
      </c>
    </row>
    <row r="1920" spans="2:14" ht="15.75" thickBot="1" x14ac:dyDescent="0.35">
      <c r="B1920" s="850"/>
      <c r="C1920" s="461"/>
      <c r="D1920" s="461"/>
      <c r="E1920" s="461"/>
      <c r="F1920" s="461"/>
      <c r="G1920" s="461"/>
      <c r="H1920" s="461"/>
      <c r="I1920" s="461"/>
      <c r="J1920" s="461"/>
      <c r="K1920" s="461"/>
      <c r="L1920" s="461"/>
      <c r="M1920" s="461"/>
      <c r="N1920" s="1113"/>
    </row>
    <row r="1921" spans="2:14" ht="30" x14ac:dyDescent="0.3">
      <c r="B1921" s="1104" t="s">
        <v>0</v>
      </c>
      <c r="C1921" s="1106" t="s">
        <v>24673</v>
      </c>
      <c r="D1921" s="1593" t="s">
        <v>24697</v>
      </c>
      <c r="E1921" s="1593"/>
      <c r="F1921" s="1593"/>
      <c r="G1921" s="1593"/>
      <c r="H1921" s="1593"/>
      <c r="I1921" s="1594"/>
      <c r="J1921" s="1106" t="s">
        <v>3686</v>
      </c>
      <c r="K1921" s="1106" t="s">
        <v>24695</v>
      </c>
      <c r="L1921" s="1106"/>
      <c r="M1921" s="1106" t="s">
        <v>24683</v>
      </c>
      <c r="N1921" s="1114" t="s">
        <v>24689</v>
      </c>
    </row>
    <row r="1922" spans="2:14" x14ac:dyDescent="0.3">
      <c r="B1922" s="1127"/>
      <c r="C1922" s="1128"/>
      <c r="D1922" s="1604"/>
      <c r="E1922" s="1604"/>
      <c r="F1922" s="1604"/>
      <c r="G1922" s="1604"/>
      <c r="H1922" s="1604"/>
      <c r="I1922" s="1605"/>
      <c r="J1922" s="462"/>
      <c r="K1922" s="462"/>
      <c r="L1922" s="462"/>
      <c r="M1922" s="1147"/>
      <c r="N1922" s="1130"/>
    </row>
    <row r="1923" spans="2:14" ht="15.75" thickBot="1" x14ac:dyDescent="0.35">
      <c r="B1923" s="855"/>
      <c r="C1923" s="954"/>
      <c r="D1923" s="954"/>
      <c r="E1923" s="954"/>
      <c r="F1923" s="1110"/>
      <c r="G1923" s="1110"/>
      <c r="H1923" s="1110"/>
      <c r="I1923" s="1110"/>
      <c r="J1923" s="1110"/>
      <c r="K1923" s="1110"/>
      <c r="L1923" s="1110"/>
      <c r="M1923" s="1111" t="s">
        <v>24698</v>
      </c>
      <c r="N1923" s="1112">
        <f>SUM(N1922:N1922)</f>
        <v>0</v>
      </c>
    </row>
    <row r="1924" spans="2:14" ht="15.75" thickBot="1" x14ac:dyDescent="0.35">
      <c r="B1924" s="850"/>
      <c r="C1924" s="461"/>
      <c r="D1924" s="461"/>
      <c r="E1924" s="461"/>
      <c r="F1924" s="461"/>
      <c r="G1924" s="461"/>
      <c r="H1924" s="461"/>
      <c r="I1924" s="461"/>
      <c r="J1924" s="461"/>
      <c r="K1924" s="461"/>
      <c r="L1924" s="461"/>
      <c r="M1924" s="461"/>
      <c r="N1924" s="1113"/>
    </row>
    <row r="1925" spans="2:14" ht="30" x14ac:dyDescent="0.3">
      <c r="B1925" s="1104" t="s">
        <v>0</v>
      </c>
      <c r="C1925" s="1106" t="s">
        <v>24673</v>
      </c>
      <c r="D1925" s="1593" t="s">
        <v>24699</v>
      </c>
      <c r="E1925" s="1593"/>
      <c r="F1925" s="1593"/>
      <c r="G1925" s="1594"/>
      <c r="H1925" s="1106" t="s">
        <v>3686</v>
      </c>
      <c r="I1925" s="1106" t="s">
        <v>24700</v>
      </c>
      <c r="J1925" s="1106" t="s">
        <v>24701</v>
      </c>
      <c r="K1925" s="1106" t="s">
        <v>24695</v>
      </c>
      <c r="L1925" s="1106"/>
      <c r="M1925" s="1106" t="s">
        <v>24683</v>
      </c>
      <c r="N1925" s="1114" t="s">
        <v>24689</v>
      </c>
    </row>
    <row r="1926" spans="2:14" x14ac:dyDescent="0.3">
      <c r="B1926" s="1115"/>
      <c r="C1926" s="1116"/>
      <c r="D1926" s="1595"/>
      <c r="E1926" s="1595"/>
      <c r="F1926" s="1595"/>
      <c r="G1926" s="1595"/>
      <c r="H1926" s="1109"/>
      <c r="I1926" s="1109"/>
      <c r="J1926" s="1109"/>
      <c r="K1926" s="1109"/>
      <c r="L1926" s="1109"/>
      <c r="M1926" s="1118"/>
      <c r="N1926" s="1119"/>
    </row>
    <row r="1927" spans="2:14" x14ac:dyDescent="0.3">
      <c r="B1927" s="850"/>
      <c r="C1927" s="461"/>
      <c r="D1927" s="461"/>
      <c r="E1927" s="461"/>
      <c r="F1927" s="1120"/>
      <c r="G1927" s="1120"/>
      <c r="H1927" s="1120"/>
      <c r="I1927" s="1120"/>
      <c r="J1927" s="1120"/>
      <c r="K1927" s="1120"/>
      <c r="L1927" s="1120"/>
      <c r="M1927" s="1121" t="s">
        <v>24702</v>
      </c>
      <c r="N1927" s="1122">
        <f>SUM(N1926:N1926)</f>
        <v>0</v>
      </c>
    </row>
    <row r="1928" spans="2:14" x14ac:dyDescent="0.3">
      <c r="B1928" s="850"/>
      <c r="C1928" s="461"/>
      <c r="D1928" s="461"/>
      <c r="E1928" s="461"/>
      <c r="F1928" s="461"/>
      <c r="G1928" s="461"/>
      <c r="H1928" s="461"/>
      <c r="I1928" s="461"/>
      <c r="J1928" s="461"/>
      <c r="K1928" s="461"/>
      <c r="L1928" s="461"/>
      <c r="M1928" s="461"/>
      <c r="N1928" s="1113"/>
    </row>
    <row r="1929" spans="2:14" x14ac:dyDescent="0.3">
      <c r="B1929" s="1131"/>
      <c r="C1929" s="1132"/>
      <c r="D1929" s="1132"/>
      <c r="E1929" s="1132"/>
      <c r="F1929" s="1133"/>
      <c r="G1929" s="1133"/>
      <c r="H1929" s="1133"/>
      <c r="I1929" s="1133"/>
      <c r="J1929" s="1133"/>
      <c r="K1929" s="1133"/>
      <c r="L1929" s="1133"/>
      <c r="M1929" s="1134" t="s">
        <v>24703</v>
      </c>
      <c r="N1929" s="1123">
        <f>N1911+N1919+N1923+N1927</f>
        <v>19.63</v>
      </c>
    </row>
    <row r="1930" spans="2:14" x14ac:dyDescent="0.3">
      <c r="B1930" s="850"/>
      <c r="C1930" s="461"/>
      <c r="D1930" s="461"/>
      <c r="E1930" s="461"/>
      <c r="F1930" s="1120"/>
      <c r="G1930" s="1120"/>
      <c r="H1930" s="1120"/>
      <c r="I1930" s="1120"/>
      <c r="J1930" s="1120"/>
      <c r="K1930" s="1120"/>
      <c r="L1930" s="1120"/>
      <c r="M1930" s="1136">
        <f>'QUIOSQUE - MOD 01'!I3</f>
        <v>0.28220000000000001</v>
      </c>
      <c r="N1930" s="1123">
        <f>N1929*M1930</f>
        <v>5.54</v>
      </c>
    </row>
    <row r="1931" spans="2:14" ht="15.75" thickBot="1" x14ac:dyDescent="0.35">
      <c r="B1931" s="1599" t="s">
        <v>24704</v>
      </c>
      <c r="C1931" s="1600"/>
      <c r="D1931" s="1600"/>
      <c r="E1931" s="1600"/>
      <c r="F1931" s="1600"/>
      <c r="G1931" s="1600"/>
      <c r="H1931" s="1600"/>
      <c r="I1931" s="1600"/>
      <c r="J1931" s="1600"/>
      <c r="K1931" s="1600"/>
      <c r="L1931" s="1600"/>
      <c r="M1931" s="1601"/>
      <c r="N1931" s="1126">
        <f>N1929+N1930</f>
        <v>25.17</v>
      </c>
    </row>
    <row r="1933" spans="2:14" ht="15.75" thickBot="1" x14ac:dyDescent="0.35"/>
    <row r="1934" spans="2:14" ht="44.25" customHeight="1" x14ac:dyDescent="0.3">
      <c r="B1934" s="1607" t="s">
        <v>24878</v>
      </c>
      <c r="C1934" s="1608"/>
      <c r="D1934" s="1609"/>
      <c r="E1934" s="1610" t="s">
        <v>24669</v>
      </c>
      <c r="F1934" s="1610"/>
      <c r="G1934" s="1610"/>
      <c r="H1934" s="1610"/>
      <c r="I1934" s="1610"/>
      <c r="J1934" s="1610"/>
      <c r="K1934" s="1610"/>
      <c r="L1934" s="1146"/>
      <c r="M1934" s="1611"/>
      <c r="N1934" s="1577"/>
    </row>
    <row r="1935" spans="2:14" ht="30.75" customHeight="1" x14ac:dyDescent="0.3">
      <c r="B1935" s="1103" t="s">
        <v>24670</v>
      </c>
      <c r="C1935" s="1586" t="s">
        <v>25366</v>
      </c>
      <c r="D1935" s="1586"/>
      <c r="E1935" s="1586"/>
      <c r="F1935" s="1586"/>
      <c r="G1935" s="1586"/>
      <c r="H1935" s="1586"/>
      <c r="I1935" s="1586"/>
      <c r="J1935" s="1586"/>
      <c r="K1935" s="1586"/>
      <c r="L1935" s="1586"/>
      <c r="M1935" s="1586"/>
      <c r="N1935" s="1587"/>
    </row>
    <row r="1936" spans="2:14" x14ac:dyDescent="0.3">
      <c r="B1936" s="1103" t="s">
        <v>24671</v>
      </c>
      <c r="C1936" s="1588" t="s">
        <v>24804</v>
      </c>
      <c r="D1936" s="1588"/>
      <c r="E1936" s="1588"/>
      <c r="F1936" s="1588"/>
      <c r="G1936" s="1588"/>
      <c r="H1936" s="1588"/>
      <c r="I1936" s="1588"/>
      <c r="J1936" s="1588"/>
      <c r="K1936" s="1588"/>
      <c r="L1936" s="1588"/>
      <c r="M1936" s="1588"/>
      <c r="N1936" s="1589"/>
    </row>
    <row r="1937" spans="2:14" ht="15.75" thickBot="1" x14ac:dyDescent="0.35">
      <c r="B1937" s="1103" t="s">
        <v>24672</v>
      </c>
      <c r="C1937" s="1590">
        <v>44501</v>
      </c>
      <c r="D1937" s="1591"/>
      <c r="E1937" s="1591"/>
      <c r="F1937" s="1591"/>
      <c r="G1937" s="1591"/>
      <c r="H1937" s="1591"/>
      <c r="I1937" s="1591"/>
      <c r="J1937" s="1591"/>
      <c r="K1937" s="1591"/>
      <c r="L1937" s="1591"/>
      <c r="M1937" s="1591"/>
      <c r="N1937" s="1592"/>
    </row>
    <row r="1938" spans="2:14" ht="30" x14ac:dyDescent="0.3">
      <c r="B1938" s="1104" t="s">
        <v>0</v>
      </c>
      <c r="C1938" s="1105" t="s">
        <v>24673</v>
      </c>
      <c r="D1938" s="1593" t="s">
        <v>24674</v>
      </c>
      <c r="E1938" s="1593"/>
      <c r="F1938" s="1593"/>
      <c r="G1938" s="1594"/>
      <c r="H1938" s="1106" t="s">
        <v>111</v>
      </c>
      <c r="I1938" s="1106" t="s">
        <v>24675</v>
      </c>
      <c r="J1938" s="1106" t="s">
        <v>24676</v>
      </c>
      <c r="K1938" s="1106" t="s">
        <v>24677</v>
      </c>
      <c r="L1938" s="1106"/>
      <c r="M1938" s="1106" t="s">
        <v>24678</v>
      </c>
      <c r="N1938" s="1114" t="s">
        <v>24679</v>
      </c>
    </row>
    <row r="1939" spans="2:14" x14ac:dyDescent="0.3">
      <c r="B1939" s="1115"/>
      <c r="C1939" s="1108"/>
      <c r="D1939" s="1595"/>
      <c r="E1939" s="1595"/>
      <c r="F1939" s="1595"/>
      <c r="G1939" s="1596"/>
      <c r="H1939" s="1109"/>
      <c r="I1939" s="1109"/>
      <c r="J1939" s="1109"/>
      <c r="K1939" s="1109"/>
      <c r="L1939" s="1109"/>
      <c r="M1939" s="1109"/>
      <c r="N1939" s="1119"/>
    </row>
    <row r="1940" spans="2:14" ht="15.75" thickBot="1" x14ac:dyDescent="0.35">
      <c r="B1940" s="855"/>
      <c r="C1940" s="954"/>
      <c r="D1940" s="954"/>
      <c r="E1940" s="954"/>
      <c r="F1940" s="1110"/>
      <c r="G1940" s="1110"/>
      <c r="H1940" s="1110"/>
      <c r="I1940" s="1110"/>
      <c r="J1940" s="1110"/>
      <c r="K1940" s="1110"/>
      <c r="L1940" s="1110"/>
      <c r="M1940" s="1111" t="s">
        <v>24680</v>
      </c>
      <c r="N1940" s="1112">
        <f>SUM(N1939)</f>
        <v>0</v>
      </c>
    </row>
    <row r="1941" spans="2:14" ht="15.75" thickBot="1" x14ac:dyDescent="0.35">
      <c r="B1941" s="850"/>
      <c r="C1941" s="461"/>
      <c r="D1941" s="461"/>
      <c r="E1941" s="461"/>
      <c r="F1941" s="461"/>
      <c r="G1941" s="461"/>
      <c r="H1941" s="461"/>
      <c r="I1941" s="461"/>
      <c r="J1941" s="461"/>
      <c r="K1941" s="461"/>
      <c r="L1941" s="461"/>
      <c r="M1941" s="461"/>
      <c r="N1941" s="1113"/>
    </row>
    <row r="1942" spans="2:14" ht="45" x14ac:dyDescent="0.3">
      <c r="B1942" s="1104" t="s">
        <v>0</v>
      </c>
      <c r="C1942" s="1105" t="s">
        <v>24673</v>
      </c>
      <c r="D1942" s="1593" t="s">
        <v>24681</v>
      </c>
      <c r="E1942" s="1593"/>
      <c r="F1942" s="1593"/>
      <c r="G1942" s="1593"/>
      <c r="H1942" s="1594"/>
      <c r="I1942" s="1106" t="s">
        <v>3686</v>
      </c>
      <c r="J1942" s="1106" t="s">
        <v>24682</v>
      </c>
      <c r="K1942" s="1106" t="s">
        <v>24861</v>
      </c>
      <c r="L1942" s="1106" t="s">
        <v>24862</v>
      </c>
      <c r="M1942" s="1106" t="s">
        <v>24683</v>
      </c>
      <c r="N1942" s="1114" t="s">
        <v>24679</v>
      </c>
    </row>
    <row r="1943" spans="2:14" x14ac:dyDescent="0.3">
      <c r="B1943" s="1115">
        <v>246</v>
      </c>
      <c r="C1943" s="1116" t="s">
        <v>24706</v>
      </c>
      <c r="D1943" s="1604" t="s">
        <v>25338</v>
      </c>
      <c r="E1943" s="1604"/>
      <c r="F1943" s="1604"/>
      <c r="G1943" s="1604"/>
      <c r="H1943" s="1605"/>
      <c r="I1943" s="1109" t="s">
        <v>75</v>
      </c>
      <c r="J1943" s="1117">
        <v>1.5727</v>
      </c>
      <c r="K1943" s="1143">
        <v>11.34</v>
      </c>
      <c r="L1943" s="1143">
        <f>K1943*(1+J1943)</f>
        <v>29.17</v>
      </c>
      <c r="M1943" s="1118">
        <v>0.19</v>
      </c>
      <c r="N1943" s="1119">
        <f>L1943*M1943</f>
        <v>5.54</v>
      </c>
    </row>
    <row r="1944" spans="2:14" x14ac:dyDescent="0.3">
      <c r="B1944" s="1115">
        <v>10118</v>
      </c>
      <c r="C1944" s="1116" t="s">
        <v>4389</v>
      </c>
      <c r="D1944" s="1604" t="s">
        <v>400</v>
      </c>
      <c r="E1944" s="1604"/>
      <c r="F1944" s="1604"/>
      <c r="G1944" s="1604"/>
      <c r="H1944" s="1605"/>
      <c r="I1944" s="1109" t="s">
        <v>75</v>
      </c>
      <c r="J1944" s="1117">
        <v>1.5727</v>
      </c>
      <c r="K1944" s="1143">
        <v>7.43</v>
      </c>
      <c r="L1944" s="1143">
        <f>K1944*(1+J1944)</f>
        <v>19.12</v>
      </c>
      <c r="M1944" s="1118">
        <v>0.19</v>
      </c>
      <c r="N1944" s="1119">
        <f>L1944*M1944</f>
        <v>3.63</v>
      </c>
    </row>
    <row r="1945" spans="2:14" ht="15.75" thickBot="1" x14ac:dyDescent="0.35">
      <c r="B1945" s="855"/>
      <c r="C1945" s="954"/>
      <c r="D1945" s="954"/>
      <c r="E1945" s="954"/>
      <c r="F1945" s="1110"/>
      <c r="G1945" s="1110"/>
      <c r="H1945" s="1110"/>
      <c r="I1945" s="1110"/>
      <c r="J1945" s="1110"/>
      <c r="K1945" s="1110"/>
      <c r="L1945" s="1110"/>
      <c r="M1945" s="1111" t="s">
        <v>24684</v>
      </c>
      <c r="N1945" s="1112">
        <f>SUM(N1943:N1944)</f>
        <v>9.17</v>
      </c>
    </row>
    <row r="1946" spans="2:14" ht="15.75" thickBot="1" x14ac:dyDescent="0.35">
      <c r="B1946" s="850"/>
      <c r="C1946" s="461"/>
      <c r="D1946" s="461"/>
      <c r="E1946" s="461"/>
      <c r="F1946" s="461"/>
      <c r="G1946" s="461"/>
      <c r="H1946" s="461"/>
      <c r="I1946" s="1120"/>
      <c r="J1946" s="1120"/>
      <c r="K1946" s="461"/>
      <c r="L1946" s="461"/>
      <c r="M1946" s="461"/>
      <c r="N1946" s="1113"/>
    </row>
    <row r="1947" spans="2:14" ht="30" x14ac:dyDescent="0.3">
      <c r="B1947" s="1104" t="s">
        <v>0</v>
      </c>
      <c r="C1947" s="1105" t="s">
        <v>24673</v>
      </c>
      <c r="D1947" s="1593" t="s">
        <v>24685</v>
      </c>
      <c r="E1947" s="1593"/>
      <c r="F1947" s="1593"/>
      <c r="G1947" s="1593"/>
      <c r="H1947" s="1594"/>
      <c r="I1947" s="1106" t="s">
        <v>2858</v>
      </c>
      <c r="J1947" s="1106" t="s">
        <v>24686</v>
      </c>
      <c r="K1947" s="1106" t="s">
        <v>24687</v>
      </c>
      <c r="L1947" s="1106"/>
      <c r="M1947" s="1106" t="s">
        <v>24688</v>
      </c>
      <c r="N1947" s="1114" t="s">
        <v>24689</v>
      </c>
    </row>
    <row r="1948" spans="2:14" x14ac:dyDescent="0.3">
      <c r="B1948" s="1115"/>
      <c r="C1948" s="1116"/>
      <c r="D1948" s="1604"/>
      <c r="E1948" s="1604"/>
      <c r="F1948" s="1604"/>
      <c r="G1948" s="1604"/>
      <c r="H1948" s="1605"/>
      <c r="I1948" s="1109"/>
      <c r="J1948" s="1109"/>
      <c r="K1948" s="1109"/>
      <c r="L1948" s="1109"/>
      <c r="M1948" s="1109"/>
      <c r="N1948" s="1119"/>
    </row>
    <row r="1949" spans="2:14" x14ac:dyDescent="0.3">
      <c r="B1949" s="850"/>
      <c r="C1949" s="461"/>
      <c r="D1949" s="461"/>
      <c r="E1949" s="461"/>
      <c r="F1949" s="1120"/>
      <c r="G1949" s="1120"/>
      <c r="H1949" s="1120"/>
      <c r="I1949" s="1120"/>
      <c r="J1949" s="1120"/>
      <c r="K1949" s="1120"/>
      <c r="L1949" s="1120"/>
      <c r="M1949" s="1121" t="s">
        <v>24690</v>
      </c>
      <c r="N1949" s="1122">
        <f>SUM(N1948:N1948)</f>
        <v>0</v>
      </c>
    </row>
    <row r="1950" spans="2:14" x14ac:dyDescent="0.3">
      <c r="B1950" s="850"/>
      <c r="C1950" s="461"/>
      <c r="D1950" s="461"/>
      <c r="E1950" s="461"/>
      <c r="F1950" s="461"/>
      <c r="G1950" s="461"/>
      <c r="H1950" s="461"/>
      <c r="I1950" s="461"/>
      <c r="J1950" s="461"/>
      <c r="K1950" s="461"/>
      <c r="L1950" s="461"/>
      <c r="M1950" s="461"/>
      <c r="N1950" s="1113"/>
    </row>
    <row r="1951" spans="2:14" x14ac:dyDescent="0.3">
      <c r="B1951" s="850"/>
      <c r="C1951" s="461"/>
      <c r="D1951" s="461"/>
      <c r="E1951" s="461"/>
      <c r="F1951" s="1120"/>
      <c r="G1951" s="1120"/>
      <c r="H1951" s="1120"/>
      <c r="I1951" s="863"/>
      <c r="J1951" s="863"/>
      <c r="K1951" s="863"/>
      <c r="L1951" s="863"/>
      <c r="M1951" s="1121" t="s">
        <v>24691</v>
      </c>
      <c r="N1951" s="1123">
        <f>N1940+N1945+N1949</f>
        <v>9.17</v>
      </c>
    </row>
    <row r="1952" spans="2:14" x14ac:dyDescent="0.3">
      <c r="B1952" s="850"/>
      <c r="C1952" s="461"/>
      <c r="D1952" s="461"/>
      <c r="E1952" s="461"/>
      <c r="F1952" s="1120"/>
      <c r="G1952" s="1120"/>
      <c r="H1952" s="1120"/>
      <c r="I1952" s="1120"/>
      <c r="J1952" s="1124"/>
      <c r="K1952" s="1124"/>
      <c r="L1952" s="1124"/>
      <c r="M1952" s="1125" t="s">
        <v>24692</v>
      </c>
      <c r="N1952" s="1123">
        <v>1</v>
      </c>
    </row>
    <row r="1953" spans="2:14" ht="15.75" thickBot="1" x14ac:dyDescent="0.35">
      <c r="B1953" s="855"/>
      <c r="C1953" s="954"/>
      <c r="D1953" s="954"/>
      <c r="E1953" s="954"/>
      <c r="F1953" s="1110"/>
      <c r="G1953" s="1110"/>
      <c r="H1953" s="1110"/>
      <c r="I1953" s="1110"/>
      <c r="J1953" s="1110"/>
      <c r="K1953" s="1110"/>
      <c r="L1953" s="1110"/>
      <c r="M1953" s="1111" t="s">
        <v>24693</v>
      </c>
      <c r="N1953" s="1126">
        <f>TRUNC(N1951/N1952,2)</f>
        <v>9.17</v>
      </c>
    </row>
    <row r="1954" spans="2:14" ht="15.75" thickBot="1" x14ac:dyDescent="0.35">
      <c r="B1954" s="850"/>
      <c r="C1954" s="461"/>
      <c r="D1954" s="461"/>
      <c r="E1954" s="461"/>
      <c r="F1954" s="461"/>
      <c r="G1954" s="461"/>
      <c r="H1954" s="461"/>
      <c r="I1954" s="461"/>
      <c r="J1954" s="461"/>
      <c r="K1954" s="461"/>
      <c r="L1954" s="461"/>
      <c r="M1954" s="461"/>
      <c r="N1954" s="1113"/>
    </row>
    <row r="1955" spans="2:14" ht="30" x14ac:dyDescent="0.3">
      <c r="B1955" s="1104" t="s">
        <v>0</v>
      </c>
      <c r="C1955" s="1105" t="s">
        <v>24673</v>
      </c>
      <c r="D1955" s="1593" t="s">
        <v>24694</v>
      </c>
      <c r="E1955" s="1593"/>
      <c r="F1955" s="1593"/>
      <c r="G1955" s="1593"/>
      <c r="H1955" s="1593"/>
      <c r="I1955" s="1594"/>
      <c r="J1955" s="1106" t="s">
        <v>3686</v>
      </c>
      <c r="K1955" s="1106" t="s">
        <v>24695</v>
      </c>
      <c r="L1955" s="1614" t="s">
        <v>24683</v>
      </c>
      <c r="M1955" s="1615"/>
      <c r="N1955" s="1114" t="s">
        <v>24689</v>
      </c>
    </row>
    <row r="1956" spans="2:14" ht="30.75" customHeight="1" x14ac:dyDescent="0.3">
      <c r="B1956" s="1115">
        <v>297</v>
      </c>
      <c r="C1956" s="1116" t="s">
        <v>24706</v>
      </c>
      <c r="D1956" s="1604" t="s">
        <v>25367</v>
      </c>
      <c r="E1956" s="1604"/>
      <c r="F1956" s="1604"/>
      <c r="G1956" s="1604"/>
      <c r="H1956" s="1604"/>
      <c r="I1956" s="1605"/>
      <c r="J1956" s="1109" t="s">
        <v>24804</v>
      </c>
      <c r="K1956" s="1143">
        <v>2.91</v>
      </c>
      <c r="L1956" s="1624">
        <v>1</v>
      </c>
      <c r="M1956" s="1625"/>
      <c r="N1956" s="1119">
        <f>K1956*L1956</f>
        <v>2.91</v>
      </c>
    </row>
    <row r="1957" spans="2:14" ht="33" customHeight="1" x14ac:dyDescent="0.3">
      <c r="B1957" s="1115">
        <v>3519</v>
      </c>
      <c r="C1957" s="1116" t="s">
        <v>24706</v>
      </c>
      <c r="D1957" s="1604" t="s">
        <v>25368</v>
      </c>
      <c r="E1957" s="1604"/>
      <c r="F1957" s="1604"/>
      <c r="G1957" s="1604"/>
      <c r="H1957" s="1604"/>
      <c r="I1957" s="1605"/>
      <c r="J1957" s="1109" t="s">
        <v>24804</v>
      </c>
      <c r="K1957" s="1143">
        <v>10.91</v>
      </c>
      <c r="L1957" s="1624">
        <v>1</v>
      </c>
      <c r="M1957" s="1625"/>
      <c r="N1957" s="1119">
        <f t="shared" ref="N1957:N1958" si="32">K1957*L1957</f>
        <v>10.91</v>
      </c>
    </row>
    <row r="1958" spans="2:14" ht="51.75" customHeight="1" x14ac:dyDescent="0.3">
      <c r="B1958" s="1115">
        <v>20078</v>
      </c>
      <c r="C1958" s="1116" t="s">
        <v>24706</v>
      </c>
      <c r="D1958" s="1604" t="s">
        <v>25369</v>
      </c>
      <c r="E1958" s="1604"/>
      <c r="F1958" s="1604"/>
      <c r="G1958" s="1604"/>
      <c r="H1958" s="1604"/>
      <c r="I1958" s="1605"/>
      <c r="J1958" s="1109" t="s">
        <v>24804</v>
      </c>
      <c r="K1958" s="1143">
        <v>27.05</v>
      </c>
      <c r="L1958" s="1624">
        <v>0.03</v>
      </c>
      <c r="M1958" s="1625"/>
      <c r="N1958" s="1119">
        <f t="shared" si="32"/>
        <v>0.81</v>
      </c>
    </row>
    <row r="1959" spans="2:14" x14ac:dyDescent="0.3">
      <c r="B1959" s="1115"/>
      <c r="C1959" s="1116"/>
      <c r="D1959" s="1604"/>
      <c r="E1959" s="1604"/>
      <c r="F1959" s="1604"/>
      <c r="G1959" s="1604"/>
      <c r="H1959" s="1604"/>
      <c r="I1959" s="1605"/>
      <c r="J1959" s="1109"/>
      <c r="K1959" s="1109"/>
      <c r="L1959" s="1109"/>
      <c r="M1959" s="1118"/>
      <c r="N1959" s="1119"/>
    </row>
    <row r="1960" spans="2:14" ht="15.75" thickBot="1" x14ac:dyDescent="0.35">
      <c r="B1960" s="855"/>
      <c r="C1960" s="954"/>
      <c r="D1960" s="954"/>
      <c r="E1960" s="954"/>
      <c r="F1960" s="1110"/>
      <c r="G1960" s="1110"/>
      <c r="H1960" s="1110"/>
      <c r="I1960" s="1110"/>
      <c r="J1960" s="1110"/>
      <c r="K1960" s="1110"/>
      <c r="L1960" s="1110"/>
      <c r="M1960" s="1111" t="s">
        <v>24696</v>
      </c>
      <c r="N1960" s="1112">
        <f>SUM(N1956:N1958)</f>
        <v>14.63</v>
      </c>
    </row>
    <row r="1961" spans="2:14" ht="15.75" thickBot="1" x14ac:dyDescent="0.35">
      <c r="B1961" s="850"/>
      <c r="C1961" s="461"/>
      <c r="D1961" s="461"/>
      <c r="E1961" s="461"/>
      <c r="F1961" s="461"/>
      <c r="G1961" s="461"/>
      <c r="H1961" s="461"/>
      <c r="I1961" s="461"/>
      <c r="J1961" s="461"/>
      <c r="K1961" s="461"/>
      <c r="L1961" s="461"/>
      <c r="M1961" s="461"/>
      <c r="N1961" s="1113"/>
    </row>
    <row r="1962" spans="2:14" ht="30" x14ac:dyDescent="0.3">
      <c r="B1962" s="1104" t="s">
        <v>0</v>
      </c>
      <c r="C1962" s="1106" t="s">
        <v>24673</v>
      </c>
      <c r="D1962" s="1593" t="s">
        <v>24697</v>
      </c>
      <c r="E1962" s="1593"/>
      <c r="F1962" s="1593"/>
      <c r="G1962" s="1593"/>
      <c r="H1962" s="1593"/>
      <c r="I1962" s="1594"/>
      <c r="J1962" s="1106" t="s">
        <v>3686</v>
      </c>
      <c r="K1962" s="1106" t="s">
        <v>24695</v>
      </c>
      <c r="L1962" s="1106"/>
      <c r="M1962" s="1106" t="s">
        <v>24683</v>
      </c>
      <c r="N1962" s="1114" t="s">
        <v>24689</v>
      </c>
    </row>
    <row r="1963" spans="2:14" x14ac:dyDescent="0.3">
      <c r="B1963" s="1127"/>
      <c r="C1963" s="1128"/>
      <c r="D1963" s="1604"/>
      <c r="E1963" s="1604"/>
      <c r="F1963" s="1604"/>
      <c r="G1963" s="1604"/>
      <c r="H1963" s="1604"/>
      <c r="I1963" s="1605"/>
      <c r="J1963" s="462"/>
      <c r="K1963" s="462"/>
      <c r="L1963" s="462"/>
      <c r="M1963" s="1147"/>
      <c r="N1963" s="1130"/>
    </row>
    <row r="1964" spans="2:14" ht="15.75" thickBot="1" x14ac:dyDescent="0.35">
      <c r="B1964" s="855"/>
      <c r="C1964" s="954"/>
      <c r="D1964" s="954"/>
      <c r="E1964" s="954"/>
      <c r="F1964" s="1110"/>
      <c r="G1964" s="1110"/>
      <c r="H1964" s="1110"/>
      <c r="I1964" s="1110"/>
      <c r="J1964" s="1110"/>
      <c r="K1964" s="1110"/>
      <c r="L1964" s="1110"/>
      <c r="M1964" s="1111" t="s">
        <v>24698</v>
      </c>
      <c r="N1964" s="1112">
        <f>SUM(N1963:N1963)</f>
        <v>0</v>
      </c>
    </row>
    <row r="1965" spans="2:14" ht="15.75" thickBot="1" x14ac:dyDescent="0.35">
      <c r="B1965" s="850"/>
      <c r="C1965" s="461"/>
      <c r="D1965" s="461"/>
      <c r="E1965" s="461"/>
      <c r="F1965" s="461"/>
      <c r="G1965" s="461"/>
      <c r="H1965" s="461"/>
      <c r="I1965" s="461"/>
      <c r="J1965" s="461"/>
      <c r="K1965" s="461"/>
      <c r="L1965" s="461"/>
      <c r="M1965" s="461"/>
      <c r="N1965" s="1113"/>
    </row>
    <row r="1966" spans="2:14" ht="30" x14ac:dyDescent="0.3">
      <c r="B1966" s="1104" t="s">
        <v>0</v>
      </c>
      <c r="C1966" s="1106" t="s">
        <v>24673</v>
      </c>
      <c r="D1966" s="1593" t="s">
        <v>24699</v>
      </c>
      <c r="E1966" s="1593"/>
      <c r="F1966" s="1593"/>
      <c r="G1966" s="1594"/>
      <c r="H1966" s="1106" t="s">
        <v>3686</v>
      </c>
      <c r="I1966" s="1106" t="s">
        <v>24700</v>
      </c>
      <c r="J1966" s="1106" t="s">
        <v>24701</v>
      </c>
      <c r="K1966" s="1106" t="s">
        <v>24695</v>
      </c>
      <c r="L1966" s="1106"/>
      <c r="M1966" s="1106" t="s">
        <v>24683</v>
      </c>
      <c r="N1966" s="1114" t="s">
        <v>24689</v>
      </c>
    </row>
    <row r="1967" spans="2:14" x14ac:dyDescent="0.3">
      <c r="B1967" s="1115"/>
      <c r="C1967" s="1116"/>
      <c r="D1967" s="1595"/>
      <c r="E1967" s="1595"/>
      <c r="F1967" s="1595"/>
      <c r="G1967" s="1595"/>
      <c r="H1967" s="1109"/>
      <c r="I1967" s="1109"/>
      <c r="J1967" s="1109"/>
      <c r="K1967" s="1109"/>
      <c r="L1967" s="1109"/>
      <c r="M1967" s="1118"/>
      <c r="N1967" s="1119"/>
    </row>
    <row r="1968" spans="2:14" x14ac:dyDescent="0.3">
      <c r="B1968" s="850"/>
      <c r="C1968" s="461"/>
      <c r="D1968" s="461"/>
      <c r="E1968" s="461"/>
      <c r="F1968" s="1120"/>
      <c r="G1968" s="1120"/>
      <c r="H1968" s="1120"/>
      <c r="I1968" s="1120"/>
      <c r="J1968" s="1120"/>
      <c r="K1968" s="1120"/>
      <c r="L1968" s="1120"/>
      <c r="M1968" s="1121" t="s">
        <v>24702</v>
      </c>
      <c r="N1968" s="1122">
        <f>SUM(N1967:N1967)</f>
        <v>0</v>
      </c>
    </row>
    <row r="1969" spans="2:14" x14ac:dyDescent="0.3">
      <c r="B1969" s="850"/>
      <c r="C1969" s="461"/>
      <c r="D1969" s="461"/>
      <c r="E1969" s="461"/>
      <c r="F1969" s="461"/>
      <c r="G1969" s="461"/>
      <c r="H1969" s="461"/>
      <c r="I1969" s="461"/>
      <c r="J1969" s="461"/>
      <c r="K1969" s="461"/>
      <c r="L1969" s="461"/>
      <c r="M1969" s="461"/>
      <c r="N1969" s="1113"/>
    </row>
    <row r="1970" spans="2:14" x14ac:dyDescent="0.3">
      <c r="B1970" s="1131"/>
      <c r="C1970" s="1132"/>
      <c r="D1970" s="1132"/>
      <c r="E1970" s="1132"/>
      <c r="F1970" s="1133"/>
      <c r="G1970" s="1133"/>
      <c r="H1970" s="1133"/>
      <c r="I1970" s="1133"/>
      <c r="J1970" s="1133"/>
      <c r="K1970" s="1133"/>
      <c r="L1970" s="1133"/>
      <c r="M1970" s="1134" t="s">
        <v>24703</v>
      </c>
      <c r="N1970" s="1123">
        <f>N1953+N1960+N1964+N1968</f>
        <v>23.8</v>
      </c>
    </row>
    <row r="1971" spans="2:14" x14ac:dyDescent="0.3">
      <c r="B1971" s="850"/>
      <c r="C1971" s="461"/>
      <c r="D1971" s="461"/>
      <c r="E1971" s="461"/>
      <c r="F1971" s="1120"/>
      <c r="G1971" s="1120"/>
      <c r="H1971" s="1120"/>
      <c r="I1971" s="1120"/>
      <c r="J1971" s="1120"/>
      <c r="K1971" s="1120"/>
      <c r="L1971" s="1120"/>
      <c r="M1971" s="1136">
        <f>'QUIOSQUE - MOD 01'!I3</f>
        <v>0.28220000000000001</v>
      </c>
      <c r="N1971" s="1123">
        <f>N1970*M1971</f>
        <v>6.72</v>
      </c>
    </row>
    <row r="1972" spans="2:14" ht="15.75" thickBot="1" x14ac:dyDescent="0.35">
      <c r="B1972" s="1599" t="s">
        <v>24704</v>
      </c>
      <c r="C1972" s="1600"/>
      <c r="D1972" s="1600"/>
      <c r="E1972" s="1600"/>
      <c r="F1972" s="1600"/>
      <c r="G1972" s="1600"/>
      <c r="H1972" s="1600"/>
      <c r="I1972" s="1600"/>
      <c r="J1972" s="1600"/>
      <c r="K1972" s="1600"/>
      <c r="L1972" s="1600"/>
      <c r="M1972" s="1601"/>
      <c r="N1972" s="1126">
        <f>N1970+N1971</f>
        <v>30.52</v>
      </c>
    </row>
    <row r="1974" spans="2:14" ht="15.75" thickBot="1" x14ac:dyDescent="0.35"/>
    <row r="1975" spans="2:14" ht="51.75" customHeight="1" x14ac:dyDescent="0.3">
      <c r="B1975" s="1607" t="s">
        <v>24879</v>
      </c>
      <c r="C1975" s="1608"/>
      <c r="D1975" s="1609"/>
      <c r="E1975" s="1610" t="s">
        <v>24669</v>
      </c>
      <c r="F1975" s="1610"/>
      <c r="G1975" s="1610"/>
      <c r="H1975" s="1610"/>
      <c r="I1975" s="1610"/>
      <c r="J1975" s="1610"/>
      <c r="K1975" s="1610"/>
      <c r="L1975" s="1146"/>
      <c r="M1975" s="1611"/>
      <c r="N1975" s="1577"/>
    </row>
    <row r="1976" spans="2:14" ht="33" customHeight="1" x14ac:dyDescent="0.3">
      <c r="B1976" s="1103" t="s">
        <v>24670</v>
      </c>
      <c r="C1976" s="1586" t="s">
        <v>25370</v>
      </c>
      <c r="D1976" s="1586"/>
      <c r="E1976" s="1586"/>
      <c r="F1976" s="1586"/>
      <c r="G1976" s="1586"/>
      <c r="H1976" s="1586"/>
      <c r="I1976" s="1586"/>
      <c r="J1976" s="1586"/>
      <c r="K1976" s="1586"/>
      <c r="L1976" s="1586"/>
      <c r="M1976" s="1586"/>
      <c r="N1976" s="1587"/>
    </row>
    <row r="1977" spans="2:14" x14ac:dyDescent="0.3">
      <c r="B1977" s="1103" t="s">
        <v>24671</v>
      </c>
      <c r="C1977" s="1588" t="s">
        <v>24804</v>
      </c>
      <c r="D1977" s="1588"/>
      <c r="E1977" s="1588"/>
      <c r="F1977" s="1588"/>
      <c r="G1977" s="1588"/>
      <c r="H1977" s="1588"/>
      <c r="I1977" s="1588"/>
      <c r="J1977" s="1588"/>
      <c r="K1977" s="1588"/>
      <c r="L1977" s="1588"/>
      <c r="M1977" s="1588"/>
      <c r="N1977" s="1589"/>
    </row>
    <row r="1978" spans="2:14" ht="15.75" thickBot="1" x14ac:dyDescent="0.35">
      <c r="B1978" s="1103" t="s">
        <v>24672</v>
      </c>
      <c r="C1978" s="1590">
        <v>44501</v>
      </c>
      <c r="D1978" s="1591"/>
      <c r="E1978" s="1591"/>
      <c r="F1978" s="1591"/>
      <c r="G1978" s="1591"/>
      <c r="H1978" s="1591"/>
      <c r="I1978" s="1591"/>
      <c r="J1978" s="1591"/>
      <c r="K1978" s="1591"/>
      <c r="L1978" s="1591"/>
      <c r="M1978" s="1591"/>
      <c r="N1978" s="1592"/>
    </row>
    <row r="1979" spans="2:14" ht="30" x14ac:dyDescent="0.3">
      <c r="B1979" s="1104" t="s">
        <v>0</v>
      </c>
      <c r="C1979" s="1105" t="s">
        <v>24673</v>
      </c>
      <c r="D1979" s="1593" t="s">
        <v>24674</v>
      </c>
      <c r="E1979" s="1593"/>
      <c r="F1979" s="1593"/>
      <c r="G1979" s="1594"/>
      <c r="H1979" s="1106" t="s">
        <v>111</v>
      </c>
      <c r="I1979" s="1106" t="s">
        <v>24675</v>
      </c>
      <c r="J1979" s="1106" t="s">
        <v>24676</v>
      </c>
      <c r="K1979" s="1106" t="s">
        <v>24677</v>
      </c>
      <c r="L1979" s="1106"/>
      <c r="M1979" s="1106" t="s">
        <v>24678</v>
      </c>
      <c r="N1979" s="1114" t="s">
        <v>24679</v>
      </c>
    </row>
    <row r="1980" spans="2:14" x14ac:dyDescent="0.3">
      <c r="B1980" s="1115"/>
      <c r="C1980" s="1108"/>
      <c r="D1980" s="1595"/>
      <c r="E1980" s="1595"/>
      <c r="F1980" s="1595"/>
      <c r="G1980" s="1596"/>
      <c r="H1980" s="1109"/>
      <c r="I1980" s="1109"/>
      <c r="J1980" s="1109"/>
      <c r="K1980" s="1109"/>
      <c r="L1980" s="1109"/>
      <c r="M1980" s="1109"/>
      <c r="N1980" s="1119"/>
    </row>
    <row r="1981" spans="2:14" ht="15.75" thickBot="1" x14ac:dyDescent="0.35">
      <c r="B1981" s="855"/>
      <c r="C1981" s="954"/>
      <c r="D1981" s="954"/>
      <c r="E1981" s="954"/>
      <c r="F1981" s="1110"/>
      <c r="G1981" s="1110"/>
      <c r="H1981" s="1110"/>
      <c r="I1981" s="1110"/>
      <c r="J1981" s="1110"/>
      <c r="K1981" s="1110"/>
      <c r="L1981" s="1110"/>
      <c r="M1981" s="1111" t="s">
        <v>24680</v>
      </c>
      <c r="N1981" s="1112">
        <f>SUM(N1980)</f>
        <v>0</v>
      </c>
    </row>
    <row r="1982" spans="2:14" ht="15.75" thickBot="1" x14ac:dyDescent="0.35">
      <c r="B1982" s="850"/>
      <c r="C1982" s="461"/>
      <c r="D1982" s="461"/>
      <c r="E1982" s="461"/>
      <c r="F1982" s="461"/>
      <c r="G1982" s="461"/>
      <c r="H1982" s="461"/>
      <c r="I1982" s="461"/>
      <c r="J1982" s="461"/>
      <c r="K1982" s="461"/>
      <c r="L1982" s="461"/>
      <c r="M1982" s="461"/>
      <c r="N1982" s="1113"/>
    </row>
    <row r="1983" spans="2:14" ht="45" x14ac:dyDescent="0.3">
      <c r="B1983" s="1104" t="s">
        <v>0</v>
      </c>
      <c r="C1983" s="1105" t="s">
        <v>24673</v>
      </c>
      <c r="D1983" s="1593" t="s">
        <v>24681</v>
      </c>
      <c r="E1983" s="1593"/>
      <c r="F1983" s="1593"/>
      <c r="G1983" s="1593"/>
      <c r="H1983" s="1594"/>
      <c r="I1983" s="1106" t="s">
        <v>3686</v>
      </c>
      <c r="J1983" s="1106" t="s">
        <v>24682</v>
      </c>
      <c r="K1983" s="1106" t="s">
        <v>24861</v>
      </c>
      <c r="L1983" s="1106" t="s">
        <v>24862</v>
      </c>
      <c r="M1983" s="1106" t="s">
        <v>24683</v>
      </c>
      <c r="N1983" s="1114" t="s">
        <v>24679</v>
      </c>
    </row>
    <row r="1984" spans="2:14" x14ac:dyDescent="0.3">
      <c r="B1984" s="1115">
        <v>246</v>
      </c>
      <c r="C1984" s="1116" t="s">
        <v>24706</v>
      </c>
      <c r="D1984" s="1604" t="s">
        <v>25338</v>
      </c>
      <c r="E1984" s="1604"/>
      <c r="F1984" s="1604"/>
      <c r="G1984" s="1604"/>
      <c r="H1984" s="1605"/>
      <c r="I1984" s="1109" t="s">
        <v>75</v>
      </c>
      <c r="J1984" s="1117">
        <v>1.5727</v>
      </c>
      <c r="K1984" s="1143">
        <v>11.34</v>
      </c>
      <c r="L1984" s="1143">
        <f>K1984*(1+J1984)</f>
        <v>29.17</v>
      </c>
      <c r="M1984" s="1118">
        <v>0.25</v>
      </c>
      <c r="N1984" s="1119">
        <f>L1984*M1984</f>
        <v>7.29</v>
      </c>
    </row>
    <row r="1985" spans="2:14" x14ac:dyDescent="0.3">
      <c r="B1985" s="1115">
        <v>10118</v>
      </c>
      <c r="C1985" s="1116" t="s">
        <v>4389</v>
      </c>
      <c r="D1985" s="1604" t="s">
        <v>400</v>
      </c>
      <c r="E1985" s="1604"/>
      <c r="F1985" s="1604"/>
      <c r="G1985" s="1604"/>
      <c r="H1985" s="1605"/>
      <c r="I1985" s="1109" t="s">
        <v>75</v>
      </c>
      <c r="J1985" s="1117">
        <v>1.5727</v>
      </c>
      <c r="K1985" s="1143">
        <v>7.43</v>
      </c>
      <c r="L1985" s="1143">
        <f>K1985*(1+J1985)</f>
        <v>19.12</v>
      </c>
      <c r="M1985" s="1118">
        <v>0.25</v>
      </c>
      <c r="N1985" s="1119">
        <f>L1985*M1985</f>
        <v>4.78</v>
      </c>
    </row>
    <row r="1986" spans="2:14" ht="15.75" thickBot="1" x14ac:dyDescent="0.35">
      <c r="B1986" s="855"/>
      <c r="C1986" s="954"/>
      <c r="D1986" s="954"/>
      <c r="E1986" s="954"/>
      <c r="F1986" s="1110"/>
      <c r="G1986" s="1110"/>
      <c r="H1986" s="1110"/>
      <c r="I1986" s="1110"/>
      <c r="J1986" s="1110"/>
      <c r="K1986" s="1110"/>
      <c r="L1986" s="1110"/>
      <c r="M1986" s="1111" t="s">
        <v>24684</v>
      </c>
      <c r="N1986" s="1112">
        <f>SUM(N1984:N1985)</f>
        <v>12.07</v>
      </c>
    </row>
    <row r="1987" spans="2:14" ht="15.75" thickBot="1" x14ac:dyDescent="0.35">
      <c r="B1987" s="850"/>
      <c r="C1987" s="461"/>
      <c r="D1987" s="461"/>
      <c r="E1987" s="461"/>
      <c r="F1987" s="461"/>
      <c r="G1987" s="461"/>
      <c r="H1987" s="461"/>
      <c r="I1987" s="1120"/>
      <c r="J1987" s="1120"/>
      <c r="K1987" s="461"/>
      <c r="L1987" s="461"/>
      <c r="M1987" s="461"/>
      <c r="N1987" s="1113"/>
    </row>
    <row r="1988" spans="2:14" ht="30" x14ac:dyDescent="0.3">
      <c r="B1988" s="1104" t="s">
        <v>0</v>
      </c>
      <c r="C1988" s="1105" t="s">
        <v>24673</v>
      </c>
      <c r="D1988" s="1593" t="s">
        <v>24685</v>
      </c>
      <c r="E1988" s="1593"/>
      <c r="F1988" s="1593"/>
      <c r="G1988" s="1593"/>
      <c r="H1988" s="1594"/>
      <c r="I1988" s="1106" t="s">
        <v>2858</v>
      </c>
      <c r="J1988" s="1106" t="s">
        <v>24686</v>
      </c>
      <c r="K1988" s="1106" t="s">
        <v>24687</v>
      </c>
      <c r="L1988" s="1106"/>
      <c r="M1988" s="1106" t="s">
        <v>24688</v>
      </c>
      <c r="N1988" s="1114" t="s">
        <v>24689</v>
      </c>
    </row>
    <row r="1989" spans="2:14" x14ac:dyDescent="0.3">
      <c r="B1989" s="1115"/>
      <c r="C1989" s="1116"/>
      <c r="D1989" s="1604"/>
      <c r="E1989" s="1604"/>
      <c r="F1989" s="1604"/>
      <c r="G1989" s="1604"/>
      <c r="H1989" s="1605"/>
      <c r="I1989" s="1109"/>
      <c r="J1989" s="1109"/>
      <c r="K1989" s="1109"/>
      <c r="L1989" s="1109"/>
      <c r="M1989" s="1109"/>
      <c r="N1989" s="1119"/>
    </row>
    <row r="1990" spans="2:14" x14ac:dyDescent="0.3">
      <c r="B1990" s="850"/>
      <c r="C1990" s="461"/>
      <c r="D1990" s="461"/>
      <c r="E1990" s="461"/>
      <c r="F1990" s="1120"/>
      <c r="G1990" s="1120"/>
      <c r="H1990" s="1120"/>
      <c r="I1990" s="1120"/>
      <c r="J1990" s="1120"/>
      <c r="K1990" s="1120"/>
      <c r="L1990" s="1120"/>
      <c r="M1990" s="1121" t="s">
        <v>24690</v>
      </c>
      <c r="N1990" s="1122">
        <f>SUM(N1989:N1989)</f>
        <v>0</v>
      </c>
    </row>
    <row r="1991" spans="2:14" x14ac:dyDescent="0.3">
      <c r="B1991" s="850"/>
      <c r="C1991" s="461"/>
      <c r="D1991" s="461"/>
      <c r="E1991" s="461"/>
      <c r="F1991" s="461"/>
      <c r="G1991" s="461"/>
      <c r="H1991" s="461"/>
      <c r="I1991" s="461"/>
      <c r="J1991" s="461"/>
      <c r="K1991" s="461"/>
      <c r="L1991" s="461"/>
      <c r="M1991" s="461"/>
      <c r="N1991" s="1113"/>
    </row>
    <row r="1992" spans="2:14" x14ac:dyDescent="0.3">
      <c r="B1992" s="850"/>
      <c r="C1992" s="461"/>
      <c r="D1992" s="461"/>
      <c r="E1992" s="461"/>
      <c r="F1992" s="1120"/>
      <c r="G1992" s="1120"/>
      <c r="H1992" s="1120"/>
      <c r="I1992" s="863"/>
      <c r="J1992" s="863"/>
      <c r="K1992" s="863"/>
      <c r="L1992" s="863"/>
      <c r="M1992" s="1121" t="s">
        <v>24691</v>
      </c>
      <c r="N1992" s="1123">
        <f>N1981+N1986+N1990</f>
        <v>12.07</v>
      </c>
    </row>
    <row r="1993" spans="2:14" x14ac:dyDescent="0.3">
      <c r="B1993" s="850"/>
      <c r="C1993" s="461"/>
      <c r="D1993" s="461"/>
      <c r="E1993" s="461"/>
      <c r="F1993" s="1120"/>
      <c r="G1993" s="1120"/>
      <c r="H1993" s="1120"/>
      <c r="I1993" s="1120"/>
      <c r="J1993" s="1124"/>
      <c r="K1993" s="1124"/>
      <c r="L1993" s="1124"/>
      <c r="M1993" s="1125" t="s">
        <v>24692</v>
      </c>
      <c r="N1993" s="1123">
        <v>1</v>
      </c>
    </row>
    <row r="1994" spans="2:14" ht="15.75" thickBot="1" x14ac:dyDescent="0.35">
      <c r="B1994" s="855"/>
      <c r="C1994" s="954"/>
      <c r="D1994" s="954"/>
      <c r="E1994" s="954"/>
      <c r="F1994" s="1110"/>
      <c r="G1994" s="1110"/>
      <c r="H1994" s="1110"/>
      <c r="I1994" s="1110"/>
      <c r="J1994" s="1110"/>
      <c r="K1994" s="1110"/>
      <c r="L1994" s="1110"/>
      <c r="M1994" s="1111" t="s">
        <v>24693</v>
      </c>
      <c r="N1994" s="1126">
        <f>TRUNC(N1992/N1993,2)</f>
        <v>12.07</v>
      </c>
    </row>
    <row r="1995" spans="2:14" ht="15.75" thickBot="1" x14ac:dyDescent="0.35">
      <c r="B1995" s="850"/>
      <c r="C1995" s="461"/>
      <c r="D1995" s="461"/>
      <c r="E1995" s="461"/>
      <c r="F1995" s="461"/>
      <c r="G1995" s="461"/>
      <c r="H1995" s="461"/>
      <c r="I1995" s="461"/>
      <c r="J1995" s="461"/>
      <c r="K1995" s="461"/>
      <c r="L1995" s="461"/>
      <c r="M1995" s="461"/>
      <c r="N1995" s="1113"/>
    </row>
    <row r="1996" spans="2:14" ht="30" x14ac:dyDescent="0.3">
      <c r="B1996" s="1104" t="s">
        <v>0</v>
      </c>
      <c r="C1996" s="1105" t="s">
        <v>24673</v>
      </c>
      <c r="D1996" s="1593" t="s">
        <v>24694</v>
      </c>
      <c r="E1996" s="1593"/>
      <c r="F1996" s="1593"/>
      <c r="G1996" s="1593"/>
      <c r="H1996" s="1593"/>
      <c r="I1996" s="1594"/>
      <c r="J1996" s="1106" t="s">
        <v>3686</v>
      </c>
      <c r="K1996" s="1106" t="s">
        <v>24695</v>
      </c>
      <c r="L1996" s="1614" t="s">
        <v>24683</v>
      </c>
      <c r="M1996" s="1615"/>
      <c r="N1996" s="1114" t="s">
        <v>24689</v>
      </c>
    </row>
    <row r="1997" spans="2:14" ht="29.25" customHeight="1" x14ac:dyDescent="0.3">
      <c r="B1997" s="1115">
        <v>301</v>
      </c>
      <c r="C1997" s="1116" t="s">
        <v>24706</v>
      </c>
      <c r="D1997" s="1604" t="s">
        <v>25371</v>
      </c>
      <c r="E1997" s="1604"/>
      <c r="F1997" s="1604"/>
      <c r="G1997" s="1604"/>
      <c r="H1997" s="1604"/>
      <c r="I1997" s="1605"/>
      <c r="J1997" s="1109" t="s">
        <v>24804</v>
      </c>
      <c r="K1997" s="1143">
        <v>3.5</v>
      </c>
      <c r="L1997" s="1624">
        <v>1</v>
      </c>
      <c r="M1997" s="1625"/>
      <c r="N1997" s="1119">
        <f>K1997*L1997</f>
        <v>3.5</v>
      </c>
    </row>
    <row r="1998" spans="2:14" ht="30.75" customHeight="1" x14ac:dyDescent="0.3">
      <c r="B1998" s="1115">
        <v>3528</v>
      </c>
      <c r="C1998" s="1116" t="s">
        <v>24706</v>
      </c>
      <c r="D1998" s="1604" t="s">
        <v>25372</v>
      </c>
      <c r="E1998" s="1604"/>
      <c r="F1998" s="1604"/>
      <c r="G1998" s="1604"/>
      <c r="H1998" s="1604"/>
      <c r="I1998" s="1605"/>
      <c r="J1998" s="1109" t="s">
        <v>24804</v>
      </c>
      <c r="K1998" s="1143">
        <v>12.14</v>
      </c>
      <c r="L1998" s="1624">
        <v>1</v>
      </c>
      <c r="M1998" s="1625"/>
      <c r="N1998" s="1119">
        <f t="shared" ref="N1998:N1999" si="33">K1998*L1998</f>
        <v>12.14</v>
      </c>
    </row>
    <row r="1999" spans="2:14" x14ac:dyDescent="0.3">
      <c r="B1999" s="1115">
        <v>20078</v>
      </c>
      <c r="C1999" s="1116" t="s">
        <v>24706</v>
      </c>
      <c r="D1999" s="1604" t="s">
        <v>25369</v>
      </c>
      <c r="E1999" s="1604"/>
      <c r="F1999" s="1604"/>
      <c r="G1999" s="1604"/>
      <c r="H1999" s="1604"/>
      <c r="I1999" s="1605"/>
      <c r="J1999" s="1109" t="s">
        <v>24804</v>
      </c>
      <c r="K1999" s="1143">
        <v>27.05</v>
      </c>
      <c r="L1999" s="1624">
        <v>4.5999999999999999E-2</v>
      </c>
      <c r="M1999" s="1625"/>
      <c r="N1999" s="1119">
        <f t="shared" si="33"/>
        <v>1.24</v>
      </c>
    </row>
    <row r="2000" spans="2:14" x14ac:dyDescent="0.3">
      <c r="B2000" s="1115"/>
      <c r="C2000" s="1116"/>
      <c r="D2000" s="1604"/>
      <c r="E2000" s="1604"/>
      <c r="F2000" s="1604"/>
      <c r="G2000" s="1604"/>
      <c r="H2000" s="1604"/>
      <c r="I2000" s="1605"/>
      <c r="J2000" s="1109"/>
      <c r="K2000" s="1109"/>
      <c r="L2000" s="1109"/>
      <c r="M2000" s="1118"/>
      <c r="N2000" s="1119"/>
    </row>
    <row r="2001" spans="2:14" ht="15.75" thickBot="1" x14ac:dyDescent="0.35">
      <c r="B2001" s="855"/>
      <c r="C2001" s="954"/>
      <c r="D2001" s="954"/>
      <c r="E2001" s="954"/>
      <c r="F2001" s="1110"/>
      <c r="G2001" s="1110"/>
      <c r="H2001" s="1110"/>
      <c r="I2001" s="1110"/>
      <c r="J2001" s="1110"/>
      <c r="K2001" s="1110"/>
      <c r="L2001" s="1110"/>
      <c r="M2001" s="1111" t="s">
        <v>24696</v>
      </c>
      <c r="N2001" s="1112">
        <f>SUM(N1997:N1999)</f>
        <v>16.88</v>
      </c>
    </row>
    <row r="2002" spans="2:14" ht="15.75" thickBot="1" x14ac:dyDescent="0.35">
      <c r="B2002" s="850"/>
      <c r="C2002" s="461"/>
      <c r="D2002" s="461"/>
      <c r="E2002" s="461"/>
      <c r="F2002" s="461"/>
      <c r="G2002" s="461"/>
      <c r="H2002" s="461"/>
      <c r="I2002" s="461"/>
      <c r="J2002" s="461"/>
      <c r="K2002" s="461"/>
      <c r="L2002" s="461"/>
      <c r="M2002" s="461"/>
      <c r="N2002" s="1113"/>
    </row>
    <row r="2003" spans="2:14" ht="30" x14ac:dyDescent="0.3">
      <c r="B2003" s="1104" t="s">
        <v>0</v>
      </c>
      <c r="C2003" s="1106" t="s">
        <v>24673</v>
      </c>
      <c r="D2003" s="1593" t="s">
        <v>24697</v>
      </c>
      <c r="E2003" s="1593"/>
      <c r="F2003" s="1593"/>
      <c r="G2003" s="1593"/>
      <c r="H2003" s="1593"/>
      <c r="I2003" s="1594"/>
      <c r="J2003" s="1106" t="s">
        <v>3686</v>
      </c>
      <c r="K2003" s="1106" t="s">
        <v>24695</v>
      </c>
      <c r="L2003" s="1106"/>
      <c r="M2003" s="1106" t="s">
        <v>24683</v>
      </c>
      <c r="N2003" s="1114" t="s">
        <v>24689</v>
      </c>
    </row>
    <row r="2004" spans="2:14" x14ac:dyDescent="0.3">
      <c r="B2004" s="1127"/>
      <c r="C2004" s="1128"/>
      <c r="D2004" s="1604"/>
      <c r="E2004" s="1604"/>
      <c r="F2004" s="1604"/>
      <c r="G2004" s="1604"/>
      <c r="H2004" s="1604"/>
      <c r="I2004" s="1605"/>
      <c r="J2004" s="462"/>
      <c r="K2004" s="462"/>
      <c r="L2004" s="462"/>
      <c r="M2004" s="1147"/>
      <c r="N2004" s="1130"/>
    </row>
    <row r="2005" spans="2:14" ht="15.75" thickBot="1" x14ac:dyDescent="0.35">
      <c r="B2005" s="855"/>
      <c r="C2005" s="954"/>
      <c r="D2005" s="954"/>
      <c r="E2005" s="954"/>
      <c r="F2005" s="1110"/>
      <c r="G2005" s="1110"/>
      <c r="H2005" s="1110"/>
      <c r="I2005" s="1110"/>
      <c r="J2005" s="1110"/>
      <c r="K2005" s="1110"/>
      <c r="L2005" s="1110"/>
      <c r="M2005" s="1111" t="s">
        <v>24698</v>
      </c>
      <c r="N2005" s="1112">
        <f>SUM(N2004:N2004)</f>
        <v>0</v>
      </c>
    </row>
    <row r="2006" spans="2:14" ht="15.75" thickBot="1" x14ac:dyDescent="0.35">
      <c r="B2006" s="850"/>
      <c r="C2006" s="461"/>
      <c r="D2006" s="461"/>
      <c r="E2006" s="461"/>
      <c r="F2006" s="461"/>
      <c r="G2006" s="461"/>
      <c r="H2006" s="461"/>
      <c r="I2006" s="461"/>
      <c r="J2006" s="461"/>
      <c r="K2006" s="461"/>
      <c r="L2006" s="461"/>
      <c r="M2006" s="461"/>
      <c r="N2006" s="1113"/>
    </row>
    <row r="2007" spans="2:14" ht="30" x14ac:dyDescent="0.3">
      <c r="B2007" s="1104" t="s">
        <v>0</v>
      </c>
      <c r="C2007" s="1106" t="s">
        <v>24673</v>
      </c>
      <c r="D2007" s="1593" t="s">
        <v>24699</v>
      </c>
      <c r="E2007" s="1593"/>
      <c r="F2007" s="1593"/>
      <c r="G2007" s="1594"/>
      <c r="H2007" s="1106" t="s">
        <v>3686</v>
      </c>
      <c r="I2007" s="1106" t="s">
        <v>24700</v>
      </c>
      <c r="J2007" s="1106" t="s">
        <v>24701</v>
      </c>
      <c r="K2007" s="1106" t="s">
        <v>24695</v>
      </c>
      <c r="L2007" s="1106"/>
      <c r="M2007" s="1106" t="s">
        <v>24683</v>
      </c>
      <c r="N2007" s="1114" t="s">
        <v>24689</v>
      </c>
    </row>
    <row r="2008" spans="2:14" x14ac:dyDescent="0.3">
      <c r="B2008" s="1115"/>
      <c r="C2008" s="1116"/>
      <c r="D2008" s="1595"/>
      <c r="E2008" s="1595"/>
      <c r="F2008" s="1595"/>
      <c r="G2008" s="1595"/>
      <c r="H2008" s="1109"/>
      <c r="I2008" s="1109"/>
      <c r="J2008" s="1109"/>
      <c r="K2008" s="1109"/>
      <c r="L2008" s="1109"/>
      <c r="M2008" s="1118"/>
      <c r="N2008" s="1119"/>
    </row>
    <row r="2009" spans="2:14" x14ac:dyDescent="0.3">
      <c r="B2009" s="850"/>
      <c r="C2009" s="461"/>
      <c r="D2009" s="461"/>
      <c r="E2009" s="461"/>
      <c r="F2009" s="1120"/>
      <c r="G2009" s="1120"/>
      <c r="H2009" s="1120"/>
      <c r="I2009" s="1120"/>
      <c r="J2009" s="1120"/>
      <c r="K2009" s="1120"/>
      <c r="L2009" s="1120"/>
      <c r="M2009" s="1121" t="s">
        <v>24702</v>
      </c>
      <c r="N2009" s="1122">
        <f>SUM(N2008:N2008)</f>
        <v>0</v>
      </c>
    </row>
    <row r="2010" spans="2:14" x14ac:dyDescent="0.3">
      <c r="B2010" s="850"/>
      <c r="C2010" s="461"/>
      <c r="D2010" s="461"/>
      <c r="E2010" s="461"/>
      <c r="F2010" s="461"/>
      <c r="G2010" s="461"/>
      <c r="H2010" s="461"/>
      <c r="I2010" s="461"/>
      <c r="J2010" s="461"/>
      <c r="K2010" s="461"/>
      <c r="L2010" s="461"/>
      <c r="M2010" s="461"/>
      <c r="N2010" s="1113"/>
    </row>
    <row r="2011" spans="2:14" x14ac:dyDescent="0.3">
      <c r="B2011" s="1131"/>
      <c r="C2011" s="1132"/>
      <c r="D2011" s="1132"/>
      <c r="E2011" s="1132"/>
      <c r="F2011" s="1133"/>
      <c r="G2011" s="1133"/>
      <c r="H2011" s="1133"/>
      <c r="I2011" s="1133"/>
      <c r="J2011" s="1133"/>
      <c r="K2011" s="1133"/>
      <c r="L2011" s="1133"/>
      <c r="M2011" s="1134" t="s">
        <v>24703</v>
      </c>
      <c r="N2011" s="1123">
        <f>N1994+N2001+N2005+N2009</f>
        <v>28.95</v>
      </c>
    </row>
    <row r="2012" spans="2:14" x14ac:dyDescent="0.3">
      <c r="B2012" s="850"/>
      <c r="C2012" s="461"/>
      <c r="D2012" s="461"/>
      <c r="E2012" s="461"/>
      <c r="F2012" s="1120"/>
      <c r="G2012" s="1120"/>
      <c r="H2012" s="1120"/>
      <c r="I2012" s="1120"/>
      <c r="J2012" s="1120"/>
      <c r="K2012" s="1120"/>
      <c r="L2012" s="1120"/>
      <c r="M2012" s="1136">
        <f>'QUIOSQUE - MOD 01'!I3</f>
        <v>0.28220000000000001</v>
      </c>
      <c r="N2012" s="1123">
        <f>N2011*M2012</f>
        <v>8.17</v>
      </c>
    </row>
    <row r="2013" spans="2:14" ht="15.75" thickBot="1" x14ac:dyDescent="0.35">
      <c r="B2013" s="1599" t="s">
        <v>24704</v>
      </c>
      <c r="C2013" s="1600"/>
      <c r="D2013" s="1600"/>
      <c r="E2013" s="1600"/>
      <c r="F2013" s="1600"/>
      <c r="G2013" s="1600"/>
      <c r="H2013" s="1600"/>
      <c r="I2013" s="1600"/>
      <c r="J2013" s="1600"/>
      <c r="K2013" s="1600"/>
      <c r="L2013" s="1600"/>
      <c r="M2013" s="1601"/>
      <c r="N2013" s="1126">
        <f>N2011+N2012</f>
        <v>37.119999999999997</v>
      </c>
    </row>
    <row r="2015" spans="2:14" ht="15.75" thickBot="1" x14ac:dyDescent="0.35"/>
    <row r="2016" spans="2:14" ht="47.25" customHeight="1" x14ac:dyDescent="0.3">
      <c r="B2016" s="1607" t="s">
        <v>24943</v>
      </c>
      <c r="C2016" s="1608"/>
      <c r="D2016" s="1609"/>
      <c r="E2016" s="1610" t="s">
        <v>24669</v>
      </c>
      <c r="F2016" s="1610"/>
      <c r="G2016" s="1610"/>
      <c r="H2016" s="1610"/>
      <c r="I2016" s="1610"/>
      <c r="J2016" s="1610"/>
      <c r="K2016" s="1610"/>
      <c r="L2016" s="1146"/>
      <c r="M2016" s="1611"/>
      <c r="N2016" s="1577"/>
    </row>
    <row r="2017" spans="2:14" x14ac:dyDescent="0.3">
      <c r="B2017" s="1103" t="s">
        <v>24670</v>
      </c>
      <c r="C2017" s="1586" t="s">
        <v>25373</v>
      </c>
      <c r="D2017" s="1586"/>
      <c r="E2017" s="1586"/>
      <c r="F2017" s="1586"/>
      <c r="G2017" s="1586"/>
      <c r="H2017" s="1586"/>
      <c r="I2017" s="1586"/>
      <c r="J2017" s="1586"/>
      <c r="K2017" s="1586"/>
      <c r="L2017" s="1586"/>
      <c r="M2017" s="1586"/>
      <c r="N2017" s="1587"/>
    </row>
    <row r="2018" spans="2:14" x14ac:dyDescent="0.3">
      <c r="B2018" s="1103" t="s">
        <v>24671</v>
      </c>
      <c r="C2018" s="1588" t="s">
        <v>24804</v>
      </c>
      <c r="D2018" s="1588"/>
      <c r="E2018" s="1588"/>
      <c r="F2018" s="1588"/>
      <c r="G2018" s="1588"/>
      <c r="H2018" s="1588"/>
      <c r="I2018" s="1588"/>
      <c r="J2018" s="1588"/>
      <c r="K2018" s="1588"/>
      <c r="L2018" s="1588"/>
      <c r="M2018" s="1588"/>
      <c r="N2018" s="1589"/>
    </row>
    <row r="2019" spans="2:14" ht="15.75" thickBot="1" x14ac:dyDescent="0.35">
      <c r="B2019" s="1103" t="s">
        <v>24672</v>
      </c>
      <c r="C2019" s="1590">
        <v>44501</v>
      </c>
      <c r="D2019" s="1591"/>
      <c r="E2019" s="1591"/>
      <c r="F2019" s="1591"/>
      <c r="G2019" s="1591"/>
      <c r="H2019" s="1591"/>
      <c r="I2019" s="1591"/>
      <c r="J2019" s="1591"/>
      <c r="K2019" s="1591"/>
      <c r="L2019" s="1591"/>
      <c r="M2019" s="1591"/>
      <c r="N2019" s="1592"/>
    </row>
    <row r="2020" spans="2:14" ht="30" x14ac:dyDescent="0.3">
      <c r="B2020" s="1104" t="s">
        <v>0</v>
      </c>
      <c r="C2020" s="1105" t="s">
        <v>24673</v>
      </c>
      <c r="D2020" s="1593" t="s">
        <v>24674</v>
      </c>
      <c r="E2020" s="1593"/>
      <c r="F2020" s="1593"/>
      <c r="G2020" s="1594"/>
      <c r="H2020" s="1106" t="s">
        <v>111</v>
      </c>
      <c r="I2020" s="1106" t="s">
        <v>24675</v>
      </c>
      <c r="J2020" s="1106" t="s">
        <v>24676</v>
      </c>
      <c r="K2020" s="1106" t="s">
        <v>24677</v>
      </c>
      <c r="L2020" s="1106"/>
      <c r="M2020" s="1106" t="s">
        <v>24678</v>
      </c>
      <c r="N2020" s="1114" t="s">
        <v>24679</v>
      </c>
    </row>
    <row r="2021" spans="2:14" x14ac:dyDescent="0.3">
      <c r="B2021" s="1115"/>
      <c r="C2021" s="1108"/>
      <c r="D2021" s="1595"/>
      <c r="E2021" s="1595"/>
      <c r="F2021" s="1595"/>
      <c r="G2021" s="1596"/>
      <c r="H2021" s="1109"/>
      <c r="I2021" s="1109"/>
      <c r="J2021" s="1109"/>
      <c r="K2021" s="1109"/>
      <c r="L2021" s="1109"/>
      <c r="M2021" s="1109"/>
      <c r="N2021" s="1119"/>
    </row>
    <row r="2022" spans="2:14" ht="15.75" thickBot="1" x14ac:dyDescent="0.35">
      <c r="B2022" s="855"/>
      <c r="C2022" s="954"/>
      <c r="D2022" s="954"/>
      <c r="E2022" s="954"/>
      <c r="F2022" s="1110"/>
      <c r="G2022" s="1110"/>
      <c r="H2022" s="1110"/>
      <c r="I2022" s="1110"/>
      <c r="J2022" s="1110"/>
      <c r="K2022" s="1110"/>
      <c r="L2022" s="1110"/>
      <c r="M2022" s="1111" t="s">
        <v>24680</v>
      </c>
      <c r="N2022" s="1112">
        <f>SUM(N2021)</f>
        <v>0</v>
      </c>
    </row>
    <row r="2023" spans="2:14" ht="15.75" thickBot="1" x14ac:dyDescent="0.35">
      <c r="B2023" s="850"/>
      <c r="C2023" s="461"/>
      <c r="D2023" s="461"/>
      <c r="E2023" s="461"/>
      <c r="F2023" s="461"/>
      <c r="G2023" s="461"/>
      <c r="H2023" s="461"/>
      <c r="I2023" s="461"/>
      <c r="J2023" s="461"/>
      <c r="K2023" s="461"/>
      <c r="L2023" s="461"/>
      <c r="M2023" s="461"/>
      <c r="N2023" s="1113"/>
    </row>
    <row r="2024" spans="2:14" ht="45" x14ac:dyDescent="0.3">
      <c r="B2024" s="1104" t="s">
        <v>0</v>
      </c>
      <c r="C2024" s="1105" t="s">
        <v>24673</v>
      </c>
      <c r="D2024" s="1593" t="s">
        <v>24681</v>
      </c>
      <c r="E2024" s="1593"/>
      <c r="F2024" s="1593"/>
      <c r="G2024" s="1593"/>
      <c r="H2024" s="1594"/>
      <c r="I2024" s="1106" t="s">
        <v>3686</v>
      </c>
      <c r="J2024" s="1106" t="s">
        <v>24682</v>
      </c>
      <c r="K2024" s="1106" t="s">
        <v>24861</v>
      </c>
      <c r="L2024" s="1106" t="s">
        <v>24862</v>
      </c>
      <c r="M2024" s="1106" t="s">
        <v>24683</v>
      </c>
      <c r="N2024" s="1114" t="s">
        <v>24679</v>
      </c>
    </row>
    <row r="2025" spans="2:14" x14ac:dyDescent="0.3">
      <c r="B2025" s="1115">
        <v>246</v>
      </c>
      <c r="C2025" s="1116" t="s">
        <v>24706</v>
      </c>
      <c r="D2025" s="1604" t="s">
        <v>25338</v>
      </c>
      <c r="E2025" s="1604"/>
      <c r="F2025" s="1604"/>
      <c r="G2025" s="1604"/>
      <c r="H2025" s="1605"/>
      <c r="I2025" s="1109" t="s">
        <v>75</v>
      </c>
      <c r="J2025" s="1117">
        <v>1.5727</v>
      </c>
      <c r="K2025" s="1143">
        <v>11.34</v>
      </c>
      <c r="L2025" s="1143">
        <f>K2025*(1+J2025)</f>
        <v>29.17</v>
      </c>
      <c r="M2025" s="1118">
        <v>0.13</v>
      </c>
      <c r="N2025" s="1119">
        <f>L2025*M2025</f>
        <v>3.79</v>
      </c>
    </row>
    <row r="2026" spans="2:14" x14ac:dyDescent="0.3">
      <c r="B2026" s="1115">
        <v>10118</v>
      </c>
      <c r="C2026" s="1116" t="s">
        <v>4389</v>
      </c>
      <c r="D2026" s="1604" t="s">
        <v>400</v>
      </c>
      <c r="E2026" s="1604"/>
      <c r="F2026" s="1604"/>
      <c r="G2026" s="1604"/>
      <c r="H2026" s="1605"/>
      <c r="I2026" s="1109" t="s">
        <v>75</v>
      </c>
      <c r="J2026" s="1117">
        <v>1.5727</v>
      </c>
      <c r="K2026" s="1143">
        <v>7.43</v>
      </c>
      <c r="L2026" s="1143">
        <f>K2026*(1+J2026)</f>
        <v>19.12</v>
      </c>
      <c r="M2026" s="1118">
        <v>0.13</v>
      </c>
      <c r="N2026" s="1119">
        <f>L2026*M2026</f>
        <v>2.4900000000000002</v>
      </c>
    </row>
    <row r="2027" spans="2:14" ht="15.75" thickBot="1" x14ac:dyDescent="0.35">
      <c r="B2027" s="855"/>
      <c r="C2027" s="954"/>
      <c r="D2027" s="954"/>
      <c r="E2027" s="954"/>
      <c r="F2027" s="1110"/>
      <c r="G2027" s="1110"/>
      <c r="H2027" s="1110"/>
      <c r="I2027" s="1110"/>
      <c r="J2027" s="1110"/>
      <c r="K2027" s="1110"/>
      <c r="L2027" s="1110"/>
      <c r="M2027" s="1111" t="s">
        <v>24684</v>
      </c>
      <c r="N2027" s="1112">
        <f>SUM(N2025:N2026)</f>
        <v>6.28</v>
      </c>
    </row>
    <row r="2028" spans="2:14" ht="15.75" thickBot="1" x14ac:dyDescent="0.35">
      <c r="B2028" s="850"/>
      <c r="C2028" s="461"/>
      <c r="D2028" s="461"/>
      <c r="E2028" s="461"/>
      <c r="F2028" s="461"/>
      <c r="G2028" s="461"/>
      <c r="H2028" s="461"/>
      <c r="I2028" s="1120"/>
      <c r="J2028" s="1120"/>
      <c r="K2028" s="461"/>
      <c r="L2028" s="461"/>
      <c r="M2028" s="461"/>
      <c r="N2028" s="1113"/>
    </row>
    <row r="2029" spans="2:14" ht="30" x14ac:dyDescent="0.3">
      <c r="B2029" s="1104" t="s">
        <v>0</v>
      </c>
      <c r="C2029" s="1105" t="s">
        <v>24673</v>
      </c>
      <c r="D2029" s="1593" t="s">
        <v>24685</v>
      </c>
      <c r="E2029" s="1593"/>
      <c r="F2029" s="1593"/>
      <c r="G2029" s="1593"/>
      <c r="H2029" s="1594"/>
      <c r="I2029" s="1106" t="s">
        <v>2858</v>
      </c>
      <c r="J2029" s="1106" t="s">
        <v>24686</v>
      </c>
      <c r="K2029" s="1106" t="s">
        <v>24687</v>
      </c>
      <c r="L2029" s="1106"/>
      <c r="M2029" s="1106" t="s">
        <v>24688</v>
      </c>
      <c r="N2029" s="1114" t="s">
        <v>24689</v>
      </c>
    </row>
    <row r="2030" spans="2:14" x14ac:dyDescent="0.3">
      <c r="B2030" s="1115"/>
      <c r="C2030" s="1116"/>
      <c r="D2030" s="1604"/>
      <c r="E2030" s="1604"/>
      <c r="F2030" s="1604"/>
      <c r="G2030" s="1604"/>
      <c r="H2030" s="1605"/>
      <c r="I2030" s="1109"/>
      <c r="J2030" s="1109"/>
      <c r="K2030" s="1109"/>
      <c r="L2030" s="1109"/>
      <c r="M2030" s="1109"/>
      <c r="N2030" s="1119"/>
    </row>
    <row r="2031" spans="2:14" x14ac:dyDescent="0.3">
      <c r="B2031" s="850"/>
      <c r="C2031" s="461"/>
      <c r="D2031" s="461"/>
      <c r="E2031" s="461"/>
      <c r="F2031" s="1120"/>
      <c r="G2031" s="1120"/>
      <c r="H2031" s="1120"/>
      <c r="I2031" s="1120"/>
      <c r="J2031" s="1120"/>
      <c r="K2031" s="1120"/>
      <c r="L2031" s="1120"/>
      <c r="M2031" s="1121" t="s">
        <v>24690</v>
      </c>
      <c r="N2031" s="1122">
        <f>SUM(N2030:N2030)</f>
        <v>0</v>
      </c>
    </row>
    <row r="2032" spans="2:14" x14ac:dyDescent="0.3">
      <c r="B2032" s="850"/>
      <c r="C2032" s="461"/>
      <c r="D2032" s="461"/>
      <c r="E2032" s="461"/>
      <c r="F2032" s="461"/>
      <c r="G2032" s="461"/>
      <c r="H2032" s="461"/>
      <c r="I2032" s="461"/>
      <c r="J2032" s="461"/>
      <c r="K2032" s="461"/>
      <c r="L2032" s="461"/>
      <c r="M2032" s="461"/>
      <c r="N2032" s="1113"/>
    </row>
    <row r="2033" spans="2:14" x14ac:dyDescent="0.3">
      <c r="B2033" s="850"/>
      <c r="C2033" s="461"/>
      <c r="D2033" s="461"/>
      <c r="E2033" s="461"/>
      <c r="F2033" s="1120"/>
      <c r="G2033" s="1120"/>
      <c r="H2033" s="1120"/>
      <c r="I2033" s="863"/>
      <c r="J2033" s="863"/>
      <c r="K2033" s="863"/>
      <c r="L2033" s="863"/>
      <c r="M2033" s="1121" t="s">
        <v>24691</v>
      </c>
      <c r="N2033" s="1123">
        <f>N2022+N2027+N2031</f>
        <v>6.28</v>
      </c>
    </row>
    <row r="2034" spans="2:14" x14ac:dyDescent="0.3">
      <c r="B2034" s="850"/>
      <c r="C2034" s="461"/>
      <c r="D2034" s="461"/>
      <c r="E2034" s="461"/>
      <c r="F2034" s="1120"/>
      <c r="G2034" s="1120"/>
      <c r="H2034" s="1120"/>
      <c r="I2034" s="1120"/>
      <c r="J2034" s="1124"/>
      <c r="K2034" s="1124"/>
      <c r="L2034" s="1124"/>
      <c r="M2034" s="1125" t="s">
        <v>24692</v>
      </c>
      <c r="N2034" s="1123">
        <v>1</v>
      </c>
    </row>
    <row r="2035" spans="2:14" ht="15.75" thickBot="1" x14ac:dyDescent="0.35">
      <c r="B2035" s="855"/>
      <c r="C2035" s="954"/>
      <c r="D2035" s="954"/>
      <c r="E2035" s="954"/>
      <c r="F2035" s="1110"/>
      <c r="G2035" s="1110"/>
      <c r="H2035" s="1110"/>
      <c r="I2035" s="1110"/>
      <c r="J2035" s="1110"/>
      <c r="K2035" s="1110"/>
      <c r="L2035" s="1110"/>
      <c r="M2035" s="1111" t="s">
        <v>24693</v>
      </c>
      <c r="N2035" s="1126">
        <f>TRUNC(N2033/N2034,2)</f>
        <v>6.28</v>
      </c>
    </row>
    <row r="2036" spans="2:14" ht="15.75" thickBot="1" x14ac:dyDescent="0.35">
      <c r="B2036" s="850"/>
      <c r="C2036" s="461"/>
      <c r="D2036" s="461"/>
      <c r="E2036" s="461"/>
      <c r="F2036" s="461"/>
      <c r="G2036" s="461"/>
      <c r="H2036" s="461"/>
      <c r="I2036" s="461"/>
      <c r="J2036" s="461"/>
      <c r="K2036" s="461"/>
      <c r="L2036" s="461"/>
      <c r="M2036" s="461"/>
      <c r="N2036" s="1113"/>
    </row>
    <row r="2037" spans="2:14" ht="30" x14ac:dyDescent="0.3">
      <c r="B2037" s="1104" t="s">
        <v>0</v>
      </c>
      <c r="C2037" s="1105" t="s">
        <v>24673</v>
      </c>
      <c r="D2037" s="1593" t="s">
        <v>24694</v>
      </c>
      <c r="E2037" s="1593"/>
      <c r="F2037" s="1593"/>
      <c r="G2037" s="1593"/>
      <c r="H2037" s="1593"/>
      <c r="I2037" s="1594"/>
      <c r="J2037" s="1106" t="s">
        <v>3686</v>
      </c>
      <c r="K2037" s="1106" t="s">
        <v>24695</v>
      </c>
      <c r="L2037" s="1614" t="s">
        <v>24683</v>
      </c>
      <c r="M2037" s="1615"/>
      <c r="N2037" s="1114" t="s">
        <v>24689</v>
      </c>
    </row>
    <row r="2038" spans="2:14" ht="29.25" customHeight="1" x14ac:dyDescent="0.3">
      <c r="B2038" s="1115">
        <v>296</v>
      </c>
      <c r="C2038" s="1116" t="s">
        <v>24706</v>
      </c>
      <c r="D2038" s="1604" t="s">
        <v>25374</v>
      </c>
      <c r="E2038" s="1604"/>
      <c r="F2038" s="1604"/>
      <c r="G2038" s="1604"/>
      <c r="H2038" s="1604"/>
      <c r="I2038" s="1605"/>
      <c r="J2038" s="1109" t="s">
        <v>24804</v>
      </c>
      <c r="K2038" s="1143">
        <v>1.98</v>
      </c>
      <c r="L2038" s="1624">
        <v>1</v>
      </c>
      <c r="M2038" s="1625"/>
      <c r="N2038" s="1119">
        <f>K2038*L2038</f>
        <v>1.98</v>
      </c>
    </row>
    <row r="2039" spans="2:14" ht="30.75" customHeight="1" x14ac:dyDescent="0.3">
      <c r="B2039" s="1115">
        <v>3518</v>
      </c>
      <c r="C2039" s="1116" t="s">
        <v>24706</v>
      </c>
      <c r="D2039" s="1604" t="s">
        <v>25375</v>
      </c>
      <c r="E2039" s="1604"/>
      <c r="F2039" s="1604"/>
      <c r="G2039" s="1604"/>
      <c r="H2039" s="1604"/>
      <c r="I2039" s="1605"/>
      <c r="J2039" s="1109" t="s">
        <v>24804</v>
      </c>
      <c r="K2039" s="1143">
        <v>4.6100000000000003</v>
      </c>
      <c r="L2039" s="1624">
        <v>1</v>
      </c>
      <c r="M2039" s="1625"/>
      <c r="N2039" s="1119">
        <f t="shared" ref="N2039:N2040" si="34">K2039*L2039</f>
        <v>4.6100000000000003</v>
      </c>
    </row>
    <row r="2040" spans="2:14" x14ac:dyDescent="0.3">
      <c r="B2040" s="1115">
        <v>20078</v>
      </c>
      <c r="C2040" s="1116" t="s">
        <v>24706</v>
      </c>
      <c r="D2040" s="1604" t="s">
        <v>25369</v>
      </c>
      <c r="E2040" s="1604"/>
      <c r="F2040" s="1604"/>
      <c r="G2040" s="1604"/>
      <c r="H2040" s="1604"/>
      <c r="I2040" s="1605"/>
      <c r="J2040" s="1109" t="s">
        <v>24804</v>
      </c>
      <c r="K2040" s="1143">
        <v>27.05</v>
      </c>
      <c r="L2040" s="1624">
        <v>0.02</v>
      </c>
      <c r="M2040" s="1625"/>
      <c r="N2040" s="1119">
        <f t="shared" si="34"/>
        <v>0.54</v>
      </c>
    </row>
    <row r="2041" spans="2:14" x14ac:dyDescent="0.3">
      <c r="B2041" s="1115"/>
      <c r="C2041" s="1116"/>
      <c r="D2041" s="1604"/>
      <c r="E2041" s="1604"/>
      <c r="F2041" s="1604"/>
      <c r="G2041" s="1604"/>
      <c r="H2041" s="1604"/>
      <c r="I2041" s="1605"/>
      <c r="J2041" s="1109"/>
      <c r="K2041" s="1109"/>
      <c r="L2041" s="1109"/>
      <c r="M2041" s="1118"/>
      <c r="N2041" s="1119"/>
    </row>
    <row r="2042" spans="2:14" ht="15.75" thickBot="1" x14ac:dyDescent="0.35">
      <c r="B2042" s="855"/>
      <c r="C2042" s="954"/>
      <c r="D2042" s="954"/>
      <c r="E2042" s="954"/>
      <c r="F2042" s="1110"/>
      <c r="G2042" s="1110"/>
      <c r="H2042" s="1110"/>
      <c r="I2042" s="1110"/>
      <c r="J2042" s="1110"/>
      <c r="K2042" s="1110"/>
      <c r="L2042" s="1110"/>
      <c r="M2042" s="1111" t="s">
        <v>24696</v>
      </c>
      <c r="N2042" s="1112">
        <f>SUM(N2038:N2040)</f>
        <v>7.13</v>
      </c>
    </row>
    <row r="2043" spans="2:14" ht="15.75" thickBot="1" x14ac:dyDescent="0.35">
      <c r="B2043" s="850"/>
      <c r="C2043" s="461"/>
      <c r="D2043" s="461"/>
      <c r="E2043" s="461"/>
      <c r="F2043" s="461"/>
      <c r="G2043" s="461"/>
      <c r="H2043" s="461"/>
      <c r="I2043" s="461"/>
      <c r="J2043" s="461"/>
      <c r="K2043" s="461"/>
      <c r="L2043" s="461"/>
      <c r="M2043" s="461"/>
      <c r="N2043" s="1113"/>
    </row>
    <row r="2044" spans="2:14" ht="30" x14ac:dyDescent="0.3">
      <c r="B2044" s="1104" t="s">
        <v>0</v>
      </c>
      <c r="C2044" s="1106" t="s">
        <v>24673</v>
      </c>
      <c r="D2044" s="1593" t="s">
        <v>24697</v>
      </c>
      <c r="E2044" s="1593"/>
      <c r="F2044" s="1593"/>
      <c r="G2044" s="1593"/>
      <c r="H2044" s="1593"/>
      <c r="I2044" s="1594"/>
      <c r="J2044" s="1106" t="s">
        <v>3686</v>
      </c>
      <c r="K2044" s="1106" t="s">
        <v>24695</v>
      </c>
      <c r="L2044" s="1106"/>
      <c r="M2044" s="1106" t="s">
        <v>24683</v>
      </c>
      <c r="N2044" s="1114" t="s">
        <v>24689</v>
      </c>
    </row>
    <row r="2045" spans="2:14" x14ac:dyDescent="0.3">
      <c r="B2045" s="1127"/>
      <c r="C2045" s="1128"/>
      <c r="D2045" s="1604"/>
      <c r="E2045" s="1604"/>
      <c r="F2045" s="1604"/>
      <c r="G2045" s="1604"/>
      <c r="H2045" s="1604"/>
      <c r="I2045" s="1605"/>
      <c r="J2045" s="462"/>
      <c r="K2045" s="462"/>
      <c r="L2045" s="462"/>
      <c r="M2045" s="1147"/>
      <c r="N2045" s="1130"/>
    </row>
    <row r="2046" spans="2:14" ht="15.75" thickBot="1" x14ac:dyDescent="0.35">
      <c r="B2046" s="855"/>
      <c r="C2046" s="954"/>
      <c r="D2046" s="954"/>
      <c r="E2046" s="954"/>
      <c r="F2046" s="1110"/>
      <c r="G2046" s="1110"/>
      <c r="H2046" s="1110"/>
      <c r="I2046" s="1110"/>
      <c r="J2046" s="1110"/>
      <c r="K2046" s="1110"/>
      <c r="L2046" s="1110"/>
      <c r="M2046" s="1111" t="s">
        <v>24698</v>
      </c>
      <c r="N2046" s="1112">
        <f>SUM(N2045:N2045)</f>
        <v>0</v>
      </c>
    </row>
    <row r="2047" spans="2:14" ht="15.75" thickBot="1" x14ac:dyDescent="0.35">
      <c r="B2047" s="850"/>
      <c r="C2047" s="461"/>
      <c r="D2047" s="461"/>
      <c r="E2047" s="461"/>
      <c r="F2047" s="461"/>
      <c r="G2047" s="461"/>
      <c r="H2047" s="461"/>
      <c r="I2047" s="461"/>
      <c r="J2047" s="461"/>
      <c r="K2047" s="461"/>
      <c r="L2047" s="461"/>
      <c r="M2047" s="461"/>
      <c r="N2047" s="1113"/>
    </row>
    <row r="2048" spans="2:14" ht="30" x14ac:dyDescent="0.3">
      <c r="B2048" s="1104" t="s">
        <v>0</v>
      </c>
      <c r="C2048" s="1106" t="s">
        <v>24673</v>
      </c>
      <c r="D2048" s="1593" t="s">
        <v>24699</v>
      </c>
      <c r="E2048" s="1593"/>
      <c r="F2048" s="1593"/>
      <c r="G2048" s="1594"/>
      <c r="H2048" s="1106" t="s">
        <v>3686</v>
      </c>
      <c r="I2048" s="1106" t="s">
        <v>24700</v>
      </c>
      <c r="J2048" s="1106" t="s">
        <v>24701</v>
      </c>
      <c r="K2048" s="1106" t="s">
        <v>24695</v>
      </c>
      <c r="L2048" s="1106"/>
      <c r="M2048" s="1106" t="s">
        <v>24683</v>
      </c>
      <c r="N2048" s="1114" t="s">
        <v>24689</v>
      </c>
    </row>
    <row r="2049" spans="2:14" x14ac:dyDescent="0.3">
      <c r="B2049" s="1115"/>
      <c r="C2049" s="1116"/>
      <c r="D2049" s="1595"/>
      <c r="E2049" s="1595"/>
      <c r="F2049" s="1595"/>
      <c r="G2049" s="1595"/>
      <c r="H2049" s="1109"/>
      <c r="I2049" s="1109"/>
      <c r="J2049" s="1109"/>
      <c r="K2049" s="1109"/>
      <c r="L2049" s="1109"/>
      <c r="M2049" s="1118"/>
      <c r="N2049" s="1119"/>
    </row>
    <row r="2050" spans="2:14" x14ac:dyDescent="0.3">
      <c r="B2050" s="850"/>
      <c r="C2050" s="461"/>
      <c r="D2050" s="461"/>
      <c r="E2050" s="461"/>
      <c r="F2050" s="1120"/>
      <c r="G2050" s="1120"/>
      <c r="H2050" s="1120"/>
      <c r="I2050" s="1120"/>
      <c r="J2050" s="1120"/>
      <c r="K2050" s="1120"/>
      <c r="L2050" s="1120"/>
      <c r="M2050" s="1121" t="s">
        <v>24702</v>
      </c>
      <c r="N2050" s="1122">
        <f>SUM(N2049:N2049)</f>
        <v>0</v>
      </c>
    </row>
    <row r="2051" spans="2:14" x14ac:dyDescent="0.3">
      <c r="B2051" s="850"/>
      <c r="C2051" s="461"/>
      <c r="D2051" s="461"/>
      <c r="E2051" s="461"/>
      <c r="F2051" s="461"/>
      <c r="G2051" s="461"/>
      <c r="H2051" s="461"/>
      <c r="I2051" s="461"/>
      <c r="J2051" s="461"/>
      <c r="K2051" s="461"/>
      <c r="L2051" s="461"/>
      <c r="M2051" s="461"/>
      <c r="N2051" s="1113"/>
    </row>
    <row r="2052" spans="2:14" x14ac:dyDescent="0.3">
      <c r="B2052" s="1131"/>
      <c r="C2052" s="1132"/>
      <c r="D2052" s="1132"/>
      <c r="E2052" s="1132"/>
      <c r="F2052" s="1133"/>
      <c r="G2052" s="1133"/>
      <c r="H2052" s="1133"/>
      <c r="I2052" s="1133"/>
      <c r="J2052" s="1133"/>
      <c r="K2052" s="1133"/>
      <c r="L2052" s="1133"/>
      <c r="M2052" s="1134" t="s">
        <v>24703</v>
      </c>
      <c r="N2052" s="1123">
        <f>N2035+N2042+N2046+N2050</f>
        <v>13.41</v>
      </c>
    </row>
    <row r="2053" spans="2:14" x14ac:dyDescent="0.3">
      <c r="B2053" s="850"/>
      <c r="C2053" s="461"/>
      <c r="D2053" s="461"/>
      <c r="E2053" s="461"/>
      <c r="F2053" s="1120"/>
      <c r="G2053" s="1120"/>
      <c r="H2053" s="1120"/>
      <c r="I2053" s="1120"/>
      <c r="J2053" s="1120"/>
      <c r="K2053" s="1120"/>
      <c r="L2053" s="1120"/>
      <c r="M2053" s="1136">
        <f>'QUIOSQUE - MOD 01'!I3</f>
        <v>0.28220000000000001</v>
      </c>
      <c r="N2053" s="1123">
        <f>N2052*M2053</f>
        <v>3.78</v>
      </c>
    </row>
    <row r="2054" spans="2:14" ht="15.75" thickBot="1" x14ac:dyDescent="0.35">
      <c r="B2054" s="1599" t="s">
        <v>24704</v>
      </c>
      <c r="C2054" s="1600"/>
      <c r="D2054" s="1600"/>
      <c r="E2054" s="1600"/>
      <c r="F2054" s="1600"/>
      <c r="G2054" s="1600"/>
      <c r="H2054" s="1600"/>
      <c r="I2054" s="1600"/>
      <c r="J2054" s="1600"/>
      <c r="K2054" s="1600"/>
      <c r="L2054" s="1600"/>
      <c r="M2054" s="1601"/>
      <c r="N2054" s="1126">
        <f>N2052+N2053</f>
        <v>17.190000000000001</v>
      </c>
    </row>
    <row r="2055" spans="2:14" ht="15.75" thickBot="1" x14ac:dyDescent="0.35"/>
    <row r="2056" spans="2:14" ht="51.75" customHeight="1" x14ac:dyDescent="0.3">
      <c r="B2056" s="1607" t="s">
        <v>24944</v>
      </c>
      <c r="C2056" s="1608"/>
      <c r="D2056" s="1609"/>
      <c r="E2056" s="1610" t="s">
        <v>24669</v>
      </c>
      <c r="F2056" s="1610"/>
      <c r="G2056" s="1610"/>
      <c r="H2056" s="1610"/>
      <c r="I2056" s="1610"/>
      <c r="J2056" s="1610"/>
      <c r="K2056" s="1610"/>
      <c r="L2056" s="1623"/>
      <c r="M2056" s="1576"/>
      <c r="N2056" s="1577"/>
    </row>
    <row r="2057" spans="2:14" ht="33.75" customHeight="1" x14ac:dyDescent="0.3">
      <c r="B2057" s="1103" t="s">
        <v>24670</v>
      </c>
      <c r="C2057" s="1586" t="s">
        <v>25376</v>
      </c>
      <c r="D2057" s="1586"/>
      <c r="E2057" s="1586"/>
      <c r="F2057" s="1586"/>
      <c r="G2057" s="1586"/>
      <c r="H2057" s="1586"/>
      <c r="I2057" s="1586"/>
      <c r="J2057" s="1586"/>
      <c r="K2057" s="1586"/>
      <c r="L2057" s="1586"/>
      <c r="M2057" s="1586"/>
      <c r="N2057" s="1587"/>
    </row>
    <row r="2058" spans="2:14" x14ac:dyDescent="0.3">
      <c r="B2058" s="1103" t="s">
        <v>24671</v>
      </c>
      <c r="C2058" s="1588" t="s">
        <v>8</v>
      </c>
      <c r="D2058" s="1588"/>
      <c r="E2058" s="1588"/>
      <c r="F2058" s="1588"/>
      <c r="G2058" s="1588"/>
      <c r="H2058" s="1588"/>
      <c r="I2058" s="1588"/>
      <c r="J2058" s="1588"/>
      <c r="K2058" s="1588"/>
      <c r="L2058" s="1588"/>
      <c r="M2058" s="1588"/>
      <c r="N2058" s="1589"/>
    </row>
    <row r="2059" spans="2:14" ht="15.75" thickBot="1" x14ac:dyDescent="0.35">
      <c r="B2059" s="1103" t="s">
        <v>24672</v>
      </c>
      <c r="C2059" s="1590">
        <v>44501</v>
      </c>
      <c r="D2059" s="1591"/>
      <c r="E2059" s="1591"/>
      <c r="F2059" s="1591"/>
      <c r="G2059" s="1591"/>
      <c r="H2059" s="1591"/>
      <c r="I2059" s="1591"/>
      <c r="J2059" s="1591"/>
      <c r="K2059" s="1591"/>
      <c r="L2059" s="1591"/>
      <c r="M2059" s="1591"/>
      <c r="N2059" s="1592"/>
    </row>
    <row r="2060" spans="2:14" ht="30" x14ac:dyDescent="0.3">
      <c r="B2060" s="1104" t="s">
        <v>0</v>
      </c>
      <c r="C2060" s="1105" t="s">
        <v>24673</v>
      </c>
      <c r="D2060" s="1593" t="s">
        <v>24674</v>
      </c>
      <c r="E2060" s="1593"/>
      <c r="F2060" s="1593"/>
      <c r="G2060" s="1594"/>
      <c r="H2060" s="1106" t="s">
        <v>111</v>
      </c>
      <c r="I2060" s="1106" t="s">
        <v>24675</v>
      </c>
      <c r="J2060" s="1106" t="s">
        <v>24676</v>
      </c>
      <c r="K2060" s="1106" t="s">
        <v>24677</v>
      </c>
      <c r="L2060" s="1106" t="s">
        <v>24678</v>
      </c>
      <c r="M2060" s="1621" t="s">
        <v>24679</v>
      </c>
      <c r="N2060" s="1622"/>
    </row>
    <row r="2061" spans="2:14" x14ac:dyDescent="0.3">
      <c r="B2061" s="1115"/>
      <c r="C2061" s="1108"/>
      <c r="D2061" s="1595"/>
      <c r="E2061" s="1595"/>
      <c r="F2061" s="1595"/>
      <c r="G2061" s="1596"/>
      <c r="H2061" s="1109"/>
      <c r="I2061" s="1109"/>
      <c r="J2061" s="1109"/>
      <c r="K2061" s="1109"/>
      <c r="L2061" s="1109"/>
      <c r="M2061" s="1597"/>
      <c r="N2061" s="1620"/>
    </row>
    <row r="2062" spans="2:14" x14ac:dyDescent="0.3">
      <c r="B2062" s="1115"/>
      <c r="C2062" s="1108"/>
      <c r="D2062" s="1595"/>
      <c r="E2062" s="1595"/>
      <c r="F2062" s="1595"/>
      <c r="G2062" s="1596"/>
      <c r="H2062" s="1109"/>
      <c r="I2062" s="1109"/>
      <c r="J2062" s="1109"/>
      <c r="K2062" s="1109"/>
      <c r="L2062" s="1109"/>
      <c r="M2062" s="1597"/>
      <c r="N2062" s="1620"/>
    </row>
    <row r="2063" spans="2:14" x14ac:dyDescent="0.3">
      <c r="B2063" s="1107"/>
      <c r="C2063" s="1108"/>
      <c r="D2063" s="1595"/>
      <c r="E2063" s="1595"/>
      <c r="F2063" s="1595"/>
      <c r="G2063" s="1596"/>
      <c r="H2063" s="1109"/>
      <c r="I2063" s="1109"/>
      <c r="J2063" s="1109"/>
      <c r="K2063" s="1109"/>
      <c r="L2063" s="1109"/>
      <c r="M2063" s="1597"/>
      <c r="N2063" s="1620"/>
    </row>
    <row r="2064" spans="2:14" ht="15.75" thickBot="1" x14ac:dyDescent="0.35">
      <c r="B2064" s="855"/>
      <c r="C2064" s="954"/>
      <c r="D2064" s="954"/>
      <c r="E2064" s="954"/>
      <c r="F2064" s="1110"/>
      <c r="G2064" s="1110"/>
      <c r="H2064" s="1110"/>
      <c r="I2064" s="1110"/>
      <c r="J2064" s="1110"/>
      <c r="K2064" s="1110"/>
      <c r="L2064" s="1110"/>
      <c r="M2064" s="1111" t="s">
        <v>24680</v>
      </c>
      <c r="N2064" s="1112">
        <f>SUM(N2061:N2063)</f>
        <v>0</v>
      </c>
    </row>
    <row r="2065" spans="2:14" ht="15.75" thickBot="1" x14ac:dyDescent="0.35">
      <c r="B2065" s="850"/>
      <c r="C2065" s="461"/>
      <c r="D2065" s="461"/>
      <c r="E2065" s="461"/>
      <c r="F2065" s="461"/>
      <c r="G2065" s="461"/>
      <c r="H2065" s="461"/>
      <c r="I2065" s="461"/>
      <c r="J2065" s="461"/>
      <c r="K2065" s="461"/>
      <c r="L2065" s="461"/>
      <c r="M2065" s="461"/>
      <c r="N2065" s="1113"/>
    </row>
    <row r="2066" spans="2:14" ht="45" x14ac:dyDescent="0.3">
      <c r="B2066" s="1104" t="s">
        <v>0</v>
      </c>
      <c r="C2066" s="1105" t="s">
        <v>24673</v>
      </c>
      <c r="D2066" s="1593" t="s">
        <v>24681</v>
      </c>
      <c r="E2066" s="1593"/>
      <c r="F2066" s="1593"/>
      <c r="G2066" s="1593"/>
      <c r="H2066" s="1594"/>
      <c r="I2066" s="1106" t="s">
        <v>3686</v>
      </c>
      <c r="J2066" s="1106" t="s">
        <v>24682</v>
      </c>
      <c r="K2066" s="1106" t="s">
        <v>25177</v>
      </c>
      <c r="L2066" s="1106" t="s">
        <v>25178</v>
      </c>
      <c r="M2066" s="1106" t="s">
        <v>24683</v>
      </c>
      <c r="N2066" s="1114" t="s">
        <v>24679</v>
      </c>
    </row>
    <row r="2067" spans="2:14" x14ac:dyDescent="0.3">
      <c r="B2067" s="1115">
        <v>10101</v>
      </c>
      <c r="C2067" s="1108" t="s">
        <v>4379</v>
      </c>
      <c r="D2067" s="1604" t="s">
        <v>25268</v>
      </c>
      <c r="E2067" s="1604"/>
      <c r="F2067" s="1604"/>
      <c r="G2067" s="1604"/>
      <c r="H2067" s="1605"/>
      <c r="I2067" s="1109" t="s">
        <v>75</v>
      </c>
      <c r="J2067" s="1117">
        <v>1.5727</v>
      </c>
      <c r="K2067" s="1109">
        <v>6.27</v>
      </c>
      <c r="L2067" s="1109">
        <f>K2067*(1+J2067)</f>
        <v>16.13</v>
      </c>
      <c r="M2067" s="1118">
        <v>0.1</v>
      </c>
      <c r="N2067" s="1119">
        <f>M2067*L2067</f>
        <v>1.61</v>
      </c>
    </row>
    <row r="2068" spans="2:14" x14ac:dyDescent="0.3">
      <c r="B2068" s="1115">
        <v>10118</v>
      </c>
      <c r="C2068" s="1108" t="s">
        <v>4379</v>
      </c>
      <c r="D2068" s="1604" t="s">
        <v>25186</v>
      </c>
      <c r="E2068" s="1604"/>
      <c r="F2068" s="1604"/>
      <c r="G2068" s="1604"/>
      <c r="H2068" s="1605"/>
      <c r="I2068" s="1109" t="s">
        <v>75</v>
      </c>
      <c r="J2068" s="1117">
        <v>1.5727</v>
      </c>
      <c r="K2068" s="1109">
        <v>7.43</v>
      </c>
      <c r="L2068" s="1109">
        <f>K2068*(1+J2068)</f>
        <v>19.12</v>
      </c>
      <c r="M2068" s="1118">
        <v>0.1</v>
      </c>
      <c r="N2068" s="1119">
        <f>M2068*L2068</f>
        <v>1.91</v>
      </c>
    </row>
    <row r="2069" spans="2:14" ht="15.75" thickBot="1" x14ac:dyDescent="0.35">
      <c r="B2069" s="855"/>
      <c r="C2069" s="954"/>
      <c r="D2069" s="954"/>
      <c r="E2069" s="954"/>
      <c r="F2069" s="1110"/>
      <c r="G2069" s="1110"/>
      <c r="H2069" s="1110"/>
      <c r="I2069" s="1110"/>
      <c r="J2069" s="1110"/>
      <c r="K2069" s="1110"/>
      <c r="L2069" s="1110"/>
      <c r="M2069" s="1111" t="s">
        <v>24684</v>
      </c>
      <c r="N2069" s="1112">
        <f>SUM(N2067:N2068)</f>
        <v>3.52</v>
      </c>
    </row>
    <row r="2070" spans="2:14" ht="15.75" thickBot="1" x14ac:dyDescent="0.35">
      <c r="B2070" s="850"/>
      <c r="C2070" s="461"/>
      <c r="D2070" s="461"/>
      <c r="E2070" s="461"/>
      <c r="F2070" s="461"/>
      <c r="G2070" s="461"/>
      <c r="H2070" s="461"/>
      <c r="I2070" s="1120"/>
      <c r="J2070" s="1120"/>
      <c r="K2070" s="461"/>
      <c r="L2070" s="461"/>
      <c r="M2070" s="461"/>
      <c r="N2070" s="1113"/>
    </row>
    <row r="2071" spans="2:14" ht="30" x14ac:dyDescent="0.3">
      <c r="B2071" s="1104" t="s">
        <v>0</v>
      </c>
      <c r="C2071" s="1105" t="s">
        <v>24673</v>
      </c>
      <c r="D2071" s="1593" t="s">
        <v>24685</v>
      </c>
      <c r="E2071" s="1593"/>
      <c r="F2071" s="1593"/>
      <c r="G2071" s="1593"/>
      <c r="H2071" s="1594"/>
      <c r="I2071" s="1106" t="s">
        <v>2858</v>
      </c>
      <c r="J2071" s="1106" t="s">
        <v>24686</v>
      </c>
      <c r="K2071" s="1106" t="s">
        <v>24687</v>
      </c>
      <c r="L2071" s="1614" t="s">
        <v>24688</v>
      </c>
      <c r="M2071" s="1615"/>
      <c r="N2071" s="1114" t="s">
        <v>24689</v>
      </c>
    </row>
    <row r="2072" spans="2:14" x14ac:dyDescent="0.3">
      <c r="B2072" s="1115"/>
      <c r="C2072" s="1116"/>
      <c r="D2072" s="1604"/>
      <c r="E2072" s="1604"/>
      <c r="F2072" s="1604"/>
      <c r="G2072" s="1604"/>
      <c r="H2072" s="1605"/>
      <c r="I2072" s="1109"/>
      <c r="J2072" s="1109"/>
      <c r="K2072" s="1109"/>
      <c r="L2072" s="1597"/>
      <c r="M2072" s="1598"/>
      <c r="N2072" s="1119">
        <f>N2069*(I2072/100)</f>
        <v>0</v>
      </c>
    </row>
    <row r="2073" spans="2:14" x14ac:dyDescent="0.3">
      <c r="B2073" s="850"/>
      <c r="C2073" s="461"/>
      <c r="D2073" s="461"/>
      <c r="E2073" s="461"/>
      <c r="F2073" s="1120"/>
      <c r="G2073" s="1120"/>
      <c r="H2073" s="1120"/>
      <c r="I2073" s="1120"/>
      <c r="J2073" s="1120"/>
      <c r="K2073" s="1120"/>
      <c r="L2073" s="1120"/>
      <c r="M2073" s="1121" t="s">
        <v>24690</v>
      </c>
      <c r="N2073" s="1122">
        <f>SUM(N2072:N2072)</f>
        <v>0</v>
      </c>
    </row>
    <row r="2074" spans="2:14" x14ac:dyDescent="0.3">
      <c r="B2074" s="850"/>
      <c r="C2074" s="461"/>
      <c r="D2074" s="461"/>
      <c r="E2074" s="461"/>
      <c r="F2074" s="461"/>
      <c r="G2074" s="461"/>
      <c r="H2074" s="461"/>
      <c r="I2074" s="461"/>
      <c r="J2074" s="461"/>
      <c r="K2074" s="461"/>
      <c r="L2074" s="461"/>
      <c r="M2074" s="461"/>
      <c r="N2074" s="1113"/>
    </row>
    <row r="2075" spans="2:14" x14ac:dyDescent="0.3">
      <c r="B2075" s="850"/>
      <c r="C2075" s="461"/>
      <c r="D2075" s="461"/>
      <c r="E2075" s="461"/>
      <c r="F2075" s="1120"/>
      <c r="G2075" s="1120"/>
      <c r="H2075" s="1120"/>
      <c r="I2075" s="863"/>
      <c r="J2075" s="863"/>
      <c r="K2075" s="863"/>
      <c r="L2075" s="863"/>
      <c r="M2075" s="1121" t="s">
        <v>24691</v>
      </c>
      <c r="N2075" s="1123">
        <f>N2064+N2069+N2073</f>
        <v>3.52</v>
      </c>
    </row>
    <row r="2076" spans="2:14" x14ac:dyDescent="0.3">
      <c r="B2076" s="850"/>
      <c r="C2076" s="461"/>
      <c r="D2076" s="461"/>
      <c r="E2076" s="461"/>
      <c r="F2076" s="1120"/>
      <c r="G2076" s="1120"/>
      <c r="H2076" s="1120"/>
      <c r="I2076" s="1120"/>
      <c r="J2076" s="1124"/>
      <c r="K2076" s="1124"/>
      <c r="L2076" s="1124"/>
      <c r="M2076" s="1125" t="s">
        <v>24692</v>
      </c>
      <c r="N2076" s="1123">
        <v>1</v>
      </c>
    </row>
    <row r="2077" spans="2:14" ht="15.75" thickBot="1" x14ac:dyDescent="0.35">
      <c r="B2077" s="855"/>
      <c r="C2077" s="954"/>
      <c r="D2077" s="954"/>
      <c r="E2077" s="954"/>
      <c r="F2077" s="1110"/>
      <c r="G2077" s="1110"/>
      <c r="H2077" s="1110"/>
      <c r="I2077" s="1110"/>
      <c r="J2077" s="1110"/>
      <c r="K2077" s="1110"/>
      <c r="L2077" s="1110"/>
      <c r="M2077" s="1111" t="s">
        <v>24693</v>
      </c>
      <c r="N2077" s="1126">
        <f>TRUNC(N2075/N2076,2)</f>
        <v>3.52</v>
      </c>
    </row>
    <row r="2078" spans="2:14" ht="15.75" thickBot="1" x14ac:dyDescent="0.35">
      <c r="B2078" s="850"/>
      <c r="C2078" s="461"/>
      <c r="D2078" s="461"/>
      <c r="E2078" s="461"/>
      <c r="F2078" s="461"/>
      <c r="G2078" s="461"/>
      <c r="H2078" s="461"/>
      <c r="I2078" s="461"/>
      <c r="J2078" s="461"/>
      <c r="K2078" s="461"/>
      <c r="L2078" s="461"/>
      <c r="M2078" s="461"/>
      <c r="N2078" s="1113"/>
    </row>
    <row r="2079" spans="2:14" ht="30" x14ac:dyDescent="0.3">
      <c r="B2079" s="1104" t="s">
        <v>0</v>
      </c>
      <c r="C2079" s="1105" t="s">
        <v>24673</v>
      </c>
      <c r="D2079" s="1593" t="s">
        <v>24694</v>
      </c>
      <c r="E2079" s="1593"/>
      <c r="F2079" s="1593"/>
      <c r="G2079" s="1593"/>
      <c r="H2079" s="1593"/>
      <c r="I2079" s="1594"/>
      <c r="J2079" s="1106" t="s">
        <v>3686</v>
      </c>
      <c r="K2079" s="1106" t="s">
        <v>24695</v>
      </c>
      <c r="L2079" s="1614" t="s">
        <v>24683</v>
      </c>
      <c r="M2079" s="1615"/>
      <c r="N2079" s="1114" t="s">
        <v>24689</v>
      </c>
    </row>
    <row r="2080" spans="2:14" x14ac:dyDescent="0.3">
      <c r="B2080" s="1149">
        <v>122</v>
      </c>
      <c r="C2080" s="1155" t="s">
        <v>24706</v>
      </c>
      <c r="D2080" s="1616" t="s">
        <v>25377</v>
      </c>
      <c r="E2080" s="1616"/>
      <c r="F2080" s="1616"/>
      <c r="G2080" s="1616"/>
      <c r="H2080" s="1616"/>
      <c r="I2080" s="1617"/>
      <c r="J2080" s="1151" t="s">
        <v>24804</v>
      </c>
      <c r="K2080" s="1151">
        <v>65.55</v>
      </c>
      <c r="L2080" s="1618">
        <v>9.9000000000000008E-3</v>
      </c>
      <c r="M2080" s="1619"/>
      <c r="N2080" s="1130">
        <f>L2080*K2080</f>
        <v>0.65</v>
      </c>
    </row>
    <row r="2081" spans="2:14" x14ac:dyDescent="0.3">
      <c r="B2081" s="1149">
        <v>3516</v>
      </c>
      <c r="C2081" s="1155" t="s">
        <v>24706</v>
      </c>
      <c r="D2081" s="1616" t="s">
        <v>25378</v>
      </c>
      <c r="E2081" s="1616"/>
      <c r="F2081" s="1616"/>
      <c r="G2081" s="1616"/>
      <c r="H2081" s="1616"/>
      <c r="I2081" s="1617"/>
      <c r="J2081" s="1151" t="s">
        <v>24804</v>
      </c>
      <c r="K2081" s="1151">
        <v>1.54</v>
      </c>
      <c r="L2081" s="1618">
        <v>1</v>
      </c>
      <c r="M2081" s="1619"/>
      <c r="N2081" s="1130">
        <f t="shared" ref="N2081:N2083" si="35">L2081*K2081</f>
        <v>1.54</v>
      </c>
    </row>
    <row r="2082" spans="2:14" x14ac:dyDescent="0.3">
      <c r="B2082" s="1149">
        <v>20083</v>
      </c>
      <c r="C2082" s="1155" t="s">
        <v>24706</v>
      </c>
      <c r="D2082" s="1616" t="s">
        <v>25379</v>
      </c>
      <c r="E2082" s="1616"/>
      <c r="F2082" s="1616"/>
      <c r="G2082" s="1616"/>
      <c r="H2082" s="1616"/>
      <c r="I2082" s="1617"/>
      <c r="J2082" s="1151" t="s">
        <v>24804</v>
      </c>
      <c r="K2082" s="1151">
        <v>74.27</v>
      </c>
      <c r="L2082" s="1618">
        <v>1.4999999999999999E-2</v>
      </c>
      <c r="M2082" s="1619"/>
      <c r="N2082" s="1130">
        <f t="shared" si="35"/>
        <v>1.1100000000000001</v>
      </c>
    </row>
    <row r="2083" spans="2:14" x14ac:dyDescent="0.3">
      <c r="B2083" s="1149">
        <v>38383</v>
      </c>
      <c r="C2083" s="1155" t="s">
        <v>24706</v>
      </c>
      <c r="D2083" s="1616" t="s">
        <v>25380</v>
      </c>
      <c r="E2083" s="1616"/>
      <c r="F2083" s="1616"/>
      <c r="G2083" s="1616"/>
      <c r="H2083" s="1616"/>
      <c r="I2083" s="1617"/>
      <c r="J2083" s="1151" t="s">
        <v>24667</v>
      </c>
      <c r="K2083" s="1151">
        <v>1.99</v>
      </c>
      <c r="L2083" s="1618">
        <v>2.1000000000000001E-2</v>
      </c>
      <c r="M2083" s="1619"/>
      <c r="N2083" s="1130">
        <f t="shared" si="35"/>
        <v>0.04</v>
      </c>
    </row>
    <row r="2084" spans="2:14" ht="15.75" thickBot="1" x14ac:dyDescent="0.35">
      <c r="B2084" s="855"/>
      <c r="C2084" s="954"/>
      <c r="D2084" s="954"/>
      <c r="E2084" s="954"/>
      <c r="F2084" s="1110"/>
      <c r="G2084" s="1110"/>
      <c r="H2084" s="1110"/>
      <c r="I2084" s="1110"/>
      <c r="J2084" s="1110"/>
      <c r="K2084" s="1110"/>
      <c r="L2084" s="1110"/>
      <c r="M2084" s="1111" t="s">
        <v>24696</v>
      </c>
      <c r="N2084" s="1112">
        <f>SUM(N2080:N2083)</f>
        <v>3.34</v>
      </c>
    </row>
    <row r="2085" spans="2:14" ht="15.75" thickBot="1" x14ac:dyDescent="0.35">
      <c r="B2085" s="850"/>
      <c r="C2085" s="461"/>
      <c r="D2085" s="461"/>
      <c r="E2085" s="461"/>
      <c r="F2085" s="461"/>
      <c r="G2085" s="461"/>
      <c r="H2085" s="461"/>
      <c r="I2085" s="461"/>
      <c r="J2085" s="461"/>
      <c r="K2085" s="461"/>
      <c r="L2085" s="461"/>
      <c r="M2085" s="461"/>
      <c r="N2085" s="1113"/>
    </row>
    <row r="2086" spans="2:14" ht="30" x14ac:dyDescent="0.3">
      <c r="B2086" s="1104" t="s">
        <v>0</v>
      </c>
      <c r="C2086" s="1106" t="s">
        <v>24673</v>
      </c>
      <c r="D2086" s="1593" t="s">
        <v>24697</v>
      </c>
      <c r="E2086" s="1593"/>
      <c r="F2086" s="1593"/>
      <c r="G2086" s="1593"/>
      <c r="H2086" s="1593"/>
      <c r="I2086" s="1594"/>
      <c r="J2086" s="1106" t="s">
        <v>3686</v>
      </c>
      <c r="K2086" s="1106" t="s">
        <v>24695</v>
      </c>
      <c r="L2086" s="1614" t="s">
        <v>24683</v>
      </c>
      <c r="M2086" s="1615"/>
      <c r="N2086" s="1114" t="s">
        <v>24689</v>
      </c>
    </row>
    <row r="2087" spans="2:14" x14ac:dyDescent="0.3">
      <c r="B2087" s="1127"/>
      <c r="C2087" s="1128"/>
      <c r="D2087" s="1604"/>
      <c r="E2087" s="1604"/>
      <c r="F2087" s="1604"/>
      <c r="G2087" s="1604"/>
      <c r="H2087" s="1604"/>
      <c r="I2087" s="1605"/>
      <c r="J2087" s="462"/>
      <c r="K2087" s="462"/>
      <c r="L2087" s="1612"/>
      <c r="M2087" s="1613"/>
      <c r="N2087" s="1130"/>
    </row>
    <row r="2088" spans="2:14" ht="15.75" thickBot="1" x14ac:dyDescent="0.35">
      <c r="B2088" s="855"/>
      <c r="C2088" s="954"/>
      <c r="D2088" s="954"/>
      <c r="E2088" s="954"/>
      <c r="F2088" s="1110"/>
      <c r="G2088" s="1110"/>
      <c r="H2088" s="1110"/>
      <c r="I2088" s="1110"/>
      <c r="J2088" s="1110"/>
      <c r="K2088" s="1110"/>
      <c r="L2088" s="1110"/>
      <c r="M2088" s="1111" t="s">
        <v>24698</v>
      </c>
      <c r="N2088" s="1112">
        <f>SUM(N2087:N2087)</f>
        <v>0</v>
      </c>
    </row>
    <row r="2089" spans="2:14" ht="15.75" thickBot="1" x14ac:dyDescent="0.35">
      <c r="B2089" s="850"/>
      <c r="C2089" s="461"/>
      <c r="D2089" s="461"/>
      <c r="E2089" s="461"/>
      <c r="F2089" s="461"/>
      <c r="G2089" s="461"/>
      <c r="H2089" s="461"/>
      <c r="I2089" s="461"/>
      <c r="J2089" s="461"/>
      <c r="K2089" s="461"/>
      <c r="L2089" s="461"/>
      <c r="M2089" s="461"/>
      <c r="N2089" s="1113"/>
    </row>
    <row r="2090" spans="2:14" ht="30" x14ac:dyDescent="0.3">
      <c r="B2090" s="1104" t="s">
        <v>0</v>
      </c>
      <c r="C2090" s="1106" t="s">
        <v>24673</v>
      </c>
      <c r="D2090" s="1593" t="s">
        <v>24699</v>
      </c>
      <c r="E2090" s="1593"/>
      <c r="F2090" s="1593"/>
      <c r="G2090" s="1594"/>
      <c r="H2090" s="1106" t="s">
        <v>3686</v>
      </c>
      <c r="I2090" s="1106" t="s">
        <v>24700</v>
      </c>
      <c r="J2090" s="1106" t="s">
        <v>24701</v>
      </c>
      <c r="K2090" s="1106" t="s">
        <v>24695</v>
      </c>
      <c r="L2090" s="1614" t="s">
        <v>24683</v>
      </c>
      <c r="M2090" s="1615"/>
      <c r="N2090" s="1114" t="s">
        <v>24689</v>
      </c>
    </row>
    <row r="2091" spans="2:14" x14ac:dyDescent="0.3">
      <c r="B2091" s="1115"/>
      <c r="C2091" s="1116"/>
      <c r="D2091" s="1595"/>
      <c r="E2091" s="1595"/>
      <c r="F2091" s="1595"/>
      <c r="G2091" s="1595"/>
      <c r="H2091" s="1109"/>
      <c r="I2091" s="1109"/>
      <c r="J2091" s="1109"/>
      <c r="K2091" s="1109"/>
      <c r="L2091" s="1597"/>
      <c r="M2091" s="1598"/>
      <c r="N2091" s="1119"/>
    </row>
    <row r="2092" spans="2:14" x14ac:dyDescent="0.3">
      <c r="B2092" s="1115"/>
      <c r="C2092" s="1116"/>
      <c r="D2092" s="1595"/>
      <c r="E2092" s="1595"/>
      <c r="F2092" s="1595"/>
      <c r="G2092" s="1595"/>
      <c r="H2092" s="1109"/>
      <c r="I2092" s="1109"/>
      <c r="J2092" s="1109"/>
      <c r="K2092" s="1109"/>
      <c r="L2092" s="1597"/>
      <c r="M2092" s="1598"/>
      <c r="N2092" s="1119"/>
    </row>
    <row r="2093" spans="2:14" x14ac:dyDescent="0.3">
      <c r="B2093" s="1115"/>
      <c r="C2093" s="1116"/>
      <c r="D2093" s="1595"/>
      <c r="E2093" s="1595"/>
      <c r="F2093" s="1595"/>
      <c r="G2093" s="1595"/>
      <c r="H2093" s="1109"/>
      <c r="I2093" s="1109"/>
      <c r="J2093" s="1109"/>
      <c r="K2093" s="1109"/>
      <c r="L2093" s="1597"/>
      <c r="M2093" s="1598"/>
      <c r="N2093" s="1119"/>
    </row>
    <row r="2094" spans="2:14" x14ac:dyDescent="0.3">
      <c r="B2094" s="850"/>
      <c r="C2094" s="461"/>
      <c r="D2094" s="461"/>
      <c r="E2094" s="461"/>
      <c r="F2094" s="1120"/>
      <c r="G2094" s="1120"/>
      <c r="H2094" s="1120"/>
      <c r="I2094" s="1120"/>
      <c r="J2094" s="1120"/>
      <c r="K2094" s="1120"/>
      <c r="L2094" s="1120"/>
      <c r="M2094" s="1121" t="s">
        <v>24702</v>
      </c>
      <c r="N2094" s="1122">
        <f>SUM(N2091:N2093)</f>
        <v>0</v>
      </c>
    </row>
    <row r="2095" spans="2:14" x14ac:dyDescent="0.3">
      <c r="B2095" s="850"/>
      <c r="C2095" s="461"/>
      <c r="D2095" s="461"/>
      <c r="E2095" s="461"/>
      <c r="F2095" s="461"/>
      <c r="G2095" s="461"/>
      <c r="H2095" s="461"/>
      <c r="I2095" s="461"/>
      <c r="J2095" s="461"/>
      <c r="K2095" s="461"/>
      <c r="L2095" s="461"/>
      <c r="M2095" s="461"/>
      <c r="N2095" s="1113"/>
    </row>
    <row r="2096" spans="2:14" x14ac:dyDescent="0.3">
      <c r="B2096" s="1131"/>
      <c r="C2096" s="1132"/>
      <c r="D2096" s="1132"/>
      <c r="E2096" s="1132"/>
      <c r="F2096" s="1133"/>
      <c r="G2096" s="1133"/>
      <c r="H2096" s="1133"/>
      <c r="I2096" s="1133"/>
      <c r="J2096" s="1133"/>
      <c r="K2096" s="1133"/>
      <c r="L2096" s="1133"/>
      <c r="M2096" s="1134" t="s">
        <v>24703</v>
      </c>
      <c r="N2096" s="1123">
        <f>N2077+N2084+N2088+N2094</f>
        <v>6.86</v>
      </c>
    </row>
    <row r="2097" spans="2:14" x14ac:dyDescent="0.3">
      <c r="B2097" s="850"/>
      <c r="C2097" s="461"/>
      <c r="D2097" s="461"/>
      <c r="E2097" s="461"/>
      <c r="F2097" s="1120"/>
      <c r="G2097" s="1120"/>
      <c r="H2097" s="1120"/>
      <c r="I2097" s="1120"/>
      <c r="J2097" s="1120"/>
      <c r="K2097" s="1135"/>
      <c r="L2097" s="1135"/>
      <c r="M2097" s="1136">
        <f>'QUIOSQUE - MOD 01'!I3</f>
        <v>0.28220000000000001</v>
      </c>
      <c r="N2097" s="1123">
        <f>ROUND(N2096*M2097,2)</f>
        <v>1.94</v>
      </c>
    </row>
    <row r="2098" spans="2:14" ht="15.75" thickBot="1" x14ac:dyDescent="0.35">
      <c r="B2098" s="1599" t="s">
        <v>24704</v>
      </c>
      <c r="C2098" s="1600"/>
      <c r="D2098" s="1600"/>
      <c r="E2098" s="1600"/>
      <c r="F2098" s="1600"/>
      <c r="G2098" s="1600"/>
      <c r="H2098" s="1600"/>
      <c r="I2098" s="1600"/>
      <c r="J2098" s="1600"/>
      <c r="K2098" s="1600"/>
      <c r="L2098" s="1600"/>
      <c r="M2098" s="1601"/>
      <c r="N2098" s="1126">
        <f>N2096+N2097</f>
        <v>8.8000000000000007</v>
      </c>
    </row>
    <row r="2100" spans="2:14" ht="15.75" thickBot="1" x14ac:dyDescent="0.35"/>
    <row r="2101" spans="2:14" ht="46.5" customHeight="1" x14ac:dyDescent="0.3">
      <c r="B2101" s="1607" t="s">
        <v>24880</v>
      </c>
      <c r="C2101" s="1608"/>
      <c r="D2101" s="1609"/>
      <c r="E2101" s="1610" t="s">
        <v>24669</v>
      </c>
      <c r="F2101" s="1610"/>
      <c r="G2101" s="1610"/>
      <c r="H2101" s="1610"/>
      <c r="I2101" s="1610"/>
      <c r="J2101" s="1610"/>
      <c r="K2101" s="1610"/>
      <c r="L2101" s="1623"/>
      <c r="M2101" s="1576"/>
      <c r="N2101" s="1577"/>
    </row>
    <row r="2102" spans="2:14" ht="30" customHeight="1" x14ac:dyDescent="0.3">
      <c r="B2102" s="1103" t="s">
        <v>24670</v>
      </c>
      <c r="C2102" s="1586" t="s">
        <v>25381</v>
      </c>
      <c r="D2102" s="1586"/>
      <c r="E2102" s="1586"/>
      <c r="F2102" s="1586"/>
      <c r="G2102" s="1586"/>
      <c r="H2102" s="1586"/>
      <c r="I2102" s="1586"/>
      <c r="J2102" s="1586"/>
      <c r="K2102" s="1586"/>
      <c r="L2102" s="1586"/>
      <c r="M2102" s="1586"/>
      <c r="N2102" s="1587"/>
    </row>
    <row r="2103" spans="2:14" x14ac:dyDescent="0.3">
      <c r="B2103" s="1103" t="s">
        <v>24671</v>
      </c>
      <c r="C2103" s="1588" t="s">
        <v>8</v>
      </c>
      <c r="D2103" s="1588"/>
      <c r="E2103" s="1588"/>
      <c r="F2103" s="1588"/>
      <c r="G2103" s="1588"/>
      <c r="H2103" s="1588"/>
      <c r="I2103" s="1588"/>
      <c r="J2103" s="1588"/>
      <c r="K2103" s="1588"/>
      <c r="L2103" s="1588"/>
      <c r="M2103" s="1588"/>
      <c r="N2103" s="1589"/>
    </row>
    <row r="2104" spans="2:14" ht="15.75" thickBot="1" x14ac:dyDescent="0.35">
      <c r="B2104" s="1103" t="s">
        <v>24672</v>
      </c>
      <c r="C2104" s="1590">
        <v>44501</v>
      </c>
      <c r="D2104" s="1591"/>
      <c r="E2104" s="1591"/>
      <c r="F2104" s="1591"/>
      <c r="G2104" s="1591"/>
      <c r="H2104" s="1591"/>
      <c r="I2104" s="1591"/>
      <c r="J2104" s="1591"/>
      <c r="K2104" s="1591"/>
      <c r="L2104" s="1591"/>
      <c r="M2104" s="1591"/>
      <c r="N2104" s="1592"/>
    </row>
    <row r="2105" spans="2:14" ht="30" x14ac:dyDescent="0.3">
      <c r="B2105" s="1104" t="s">
        <v>0</v>
      </c>
      <c r="C2105" s="1105" t="s">
        <v>24673</v>
      </c>
      <c r="D2105" s="1593" t="s">
        <v>24674</v>
      </c>
      <c r="E2105" s="1593"/>
      <c r="F2105" s="1593"/>
      <c r="G2105" s="1594"/>
      <c r="H2105" s="1106" t="s">
        <v>111</v>
      </c>
      <c r="I2105" s="1106" t="s">
        <v>24675</v>
      </c>
      <c r="J2105" s="1106" t="s">
        <v>24676</v>
      </c>
      <c r="K2105" s="1106" t="s">
        <v>24677</v>
      </c>
      <c r="L2105" s="1106" t="s">
        <v>24678</v>
      </c>
      <c r="M2105" s="1621" t="s">
        <v>24679</v>
      </c>
      <c r="N2105" s="1622"/>
    </row>
    <row r="2106" spans="2:14" x14ac:dyDescent="0.3">
      <c r="B2106" s="1115"/>
      <c r="C2106" s="1108"/>
      <c r="D2106" s="1595"/>
      <c r="E2106" s="1595"/>
      <c r="F2106" s="1595"/>
      <c r="G2106" s="1596"/>
      <c r="H2106" s="1109"/>
      <c r="I2106" s="1109"/>
      <c r="J2106" s="1109"/>
      <c r="K2106" s="1109"/>
      <c r="L2106" s="1109"/>
      <c r="M2106" s="1597"/>
      <c r="N2106" s="1620"/>
    </row>
    <row r="2107" spans="2:14" x14ac:dyDescent="0.3">
      <c r="B2107" s="1115"/>
      <c r="C2107" s="1108"/>
      <c r="D2107" s="1595"/>
      <c r="E2107" s="1595"/>
      <c r="F2107" s="1595"/>
      <c r="G2107" s="1596"/>
      <c r="H2107" s="1109"/>
      <c r="I2107" s="1109"/>
      <c r="J2107" s="1109"/>
      <c r="K2107" s="1109"/>
      <c r="L2107" s="1109"/>
      <c r="M2107" s="1597"/>
      <c r="N2107" s="1620"/>
    </row>
    <row r="2108" spans="2:14" x14ac:dyDescent="0.3">
      <c r="B2108" s="1107"/>
      <c r="C2108" s="1108"/>
      <c r="D2108" s="1595"/>
      <c r="E2108" s="1595"/>
      <c r="F2108" s="1595"/>
      <c r="G2108" s="1596"/>
      <c r="H2108" s="1109"/>
      <c r="I2108" s="1109"/>
      <c r="J2108" s="1109"/>
      <c r="K2108" s="1109"/>
      <c r="L2108" s="1109"/>
      <c r="M2108" s="1597"/>
      <c r="N2108" s="1620"/>
    </row>
    <row r="2109" spans="2:14" ht="15.75" thickBot="1" x14ac:dyDescent="0.35">
      <c r="B2109" s="855"/>
      <c r="C2109" s="954"/>
      <c r="D2109" s="954"/>
      <c r="E2109" s="954"/>
      <c r="F2109" s="1110"/>
      <c r="G2109" s="1110"/>
      <c r="H2109" s="1110"/>
      <c r="I2109" s="1110"/>
      <c r="J2109" s="1110"/>
      <c r="K2109" s="1110"/>
      <c r="L2109" s="1110"/>
      <c r="M2109" s="1111" t="s">
        <v>24680</v>
      </c>
      <c r="N2109" s="1112">
        <f>SUM(N2106:N2108)</f>
        <v>0</v>
      </c>
    </row>
    <row r="2110" spans="2:14" ht="15.75" thickBot="1" x14ac:dyDescent="0.35">
      <c r="B2110" s="850"/>
      <c r="C2110" s="461"/>
      <c r="D2110" s="461"/>
      <c r="E2110" s="461"/>
      <c r="F2110" s="461"/>
      <c r="G2110" s="461"/>
      <c r="H2110" s="461"/>
      <c r="I2110" s="461"/>
      <c r="J2110" s="461"/>
      <c r="K2110" s="461"/>
      <c r="L2110" s="461"/>
      <c r="M2110" s="461"/>
      <c r="N2110" s="1113"/>
    </row>
    <row r="2111" spans="2:14" ht="45" x14ac:dyDescent="0.3">
      <c r="B2111" s="1104" t="s">
        <v>0</v>
      </c>
      <c r="C2111" s="1105" t="s">
        <v>24673</v>
      </c>
      <c r="D2111" s="1593" t="s">
        <v>24681</v>
      </c>
      <c r="E2111" s="1593"/>
      <c r="F2111" s="1593"/>
      <c r="G2111" s="1593"/>
      <c r="H2111" s="1594"/>
      <c r="I2111" s="1106" t="s">
        <v>3686</v>
      </c>
      <c r="J2111" s="1106" t="s">
        <v>24682</v>
      </c>
      <c r="K2111" s="1106" t="s">
        <v>25177</v>
      </c>
      <c r="L2111" s="1106" t="s">
        <v>25178</v>
      </c>
      <c r="M2111" s="1106" t="s">
        <v>24683</v>
      </c>
      <c r="N2111" s="1114" t="s">
        <v>24679</v>
      </c>
    </row>
    <row r="2112" spans="2:14" x14ac:dyDescent="0.3">
      <c r="B2112" s="1115">
        <v>10101</v>
      </c>
      <c r="C2112" s="1108" t="s">
        <v>4379</v>
      </c>
      <c r="D2112" s="1604" t="s">
        <v>25268</v>
      </c>
      <c r="E2112" s="1604"/>
      <c r="F2112" s="1604"/>
      <c r="G2112" s="1604"/>
      <c r="H2112" s="1605"/>
      <c r="I2112" s="1109" t="s">
        <v>75</v>
      </c>
      <c r="J2112" s="1117">
        <v>1.5727</v>
      </c>
      <c r="K2112" s="1109">
        <v>6.27</v>
      </c>
      <c r="L2112" s="1109">
        <f>K2112*(1+J2112)</f>
        <v>16.13</v>
      </c>
      <c r="M2112" s="1118">
        <v>0.19</v>
      </c>
      <c r="N2112" s="1119">
        <f>M2112*L2112</f>
        <v>3.06</v>
      </c>
    </row>
    <row r="2113" spans="2:14" x14ac:dyDescent="0.3">
      <c r="B2113" s="1115">
        <v>10118</v>
      </c>
      <c r="C2113" s="1108" t="s">
        <v>4379</v>
      </c>
      <c r="D2113" s="1604" t="s">
        <v>25186</v>
      </c>
      <c r="E2113" s="1604"/>
      <c r="F2113" s="1604"/>
      <c r="G2113" s="1604"/>
      <c r="H2113" s="1605"/>
      <c r="I2113" s="1109" t="s">
        <v>75</v>
      </c>
      <c r="J2113" s="1117">
        <v>1.5727</v>
      </c>
      <c r="K2113" s="1109">
        <v>7.43</v>
      </c>
      <c r="L2113" s="1109">
        <f>K2113*(1+J2113)</f>
        <v>19.12</v>
      </c>
      <c r="M2113" s="1118">
        <v>0.19</v>
      </c>
      <c r="N2113" s="1119">
        <f>M2113*L2113</f>
        <v>3.63</v>
      </c>
    </row>
    <row r="2114" spans="2:14" ht="15.75" thickBot="1" x14ac:dyDescent="0.35">
      <c r="B2114" s="855"/>
      <c r="C2114" s="954"/>
      <c r="D2114" s="954"/>
      <c r="E2114" s="954"/>
      <c r="F2114" s="1110"/>
      <c r="G2114" s="1110"/>
      <c r="H2114" s="1110"/>
      <c r="I2114" s="1110"/>
      <c r="J2114" s="1110"/>
      <c r="K2114" s="1110"/>
      <c r="L2114" s="1110"/>
      <c r="M2114" s="1111" t="s">
        <v>24684</v>
      </c>
      <c r="N2114" s="1112">
        <f>SUM(N2112:N2113)</f>
        <v>6.69</v>
      </c>
    </row>
    <row r="2115" spans="2:14" ht="15.75" thickBot="1" x14ac:dyDescent="0.35">
      <c r="B2115" s="850"/>
      <c r="C2115" s="461"/>
      <c r="D2115" s="461"/>
      <c r="E2115" s="461"/>
      <c r="F2115" s="461"/>
      <c r="G2115" s="461"/>
      <c r="H2115" s="461"/>
      <c r="I2115" s="1120"/>
      <c r="J2115" s="1120"/>
      <c r="K2115" s="461"/>
      <c r="L2115" s="461"/>
      <c r="M2115" s="461"/>
      <c r="N2115" s="1113"/>
    </row>
    <row r="2116" spans="2:14" ht="30" x14ac:dyDescent="0.3">
      <c r="B2116" s="1104" t="s">
        <v>0</v>
      </c>
      <c r="C2116" s="1105" t="s">
        <v>24673</v>
      </c>
      <c r="D2116" s="1593" t="s">
        <v>24685</v>
      </c>
      <c r="E2116" s="1593"/>
      <c r="F2116" s="1593"/>
      <c r="G2116" s="1593"/>
      <c r="H2116" s="1594"/>
      <c r="I2116" s="1106" t="s">
        <v>2858</v>
      </c>
      <c r="J2116" s="1106" t="s">
        <v>24686</v>
      </c>
      <c r="K2116" s="1106" t="s">
        <v>24687</v>
      </c>
      <c r="L2116" s="1614" t="s">
        <v>24688</v>
      </c>
      <c r="M2116" s="1615"/>
      <c r="N2116" s="1114" t="s">
        <v>24689</v>
      </c>
    </row>
    <row r="2117" spans="2:14" x14ac:dyDescent="0.3">
      <c r="B2117" s="1115"/>
      <c r="C2117" s="1116"/>
      <c r="D2117" s="1604"/>
      <c r="E2117" s="1604"/>
      <c r="F2117" s="1604"/>
      <c r="G2117" s="1604"/>
      <c r="H2117" s="1605"/>
      <c r="I2117" s="1109"/>
      <c r="J2117" s="1109"/>
      <c r="K2117" s="1109"/>
      <c r="L2117" s="1597"/>
      <c r="M2117" s="1598"/>
      <c r="N2117" s="1119">
        <f>N2114*(I2117/100)</f>
        <v>0</v>
      </c>
    </row>
    <row r="2118" spans="2:14" x14ac:dyDescent="0.3">
      <c r="B2118" s="850"/>
      <c r="C2118" s="461"/>
      <c r="D2118" s="461"/>
      <c r="E2118" s="461"/>
      <c r="F2118" s="1120"/>
      <c r="G2118" s="1120"/>
      <c r="H2118" s="1120"/>
      <c r="I2118" s="1120"/>
      <c r="J2118" s="1120"/>
      <c r="K2118" s="1120"/>
      <c r="L2118" s="1120"/>
      <c r="M2118" s="1121" t="s">
        <v>24690</v>
      </c>
      <c r="N2118" s="1122">
        <f>SUM(N2117:N2117)</f>
        <v>0</v>
      </c>
    </row>
    <row r="2119" spans="2:14" x14ac:dyDescent="0.3">
      <c r="B2119" s="850"/>
      <c r="C2119" s="461"/>
      <c r="D2119" s="461"/>
      <c r="E2119" s="461"/>
      <c r="F2119" s="461"/>
      <c r="G2119" s="461"/>
      <c r="H2119" s="461"/>
      <c r="I2119" s="461"/>
      <c r="J2119" s="461"/>
      <c r="K2119" s="461"/>
      <c r="L2119" s="461"/>
      <c r="M2119" s="461"/>
      <c r="N2119" s="1113"/>
    </row>
    <row r="2120" spans="2:14" x14ac:dyDescent="0.3">
      <c r="B2120" s="850"/>
      <c r="C2120" s="461"/>
      <c r="D2120" s="461"/>
      <c r="E2120" s="461"/>
      <c r="F2120" s="1120"/>
      <c r="G2120" s="1120"/>
      <c r="H2120" s="1120"/>
      <c r="I2120" s="863"/>
      <c r="J2120" s="863"/>
      <c r="K2120" s="863"/>
      <c r="L2120" s="863"/>
      <c r="M2120" s="1121" t="s">
        <v>24691</v>
      </c>
      <c r="N2120" s="1123">
        <f>N2109+N2114+N2118</f>
        <v>6.69</v>
      </c>
    </row>
    <row r="2121" spans="2:14" x14ac:dyDescent="0.3">
      <c r="B2121" s="850"/>
      <c r="C2121" s="461"/>
      <c r="D2121" s="461"/>
      <c r="E2121" s="461"/>
      <c r="F2121" s="1120"/>
      <c r="G2121" s="1120"/>
      <c r="H2121" s="1120"/>
      <c r="I2121" s="1120"/>
      <c r="J2121" s="1124"/>
      <c r="K2121" s="1124"/>
      <c r="L2121" s="1124"/>
      <c r="M2121" s="1125" t="s">
        <v>24692</v>
      </c>
      <c r="N2121" s="1123">
        <v>1</v>
      </c>
    </row>
    <row r="2122" spans="2:14" ht="15.75" thickBot="1" x14ac:dyDescent="0.35">
      <c r="B2122" s="855"/>
      <c r="C2122" s="954"/>
      <c r="D2122" s="954"/>
      <c r="E2122" s="954"/>
      <c r="F2122" s="1110"/>
      <c r="G2122" s="1110"/>
      <c r="H2122" s="1110"/>
      <c r="I2122" s="1110"/>
      <c r="J2122" s="1110"/>
      <c r="K2122" s="1110"/>
      <c r="L2122" s="1110"/>
      <c r="M2122" s="1111" t="s">
        <v>24693</v>
      </c>
      <c r="N2122" s="1126">
        <f>TRUNC(N2120/N2121,2)</f>
        <v>6.69</v>
      </c>
    </row>
    <row r="2123" spans="2:14" ht="15.75" thickBot="1" x14ac:dyDescent="0.35">
      <c r="B2123" s="850"/>
      <c r="C2123" s="461"/>
      <c r="D2123" s="461"/>
      <c r="E2123" s="461"/>
      <c r="F2123" s="461"/>
      <c r="G2123" s="461"/>
      <c r="H2123" s="461"/>
      <c r="I2123" s="461"/>
      <c r="J2123" s="461"/>
      <c r="K2123" s="461"/>
      <c r="L2123" s="461"/>
      <c r="M2123" s="461"/>
      <c r="N2123" s="1113"/>
    </row>
    <row r="2124" spans="2:14" ht="30" x14ac:dyDescent="0.3">
      <c r="B2124" s="1104" t="s">
        <v>0</v>
      </c>
      <c r="C2124" s="1105" t="s">
        <v>24673</v>
      </c>
      <c r="D2124" s="1593" t="s">
        <v>24694</v>
      </c>
      <c r="E2124" s="1593"/>
      <c r="F2124" s="1593"/>
      <c r="G2124" s="1593"/>
      <c r="H2124" s="1593"/>
      <c r="I2124" s="1594"/>
      <c r="J2124" s="1106" t="s">
        <v>3686</v>
      </c>
      <c r="K2124" s="1106" t="s">
        <v>24695</v>
      </c>
      <c r="L2124" s="1614" t="s">
        <v>24683</v>
      </c>
      <c r="M2124" s="1615"/>
      <c r="N2124" s="1114" t="s">
        <v>24689</v>
      </c>
    </row>
    <row r="2125" spans="2:14" x14ac:dyDescent="0.3">
      <c r="B2125" s="1149">
        <v>297</v>
      </c>
      <c r="C2125" s="1155" t="s">
        <v>24706</v>
      </c>
      <c r="D2125" s="1616" t="s">
        <v>25382</v>
      </c>
      <c r="E2125" s="1616"/>
      <c r="F2125" s="1616"/>
      <c r="G2125" s="1616"/>
      <c r="H2125" s="1616"/>
      <c r="I2125" s="1617"/>
      <c r="J2125" s="1151" t="s">
        <v>24804</v>
      </c>
      <c r="K2125" s="1151">
        <v>2.91</v>
      </c>
      <c r="L2125" s="1618">
        <v>1</v>
      </c>
      <c r="M2125" s="1619"/>
      <c r="N2125" s="1130">
        <f>L2125*K2125</f>
        <v>2.91</v>
      </c>
    </row>
    <row r="2126" spans="2:14" x14ac:dyDescent="0.3">
      <c r="B2126" s="1149">
        <v>3509</v>
      </c>
      <c r="C2126" s="1155" t="s">
        <v>24706</v>
      </c>
      <c r="D2126" s="1616" t="s">
        <v>25383</v>
      </c>
      <c r="E2126" s="1616"/>
      <c r="F2126" s="1616"/>
      <c r="G2126" s="1616"/>
      <c r="H2126" s="1616"/>
      <c r="I2126" s="1617"/>
      <c r="J2126" s="1151" t="s">
        <v>24804</v>
      </c>
      <c r="K2126" s="1151">
        <v>9.61</v>
      </c>
      <c r="L2126" s="1618">
        <v>1</v>
      </c>
      <c r="M2126" s="1619"/>
      <c r="N2126" s="1130">
        <f t="shared" ref="N2126:N2127" si="36">L2126*K2126</f>
        <v>9.61</v>
      </c>
    </row>
    <row r="2127" spans="2:14" x14ac:dyDescent="0.3">
      <c r="B2127" s="1149">
        <v>20078</v>
      </c>
      <c r="C2127" s="1155" t="s">
        <v>24706</v>
      </c>
      <c r="D2127" s="1616" t="s">
        <v>25369</v>
      </c>
      <c r="E2127" s="1616"/>
      <c r="F2127" s="1616"/>
      <c r="G2127" s="1616"/>
      <c r="H2127" s="1616"/>
      <c r="I2127" s="1617"/>
      <c r="J2127" s="1151" t="s">
        <v>24804</v>
      </c>
      <c r="K2127" s="1151">
        <v>27.05</v>
      </c>
      <c r="L2127" s="1618">
        <v>0.03</v>
      </c>
      <c r="M2127" s="1619"/>
      <c r="N2127" s="1130">
        <f t="shared" si="36"/>
        <v>0.81</v>
      </c>
    </row>
    <row r="2128" spans="2:14" ht="15.75" thickBot="1" x14ac:dyDescent="0.35">
      <c r="B2128" s="855"/>
      <c r="C2128" s="954"/>
      <c r="D2128" s="954"/>
      <c r="E2128" s="954"/>
      <c r="F2128" s="1110"/>
      <c r="G2128" s="1110"/>
      <c r="H2128" s="1110"/>
      <c r="I2128" s="1110"/>
      <c r="J2128" s="1110"/>
      <c r="K2128" s="1110"/>
      <c r="L2128" s="1110"/>
      <c r="M2128" s="1111" t="s">
        <v>24696</v>
      </c>
      <c r="N2128" s="1112">
        <f>SUM(N2125:N2127)</f>
        <v>13.33</v>
      </c>
    </row>
    <row r="2129" spans="2:14" ht="15.75" thickBot="1" x14ac:dyDescent="0.35">
      <c r="B2129" s="850"/>
      <c r="C2129" s="461"/>
      <c r="D2129" s="461"/>
      <c r="E2129" s="461"/>
      <c r="F2129" s="461"/>
      <c r="G2129" s="461"/>
      <c r="H2129" s="461"/>
      <c r="I2129" s="461"/>
      <c r="J2129" s="461"/>
      <c r="K2129" s="461"/>
      <c r="L2129" s="461"/>
      <c r="M2129" s="461"/>
      <c r="N2129" s="1113"/>
    </row>
    <row r="2130" spans="2:14" ht="30" x14ac:dyDescent="0.3">
      <c r="B2130" s="1104" t="s">
        <v>0</v>
      </c>
      <c r="C2130" s="1106" t="s">
        <v>24673</v>
      </c>
      <c r="D2130" s="1593" t="s">
        <v>24697</v>
      </c>
      <c r="E2130" s="1593"/>
      <c r="F2130" s="1593"/>
      <c r="G2130" s="1593"/>
      <c r="H2130" s="1593"/>
      <c r="I2130" s="1594"/>
      <c r="J2130" s="1106" t="s">
        <v>3686</v>
      </c>
      <c r="K2130" s="1106" t="s">
        <v>24695</v>
      </c>
      <c r="L2130" s="1614" t="s">
        <v>24683</v>
      </c>
      <c r="M2130" s="1615"/>
      <c r="N2130" s="1114" t="s">
        <v>24689</v>
      </c>
    </row>
    <row r="2131" spans="2:14" x14ac:dyDescent="0.3">
      <c r="B2131" s="1127"/>
      <c r="C2131" s="1128"/>
      <c r="D2131" s="1604"/>
      <c r="E2131" s="1604"/>
      <c r="F2131" s="1604"/>
      <c r="G2131" s="1604"/>
      <c r="H2131" s="1604"/>
      <c r="I2131" s="1605"/>
      <c r="J2131" s="462"/>
      <c r="K2131" s="462"/>
      <c r="L2131" s="1612"/>
      <c r="M2131" s="1613"/>
      <c r="N2131" s="1130"/>
    </row>
    <row r="2132" spans="2:14" ht="15.75" thickBot="1" x14ac:dyDescent="0.35">
      <c r="B2132" s="855"/>
      <c r="C2132" s="954"/>
      <c r="D2132" s="954"/>
      <c r="E2132" s="954"/>
      <c r="F2132" s="1110"/>
      <c r="G2132" s="1110"/>
      <c r="H2132" s="1110"/>
      <c r="I2132" s="1110"/>
      <c r="J2132" s="1110"/>
      <c r="K2132" s="1110"/>
      <c r="L2132" s="1110"/>
      <c r="M2132" s="1111" t="s">
        <v>24698</v>
      </c>
      <c r="N2132" s="1112">
        <f>SUM(N2131:N2131)</f>
        <v>0</v>
      </c>
    </row>
    <row r="2133" spans="2:14" ht="15.75" thickBot="1" x14ac:dyDescent="0.35">
      <c r="B2133" s="850"/>
      <c r="C2133" s="461"/>
      <c r="D2133" s="461"/>
      <c r="E2133" s="461"/>
      <c r="F2133" s="461"/>
      <c r="G2133" s="461"/>
      <c r="H2133" s="461"/>
      <c r="I2133" s="461"/>
      <c r="J2133" s="461"/>
      <c r="K2133" s="461"/>
      <c r="L2133" s="461"/>
      <c r="M2133" s="461"/>
      <c r="N2133" s="1113"/>
    </row>
    <row r="2134" spans="2:14" ht="30" x14ac:dyDescent="0.3">
      <c r="B2134" s="1104" t="s">
        <v>0</v>
      </c>
      <c r="C2134" s="1106" t="s">
        <v>24673</v>
      </c>
      <c r="D2134" s="1593" t="s">
        <v>24699</v>
      </c>
      <c r="E2134" s="1593"/>
      <c r="F2134" s="1593"/>
      <c r="G2134" s="1594"/>
      <c r="H2134" s="1106" t="s">
        <v>3686</v>
      </c>
      <c r="I2134" s="1106" t="s">
        <v>24700</v>
      </c>
      <c r="J2134" s="1106" t="s">
        <v>24701</v>
      </c>
      <c r="K2134" s="1106" t="s">
        <v>24695</v>
      </c>
      <c r="L2134" s="1614" t="s">
        <v>24683</v>
      </c>
      <c r="M2134" s="1615"/>
      <c r="N2134" s="1114" t="s">
        <v>24689</v>
      </c>
    </row>
    <row r="2135" spans="2:14" x14ac:dyDescent="0.3">
      <c r="B2135" s="1115"/>
      <c r="C2135" s="1116"/>
      <c r="D2135" s="1595"/>
      <c r="E2135" s="1595"/>
      <c r="F2135" s="1595"/>
      <c r="G2135" s="1595"/>
      <c r="H2135" s="1109"/>
      <c r="I2135" s="1109"/>
      <c r="J2135" s="1109"/>
      <c r="K2135" s="1109"/>
      <c r="L2135" s="1597"/>
      <c r="M2135" s="1598"/>
      <c r="N2135" s="1119"/>
    </row>
    <row r="2136" spans="2:14" x14ac:dyDescent="0.3">
      <c r="B2136" s="1115"/>
      <c r="C2136" s="1116"/>
      <c r="D2136" s="1595"/>
      <c r="E2136" s="1595"/>
      <c r="F2136" s="1595"/>
      <c r="G2136" s="1595"/>
      <c r="H2136" s="1109"/>
      <c r="I2136" s="1109"/>
      <c r="J2136" s="1109"/>
      <c r="K2136" s="1109"/>
      <c r="L2136" s="1597"/>
      <c r="M2136" s="1598"/>
      <c r="N2136" s="1119"/>
    </row>
    <row r="2137" spans="2:14" x14ac:dyDescent="0.3">
      <c r="B2137" s="1115"/>
      <c r="C2137" s="1116"/>
      <c r="D2137" s="1595"/>
      <c r="E2137" s="1595"/>
      <c r="F2137" s="1595"/>
      <c r="G2137" s="1595"/>
      <c r="H2137" s="1109"/>
      <c r="I2137" s="1109"/>
      <c r="J2137" s="1109"/>
      <c r="K2137" s="1109"/>
      <c r="L2137" s="1597"/>
      <c r="M2137" s="1598"/>
      <c r="N2137" s="1119"/>
    </row>
    <row r="2138" spans="2:14" x14ac:dyDescent="0.3">
      <c r="B2138" s="850"/>
      <c r="C2138" s="461"/>
      <c r="D2138" s="461"/>
      <c r="E2138" s="461"/>
      <c r="F2138" s="1120"/>
      <c r="G2138" s="1120"/>
      <c r="H2138" s="1120"/>
      <c r="I2138" s="1120"/>
      <c r="J2138" s="1120"/>
      <c r="K2138" s="1120"/>
      <c r="L2138" s="1120"/>
      <c r="M2138" s="1121" t="s">
        <v>24702</v>
      </c>
      <c r="N2138" s="1122">
        <f>SUM(N2135:N2137)</f>
        <v>0</v>
      </c>
    </row>
    <row r="2139" spans="2:14" x14ac:dyDescent="0.3">
      <c r="B2139" s="850"/>
      <c r="C2139" s="461"/>
      <c r="D2139" s="461"/>
      <c r="E2139" s="461"/>
      <c r="F2139" s="461"/>
      <c r="G2139" s="461"/>
      <c r="H2139" s="461"/>
      <c r="I2139" s="461"/>
      <c r="J2139" s="461"/>
      <c r="K2139" s="461"/>
      <c r="L2139" s="461"/>
      <c r="M2139" s="461"/>
      <c r="N2139" s="1113"/>
    </row>
    <row r="2140" spans="2:14" x14ac:dyDescent="0.3">
      <c r="B2140" s="1131"/>
      <c r="C2140" s="1132"/>
      <c r="D2140" s="1132"/>
      <c r="E2140" s="1132"/>
      <c r="F2140" s="1133"/>
      <c r="G2140" s="1133"/>
      <c r="H2140" s="1133"/>
      <c r="I2140" s="1133"/>
      <c r="J2140" s="1133"/>
      <c r="K2140" s="1133"/>
      <c r="L2140" s="1133"/>
      <c r="M2140" s="1134" t="s">
        <v>24703</v>
      </c>
      <c r="N2140" s="1123">
        <f>N2122+N2128+N2132+N2138</f>
        <v>20.02</v>
      </c>
    </row>
    <row r="2141" spans="2:14" x14ac:dyDescent="0.3">
      <c r="B2141" s="850"/>
      <c r="C2141" s="461"/>
      <c r="D2141" s="461"/>
      <c r="E2141" s="461"/>
      <c r="F2141" s="1120"/>
      <c r="G2141" s="1120"/>
      <c r="H2141" s="1120"/>
      <c r="I2141" s="1120"/>
      <c r="J2141" s="1120"/>
      <c r="K2141" s="1135"/>
      <c r="L2141" s="1135"/>
      <c r="M2141" s="1136">
        <f>'QUIOSQUE - MOD 01'!I3</f>
        <v>0.28220000000000001</v>
      </c>
      <c r="N2141" s="1123">
        <f>ROUND(N2140*M2141,2)</f>
        <v>5.65</v>
      </c>
    </row>
    <row r="2142" spans="2:14" ht="15.75" thickBot="1" x14ac:dyDescent="0.35">
      <c r="B2142" s="1599" t="s">
        <v>24704</v>
      </c>
      <c r="C2142" s="1600"/>
      <c r="D2142" s="1600"/>
      <c r="E2142" s="1600"/>
      <c r="F2142" s="1600"/>
      <c r="G2142" s="1600"/>
      <c r="H2142" s="1600"/>
      <c r="I2142" s="1600"/>
      <c r="J2142" s="1600"/>
      <c r="K2142" s="1600"/>
      <c r="L2142" s="1600"/>
      <c r="M2142" s="1601"/>
      <c r="N2142" s="1126">
        <f>N2140+N2141</f>
        <v>25.67</v>
      </c>
    </row>
    <row r="2144" spans="2:14" ht="15.75" thickBot="1" x14ac:dyDescent="0.35"/>
    <row r="2145" spans="2:14" ht="42.75" customHeight="1" x14ac:dyDescent="0.3">
      <c r="B2145" s="1607" t="s">
        <v>24935</v>
      </c>
      <c r="C2145" s="1608"/>
      <c r="D2145" s="1609"/>
      <c r="E2145" s="1610" t="s">
        <v>24669</v>
      </c>
      <c r="F2145" s="1610"/>
      <c r="G2145" s="1610"/>
      <c r="H2145" s="1610"/>
      <c r="I2145" s="1610"/>
      <c r="J2145" s="1610"/>
      <c r="K2145" s="1610"/>
      <c r="L2145" s="1623"/>
      <c r="M2145" s="1576"/>
      <c r="N2145" s="1577"/>
    </row>
    <row r="2146" spans="2:14" ht="33.75" customHeight="1" x14ac:dyDescent="0.3">
      <c r="B2146" s="1103" t="s">
        <v>24670</v>
      </c>
      <c r="C2146" s="1586" t="s">
        <v>25384</v>
      </c>
      <c r="D2146" s="1586"/>
      <c r="E2146" s="1586"/>
      <c r="F2146" s="1586"/>
      <c r="G2146" s="1586"/>
      <c r="H2146" s="1586"/>
      <c r="I2146" s="1586"/>
      <c r="J2146" s="1586"/>
      <c r="K2146" s="1586"/>
      <c r="L2146" s="1586"/>
      <c r="M2146" s="1586"/>
      <c r="N2146" s="1587"/>
    </row>
    <row r="2147" spans="2:14" x14ac:dyDescent="0.3">
      <c r="B2147" s="1103" t="s">
        <v>24671</v>
      </c>
      <c r="C2147" s="1588" t="s">
        <v>8</v>
      </c>
      <c r="D2147" s="1588"/>
      <c r="E2147" s="1588"/>
      <c r="F2147" s="1588"/>
      <c r="G2147" s="1588"/>
      <c r="H2147" s="1588"/>
      <c r="I2147" s="1588"/>
      <c r="J2147" s="1588"/>
      <c r="K2147" s="1588"/>
      <c r="L2147" s="1588"/>
      <c r="M2147" s="1588"/>
      <c r="N2147" s="1589"/>
    </row>
    <row r="2148" spans="2:14" ht="15.75" thickBot="1" x14ac:dyDescent="0.35">
      <c r="B2148" s="1103" t="s">
        <v>24672</v>
      </c>
      <c r="C2148" s="1590">
        <v>44501</v>
      </c>
      <c r="D2148" s="1591"/>
      <c r="E2148" s="1591"/>
      <c r="F2148" s="1591"/>
      <c r="G2148" s="1591"/>
      <c r="H2148" s="1591"/>
      <c r="I2148" s="1591"/>
      <c r="J2148" s="1591"/>
      <c r="K2148" s="1591"/>
      <c r="L2148" s="1591"/>
      <c r="M2148" s="1591"/>
      <c r="N2148" s="1592"/>
    </row>
    <row r="2149" spans="2:14" ht="30" x14ac:dyDescent="0.3">
      <c r="B2149" s="1104" t="s">
        <v>0</v>
      </c>
      <c r="C2149" s="1105" t="s">
        <v>24673</v>
      </c>
      <c r="D2149" s="1593" t="s">
        <v>24674</v>
      </c>
      <c r="E2149" s="1593"/>
      <c r="F2149" s="1593"/>
      <c r="G2149" s="1594"/>
      <c r="H2149" s="1106" t="s">
        <v>111</v>
      </c>
      <c r="I2149" s="1106" t="s">
        <v>24675</v>
      </c>
      <c r="J2149" s="1106" t="s">
        <v>24676</v>
      </c>
      <c r="K2149" s="1106" t="s">
        <v>24677</v>
      </c>
      <c r="L2149" s="1106" t="s">
        <v>24678</v>
      </c>
      <c r="M2149" s="1621" t="s">
        <v>24679</v>
      </c>
      <c r="N2149" s="1622"/>
    </row>
    <row r="2150" spans="2:14" x14ac:dyDescent="0.3">
      <c r="B2150" s="1115"/>
      <c r="C2150" s="1108"/>
      <c r="D2150" s="1595"/>
      <c r="E2150" s="1595"/>
      <c r="F2150" s="1595"/>
      <c r="G2150" s="1596"/>
      <c r="H2150" s="1109"/>
      <c r="I2150" s="1109"/>
      <c r="J2150" s="1109"/>
      <c r="K2150" s="1109"/>
      <c r="L2150" s="1109"/>
      <c r="M2150" s="1597"/>
      <c r="N2150" s="1620"/>
    </row>
    <row r="2151" spans="2:14" x14ac:dyDescent="0.3">
      <c r="B2151" s="1115"/>
      <c r="C2151" s="1108"/>
      <c r="D2151" s="1595"/>
      <c r="E2151" s="1595"/>
      <c r="F2151" s="1595"/>
      <c r="G2151" s="1596"/>
      <c r="H2151" s="1109"/>
      <c r="I2151" s="1109"/>
      <c r="J2151" s="1109"/>
      <c r="K2151" s="1109"/>
      <c r="L2151" s="1109"/>
      <c r="M2151" s="1597"/>
      <c r="N2151" s="1620"/>
    </row>
    <row r="2152" spans="2:14" x14ac:dyDescent="0.3">
      <c r="B2152" s="1107"/>
      <c r="C2152" s="1108"/>
      <c r="D2152" s="1595"/>
      <c r="E2152" s="1595"/>
      <c r="F2152" s="1595"/>
      <c r="G2152" s="1596"/>
      <c r="H2152" s="1109"/>
      <c r="I2152" s="1109"/>
      <c r="J2152" s="1109"/>
      <c r="K2152" s="1109"/>
      <c r="L2152" s="1109"/>
      <c r="M2152" s="1597"/>
      <c r="N2152" s="1620"/>
    </row>
    <row r="2153" spans="2:14" ht="15.75" thickBot="1" x14ac:dyDescent="0.35">
      <c r="B2153" s="855"/>
      <c r="C2153" s="954"/>
      <c r="D2153" s="954"/>
      <c r="E2153" s="954"/>
      <c r="F2153" s="1110"/>
      <c r="G2153" s="1110"/>
      <c r="H2153" s="1110"/>
      <c r="I2153" s="1110"/>
      <c r="J2153" s="1110"/>
      <c r="K2153" s="1110"/>
      <c r="L2153" s="1110"/>
      <c r="M2153" s="1111" t="s">
        <v>24680</v>
      </c>
      <c r="N2153" s="1112">
        <f>SUM(N2150:N2152)</f>
        <v>0</v>
      </c>
    </row>
    <row r="2154" spans="2:14" ht="15.75" thickBot="1" x14ac:dyDescent="0.35">
      <c r="B2154" s="850"/>
      <c r="C2154" s="461"/>
      <c r="D2154" s="461"/>
      <c r="E2154" s="461"/>
      <c r="F2154" s="461"/>
      <c r="G2154" s="461"/>
      <c r="H2154" s="461"/>
      <c r="I2154" s="461"/>
      <c r="J2154" s="461"/>
      <c r="K2154" s="461"/>
      <c r="L2154" s="461"/>
      <c r="M2154" s="461"/>
      <c r="N2154" s="1113"/>
    </row>
    <row r="2155" spans="2:14" ht="45" x14ac:dyDescent="0.3">
      <c r="B2155" s="1104" t="s">
        <v>0</v>
      </c>
      <c r="C2155" s="1105" t="s">
        <v>24673</v>
      </c>
      <c r="D2155" s="1593" t="s">
        <v>24681</v>
      </c>
      <c r="E2155" s="1593"/>
      <c r="F2155" s="1593"/>
      <c r="G2155" s="1593"/>
      <c r="H2155" s="1594"/>
      <c r="I2155" s="1106" t="s">
        <v>3686</v>
      </c>
      <c r="J2155" s="1106" t="s">
        <v>24682</v>
      </c>
      <c r="K2155" s="1106" t="s">
        <v>25177</v>
      </c>
      <c r="L2155" s="1106" t="s">
        <v>25178</v>
      </c>
      <c r="M2155" s="1106" t="s">
        <v>24683</v>
      </c>
      <c r="N2155" s="1114" t="s">
        <v>24679</v>
      </c>
    </row>
    <row r="2156" spans="2:14" x14ac:dyDescent="0.3">
      <c r="B2156" s="1115">
        <v>10101</v>
      </c>
      <c r="C2156" s="1108" t="s">
        <v>4379</v>
      </c>
      <c r="D2156" s="1604" t="s">
        <v>25268</v>
      </c>
      <c r="E2156" s="1604"/>
      <c r="F2156" s="1604"/>
      <c r="G2156" s="1604"/>
      <c r="H2156" s="1605"/>
      <c r="I2156" s="1109" t="s">
        <v>75</v>
      </c>
      <c r="J2156" s="1117">
        <v>1.5727</v>
      </c>
      <c r="K2156" s="1109">
        <v>6.27</v>
      </c>
      <c r="L2156" s="1109">
        <f>K2156*(1+J2156)</f>
        <v>16.13</v>
      </c>
      <c r="M2156" s="1118">
        <v>0.13</v>
      </c>
      <c r="N2156" s="1119">
        <f>M2156*L2156</f>
        <v>2.1</v>
      </c>
    </row>
    <row r="2157" spans="2:14" x14ac:dyDescent="0.3">
      <c r="B2157" s="1115">
        <v>10118</v>
      </c>
      <c r="C2157" s="1108" t="s">
        <v>4379</v>
      </c>
      <c r="D2157" s="1604" t="s">
        <v>25186</v>
      </c>
      <c r="E2157" s="1604"/>
      <c r="F2157" s="1604"/>
      <c r="G2157" s="1604"/>
      <c r="H2157" s="1605"/>
      <c r="I2157" s="1109" t="s">
        <v>75</v>
      </c>
      <c r="J2157" s="1117">
        <v>1.5727</v>
      </c>
      <c r="K2157" s="1109">
        <v>7.43</v>
      </c>
      <c r="L2157" s="1109">
        <f>K2157*(1+J2157)</f>
        <v>19.12</v>
      </c>
      <c r="M2157" s="1118">
        <v>0.13</v>
      </c>
      <c r="N2157" s="1119">
        <f>M2157*L2157</f>
        <v>2.4900000000000002</v>
      </c>
    </row>
    <row r="2158" spans="2:14" ht="15.75" thickBot="1" x14ac:dyDescent="0.35">
      <c r="B2158" s="855"/>
      <c r="C2158" s="954"/>
      <c r="D2158" s="954"/>
      <c r="E2158" s="954"/>
      <c r="F2158" s="1110"/>
      <c r="G2158" s="1110"/>
      <c r="H2158" s="1110"/>
      <c r="I2158" s="1110"/>
      <c r="J2158" s="1110"/>
      <c r="K2158" s="1110"/>
      <c r="L2158" s="1110"/>
      <c r="M2158" s="1111" t="s">
        <v>24684</v>
      </c>
      <c r="N2158" s="1112">
        <f>SUM(N2156:N2157)</f>
        <v>4.59</v>
      </c>
    </row>
    <row r="2159" spans="2:14" ht="15.75" thickBot="1" x14ac:dyDescent="0.35">
      <c r="B2159" s="850"/>
      <c r="C2159" s="461"/>
      <c r="D2159" s="461"/>
      <c r="E2159" s="461"/>
      <c r="F2159" s="461"/>
      <c r="G2159" s="461"/>
      <c r="H2159" s="461"/>
      <c r="I2159" s="1120"/>
      <c r="J2159" s="1120"/>
      <c r="K2159" s="461"/>
      <c r="L2159" s="461"/>
      <c r="M2159" s="461"/>
      <c r="N2159" s="1113"/>
    </row>
    <row r="2160" spans="2:14" ht="30" x14ac:dyDescent="0.3">
      <c r="B2160" s="1104" t="s">
        <v>0</v>
      </c>
      <c r="C2160" s="1105" t="s">
        <v>24673</v>
      </c>
      <c r="D2160" s="1593" t="s">
        <v>24685</v>
      </c>
      <c r="E2160" s="1593"/>
      <c r="F2160" s="1593"/>
      <c r="G2160" s="1593"/>
      <c r="H2160" s="1594"/>
      <c r="I2160" s="1106" t="s">
        <v>2858</v>
      </c>
      <c r="J2160" s="1106" t="s">
        <v>24686</v>
      </c>
      <c r="K2160" s="1106" t="s">
        <v>24687</v>
      </c>
      <c r="L2160" s="1614" t="s">
        <v>24688</v>
      </c>
      <c r="M2160" s="1615"/>
      <c r="N2160" s="1114" t="s">
        <v>24689</v>
      </c>
    </row>
    <row r="2161" spans="2:14" x14ac:dyDescent="0.3">
      <c r="B2161" s="1115"/>
      <c r="C2161" s="1116"/>
      <c r="D2161" s="1604"/>
      <c r="E2161" s="1604"/>
      <c r="F2161" s="1604"/>
      <c r="G2161" s="1604"/>
      <c r="H2161" s="1605"/>
      <c r="I2161" s="1109"/>
      <c r="J2161" s="1109"/>
      <c r="K2161" s="1109"/>
      <c r="L2161" s="1597"/>
      <c r="M2161" s="1598"/>
      <c r="N2161" s="1119">
        <f>N2158*(I2161/100)</f>
        <v>0</v>
      </c>
    </row>
    <row r="2162" spans="2:14" x14ac:dyDescent="0.3">
      <c r="B2162" s="850"/>
      <c r="C2162" s="461"/>
      <c r="D2162" s="461"/>
      <c r="E2162" s="461"/>
      <c r="F2162" s="1120"/>
      <c r="G2162" s="1120"/>
      <c r="H2162" s="1120"/>
      <c r="I2162" s="1120"/>
      <c r="J2162" s="1120"/>
      <c r="K2162" s="1120"/>
      <c r="L2162" s="1120"/>
      <c r="M2162" s="1121" t="s">
        <v>24690</v>
      </c>
      <c r="N2162" s="1122">
        <f>SUM(N2161:N2161)</f>
        <v>0</v>
      </c>
    </row>
    <row r="2163" spans="2:14" x14ac:dyDescent="0.3">
      <c r="B2163" s="850"/>
      <c r="C2163" s="461"/>
      <c r="D2163" s="461"/>
      <c r="E2163" s="461"/>
      <c r="F2163" s="461"/>
      <c r="G2163" s="461"/>
      <c r="H2163" s="461"/>
      <c r="I2163" s="461"/>
      <c r="J2163" s="461"/>
      <c r="K2163" s="461"/>
      <c r="L2163" s="461"/>
      <c r="M2163" s="461"/>
      <c r="N2163" s="1113"/>
    </row>
    <row r="2164" spans="2:14" x14ac:dyDescent="0.3">
      <c r="B2164" s="850"/>
      <c r="C2164" s="461"/>
      <c r="D2164" s="461"/>
      <c r="E2164" s="461"/>
      <c r="F2164" s="1120"/>
      <c r="G2164" s="1120"/>
      <c r="H2164" s="1120"/>
      <c r="I2164" s="863"/>
      <c r="J2164" s="863"/>
      <c r="K2164" s="863"/>
      <c r="L2164" s="863"/>
      <c r="M2164" s="1121" t="s">
        <v>24691</v>
      </c>
      <c r="N2164" s="1123">
        <f>N2153+N2158+N2162</f>
        <v>4.59</v>
      </c>
    </row>
    <row r="2165" spans="2:14" x14ac:dyDescent="0.3">
      <c r="B2165" s="850"/>
      <c r="C2165" s="461"/>
      <c r="D2165" s="461"/>
      <c r="E2165" s="461"/>
      <c r="F2165" s="1120"/>
      <c r="G2165" s="1120"/>
      <c r="H2165" s="1120"/>
      <c r="I2165" s="1120"/>
      <c r="J2165" s="1124"/>
      <c r="K2165" s="1124"/>
      <c r="L2165" s="1124"/>
      <c r="M2165" s="1125" t="s">
        <v>24692</v>
      </c>
      <c r="N2165" s="1123">
        <v>1</v>
      </c>
    </row>
    <row r="2166" spans="2:14" ht="15.75" thickBot="1" x14ac:dyDescent="0.35">
      <c r="B2166" s="855"/>
      <c r="C2166" s="954"/>
      <c r="D2166" s="954"/>
      <c r="E2166" s="954"/>
      <c r="F2166" s="1110"/>
      <c r="G2166" s="1110"/>
      <c r="H2166" s="1110"/>
      <c r="I2166" s="1110"/>
      <c r="J2166" s="1110"/>
      <c r="K2166" s="1110"/>
      <c r="L2166" s="1110"/>
      <c r="M2166" s="1111" t="s">
        <v>24693</v>
      </c>
      <c r="N2166" s="1126">
        <f>TRUNC(N2164/N2165,2)</f>
        <v>4.59</v>
      </c>
    </row>
    <row r="2167" spans="2:14" ht="15.75" thickBot="1" x14ac:dyDescent="0.35">
      <c r="B2167" s="850"/>
      <c r="C2167" s="461"/>
      <c r="D2167" s="461"/>
      <c r="E2167" s="461"/>
      <c r="F2167" s="461"/>
      <c r="G2167" s="461"/>
      <c r="H2167" s="461"/>
      <c r="I2167" s="461"/>
      <c r="J2167" s="461"/>
      <c r="K2167" s="461"/>
      <c r="L2167" s="461"/>
      <c r="M2167" s="461"/>
      <c r="N2167" s="1113"/>
    </row>
    <row r="2168" spans="2:14" ht="30" x14ac:dyDescent="0.3">
      <c r="B2168" s="1104" t="s">
        <v>0</v>
      </c>
      <c r="C2168" s="1105" t="s">
        <v>24673</v>
      </c>
      <c r="D2168" s="1593" t="s">
        <v>24694</v>
      </c>
      <c r="E2168" s="1593"/>
      <c r="F2168" s="1593"/>
      <c r="G2168" s="1593"/>
      <c r="H2168" s="1593"/>
      <c r="I2168" s="1594"/>
      <c r="J2168" s="1106" t="s">
        <v>3686</v>
      </c>
      <c r="K2168" s="1106" t="s">
        <v>24695</v>
      </c>
      <c r="L2168" s="1614" t="s">
        <v>24683</v>
      </c>
      <c r="M2168" s="1615"/>
      <c r="N2168" s="1114" t="s">
        <v>24689</v>
      </c>
    </row>
    <row r="2169" spans="2:14" x14ac:dyDescent="0.3">
      <c r="B2169" s="1149">
        <v>296</v>
      </c>
      <c r="C2169" s="1155" t="s">
        <v>24706</v>
      </c>
      <c r="D2169" s="1616" t="s">
        <v>25385</v>
      </c>
      <c r="E2169" s="1616"/>
      <c r="F2169" s="1616"/>
      <c r="G2169" s="1616"/>
      <c r="H2169" s="1616"/>
      <c r="I2169" s="1617"/>
      <c r="J2169" s="1151" t="s">
        <v>24804</v>
      </c>
      <c r="K2169" s="1151">
        <v>1.98</v>
      </c>
      <c r="L2169" s="1618">
        <v>1</v>
      </c>
      <c r="M2169" s="1619"/>
      <c r="N2169" s="1130">
        <f>L2169*K2169</f>
        <v>1.98</v>
      </c>
    </row>
    <row r="2170" spans="2:14" x14ac:dyDescent="0.3">
      <c r="B2170" s="1149">
        <v>3526</v>
      </c>
      <c r="C2170" s="1155" t="s">
        <v>24706</v>
      </c>
      <c r="D2170" s="1616" t="s">
        <v>25386</v>
      </c>
      <c r="E2170" s="1616"/>
      <c r="F2170" s="1616"/>
      <c r="G2170" s="1616"/>
      <c r="H2170" s="1616"/>
      <c r="I2170" s="1617"/>
      <c r="J2170" s="1151" t="s">
        <v>24804</v>
      </c>
      <c r="K2170" s="1151">
        <v>3.7</v>
      </c>
      <c r="L2170" s="1618">
        <v>1</v>
      </c>
      <c r="M2170" s="1619"/>
      <c r="N2170" s="1130">
        <f t="shared" ref="N2170:N2171" si="37">L2170*K2170</f>
        <v>3.7</v>
      </c>
    </row>
    <row r="2171" spans="2:14" x14ac:dyDescent="0.3">
      <c r="B2171" s="1149">
        <v>20078</v>
      </c>
      <c r="C2171" s="1155" t="s">
        <v>24706</v>
      </c>
      <c r="D2171" s="1616" t="s">
        <v>25369</v>
      </c>
      <c r="E2171" s="1616"/>
      <c r="F2171" s="1616"/>
      <c r="G2171" s="1616"/>
      <c r="H2171" s="1616"/>
      <c r="I2171" s="1617"/>
      <c r="J2171" s="1151" t="s">
        <v>24804</v>
      </c>
      <c r="K2171" s="1151">
        <v>27.05</v>
      </c>
      <c r="L2171" s="1618">
        <v>0.02</v>
      </c>
      <c r="M2171" s="1619"/>
      <c r="N2171" s="1130">
        <f t="shared" si="37"/>
        <v>0.54</v>
      </c>
    </row>
    <row r="2172" spans="2:14" ht="15.75" thickBot="1" x14ac:dyDescent="0.35">
      <c r="B2172" s="855"/>
      <c r="C2172" s="954"/>
      <c r="D2172" s="954"/>
      <c r="E2172" s="954"/>
      <c r="F2172" s="1110"/>
      <c r="G2172" s="1110"/>
      <c r="H2172" s="1110"/>
      <c r="I2172" s="1110"/>
      <c r="J2172" s="1110"/>
      <c r="K2172" s="1110"/>
      <c r="L2172" s="1110"/>
      <c r="M2172" s="1111" t="s">
        <v>24696</v>
      </c>
      <c r="N2172" s="1112">
        <f>SUM(N2169:N2171)</f>
        <v>6.22</v>
      </c>
    </row>
    <row r="2173" spans="2:14" ht="15.75" thickBot="1" x14ac:dyDescent="0.35">
      <c r="B2173" s="850"/>
      <c r="C2173" s="461"/>
      <c r="D2173" s="461"/>
      <c r="E2173" s="461"/>
      <c r="F2173" s="461"/>
      <c r="G2173" s="461"/>
      <c r="H2173" s="461"/>
      <c r="I2173" s="461"/>
      <c r="J2173" s="461"/>
      <c r="K2173" s="461"/>
      <c r="L2173" s="461"/>
      <c r="M2173" s="461"/>
      <c r="N2173" s="1113"/>
    </row>
    <row r="2174" spans="2:14" ht="30" x14ac:dyDescent="0.3">
      <c r="B2174" s="1104" t="s">
        <v>0</v>
      </c>
      <c r="C2174" s="1106" t="s">
        <v>24673</v>
      </c>
      <c r="D2174" s="1593" t="s">
        <v>24697</v>
      </c>
      <c r="E2174" s="1593"/>
      <c r="F2174" s="1593"/>
      <c r="G2174" s="1593"/>
      <c r="H2174" s="1593"/>
      <c r="I2174" s="1594"/>
      <c r="J2174" s="1106" t="s">
        <v>3686</v>
      </c>
      <c r="K2174" s="1106" t="s">
        <v>24695</v>
      </c>
      <c r="L2174" s="1614" t="s">
        <v>24683</v>
      </c>
      <c r="M2174" s="1615"/>
      <c r="N2174" s="1114" t="s">
        <v>24689</v>
      </c>
    </row>
    <row r="2175" spans="2:14" x14ac:dyDescent="0.3">
      <c r="B2175" s="1127"/>
      <c r="C2175" s="1128"/>
      <c r="D2175" s="1604"/>
      <c r="E2175" s="1604"/>
      <c r="F2175" s="1604"/>
      <c r="G2175" s="1604"/>
      <c r="H2175" s="1604"/>
      <c r="I2175" s="1605"/>
      <c r="J2175" s="462"/>
      <c r="K2175" s="462"/>
      <c r="L2175" s="1612"/>
      <c r="M2175" s="1613"/>
      <c r="N2175" s="1130"/>
    </row>
    <row r="2176" spans="2:14" ht="15.75" thickBot="1" x14ac:dyDescent="0.35">
      <c r="B2176" s="855"/>
      <c r="C2176" s="954"/>
      <c r="D2176" s="954"/>
      <c r="E2176" s="954"/>
      <c r="F2176" s="1110"/>
      <c r="G2176" s="1110"/>
      <c r="H2176" s="1110"/>
      <c r="I2176" s="1110"/>
      <c r="J2176" s="1110"/>
      <c r="K2176" s="1110"/>
      <c r="L2176" s="1110"/>
      <c r="M2176" s="1111" t="s">
        <v>24698</v>
      </c>
      <c r="N2176" s="1112">
        <f>SUM(N2175:N2175)</f>
        <v>0</v>
      </c>
    </row>
    <row r="2177" spans="2:14" ht="15.75" thickBot="1" x14ac:dyDescent="0.35">
      <c r="B2177" s="850"/>
      <c r="C2177" s="461"/>
      <c r="D2177" s="461"/>
      <c r="E2177" s="461"/>
      <c r="F2177" s="461"/>
      <c r="G2177" s="461"/>
      <c r="H2177" s="461"/>
      <c r="I2177" s="461"/>
      <c r="J2177" s="461"/>
      <c r="K2177" s="461"/>
      <c r="L2177" s="461"/>
      <c r="M2177" s="461"/>
      <c r="N2177" s="1113"/>
    </row>
    <row r="2178" spans="2:14" ht="30" x14ac:dyDescent="0.3">
      <c r="B2178" s="1104" t="s">
        <v>0</v>
      </c>
      <c r="C2178" s="1106" t="s">
        <v>24673</v>
      </c>
      <c r="D2178" s="1593" t="s">
        <v>24699</v>
      </c>
      <c r="E2178" s="1593"/>
      <c r="F2178" s="1593"/>
      <c r="G2178" s="1594"/>
      <c r="H2178" s="1106" t="s">
        <v>3686</v>
      </c>
      <c r="I2178" s="1106" t="s">
        <v>24700</v>
      </c>
      <c r="J2178" s="1106" t="s">
        <v>24701</v>
      </c>
      <c r="K2178" s="1106" t="s">
        <v>24695</v>
      </c>
      <c r="L2178" s="1614" t="s">
        <v>24683</v>
      </c>
      <c r="M2178" s="1615"/>
      <c r="N2178" s="1114" t="s">
        <v>24689</v>
      </c>
    </row>
    <row r="2179" spans="2:14" x14ac:dyDescent="0.3">
      <c r="B2179" s="1115"/>
      <c r="C2179" s="1116"/>
      <c r="D2179" s="1595"/>
      <c r="E2179" s="1595"/>
      <c r="F2179" s="1595"/>
      <c r="G2179" s="1595"/>
      <c r="H2179" s="1109"/>
      <c r="I2179" s="1109"/>
      <c r="J2179" s="1109"/>
      <c r="K2179" s="1109"/>
      <c r="L2179" s="1597"/>
      <c r="M2179" s="1598"/>
      <c r="N2179" s="1119"/>
    </row>
    <row r="2180" spans="2:14" x14ac:dyDescent="0.3">
      <c r="B2180" s="1115"/>
      <c r="C2180" s="1116"/>
      <c r="D2180" s="1595"/>
      <c r="E2180" s="1595"/>
      <c r="F2180" s="1595"/>
      <c r="G2180" s="1595"/>
      <c r="H2180" s="1109"/>
      <c r="I2180" s="1109"/>
      <c r="J2180" s="1109"/>
      <c r="K2180" s="1109"/>
      <c r="L2180" s="1597"/>
      <c r="M2180" s="1598"/>
      <c r="N2180" s="1119"/>
    </row>
    <row r="2181" spans="2:14" x14ac:dyDescent="0.3">
      <c r="B2181" s="1115"/>
      <c r="C2181" s="1116"/>
      <c r="D2181" s="1595"/>
      <c r="E2181" s="1595"/>
      <c r="F2181" s="1595"/>
      <c r="G2181" s="1595"/>
      <c r="H2181" s="1109"/>
      <c r="I2181" s="1109"/>
      <c r="J2181" s="1109"/>
      <c r="K2181" s="1109"/>
      <c r="L2181" s="1597"/>
      <c r="M2181" s="1598"/>
      <c r="N2181" s="1119"/>
    </row>
    <row r="2182" spans="2:14" x14ac:dyDescent="0.3">
      <c r="B2182" s="850"/>
      <c r="C2182" s="461"/>
      <c r="D2182" s="461"/>
      <c r="E2182" s="461"/>
      <c r="F2182" s="1120"/>
      <c r="G2182" s="1120"/>
      <c r="H2182" s="1120"/>
      <c r="I2182" s="1120"/>
      <c r="J2182" s="1120"/>
      <c r="K2182" s="1120"/>
      <c r="L2182" s="1120"/>
      <c r="M2182" s="1121" t="s">
        <v>24702</v>
      </c>
      <c r="N2182" s="1122">
        <f>SUM(N2179:N2181)</f>
        <v>0</v>
      </c>
    </row>
    <row r="2183" spans="2:14" x14ac:dyDescent="0.3">
      <c r="B2183" s="850"/>
      <c r="C2183" s="461"/>
      <c r="D2183" s="461"/>
      <c r="E2183" s="461"/>
      <c r="F2183" s="461"/>
      <c r="G2183" s="461"/>
      <c r="H2183" s="461"/>
      <c r="I2183" s="461"/>
      <c r="J2183" s="461"/>
      <c r="K2183" s="461"/>
      <c r="L2183" s="461"/>
      <c r="M2183" s="461"/>
      <c r="N2183" s="1113"/>
    </row>
    <row r="2184" spans="2:14" x14ac:dyDescent="0.3">
      <c r="B2184" s="1131"/>
      <c r="C2184" s="1132"/>
      <c r="D2184" s="1132"/>
      <c r="E2184" s="1132"/>
      <c r="F2184" s="1133"/>
      <c r="G2184" s="1133"/>
      <c r="H2184" s="1133"/>
      <c r="I2184" s="1133"/>
      <c r="J2184" s="1133"/>
      <c r="K2184" s="1133"/>
      <c r="L2184" s="1133"/>
      <c r="M2184" s="1134" t="s">
        <v>24703</v>
      </c>
      <c r="N2184" s="1123">
        <f>N2166+N2172+N2176+N2182</f>
        <v>10.81</v>
      </c>
    </row>
    <row r="2185" spans="2:14" x14ac:dyDescent="0.3">
      <c r="B2185" s="850"/>
      <c r="C2185" s="461"/>
      <c r="D2185" s="461"/>
      <c r="E2185" s="461"/>
      <c r="F2185" s="1120"/>
      <c r="G2185" s="1120"/>
      <c r="H2185" s="1120"/>
      <c r="I2185" s="1120"/>
      <c r="J2185" s="1120"/>
      <c r="K2185" s="1135"/>
      <c r="L2185" s="1135"/>
      <c r="M2185" s="1136">
        <f>'QUIOSQUE - MOD 01'!I3</f>
        <v>0.28220000000000001</v>
      </c>
      <c r="N2185" s="1123">
        <f>ROUND(N2184*M2185,2)</f>
        <v>3.05</v>
      </c>
    </row>
    <row r="2186" spans="2:14" ht="15.75" thickBot="1" x14ac:dyDescent="0.35">
      <c r="B2186" s="1599" t="s">
        <v>24704</v>
      </c>
      <c r="C2186" s="1600"/>
      <c r="D2186" s="1600"/>
      <c r="E2186" s="1600"/>
      <c r="F2186" s="1600"/>
      <c r="G2186" s="1600"/>
      <c r="H2186" s="1600"/>
      <c r="I2186" s="1600"/>
      <c r="J2186" s="1600"/>
      <c r="K2186" s="1600"/>
      <c r="L2186" s="1600"/>
      <c r="M2186" s="1601"/>
      <c r="N2186" s="1126">
        <f>N2184+N2185</f>
        <v>13.86</v>
      </c>
    </row>
    <row r="2188" spans="2:14" ht="15.75" thickBot="1" x14ac:dyDescent="0.35"/>
    <row r="2189" spans="2:14" ht="46.5" customHeight="1" x14ac:dyDescent="0.3">
      <c r="B2189" s="1607" t="s">
        <v>24945</v>
      </c>
      <c r="C2189" s="1608"/>
      <c r="D2189" s="1609"/>
      <c r="E2189" s="1610" t="s">
        <v>24669</v>
      </c>
      <c r="F2189" s="1610"/>
      <c r="G2189" s="1610"/>
      <c r="H2189" s="1610"/>
      <c r="I2189" s="1610"/>
      <c r="J2189" s="1610"/>
      <c r="K2189" s="1610"/>
      <c r="L2189" s="1623"/>
      <c r="M2189" s="1576"/>
      <c r="N2189" s="1577"/>
    </row>
    <row r="2190" spans="2:14" ht="32.25" customHeight="1" x14ac:dyDescent="0.3">
      <c r="B2190" s="1103" t="s">
        <v>24670</v>
      </c>
      <c r="C2190" s="1586" t="s">
        <v>25387</v>
      </c>
      <c r="D2190" s="1586"/>
      <c r="E2190" s="1586"/>
      <c r="F2190" s="1586"/>
      <c r="G2190" s="1586"/>
      <c r="H2190" s="1586"/>
      <c r="I2190" s="1586"/>
      <c r="J2190" s="1586"/>
      <c r="K2190" s="1586"/>
      <c r="L2190" s="1586"/>
      <c r="M2190" s="1586"/>
      <c r="N2190" s="1587"/>
    </row>
    <row r="2191" spans="2:14" x14ac:dyDescent="0.3">
      <c r="B2191" s="1103" t="s">
        <v>24671</v>
      </c>
      <c r="C2191" s="1588" t="s">
        <v>8</v>
      </c>
      <c r="D2191" s="1588"/>
      <c r="E2191" s="1588"/>
      <c r="F2191" s="1588"/>
      <c r="G2191" s="1588"/>
      <c r="H2191" s="1588"/>
      <c r="I2191" s="1588"/>
      <c r="J2191" s="1588"/>
      <c r="K2191" s="1588"/>
      <c r="L2191" s="1588"/>
      <c r="M2191" s="1588"/>
      <c r="N2191" s="1589"/>
    </row>
    <row r="2192" spans="2:14" ht="15.75" thickBot="1" x14ac:dyDescent="0.35">
      <c r="B2192" s="1103" t="s">
        <v>24672</v>
      </c>
      <c r="C2192" s="1590">
        <v>44501</v>
      </c>
      <c r="D2192" s="1591"/>
      <c r="E2192" s="1591"/>
      <c r="F2192" s="1591"/>
      <c r="G2192" s="1591"/>
      <c r="H2192" s="1591"/>
      <c r="I2192" s="1591"/>
      <c r="J2192" s="1591"/>
      <c r="K2192" s="1591"/>
      <c r="L2192" s="1591"/>
      <c r="M2192" s="1591"/>
      <c r="N2192" s="1592"/>
    </row>
    <row r="2193" spans="2:14" ht="30" x14ac:dyDescent="0.3">
      <c r="B2193" s="1104" t="s">
        <v>0</v>
      </c>
      <c r="C2193" s="1105" t="s">
        <v>24673</v>
      </c>
      <c r="D2193" s="1593" t="s">
        <v>24674</v>
      </c>
      <c r="E2193" s="1593"/>
      <c r="F2193" s="1593"/>
      <c r="G2193" s="1594"/>
      <c r="H2193" s="1106" t="s">
        <v>111</v>
      </c>
      <c r="I2193" s="1106" t="s">
        <v>24675</v>
      </c>
      <c r="J2193" s="1106" t="s">
        <v>24676</v>
      </c>
      <c r="K2193" s="1106" t="s">
        <v>24677</v>
      </c>
      <c r="L2193" s="1106" t="s">
        <v>24678</v>
      </c>
      <c r="M2193" s="1621" t="s">
        <v>24679</v>
      </c>
      <c r="N2193" s="1622"/>
    </row>
    <row r="2194" spans="2:14" x14ac:dyDescent="0.3">
      <c r="B2194" s="1115"/>
      <c r="C2194" s="1108"/>
      <c r="D2194" s="1595"/>
      <c r="E2194" s="1595"/>
      <c r="F2194" s="1595"/>
      <c r="G2194" s="1596"/>
      <c r="H2194" s="1109"/>
      <c r="I2194" s="1109"/>
      <c r="J2194" s="1109"/>
      <c r="K2194" s="1109"/>
      <c r="L2194" s="1109"/>
      <c r="M2194" s="1597"/>
      <c r="N2194" s="1620"/>
    </row>
    <row r="2195" spans="2:14" x14ac:dyDescent="0.3">
      <c r="B2195" s="1115"/>
      <c r="C2195" s="1108"/>
      <c r="D2195" s="1595"/>
      <c r="E2195" s="1595"/>
      <c r="F2195" s="1595"/>
      <c r="G2195" s="1596"/>
      <c r="H2195" s="1109"/>
      <c r="I2195" s="1109"/>
      <c r="J2195" s="1109"/>
      <c r="K2195" s="1109"/>
      <c r="L2195" s="1109"/>
      <c r="M2195" s="1597"/>
      <c r="N2195" s="1620"/>
    </row>
    <row r="2196" spans="2:14" x14ac:dyDescent="0.3">
      <c r="B2196" s="1107"/>
      <c r="C2196" s="1108"/>
      <c r="D2196" s="1595"/>
      <c r="E2196" s="1595"/>
      <c r="F2196" s="1595"/>
      <c r="G2196" s="1596"/>
      <c r="H2196" s="1109"/>
      <c r="I2196" s="1109"/>
      <c r="J2196" s="1109"/>
      <c r="K2196" s="1109"/>
      <c r="L2196" s="1109"/>
      <c r="M2196" s="1597"/>
      <c r="N2196" s="1620"/>
    </row>
    <row r="2197" spans="2:14" ht="15.75" thickBot="1" x14ac:dyDescent="0.35">
      <c r="B2197" s="855"/>
      <c r="C2197" s="954"/>
      <c r="D2197" s="954"/>
      <c r="E2197" s="954"/>
      <c r="F2197" s="1110"/>
      <c r="G2197" s="1110"/>
      <c r="H2197" s="1110"/>
      <c r="I2197" s="1110"/>
      <c r="J2197" s="1110"/>
      <c r="K2197" s="1110"/>
      <c r="L2197" s="1110"/>
      <c r="M2197" s="1111" t="s">
        <v>24680</v>
      </c>
      <c r="N2197" s="1112">
        <f>SUM(N2194:N2196)</f>
        <v>0</v>
      </c>
    </row>
    <row r="2198" spans="2:14" ht="15.75" thickBot="1" x14ac:dyDescent="0.35">
      <c r="B2198" s="850"/>
      <c r="C2198" s="461"/>
      <c r="D2198" s="461"/>
      <c r="E2198" s="461"/>
      <c r="F2198" s="461"/>
      <c r="G2198" s="461"/>
      <c r="H2198" s="461"/>
      <c r="I2198" s="461"/>
      <c r="J2198" s="461"/>
      <c r="K2198" s="461"/>
      <c r="L2198" s="461"/>
      <c r="M2198" s="461"/>
      <c r="N2198" s="1113"/>
    </row>
    <row r="2199" spans="2:14" ht="45" x14ac:dyDescent="0.3">
      <c r="B2199" s="1104" t="s">
        <v>0</v>
      </c>
      <c r="C2199" s="1105" t="s">
        <v>24673</v>
      </c>
      <c r="D2199" s="1593" t="s">
        <v>24681</v>
      </c>
      <c r="E2199" s="1593"/>
      <c r="F2199" s="1593"/>
      <c r="G2199" s="1593"/>
      <c r="H2199" s="1594"/>
      <c r="I2199" s="1106" t="s">
        <v>3686</v>
      </c>
      <c r="J2199" s="1106" t="s">
        <v>24682</v>
      </c>
      <c r="K2199" s="1106" t="s">
        <v>25177</v>
      </c>
      <c r="L2199" s="1106" t="s">
        <v>25178</v>
      </c>
      <c r="M2199" s="1106" t="s">
        <v>24683</v>
      </c>
      <c r="N2199" s="1114" t="s">
        <v>24679</v>
      </c>
    </row>
    <row r="2200" spans="2:14" x14ac:dyDescent="0.3">
      <c r="B2200" s="1115">
        <v>10101</v>
      </c>
      <c r="C2200" s="1108" t="s">
        <v>4379</v>
      </c>
      <c r="D2200" s="1604" t="s">
        <v>25268</v>
      </c>
      <c r="E2200" s="1604"/>
      <c r="F2200" s="1604"/>
      <c r="G2200" s="1604"/>
      <c r="H2200" s="1605"/>
      <c r="I2200" s="1109" t="s">
        <v>75</v>
      </c>
      <c r="J2200" s="1117">
        <v>1.5727</v>
      </c>
      <c r="K2200" s="1109">
        <v>6.27</v>
      </c>
      <c r="L2200" s="1109">
        <f>K2200*(1+J2200)</f>
        <v>16.13</v>
      </c>
      <c r="M2200" s="1118">
        <v>0.1</v>
      </c>
      <c r="N2200" s="1119">
        <f>M2200*L2200</f>
        <v>1.61</v>
      </c>
    </row>
    <row r="2201" spans="2:14" x14ac:dyDescent="0.3">
      <c r="B2201" s="1115">
        <v>10118</v>
      </c>
      <c r="C2201" s="1108" t="s">
        <v>4379</v>
      </c>
      <c r="D2201" s="1604" t="s">
        <v>25186</v>
      </c>
      <c r="E2201" s="1604"/>
      <c r="F2201" s="1604"/>
      <c r="G2201" s="1604"/>
      <c r="H2201" s="1605"/>
      <c r="I2201" s="1109" t="s">
        <v>75</v>
      </c>
      <c r="J2201" s="1117">
        <v>1.5727</v>
      </c>
      <c r="K2201" s="1109">
        <v>7.43</v>
      </c>
      <c r="L2201" s="1109">
        <f>K2201*(1+J2201)</f>
        <v>19.12</v>
      </c>
      <c r="M2201" s="1118">
        <v>0.1</v>
      </c>
      <c r="N2201" s="1119">
        <f>M2201*L2201</f>
        <v>1.91</v>
      </c>
    </row>
    <row r="2202" spans="2:14" ht="15.75" thickBot="1" x14ac:dyDescent="0.35">
      <c r="B2202" s="855"/>
      <c r="C2202" s="954"/>
      <c r="D2202" s="954"/>
      <c r="E2202" s="954"/>
      <c r="F2202" s="1110"/>
      <c r="G2202" s="1110"/>
      <c r="H2202" s="1110"/>
      <c r="I2202" s="1110"/>
      <c r="J2202" s="1110"/>
      <c r="K2202" s="1110"/>
      <c r="L2202" s="1110"/>
      <c r="M2202" s="1111" t="s">
        <v>24684</v>
      </c>
      <c r="N2202" s="1112">
        <f>SUM(N2200:N2201)</f>
        <v>3.52</v>
      </c>
    </row>
    <row r="2203" spans="2:14" ht="15.75" thickBot="1" x14ac:dyDescent="0.35">
      <c r="B2203" s="850"/>
      <c r="C2203" s="461"/>
      <c r="D2203" s="461"/>
      <c r="E2203" s="461"/>
      <c r="F2203" s="461"/>
      <c r="G2203" s="461"/>
      <c r="H2203" s="461"/>
      <c r="I2203" s="1120"/>
      <c r="J2203" s="1120"/>
      <c r="K2203" s="461"/>
      <c r="L2203" s="461"/>
      <c r="M2203" s="461"/>
      <c r="N2203" s="1113"/>
    </row>
    <row r="2204" spans="2:14" ht="30" x14ac:dyDescent="0.3">
      <c r="B2204" s="1104" t="s">
        <v>0</v>
      </c>
      <c r="C2204" s="1105" t="s">
        <v>24673</v>
      </c>
      <c r="D2204" s="1593" t="s">
        <v>24685</v>
      </c>
      <c r="E2204" s="1593"/>
      <c r="F2204" s="1593"/>
      <c r="G2204" s="1593"/>
      <c r="H2204" s="1594"/>
      <c r="I2204" s="1106" t="s">
        <v>2858</v>
      </c>
      <c r="J2204" s="1106" t="s">
        <v>24686</v>
      </c>
      <c r="K2204" s="1106" t="s">
        <v>24687</v>
      </c>
      <c r="L2204" s="1614" t="s">
        <v>24688</v>
      </c>
      <c r="M2204" s="1615"/>
      <c r="N2204" s="1114" t="s">
        <v>24689</v>
      </c>
    </row>
    <row r="2205" spans="2:14" x14ac:dyDescent="0.3">
      <c r="B2205" s="1115"/>
      <c r="C2205" s="1116"/>
      <c r="D2205" s="1604"/>
      <c r="E2205" s="1604"/>
      <c r="F2205" s="1604"/>
      <c r="G2205" s="1604"/>
      <c r="H2205" s="1605"/>
      <c r="I2205" s="1109"/>
      <c r="J2205" s="1109"/>
      <c r="K2205" s="1109"/>
      <c r="L2205" s="1597"/>
      <c r="M2205" s="1598"/>
      <c r="N2205" s="1119">
        <f>N2202*(I2205/100)</f>
        <v>0</v>
      </c>
    </row>
    <row r="2206" spans="2:14" x14ac:dyDescent="0.3">
      <c r="B2206" s="850"/>
      <c r="C2206" s="461"/>
      <c r="D2206" s="461"/>
      <c r="E2206" s="461"/>
      <c r="F2206" s="1120"/>
      <c r="G2206" s="1120"/>
      <c r="H2206" s="1120"/>
      <c r="I2206" s="1120"/>
      <c r="J2206" s="1120"/>
      <c r="K2206" s="1120"/>
      <c r="L2206" s="1120"/>
      <c r="M2206" s="1121" t="s">
        <v>24690</v>
      </c>
      <c r="N2206" s="1122">
        <f>SUM(N2205:N2205)</f>
        <v>0</v>
      </c>
    </row>
    <row r="2207" spans="2:14" x14ac:dyDescent="0.3">
      <c r="B2207" s="850"/>
      <c r="C2207" s="461"/>
      <c r="D2207" s="461"/>
      <c r="E2207" s="461"/>
      <c r="F2207" s="461"/>
      <c r="G2207" s="461"/>
      <c r="H2207" s="461"/>
      <c r="I2207" s="461"/>
      <c r="J2207" s="461"/>
      <c r="K2207" s="461"/>
      <c r="L2207" s="461"/>
      <c r="M2207" s="461"/>
      <c r="N2207" s="1113"/>
    </row>
    <row r="2208" spans="2:14" x14ac:dyDescent="0.3">
      <c r="B2208" s="850"/>
      <c r="C2208" s="461"/>
      <c r="D2208" s="461"/>
      <c r="E2208" s="461"/>
      <c r="F2208" s="1120"/>
      <c r="G2208" s="1120"/>
      <c r="H2208" s="1120"/>
      <c r="I2208" s="863"/>
      <c r="J2208" s="863"/>
      <c r="K2208" s="863"/>
      <c r="L2208" s="863"/>
      <c r="M2208" s="1121" t="s">
        <v>24691</v>
      </c>
      <c r="N2208" s="1123">
        <f>N2197+N2202+N2206</f>
        <v>3.52</v>
      </c>
    </row>
    <row r="2209" spans="2:14" x14ac:dyDescent="0.3">
      <c r="B2209" s="850"/>
      <c r="C2209" s="461"/>
      <c r="D2209" s="461"/>
      <c r="E2209" s="461"/>
      <c r="F2209" s="1120"/>
      <c r="G2209" s="1120"/>
      <c r="H2209" s="1120"/>
      <c r="I2209" s="1120"/>
      <c r="J2209" s="1124"/>
      <c r="K2209" s="1124"/>
      <c r="L2209" s="1124"/>
      <c r="M2209" s="1125" t="s">
        <v>24692</v>
      </c>
      <c r="N2209" s="1123">
        <v>1</v>
      </c>
    </row>
    <row r="2210" spans="2:14" ht="15.75" thickBot="1" x14ac:dyDescent="0.35">
      <c r="B2210" s="855"/>
      <c r="C2210" s="954"/>
      <c r="D2210" s="954"/>
      <c r="E2210" s="954"/>
      <c r="F2210" s="1110"/>
      <c r="G2210" s="1110"/>
      <c r="H2210" s="1110"/>
      <c r="I2210" s="1110"/>
      <c r="J2210" s="1110"/>
      <c r="K2210" s="1110"/>
      <c r="L2210" s="1110"/>
      <c r="M2210" s="1111" t="s">
        <v>24693</v>
      </c>
      <c r="N2210" s="1126">
        <f>TRUNC(N2208/N2209,2)</f>
        <v>3.52</v>
      </c>
    </row>
    <row r="2211" spans="2:14" ht="15.75" thickBot="1" x14ac:dyDescent="0.35">
      <c r="B2211" s="850"/>
      <c r="C2211" s="461"/>
      <c r="D2211" s="461"/>
      <c r="E2211" s="461"/>
      <c r="F2211" s="461"/>
      <c r="G2211" s="461"/>
      <c r="H2211" s="461"/>
      <c r="I2211" s="461"/>
      <c r="J2211" s="461"/>
      <c r="K2211" s="461"/>
      <c r="L2211" s="461"/>
      <c r="M2211" s="461"/>
      <c r="N2211" s="1113"/>
    </row>
    <row r="2212" spans="2:14" ht="30" x14ac:dyDescent="0.3">
      <c r="B2212" s="1104" t="s">
        <v>0</v>
      </c>
      <c r="C2212" s="1105" t="s">
        <v>24673</v>
      </c>
      <c r="D2212" s="1593" t="s">
        <v>24694</v>
      </c>
      <c r="E2212" s="1593"/>
      <c r="F2212" s="1593"/>
      <c r="G2212" s="1593"/>
      <c r="H2212" s="1593"/>
      <c r="I2212" s="1594"/>
      <c r="J2212" s="1106" t="s">
        <v>3686</v>
      </c>
      <c r="K2212" s="1106" t="s">
        <v>24695</v>
      </c>
      <c r="L2212" s="1614" t="s">
        <v>24683</v>
      </c>
      <c r="M2212" s="1615"/>
      <c r="N2212" s="1114" t="s">
        <v>24689</v>
      </c>
    </row>
    <row r="2213" spans="2:14" x14ac:dyDescent="0.3">
      <c r="B2213" s="1149">
        <v>122</v>
      </c>
      <c r="C2213" s="1155" t="s">
        <v>24706</v>
      </c>
      <c r="D2213" s="1616" t="s">
        <v>25388</v>
      </c>
      <c r="E2213" s="1616"/>
      <c r="F2213" s="1616"/>
      <c r="G2213" s="1616"/>
      <c r="H2213" s="1616"/>
      <c r="I2213" s="1617"/>
      <c r="J2213" s="1151" t="s">
        <v>24804</v>
      </c>
      <c r="K2213" s="1151">
        <v>65.55</v>
      </c>
      <c r="L2213" s="1618">
        <v>9.9000000000000008E-3</v>
      </c>
      <c r="M2213" s="1619"/>
      <c r="N2213" s="1130">
        <f>L2213*K2213</f>
        <v>0.65</v>
      </c>
    </row>
    <row r="2214" spans="2:14" x14ac:dyDescent="0.3">
      <c r="B2214" s="1149">
        <v>3517</v>
      </c>
      <c r="C2214" s="1155" t="s">
        <v>24706</v>
      </c>
      <c r="D2214" s="1616" t="s">
        <v>25389</v>
      </c>
      <c r="E2214" s="1616"/>
      <c r="F2214" s="1616"/>
      <c r="G2214" s="1616"/>
      <c r="H2214" s="1616"/>
      <c r="I2214" s="1617"/>
      <c r="J2214" s="1151" t="s">
        <v>24804</v>
      </c>
      <c r="K2214" s="1151">
        <v>5.38</v>
      </c>
      <c r="L2214" s="1618">
        <v>1</v>
      </c>
      <c r="M2214" s="1619"/>
      <c r="N2214" s="1130">
        <f t="shared" ref="N2214:N2216" si="38">L2214*K2214</f>
        <v>5.38</v>
      </c>
    </row>
    <row r="2215" spans="2:14" x14ac:dyDescent="0.3">
      <c r="B2215" s="1149">
        <v>20083</v>
      </c>
      <c r="C2215" s="1155" t="s">
        <v>24706</v>
      </c>
      <c r="D2215" s="1616" t="s">
        <v>25390</v>
      </c>
      <c r="E2215" s="1616"/>
      <c r="F2215" s="1616"/>
      <c r="G2215" s="1616"/>
      <c r="H2215" s="1616"/>
      <c r="I2215" s="1617"/>
      <c r="J2215" s="1151" t="s">
        <v>24804</v>
      </c>
      <c r="K2215" s="1151">
        <v>74.27</v>
      </c>
      <c r="L2215" s="1618">
        <v>1.4999999999999999E-2</v>
      </c>
      <c r="M2215" s="1619"/>
      <c r="N2215" s="1130">
        <f t="shared" si="38"/>
        <v>1.1100000000000001</v>
      </c>
    </row>
    <row r="2216" spans="2:14" x14ac:dyDescent="0.3">
      <c r="B2216" s="1149">
        <v>38383</v>
      </c>
      <c r="C2216" s="1155" t="s">
        <v>24706</v>
      </c>
      <c r="D2216" s="1616" t="s">
        <v>25391</v>
      </c>
      <c r="E2216" s="1616"/>
      <c r="F2216" s="1616"/>
      <c r="G2216" s="1616"/>
      <c r="H2216" s="1616"/>
      <c r="I2216" s="1617"/>
      <c r="J2216" s="1151" t="s">
        <v>24804</v>
      </c>
      <c r="K2216" s="1151">
        <v>1.99</v>
      </c>
      <c r="L2216" s="1618">
        <v>2.1000000000000001E-2</v>
      </c>
      <c r="M2216" s="1619"/>
      <c r="N2216" s="1130">
        <f t="shared" si="38"/>
        <v>0.04</v>
      </c>
    </row>
    <row r="2217" spans="2:14" ht="15.75" thickBot="1" x14ac:dyDescent="0.35">
      <c r="B2217" s="855"/>
      <c r="C2217" s="954"/>
      <c r="D2217" s="954"/>
      <c r="E2217" s="954"/>
      <c r="F2217" s="1110"/>
      <c r="G2217" s="1110"/>
      <c r="H2217" s="1110"/>
      <c r="I2217" s="1110"/>
      <c r="J2217" s="1110"/>
      <c r="K2217" s="1110"/>
      <c r="L2217" s="1110"/>
      <c r="M2217" s="1111" t="s">
        <v>24696</v>
      </c>
      <c r="N2217" s="1112">
        <f>SUM(N2213:N2216)</f>
        <v>7.18</v>
      </c>
    </row>
    <row r="2218" spans="2:14" ht="15.75" thickBot="1" x14ac:dyDescent="0.35">
      <c r="B2218" s="850"/>
      <c r="C2218" s="461"/>
      <c r="D2218" s="461"/>
      <c r="E2218" s="461"/>
      <c r="F2218" s="461"/>
      <c r="G2218" s="461"/>
      <c r="H2218" s="461"/>
      <c r="I2218" s="461"/>
      <c r="J2218" s="461"/>
      <c r="K2218" s="461"/>
      <c r="L2218" s="461"/>
      <c r="M2218" s="461"/>
      <c r="N2218" s="1113"/>
    </row>
    <row r="2219" spans="2:14" ht="30" x14ac:dyDescent="0.3">
      <c r="B2219" s="1104" t="s">
        <v>0</v>
      </c>
      <c r="C2219" s="1106" t="s">
        <v>24673</v>
      </c>
      <c r="D2219" s="1593" t="s">
        <v>24697</v>
      </c>
      <c r="E2219" s="1593"/>
      <c r="F2219" s="1593"/>
      <c r="G2219" s="1593"/>
      <c r="H2219" s="1593"/>
      <c r="I2219" s="1594"/>
      <c r="J2219" s="1106" t="s">
        <v>3686</v>
      </c>
      <c r="K2219" s="1106" t="s">
        <v>24695</v>
      </c>
      <c r="L2219" s="1614" t="s">
        <v>24683</v>
      </c>
      <c r="M2219" s="1615"/>
      <c r="N2219" s="1114" t="s">
        <v>24689</v>
      </c>
    </row>
    <row r="2220" spans="2:14" x14ac:dyDescent="0.3">
      <c r="B2220" s="1127"/>
      <c r="C2220" s="1128"/>
      <c r="D2220" s="1604"/>
      <c r="E2220" s="1604"/>
      <c r="F2220" s="1604"/>
      <c r="G2220" s="1604"/>
      <c r="H2220" s="1604"/>
      <c r="I2220" s="1605"/>
      <c r="J2220" s="462"/>
      <c r="K2220" s="462"/>
      <c r="L2220" s="1612"/>
      <c r="M2220" s="1613"/>
      <c r="N2220" s="1130"/>
    </row>
    <row r="2221" spans="2:14" ht="15.75" thickBot="1" x14ac:dyDescent="0.35">
      <c r="B2221" s="855"/>
      <c r="C2221" s="954"/>
      <c r="D2221" s="954"/>
      <c r="E2221" s="954"/>
      <c r="F2221" s="1110"/>
      <c r="G2221" s="1110"/>
      <c r="H2221" s="1110"/>
      <c r="I2221" s="1110"/>
      <c r="J2221" s="1110"/>
      <c r="K2221" s="1110"/>
      <c r="L2221" s="1110"/>
      <c r="M2221" s="1111" t="s">
        <v>24698</v>
      </c>
      <c r="N2221" s="1112">
        <f>SUM(N2220:N2220)</f>
        <v>0</v>
      </c>
    </row>
    <row r="2222" spans="2:14" ht="15.75" thickBot="1" x14ac:dyDescent="0.35">
      <c r="B2222" s="850"/>
      <c r="C2222" s="461"/>
      <c r="D2222" s="461"/>
      <c r="E2222" s="461"/>
      <c r="F2222" s="461"/>
      <c r="G2222" s="461"/>
      <c r="H2222" s="461"/>
      <c r="I2222" s="461"/>
      <c r="J2222" s="461"/>
      <c r="K2222" s="461"/>
      <c r="L2222" s="461"/>
      <c r="M2222" s="461"/>
      <c r="N2222" s="1113"/>
    </row>
    <row r="2223" spans="2:14" ht="30" x14ac:dyDescent="0.3">
      <c r="B2223" s="1104" t="s">
        <v>0</v>
      </c>
      <c r="C2223" s="1106" t="s">
        <v>24673</v>
      </c>
      <c r="D2223" s="1593" t="s">
        <v>24699</v>
      </c>
      <c r="E2223" s="1593"/>
      <c r="F2223" s="1593"/>
      <c r="G2223" s="1594"/>
      <c r="H2223" s="1106" t="s">
        <v>3686</v>
      </c>
      <c r="I2223" s="1106" t="s">
        <v>24700</v>
      </c>
      <c r="J2223" s="1106" t="s">
        <v>24701</v>
      </c>
      <c r="K2223" s="1106" t="s">
        <v>24695</v>
      </c>
      <c r="L2223" s="1614" t="s">
        <v>24683</v>
      </c>
      <c r="M2223" s="1615"/>
      <c r="N2223" s="1114" t="s">
        <v>24689</v>
      </c>
    </row>
    <row r="2224" spans="2:14" x14ac:dyDescent="0.3">
      <c r="B2224" s="1115"/>
      <c r="C2224" s="1116"/>
      <c r="D2224" s="1595"/>
      <c r="E2224" s="1595"/>
      <c r="F2224" s="1595"/>
      <c r="G2224" s="1595"/>
      <c r="H2224" s="1109"/>
      <c r="I2224" s="1109"/>
      <c r="J2224" s="1109"/>
      <c r="K2224" s="1109"/>
      <c r="L2224" s="1597"/>
      <c r="M2224" s="1598"/>
      <c r="N2224" s="1119"/>
    </row>
    <row r="2225" spans="2:14" x14ac:dyDescent="0.3">
      <c r="B2225" s="1115"/>
      <c r="C2225" s="1116"/>
      <c r="D2225" s="1595"/>
      <c r="E2225" s="1595"/>
      <c r="F2225" s="1595"/>
      <c r="G2225" s="1595"/>
      <c r="H2225" s="1109"/>
      <c r="I2225" s="1109"/>
      <c r="J2225" s="1109"/>
      <c r="K2225" s="1109"/>
      <c r="L2225" s="1597"/>
      <c r="M2225" s="1598"/>
      <c r="N2225" s="1119"/>
    </row>
    <row r="2226" spans="2:14" x14ac:dyDescent="0.3">
      <c r="B2226" s="1115"/>
      <c r="C2226" s="1116"/>
      <c r="D2226" s="1595"/>
      <c r="E2226" s="1595"/>
      <c r="F2226" s="1595"/>
      <c r="G2226" s="1595"/>
      <c r="H2226" s="1109"/>
      <c r="I2226" s="1109"/>
      <c r="J2226" s="1109"/>
      <c r="K2226" s="1109"/>
      <c r="L2226" s="1597"/>
      <c r="M2226" s="1598"/>
      <c r="N2226" s="1119"/>
    </row>
    <row r="2227" spans="2:14" x14ac:dyDescent="0.3">
      <c r="B2227" s="850"/>
      <c r="C2227" s="461"/>
      <c r="D2227" s="461"/>
      <c r="E2227" s="461"/>
      <c r="F2227" s="1120"/>
      <c r="G2227" s="1120"/>
      <c r="H2227" s="1120"/>
      <c r="I2227" s="1120"/>
      <c r="J2227" s="1120"/>
      <c r="K2227" s="1120"/>
      <c r="L2227" s="1120"/>
      <c r="M2227" s="1121" t="s">
        <v>24702</v>
      </c>
      <c r="N2227" s="1122">
        <f>SUM(N2224:N2226)</f>
        <v>0</v>
      </c>
    </row>
    <row r="2228" spans="2:14" x14ac:dyDescent="0.3">
      <c r="B2228" s="850"/>
      <c r="C2228" s="461"/>
      <c r="D2228" s="461"/>
      <c r="E2228" s="461"/>
      <c r="F2228" s="461"/>
      <c r="G2228" s="461"/>
      <c r="H2228" s="461"/>
      <c r="I2228" s="461"/>
      <c r="J2228" s="461"/>
      <c r="K2228" s="461"/>
      <c r="L2228" s="461"/>
      <c r="M2228" s="461"/>
      <c r="N2228" s="1113"/>
    </row>
    <row r="2229" spans="2:14" x14ac:dyDescent="0.3">
      <c r="B2229" s="1131"/>
      <c r="C2229" s="1132"/>
      <c r="D2229" s="1132"/>
      <c r="E2229" s="1132"/>
      <c r="F2229" s="1133"/>
      <c r="G2229" s="1133"/>
      <c r="H2229" s="1133"/>
      <c r="I2229" s="1133"/>
      <c r="J2229" s="1133"/>
      <c r="K2229" s="1133"/>
      <c r="L2229" s="1133"/>
      <c r="M2229" s="1134" t="s">
        <v>24703</v>
      </c>
      <c r="N2229" s="1123">
        <f>N2210+N2217+N2221+N2227</f>
        <v>10.7</v>
      </c>
    </row>
    <row r="2230" spans="2:14" x14ac:dyDescent="0.3">
      <c r="B2230" s="850"/>
      <c r="C2230" s="461"/>
      <c r="D2230" s="461"/>
      <c r="E2230" s="461"/>
      <c r="F2230" s="1120"/>
      <c r="G2230" s="1120"/>
      <c r="H2230" s="1120"/>
      <c r="I2230" s="1120"/>
      <c r="J2230" s="1120"/>
      <c r="K2230" s="1135"/>
      <c r="L2230" s="1135"/>
      <c r="M2230" s="1136">
        <f>'QUIOSQUE - MOD 01'!I3</f>
        <v>0.28220000000000001</v>
      </c>
      <c r="N2230" s="1123">
        <f>ROUND(N2229*M2230,2)</f>
        <v>3.02</v>
      </c>
    </row>
    <row r="2231" spans="2:14" ht="15.75" thickBot="1" x14ac:dyDescent="0.35">
      <c r="B2231" s="1599" t="s">
        <v>24704</v>
      </c>
      <c r="C2231" s="1600"/>
      <c r="D2231" s="1600"/>
      <c r="E2231" s="1600"/>
      <c r="F2231" s="1600"/>
      <c r="G2231" s="1600"/>
      <c r="H2231" s="1600"/>
      <c r="I2231" s="1600"/>
      <c r="J2231" s="1600"/>
      <c r="K2231" s="1600"/>
      <c r="L2231" s="1600"/>
      <c r="M2231" s="1601"/>
      <c r="N2231" s="1126">
        <f>N2229+N2230</f>
        <v>13.72</v>
      </c>
    </row>
    <row r="2233" spans="2:14" ht="15.75" thickBot="1" x14ac:dyDescent="0.35"/>
    <row r="2234" spans="2:14" ht="48" customHeight="1" x14ac:dyDescent="0.3">
      <c r="B2234" s="1607" t="s">
        <v>25055</v>
      </c>
      <c r="C2234" s="1608"/>
      <c r="D2234" s="1609"/>
      <c r="E2234" s="1610" t="s">
        <v>24669</v>
      </c>
      <c r="F2234" s="1610"/>
      <c r="G2234" s="1610"/>
      <c r="H2234" s="1610"/>
      <c r="I2234" s="1610"/>
      <c r="J2234" s="1610"/>
      <c r="K2234" s="1610"/>
      <c r="L2234" s="1623"/>
      <c r="M2234" s="1576"/>
      <c r="N2234" s="1577"/>
    </row>
    <row r="2235" spans="2:14" ht="33.75" customHeight="1" x14ac:dyDescent="0.3">
      <c r="B2235" s="1103" t="s">
        <v>24670</v>
      </c>
      <c r="C2235" s="1586" t="s">
        <v>25392</v>
      </c>
      <c r="D2235" s="1586"/>
      <c r="E2235" s="1586"/>
      <c r="F2235" s="1586"/>
      <c r="G2235" s="1586"/>
      <c r="H2235" s="1586"/>
      <c r="I2235" s="1586"/>
      <c r="J2235" s="1586"/>
      <c r="K2235" s="1586"/>
      <c r="L2235" s="1586"/>
      <c r="M2235" s="1586"/>
      <c r="N2235" s="1587"/>
    </row>
    <row r="2236" spans="2:14" x14ac:dyDescent="0.3">
      <c r="B2236" s="1103" t="s">
        <v>24671</v>
      </c>
      <c r="C2236" s="1588" t="s">
        <v>8</v>
      </c>
      <c r="D2236" s="1588"/>
      <c r="E2236" s="1588"/>
      <c r="F2236" s="1588"/>
      <c r="G2236" s="1588"/>
      <c r="H2236" s="1588"/>
      <c r="I2236" s="1588"/>
      <c r="J2236" s="1588"/>
      <c r="K2236" s="1588"/>
      <c r="L2236" s="1588"/>
      <c r="M2236" s="1588"/>
      <c r="N2236" s="1589"/>
    </row>
    <row r="2237" spans="2:14" ht="15.75" thickBot="1" x14ac:dyDescent="0.35">
      <c r="B2237" s="1103" t="s">
        <v>24672</v>
      </c>
      <c r="C2237" s="1590">
        <v>44501</v>
      </c>
      <c r="D2237" s="1591"/>
      <c r="E2237" s="1591"/>
      <c r="F2237" s="1591"/>
      <c r="G2237" s="1591"/>
      <c r="H2237" s="1591"/>
      <c r="I2237" s="1591"/>
      <c r="J2237" s="1591"/>
      <c r="K2237" s="1591"/>
      <c r="L2237" s="1591"/>
      <c r="M2237" s="1591"/>
      <c r="N2237" s="1592"/>
    </row>
    <row r="2238" spans="2:14" ht="30" x14ac:dyDescent="0.3">
      <c r="B2238" s="1104" t="s">
        <v>0</v>
      </c>
      <c r="C2238" s="1105" t="s">
        <v>24673</v>
      </c>
      <c r="D2238" s="1593" t="s">
        <v>24674</v>
      </c>
      <c r="E2238" s="1593"/>
      <c r="F2238" s="1593"/>
      <c r="G2238" s="1594"/>
      <c r="H2238" s="1106" t="s">
        <v>111</v>
      </c>
      <c r="I2238" s="1106" t="s">
        <v>24675</v>
      </c>
      <c r="J2238" s="1106" t="s">
        <v>24676</v>
      </c>
      <c r="K2238" s="1106" t="s">
        <v>24677</v>
      </c>
      <c r="L2238" s="1106" t="s">
        <v>24678</v>
      </c>
      <c r="M2238" s="1621" t="s">
        <v>24679</v>
      </c>
      <c r="N2238" s="1622"/>
    </row>
    <row r="2239" spans="2:14" x14ac:dyDescent="0.3">
      <c r="B2239" s="1115"/>
      <c r="C2239" s="1108"/>
      <c r="D2239" s="1595"/>
      <c r="E2239" s="1595"/>
      <c r="F2239" s="1595"/>
      <c r="G2239" s="1596"/>
      <c r="H2239" s="1109"/>
      <c r="I2239" s="1109"/>
      <c r="J2239" s="1109"/>
      <c r="K2239" s="1109"/>
      <c r="L2239" s="1109"/>
      <c r="M2239" s="1597"/>
      <c r="N2239" s="1620"/>
    </row>
    <row r="2240" spans="2:14" x14ac:dyDescent="0.3">
      <c r="B2240" s="1115"/>
      <c r="C2240" s="1108"/>
      <c r="D2240" s="1595"/>
      <c r="E2240" s="1595"/>
      <c r="F2240" s="1595"/>
      <c r="G2240" s="1596"/>
      <c r="H2240" s="1109"/>
      <c r="I2240" s="1109"/>
      <c r="J2240" s="1109"/>
      <c r="K2240" s="1109"/>
      <c r="L2240" s="1109"/>
      <c r="M2240" s="1597"/>
      <c r="N2240" s="1620"/>
    </row>
    <row r="2241" spans="2:14" x14ac:dyDescent="0.3">
      <c r="B2241" s="1107"/>
      <c r="C2241" s="1108"/>
      <c r="D2241" s="1595"/>
      <c r="E2241" s="1595"/>
      <c r="F2241" s="1595"/>
      <c r="G2241" s="1596"/>
      <c r="H2241" s="1109"/>
      <c r="I2241" s="1109"/>
      <c r="J2241" s="1109"/>
      <c r="K2241" s="1109"/>
      <c r="L2241" s="1109"/>
      <c r="M2241" s="1597"/>
      <c r="N2241" s="1620"/>
    </row>
    <row r="2242" spans="2:14" ht="15.75" thickBot="1" x14ac:dyDescent="0.35">
      <c r="B2242" s="855"/>
      <c r="C2242" s="954"/>
      <c r="D2242" s="954"/>
      <c r="E2242" s="954"/>
      <c r="F2242" s="1110"/>
      <c r="G2242" s="1110"/>
      <c r="H2242" s="1110"/>
      <c r="I2242" s="1110"/>
      <c r="J2242" s="1110"/>
      <c r="K2242" s="1110"/>
      <c r="L2242" s="1110"/>
      <c r="M2242" s="1111" t="s">
        <v>24680</v>
      </c>
      <c r="N2242" s="1112">
        <f>SUM(N2239:N2241)</f>
        <v>0</v>
      </c>
    </row>
    <row r="2243" spans="2:14" ht="15.75" thickBot="1" x14ac:dyDescent="0.35">
      <c r="B2243" s="850"/>
      <c r="C2243" s="461"/>
      <c r="D2243" s="461"/>
      <c r="E2243" s="461"/>
      <c r="F2243" s="461"/>
      <c r="G2243" s="461"/>
      <c r="H2243" s="461"/>
      <c r="I2243" s="461"/>
      <c r="J2243" s="461"/>
      <c r="K2243" s="461"/>
      <c r="L2243" s="461"/>
      <c r="M2243" s="461"/>
      <c r="N2243" s="1113"/>
    </row>
    <row r="2244" spans="2:14" ht="45" x14ac:dyDescent="0.3">
      <c r="B2244" s="1104" t="s">
        <v>0</v>
      </c>
      <c r="C2244" s="1105" t="s">
        <v>24673</v>
      </c>
      <c r="D2244" s="1593" t="s">
        <v>24681</v>
      </c>
      <c r="E2244" s="1593"/>
      <c r="F2244" s="1593"/>
      <c r="G2244" s="1593"/>
      <c r="H2244" s="1594"/>
      <c r="I2244" s="1106" t="s">
        <v>3686</v>
      </c>
      <c r="J2244" s="1106" t="s">
        <v>24682</v>
      </c>
      <c r="K2244" s="1106" t="s">
        <v>25177</v>
      </c>
      <c r="L2244" s="1106" t="s">
        <v>25178</v>
      </c>
      <c r="M2244" s="1106" t="s">
        <v>24683</v>
      </c>
      <c r="N2244" s="1114" t="s">
        <v>24679</v>
      </c>
    </row>
    <row r="2245" spans="2:14" x14ac:dyDescent="0.3">
      <c r="B2245" s="1115">
        <v>10101</v>
      </c>
      <c r="C2245" s="1108" t="s">
        <v>4379</v>
      </c>
      <c r="D2245" s="1604" t="s">
        <v>25268</v>
      </c>
      <c r="E2245" s="1604"/>
      <c r="F2245" s="1604"/>
      <c r="G2245" s="1604"/>
      <c r="H2245" s="1605"/>
      <c r="I2245" s="1109" t="s">
        <v>75</v>
      </c>
      <c r="J2245" s="1117">
        <v>1.5727</v>
      </c>
      <c r="K2245" s="1109">
        <v>6.27</v>
      </c>
      <c r="L2245" s="1109">
        <f>K2245*(1+J2245)</f>
        <v>16.13</v>
      </c>
      <c r="M2245" s="1118">
        <v>0.13</v>
      </c>
      <c r="N2245" s="1119">
        <f>M2245*L2245</f>
        <v>2.1</v>
      </c>
    </row>
    <row r="2246" spans="2:14" x14ac:dyDescent="0.3">
      <c r="B2246" s="1115">
        <v>10118</v>
      </c>
      <c r="C2246" s="1108" t="s">
        <v>4379</v>
      </c>
      <c r="D2246" s="1604" t="s">
        <v>25186</v>
      </c>
      <c r="E2246" s="1604"/>
      <c r="F2246" s="1604"/>
      <c r="G2246" s="1604"/>
      <c r="H2246" s="1605"/>
      <c r="I2246" s="1109" t="s">
        <v>75</v>
      </c>
      <c r="J2246" s="1117">
        <v>1.5727</v>
      </c>
      <c r="K2246" s="1109">
        <v>7.43</v>
      </c>
      <c r="L2246" s="1109">
        <f>K2246*(1+J2246)</f>
        <v>19.12</v>
      </c>
      <c r="M2246" s="1118">
        <v>0.13</v>
      </c>
      <c r="N2246" s="1119">
        <f>M2246*L2246</f>
        <v>2.4900000000000002</v>
      </c>
    </row>
    <row r="2247" spans="2:14" ht="15.75" thickBot="1" x14ac:dyDescent="0.35">
      <c r="B2247" s="855"/>
      <c r="C2247" s="954"/>
      <c r="D2247" s="954"/>
      <c r="E2247" s="954"/>
      <c r="F2247" s="1110"/>
      <c r="G2247" s="1110"/>
      <c r="H2247" s="1110"/>
      <c r="I2247" s="1110"/>
      <c r="J2247" s="1110"/>
      <c r="K2247" s="1110"/>
      <c r="L2247" s="1110"/>
      <c r="M2247" s="1111" t="s">
        <v>24684</v>
      </c>
      <c r="N2247" s="1112">
        <f>SUM(N2245:N2246)</f>
        <v>4.59</v>
      </c>
    </row>
    <row r="2248" spans="2:14" ht="15.75" thickBot="1" x14ac:dyDescent="0.35">
      <c r="B2248" s="850"/>
      <c r="C2248" s="461"/>
      <c r="D2248" s="461"/>
      <c r="E2248" s="461"/>
      <c r="F2248" s="461"/>
      <c r="G2248" s="461"/>
      <c r="H2248" s="461"/>
      <c r="I2248" s="1120"/>
      <c r="J2248" s="1120"/>
      <c r="K2248" s="461"/>
      <c r="L2248" s="461"/>
      <c r="M2248" s="461"/>
      <c r="N2248" s="1113"/>
    </row>
    <row r="2249" spans="2:14" ht="30" x14ac:dyDescent="0.3">
      <c r="B2249" s="1104" t="s">
        <v>0</v>
      </c>
      <c r="C2249" s="1105" t="s">
        <v>24673</v>
      </c>
      <c r="D2249" s="1593" t="s">
        <v>24685</v>
      </c>
      <c r="E2249" s="1593"/>
      <c r="F2249" s="1593"/>
      <c r="G2249" s="1593"/>
      <c r="H2249" s="1594"/>
      <c r="I2249" s="1106" t="s">
        <v>2858</v>
      </c>
      <c r="J2249" s="1106" t="s">
        <v>24686</v>
      </c>
      <c r="K2249" s="1106" t="s">
        <v>24687</v>
      </c>
      <c r="L2249" s="1614" t="s">
        <v>24688</v>
      </c>
      <c r="M2249" s="1615"/>
      <c r="N2249" s="1114" t="s">
        <v>24689</v>
      </c>
    </row>
    <row r="2250" spans="2:14" x14ac:dyDescent="0.3">
      <c r="B2250" s="1115"/>
      <c r="C2250" s="1116"/>
      <c r="D2250" s="1604"/>
      <c r="E2250" s="1604"/>
      <c r="F2250" s="1604"/>
      <c r="G2250" s="1604"/>
      <c r="H2250" s="1605"/>
      <c r="I2250" s="1109"/>
      <c r="J2250" s="1109"/>
      <c r="K2250" s="1109"/>
      <c r="L2250" s="1597"/>
      <c r="M2250" s="1598"/>
      <c r="N2250" s="1119">
        <f>N2247*(I2250/100)</f>
        <v>0</v>
      </c>
    </row>
    <row r="2251" spans="2:14" x14ac:dyDescent="0.3">
      <c r="B2251" s="850"/>
      <c r="C2251" s="461"/>
      <c r="D2251" s="461"/>
      <c r="E2251" s="461"/>
      <c r="F2251" s="1120"/>
      <c r="G2251" s="1120"/>
      <c r="H2251" s="1120"/>
      <c r="I2251" s="1120"/>
      <c r="J2251" s="1120"/>
      <c r="K2251" s="1120"/>
      <c r="L2251" s="1120"/>
      <c r="M2251" s="1121" t="s">
        <v>24690</v>
      </c>
      <c r="N2251" s="1122">
        <f>SUM(N2250:N2250)</f>
        <v>0</v>
      </c>
    </row>
    <row r="2252" spans="2:14" x14ac:dyDescent="0.3">
      <c r="B2252" s="850"/>
      <c r="C2252" s="461"/>
      <c r="D2252" s="461"/>
      <c r="E2252" s="461"/>
      <c r="F2252" s="461"/>
      <c r="G2252" s="461"/>
      <c r="H2252" s="461"/>
      <c r="I2252" s="461"/>
      <c r="J2252" s="461"/>
      <c r="K2252" s="461"/>
      <c r="L2252" s="461"/>
      <c r="M2252" s="461"/>
      <c r="N2252" s="1113"/>
    </row>
    <row r="2253" spans="2:14" x14ac:dyDescent="0.3">
      <c r="B2253" s="850"/>
      <c r="C2253" s="461"/>
      <c r="D2253" s="461"/>
      <c r="E2253" s="461"/>
      <c r="F2253" s="1120"/>
      <c r="G2253" s="1120"/>
      <c r="H2253" s="1120"/>
      <c r="I2253" s="863"/>
      <c r="J2253" s="863"/>
      <c r="K2253" s="863"/>
      <c r="L2253" s="863"/>
      <c r="M2253" s="1121" t="s">
        <v>24691</v>
      </c>
      <c r="N2253" s="1123">
        <f>N2242+N2247+N2251</f>
        <v>4.59</v>
      </c>
    </row>
    <row r="2254" spans="2:14" x14ac:dyDescent="0.3">
      <c r="B2254" s="850"/>
      <c r="C2254" s="461"/>
      <c r="D2254" s="461"/>
      <c r="E2254" s="461"/>
      <c r="F2254" s="1120"/>
      <c r="G2254" s="1120"/>
      <c r="H2254" s="1120"/>
      <c r="I2254" s="1120"/>
      <c r="J2254" s="1124"/>
      <c r="K2254" s="1124"/>
      <c r="L2254" s="1124"/>
      <c r="M2254" s="1125" t="s">
        <v>24692</v>
      </c>
      <c r="N2254" s="1123">
        <v>1</v>
      </c>
    </row>
    <row r="2255" spans="2:14" ht="15.75" thickBot="1" x14ac:dyDescent="0.35">
      <c r="B2255" s="855"/>
      <c r="C2255" s="954"/>
      <c r="D2255" s="954"/>
      <c r="E2255" s="954"/>
      <c r="F2255" s="1110"/>
      <c r="G2255" s="1110"/>
      <c r="H2255" s="1110"/>
      <c r="I2255" s="1110"/>
      <c r="J2255" s="1110"/>
      <c r="K2255" s="1110"/>
      <c r="L2255" s="1110"/>
      <c r="M2255" s="1111" t="s">
        <v>24693</v>
      </c>
      <c r="N2255" s="1126">
        <f>TRUNC(N2253/N2254,2)</f>
        <v>4.59</v>
      </c>
    </row>
    <row r="2256" spans="2:14" ht="15.75" thickBot="1" x14ac:dyDescent="0.35">
      <c r="B2256" s="850"/>
      <c r="C2256" s="461"/>
      <c r="D2256" s="461"/>
      <c r="E2256" s="461"/>
      <c r="F2256" s="461"/>
      <c r="G2256" s="461"/>
      <c r="H2256" s="461"/>
      <c r="I2256" s="461"/>
      <c r="J2256" s="461"/>
      <c r="K2256" s="461"/>
      <c r="L2256" s="461"/>
      <c r="M2256" s="461"/>
      <c r="N2256" s="1113"/>
    </row>
    <row r="2257" spans="2:14" ht="30" x14ac:dyDescent="0.3">
      <c r="B2257" s="1104" t="s">
        <v>0</v>
      </c>
      <c r="C2257" s="1105" t="s">
        <v>24673</v>
      </c>
      <c r="D2257" s="1593" t="s">
        <v>24694</v>
      </c>
      <c r="E2257" s="1593"/>
      <c r="F2257" s="1593"/>
      <c r="G2257" s="1593"/>
      <c r="H2257" s="1593"/>
      <c r="I2257" s="1594"/>
      <c r="J2257" s="1106" t="s">
        <v>3686</v>
      </c>
      <c r="K2257" s="1106" t="s">
        <v>24695</v>
      </c>
      <c r="L2257" s="1614" t="s">
        <v>24683</v>
      </c>
      <c r="M2257" s="1615"/>
      <c r="N2257" s="1114" t="s">
        <v>24689</v>
      </c>
    </row>
    <row r="2258" spans="2:14" x14ac:dyDescent="0.3">
      <c r="B2258" s="1149">
        <v>297</v>
      </c>
      <c r="C2258" s="1155" t="s">
        <v>24706</v>
      </c>
      <c r="D2258" s="1616" t="s">
        <v>25393</v>
      </c>
      <c r="E2258" s="1616"/>
      <c r="F2258" s="1616"/>
      <c r="G2258" s="1616"/>
      <c r="H2258" s="1616"/>
      <c r="I2258" s="1617"/>
      <c r="J2258" s="1151" t="s">
        <v>24804</v>
      </c>
      <c r="K2258" s="1151">
        <v>2.91</v>
      </c>
      <c r="L2258" s="1618">
        <v>1</v>
      </c>
      <c r="M2258" s="1619"/>
      <c r="N2258" s="1130">
        <f>L2258*K2258</f>
        <v>2.91</v>
      </c>
    </row>
    <row r="2259" spans="2:14" x14ac:dyDescent="0.3">
      <c r="B2259" s="1149">
        <v>3898</v>
      </c>
      <c r="C2259" s="1155" t="s">
        <v>24706</v>
      </c>
      <c r="D2259" s="1616" t="s">
        <v>25394</v>
      </c>
      <c r="E2259" s="1616"/>
      <c r="F2259" s="1616"/>
      <c r="G2259" s="1616"/>
      <c r="H2259" s="1616"/>
      <c r="I2259" s="1617"/>
      <c r="J2259" s="1151" t="s">
        <v>24804</v>
      </c>
      <c r="K2259" s="1151">
        <v>8.0399999999999991</v>
      </c>
      <c r="L2259" s="1618">
        <v>1</v>
      </c>
      <c r="M2259" s="1619"/>
      <c r="N2259" s="1130">
        <f t="shared" ref="N2259:N2260" si="39">L2259*K2259</f>
        <v>8.0399999999999991</v>
      </c>
    </row>
    <row r="2260" spans="2:14" x14ac:dyDescent="0.3">
      <c r="B2260" s="1149">
        <v>20078</v>
      </c>
      <c r="C2260" s="1155" t="s">
        <v>24706</v>
      </c>
      <c r="D2260" s="1616" t="s">
        <v>25395</v>
      </c>
      <c r="E2260" s="1616"/>
      <c r="F2260" s="1616"/>
      <c r="G2260" s="1616"/>
      <c r="H2260" s="1616"/>
      <c r="I2260" s="1617"/>
      <c r="J2260" s="1151" t="s">
        <v>24804</v>
      </c>
      <c r="K2260" s="1151">
        <v>27.05</v>
      </c>
      <c r="L2260" s="1618">
        <v>0.03</v>
      </c>
      <c r="M2260" s="1619"/>
      <c r="N2260" s="1130">
        <f t="shared" si="39"/>
        <v>0.81</v>
      </c>
    </row>
    <row r="2261" spans="2:14" ht="15.75" thickBot="1" x14ac:dyDescent="0.35">
      <c r="B2261" s="855"/>
      <c r="C2261" s="954"/>
      <c r="D2261" s="954"/>
      <c r="E2261" s="954"/>
      <c r="F2261" s="1110"/>
      <c r="G2261" s="1110"/>
      <c r="H2261" s="1110"/>
      <c r="I2261" s="1110"/>
      <c r="J2261" s="1110"/>
      <c r="K2261" s="1110"/>
      <c r="L2261" s="1110"/>
      <c r="M2261" s="1111" t="s">
        <v>24696</v>
      </c>
      <c r="N2261" s="1112">
        <f>SUM(N2258:N2260)</f>
        <v>11.76</v>
      </c>
    </row>
    <row r="2262" spans="2:14" ht="15.75" thickBot="1" x14ac:dyDescent="0.35">
      <c r="B2262" s="850"/>
      <c r="C2262" s="461"/>
      <c r="D2262" s="461"/>
      <c r="E2262" s="461"/>
      <c r="F2262" s="461"/>
      <c r="G2262" s="461"/>
      <c r="H2262" s="461"/>
      <c r="I2262" s="461"/>
      <c r="J2262" s="461"/>
      <c r="K2262" s="461"/>
      <c r="L2262" s="461"/>
      <c r="M2262" s="461"/>
      <c r="N2262" s="1113"/>
    </row>
    <row r="2263" spans="2:14" ht="30" x14ac:dyDescent="0.3">
      <c r="B2263" s="1104" t="s">
        <v>0</v>
      </c>
      <c r="C2263" s="1106" t="s">
        <v>24673</v>
      </c>
      <c r="D2263" s="1593" t="s">
        <v>24697</v>
      </c>
      <c r="E2263" s="1593"/>
      <c r="F2263" s="1593"/>
      <c r="G2263" s="1593"/>
      <c r="H2263" s="1593"/>
      <c r="I2263" s="1594"/>
      <c r="J2263" s="1106" t="s">
        <v>3686</v>
      </c>
      <c r="K2263" s="1106" t="s">
        <v>24695</v>
      </c>
      <c r="L2263" s="1614" t="s">
        <v>24683</v>
      </c>
      <c r="M2263" s="1615"/>
      <c r="N2263" s="1114" t="s">
        <v>24689</v>
      </c>
    </row>
    <row r="2264" spans="2:14" x14ac:dyDescent="0.3">
      <c r="B2264" s="1127"/>
      <c r="C2264" s="1128"/>
      <c r="D2264" s="1604"/>
      <c r="E2264" s="1604"/>
      <c r="F2264" s="1604"/>
      <c r="G2264" s="1604"/>
      <c r="H2264" s="1604"/>
      <c r="I2264" s="1605"/>
      <c r="J2264" s="462"/>
      <c r="K2264" s="462"/>
      <c r="L2264" s="1612"/>
      <c r="M2264" s="1613"/>
      <c r="N2264" s="1130"/>
    </row>
    <row r="2265" spans="2:14" ht="15.75" thickBot="1" x14ac:dyDescent="0.35">
      <c r="B2265" s="855"/>
      <c r="C2265" s="954"/>
      <c r="D2265" s="954"/>
      <c r="E2265" s="954"/>
      <c r="F2265" s="1110"/>
      <c r="G2265" s="1110"/>
      <c r="H2265" s="1110"/>
      <c r="I2265" s="1110"/>
      <c r="J2265" s="1110"/>
      <c r="K2265" s="1110"/>
      <c r="L2265" s="1110"/>
      <c r="M2265" s="1111" t="s">
        <v>24698</v>
      </c>
      <c r="N2265" s="1112">
        <f>SUM(N2264:N2264)</f>
        <v>0</v>
      </c>
    </row>
    <row r="2266" spans="2:14" ht="15.75" thickBot="1" x14ac:dyDescent="0.35">
      <c r="B2266" s="850"/>
      <c r="C2266" s="461"/>
      <c r="D2266" s="461"/>
      <c r="E2266" s="461"/>
      <c r="F2266" s="461"/>
      <c r="G2266" s="461"/>
      <c r="H2266" s="461"/>
      <c r="I2266" s="461"/>
      <c r="J2266" s="461"/>
      <c r="K2266" s="461"/>
      <c r="L2266" s="461"/>
      <c r="M2266" s="461"/>
      <c r="N2266" s="1113"/>
    </row>
    <row r="2267" spans="2:14" ht="30" x14ac:dyDescent="0.3">
      <c r="B2267" s="1104" t="s">
        <v>0</v>
      </c>
      <c r="C2267" s="1106" t="s">
        <v>24673</v>
      </c>
      <c r="D2267" s="1593" t="s">
        <v>24699</v>
      </c>
      <c r="E2267" s="1593"/>
      <c r="F2267" s="1593"/>
      <c r="G2267" s="1594"/>
      <c r="H2267" s="1106" t="s">
        <v>3686</v>
      </c>
      <c r="I2267" s="1106" t="s">
        <v>24700</v>
      </c>
      <c r="J2267" s="1106" t="s">
        <v>24701</v>
      </c>
      <c r="K2267" s="1106" t="s">
        <v>24695</v>
      </c>
      <c r="L2267" s="1614" t="s">
        <v>24683</v>
      </c>
      <c r="M2267" s="1615"/>
      <c r="N2267" s="1114" t="s">
        <v>24689</v>
      </c>
    </row>
    <row r="2268" spans="2:14" x14ac:dyDescent="0.3">
      <c r="B2268" s="1115"/>
      <c r="C2268" s="1116"/>
      <c r="D2268" s="1595"/>
      <c r="E2268" s="1595"/>
      <c r="F2268" s="1595"/>
      <c r="G2268" s="1595"/>
      <c r="H2268" s="1109"/>
      <c r="I2268" s="1109"/>
      <c r="J2268" s="1109"/>
      <c r="K2268" s="1109"/>
      <c r="L2268" s="1597"/>
      <c r="M2268" s="1598"/>
      <c r="N2268" s="1119"/>
    </row>
    <row r="2269" spans="2:14" x14ac:dyDescent="0.3">
      <c r="B2269" s="1115"/>
      <c r="C2269" s="1116"/>
      <c r="D2269" s="1595"/>
      <c r="E2269" s="1595"/>
      <c r="F2269" s="1595"/>
      <c r="G2269" s="1595"/>
      <c r="H2269" s="1109"/>
      <c r="I2269" s="1109"/>
      <c r="J2269" s="1109"/>
      <c r="K2269" s="1109"/>
      <c r="L2269" s="1597"/>
      <c r="M2269" s="1598"/>
      <c r="N2269" s="1119"/>
    </row>
    <row r="2270" spans="2:14" x14ac:dyDescent="0.3">
      <c r="B2270" s="1115"/>
      <c r="C2270" s="1116"/>
      <c r="D2270" s="1595"/>
      <c r="E2270" s="1595"/>
      <c r="F2270" s="1595"/>
      <c r="G2270" s="1595"/>
      <c r="H2270" s="1109"/>
      <c r="I2270" s="1109"/>
      <c r="J2270" s="1109"/>
      <c r="K2270" s="1109"/>
      <c r="L2270" s="1597"/>
      <c r="M2270" s="1598"/>
      <c r="N2270" s="1119"/>
    </row>
    <row r="2271" spans="2:14" x14ac:dyDescent="0.3">
      <c r="B2271" s="850"/>
      <c r="C2271" s="461"/>
      <c r="D2271" s="461"/>
      <c r="E2271" s="461"/>
      <c r="F2271" s="1120"/>
      <c r="G2271" s="1120"/>
      <c r="H2271" s="1120"/>
      <c r="I2271" s="1120"/>
      <c r="J2271" s="1120"/>
      <c r="K2271" s="1120"/>
      <c r="L2271" s="1120"/>
      <c r="M2271" s="1121" t="s">
        <v>24702</v>
      </c>
      <c r="N2271" s="1122">
        <f>SUM(N2268:N2270)</f>
        <v>0</v>
      </c>
    </row>
    <row r="2272" spans="2:14" x14ac:dyDescent="0.3">
      <c r="B2272" s="850"/>
      <c r="C2272" s="461"/>
      <c r="D2272" s="461"/>
      <c r="E2272" s="461"/>
      <c r="F2272" s="461"/>
      <c r="G2272" s="461"/>
      <c r="H2272" s="461"/>
      <c r="I2272" s="461"/>
      <c r="J2272" s="461"/>
      <c r="K2272" s="461"/>
      <c r="L2272" s="461"/>
      <c r="M2272" s="461"/>
      <c r="N2272" s="1113"/>
    </row>
    <row r="2273" spans="2:14" x14ac:dyDescent="0.3">
      <c r="B2273" s="1131"/>
      <c r="C2273" s="1132"/>
      <c r="D2273" s="1132"/>
      <c r="E2273" s="1132"/>
      <c r="F2273" s="1133"/>
      <c r="G2273" s="1133"/>
      <c r="H2273" s="1133"/>
      <c r="I2273" s="1133"/>
      <c r="J2273" s="1133"/>
      <c r="K2273" s="1133"/>
      <c r="L2273" s="1133"/>
      <c r="M2273" s="1134" t="s">
        <v>24703</v>
      </c>
      <c r="N2273" s="1123">
        <f>N2255+N2261+N2265+N2271</f>
        <v>16.350000000000001</v>
      </c>
    </row>
    <row r="2274" spans="2:14" x14ac:dyDescent="0.3">
      <c r="B2274" s="850"/>
      <c r="C2274" s="461"/>
      <c r="D2274" s="461"/>
      <c r="E2274" s="461"/>
      <c r="F2274" s="1120"/>
      <c r="G2274" s="1120"/>
      <c r="H2274" s="1120"/>
      <c r="I2274" s="1120"/>
      <c r="J2274" s="1120"/>
      <c r="K2274" s="1135"/>
      <c r="L2274" s="1135"/>
      <c r="M2274" s="1136">
        <f>'QUIOSQUE - MOD 01'!I3</f>
        <v>0.28220000000000001</v>
      </c>
      <c r="N2274" s="1123">
        <f>ROUND(N2273*M2274,2)</f>
        <v>4.6100000000000003</v>
      </c>
    </row>
    <row r="2275" spans="2:14" ht="15.75" thickBot="1" x14ac:dyDescent="0.35">
      <c r="B2275" s="1599" t="s">
        <v>24704</v>
      </c>
      <c r="C2275" s="1600"/>
      <c r="D2275" s="1600"/>
      <c r="E2275" s="1600"/>
      <c r="F2275" s="1600"/>
      <c r="G2275" s="1600"/>
      <c r="H2275" s="1600"/>
      <c r="I2275" s="1600"/>
      <c r="J2275" s="1600"/>
      <c r="K2275" s="1600"/>
      <c r="L2275" s="1600"/>
      <c r="M2275" s="1601"/>
      <c r="N2275" s="1126">
        <f>N2273+N2274</f>
        <v>20.96</v>
      </c>
    </row>
    <row r="2277" spans="2:14" ht="15.75" thickBot="1" x14ac:dyDescent="0.35"/>
    <row r="2278" spans="2:14" ht="43.5" customHeight="1" x14ac:dyDescent="0.3">
      <c r="B2278" s="1607" t="s">
        <v>25396</v>
      </c>
      <c r="C2278" s="1608"/>
      <c r="D2278" s="1609"/>
      <c r="E2278" s="1610" t="s">
        <v>24669</v>
      </c>
      <c r="F2278" s="1610"/>
      <c r="G2278" s="1610"/>
      <c r="H2278" s="1610"/>
      <c r="I2278" s="1610"/>
      <c r="J2278" s="1610"/>
      <c r="K2278" s="1610"/>
      <c r="L2278" s="1623"/>
      <c r="M2278" s="1576"/>
      <c r="N2278" s="1577"/>
    </row>
    <row r="2279" spans="2:14" ht="36.75" customHeight="1" x14ac:dyDescent="0.3">
      <c r="B2279" s="1103" t="s">
        <v>24670</v>
      </c>
      <c r="C2279" s="1586" t="s">
        <v>25397</v>
      </c>
      <c r="D2279" s="1586"/>
      <c r="E2279" s="1586"/>
      <c r="F2279" s="1586"/>
      <c r="G2279" s="1586"/>
      <c r="H2279" s="1586"/>
      <c r="I2279" s="1586"/>
      <c r="J2279" s="1586"/>
      <c r="K2279" s="1586"/>
      <c r="L2279" s="1586"/>
      <c r="M2279" s="1586"/>
      <c r="N2279" s="1587"/>
    </row>
    <row r="2280" spans="2:14" x14ac:dyDescent="0.3">
      <c r="B2280" s="1103" t="s">
        <v>24671</v>
      </c>
      <c r="C2280" s="1588" t="s">
        <v>8</v>
      </c>
      <c r="D2280" s="1588"/>
      <c r="E2280" s="1588"/>
      <c r="F2280" s="1588"/>
      <c r="G2280" s="1588"/>
      <c r="H2280" s="1588"/>
      <c r="I2280" s="1588"/>
      <c r="J2280" s="1588"/>
      <c r="K2280" s="1588"/>
      <c r="L2280" s="1588"/>
      <c r="M2280" s="1588"/>
      <c r="N2280" s="1589"/>
    </row>
    <row r="2281" spans="2:14" ht="15.75" thickBot="1" x14ac:dyDescent="0.35">
      <c r="B2281" s="1103" t="s">
        <v>24672</v>
      </c>
      <c r="C2281" s="1590">
        <v>44501</v>
      </c>
      <c r="D2281" s="1591"/>
      <c r="E2281" s="1591"/>
      <c r="F2281" s="1591"/>
      <c r="G2281" s="1591"/>
      <c r="H2281" s="1591"/>
      <c r="I2281" s="1591"/>
      <c r="J2281" s="1591"/>
      <c r="K2281" s="1591"/>
      <c r="L2281" s="1591"/>
      <c r="M2281" s="1591"/>
      <c r="N2281" s="1592"/>
    </row>
    <row r="2282" spans="2:14" ht="30" x14ac:dyDescent="0.3">
      <c r="B2282" s="1104" t="s">
        <v>0</v>
      </c>
      <c r="C2282" s="1105" t="s">
        <v>24673</v>
      </c>
      <c r="D2282" s="1593" t="s">
        <v>24674</v>
      </c>
      <c r="E2282" s="1593"/>
      <c r="F2282" s="1593"/>
      <c r="G2282" s="1594"/>
      <c r="H2282" s="1106" t="s">
        <v>111</v>
      </c>
      <c r="I2282" s="1106" t="s">
        <v>24675</v>
      </c>
      <c r="J2282" s="1106" t="s">
        <v>24676</v>
      </c>
      <c r="K2282" s="1106" t="s">
        <v>24677</v>
      </c>
      <c r="L2282" s="1106" t="s">
        <v>24678</v>
      </c>
      <c r="M2282" s="1621" t="s">
        <v>24679</v>
      </c>
      <c r="N2282" s="1622"/>
    </row>
    <row r="2283" spans="2:14" x14ac:dyDescent="0.3">
      <c r="B2283" s="1115"/>
      <c r="C2283" s="1108"/>
      <c r="D2283" s="1595"/>
      <c r="E2283" s="1595"/>
      <c r="F2283" s="1595"/>
      <c r="G2283" s="1596"/>
      <c r="H2283" s="1109"/>
      <c r="I2283" s="1109"/>
      <c r="J2283" s="1109"/>
      <c r="K2283" s="1109"/>
      <c r="L2283" s="1109"/>
      <c r="M2283" s="1597"/>
      <c r="N2283" s="1620"/>
    </row>
    <row r="2284" spans="2:14" x14ac:dyDescent="0.3">
      <c r="B2284" s="1115"/>
      <c r="C2284" s="1108"/>
      <c r="D2284" s="1595"/>
      <c r="E2284" s="1595"/>
      <c r="F2284" s="1595"/>
      <c r="G2284" s="1596"/>
      <c r="H2284" s="1109"/>
      <c r="I2284" s="1109"/>
      <c r="J2284" s="1109"/>
      <c r="K2284" s="1109"/>
      <c r="L2284" s="1109"/>
      <c r="M2284" s="1597"/>
      <c r="N2284" s="1620"/>
    </row>
    <row r="2285" spans="2:14" x14ac:dyDescent="0.3">
      <c r="B2285" s="1107"/>
      <c r="C2285" s="1108"/>
      <c r="D2285" s="1595"/>
      <c r="E2285" s="1595"/>
      <c r="F2285" s="1595"/>
      <c r="G2285" s="1596"/>
      <c r="H2285" s="1109"/>
      <c r="I2285" s="1109"/>
      <c r="J2285" s="1109"/>
      <c r="K2285" s="1109"/>
      <c r="L2285" s="1109"/>
      <c r="M2285" s="1597"/>
      <c r="N2285" s="1620"/>
    </row>
    <row r="2286" spans="2:14" ht="15.75" thickBot="1" x14ac:dyDescent="0.35">
      <c r="B2286" s="855"/>
      <c r="C2286" s="954"/>
      <c r="D2286" s="954"/>
      <c r="E2286" s="954"/>
      <c r="F2286" s="1110"/>
      <c r="G2286" s="1110"/>
      <c r="H2286" s="1110"/>
      <c r="I2286" s="1110"/>
      <c r="J2286" s="1110"/>
      <c r="K2286" s="1110"/>
      <c r="L2286" s="1110"/>
      <c r="M2286" s="1111" t="s">
        <v>24680</v>
      </c>
      <c r="N2286" s="1112">
        <f>SUM(N2283:N2285)</f>
        <v>0</v>
      </c>
    </row>
    <row r="2287" spans="2:14" ht="15.75" thickBot="1" x14ac:dyDescent="0.35">
      <c r="B2287" s="850"/>
      <c r="C2287" s="461"/>
      <c r="D2287" s="461"/>
      <c r="E2287" s="461"/>
      <c r="F2287" s="461"/>
      <c r="G2287" s="461"/>
      <c r="H2287" s="461"/>
      <c r="I2287" s="461"/>
      <c r="J2287" s="461"/>
      <c r="K2287" s="461"/>
      <c r="L2287" s="461"/>
      <c r="M2287" s="461"/>
      <c r="N2287" s="1113"/>
    </row>
    <row r="2288" spans="2:14" ht="45" x14ac:dyDescent="0.3">
      <c r="B2288" s="1104" t="s">
        <v>0</v>
      </c>
      <c r="C2288" s="1105" t="s">
        <v>24673</v>
      </c>
      <c r="D2288" s="1593" t="s">
        <v>24681</v>
      </c>
      <c r="E2288" s="1593"/>
      <c r="F2288" s="1593"/>
      <c r="G2288" s="1593"/>
      <c r="H2288" s="1594"/>
      <c r="I2288" s="1106" t="s">
        <v>3686</v>
      </c>
      <c r="J2288" s="1106" t="s">
        <v>24682</v>
      </c>
      <c r="K2288" s="1106" t="s">
        <v>25177</v>
      </c>
      <c r="L2288" s="1106" t="s">
        <v>25178</v>
      </c>
      <c r="M2288" s="1106" t="s">
        <v>24683</v>
      </c>
      <c r="N2288" s="1114" t="s">
        <v>24679</v>
      </c>
    </row>
    <row r="2289" spans="2:14" x14ac:dyDescent="0.3">
      <c r="B2289" s="1115">
        <v>10101</v>
      </c>
      <c r="C2289" s="1108" t="s">
        <v>4379</v>
      </c>
      <c r="D2289" s="1604" t="s">
        <v>25268</v>
      </c>
      <c r="E2289" s="1604"/>
      <c r="F2289" s="1604"/>
      <c r="G2289" s="1604"/>
      <c r="H2289" s="1605"/>
      <c r="I2289" s="1109" t="s">
        <v>75</v>
      </c>
      <c r="J2289" s="1117">
        <v>1.5727</v>
      </c>
      <c r="K2289" s="1109">
        <v>6.27</v>
      </c>
      <c r="L2289" s="1109">
        <f>K2289*(1+J2289)</f>
        <v>16.13</v>
      </c>
      <c r="M2289" s="1118">
        <v>0.08</v>
      </c>
      <c r="N2289" s="1119">
        <f>M2289*L2289</f>
        <v>1.29</v>
      </c>
    </row>
    <row r="2290" spans="2:14" x14ac:dyDescent="0.3">
      <c r="B2290" s="1115">
        <v>10118</v>
      </c>
      <c r="C2290" s="1108" t="s">
        <v>4379</v>
      </c>
      <c r="D2290" s="1604" t="s">
        <v>25186</v>
      </c>
      <c r="E2290" s="1604"/>
      <c r="F2290" s="1604"/>
      <c r="G2290" s="1604"/>
      <c r="H2290" s="1605"/>
      <c r="I2290" s="1109" t="s">
        <v>75</v>
      </c>
      <c r="J2290" s="1117">
        <v>1.5727</v>
      </c>
      <c r="K2290" s="1109">
        <v>7.43</v>
      </c>
      <c r="L2290" s="1109">
        <f>K2290*(1+J2290)</f>
        <v>19.12</v>
      </c>
      <c r="M2290" s="1118">
        <v>0.08</v>
      </c>
      <c r="N2290" s="1119">
        <f>M2290*L2290</f>
        <v>1.53</v>
      </c>
    </row>
    <row r="2291" spans="2:14" ht="15.75" thickBot="1" x14ac:dyDescent="0.35">
      <c r="B2291" s="855"/>
      <c r="C2291" s="954"/>
      <c r="D2291" s="954"/>
      <c r="E2291" s="954"/>
      <c r="F2291" s="1110"/>
      <c r="G2291" s="1110"/>
      <c r="H2291" s="1110"/>
      <c r="I2291" s="1110"/>
      <c r="J2291" s="1110"/>
      <c r="K2291" s="1110"/>
      <c r="L2291" s="1110"/>
      <c r="M2291" s="1111" t="s">
        <v>24684</v>
      </c>
      <c r="N2291" s="1112">
        <f>SUM(N2289:N2290)</f>
        <v>2.82</v>
      </c>
    </row>
    <row r="2292" spans="2:14" ht="15.75" thickBot="1" x14ac:dyDescent="0.35">
      <c r="B2292" s="850"/>
      <c r="C2292" s="461"/>
      <c r="D2292" s="461"/>
      <c r="E2292" s="461"/>
      <c r="F2292" s="461"/>
      <c r="G2292" s="461"/>
      <c r="H2292" s="461"/>
      <c r="I2292" s="1120"/>
      <c r="J2292" s="1120"/>
      <c r="K2292" s="461"/>
      <c r="L2292" s="461"/>
      <c r="M2292" s="461"/>
      <c r="N2292" s="1113"/>
    </row>
    <row r="2293" spans="2:14" ht="30" x14ac:dyDescent="0.3">
      <c r="B2293" s="1104" t="s">
        <v>0</v>
      </c>
      <c r="C2293" s="1105" t="s">
        <v>24673</v>
      </c>
      <c r="D2293" s="1593" t="s">
        <v>24685</v>
      </c>
      <c r="E2293" s="1593"/>
      <c r="F2293" s="1593"/>
      <c r="G2293" s="1593"/>
      <c r="H2293" s="1594"/>
      <c r="I2293" s="1106" t="s">
        <v>2858</v>
      </c>
      <c r="J2293" s="1106" t="s">
        <v>24686</v>
      </c>
      <c r="K2293" s="1106" t="s">
        <v>24687</v>
      </c>
      <c r="L2293" s="1614" t="s">
        <v>24688</v>
      </c>
      <c r="M2293" s="1615"/>
      <c r="N2293" s="1114" t="s">
        <v>24689</v>
      </c>
    </row>
    <row r="2294" spans="2:14" x14ac:dyDescent="0.3">
      <c r="B2294" s="1115"/>
      <c r="C2294" s="1116"/>
      <c r="D2294" s="1604"/>
      <c r="E2294" s="1604"/>
      <c r="F2294" s="1604"/>
      <c r="G2294" s="1604"/>
      <c r="H2294" s="1605"/>
      <c r="I2294" s="1109"/>
      <c r="J2294" s="1109"/>
      <c r="K2294" s="1109"/>
      <c r="L2294" s="1597"/>
      <c r="M2294" s="1598"/>
      <c r="N2294" s="1119">
        <f>N2291*(I2294/100)</f>
        <v>0</v>
      </c>
    </row>
    <row r="2295" spans="2:14" x14ac:dyDescent="0.3">
      <c r="B2295" s="850"/>
      <c r="C2295" s="461"/>
      <c r="D2295" s="461"/>
      <c r="E2295" s="461"/>
      <c r="F2295" s="1120"/>
      <c r="G2295" s="1120"/>
      <c r="H2295" s="1120"/>
      <c r="I2295" s="1120"/>
      <c r="J2295" s="1120"/>
      <c r="K2295" s="1120"/>
      <c r="L2295" s="1120"/>
      <c r="M2295" s="1121" t="s">
        <v>24690</v>
      </c>
      <c r="N2295" s="1122">
        <f>SUM(N2294:N2294)</f>
        <v>0</v>
      </c>
    </row>
    <row r="2296" spans="2:14" x14ac:dyDescent="0.3">
      <c r="B2296" s="850"/>
      <c r="C2296" s="461"/>
      <c r="D2296" s="461"/>
      <c r="E2296" s="461"/>
      <c r="F2296" s="461"/>
      <c r="G2296" s="461"/>
      <c r="H2296" s="461"/>
      <c r="I2296" s="461"/>
      <c r="J2296" s="461"/>
      <c r="K2296" s="461"/>
      <c r="L2296" s="461"/>
      <c r="M2296" s="461"/>
      <c r="N2296" s="1113"/>
    </row>
    <row r="2297" spans="2:14" x14ac:dyDescent="0.3">
      <c r="B2297" s="850"/>
      <c r="C2297" s="461"/>
      <c r="D2297" s="461"/>
      <c r="E2297" s="461"/>
      <c r="F2297" s="1120"/>
      <c r="G2297" s="1120"/>
      <c r="H2297" s="1120"/>
      <c r="I2297" s="863"/>
      <c r="J2297" s="863"/>
      <c r="K2297" s="863"/>
      <c r="L2297" s="863"/>
      <c r="M2297" s="1121" t="s">
        <v>24691</v>
      </c>
      <c r="N2297" s="1123">
        <f>N2286+N2291+N2295</f>
        <v>2.82</v>
      </c>
    </row>
    <row r="2298" spans="2:14" x14ac:dyDescent="0.3">
      <c r="B2298" s="850"/>
      <c r="C2298" s="461"/>
      <c r="D2298" s="461"/>
      <c r="E2298" s="461"/>
      <c r="F2298" s="1120"/>
      <c r="G2298" s="1120"/>
      <c r="H2298" s="1120"/>
      <c r="I2298" s="1120"/>
      <c r="J2298" s="1124"/>
      <c r="K2298" s="1124"/>
      <c r="L2298" s="1124"/>
      <c r="M2298" s="1125" t="s">
        <v>24692</v>
      </c>
      <c r="N2298" s="1123">
        <v>1</v>
      </c>
    </row>
    <row r="2299" spans="2:14" ht="15.75" thickBot="1" x14ac:dyDescent="0.35">
      <c r="B2299" s="855"/>
      <c r="C2299" s="954"/>
      <c r="D2299" s="954"/>
      <c r="E2299" s="954"/>
      <c r="F2299" s="1110"/>
      <c r="G2299" s="1110"/>
      <c r="H2299" s="1110"/>
      <c r="I2299" s="1110"/>
      <c r="J2299" s="1110"/>
      <c r="K2299" s="1110"/>
      <c r="L2299" s="1110"/>
      <c r="M2299" s="1111" t="s">
        <v>24693</v>
      </c>
      <c r="N2299" s="1126">
        <f>TRUNC(N2297/N2298,2)</f>
        <v>2.82</v>
      </c>
    </row>
    <row r="2300" spans="2:14" ht="15.75" thickBot="1" x14ac:dyDescent="0.35">
      <c r="B2300" s="850"/>
      <c r="C2300" s="461"/>
      <c r="D2300" s="461"/>
      <c r="E2300" s="461"/>
      <c r="F2300" s="461"/>
      <c r="G2300" s="461"/>
      <c r="H2300" s="461"/>
      <c r="I2300" s="461"/>
      <c r="J2300" s="461"/>
      <c r="K2300" s="461"/>
      <c r="L2300" s="461"/>
      <c r="M2300" s="461"/>
      <c r="N2300" s="1113"/>
    </row>
    <row r="2301" spans="2:14" ht="30" x14ac:dyDescent="0.3">
      <c r="B2301" s="1104" t="s">
        <v>0</v>
      </c>
      <c r="C2301" s="1105" t="s">
        <v>24673</v>
      </c>
      <c r="D2301" s="1593" t="s">
        <v>24694</v>
      </c>
      <c r="E2301" s="1593"/>
      <c r="F2301" s="1593"/>
      <c r="G2301" s="1593"/>
      <c r="H2301" s="1593"/>
      <c r="I2301" s="1594"/>
      <c r="J2301" s="1106" t="s">
        <v>3686</v>
      </c>
      <c r="K2301" s="1106" t="s">
        <v>24695</v>
      </c>
      <c r="L2301" s="1614" t="s">
        <v>24683</v>
      </c>
      <c r="M2301" s="1615"/>
      <c r="N2301" s="1114" t="s">
        <v>24689</v>
      </c>
    </row>
    <row r="2302" spans="2:14" x14ac:dyDescent="0.3">
      <c r="B2302" s="1149">
        <v>296</v>
      </c>
      <c r="C2302" s="1155" t="s">
        <v>24706</v>
      </c>
      <c r="D2302" s="1616" t="s">
        <v>25385</v>
      </c>
      <c r="E2302" s="1616"/>
      <c r="F2302" s="1616"/>
      <c r="G2302" s="1616"/>
      <c r="H2302" s="1616"/>
      <c r="I2302" s="1617"/>
      <c r="J2302" s="1151" t="s">
        <v>24804</v>
      </c>
      <c r="K2302" s="1151">
        <v>1.98</v>
      </c>
      <c r="L2302" s="1618">
        <v>1</v>
      </c>
      <c r="M2302" s="1619"/>
      <c r="N2302" s="1130">
        <f>L2302*K2302</f>
        <v>1.98</v>
      </c>
    </row>
    <row r="2303" spans="2:14" x14ac:dyDescent="0.3">
      <c r="B2303" s="1149">
        <v>3875</v>
      </c>
      <c r="C2303" s="1155" t="s">
        <v>24706</v>
      </c>
      <c r="D2303" s="1616" t="s">
        <v>25398</v>
      </c>
      <c r="E2303" s="1616"/>
      <c r="F2303" s="1616"/>
      <c r="G2303" s="1616"/>
      <c r="H2303" s="1616"/>
      <c r="I2303" s="1617"/>
      <c r="J2303" s="1151" t="s">
        <v>24804</v>
      </c>
      <c r="K2303" s="1151">
        <v>4.25</v>
      </c>
      <c r="L2303" s="1618">
        <v>1</v>
      </c>
      <c r="M2303" s="1619"/>
      <c r="N2303" s="1130">
        <f t="shared" ref="N2303:N2304" si="40">L2303*K2303</f>
        <v>4.25</v>
      </c>
    </row>
    <row r="2304" spans="2:14" x14ac:dyDescent="0.3">
      <c r="B2304" s="1149">
        <v>20078</v>
      </c>
      <c r="C2304" s="1155" t="s">
        <v>24706</v>
      </c>
      <c r="D2304" s="1616" t="s">
        <v>25399</v>
      </c>
      <c r="E2304" s="1616"/>
      <c r="F2304" s="1616"/>
      <c r="G2304" s="1616"/>
      <c r="H2304" s="1616"/>
      <c r="I2304" s="1617"/>
      <c r="J2304" s="1151" t="s">
        <v>24804</v>
      </c>
      <c r="K2304" s="1151">
        <v>27.05</v>
      </c>
      <c r="L2304" s="1618">
        <v>0.02</v>
      </c>
      <c r="M2304" s="1619"/>
      <c r="N2304" s="1130">
        <f t="shared" si="40"/>
        <v>0.54</v>
      </c>
    </row>
    <row r="2305" spans="2:14" ht="15.75" thickBot="1" x14ac:dyDescent="0.35">
      <c r="B2305" s="855"/>
      <c r="C2305" s="954"/>
      <c r="D2305" s="954"/>
      <c r="E2305" s="954"/>
      <c r="F2305" s="1110"/>
      <c r="G2305" s="1110"/>
      <c r="H2305" s="1110"/>
      <c r="I2305" s="1110"/>
      <c r="J2305" s="1110"/>
      <c r="K2305" s="1110"/>
      <c r="L2305" s="1110"/>
      <c r="M2305" s="1111" t="s">
        <v>24696</v>
      </c>
      <c r="N2305" s="1112">
        <f>SUM(N2302:N2304)</f>
        <v>6.77</v>
      </c>
    </row>
    <row r="2306" spans="2:14" ht="15.75" thickBot="1" x14ac:dyDescent="0.35">
      <c r="B2306" s="850"/>
      <c r="C2306" s="461"/>
      <c r="D2306" s="461"/>
      <c r="E2306" s="461"/>
      <c r="F2306" s="461"/>
      <c r="G2306" s="461"/>
      <c r="H2306" s="461"/>
      <c r="I2306" s="461"/>
      <c r="J2306" s="461"/>
      <c r="K2306" s="461"/>
      <c r="L2306" s="461"/>
      <c r="M2306" s="461"/>
      <c r="N2306" s="1113"/>
    </row>
    <row r="2307" spans="2:14" ht="30" x14ac:dyDescent="0.3">
      <c r="B2307" s="1104" t="s">
        <v>0</v>
      </c>
      <c r="C2307" s="1106" t="s">
        <v>24673</v>
      </c>
      <c r="D2307" s="1593" t="s">
        <v>24697</v>
      </c>
      <c r="E2307" s="1593"/>
      <c r="F2307" s="1593"/>
      <c r="G2307" s="1593"/>
      <c r="H2307" s="1593"/>
      <c r="I2307" s="1594"/>
      <c r="J2307" s="1106" t="s">
        <v>3686</v>
      </c>
      <c r="K2307" s="1106" t="s">
        <v>24695</v>
      </c>
      <c r="L2307" s="1614" t="s">
        <v>24683</v>
      </c>
      <c r="M2307" s="1615"/>
      <c r="N2307" s="1114" t="s">
        <v>24689</v>
      </c>
    </row>
    <row r="2308" spans="2:14" x14ac:dyDescent="0.3">
      <c r="B2308" s="1127"/>
      <c r="C2308" s="1128"/>
      <c r="D2308" s="1604"/>
      <c r="E2308" s="1604"/>
      <c r="F2308" s="1604"/>
      <c r="G2308" s="1604"/>
      <c r="H2308" s="1604"/>
      <c r="I2308" s="1605"/>
      <c r="J2308" s="462"/>
      <c r="K2308" s="462"/>
      <c r="L2308" s="1612"/>
      <c r="M2308" s="1613"/>
      <c r="N2308" s="1130"/>
    </row>
    <row r="2309" spans="2:14" ht="15.75" thickBot="1" x14ac:dyDescent="0.35">
      <c r="B2309" s="855"/>
      <c r="C2309" s="954"/>
      <c r="D2309" s="954"/>
      <c r="E2309" s="954"/>
      <c r="F2309" s="1110"/>
      <c r="G2309" s="1110"/>
      <c r="H2309" s="1110"/>
      <c r="I2309" s="1110"/>
      <c r="J2309" s="1110"/>
      <c r="K2309" s="1110"/>
      <c r="L2309" s="1110"/>
      <c r="M2309" s="1111" t="s">
        <v>24698</v>
      </c>
      <c r="N2309" s="1112">
        <f>SUM(N2308:N2308)</f>
        <v>0</v>
      </c>
    </row>
    <row r="2310" spans="2:14" ht="15.75" thickBot="1" x14ac:dyDescent="0.35">
      <c r="B2310" s="850"/>
      <c r="C2310" s="461"/>
      <c r="D2310" s="461"/>
      <c r="E2310" s="461"/>
      <c r="F2310" s="461"/>
      <c r="G2310" s="461"/>
      <c r="H2310" s="461"/>
      <c r="I2310" s="461"/>
      <c r="J2310" s="461"/>
      <c r="K2310" s="461"/>
      <c r="L2310" s="461"/>
      <c r="M2310" s="461"/>
      <c r="N2310" s="1113"/>
    </row>
    <row r="2311" spans="2:14" ht="30" x14ac:dyDescent="0.3">
      <c r="B2311" s="1104" t="s">
        <v>0</v>
      </c>
      <c r="C2311" s="1106" t="s">
        <v>24673</v>
      </c>
      <c r="D2311" s="1593" t="s">
        <v>24699</v>
      </c>
      <c r="E2311" s="1593"/>
      <c r="F2311" s="1593"/>
      <c r="G2311" s="1594"/>
      <c r="H2311" s="1106" t="s">
        <v>3686</v>
      </c>
      <c r="I2311" s="1106" t="s">
        <v>24700</v>
      </c>
      <c r="J2311" s="1106" t="s">
        <v>24701</v>
      </c>
      <c r="K2311" s="1106" t="s">
        <v>24695</v>
      </c>
      <c r="L2311" s="1614" t="s">
        <v>24683</v>
      </c>
      <c r="M2311" s="1615"/>
      <c r="N2311" s="1114" t="s">
        <v>24689</v>
      </c>
    </row>
    <row r="2312" spans="2:14" x14ac:dyDescent="0.3">
      <c r="B2312" s="1115"/>
      <c r="C2312" s="1116"/>
      <c r="D2312" s="1595"/>
      <c r="E2312" s="1595"/>
      <c r="F2312" s="1595"/>
      <c r="G2312" s="1595"/>
      <c r="H2312" s="1109"/>
      <c r="I2312" s="1109"/>
      <c r="J2312" s="1109"/>
      <c r="K2312" s="1109"/>
      <c r="L2312" s="1597"/>
      <c r="M2312" s="1598"/>
      <c r="N2312" s="1119"/>
    </row>
    <row r="2313" spans="2:14" x14ac:dyDescent="0.3">
      <c r="B2313" s="1115"/>
      <c r="C2313" s="1116"/>
      <c r="D2313" s="1595"/>
      <c r="E2313" s="1595"/>
      <c r="F2313" s="1595"/>
      <c r="G2313" s="1595"/>
      <c r="H2313" s="1109"/>
      <c r="I2313" s="1109"/>
      <c r="J2313" s="1109"/>
      <c r="K2313" s="1109"/>
      <c r="L2313" s="1597"/>
      <c r="M2313" s="1598"/>
      <c r="N2313" s="1119"/>
    </row>
    <row r="2314" spans="2:14" x14ac:dyDescent="0.3">
      <c r="B2314" s="1115"/>
      <c r="C2314" s="1116"/>
      <c r="D2314" s="1595"/>
      <c r="E2314" s="1595"/>
      <c r="F2314" s="1595"/>
      <c r="G2314" s="1595"/>
      <c r="H2314" s="1109"/>
      <c r="I2314" s="1109"/>
      <c r="J2314" s="1109"/>
      <c r="K2314" s="1109"/>
      <c r="L2314" s="1597"/>
      <c r="M2314" s="1598"/>
      <c r="N2314" s="1119"/>
    </row>
    <row r="2315" spans="2:14" x14ac:dyDescent="0.3">
      <c r="B2315" s="850"/>
      <c r="C2315" s="461"/>
      <c r="D2315" s="461"/>
      <c r="E2315" s="461"/>
      <c r="F2315" s="1120"/>
      <c r="G2315" s="1120"/>
      <c r="H2315" s="1120"/>
      <c r="I2315" s="1120"/>
      <c r="J2315" s="1120"/>
      <c r="K2315" s="1120"/>
      <c r="L2315" s="1120"/>
      <c r="M2315" s="1121" t="s">
        <v>24702</v>
      </c>
      <c r="N2315" s="1122">
        <f>SUM(N2312:N2314)</f>
        <v>0</v>
      </c>
    </row>
    <row r="2316" spans="2:14" x14ac:dyDescent="0.3">
      <c r="B2316" s="850"/>
      <c r="C2316" s="461"/>
      <c r="D2316" s="461"/>
      <c r="E2316" s="461"/>
      <c r="F2316" s="461"/>
      <c r="G2316" s="461"/>
      <c r="H2316" s="461"/>
      <c r="I2316" s="461"/>
      <c r="J2316" s="461"/>
      <c r="K2316" s="461"/>
      <c r="L2316" s="461"/>
      <c r="M2316" s="461"/>
      <c r="N2316" s="1113"/>
    </row>
    <row r="2317" spans="2:14" x14ac:dyDescent="0.3">
      <c r="B2317" s="1131"/>
      <c r="C2317" s="1132"/>
      <c r="D2317" s="1132"/>
      <c r="E2317" s="1132"/>
      <c r="F2317" s="1133"/>
      <c r="G2317" s="1133"/>
      <c r="H2317" s="1133"/>
      <c r="I2317" s="1133"/>
      <c r="J2317" s="1133"/>
      <c r="K2317" s="1133"/>
      <c r="L2317" s="1133"/>
      <c r="M2317" s="1134" t="s">
        <v>24703</v>
      </c>
      <c r="N2317" s="1123">
        <f>N2299+N2305+N2309+N2315</f>
        <v>9.59</v>
      </c>
    </row>
    <row r="2318" spans="2:14" x14ac:dyDescent="0.3">
      <c r="B2318" s="850"/>
      <c r="C2318" s="461"/>
      <c r="D2318" s="461"/>
      <c r="E2318" s="461"/>
      <c r="F2318" s="1120"/>
      <c r="G2318" s="1120"/>
      <c r="H2318" s="1120"/>
      <c r="I2318" s="1120"/>
      <c r="J2318" s="1120"/>
      <c r="K2318" s="1135"/>
      <c r="L2318" s="1135"/>
      <c r="M2318" s="1136">
        <f>'QUIOSQUE - MOD 01'!I3</f>
        <v>0.28220000000000001</v>
      </c>
      <c r="N2318" s="1123">
        <f>ROUND(N2317*M2318,2)</f>
        <v>2.71</v>
      </c>
    </row>
    <row r="2319" spans="2:14" ht="15.75" thickBot="1" x14ac:dyDescent="0.35">
      <c r="B2319" s="1599" t="s">
        <v>24704</v>
      </c>
      <c r="C2319" s="1600"/>
      <c r="D2319" s="1600"/>
      <c r="E2319" s="1600"/>
      <c r="F2319" s="1600"/>
      <c r="G2319" s="1600"/>
      <c r="H2319" s="1600"/>
      <c r="I2319" s="1600"/>
      <c r="J2319" s="1600"/>
      <c r="K2319" s="1600"/>
      <c r="L2319" s="1600"/>
      <c r="M2319" s="1601"/>
      <c r="N2319" s="1126">
        <f>N2317+N2318</f>
        <v>12.3</v>
      </c>
    </row>
    <row r="2321" spans="2:14" ht="15.75" thickBot="1" x14ac:dyDescent="0.35"/>
    <row r="2322" spans="2:14" ht="48.75" customHeight="1" x14ac:dyDescent="0.3">
      <c r="B2322" s="1607" t="s">
        <v>25400</v>
      </c>
      <c r="C2322" s="1608"/>
      <c r="D2322" s="1609"/>
      <c r="E2322" s="1610" t="s">
        <v>24669</v>
      </c>
      <c r="F2322" s="1610"/>
      <c r="G2322" s="1610"/>
      <c r="H2322" s="1610"/>
      <c r="I2322" s="1610"/>
      <c r="J2322" s="1610"/>
      <c r="K2322" s="1610"/>
      <c r="L2322" s="1623"/>
      <c r="M2322" s="1576"/>
      <c r="N2322" s="1577"/>
    </row>
    <row r="2323" spans="2:14" ht="32.25" customHeight="1" x14ac:dyDescent="0.3">
      <c r="B2323" s="1103" t="s">
        <v>24670</v>
      </c>
      <c r="C2323" s="1586" t="s">
        <v>25401</v>
      </c>
      <c r="D2323" s="1586"/>
      <c r="E2323" s="1586"/>
      <c r="F2323" s="1586"/>
      <c r="G2323" s="1586"/>
      <c r="H2323" s="1586"/>
      <c r="I2323" s="1586"/>
      <c r="J2323" s="1586"/>
      <c r="K2323" s="1586"/>
      <c r="L2323" s="1586"/>
      <c r="M2323" s="1586"/>
      <c r="N2323" s="1587"/>
    </row>
    <row r="2324" spans="2:14" x14ac:dyDescent="0.3">
      <c r="B2324" s="1103" t="s">
        <v>24671</v>
      </c>
      <c r="C2324" s="1588" t="s">
        <v>8</v>
      </c>
      <c r="D2324" s="1588"/>
      <c r="E2324" s="1588"/>
      <c r="F2324" s="1588"/>
      <c r="G2324" s="1588"/>
      <c r="H2324" s="1588"/>
      <c r="I2324" s="1588"/>
      <c r="J2324" s="1588"/>
      <c r="K2324" s="1588"/>
      <c r="L2324" s="1588"/>
      <c r="M2324" s="1588"/>
      <c r="N2324" s="1589"/>
    </row>
    <row r="2325" spans="2:14" ht="15.75" thickBot="1" x14ac:dyDescent="0.35">
      <c r="B2325" s="1103" t="s">
        <v>24672</v>
      </c>
      <c r="C2325" s="1590">
        <v>44501</v>
      </c>
      <c r="D2325" s="1591"/>
      <c r="E2325" s="1591"/>
      <c r="F2325" s="1591"/>
      <c r="G2325" s="1591"/>
      <c r="H2325" s="1591"/>
      <c r="I2325" s="1591"/>
      <c r="J2325" s="1591"/>
      <c r="K2325" s="1591"/>
      <c r="L2325" s="1591"/>
      <c r="M2325" s="1591"/>
      <c r="N2325" s="1592"/>
    </row>
    <row r="2326" spans="2:14" ht="30" x14ac:dyDescent="0.3">
      <c r="B2326" s="1104" t="s">
        <v>0</v>
      </c>
      <c r="C2326" s="1105" t="s">
        <v>24673</v>
      </c>
      <c r="D2326" s="1593" t="s">
        <v>24674</v>
      </c>
      <c r="E2326" s="1593"/>
      <c r="F2326" s="1593"/>
      <c r="G2326" s="1594"/>
      <c r="H2326" s="1106" t="s">
        <v>111</v>
      </c>
      <c r="I2326" s="1106" t="s">
        <v>24675</v>
      </c>
      <c r="J2326" s="1106" t="s">
        <v>24676</v>
      </c>
      <c r="K2326" s="1106" t="s">
        <v>24677</v>
      </c>
      <c r="L2326" s="1106" t="s">
        <v>24678</v>
      </c>
      <c r="M2326" s="1621" t="s">
        <v>24679</v>
      </c>
      <c r="N2326" s="1622"/>
    </row>
    <row r="2327" spans="2:14" x14ac:dyDescent="0.3">
      <c r="B2327" s="1115"/>
      <c r="C2327" s="1108"/>
      <c r="D2327" s="1595"/>
      <c r="E2327" s="1595"/>
      <c r="F2327" s="1595"/>
      <c r="G2327" s="1596"/>
      <c r="H2327" s="1109"/>
      <c r="I2327" s="1109"/>
      <c r="J2327" s="1109"/>
      <c r="K2327" s="1109"/>
      <c r="L2327" s="1109"/>
      <c r="M2327" s="1597"/>
      <c r="N2327" s="1620"/>
    </row>
    <row r="2328" spans="2:14" x14ac:dyDescent="0.3">
      <c r="B2328" s="1115"/>
      <c r="C2328" s="1108"/>
      <c r="D2328" s="1595"/>
      <c r="E2328" s="1595"/>
      <c r="F2328" s="1595"/>
      <c r="G2328" s="1596"/>
      <c r="H2328" s="1109"/>
      <c r="I2328" s="1109"/>
      <c r="J2328" s="1109"/>
      <c r="K2328" s="1109"/>
      <c r="L2328" s="1109"/>
      <c r="M2328" s="1597"/>
      <c r="N2328" s="1620"/>
    </row>
    <row r="2329" spans="2:14" x14ac:dyDescent="0.3">
      <c r="B2329" s="1107"/>
      <c r="C2329" s="1108"/>
      <c r="D2329" s="1595"/>
      <c r="E2329" s="1595"/>
      <c r="F2329" s="1595"/>
      <c r="G2329" s="1596"/>
      <c r="H2329" s="1109"/>
      <c r="I2329" s="1109"/>
      <c r="J2329" s="1109"/>
      <c r="K2329" s="1109"/>
      <c r="L2329" s="1109"/>
      <c r="M2329" s="1597"/>
      <c r="N2329" s="1620"/>
    </row>
    <row r="2330" spans="2:14" ht="15.75" thickBot="1" x14ac:dyDescent="0.35">
      <c r="B2330" s="855"/>
      <c r="C2330" s="954"/>
      <c r="D2330" s="954"/>
      <c r="E2330" s="954"/>
      <c r="F2330" s="1110"/>
      <c r="G2330" s="1110"/>
      <c r="H2330" s="1110"/>
      <c r="I2330" s="1110"/>
      <c r="J2330" s="1110"/>
      <c r="K2330" s="1110"/>
      <c r="L2330" s="1110"/>
      <c r="M2330" s="1111" t="s">
        <v>24680</v>
      </c>
      <c r="N2330" s="1112">
        <f>SUM(N2327:N2329)</f>
        <v>0</v>
      </c>
    </row>
    <row r="2331" spans="2:14" ht="15.75" thickBot="1" x14ac:dyDescent="0.35">
      <c r="B2331" s="850"/>
      <c r="C2331" s="461"/>
      <c r="D2331" s="461"/>
      <c r="E2331" s="461"/>
      <c r="F2331" s="461"/>
      <c r="G2331" s="461"/>
      <c r="H2331" s="461"/>
      <c r="I2331" s="461"/>
      <c r="J2331" s="461"/>
      <c r="K2331" s="461"/>
      <c r="L2331" s="461"/>
      <c r="M2331" s="461"/>
      <c r="N2331" s="1113"/>
    </row>
    <row r="2332" spans="2:14" ht="45" x14ac:dyDescent="0.3">
      <c r="B2332" s="1104" t="s">
        <v>0</v>
      </c>
      <c r="C2332" s="1105" t="s">
        <v>24673</v>
      </c>
      <c r="D2332" s="1593" t="s">
        <v>24681</v>
      </c>
      <c r="E2332" s="1593"/>
      <c r="F2332" s="1593"/>
      <c r="G2332" s="1593"/>
      <c r="H2332" s="1594"/>
      <c r="I2332" s="1106" t="s">
        <v>3686</v>
      </c>
      <c r="J2332" s="1106" t="s">
        <v>24682</v>
      </c>
      <c r="K2332" s="1106" t="s">
        <v>25177</v>
      </c>
      <c r="L2332" s="1106" t="s">
        <v>25178</v>
      </c>
      <c r="M2332" s="1106" t="s">
        <v>24683</v>
      </c>
      <c r="N2332" s="1114" t="s">
        <v>24679</v>
      </c>
    </row>
    <row r="2333" spans="2:14" x14ac:dyDescent="0.3">
      <c r="B2333" s="1115">
        <v>10101</v>
      </c>
      <c r="C2333" s="1108" t="s">
        <v>4379</v>
      </c>
      <c r="D2333" s="1604" t="s">
        <v>25268</v>
      </c>
      <c r="E2333" s="1604"/>
      <c r="F2333" s="1604"/>
      <c r="G2333" s="1604"/>
      <c r="H2333" s="1605"/>
      <c r="I2333" s="1109" t="s">
        <v>75</v>
      </c>
      <c r="J2333" s="1117">
        <v>1.5727</v>
      </c>
      <c r="K2333" s="1109">
        <v>6.27</v>
      </c>
      <c r="L2333" s="1109">
        <f>K2333*(1+J2333)</f>
        <v>16.13</v>
      </c>
      <c r="M2333" s="1118">
        <v>7.0000000000000007E-2</v>
      </c>
      <c r="N2333" s="1119">
        <f>M2333*L2333</f>
        <v>1.1299999999999999</v>
      </c>
    </row>
    <row r="2334" spans="2:14" x14ac:dyDescent="0.3">
      <c r="B2334" s="1115">
        <v>10118</v>
      </c>
      <c r="C2334" s="1108" t="s">
        <v>4379</v>
      </c>
      <c r="D2334" s="1604" t="s">
        <v>25186</v>
      </c>
      <c r="E2334" s="1604"/>
      <c r="F2334" s="1604"/>
      <c r="G2334" s="1604"/>
      <c r="H2334" s="1605"/>
      <c r="I2334" s="1109" t="s">
        <v>75</v>
      </c>
      <c r="J2334" s="1117">
        <v>1.5727</v>
      </c>
      <c r="K2334" s="1109">
        <v>7.43</v>
      </c>
      <c r="L2334" s="1109">
        <f>K2334*(1+J2334)</f>
        <v>19.12</v>
      </c>
      <c r="M2334" s="1118">
        <v>7.0000000000000007E-2</v>
      </c>
      <c r="N2334" s="1119">
        <f>M2334*L2334</f>
        <v>1.34</v>
      </c>
    </row>
    <row r="2335" spans="2:14" ht="15.75" thickBot="1" x14ac:dyDescent="0.35">
      <c r="B2335" s="855"/>
      <c r="C2335" s="954"/>
      <c r="D2335" s="954"/>
      <c r="E2335" s="954"/>
      <c r="F2335" s="1110"/>
      <c r="G2335" s="1110"/>
      <c r="H2335" s="1110"/>
      <c r="I2335" s="1110"/>
      <c r="J2335" s="1110"/>
      <c r="K2335" s="1110"/>
      <c r="L2335" s="1110"/>
      <c r="M2335" s="1111" t="s">
        <v>24684</v>
      </c>
      <c r="N2335" s="1112">
        <f>SUM(N2333:N2334)</f>
        <v>2.4700000000000002</v>
      </c>
    </row>
    <row r="2336" spans="2:14" ht="15.75" thickBot="1" x14ac:dyDescent="0.35">
      <c r="B2336" s="850"/>
      <c r="C2336" s="461"/>
      <c r="D2336" s="461"/>
      <c r="E2336" s="461"/>
      <c r="F2336" s="461"/>
      <c r="G2336" s="461"/>
      <c r="H2336" s="461"/>
      <c r="I2336" s="1120"/>
      <c r="J2336" s="1120"/>
      <c r="K2336" s="461"/>
      <c r="L2336" s="461"/>
      <c r="M2336" s="461"/>
      <c r="N2336" s="1113"/>
    </row>
    <row r="2337" spans="2:14" ht="30" x14ac:dyDescent="0.3">
      <c r="B2337" s="1104" t="s">
        <v>0</v>
      </c>
      <c r="C2337" s="1105" t="s">
        <v>24673</v>
      </c>
      <c r="D2337" s="1593" t="s">
        <v>24685</v>
      </c>
      <c r="E2337" s="1593"/>
      <c r="F2337" s="1593"/>
      <c r="G2337" s="1593"/>
      <c r="H2337" s="1594"/>
      <c r="I2337" s="1106" t="s">
        <v>2858</v>
      </c>
      <c r="J2337" s="1106" t="s">
        <v>24686</v>
      </c>
      <c r="K2337" s="1106" t="s">
        <v>24687</v>
      </c>
      <c r="L2337" s="1614" t="s">
        <v>24688</v>
      </c>
      <c r="M2337" s="1615"/>
      <c r="N2337" s="1114" t="s">
        <v>24689</v>
      </c>
    </row>
    <row r="2338" spans="2:14" x14ac:dyDescent="0.3">
      <c r="B2338" s="1115"/>
      <c r="C2338" s="1116"/>
      <c r="D2338" s="1604"/>
      <c r="E2338" s="1604"/>
      <c r="F2338" s="1604"/>
      <c r="G2338" s="1604"/>
      <c r="H2338" s="1605"/>
      <c r="I2338" s="1109"/>
      <c r="J2338" s="1109"/>
      <c r="K2338" s="1109"/>
      <c r="L2338" s="1597"/>
      <c r="M2338" s="1598"/>
      <c r="N2338" s="1119">
        <f>N2335*(I2338/100)</f>
        <v>0</v>
      </c>
    </row>
    <row r="2339" spans="2:14" x14ac:dyDescent="0.3">
      <c r="B2339" s="850"/>
      <c r="C2339" s="461"/>
      <c r="D2339" s="461"/>
      <c r="E2339" s="461"/>
      <c r="F2339" s="1120"/>
      <c r="G2339" s="1120"/>
      <c r="H2339" s="1120"/>
      <c r="I2339" s="1120"/>
      <c r="J2339" s="1120"/>
      <c r="K2339" s="1120"/>
      <c r="L2339" s="1120"/>
      <c r="M2339" s="1121" t="s">
        <v>24690</v>
      </c>
      <c r="N2339" s="1122">
        <f>SUM(N2338:N2338)</f>
        <v>0</v>
      </c>
    </row>
    <row r="2340" spans="2:14" x14ac:dyDescent="0.3">
      <c r="B2340" s="850"/>
      <c r="C2340" s="461"/>
      <c r="D2340" s="461"/>
      <c r="E2340" s="461"/>
      <c r="F2340" s="461"/>
      <c r="G2340" s="461"/>
      <c r="H2340" s="461"/>
      <c r="I2340" s="461"/>
      <c r="J2340" s="461"/>
      <c r="K2340" s="461"/>
      <c r="L2340" s="461"/>
      <c r="M2340" s="461"/>
      <c r="N2340" s="1113"/>
    </row>
    <row r="2341" spans="2:14" x14ac:dyDescent="0.3">
      <c r="B2341" s="850"/>
      <c r="C2341" s="461"/>
      <c r="D2341" s="461"/>
      <c r="E2341" s="461"/>
      <c r="F2341" s="1120"/>
      <c r="G2341" s="1120"/>
      <c r="H2341" s="1120"/>
      <c r="I2341" s="863"/>
      <c r="J2341" s="863"/>
      <c r="K2341" s="863"/>
      <c r="L2341" s="863"/>
      <c r="M2341" s="1121" t="s">
        <v>24691</v>
      </c>
      <c r="N2341" s="1123">
        <f>N2330+N2335+N2339</f>
        <v>2.4700000000000002</v>
      </c>
    </row>
    <row r="2342" spans="2:14" x14ac:dyDescent="0.3">
      <c r="B2342" s="850"/>
      <c r="C2342" s="461"/>
      <c r="D2342" s="461"/>
      <c r="E2342" s="461"/>
      <c r="F2342" s="1120"/>
      <c r="G2342" s="1120"/>
      <c r="H2342" s="1120"/>
      <c r="I2342" s="1120"/>
      <c r="J2342" s="1124"/>
      <c r="K2342" s="1124"/>
      <c r="L2342" s="1124"/>
      <c r="M2342" s="1125" t="s">
        <v>24692</v>
      </c>
      <c r="N2342" s="1123">
        <v>1</v>
      </c>
    </row>
    <row r="2343" spans="2:14" ht="15.75" thickBot="1" x14ac:dyDescent="0.35">
      <c r="B2343" s="855"/>
      <c r="C2343" s="954"/>
      <c r="D2343" s="954"/>
      <c r="E2343" s="954"/>
      <c r="F2343" s="1110"/>
      <c r="G2343" s="1110"/>
      <c r="H2343" s="1110"/>
      <c r="I2343" s="1110"/>
      <c r="J2343" s="1110"/>
      <c r="K2343" s="1110"/>
      <c r="L2343" s="1110"/>
      <c r="M2343" s="1111" t="s">
        <v>24693</v>
      </c>
      <c r="N2343" s="1126">
        <f>TRUNC(N2341/N2342,2)</f>
        <v>2.4700000000000002</v>
      </c>
    </row>
    <row r="2344" spans="2:14" ht="15.75" thickBot="1" x14ac:dyDescent="0.35">
      <c r="B2344" s="850"/>
      <c r="C2344" s="461"/>
      <c r="D2344" s="461"/>
      <c r="E2344" s="461"/>
      <c r="F2344" s="461"/>
      <c r="G2344" s="461"/>
      <c r="H2344" s="461"/>
      <c r="I2344" s="461"/>
      <c r="J2344" s="461"/>
      <c r="K2344" s="461"/>
      <c r="L2344" s="461"/>
      <c r="M2344" s="461"/>
      <c r="N2344" s="1113"/>
    </row>
    <row r="2345" spans="2:14" ht="30" x14ac:dyDescent="0.3">
      <c r="B2345" s="1104" t="s">
        <v>0</v>
      </c>
      <c r="C2345" s="1105" t="s">
        <v>24673</v>
      </c>
      <c r="D2345" s="1593" t="s">
        <v>24694</v>
      </c>
      <c r="E2345" s="1593"/>
      <c r="F2345" s="1593"/>
      <c r="G2345" s="1593"/>
      <c r="H2345" s="1593"/>
      <c r="I2345" s="1594"/>
      <c r="J2345" s="1106" t="s">
        <v>3686</v>
      </c>
      <c r="K2345" s="1106" t="s">
        <v>24695</v>
      </c>
      <c r="L2345" s="1614" t="s">
        <v>24683</v>
      </c>
      <c r="M2345" s="1615"/>
      <c r="N2345" s="1114" t="s">
        <v>24689</v>
      </c>
    </row>
    <row r="2346" spans="2:14" x14ac:dyDescent="0.3">
      <c r="B2346" s="1149">
        <v>122</v>
      </c>
      <c r="C2346" s="1155" t="s">
        <v>24706</v>
      </c>
      <c r="D2346" s="1616" t="s">
        <v>25388</v>
      </c>
      <c r="E2346" s="1616"/>
      <c r="F2346" s="1616"/>
      <c r="G2346" s="1616"/>
      <c r="H2346" s="1616"/>
      <c r="I2346" s="1617"/>
      <c r="J2346" s="1151" t="s">
        <v>24804</v>
      </c>
      <c r="K2346" s="1151">
        <v>65.55</v>
      </c>
      <c r="L2346" s="1618">
        <v>9.9000000000000008E-3</v>
      </c>
      <c r="M2346" s="1619"/>
      <c r="N2346" s="1130">
        <f>L2346*K2346</f>
        <v>0.65</v>
      </c>
    </row>
    <row r="2347" spans="2:14" x14ac:dyDescent="0.3">
      <c r="B2347" s="1149">
        <v>3897</v>
      </c>
      <c r="C2347" s="1155" t="s">
        <v>24706</v>
      </c>
      <c r="D2347" s="1616" t="s">
        <v>25402</v>
      </c>
      <c r="E2347" s="1616"/>
      <c r="F2347" s="1616"/>
      <c r="G2347" s="1616"/>
      <c r="H2347" s="1616"/>
      <c r="I2347" s="1617"/>
      <c r="J2347" s="1151" t="s">
        <v>24804</v>
      </c>
      <c r="K2347" s="1151">
        <v>1.96</v>
      </c>
      <c r="L2347" s="1618">
        <v>1</v>
      </c>
      <c r="M2347" s="1619"/>
      <c r="N2347" s="1130">
        <f t="shared" ref="N2347:N2348" si="41">L2347*K2347</f>
        <v>1.96</v>
      </c>
    </row>
    <row r="2348" spans="2:14" x14ac:dyDescent="0.3">
      <c r="B2348" s="1149">
        <v>20083</v>
      </c>
      <c r="C2348" s="1155" t="s">
        <v>24706</v>
      </c>
      <c r="D2348" s="1616" t="s">
        <v>25379</v>
      </c>
      <c r="E2348" s="1616"/>
      <c r="F2348" s="1616"/>
      <c r="G2348" s="1616"/>
      <c r="H2348" s="1616"/>
      <c r="I2348" s="1617"/>
      <c r="J2348" s="1151" t="s">
        <v>24804</v>
      </c>
      <c r="K2348" s="1151">
        <v>74.27</v>
      </c>
      <c r="L2348" s="1618">
        <v>1.4999999999999999E-2</v>
      </c>
      <c r="M2348" s="1619"/>
      <c r="N2348" s="1130">
        <f t="shared" si="41"/>
        <v>1.1100000000000001</v>
      </c>
    </row>
    <row r="2349" spans="2:14" ht="15.75" thickBot="1" x14ac:dyDescent="0.35">
      <c r="B2349" s="855"/>
      <c r="C2349" s="954"/>
      <c r="D2349" s="954"/>
      <c r="E2349" s="954"/>
      <c r="F2349" s="1110"/>
      <c r="G2349" s="1110"/>
      <c r="H2349" s="1110"/>
      <c r="I2349" s="1110"/>
      <c r="J2349" s="1110"/>
      <c r="K2349" s="1110"/>
      <c r="L2349" s="1110"/>
      <c r="M2349" s="1111" t="s">
        <v>24696</v>
      </c>
      <c r="N2349" s="1112">
        <f>SUM(N2346:N2348)</f>
        <v>3.72</v>
      </c>
    </row>
    <row r="2350" spans="2:14" ht="15.75" thickBot="1" x14ac:dyDescent="0.35">
      <c r="B2350" s="850"/>
      <c r="C2350" s="461"/>
      <c r="D2350" s="461"/>
      <c r="E2350" s="461"/>
      <c r="F2350" s="461"/>
      <c r="G2350" s="461"/>
      <c r="H2350" s="461"/>
      <c r="I2350" s="461"/>
      <c r="J2350" s="461"/>
      <c r="K2350" s="461"/>
      <c r="L2350" s="461"/>
      <c r="M2350" s="461"/>
      <c r="N2350" s="1113"/>
    </row>
    <row r="2351" spans="2:14" ht="30" x14ac:dyDescent="0.3">
      <c r="B2351" s="1104" t="s">
        <v>0</v>
      </c>
      <c r="C2351" s="1106" t="s">
        <v>24673</v>
      </c>
      <c r="D2351" s="1593" t="s">
        <v>24697</v>
      </c>
      <c r="E2351" s="1593"/>
      <c r="F2351" s="1593"/>
      <c r="G2351" s="1593"/>
      <c r="H2351" s="1593"/>
      <c r="I2351" s="1594"/>
      <c r="J2351" s="1106" t="s">
        <v>3686</v>
      </c>
      <c r="K2351" s="1106" t="s">
        <v>24695</v>
      </c>
      <c r="L2351" s="1614" t="s">
        <v>24683</v>
      </c>
      <c r="M2351" s="1615"/>
      <c r="N2351" s="1114" t="s">
        <v>24689</v>
      </c>
    </row>
    <row r="2352" spans="2:14" x14ac:dyDescent="0.3">
      <c r="B2352" s="1127"/>
      <c r="C2352" s="1128"/>
      <c r="D2352" s="1604"/>
      <c r="E2352" s="1604"/>
      <c r="F2352" s="1604"/>
      <c r="G2352" s="1604"/>
      <c r="H2352" s="1604"/>
      <c r="I2352" s="1605"/>
      <c r="J2352" s="462"/>
      <c r="K2352" s="462"/>
      <c r="L2352" s="1612"/>
      <c r="M2352" s="1613"/>
      <c r="N2352" s="1130"/>
    </row>
    <row r="2353" spans="2:14" ht="15.75" thickBot="1" x14ac:dyDescent="0.35">
      <c r="B2353" s="855"/>
      <c r="C2353" s="954"/>
      <c r="D2353" s="954"/>
      <c r="E2353" s="954"/>
      <c r="F2353" s="1110"/>
      <c r="G2353" s="1110"/>
      <c r="H2353" s="1110"/>
      <c r="I2353" s="1110"/>
      <c r="J2353" s="1110"/>
      <c r="K2353" s="1110"/>
      <c r="L2353" s="1110"/>
      <c r="M2353" s="1111" t="s">
        <v>24698</v>
      </c>
      <c r="N2353" s="1112">
        <f>SUM(N2352:N2352)</f>
        <v>0</v>
      </c>
    </row>
    <row r="2354" spans="2:14" ht="15.75" thickBot="1" x14ac:dyDescent="0.35">
      <c r="B2354" s="850"/>
      <c r="C2354" s="461"/>
      <c r="D2354" s="461"/>
      <c r="E2354" s="461"/>
      <c r="F2354" s="461"/>
      <c r="G2354" s="461"/>
      <c r="H2354" s="461"/>
      <c r="I2354" s="461"/>
      <c r="J2354" s="461"/>
      <c r="K2354" s="461"/>
      <c r="L2354" s="461"/>
      <c r="M2354" s="461"/>
      <c r="N2354" s="1113"/>
    </row>
    <row r="2355" spans="2:14" ht="30" x14ac:dyDescent="0.3">
      <c r="B2355" s="1104" t="s">
        <v>0</v>
      </c>
      <c r="C2355" s="1106" t="s">
        <v>24673</v>
      </c>
      <c r="D2355" s="1593" t="s">
        <v>24699</v>
      </c>
      <c r="E2355" s="1593"/>
      <c r="F2355" s="1593"/>
      <c r="G2355" s="1594"/>
      <c r="H2355" s="1106" t="s">
        <v>3686</v>
      </c>
      <c r="I2355" s="1106" t="s">
        <v>24700</v>
      </c>
      <c r="J2355" s="1106" t="s">
        <v>24701</v>
      </c>
      <c r="K2355" s="1106" t="s">
        <v>24695</v>
      </c>
      <c r="L2355" s="1614" t="s">
        <v>24683</v>
      </c>
      <c r="M2355" s="1615"/>
      <c r="N2355" s="1114" t="s">
        <v>24689</v>
      </c>
    </row>
    <row r="2356" spans="2:14" x14ac:dyDescent="0.3">
      <c r="B2356" s="1115"/>
      <c r="C2356" s="1116"/>
      <c r="D2356" s="1595"/>
      <c r="E2356" s="1595"/>
      <c r="F2356" s="1595"/>
      <c r="G2356" s="1595"/>
      <c r="H2356" s="1109"/>
      <c r="I2356" s="1109"/>
      <c r="J2356" s="1109"/>
      <c r="K2356" s="1109"/>
      <c r="L2356" s="1597"/>
      <c r="M2356" s="1598"/>
      <c r="N2356" s="1119"/>
    </row>
    <row r="2357" spans="2:14" x14ac:dyDescent="0.3">
      <c r="B2357" s="1115"/>
      <c r="C2357" s="1116"/>
      <c r="D2357" s="1595"/>
      <c r="E2357" s="1595"/>
      <c r="F2357" s="1595"/>
      <c r="G2357" s="1595"/>
      <c r="H2357" s="1109"/>
      <c r="I2357" s="1109"/>
      <c r="J2357" s="1109"/>
      <c r="K2357" s="1109"/>
      <c r="L2357" s="1597"/>
      <c r="M2357" s="1598"/>
      <c r="N2357" s="1119"/>
    </row>
    <row r="2358" spans="2:14" x14ac:dyDescent="0.3">
      <c r="B2358" s="1115"/>
      <c r="C2358" s="1116"/>
      <c r="D2358" s="1595"/>
      <c r="E2358" s="1595"/>
      <c r="F2358" s="1595"/>
      <c r="G2358" s="1595"/>
      <c r="H2358" s="1109"/>
      <c r="I2358" s="1109"/>
      <c r="J2358" s="1109"/>
      <c r="K2358" s="1109"/>
      <c r="L2358" s="1597"/>
      <c r="M2358" s="1598"/>
      <c r="N2358" s="1119"/>
    </row>
    <row r="2359" spans="2:14" x14ac:dyDescent="0.3">
      <c r="B2359" s="850"/>
      <c r="C2359" s="461"/>
      <c r="D2359" s="461"/>
      <c r="E2359" s="461"/>
      <c r="F2359" s="1120"/>
      <c r="G2359" s="1120"/>
      <c r="H2359" s="1120"/>
      <c r="I2359" s="1120"/>
      <c r="J2359" s="1120"/>
      <c r="K2359" s="1120"/>
      <c r="L2359" s="1120"/>
      <c r="M2359" s="1121" t="s">
        <v>24702</v>
      </c>
      <c r="N2359" s="1122">
        <f>SUM(N2356:N2358)</f>
        <v>0</v>
      </c>
    </row>
    <row r="2360" spans="2:14" x14ac:dyDescent="0.3">
      <c r="B2360" s="850"/>
      <c r="C2360" s="461"/>
      <c r="D2360" s="461"/>
      <c r="E2360" s="461"/>
      <c r="F2360" s="461"/>
      <c r="G2360" s="461"/>
      <c r="H2360" s="461"/>
      <c r="I2360" s="461"/>
      <c r="J2360" s="461"/>
      <c r="K2360" s="461"/>
      <c r="L2360" s="461"/>
      <c r="M2360" s="461"/>
      <c r="N2360" s="1113"/>
    </row>
    <row r="2361" spans="2:14" x14ac:dyDescent="0.3">
      <c r="B2361" s="1131"/>
      <c r="C2361" s="1132"/>
      <c r="D2361" s="1132"/>
      <c r="E2361" s="1132"/>
      <c r="F2361" s="1133"/>
      <c r="G2361" s="1133"/>
      <c r="H2361" s="1133"/>
      <c r="I2361" s="1133"/>
      <c r="J2361" s="1133"/>
      <c r="K2361" s="1133"/>
      <c r="L2361" s="1133"/>
      <c r="M2361" s="1134" t="s">
        <v>24703</v>
      </c>
      <c r="N2361" s="1123">
        <f>N2343+N2349+N2353+N2359</f>
        <v>6.19</v>
      </c>
    </row>
    <row r="2362" spans="2:14" x14ac:dyDescent="0.3">
      <c r="B2362" s="850"/>
      <c r="C2362" s="461"/>
      <c r="D2362" s="461"/>
      <c r="E2362" s="461"/>
      <c r="F2362" s="1120"/>
      <c r="G2362" s="1120"/>
      <c r="H2362" s="1120"/>
      <c r="I2362" s="1120"/>
      <c r="J2362" s="1120"/>
      <c r="K2362" s="1135"/>
      <c r="L2362" s="1135"/>
      <c r="M2362" s="1136">
        <f>'QUIOSQUE - MOD 01'!I3</f>
        <v>0.28220000000000001</v>
      </c>
      <c r="N2362" s="1123">
        <f>ROUND(N2361*M2362,2)</f>
        <v>1.75</v>
      </c>
    </row>
    <row r="2363" spans="2:14" ht="15.75" thickBot="1" x14ac:dyDescent="0.35">
      <c r="B2363" s="1599" t="s">
        <v>24704</v>
      </c>
      <c r="C2363" s="1600"/>
      <c r="D2363" s="1600"/>
      <c r="E2363" s="1600"/>
      <c r="F2363" s="1600"/>
      <c r="G2363" s="1600"/>
      <c r="H2363" s="1600"/>
      <c r="I2363" s="1600"/>
      <c r="J2363" s="1600"/>
      <c r="K2363" s="1600"/>
      <c r="L2363" s="1600"/>
      <c r="M2363" s="1601"/>
      <c r="N2363" s="1126">
        <f>N2361+N2362</f>
        <v>7.94</v>
      </c>
    </row>
    <row r="2366" spans="2:14" ht="15.75" thickBot="1" x14ac:dyDescent="0.35"/>
    <row r="2367" spans="2:14" ht="43.5" customHeight="1" x14ac:dyDescent="0.3">
      <c r="B2367" s="1607" t="s">
        <v>25403</v>
      </c>
      <c r="C2367" s="1608"/>
      <c r="D2367" s="1609"/>
      <c r="E2367" s="1610" t="s">
        <v>24669</v>
      </c>
      <c r="F2367" s="1610"/>
      <c r="G2367" s="1610"/>
      <c r="H2367" s="1610"/>
      <c r="I2367" s="1610"/>
      <c r="J2367" s="1610"/>
      <c r="K2367" s="1610"/>
      <c r="L2367" s="1623"/>
      <c r="M2367" s="1576"/>
      <c r="N2367" s="1577"/>
    </row>
    <row r="2368" spans="2:14" ht="33" customHeight="1" x14ac:dyDescent="0.3">
      <c r="B2368" s="1103" t="s">
        <v>24670</v>
      </c>
      <c r="C2368" s="1586" t="s">
        <v>25404</v>
      </c>
      <c r="D2368" s="1586"/>
      <c r="E2368" s="1586"/>
      <c r="F2368" s="1586"/>
      <c r="G2368" s="1586"/>
      <c r="H2368" s="1586"/>
      <c r="I2368" s="1586"/>
      <c r="J2368" s="1586"/>
      <c r="K2368" s="1586"/>
      <c r="L2368" s="1586"/>
      <c r="M2368" s="1586"/>
      <c r="N2368" s="1587"/>
    </row>
    <row r="2369" spans="2:14" x14ac:dyDescent="0.3">
      <c r="B2369" s="1103" t="s">
        <v>24671</v>
      </c>
      <c r="C2369" s="1588" t="s">
        <v>8</v>
      </c>
      <c r="D2369" s="1588"/>
      <c r="E2369" s="1588"/>
      <c r="F2369" s="1588"/>
      <c r="G2369" s="1588"/>
      <c r="H2369" s="1588"/>
      <c r="I2369" s="1588"/>
      <c r="J2369" s="1588"/>
      <c r="K2369" s="1588"/>
      <c r="L2369" s="1588"/>
      <c r="M2369" s="1588"/>
      <c r="N2369" s="1589"/>
    </row>
    <row r="2370" spans="2:14" ht="15.75" thickBot="1" x14ac:dyDescent="0.35">
      <c r="B2370" s="1103" t="s">
        <v>24672</v>
      </c>
      <c r="C2370" s="1590">
        <v>44501</v>
      </c>
      <c r="D2370" s="1591"/>
      <c r="E2370" s="1591"/>
      <c r="F2370" s="1591"/>
      <c r="G2370" s="1591"/>
      <c r="H2370" s="1591"/>
      <c r="I2370" s="1591"/>
      <c r="J2370" s="1591"/>
      <c r="K2370" s="1591"/>
      <c r="L2370" s="1591"/>
      <c r="M2370" s="1591"/>
      <c r="N2370" s="1592"/>
    </row>
    <row r="2371" spans="2:14" ht="30" x14ac:dyDescent="0.3">
      <c r="B2371" s="1104" t="s">
        <v>0</v>
      </c>
      <c r="C2371" s="1105" t="s">
        <v>24673</v>
      </c>
      <c r="D2371" s="1593" t="s">
        <v>24674</v>
      </c>
      <c r="E2371" s="1593"/>
      <c r="F2371" s="1593"/>
      <c r="G2371" s="1594"/>
      <c r="H2371" s="1106" t="s">
        <v>111</v>
      </c>
      <c r="I2371" s="1106" t="s">
        <v>24675</v>
      </c>
      <c r="J2371" s="1106" t="s">
        <v>24676</v>
      </c>
      <c r="K2371" s="1106" t="s">
        <v>24677</v>
      </c>
      <c r="L2371" s="1106" t="s">
        <v>24678</v>
      </c>
      <c r="M2371" s="1621" t="s">
        <v>24679</v>
      </c>
      <c r="N2371" s="1622"/>
    </row>
    <row r="2372" spans="2:14" x14ac:dyDescent="0.3">
      <c r="B2372" s="1115"/>
      <c r="C2372" s="1108"/>
      <c r="D2372" s="1595"/>
      <c r="E2372" s="1595"/>
      <c r="F2372" s="1595"/>
      <c r="G2372" s="1596"/>
      <c r="H2372" s="1109"/>
      <c r="I2372" s="1109"/>
      <c r="J2372" s="1109"/>
      <c r="K2372" s="1109"/>
      <c r="L2372" s="1109"/>
      <c r="M2372" s="1597"/>
      <c r="N2372" s="1620"/>
    </row>
    <row r="2373" spans="2:14" x14ac:dyDescent="0.3">
      <c r="B2373" s="1115"/>
      <c r="C2373" s="1108"/>
      <c r="D2373" s="1595"/>
      <c r="E2373" s="1595"/>
      <c r="F2373" s="1595"/>
      <c r="G2373" s="1596"/>
      <c r="H2373" s="1109"/>
      <c r="I2373" s="1109"/>
      <c r="J2373" s="1109"/>
      <c r="K2373" s="1109"/>
      <c r="L2373" s="1109"/>
      <c r="M2373" s="1597"/>
      <c r="N2373" s="1620"/>
    </row>
    <row r="2374" spans="2:14" x14ac:dyDescent="0.3">
      <c r="B2374" s="1107"/>
      <c r="C2374" s="1108"/>
      <c r="D2374" s="1595"/>
      <c r="E2374" s="1595"/>
      <c r="F2374" s="1595"/>
      <c r="G2374" s="1596"/>
      <c r="H2374" s="1109"/>
      <c r="I2374" s="1109"/>
      <c r="J2374" s="1109"/>
      <c r="K2374" s="1109"/>
      <c r="L2374" s="1109"/>
      <c r="M2374" s="1597"/>
      <c r="N2374" s="1620"/>
    </row>
    <row r="2375" spans="2:14" ht="15.75" thickBot="1" x14ac:dyDescent="0.35">
      <c r="B2375" s="855"/>
      <c r="C2375" s="954"/>
      <c r="D2375" s="954"/>
      <c r="E2375" s="954"/>
      <c r="F2375" s="1110"/>
      <c r="G2375" s="1110"/>
      <c r="H2375" s="1110"/>
      <c r="I2375" s="1110"/>
      <c r="J2375" s="1110"/>
      <c r="K2375" s="1110"/>
      <c r="L2375" s="1110"/>
      <c r="M2375" s="1111" t="s">
        <v>24680</v>
      </c>
      <c r="N2375" s="1112">
        <f>SUM(N2372:N2374)</f>
        <v>0</v>
      </c>
    </row>
    <row r="2376" spans="2:14" ht="15.75" thickBot="1" x14ac:dyDescent="0.35">
      <c r="B2376" s="850"/>
      <c r="C2376" s="461"/>
      <c r="D2376" s="461"/>
      <c r="E2376" s="461"/>
      <c r="F2376" s="461"/>
      <c r="G2376" s="461"/>
      <c r="H2376" s="461"/>
      <c r="I2376" s="461"/>
      <c r="J2376" s="461"/>
      <c r="K2376" s="461"/>
      <c r="L2376" s="461"/>
      <c r="M2376" s="461"/>
      <c r="N2376" s="1113"/>
    </row>
    <row r="2377" spans="2:14" ht="45" x14ac:dyDescent="0.3">
      <c r="B2377" s="1104" t="s">
        <v>0</v>
      </c>
      <c r="C2377" s="1105" t="s">
        <v>24673</v>
      </c>
      <c r="D2377" s="1593" t="s">
        <v>24681</v>
      </c>
      <c r="E2377" s="1593"/>
      <c r="F2377" s="1593"/>
      <c r="G2377" s="1593"/>
      <c r="H2377" s="1594"/>
      <c r="I2377" s="1106" t="s">
        <v>3686</v>
      </c>
      <c r="J2377" s="1106" t="s">
        <v>24682</v>
      </c>
      <c r="K2377" s="1106" t="s">
        <v>25177</v>
      </c>
      <c r="L2377" s="1106" t="s">
        <v>25178</v>
      </c>
      <c r="M2377" s="1106" t="s">
        <v>24683</v>
      </c>
      <c r="N2377" s="1114" t="s">
        <v>24679</v>
      </c>
    </row>
    <row r="2378" spans="2:14" x14ac:dyDescent="0.3">
      <c r="B2378" s="1115">
        <v>10101</v>
      </c>
      <c r="C2378" s="1108" t="s">
        <v>4379</v>
      </c>
      <c r="D2378" s="1604" t="s">
        <v>25268</v>
      </c>
      <c r="E2378" s="1604"/>
      <c r="F2378" s="1604"/>
      <c r="G2378" s="1604"/>
      <c r="H2378" s="1605"/>
      <c r="I2378" s="1109" t="s">
        <v>75</v>
      </c>
      <c r="J2378" s="1117">
        <v>1.5727</v>
      </c>
      <c r="K2378" s="1109">
        <v>6.27</v>
      </c>
      <c r="L2378" s="1109">
        <f>K2378*(1+J2378)</f>
        <v>16.13</v>
      </c>
      <c r="M2378" s="1118">
        <v>0.17</v>
      </c>
      <c r="N2378" s="1119">
        <f>M2378*L2378</f>
        <v>2.74</v>
      </c>
    </row>
    <row r="2379" spans="2:14" x14ac:dyDescent="0.3">
      <c r="B2379" s="1115">
        <v>10118</v>
      </c>
      <c r="C2379" s="1108" t="s">
        <v>4379</v>
      </c>
      <c r="D2379" s="1604" t="s">
        <v>25186</v>
      </c>
      <c r="E2379" s="1604"/>
      <c r="F2379" s="1604"/>
      <c r="G2379" s="1604"/>
      <c r="H2379" s="1605"/>
      <c r="I2379" s="1109" t="s">
        <v>75</v>
      </c>
      <c r="J2379" s="1117">
        <v>1.5727</v>
      </c>
      <c r="K2379" s="1109">
        <v>7.43</v>
      </c>
      <c r="L2379" s="1109">
        <f>K2379*(1+J2379)</f>
        <v>19.12</v>
      </c>
      <c r="M2379" s="1118">
        <v>0.17</v>
      </c>
      <c r="N2379" s="1119">
        <f>M2379*L2379</f>
        <v>3.25</v>
      </c>
    </row>
    <row r="2380" spans="2:14" ht="15.75" thickBot="1" x14ac:dyDescent="0.35">
      <c r="B2380" s="855"/>
      <c r="C2380" s="954"/>
      <c r="D2380" s="954"/>
      <c r="E2380" s="954"/>
      <c r="F2380" s="1110"/>
      <c r="G2380" s="1110"/>
      <c r="H2380" s="1110"/>
      <c r="I2380" s="1110"/>
      <c r="J2380" s="1110"/>
      <c r="K2380" s="1110"/>
      <c r="L2380" s="1110"/>
      <c r="M2380" s="1111" t="s">
        <v>24684</v>
      </c>
      <c r="N2380" s="1112">
        <f>SUM(N2378:N2379)</f>
        <v>5.99</v>
      </c>
    </row>
    <row r="2381" spans="2:14" ht="15.75" thickBot="1" x14ac:dyDescent="0.35">
      <c r="B2381" s="850"/>
      <c r="C2381" s="461"/>
      <c r="D2381" s="461"/>
      <c r="E2381" s="461"/>
      <c r="F2381" s="461"/>
      <c r="G2381" s="461"/>
      <c r="H2381" s="461"/>
      <c r="I2381" s="1120"/>
      <c r="J2381" s="1120"/>
      <c r="K2381" s="461"/>
      <c r="L2381" s="461"/>
      <c r="M2381" s="461"/>
      <c r="N2381" s="1113"/>
    </row>
    <row r="2382" spans="2:14" ht="30" x14ac:dyDescent="0.3">
      <c r="B2382" s="1104" t="s">
        <v>0</v>
      </c>
      <c r="C2382" s="1105" t="s">
        <v>24673</v>
      </c>
      <c r="D2382" s="1593" t="s">
        <v>24685</v>
      </c>
      <c r="E2382" s="1593"/>
      <c r="F2382" s="1593"/>
      <c r="G2382" s="1593"/>
      <c r="H2382" s="1594"/>
      <c r="I2382" s="1106" t="s">
        <v>2858</v>
      </c>
      <c r="J2382" s="1106" t="s">
        <v>24686</v>
      </c>
      <c r="K2382" s="1106" t="s">
        <v>24687</v>
      </c>
      <c r="L2382" s="1614" t="s">
        <v>24688</v>
      </c>
      <c r="M2382" s="1615"/>
      <c r="N2382" s="1114" t="s">
        <v>24689</v>
      </c>
    </row>
    <row r="2383" spans="2:14" x14ac:dyDescent="0.3">
      <c r="B2383" s="1115"/>
      <c r="C2383" s="1116"/>
      <c r="D2383" s="1604"/>
      <c r="E2383" s="1604"/>
      <c r="F2383" s="1604"/>
      <c r="G2383" s="1604"/>
      <c r="H2383" s="1605"/>
      <c r="I2383" s="1109"/>
      <c r="J2383" s="1109"/>
      <c r="K2383" s="1109"/>
      <c r="L2383" s="1597"/>
      <c r="M2383" s="1598"/>
      <c r="N2383" s="1119">
        <f>N2380*(I2383/100)</f>
        <v>0</v>
      </c>
    </row>
    <row r="2384" spans="2:14" x14ac:dyDescent="0.3">
      <c r="B2384" s="850"/>
      <c r="C2384" s="461"/>
      <c r="D2384" s="461"/>
      <c r="E2384" s="461"/>
      <c r="F2384" s="1120"/>
      <c r="G2384" s="1120"/>
      <c r="H2384" s="1120"/>
      <c r="I2384" s="1120"/>
      <c r="J2384" s="1120"/>
      <c r="K2384" s="1120"/>
      <c r="L2384" s="1120"/>
      <c r="M2384" s="1121" t="s">
        <v>24690</v>
      </c>
      <c r="N2384" s="1122">
        <f>SUM(N2383:N2383)</f>
        <v>0</v>
      </c>
    </row>
    <row r="2385" spans="2:14" x14ac:dyDescent="0.3">
      <c r="B2385" s="850"/>
      <c r="C2385" s="461"/>
      <c r="D2385" s="461"/>
      <c r="E2385" s="461"/>
      <c r="F2385" s="461"/>
      <c r="G2385" s="461"/>
      <c r="H2385" s="461"/>
      <c r="I2385" s="461"/>
      <c r="J2385" s="461"/>
      <c r="K2385" s="461"/>
      <c r="L2385" s="461"/>
      <c r="M2385" s="461"/>
      <c r="N2385" s="1113"/>
    </row>
    <row r="2386" spans="2:14" x14ac:dyDescent="0.3">
      <c r="B2386" s="850"/>
      <c r="C2386" s="461"/>
      <c r="D2386" s="461"/>
      <c r="E2386" s="461"/>
      <c r="F2386" s="1120"/>
      <c r="G2386" s="1120"/>
      <c r="H2386" s="1120"/>
      <c r="I2386" s="863"/>
      <c r="J2386" s="863"/>
      <c r="K2386" s="863"/>
      <c r="L2386" s="863"/>
      <c r="M2386" s="1121" t="s">
        <v>24691</v>
      </c>
      <c r="N2386" s="1123">
        <f>N2375+N2380+N2384</f>
        <v>5.99</v>
      </c>
    </row>
    <row r="2387" spans="2:14" x14ac:dyDescent="0.3">
      <c r="B2387" s="850"/>
      <c r="C2387" s="461"/>
      <c r="D2387" s="461"/>
      <c r="E2387" s="461"/>
      <c r="F2387" s="1120"/>
      <c r="G2387" s="1120"/>
      <c r="H2387" s="1120"/>
      <c r="I2387" s="1120"/>
      <c r="J2387" s="1124"/>
      <c r="K2387" s="1124"/>
      <c r="L2387" s="1124"/>
      <c r="M2387" s="1125" t="s">
        <v>24692</v>
      </c>
      <c r="N2387" s="1123">
        <v>1</v>
      </c>
    </row>
    <row r="2388" spans="2:14" ht="15.75" thickBot="1" x14ac:dyDescent="0.35">
      <c r="B2388" s="855"/>
      <c r="C2388" s="954"/>
      <c r="D2388" s="954"/>
      <c r="E2388" s="954"/>
      <c r="F2388" s="1110"/>
      <c r="G2388" s="1110"/>
      <c r="H2388" s="1110"/>
      <c r="I2388" s="1110"/>
      <c r="J2388" s="1110"/>
      <c r="K2388" s="1110"/>
      <c r="L2388" s="1110"/>
      <c r="M2388" s="1111" t="s">
        <v>24693</v>
      </c>
      <c r="N2388" s="1126">
        <f>TRUNC(N2386/N2387,2)</f>
        <v>5.99</v>
      </c>
    </row>
    <row r="2389" spans="2:14" ht="15.75" thickBot="1" x14ac:dyDescent="0.35">
      <c r="B2389" s="850"/>
      <c r="C2389" s="461"/>
      <c r="D2389" s="461"/>
      <c r="E2389" s="461"/>
      <c r="F2389" s="461"/>
      <c r="G2389" s="461"/>
      <c r="H2389" s="461"/>
      <c r="I2389" s="461"/>
      <c r="J2389" s="461"/>
      <c r="K2389" s="461"/>
      <c r="L2389" s="461"/>
      <c r="M2389" s="461"/>
      <c r="N2389" s="1113"/>
    </row>
    <row r="2390" spans="2:14" ht="30" x14ac:dyDescent="0.3">
      <c r="B2390" s="1104" t="s">
        <v>0</v>
      </c>
      <c r="C2390" s="1105" t="s">
        <v>24673</v>
      </c>
      <c r="D2390" s="1593" t="s">
        <v>24694</v>
      </c>
      <c r="E2390" s="1593"/>
      <c r="F2390" s="1593"/>
      <c r="G2390" s="1593"/>
      <c r="H2390" s="1593"/>
      <c r="I2390" s="1594"/>
      <c r="J2390" s="1106" t="s">
        <v>3686</v>
      </c>
      <c r="K2390" s="1106" t="s">
        <v>24695</v>
      </c>
      <c r="L2390" s="1614" t="s">
        <v>24683</v>
      </c>
      <c r="M2390" s="1615"/>
      <c r="N2390" s="1114" t="s">
        <v>24689</v>
      </c>
    </row>
    <row r="2391" spans="2:14" x14ac:dyDescent="0.3">
      <c r="B2391" s="1149">
        <v>301</v>
      </c>
      <c r="C2391" s="1155" t="s">
        <v>24706</v>
      </c>
      <c r="D2391" s="1616" t="s">
        <v>25405</v>
      </c>
      <c r="E2391" s="1616"/>
      <c r="F2391" s="1616"/>
      <c r="G2391" s="1616"/>
      <c r="H2391" s="1616"/>
      <c r="I2391" s="1617"/>
      <c r="J2391" s="1151" t="s">
        <v>24804</v>
      </c>
      <c r="K2391" s="1151">
        <v>3.5</v>
      </c>
      <c r="L2391" s="1618">
        <v>1</v>
      </c>
      <c r="M2391" s="1619"/>
      <c r="N2391" s="1130">
        <f>L2391*K2391</f>
        <v>3.5</v>
      </c>
    </row>
    <row r="2392" spans="2:14" x14ac:dyDescent="0.3">
      <c r="B2392" s="1149">
        <v>3893</v>
      </c>
      <c r="C2392" s="1155" t="s">
        <v>24706</v>
      </c>
      <c r="D2392" s="1616" t="s">
        <v>25406</v>
      </c>
      <c r="E2392" s="1616"/>
      <c r="F2392" s="1616"/>
      <c r="G2392" s="1616"/>
      <c r="H2392" s="1616"/>
      <c r="I2392" s="1617"/>
      <c r="J2392" s="1151" t="s">
        <v>24804</v>
      </c>
      <c r="K2392" s="1151">
        <v>24.85</v>
      </c>
      <c r="L2392" s="1618">
        <v>1</v>
      </c>
      <c r="M2392" s="1619"/>
      <c r="N2392" s="1130">
        <f t="shared" ref="N2392:N2393" si="42">L2392*K2392</f>
        <v>24.85</v>
      </c>
    </row>
    <row r="2393" spans="2:14" x14ac:dyDescent="0.3">
      <c r="B2393" s="1149">
        <v>20078</v>
      </c>
      <c r="C2393" s="1155" t="s">
        <v>24706</v>
      </c>
      <c r="D2393" s="1616" t="s">
        <v>25407</v>
      </c>
      <c r="E2393" s="1616"/>
      <c r="F2393" s="1616"/>
      <c r="G2393" s="1616"/>
      <c r="H2393" s="1616"/>
      <c r="I2393" s="1617"/>
      <c r="J2393" s="1151" t="s">
        <v>24804</v>
      </c>
      <c r="K2393" s="1151">
        <v>27.05</v>
      </c>
      <c r="L2393" s="1618">
        <v>4.5999999999999999E-2</v>
      </c>
      <c r="M2393" s="1619"/>
      <c r="N2393" s="1130">
        <f t="shared" si="42"/>
        <v>1.24</v>
      </c>
    </row>
    <row r="2394" spans="2:14" ht="15.75" thickBot="1" x14ac:dyDescent="0.35">
      <c r="B2394" s="855"/>
      <c r="C2394" s="954"/>
      <c r="D2394" s="954"/>
      <c r="E2394" s="954"/>
      <c r="F2394" s="1110"/>
      <c r="G2394" s="1110"/>
      <c r="H2394" s="1110"/>
      <c r="I2394" s="1110"/>
      <c r="J2394" s="1110"/>
      <c r="K2394" s="1110"/>
      <c r="L2394" s="1110"/>
      <c r="M2394" s="1111" t="s">
        <v>24696</v>
      </c>
      <c r="N2394" s="1112">
        <f>SUM(N2391:N2393)</f>
        <v>29.59</v>
      </c>
    </row>
    <row r="2395" spans="2:14" ht="15.75" thickBot="1" x14ac:dyDescent="0.35">
      <c r="B2395" s="850"/>
      <c r="C2395" s="461"/>
      <c r="D2395" s="461"/>
      <c r="E2395" s="461"/>
      <c r="F2395" s="461"/>
      <c r="G2395" s="461"/>
      <c r="H2395" s="461"/>
      <c r="I2395" s="461"/>
      <c r="J2395" s="461"/>
      <c r="K2395" s="461"/>
      <c r="L2395" s="461"/>
      <c r="M2395" s="461"/>
      <c r="N2395" s="1113"/>
    </row>
    <row r="2396" spans="2:14" ht="30" x14ac:dyDescent="0.3">
      <c r="B2396" s="1104" t="s">
        <v>0</v>
      </c>
      <c r="C2396" s="1106" t="s">
        <v>24673</v>
      </c>
      <c r="D2396" s="1593" t="s">
        <v>24697</v>
      </c>
      <c r="E2396" s="1593"/>
      <c r="F2396" s="1593"/>
      <c r="G2396" s="1593"/>
      <c r="H2396" s="1593"/>
      <c r="I2396" s="1594"/>
      <c r="J2396" s="1106" t="s">
        <v>3686</v>
      </c>
      <c r="K2396" s="1106" t="s">
        <v>24695</v>
      </c>
      <c r="L2396" s="1614" t="s">
        <v>24683</v>
      </c>
      <c r="M2396" s="1615"/>
      <c r="N2396" s="1114" t="s">
        <v>24689</v>
      </c>
    </row>
    <row r="2397" spans="2:14" x14ac:dyDescent="0.3">
      <c r="B2397" s="1127"/>
      <c r="C2397" s="1128"/>
      <c r="D2397" s="1604"/>
      <c r="E2397" s="1604"/>
      <c r="F2397" s="1604"/>
      <c r="G2397" s="1604"/>
      <c r="H2397" s="1604"/>
      <c r="I2397" s="1605"/>
      <c r="J2397" s="462"/>
      <c r="K2397" s="462"/>
      <c r="L2397" s="1612"/>
      <c r="M2397" s="1613"/>
      <c r="N2397" s="1130"/>
    </row>
    <row r="2398" spans="2:14" ht="15.75" thickBot="1" x14ac:dyDescent="0.35">
      <c r="B2398" s="855"/>
      <c r="C2398" s="954"/>
      <c r="D2398" s="954"/>
      <c r="E2398" s="954"/>
      <c r="F2398" s="1110"/>
      <c r="G2398" s="1110"/>
      <c r="H2398" s="1110"/>
      <c r="I2398" s="1110"/>
      <c r="J2398" s="1110"/>
      <c r="K2398" s="1110"/>
      <c r="L2398" s="1110"/>
      <c r="M2398" s="1111" t="s">
        <v>24698</v>
      </c>
      <c r="N2398" s="1112">
        <f>SUM(N2397:N2397)</f>
        <v>0</v>
      </c>
    </row>
    <row r="2399" spans="2:14" ht="15.75" thickBot="1" x14ac:dyDescent="0.35">
      <c r="B2399" s="850"/>
      <c r="C2399" s="461"/>
      <c r="D2399" s="461"/>
      <c r="E2399" s="461"/>
      <c r="F2399" s="461"/>
      <c r="G2399" s="461"/>
      <c r="H2399" s="461"/>
      <c r="I2399" s="461"/>
      <c r="J2399" s="461"/>
      <c r="K2399" s="461"/>
      <c r="L2399" s="461"/>
      <c r="M2399" s="461"/>
      <c r="N2399" s="1113"/>
    </row>
    <row r="2400" spans="2:14" ht="30" x14ac:dyDescent="0.3">
      <c r="B2400" s="1104" t="s">
        <v>0</v>
      </c>
      <c r="C2400" s="1106" t="s">
        <v>24673</v>
      </c>
      <c r="D2400" s="1593" t="s">
        <v>24699</v>
      </c>
      <c r="E2400" s="1593"/>
      <c r="F2400" s="1593"/>
      <c r="G2400" s="1594"/>
      <c r="H2400" s="1106" t="s">
        <v>3686</v>
      </c>
      <c r="I2400" s="1106" t="s">
        <v>24700</v>
      </c>
      <c r="J2400" s="1106" t="s">
        <v>24701</v>
      </c>
      <c r="K2400" s="1106" t="s">
        <v>24695</v>
      </c>
      <c r="L2400" s="1614" t="s">
        <v>24683</v>
      </c>
      <c r="M2400" s="1615"/>
      <c r="N2400" s="1114" t="s">
        <v>24689</v>
      </c>
    </row>
    <row r="2401" spans="2:14" x14ac:dyDescent="0.3">
      <c r="B2401" s="1115"/>
      <c r="C2401" s="1116"/>
      <c r="D2401" s="1595"/>
      <c r="E2401" s="1595"/>
      <c r="F2401" s="1595"/>
      <c r="G2401" s="1595"/>
      <c r="H2401" s="1109"/>
      <c r="I2401" s="1109"/>
      <c r="J2401" s="1109"/>
      <c r="K2401" s="1109"/>
      <c r="L2401" s="1597"/>
      <c r="M2401" s="1598"/>
      <c r="N2401" s="1119"/>
    </row>
    <row r="2402" spans="2:14" x14ac:dyDescent="0.3">
      <c r="B2402" s="1115"/>
      <c r="C2402" s="1116"/>
      <c r="D2402" s="1595"/>
      <c r="E2402" s="1595"/>
      <c r="F2402" s="1595"/>
      <c r="G2402" s="1595"/>
      <c r="H2402" s="1109"/>
      <c r="I2402" s="1109"/>
      <c r="J2402" s="1109"/>
      <c r="K2402" s="1109"/>
      <c r="L2402" s="1597"/>
      <c r="M2402" s="1598"/>
      <c r="N2402" s="1119"/>
    </row>
    <row r="2403" spans="2:14" x14ac:dyDescent="0.3">
      <c r="B2403" s="1115"/>
      <c r="C2403" s="1116"/>
      <c r="D2403" s="1595"/>
      <c r="E2403" s="1595"/>
      <c r="F2403" s="1595"/>
      <c r="G2403" s="1595"/>
      <c r="H2403" s="1109"/>
      <c r="I2403" s="1109"/>
      <c r="J2403" s="1109"/>
      <c r="K2403" s="1109"/>
      <c r="L2403" s="1597"/>
      <c r="M2403" s="1598"/>
      <c r="N2403" s="1119"/>
    </row>
    <row r="2404" spans="2:14" x14ac:dyDescent="0.3">
      <c r="B2404" s="850"/>
      <c r="C2404" s="461"/>
      <c r="D2404" s="461"/>
      <c r="E2404" s="461"/>
      <c r="F2404" s="1120"/>
      <c r="G2404" s="1120"/>
      <c r="H2404" s="1120"/>
      <c r="I2404" s="1120"/>
      <c r="J2404" s="1120"/>
      <c r="K2404" s="1120"/>
      <c r="L2404" s="1120"/>
      <c r="M2404" s="1121" t="s">
        <v>24702</v>
      </c>
      <c r="N2404" s="1122">
        <f>SUM(N2401:N2403)</f>
        <v>0</v>
      </c>
    </row>
    <row r="2405" spans="2:14" x14ac:dyDescent="0.3">
      <c r="B2405" s="850"/>
      <c r="C2405" s="461"/>
      <c r="D2405" s="461"/>
      <c r="E2405" s="461"/>
      <c r="F2405" s="461"/>
      <c r="G2405" s="461"/>
      <c r="H2405" s="461"/>
      <c r="I2405" s="461"/>
      <c r="J2405" s="461"/>
      <c r="K2405" s="461"/>
      <c r="L2405" s="461"/>
      <c r="M2405" s="461"/>
      <c r="N2405" s="1113"/>
    </row>
    <row r="2406" spans="2:14" x14ac:dyDescent="0.3">
      <c r="B2406" s="1131"/>
      <c r="C2406" s="1132"/>
      <c r="D2406" s="1132"/>
      <c r="E2406" s="1132"/>
      <c r="F2406" s="1133"/>
      <c r="G2406" s="1133"/>
      <c r="H2406" s="1133"/>
      <c r="I2406" s="1133"/>
      <c r="J2406" s="1133"/>
      <c r="K2406" s="1133"/>
      <c r="L2406" s="1133"/>
      <c r="M2406" s="1134" t="s">
        <v>24703</v>
      </c>
      <c r="N2406" s="1123">
        <f>N2388+N2394+N2398+N2404</f>
        <v>35.58</v>
      </c>
    </row>
    <row r="2407" spans="2:14" x14ac:dyDescent="0.3">
      <c r="B2407" s="850"/>
      <c r="C2407" s="461"/>
      <c r="D2407" s="461"/>
      <c r="E2407" s="461"/>
      <c r="F2407" s="1120"/>
      <c r="G2407" s="1120"/>
      <c r="H2407" s="1120"/>
      <c r="I2407" s="1120"/>
      <c r="J2407" s="1120"/>
      <c r="K2407" s="1135"/>
      <c r="L2407" s="1135"/>
      <c r="M2407" s="1136">
        <f>'QUIOSQUE - MOD 01'!I3</f>
        <v>0.28220000000000001</v>
      </c>
      <c r="N2407" s="1123">
        <f>ROUND(N2406*M2407,2)</f>
        <v>10.039999999999999</v>
      </c>
    </row>
    <row r="2408" spans="2:14" ht="15.75" thickBot="1" x14ac:dyDescent="0.35">
      <c r="B2408" s="1599" t="s">
        <v>24704</v>
      </c>
      <c r="C2408" s="1600"/>
      <c r="D2408" s="1600"/>
      <c r="E2408" s="1600"/>
      <c r="F2408" s="1600"/>
      <c r="G2408" s="1600"/>
      <c r="H2408" s="1600"/>
      <c r="I2408" s="1600"/>
      <c r="J2408" s="1600"/>
      <c r="K2408" s="1600"/>
      <c r="L2408" s="1600"/>
      <c r="M2408" s="1601"/>
      <c r="N2408" s="1126">
        <f>N2406+N2407</f>
        <v>45.62</v>
      </c>
    </row>
    <row r="2410" spans="2:14" ht="15.75" thickBot="1" x14ac:dyDescent="0.35"/>
    <row r="2411" spans="2:14" ht="39.75" customHeight="1" x14ac:dyDescent="0.3">
      <c r="B2411" s="1607" t="s">
        <v>25408</v>
      </c>
      <c r="C2411" s="1608"/>
      <c r="D2411" s="1609"/>
      <c r="E2411" s="1610" t="s">
        <v>24669</v>
      </c>
      <c r="F2411" s="1610"/>
      <c r="G2411" s="1610"/>
      <c r="H2411" s="1610"/>
      <c r="I2411" s="1610"/>
      <c r="J2411" s="1610"/>
      <c r="K2411" s="1610"/>
      <c r="L2411" s="1623"/>
      <c r="M2411" s="1576"/>
      <c r="N2411" s="1577"/>
    </row>
    <row r="2412" spans="2:14" x14ac:dyDescent="0.3">
      <c r="B2412" s="1103" t="s">
        <v>24670</v>
      </c>
      <c r="C2412" s="1586" t="s">
        <v>25409</v>
      </c>
      <c r="D2412" s="1586"/>
      <c r="E2412" s="1586"/>
      <c r="F2412" s="1586"/>
      <c r="G2412" s="1586"/>
      <c r="H2412" s="1586"/>
      <c r="I2412" s="1586"/>
      <c r="J2412" s="1586"/>
      <c r="K2412" s="1586"/>
      <c r="L2412" s="1586"/>
      <c r="M2412" s="1586"/>
      <c r="N2412" s="1587"/>
    </row>
    <row r="2413" spans="2:14" x14ac:dyDescent="0.3">
      <c r="B2413" s="1103" t="s">
        <v>24671</v>
      </c>
      <c r="C2413" s="1588" t="s">
        <v>8</v>
      </c>
      <c r="D2413" s="1588"/>
      <c r="E2413" s="1588"/>
      <c r="F2413" s="1588"/>
      <c r="G2413" s="1588"/>
      <c r="H2413" s="1588"/>
      <c r="I2413" s="1588"/>
      <c r="J2413" s="1588"/>
      <c r="K2413" s="1588"/>
      <c r="L2413" s="1588"/>
      <c r="M2413" s="1588"/>
      <c r="N2413" s="1589"/>
    </row>
    <row r="2414" spans="2:14" ht="15.75" thickBot="1" x14ac:dyDescent="0.35">
      <c r="B2414" s="1103" t="s">
        <v>24672</v>
      </c>
      <c r="C2414" s="1590">
        <v>44501</v>
      </c>
      <c r="D2414" s="1591"/>
      <c r="E2414" s="1591"/>
      <c r="F2414" s="1591"/>
      <c r="G2414" s="1591"/>
      <c r="H2414" s="1591"/>
      <c r="I2414" s="1591"/>
      <c r="J2414" s="1591"/>
      <c r="K2414" s="1591"/>
      <c r="L2414" s="1591"/>
      <c r="M2414" s="1591"/>
      <c r="N2414" s="1592"/>
    </row>
    <row r="2415" spans="2:14" ht="30" x14ac:dyDescent="0.3">
      <c r="B2415" s="1104" t="s">
        <v>0</v>
      </c>
      <c r="C2415" s="1105" t="s">
        <v>24673</v>
      </c>
      <c r="D2415" s="1593" t="s">
        <v>24674</v>
      </c>
      <c r="E2415" s="1593"/>
      <c r="F2415" s="1593"/>
      <c r="G2415" s="1594"/>
      <c r="H2415" s="1106" t="s">
        <v>111</v>
      </c>
      <c r="I2415" s="1106" t="s">
        <v>24675</v>
      </c>
      <c r="J2415" s="1106" t="s">
        <v>24676</v>
      </c>
      <c r="K2415" s="1106" t="s">
        <v>24677</v>
      </c>
      <c r="L2415" s="1106" t="s">
        <v>24678</v>
      </c>
      <c r="M2415" s="1621" t="s">
        <v>24679</v>
      </c>
      <c r="N2415" s="1622"/>
    </row>
    <row r="2416" spans="2:14" x14ac:dyDescent="0.3">
      <c r="B2416" s="1115"/>
      <c r="C2416" s="1108"/>
      <c r="D2416" s="1595"/>
      <c r="E2416" s="1595"/>
      <c r="F2416" s="1595"/>
      <c r="G2416" s="1596"/>
      <c r="H2416" s="1109"/>
      <c r="I2416" s="1109"/>
      <c r="J2416" s="1109"/>
      <c r="K2416" s="1109"/>
      <c r="L2416" s="1109"/>
      <c r="M2416" s="1597"/>
      <c r="N2416" s="1620"/>
    </row>
    <row r="2417" spans="2:14" x14ac:dyDescent="0.3">
      <c r="B2417" s="1115"/>
      <c r="C2417" s="1108"/>
      <c r="D2417" s="1595"/>
      <c r="E2417" s="1595"/>
      <c r="F2417" s="1595"/>
      <c r="G2417" s="1596"/>
      <c r="H2417" s="1109"/>
      <c r="I2417" s="1109"/>
      <c r="J2417" s="1109"/>
      <c r="K2417" s="1109"/>
      <c r="L2417" s="1109"/>
      <c r="M2417" s="1597"/>
      <c r="N2417" s="1620"/>
    </row>
    <row r="2418" spans="2:14" x14ac:dyDescent="0.3">
      <c r="B2418" s="1107"/>
      <c r="C2418" s="1108"/>
      <c r="D2418" s="1595"/>
      <c r="E2418" s="1595"/>
      <c r="F2418" s="1595"/>
      <c r="G2418" s="1596"/>
      <c r="H2418" s="1109"/>
      <c r="I2418" s="1109"/>
      <c r="J2418" s="1109"/>
      <c r="K2418" s="1109"/>
      <c r="L2418" s="1109"/>
      <c r="M2418" s="1597"/>
      <c r="N2418" s="1620"/>
    </row>
    <row r="2419" spans="2:14" ht="15.75" thickBot="1" x14ac:dyDescent="0.35">
      <c r="B2419" s="855"/>
      <c r="C2419" s="954"/>
      <c r="D2419" s="954"/>
      <c r="E2419" s="954"/>
      <c r="F2419" s="1110"/>
      <c r="G2419" s="1110"/>
      <c r="H2419" s="1110"/>
      <c r="I2419" s="1110"/>
      <c r="J2419" s="1110"/>
      <c r="K2419" s="1110"/>
      <c r="L2419" s="1110"/>
      <c r="M2419" s="1111" t="s">
        <v>24680</v>
      </c>
      <c r="N2419" s="1112">
        <f>SUM(N2416:N2418)</f>
        <v>0</v>
      </c>
    </row>
    <row r="2420" spans="2:14" ht="15.75" thickBot="1" x14ac:dyDescent="0.35">
      <c r="B2420" s="850"/>
      <c r="C2420" s="461"/>
      <c r="D2420" s="461"/>
      <c r="E2420" s="461"/>
      <c r="F2420" s="461"/>
      <c r="G2420" s="461"/>
      <c r="H2420" s="461"/>
      <c r="I2420" s="461"/>
      <c r="J2420" s="461"/>
      <c r="K2420" s="461"/>
      <c r="L2420" s="461"/>
      <c r="M2420" s="461"/>
      <c r="N2420" s="1113"/>
    </row>
    <row r="2421" spans="2:14" ht="45" x14ac:dyDescent="0.3">
      <c r="B2421" s="1104" t="s">
        <v>0</v>
      </c>
      <c r="C2421" s="1105" t="s">
        <v>24673</v>
      </c>
      <c r="D2421" s="1593" t="s">
        <v>24681</v>
      </c>
      <c r="E2421" s="1593"/>
      <c r="F2421" s="1593"/>
      <c r="G2421" s="1593"/>
      <c r="H2421" s="1594"/>
      <c r="I2421" s="1106" t="s">
        <v>3686</v>
      </c>
      <c r="J2421" s="1106" t="s">
        <v>24682</v>
      </c>
      <c r="K2421" s="1106" t="s">
        <v>25177</v>
      </c>
      <c r="L2421" s="1106" t="s">
        <v>25178</v>
      </c>
      <c r="M2421" s="1106" t="s">
        <v>24683</v>
      </c>
      <c r="N2421" s="1114" t="s">
        <v>24679</v>
      </c>
    </row>
    <row r="2422" spans="2:14" x14ac:dyDescent="0.3">
      <c r="B2422" s="1115">
        <v>10101</v>
      </c>
      <c r="C2422" s="1108" t="s">
        <v>4379</v>
      </c>
      <c r="D2422" s="1604" t="s">
        <v>25268</v>
      </c>
      <c r="E2422" s="1604"/>
      <c r="F2422" s="1604"/>
      <c r="G2422" s="1604"/>
      <c r="H2422" s="1605"/>
      <c r="I2422" s="1109" t="s">
        <v>75</v>
      </c>
      <c r="J2422" s="1117">
        <v>1.5727</v>
      </c>
      <c r="K2422" s="1109">
        <v>6.27</v>
      </c>
      <c r="L2422" s="1109">
        <f>K2422*(1+J2422)</f>
        <v>16.13</v>
      </c>
      <c r="M2422" s="1118">
        <v>0.44429999999999997</v>
      </c>
      <c r="N2422" s="1119">
        <f>M2422*L2422</f>
        <v>7.17</v>
      </c>
    </row>
    <row r="2423" spans="2:14" x14ac:dyDescent="0.3">
      <c r="B2423" s="1115">
        <v>10118</v>
      </c>
      <c r="C2423" s="1108" t="s">
        <v>4379</v>
      </c>
      <c r="D2423" s="1604" t="s">
        <v>25186</v>
      </c>
      <c r="E2423" s="1604"/>
      <c r="F2423" s="1604"/>
      <c r="G2423" s="1604"/>
      <c r="H2423" s="1605"/>
      <c r="I2423" s="1109" t="s">
        <v>75</v>
      </c>
      <c r="J2423" s="1117">
        <v>1.5727</v>
      </c>
      <c r="K2423" s="1109">
        <v>7.43</v>
      </c>
      <c r="L2423" s="1109">
        <f>K2423*(1+J2423)</f>
        <v>19.12</v>
      </c>
      <c r="M2423" s="1118">
        <v>0.87880000000000003</v>
      </c>
      <c r="N2423" s="1119">
        <f>M2423*L2423</f>
        <v>16.8</v>
      </c>
    </row>
    <row r="2424" spans="2:14" ht="15.75" thickBot="1" x14ac:dyDescent="0.35">
      <c r="B2424" s="855"/>
      <c r="C2424" s="954"/>
      <c r="D2424" s="954"/>
      <c r="E2424" s="954"/>
      <c r="F2424" s="1110"/>
      <c r="G2424" s="1110"/>
      <c r="H2424" s="1110"/>
      <c r="I2424" s="1110"/>
      <c r="J2424" s="1110"/>
      <c r="K2424" s="1110"/>
      <c r="L2424" s="1110"/>
      <c r="M2424" s="1111" t="s">
        <v>24684</v>
      </c>
      <c r="N2424" s="1112">
        <f>SUM(N2422:N2423)</f>
        <v>23.97</v>
      </c>
    </row>
    <row r="2425" spans="2:14" ht="15.75" thickBot="1" x14ac:dyDescent="0.35">
      <c r="B2425" s="850"/>
      <c r="C2425" s="461"/>
      <c r="D2425" s="461"/>
      <c r="E2425" s="461"/>
      <c r="F2425" s="461"/>
      <c r="G2425" s="461"/>
      <c r="H2425" s="461"/>
      <c r="I2425" s="1120"/>
      <c r="J2425" s="1120"/>
      <c r="K2425" s="461"/>
      <c r="L2425" s="461"/>
      <c r="M2425" s="461"/>
      <c r="N2425" s="1113"/>
    </row>
    <row r="2426" spans="2:14" ht="30" x14ac:dyDescent="0.3">
      <c r="B2426" s="1104" t="s">
        <v>0</v>
      </c>
      <c r="C2426" s="1105" t="s">
        <v>24673</v>
      </c>
      <c r="D2426" s="1593" t="s">
        <v>24685</v>
      </c>
      <c r="E2426" s="1593"/>
      <c r="F2426" s="1593"/>
      <c r="G2426" s="1593"/>
      <c r="H2426" s="1594"/>
      <c r="I2426" s="1106" t="s">
        <v>2858</v>
      </c>
      <c r="J2426" s="1106" t="s">
        <v>24686</v>
      </c>
      <c r="K2426" s="1106" t="s">
        <v>24687</v>
      </c>
      <c r="L2426" s="1614" t="s">
        <v>24688</v>
      </c>
      <c r="M2426" s="1615"/>
      <c r="N2426" s="1114" t="s">
        <v>24689</v>
      </c>
    </row>
    <row r="2427" spans="2:14" x14ac:dyDescent="0.3">
      <c r="B2427" s="1115"/>
      <c r="C2427" s="1116"/>
      <c r="D2427" s="1604"/>
      <c r="E2427" s="1604"/>
      <c r="F2427" s="1604"/>
      <c r="G2427" s="1604"/>
      <c r="H2427" s="1605"/>
      <c r="I2427" s="1109"/>
      <c r="J2427" s="1109"/>
      <c r="K2427" s="1109"/>
      <c r="L2427" s="1597"/>
      <c r="M2427" s="1598"/>
      <c r="N2427" s="1119">
        <f>N2424*(I2427/100)</f>
        <v>0</v>
      </c>
    </row>
    <row r="2428" spans="2:14" x14ac:dyDescent="0.3">
      <c r="B2428" s="850"/>
      <c r="C2428" s="461"/>
      <c r="D2428" s="461"/>
      <c r="E2428" s="461"/>
      <c r="F2428" s="1120"/>
      <c r="G2428" s="1120"/>
      <c r="H2428" s="1120"/>
      <c r="I2428" s="1120"/>
      <c r="J2428" s="1120"/>
      <c r="K2428" s="1120"/>
      <c r="L2428" s="1120"/>
      <c r="M2428" s="1121" t="s">
        <v>24690</v>
      </c>
      <c r="N2428" s="1122">
        <f>SUM(N2427:N2427)</f>
        <v>0</v>
      </c>
    </row>
    <row r="2429" spans="2:14" x14ac:dyDescent="0.3">
      <c r="B2429" s="850"/>
      <c r="C2429" s="461"/>
      <c r="D2429" s="461"/>
      <c r="E2429" s="461"/>
      <c r="F2429" s="461"/>
      <c r="G2429" s="461"/>
      <c r="H2429" s="461"/>
      <c r="I2429" s="461"/>
      <c r="J2429" s="461"/>
      <c r="K2429" s="461"/>
      <c r="L2429" s="461"/>
      <c r="M2429" s="461"/>
      <c r="N2429" s="1113"/>
    </row>
    <row r="2430" spans="2:14" x14ac:dyDescent="0.3">
      <c r="B2430" s="850"/>
      <c r="C2430" s="461"/>
      <c r="D2430" s="461"/>
      <c r="E2430" s="461"/>
      <c r="F2430" s="1120"/>
      <c r="G2430" s="1120"/>
      <c r="H2430" s="1120"/>
      <c r="I2430" s="863"/>
      <c r="J2430" s="863"/>
      <c r="K2430" s="863"/>
      <c r="L2430" s="863"/>
      <c r="M2430" s="1121" t="s">
        <v>24691</v>
      </c>
      <c r="N2430" s="1123">
        <f>N2419+N2424+N2428</f>
        <v>23.97</v>
      </c>
    </row>
    <row r="2431" spans="2:14" x14ac:dyDescent="0.3">
      <c r="B2431" s="850"/>
      <c r="C2431" s="461"/>
      <c r="D2431" s="461"/>
      <c r="E2431" s="461"/>
      <c r="F2431" s="1120"/>
      <c r="G2431" s="1120"/>
      <c r="H2431" s="1120"/>
      <c r="I2431" s="1120"/>
      <c r="J2431" s="1124"/>
      <c r="K2431" s="1124"/>
      <c r="L2431" s="1124"/>
      <c r="M2431" s="1125" t="s">
        <v>24692</v>
      </c>
      <c r="N2431" s="1123">
        <v>1</v>
      </c>
    </row>
    <row r="2432" spans="2:14" ht="15.75" thickBot="1" x14ac:dyDescent="0.35">
      <c r="B2432" s="855"/>
      <c r="C2432" s="954"/>
      <c r="D2432" s="954"/>
      <c r="E2432" s="954"/>
      <c r="F2432" s="1110"/>
      <c r="G2432" s="1110"/>
      <c r="H2432" s="1110"/>
      <c r="I2432" s="1110"/>
      <c r="J2432" s="1110"/>
      <c r="K2432" s="1110"/>
      <c r="L2432" s="1110"/>
      <c r="M2432" s="1111" t="s">
        <v>24693</v>
      </c>
      <c r="N2432" s="1126">
        <f>TRUNC(N2430/N2431,2)</f>
        <v>23.97</v>
      </c>
    </row>
    <row r="2433" spans="2:14" ht="15.75" thickBot="1" x14ac:dyDescent="0.35">
      <c r="B2433" s="850"/>
      <c r="C2433" s="461"/>
      <c r="D2433" s="461"/>
      <c r="E2433" s="461"/>
      <c r="F2433" s="461"/>
      <c r="G2433" s="461"/>
      <c r="H2433" s="461"/>
      <c r="I2433" s="461"/>
      <c r="J2433" s="461"/>
      <c r="K2433" s="461"/>
      <c r="L2433" s="461"/>
      <c r="M2433" s="461"/>
      <c r="N2433" s="1113"/>
    </row>
    <row r="2434" spans="2:14" ht="30" x14ac:dyDescent="0.3">
      <c r="B2434" s="1104" t="s">
        <v>0</v>
      </c>
      <c r="C2434" s="1105" t="s">
        <v>24673</v>
      </c>
      <c r="D2434" s="1593" t="s">
        <v>24694</v>
      </c>
      <c r="E2434" s="1593"/>
      <c r="F2434" s="1593"/>
      <c r="G2434" s="1593"/>
      <c r="H2434" s="1593"/>
      <c r="I2434" s="1594"/>
      <c r="J2434" s="1106" t="s">
        <v>3686</v>
      </c>
      <c r="K2434" s="1106" t="s">
        <v>24695</v>
      </c>
      <c r="L2434" s="1614" t="s">
        <v>24683</v>
      </c>
      <c r="M2434" s="1615"/>
      <c r="N2434" s="1114" t="s">
        <v>24689</v>
      </c>
    </row>
    <row r="2435" spans="2:14" x14ac:dyDescent="0.3">
      <c r="B2435" s="1149">
        <v>4351</v>
      </c>
      <c r="C2435" s="1155" t="s">
        <v>24706</v>
      </c>
      <c r="D2435" s="1616" t="s">
        <v>25410</v>
      </c>
      <c r="E2435" s="1616"/>
      <c r="F2435" s="1616"/>
      <c r="G2435" s="1616"/>
      <c r="H2435" s="1616"/>
      <c r="I2435" s="1617"/>
      <c r="J2435" s="1151" t="s">
        <v>24804</v>
      </c>
      <c r="K2435" s="1151">
        <v>14.4</v>
      </c>
      <c r="L2435" s="1618">
        <v>6</v>
      </c>
      <c r="M2435" s="1619"/>
      <c r="N2435" s="1130">
        <f>L2435*K2435</f>
        <v>86.4</v>
      </c>
    </row>
    <row r="2436" spans="2:14" x14ac:dyDescent="0.3">
      <c r="B2436" s="1149">
        <v>36794</v>
      </c>
      <c r="C2436" s="1155" t="s">
        <v>24706</v>
      </c>
      <c r="D2436" s="1616" t="s">
        <v>25411</v>
      </c>
      <c r="E2436" s="1616"/>
      <c r="F2436" s="1616"/>
      <c r="G2436" s="1616"/>
      <c r="H2436" s="1616"/>
      <c r="I2436" s="1617"/>
      <c r="J2436" s="1151" t="s">
        <v>24804</v>
      </c>
      <c r="K2436" s="1151">
        <v>132.05000000000001</v>
      </c>
      <c r="L2436" s="1618">
        <v>1</v>
      </c>
      <c r="M2436" s="1619"/>
      <c r="N2436" s="1130">
        <f t="shared" ref="N2436:N2437" si="43">L2436*K2436</f>
        <v>132.05000000000001</v>
      </c>
    </row>
    <row r="2437" spans="2:14" x14ac:dyDescent="0.3">
      <c r="B2437" s="1149">
        <v>37329</v>
      </c>
      <c r="C2437" s="1155" t="s">
        <v>24706</v>
      </c>
      <c r="D2437" s="1616" t="s">
        <v>25412</v>
      </c>
      <c r="E2437" s="1616"/>
      <c r="F2437" s="1616"/>
      <c r="G2437" s="1616"/>
      <c r="H2437" s="1616"/>
      <c r="I2437" s="1617"/>
      <c r="J2437" s="1151" t="s">
        <v>24804</v>
      </c>
      <c r="K2437" s="1151">
        <v>66.78</v>
      </c>
      <c r="L2437" s="1618">
        <v>7.6499999999999999E-2</v>
      </c>
      <c r="M2437" s="1619"/>
      <c r="N2437" s="1130">
        <f t="shared" si="43"/>
        <v>5.1100000000000003</v>
      </c>
    </row>
    <row r="2438" spans="2:14" ht="15.75" thickBot="1" x14ac:dyDescent="0.35">
      <c r="B2438" s="855"/>
      <c r="C2438" s="954"/>
      <c r="D2438" s="954"/>
      <c r="E2438" s="954"/>
      <c r="F2438" s="1110"/>
      <c r="G2438" s="1110"/>
      <c r="H2438" s="1110"/>
      <c r="I2438" s="1110"/>
      <c r="J2438" s="1110"/>
      <c r="K2438" s="1110"/>
      <c r="L2438" s="1110"/>
      <c r="M2438" s="1111" t="s">
        <v>24696</v>
      </c>
      <c r="N2438" s="1112">
        <f>SUM(N2435:N2437)</f>
        <v>223.56</v>
      </c>
    </row>
    <row r="2439" spans="2:14" ht="15.75" thickBot="1" x14ac:dyDescent="0.35">
      <c r="B2439" s="850"/>
      <c r="C2439" s="461"/>
      <c r="D2439" s="461"/>
      <c r="E2439" s="461"/>
      <c r="F2439" s="461"/>
      <c r="G2439" s="461"/>
      <c r="H2439" s="461"/>
      <c r="I2439" s="461"/>
      <c r="J2439" s="461"/>
      <c r="K2439" s="461"/>
      <c r="L2439" s="461"/>
      <c r="M2439" s="461"/>
      <c r="N2439" s="1113"/>
    </row>
    <row r="2440" spans="2:14" ht="30" x14ac:dyDescent="0.3">
      <c r="B2440" s="1104" t="s">
        <v>0</v>
      </c>
      <c r="C2440" s="1106" t="s">
        <v>24673</v>
      </c>
      <c r="D2440" s="1593" t="s">
        <v>24697</v>
      </c>
      <c r="E2440" s="1593"/>
      <c r="F2440" s="1593"/>
      <c r="G2440" s="1593"/>
      <c r="H2440" s="1593"/>
      <c r="I2440" s="1594"/>
      <c r="J2440" s="1106" t="s">
        <v>3686</v>
      </c>
      <c r="K2440" s="1106" t="s">
        <v>24695</v>
      </c>
      <c r="L2440" s="1614" t="s">
        <v>24683</v>
      </c>
      <c r="M2440" s="1615"/>
      <c r="N2440" s="1114" t="s">
        <v>24689</v>
      </c>
    </row>
    <row r="2441" spans="2:14" x14ac:dyDescent="0.3">
      <c r="B2441" s="1127"/>
      <c r="C2441" s="1128"/>
      <c r="D2441" s="1604"/>
      <c r="E2441" s="1604"/>
      <c r="F2441" s="1604"/>
      <c r="G2441" s="1604"/>
      <c r="H2441" s="1604"/>
      <c r="I2441" s="1605"/>
      <c r="J2441" s="462"/>
      <c r="K2441" s="462"/>
      <c r="L2441" s="1612"/>
      <c r="M2441" s="1613"/>
      <c r="N2441" s="1130"/>
    </row>
    <row r="2442" spans="2:14" ht="15.75" thickBot="1" x14ac:dyDescent="0.35">
      <c r="B2442" s="855"/>
      <c r="C2442" s="954"/>
      <c r="D2442" s="954"/>
      <c r="E2442" s="954"/>
      <c r="F2442" s="1110"/>
      <c r="G2442" s="1110"/>
      <c r="H2442" s="1110"/>
      <c r="I2442" s="1110"/>
      <c r="J2442" s="1110"/>
      <c r="K2442" s="1110"/>
      <c r="L2442" s="1110"/>
      <c r="M2442" s="1111" t="s">
        <v>24698</v>
      </c>
      <c r="N2442" s="1112">
        <f>SUM(N2441:N2441)</f>
        <v>0</v>
      </c>
    </row>
    <row r="2443" spans="2:14" ht="15.75" thickBot="1" x14ac:dyDescent="0.35">
      <c r="B2443" s="850"/>
      <c r="C2443" s="461"/>
      <c r="D2443" s="461"/>
      <c r="E2443" s="461"/>
      <c r="F2443" s="461"/>
      <c r="G2443" s="461"/>
      <c r="H2443" s="461"/>
      <c r="I2443" s="461"/>
      <c r="J2443" s="461"/>
      <c r="K2443" s="461"/>
      <c r="L2443" s="461"/>
      <c r="M2443" s="461"/>
      <c r="N2443" s="1113"/>
    </row>
    <row r="2444" spans="2:14" ht="30" x14ac:dyDescent="0.3">
      <c r="B2444" s="1104" t="s">
        <v>0</v>
      </c>
      <c r="C2444" s="1106" t="s">
        <v>24673</v>
      </c>
      <c r="D2444" s="1593" t="s">
        <v>24699</v>
      </c>
      <c r="E2444" s="1593"/>
      <c r="F2444" s="1593"/>
      <c r="G2444" s="1594"/>
      <c r="H2444" s="1106" t="s">
        <v>3686</v>
      </c>
      <c r="I2444" s="1106" t="s">
        <v>24700</v>
      </c>
      <c r="J2444" s="1106" t="s">
        <v>24701</v>
      </c>
      <c r="K2444" s="1106" t="s">
        <v>24695</v>
      </c>
      <c r="L2444" s="1614" t="s">
        <v>24683</v>
      </c>
      <c r="M2444" s="1615"/>
      <c r="N2444" s="1114" t="s">
        <v>24689</v>
      </c>
    </row>
    <row r="2445" spans="2:14" x14ac:dyDescent="0.3">
      <c r="B2445" s="1115"/>
      <c r="C2445" s="1116"/>
      <c r="D2445" s="1595"/>
      <c r="E2445" s="1595"/>
      <c r="F2445" s="1595"/>
      <c r="G2445" s="1595"/>
      <c r="H2445" s="1109"/>
      <c r="I2445" s="1109"/>
      <c r="J2445" s="1109"/>
      <c r="K2445" s="1109"/>
      <c r="L2445" s="1597"/>
      <c r="M2445" s="1598"/>
      <c r="N2445" s="1119"/>
    </row>
    <row r="2446" spans="2:14" x14ac:dyDescent="0.3">
      <c r="B2446" s="1115"/>
      <c r="C2446" s="1116"/>
      <c r="D2446" s="1595"/>
      <c r="E2446" s="1595"/>
      <c r="F2446" s="1595"/>
      <c r="G2446" s="1595"/>
      <c r="H2446" s="1109"/>
      <c r="I2446" s="1109"/>
      <c r="J2446" s="1109"/>
      <c r="K2446" s="1109"/>
      <c r="L2446" s="1597"/>
      <c r="M2446" s="1598"/>
      <c r="N2446" s="1119"/>
    </row>
    <row r="2447" spans="2:14" x14ac:dyDescent="0.3">
      <c r="B2447" s="1115"/>
      <c r="C2447" s="1116"/>
      <c r="D2447" s="1595"/>
      <c r="E2447" s="1595"/>
      <c r="F2447" s="1595"/>
      <c r="G2447" s="1595"/>
      <c r="H2447" s="1109"/>
      <c r="I2447" s="1109"/>
      <c r="J2447" s="1109"/>
      <c r="K2447" s="1109"/>
      <c r="L2447" s="1597"/>
      <c r="M2447" s="1598"/>
      <c r="N2447" s="1119"/>
    </row>
    <row r="2448" spans="2:14" x14ac:dyDescent="0.3">
      <c r="B2448" s="850"/>
      <c r="C2448" s="461"/>
      <c r="D2448" s="461"/>
      <c r="E2448" s="461"/>
      <c r="F2448" s="1120"/>
      <c r="G2448" s="1120"/>
      <c r="H2448" s="1120"/>
      <c r="I2448" s="1120"/>
      <c r="J2448" s="1120"/>
      <c r="K2448" s="1120"/>
      <c r="L2448" s="1120"/>
      <c r="M2448" s="1121" t="s">
        <v>24702</v>
      </c>
      <c r="N2448" s="1122">
        <f>SUM(N2445:N2447)</f>
        <v>0</v>
      </c>
    </row>
    <row r="2449" spans="2:14" x14ac:dyDescent="0.3">
      <c r="B2449" s="850"/>
      <c r="C2449" s="461"/>
      <c r="D2449" s="461"/>
      <c r="E2449" s="461"/>
      <c r="F2449" s="461"/>
      <c r="G2449" s="461"/>
      <c r="H2449" s="461"/>
      <c r="I2449" s="461"/>
      <c r="J2449" s="461"/>
      <c r="K2449" s="461"/>
      <c r="L2449" s="461"/>
      <c r="M2449" s="461"/>
      <c r="N2449" s="1113"/>
    </row>
    <row r="2450" spans="2:14" x14ac:dyDescent="0.3">
      <c r="B2450" s="1131"/>
      <c r="C2450" s="1132"/>
      <c r="D2450" s="1132"/>
      <c r="E2450" s="1132"/>
      <c r="F2450" s="1133"/>
      <c r="G2450" s="1133"/>
      <c r="H2450" s="1133"/>
      <c r="I2450" s="1133"/>
      <c r="J2450" s="1133"/>
      <c r="K2450" s="1133"/>
      <c r="L2450" s="1133"/>
      <c r="M2450" s="1134" t="s">
        <v>24703</v>
      </c>
      <c r="N2450" s="1123">
        <f>N2432+N2438+N2442+N2448</f>
        <v>247.53</v>
      </c>
    </row>
    <row r="2451" spans="2:14" x14ac:dyDescent="0.3">
      <c r="B2451" s="850"/>
      <c r="C2451" s="461"/>
      <c r="D2451" s="461"/>
      <c r="E2451" s="461"/>
      <c r="F2451" s="1120"/>
      <c r="G2451" s="1120"/>
      <c r="H2451" s="1120"/>
      <c r="I2451" s="1120"/>
      <c r="J2451" s="1120"/>
      <c r="K2451" s="1135"/>
      <c r="L2451" s="1135"/>
      <c r="M2451" s="1136">
        <f>'QUIOSQUE - MOD 01'!I3</f>
        <v>0.28220000000000001</v>
      </c>
      <c r="N2451" s="1123">
        <f>ROUND(N2450*M2451,2)</f>
        <v>69.849999999999994</v>
      </c>
    </row>
    <row r="2452" spans="2:14" ht="15.75" thickBot="1" x14ac:dyDescent="0.35">
      <c r="B2452" s="1599" t="s">
        <v>24704</v>
      </c>
      <c r="C2452" s="1600"/>
      <c r="D2452" s="1600"/>
      <c r="E2452" s="1600"/>
      <c r="F2452" s="1600"/>
      <c r="G2452" s="1600"/>
      <c r="H2452" s="1600"/>
      <c r="I2452" s="1600"/>
      <c r="J2452" s="1600"/>
      <c r="K2452" s="1600"/>
      <c r="L2452" s="1600"/>
      <c r="M2452" s="1601"/>
      <c r="N2452" s="1126">
        <f>N2450+N2451</f>
        <v>317.38</v>
      </c>
    </row>
    <row r="2455" spans="2:14" ht="15.75" thickBot="1" x14ac:dyDescent="0.35"/>
    <row r="2456" spans="2:14" ht="43.5" customHeight="1" x14ac:dyDescent="0.3">
      <c r="B2456" s="1607" t="s">
        <v>25413</v>
      </c>
      <c r="C2456" s="1608"/>
      <c r="D2456" s="1609"/>
      <c r="E2456" s="1610" t="s">
        <v>24669</v>
      </c>
      <c r="F2456" s="1610"/>
      <c r="G2456" s="1610"/>
      <c r="H2456" s="1610"/>
      <c r="I2456" s="1610"/>
      <c r="J2456" s="1610"/>
      <c r="K2456" s="1610"/>
      <c r="L2456" s="1623"/>
      <c r="M2456" s="1576"/>
      <c r="N2456" s="1577"/>
    </row>
    <row r="2457" spans="2:14" x14ac:dyDescent="0.3">
      <c r="B2457" s="1103" t="s">
        <v>24670</v>
      </c>
      <c r="C2457" s="1586" t="s">
        <v>25414</v>
      </c>
      <c r="D2457" s="1586"/>
      <c r="E2457" s="1586"/>
      <c r="F2457" s="1586"/>
      <c r="G2457" s="1586"/>
      <c r="H2457" s="1586"/>
      <c r="I2457" s="1586"/>
      <c r="J2457" s="1586"/>
      <c r="K2457" s="1586"/>
      <c r="L2457" s="1586"/>
      <c r="M2457" s="1586"/>
      <c r="N2457" s="1587"/>
    </row>
    <row r="2458" spans="2:14" x14ac:dyDescent="0.3">
      <c r="B2458" s="1103" t="s">
        <v>24671</v>
      </c>
      <c r="C2458" s="1588" t="s">
        <v>8</v>
      </c>
      <c r="D2458" s="1588"/>
      <c r="E2458" s="1588"/>
      <c r="F2458" s="1588"/>
      <c r="G2458" s="1588"/>
      <c r="H2458" s="1588"/>
      <c r="I2458" s="1588"/>
      <c r="J2458" s="1588"/>
      <c r="K2458" s="1588"/>
      <c r="L2458" s="1588"/>
      <c r="M2458" s="1588"/>
      <c r="N2458" s="1589"/>
    </row>
    <row r="2459" spans="2:14" ht="15.75" thickBot="1" x14ac:dyDescent="0.35">
      <c r="B2459" s="1103" t="s">
        <v>24672</v>
      </c>
      <c r="C2459" s="1590">
        <v>44501</v>
      </c>
      <c r="D2459" s="1591"/>
      <c r="E2459" s="1591"/>
      <c r="F2459" s="1591"/>
      <c r="G2459" s="1591"/>
      <c r="H2459" s="1591"/>
      <c r="I2459" s="1591"/>
      <c r="J2459" s="1591"/>
      <c r="K2459" s="1591"/>
      <c r="L2459" s="1591"/>
      <c r="M2459" s="1591"/>
      <c r="N2459" s="1592"/>
    </row>
    <row r="2460" spans="2:14" ht="30" x14ac:dyDescent="0.3">
      <c r="B2460" s="1104" t="s">
        <v>0</v>
      </c>
      <c r="C2460" s="1105" t="s">
        <v>24673</v>
      </c>
      <c r="D2460" s="1593" t="s">
        <v>24674</v>
      </c>
      <c r="E2460" s="1593"/>
      <c r="F2460" s="1593"/>
      <c r="G2460" s="1594"/>
      <c r="H2460" s="1106" t="s">
        <v>111</v>
      </c>
      <c r="I2460" s="1106" t="s">
        <v>24675</v>
      </c>
      <c r="J2460" s="1106" t="s">
        <v>24676</v>
      </c>
      <c r="K2460" s="1106" t="s">
        <v>24677</v>
      </c>
      <c r="L2460" s="1106" t="s">
        <v>24678</v>
      </c>
      <c r="M2460" s="1621" t="s">
        <v>24679</v>
      </c>
      <c r="N2460" s="1622"/>
    </row>
    <row r="2461" spans="2:14" x14ac:dyDescent="0.3">
      <c r="B2461" s="1115"/>
      <c r="C2461" s="1108"/>
      <c r="D2461" s="1595"/>
      <c r="E2461" s="1595"/>
      <c r="F2461" s="1595"/>
      <c r="G2461" s="1596"/>
      <c r="H2461" s="1109"/>
      <c r="I2461" s="1109"/>
      <c r="J2461" s="1109"/>
      <c r="K2461" s="1109"/>
      <c r="L2461" s="1109"/>
      <c r="M2461" s="1597"/>
      <c r="N2461" s="1620"/>
    </row>
    <row r="2462" spans="2:14" x14ac:dyDescent="0.3">
      <c r="B2462" s="1115"/>
      <c r="C2462" s="1108"/>
      <c r="D2462" s="1595"/>
      <c r="E2462" s="1595"/>
      <c r="F2462" s="1595"/>
      <c r="G2462" s="1596"/>
      <c r="H2462" s="1109"/>
      <c r="I2462" s="1109"/>
      <c r="J2462" s="1109"/>
      <c r="K2462" s="1109"/>
      <c r="L2462" s="1109"/>
      <c r="M2462" s="1597"/>
      <c r="N2462" s="1620"/>
    </row>
    <row r="2463" spans="2:14" x14ac:dyDescent="0.3">
      <c r="B2463" s="1107"/>
      <c r="C2463" s="1108"/>
      <c r="D2463" s="1595"/>
      <c r="E2463" s="1595"/>
      <c r="F2463" s="1595"/>
      <c r="G2463" s="1596"/>
      <c r="H2463" s="1109"/>
      <c r="I2463" s="1109"/>
      <c r="J2463" s="1109"/>
      <c r="K2463" s="1109"/>
      <c r="L2463" s="1109"/>
      <c r="M2463" s="1597"/>
      <c r="N2463" s="1620"/>
    </row>
    <row r="2464" spans="2:14" ht="15.75" thickBot="1" x14ac:dyDescent="0.35">
      <c r="B2464" s="855"/>
      <c r="C2464" s="954"/>
      <c r="D2464" s="954"/>
      <c r="E2464" s="954"/>
      <c r="F2464" s="1110"/>
      <c r="G2464" s="1110"/>
      <c r="H2464" s="1110"/>
      <c r="I2464" s="1110"/>
      <c r="J2464" s="1110"/>
      <c r="K2464" s="1110"/>
      <c r="L2464" s="1110"/>
      <c r="M2464" s="1111" t="s">
        <v>24680</v>
      </c>
      <c r="N2464" s="1112">
        <f>SUM(N2461:N2463)</f>
        <v>0</v>
      </c>
    </row>
    <row r="2465" spans="2:14" ht="15.75" thickBot="1" x14ac:dyDescent="0.35">
      <c r="B2465" s="850"/>
      <c r="C2465" s="461"/>
      <c r="D2465" s="461"/>
      <c r="E2465" s="461"/>
      <c r="F2465" s="461"/>
      <c r="G2465" s="461"/>
      <c r="H2465" s="461"/>
      <c r="I2465" s="461"/>
      <c r="J2465" s="461"/>
      <c r="K2465" s="461"/>
      <c r="L2465" s="461"/>
      <c r="M2465" s="461"/>
      <c r="N2465" s="1113"/>
    </row>
    <row r="2466" spans="2:14" ht="45" x14ac:dyDescent="0.3">
      <c r="B2466" s="1104" t="s">
        <v>0</v>
      </c>
      <c r="C2466" s="1105" t="s">
        <v>24673</v>
      </c>
      <c r="D2466" s="1593" t="s">
        <v>24681</v>
      </c>
      <c r="E2466" s="1593"/>
      <c r="F2466" s="1593"/>
      <c r="G2466" s="1593"/>
      <c r="H2466" s="1594"/>
      <c r="I2466" s="1106" t="s">
        <v>3686</v>
      </c>
      <c r="J2466" s="1106" t="s">
        <v>24682</v>
      </c>
      <c r="K2466" s="1106" t="s">
        <v>25177</v>
      </c>
      <c r="L2466" s="1106" t="s">
        <v>25178</v>
      </c>
      <c r="M2466" s="1106" t="s">
        <v>24683</v>
      </c>
      <c r="N2466" s="1114" t="s">
        <v>24679</v>
      </c>
    </row>
    <row r="2467" spans="2:14" x14ac:dyDescent="0.3">
      <c r="B2467" s="1115">
        <v>10101</v>
      </c>
      <c r="C2467" s="1108" t="s">
        <v>4379</v>
      </c>
      <c r="D2467" s="1604" t="s">
        <v>25268</v>
      </c>
      <c r="E2467" s="1604"/>
      <c r="F2467" s="1604"/>
      <c r="G2467" s="1604"/>
      <c r="H2467" s="1605"/>
      <c r="I2467" s="1109" t="s">
        <v>75</v>
      </c>
      <c r="J2467" s="1117">
        <v>1.5727</v>
      </c>
      <c r="K2467" s="1109">
        <v>6.27</v>
      </c>
      <c r="L2467" s="1109">
        <f>K2467*(1+J2467)</f>
        <v>16.13</v>
      </c>
      <c r="M2467" s="1118">
        <v>0.29880000000000001</v>
      </c>
      <c r="N2467" s="1119">
        <f>M2467*L2467</f>
        <v>4.82</v>
      </c>
    </row>
    <row r="2468" spans="2:14" x14ac:dyDescent="0.3">
      <c r="B2468" s="1115">
        <v>10118</v>
      </c>
      <c r="C2468" s="1108" t="s">
        <v>4379</v>
      </c>
      <c r="D2468" s="1604" t="s">
        <v>25186</v>
      </c>
      <c r="E2468" s="1604"/>
      <c r="F2468" s="1604"/>
      <c r="G2468" s="1604"/>
      <c r="H2468" s="1605"/>
      <c r="I2468" s="1109" t="s">
        <v>75</v>
      </c>
      <c r="J2468" s="1117">
        <v>1.5727</v>
      </c>
      <c r="K2468" s="1109">
        <v>7.43</v>
      </c>
      <c r="L2468" s="1109">
        <f>K2468*(1+J2468)</f>
        <v>19.12</v>
      </c>
      <c r="M2468" s="1118">
        <v>0.94850000000000001</v>
      </c>
      <c r="N2468" s="1119">
        <f>M2468*L2468</f>
        <v>18.14</v>
      </c>
    </row>
    <row r="2469" spans="2:14" ht="15.75" thickBot="1" x14ac:dyDescent="0.35">
      <c r="B2469" s="855"/>
      <c r="C2469" s="954"/>
      <c r="D2469" s="954"/>
      <c r="E2469" s="954"/>
      <c r="F2469" s="1110"/>
      <c r="G2469" s="1110"/>
      <c r="H2469" s="1110"/>
      <c r="I2469" s="1110"/>
      <c r="J2469" s="1110"/>
      <c r="K2469" s="1110"/>
      <c r="L2469" s="1110"/>
      <c r="M2469" s="1111" t="s">
        <v>24684</v>
      </c>
      <c r="N2469" s="1112">
        <f>SUM(N2467:N2468)</f>
        <v>22.96</v>
      </c>
    </row>
    <row r="2470" spans="2:14" ht="15.75" thickBot="1" x14ac:dyDescent="0.35">
      <c r="B2470" s="850"/>
      <c r="C2470" s="461"/>
      <c r="D2470" s="461"/>
      <c r="E2470" s="461"/>
      <c r="F2470" s="461"/>
      <c r="G2470" s="461"/>
      <c r="H2470" s="461"/>
      <c r="I2470" s="1120"/>
      <c r="J2470" s="1120"/>
      <c r="K2470" s="461"/>
      <c r="L2470" s="461"/>
      <c r="M2470" s="461"/>
      <c r="N2470" s="1113"/>
    </row>
    <row r="2471" spans="2:14" ht="30" x14ac:dyDescent="0.3">
      <c r="B2471" s="1104" t="s">
        <v>0</v>
      </c>
      <c r="C2471" s="1105" t="s">
        <v>24673</v>
      </c>
      <c r="D2471" s="1593" t="s">
        <v>24685</v>
      </c>
      <c r="E2471" s="1593"/>
      <c r="F2471" s="1593"/>
      <c r="G2471" s="1593"/>
      <c r="H2471" s="1594"/>
      <c r="I2471" s="1106" t="s">
        <v>2858</v>
      </c>
      <c r="J2471" s="1106" t="s">
        <v>24686</v>
      </c>
      <c r="K2471" s="1106" t="s">
        <v>24687</v>
      </c>
      <c r="L2471" s="1614" t="s">
        <v>24688</v>
      </c>
      <c r="M2471" s="1615"/>
      <c r="N2471" s="1114" t="s">
        <v>24689</v>
      </c>
    </row>
    <row r="2472" spans="2:14" x14ac:dyDescent="0.3">
      <c r="B2472" s="1115"/>
      <c r="C2472" s="1116"/>
      <c r="D2472" s="1604"/>
      <c r="E2472" s="1604"/>
      <c r="F2472" s="1604"/>
      <c r="G2472" s="1604"/>
      <c r="H2472" s="1605"/>
      <c r="I2472" s="1109"/>
      <c r="J2472" s="1109"/>
      <c r="K2472" s="1109"/>
      <c r="L2472" s="1597"/>
      <c r="M2472" s="1598"/>
      <c r="N2472" s="1119">
        <f>N2469*(I2472/100)</f>
        <v>0</v>
      </c>
    </row>
    <row r="2473" spans="2:14" x14ac:dyDescent="0.3">
      <c r="B2473" s="850"/>
      <c r="C2473" s="461"/>
      <c r="D2473" s="461"/>
      <c r="E2473" s="461"/>
      <c r="F2473" s="1120"/>
      <c r="G2473" s="1120"/>
      <c r="H2473" s="1120"/>
      <c r="I2473" s="1120"/>
      <c r="J2473" s="1120"/>
      <c r="K2473" s="1120"/>
      <c r="L2473" s="1120"/>
      <c r="M2473" s="1121" t="s">
        <v>24690</v>
      </c>
      <c r="N2473" s="1122">
        <f>SUM(N2472:N2472)</f>
        <v>0</v>
      </c>
    </row>
    <row r="2474" spans="2:14" x14ac:dyDescent="0.3">
      <c r="B2474" s="850"/>
      <c r="C2474" s="461"/>
      <c r="D2474" s="461"/>
      <c r="E2474" s="461"/>
      <c r="F2474" s="461"/>
      <c r="G2474" s="461"/>
      <c r="H2474" s="461"/>
      <c r="I2474" s="461"/>
      <c r="J2474" s="461"/>
      <c r="K2474" s="461"/>
      <c r="L2474" s="461"/>
      <c r="M2474" s="461"/>
      <c r="N2474" s="1113"/>
    </row>
    <row r="2475" spans="2:14" x14ac:dyDescent="0.3">
      <c r="B2475" s="850"/>
      <c r="C2475" s="461"/>
      <c r="D2475" s="461"/>
      <c r="E2475" s="461"/>
      <c r="F2475" s="1120"/>
      <c r="G2475" s="1120"/>
      <c r="H2475" s="1120"/>
      <c r="I2475" s="863"/>
      <c r="J2475" s="863"/>
      <c r="K2475" s="863"/>
      <c r="L2475" s="863"/>
      <c r="M2475" s="1121" t="s">
        <v>24691</v>
      </c>
      <c r="N2475" s="1123">
        <f>N2464+N2469+N2473</f>
        <v>22.96</v>
      </c>
    </row>
    <row r="2476" spans="2:14" x14ac:dyDescent="0.3">
      <c r="B2476" s="850"/>
      <c r="C2476" s="461"/>
      <c r="D2476" s="461"/>
      <c r="E2476" s="461"/>
      <c r="F2476" s="1120"/>
      <c r="G2476" s="1120"/>
      <c r="H2476" s="1120"/>
      <c r="I2476" s="1120"/>
      <c r="J2476" s="1124"/>
      <c r="K2476" s="1124"/>
      <c r="L2476" s="1124"/>
      <c r="M2476" s="1125" t="s">
        <v>24692</v>
      </c>
      <c r="N2476" s="1123">
        <v>1</v>
      </c>
    </row>
    <row r="2477" spans="2:14" ht="15.75" thickBot="1" x14ac:dyDescent="0.35">
      <c r="B2477" s="855"/>
      <c r="C2477" s="954"/>
      <c r="D2477" s="954"/>
      <c r="E2477" s="954"/>
      <c r="F2477" s="1110"/>
      <c r="G2477" s="1110"/>
      <c r="H2477" s="1110"/>
      <c r="I2477" s="1110"/>
      <c r="J2477" s="1110"/>
      <c r="K2477" s="1110"/>
      <c r="L2477" s="1110"/>
      <c r="M2477" s="1111" t="s">
        <v>24693</v>
      </c>
      <c r="N2477" s="1126">
        <f>TRUNC(N2475/N2476,2)</f>
        <v>22.96</v>
      </c>
    </row>
    <row r="2478" spans="2:14" ht="15.75" thickBot="1" x14ac:dyDescent="0.35">
      <c r="B2478" s="850"/>
      <c r="C2478" s="461"/>
      <c r="D2478" s="461"/>
      <c r="E2478" s="461"/>
      <c r="F2478" s="461"/>
      <c r="G2478" s="461"/>
      <c r="H2478" s="461"/>
      <c r="I2478" s="461"/>
      <c r="J2478" s="461"/>
      <c r="K2478" s="461"/>
      <c r="L2478" s="461"/>
      <c r="M2478" s="461"/>
      <c r="N2478" s="1113"/>
    </row>
    <row r="2479" spans="2:14" ht="30" x14ac:dyDescent="0.3">
      <c r="B2479" s="1104" t="s">
        <v>0</v>
      </c>
      <c r="C2479" s="1105" t="s">
        <v>24673</v>
      </c>
      <c r="D2479" s="1593" t="s">
        <v>24694</v>
      </c>
      <c r="E2479" s="1593"/>
      <c r="F2479" s="1593"/>
      <c r="G2479" s="1593"/>
      <c r="H2479" s="1593"/>
      <c r="I2479" s="1594"/>
      <c r="J2479" s="1106" t="s">
        <v>3686</v>
      </c>
      <c r="K2479" s="1106" t="s">
        <v>24695</v>
      </c>
      <c r="L2479" s="1614" t="s">
        <v>24683</v>
      </c>
      <c r="M2479" s="1615"/>
      <c r="N2479" s="1114" t="s">
        <v>24689</v>
      </c>
    </row>
    <row r="2480" spans="2:14" x14ac:dyDescent="0.3">
      <c r="B2480" s="1149">
        <v>4351</v>
      </c>
      <c r="C2480" s="1155" t="s">
        <v>24706</v>
      </c>
      <c r="D2480" s="1616" t="s">
        <v>25410</v>
      </c>
      <c r="E2480" s="1616"/>
      <c r="F2480" s="1616"/>
      <c r="G2480" s="1616"/>
      <c r="H2480" s="1616"/>
      <c r="I2480" s="1617"/>
      <c r="J2480" s="1151" t="s">
        <v>24804</v>
      </c>
      <c r="K2480" s="1151">
        <v>14.4</v>
      </c>
      <c r="L2480" s="1618">
        <v>6</v>
      </c>
      <c r="M2480" s="1619"/>
      <c r="N2480" s="1130">
        <f>L2480*K2480</f>
        <v>86.4</v>
      </c>
    </row>
    <row r="2481" spans="2:14" x14ac:dyDescent="0.3">
      <c r="B2481" s="1149">
        <v>36205</v>
      </c>
      <c r="C2481" s="1155" t="s">
        <v>24706</v>
      </c>
      <c r="D2481" s="1616" t="s">
        <v>25415</v>
      </c>
      <c r="E2481" s="1616"/>
      <c r="F2481" s="1616"/>
      <c r="G2481" s="1616"/>
      <c r="H2481" s="1616"/>
      <c r="I2481" s="1617"/>
      <c r="J2481" s="1151" t="s">
        <v>24804</v>
      </c>
      <c r="K2481" s="1151">
        <v>161.72999999999999</v>
      </c>
      <c r="L2481" s="1618">
        <v>1</v>
      </c>
      <c r="M2481" s="1619"/>
      <c r="N2481" s="1130">
        <f t="shared" ref="N2481" si="44">L2481*K2481</f>
        <v>161.72999999999999</v>
      </c>
    </row>
    <row r="2482" spans="2:14" ht="15.75" thickBot="1" x14ac:dyDescent="0.35">
      <c r="B2482" s="855"/>
      <c r="C2482" s="954"/>
      <c r="D2482" s="954"/>
      <c r="E2482" s="954"/>
      <c r="F2482" s="1110"/>
      <c r="G2482" s="1110"/>
      <c r="H2482" s="1110"/>
      <c r="I2482" s="1110"/>
      <c r="J2482" s="1110"/>
      <c r="K2482" s="1110"/>
      <c r="L2482" s="1110"/>
      <c r="M2482" s="1111" t="s">
        <v>24696</v>
      </c>
      <c r="N2482" s="1112">
        <f>SUM(N2480:N2481)</f>
        <v>248.13</v>
      </c>
    </row>
    <row r="2483" spans="2:14" ht="15.75" thickBot="1" x14ac:dyDescent="0.35">
      <c r="B2483" s="850"/>
      <c r="C2483" s="461"/>
      <c r="D2483" s="461"/>
      <c r="E2483" s="461"/>
      <c r="F2483" s="461"/>
      <c r="G2483" s="461"/>
      <c r="H2483" s="461"/>
      <c r="I2483" s="461"/>
      <c r="J2483" s="461"/>
      <c r="K2483" s="461"/>
      <c r="L2483" s="461"/>
      <c r="M2483" s="461"/>
      <c r="N2483" s="1113"/>
    </row>
    <row r="2484" spans="2:14" ht="30" x14ac:dyDescent="0.3">
      <c r="B2484" s="1104" t="s">
        <v>0</v>
      </c>
      <c r="C2484" s="1106" t="s">
        <v>24673</v>
      </c>
      <c r="D2484" s="1593" t="s">
        <v>24697</v>
      </c>
      <c r="E2484" s="1593"/>
      <c r="F2484" s="1593"/>
      <c r="G2484" s="1593"/>
      <c r="H2484" s="1593"/>
      <c r="I2484" s="1594"/>
      <c r="J2484" s="1106" t="s">
        <v>3686</v>
      </c>
      <c r="K2484" s="1106" t="s">
        <v>24695</v>
      </c>
      <c r="L2484" s="1614" t="s">
        <v>24683</v>
      </c>
      <c r="M2484" s="1615"/>
      <c r="N2484" s="1114" t="s">
        <v>24689</v>
      </c>
    </row>
    <row r="2485" spans="2:14" x14ac:dyDescent="0.3">
      <c r="B2485" s="1127"/>
      <c r="C2485" s="1128"/>
      <c r="D2485" s="1604"/>
      <c r="E2485" s="1604"/>
      <c r="F2485" s="1604"/>
      <c r="G2485" s="1604"/>
      <c r="H2485" s="1604"/>
      <c r="I2485" s="1605"/>
      <c r="J2485" s="462"/>
      <c r="K2485" s="462"/>
      <c r="L2485" s="1612"/>
      <c r="M2485" s="1613"/>
      <c r="N2485" s="1130"/>
    </row>
    <row r="2486" spans="2:14" ht="15.75" thickBot="1" x14ac:dyDescent="0.35">
      <c r="B2486" s="855"/>
      <c r="C2486" s="954"/>
      <c r="D2486" s="954"/>
      <c r="E2486" s="954"/>
      <c r="F2486" s="1110"/>
      <c r="G2486" s="1110"/>
      <c r="H2486" s="1110"/>
      <c r="I2486" s="1110"/>
      <c r="J2486" s="1110"/>
      <c r="K2486" s="1110"/>
      <c r="L2486" s="1110"/>
      <c r="M2486" s="1111" t="s">
        <v>24698</v>
      </c>
      <c r="N2486" s="1112">
        <f>SUM(N2485:N2485)</f>
        <v>0</v>
      </c>
    </row>
    <row r="2487" spans="2:14" ht="15.75" thickBot="1" x14ac:dyDescent="0.35">
      <c r="B2487" s="850"/>
      <c r="C2487" s="461"/>
      <c r="D2487" s="461"/>
      <c r="E2487" s="461"/>
      <c r="F2487" s="461"/>
      <c r="G2487" s="461"/>
      <c r="H2487" s="461"/>
      <c r="I2487" s="461"/>
      <c r="J2487" s="461"/>
      <c r="K2487" s="461"/>
      <c r="L2487" s="461"/>
      <c r="M2487" s="461"/>
      <c r="N2487" s="1113"/>
    </row>
    <row r="2488" spans="2:14" ht="30" x14ac:dyDescent="0.3">
      <c r="B2488" s="1104" t="s">
        <v>0</v>
      </c>
      <c r="C2488" s="1106" t="s">
        <v>24673</v>
      </c>
      <c r="D2488" s="1593" t="s">
        <v>24699</v>
      </c>
      <c r="E2488" s="1593"/>
      <c r="F2488" s="1593"/>
      <c r="G2488" s="1594"/>
      <c r="H2488" s="1106" t="s">
        <v>3686</v>
      </c>
      <c r="I2488" s="1106" t="s">
        <v>24700</v>
      </c>
      <c r="J2488" s="1106" t="s">
        <v>24701</v>
      </c>
      <c r="K2488" s="1106" t="s">
        <v>24695</v>
      </c>
      <c r="L2488" s="1614" t="s">
        <v>24683</v>
      </c>
      <c r="M2488" s="1615"/>
      <c r="N2488" s="1114" t="s">
        <v>24689</v>
      </c>
    </row>
    <row r="2489" spans="2:14" x14ac:dyDescent="0.3">
      <c r="B2489" s="1115"/>
      <c r="C2489" s="1116"/>
      <c r="D2489" s="1595"/>
      <c r="E2489" s="1595"/>
      <c r="F2489" s="1595"/>
      <c r="G2489" s="1595"/>
      <c r="H2489" s="1109"/>
      <c r="I2489" s="1109"/>
      <c r="J2489" s="1109"/>
      <c r="K2489" s="1109"/>
      <c r="L2489" s="1597"/>
      <c r="M2489" s="1598"/>
      <c r="N2489" s="1119"/>
    </row>
    <row r="2490" spans="2:14" x14ac:dyDescent="0.3">
      <c r="B2490" s="1115"/>
      <c r="C2490" s="1116"/>
      <c r="D2490" s="1595"/>
      <c r="E2490" s="1595"/>
      <c r="F2490" s="1595"/>
      <c r="G2490" s="1595"/>
      <c r="H2490" s="1109"/>
      <c r="I2490" s="1109"/>
      <c r="J2490" s="1109"/>
      <c r="K2490" s="1109"/>
      <c r="L2490" s="1597"/>
      <c r="M2490" s="1598"/>
      <c r="N2490" s="1119"/>
    </row>
    <row r="2491" spans="2:14" x14ac:dyDescent="0.3">
      <c r="B2491" s="1115"/>
      <c r="C2491" s="1116"/>
      <c r="D2491" s="1595"/>
      <c r="E2491" s="1595"/>
      <c r="F2491" s="1595"/>
      <c r="G2491" s="1595"/>
      <c r="H2491" s="1109"/>
      <c r="I2491" s="1109"/>
      <c r="J2491" s="1109"/>
      <c r="K2491" s="1109"/>
      <c r="L2491" s="1597"/>
      <c r="M2491" s="1598"/>
      <c r="N2491" s="1119"/>
    </row>
    <row r="2492" spans="2:14" x14ac:dyDescent="0.3">
      <c r="B2492" s="850"/>
      <c r="C2492" s="461"/>
      <c r="D2492" s="461"/>
      <c r="E2492" s="461"/>
      <c r="F2492" s="1120"/>
      <c r="G2492" s="1120"/>
      <c r="H2492" s="1120"/>
      <c r="I2492" s="1120"/>
      <c r="J2492" s="1120"/>
      <c r="K2492" s="1120"/>
      <c r="L2492" s="1120"/>
      <c r="M2492" s="1121" t="s">
        <v>24702</v>
      </c>
      <c r="N2492" s="1122">
        <f>SUM(N2489:N2491)</f>
        <v>0</v>
      </c>
    </row>
    <row r="2493" spans="2:14" x14ac:dyDescent="0.3">
      <c r="B2493" s="850"/>
      <c r="C2493" s="461"/>
      <c r="D2493" s="461"/>
      <c r="E2493" s="461"/>
      <c r="F2493" s="461"/>
      <c r="G2493" s="461"/>
      <c r="H2493" s="461"/>
      <c r="I2493" s="461"/>
      <c r="J2493" s="461"/>
      <c r="K2493" s="461"/>
      <c r="L2493" s="461"/>
      <c r="M2493" s="461"/>
      <c r="N2493" s="1113"/>
    </row>
    <row r="2494" spans="2:14" x14ac:dyDescent="0.3">
      <c r="B2494" s="1131"/>
      <c r="C2494" s="1132"/>
      <c r="D2494" s="1132"/>
      <c r="E2494" s="1132"/>
      <c r="F2494" s="1133"/>
      <c r="G2494" s="1133"/>
      <c r="H2494" s="1133"/>
      <c r="I2494" s="1133"/>
      <c r="J2494" s="1133"/>
      <c r="K2494" s="1133"/>
      <c r="L2494" s="1133"/>
      <c r="M2494" s="1134" t="s">
        <v>24703</v>
      </c>
      <c r="N2494" s="1123">
        <f>N2477+N2482+N2486+N2492</f>
        <v>271.08999999999997</v>
      </c>
    </row>
    <row r="2495" spans="2:14" x14ac:dyDescent="0.3">
      <c r="B2495" s="850"/>
      <c r="C2495" s="461"/>
      <c r="D2495" s="461"/>
      <c r="E2495" s="461"/>
      <c r="F2495" s="1120"/>
      <c r="G2495" s="1120"/>
      <c r="H2495" s="1120"/>
      <c r="I2495" s="1120"/>
      <c r="J2495" s="1120"/>
      <c r="K2495" s="1135"/>
      <c r="L2495" s="1135"/>
      <c r="M2495" s="1136">
        <f>'QUIOSQUE - MOD 01'!I3</f>
        <v>0.28220000000000001</v>
      </c>
      <c r="N2495" s="1123">
        <f>ROUND(N2494*M2495,2)</f>
        <v>76.5</v>
      </c>
    </row>
    <row r="2496" spans="2:14" ht="15.75" thickBot="1" x14ac:dyDescent="0.35">
      <c r="B2496" s="1599" t="s">
        <v>24704</v>
      </c>
      <c r="C2496" s="1600"/>
      <c r="D2496" s="1600"/>
      <c r="E2496" s="1600"/>
      <c r="F2496" s="1600"/>
      <c r="G2496" s="1600"/>
      <c r="H2496" s="1600"/>
      <c r="I2496" s="1600"/>
      <c r="J2496" s="1600"/>
      <c r="K2496" s="1600"/>
      <c r="L2496" s="1600"/>
      <c r="M2496" s="1601"/>
      <c r="N2496" s="1126">
        <f>N2494+N2495</f>
        <v>347.59</v>
      </c>
    </row>
    <row r="2499" spans="2:14" ht="15.75" thickBot="1" x14ac:dyDescent="0.35"/>
    <row r="2500" spans="2:14" ht="41.25" customHeight="1" x14ac:dyDescent="0.3">
      <c r="B2500" s="1607" t="s">
        <v>25416</v>
      </c>
      <c r="C2500" s="1608"/>
      <c r="D2500" s="1609"/>
      <c r="E2500" s="1610" t="s">
        <v>24669</v>
      </c>
      <c r="F2500" s="1610"/>
      <c r="G2500" s="1610"/>
      <c r="H2500" s="1610"/>
      <c r="I2500" s="1610"/>
      <c r="J2500" s="1610"/>
      <c r="K2500" s="1610"/>
      <c r="L2500" s="1623"/>
      <c r="M2500" s="1576"/>
      <c r="N2500" s="1577"/>
    </row>
    <row r="2501" spans="2:14" x14ac:dyDescent="0.3">
      <c r="B2501" s="1103" t="s">
        <v>24670</v>
      </c>
      <c r="C2501" s="1586" t="s">
        <v>25417</v>
      </c>
      <c r="D2501" s="1586"/>
      <c r="E2501" s="1586"/>
      <c r="F2501" s="1586"/>
      <c r="G2501" s="1586"/>
      <c r="H2501" s="1586"/>
      <c r="I2501" s="1586"/>
      <c r="J2501" s="1586"/>
      <c r="K2501" s="1586"/>
      <c r="L2501" s="1586"/>
      <c r="M2501" s="1586"/>
      <c r="N2501" s="1587"/>
    </row>
    <row r="2502" spans="2:14" x14ac:dyDescent="0.3">
      <c r="B2502" s="1103" t="s">
        <v>24671</v>
      </c>
      <c r="C2502" s="1588" t="s">
        <v>8</v>
      </c>
      <c r="D2502" s="1588"/>
      <c r="E2502" s="1588"/>
      <c r="F2502" s="1588"/>
      <c r="G2502" s="1588"/>
      <c r="H2502" s="1588"/>
      <c r="I2502" s="1588"/>
      <c r="J2502" s="1588"/>
      <c r="K2502" s="1588"/>
      <c r="L2502" s="1588"/>
      <c r="M2502" s="1588"/>
      <c r="N2502" s="1589"/>
    </row>
    <row r="2503" spans="2:14" ht="15.75" thickBot="1" x14ac:dyDescent="0.35">
      <c r="B2503" s="1103" t="s">
        <v>24672</v>
      </c>
      <c r="C2503" s="1590">
        <v>44501</v>
      </c>
      <c r="D2503" s="1591"/>
      <c r="E2503" s="1591"/>
      <c r="F2503" s="1591"/>
      <c r="G2503" s="1591"/>
      <c r="H2503" s="1591"/>
      <c r="I2503" s="1591"/>
      <c r="J2503" s="1591"/>
      <c r="K2503" s="1591"/>
      <c r="L2503" s="1591"/>
      <c r="M2503" s="1591"/>
      <c r="N2503" s="1592"/>
    </row>
    <row r="2504" spans="2:14" ht="30" x14ac:dyDescent="0.3">
      <c r="B2504" s="1104" t="s">
        <v>0</v>
      </c>
      <c r="C2504" s="1105" t="s">
        <v>24673</v>
      </c>
      <c r="D2504" s="1593" t="s">
        <v>24674</v>
      </c>
      <c r="E2504" s="1593"/>
      <c r="F2504" s="1593"/>
      <c r="G2504" s="1594"/>
      <c r="H2504" s="1106" t="s">
        <v>111</v>
      </c>
      <c r="I2504" s="1106" t="s">
        <v>24675</v>
      </c>
      <c r="J2504" s="1106" t="s">
        <v>24676</v>
      </c>
      <c r="K2504" s="1106" t="s">
        <v>24677</v>
      </c>
      <c r="L2504" s="1106" t="s">
        <v>24678</v>
      </c>
      <c r="M2504" s="1621" t="s">
        <v>24679</v>
      </c>
      <c r="N2504" s="1622"/>
    </row>
    <row r="2505" spans="2:14" x14ac:dyDescent="0.3">
      <c r="B2505" s="1115"/>
      <c r="C2505" s="1108"/>
      <c r="D2505" s="1595"/>
      <c r="E2505" s="1595"/>
      <c r="F2505" s="1595"/>
      <c r="G2505" s="1596"/>
      <c r="H2505" s="1109"/>
      <c r="I2505" s="1109"/>
      <c r="J2505" s="1109"/>
      <c r="K2505" s="1109"/>
      <c r="L2505" s="1109"/>
      <c r="M2505" s="1597"/>
      <c r="N2505" s="1620"/>
    </row>
    <row r="2506" spans="2:14" x14ac:dyDescent="0.3">
      <c r="B2506" s="1115"/>
      <c r="C2506" s="1108"/>
      <c r="D2506" s="1595"/>
      <c r="E2506" s="1595"/>
      <c r="F2506" s="1595"/>
      <c r="G2506" s="1596"/>
      <c r="H2506" s="1109"/>
      <c r="I2506" s="1109"/>
      <c r="J2506" s="1109"/>
      <c r="K2506" s="1109"/>
      <c r="L2506" s="1109"/>
      <c r="M2506" s="1597"/>
      <c r="N2506" s="1620"/>
    </row>
    <row r="2507" spans="2:14" x14ac:dyDescent="0.3">
      <c r="B2507" s="1107"/>
      <c r="C2507" s="1108"/>
      <c r="D2507" s="1595"/>
      <c r="E2507" s="1595"/>
      <c r="F2507" s="1595"/>
      <c r="G2507" s="1596"/>
      <c r="H2507" s="1109"/>
      <c r="I2507" s="1109"/>
      <c r="J2507" s="1109"/>
      <c r="K2507" s="1109"/>
      <c r="L2507" s="1109"/>
      <c r="M2507" s="1597"/>
      <c r="N2507" s="1620"/>
    </row>
    <row r="2508" spans="2:14" ht="15.75" thickBot="1" x14ac:dyDescent="0.35">
      <c r="B2508" s="855"/>
      <c r="C2508" s="954"/>
      <c r="D2508" s="954"/>
      <c r="E2508" s="954"/>
      <c r="F2508" s="1110"/>
      <c r="G2508" s="1110"/>
      <c r="H2508" s="1110"/>
      <c r="I2508" s="1110"/>
      <c r="J2508" s="1110"/>
      <c r="K2508" s="1110"/>
      <c r="L2508" s="1110"/>
      <c r="M2508" s="1111" t="s">
        <v>24680</v>
      </c>
      <c r="N2508" s="1112">
        <f>SUM(N2505:N2507)</f>
        <v>0</v>
      </c>
    </row>
    <row r="2509" spans="2:14" ht="15.75" thickBot="1" x14ac:dyDescent="0.35">
      <c r="B2509" s="850"/>
      <c r="C2509" s="461"/>
      <c r="D2509" s="461"/>
      <c r="E2509" s="461"/>
      <c r="F2509" s="461"/>
      <c r="G2509" s="461"/>
      <c r="H2509" s="461"/>
      <c r="I2509" s="461"/>
      <c r="J2509" s="461"/>
      <c r="K2509" s="461"/>
      <c r="L2509" s="461"/>
      <c r="M2509" s="461"/>
      <c r="N2509" s="1113"/>
    </row>
    <row r="2510" spans="2:14" ht="45" x14ac:dyDescent="0.3">
      <c r="B2510" s="1104" t="s">
        <v>0</v>
      </c>
      <c r="C2510" s="1105" t="s">
        <v>24673</v>
      </c>
      <c r="D2510" s="1593" t="s">
        <v>24681</v>
      </c>
      <c r="E2510" s="1593"/>
      <c r="F2510" s="1593"/>
      <c r="G2510" s="1593"/>
      <c r="H2510" s="1594"/>
      <c r="I2510" s="1106" t="s">
        <v>3686</v>
      </c>
      <c r="J2510" s="1106" t="s">
        <v>24682</v>
      </c>
      <c r="K2510" s="1106" t="s">
        <v>25177</v>
      </c>
      <c r="L2510" s="1106" t="s">
        <v>25178</v>
      </c>
      <c r="M2510" s="1106" t="s">
        <v>24683</v>
      </c>
      <c r="N2510" s="1114" t="s">
        <v>24679</v>
      </c>
    </row>
    <row r="2511" spans="2:14" x14ac:dyDescent="0.3">
      <c r="B2511" s="1115">
        <v>10101</v>
      </c>
      <c r="C2511" s="1108" t="s">
        <v>4379</v>
      </c>
      <c r="D2511" s="1604" t="s">
        <v>25268</v>
      </c>
      <c r="E2511" s="1604"/>
      <c r="F2511" s="1604"/>
      <c r="G2511" s="1604"/>
      <c r="H2511" s="1605"/>
      <c r="I2511" s="1109" t="s">
        <v>75</v>
      </c>
      <c r="J2511" s="1117">
        <v>1.5727</v>
      </c>
      <c r="K2511" s="1109">
        <v>6.27</v>
      </c>
      <c r="L2511" s="1109">
        <f>K2511*(1+J2511)</f>
        <v>16.13</v>
      </c>
      <c r="M2511" s="1118">
        <v>0.29880000000000001</v>
      </c>
      <c r="N2511" s="1119">
        <f>M2511*L2511</f>
        <v>4.82</v>
      </c>
    </row>
    <row r="2512" spans="2:14" x14ac:dyDescent="0.3">
      <c r="B2512" s="1115">
        <v>10118</v>
      </c>
      <c r="C2512" s="1108" t="s">
        <v>4379</v>
      </c>
      <c r="D2512" s="1604" t="s">
        <v>25186</v>
      </c>
      <c r="E2512" s="1604"/>
      <c r="F2512" s="1604"/>
      <c r="G2512" s="1604"/>
      <c r="H2512" s="1605"/>
      <c r="I2512" s="1109" t="s">
        <v>75</v>
      </c>
      <c r="J2512" s="1117">
        <v>1.5727</v>
      </c>
      <c r="K2512" s="1109">
        <v>7.43</v>
      </c>
      <c r="L2512" s="1109">
        <f>K2512*(1+J2512)</f>
        <v>19.12</v>
      </c>
      <c r="M2512" s="1118">
        <v>0.94850000000000001</v>
      </c>
      <c r="N2512" s="1119">
        <f>M2512*L2512</f>
        <v>18.14</v>
      </c>
    </row>
    <row r="2513" spans="2:14" ht="15.75" thickBot="1" x14ac:dyDescent="0.35">
      <c r="B2513" s="855"/>
      <c r="C2513" s="954"/>
      <c r="D2513" s="954"/>
      <c r="E2513" s="954"/>
      <c r="F2513" s="1110"/>
      <c r="G2513" s="1110"/>
      <c r="H2513" s="1110"/>
      <c r="I2513" s="1110"/>
      <c r="J2513" s="1110"/>
      <c r="K2513" s="1110"/>
      <c r="L2513" s="1110"/>
      <c r="M2513" s="1111" t="s">
        <v>24684</v>
      </c>
      <c r="N2513" s="1112">
        <f>SUM(N2511:N2512)</f>
        <v>22.96</v>
      </c>
    </row>
    <row r="2514" spans="2:14" ht="15.75" thickBot="1" x14ac:dyDescent="0.35">
      <c r="B2514" s="850"/>
      <c r="C2514" s="461"/>
      <c r="D2514" s="461"/>
      <c r="E2514" s="461"/>
      <c r="F2514" s="461"/>
      <c r="G2514" s="461"/>
      <c r="H2514" s="461"/>
      <c r="I2514" s="1120"/>
      <c r="J2514" s="1120"/>
      <c r="K2514" s="461"/>
      <c r="L2514" s="461"/>
      <c r="M2514" s="461"/>
      <c r="N2514" s="1113"/>
    </row>
    <row r="2515" spans="2:14" ht="30" x14ac:dyDescent="0.3">
      <c r="B2515" s="1104" t="s">
        <v>0</v>
      </c>
      <c r="C2515" s="1105" t="s">
        <v>24673</v>
      </c>
      <c r="D2515" s="1593" t="s">
        <v>24685</v>
      </c>
      <c r="E2515" s="1593"/>
      <c r="F2515" s="1593"/>
      <c r="G2515" s="1593"/>
      <c r="H2515" s="1594"/>
      <c r="I2515" s="1106" t="s">
        <v>2858</v>
      </c>
      <c r="J2515" s="1106" t="s">
        <v>24686</v>
      </c>
      <c r="K2515" s="1106" t="s">
        <v>24687</v>
      </c>
      <c r="L2515" s="1614" t="s">
        <v>24688</v>
      </c>
      <c r="M2515" s="1615"/>
      <c r="N2515" s="1114" t="s">
        <v>24689</v>
      </c>
    </row>
    <row r="2516" spans="2:14" x14ac:dyDescent="0.3">
      <c r="B2516" s="1115"/>
      <c r="C2516" s="1116"/>
      <c r="D2516" s="1604"/>
      <c r="E2516" s="1604"/>
      <c r="F2516" s="1604"/>
      <c r="G2516" s="1604"/>
      <c r="H2516" s="1605"/>
      <c r="I2516" s="1109"/>
      <c r="J2516" s="1109"/>
      <c r="K2516" s="1109"/>
      <c r="L2516" s="1597"/>
      <c r="M2516" s="1598"/>
      <c r="N2516" s="1119">
        <f>N2513*(I2516/100)</f>
        <v>0</v>
      </c>
    </row>
    <row r="2517" spans="2:14" x14ac:dyDescent="0.3">
      <c r="B2517" s="850"/>
      <c r="C2517" s="461"/>
      <c r="D2517" s="461"/>
      <c r="E2517" s="461"/>
      <c r="F2517" s="1120"/>
      <c r="G2517" s="1120"/>
      <c r="H2517" s="1120"/>
      <c r="I2517" s="1120"/>
      <c r="J2517" s="1120"/>
      <c r="K2517" s="1120"/>
      <c r="L2517" s="1120"/>
      <c r="M2517" s="1121" t="s">
        <v>24690</v>
      </c>
      <c r="N2517" s="1122">
        <f>SUM(N2516:N2516)</f>
        <v>0</v>
      </c>
    </row>
    <row r="2518" spans="2:14" x14ac:dyDescent="0.3">
      <c r="B2518" s="850"/>
      <c r="C2518" s="461"/>
      <c r="D2518" s="461"/>
      <c r="E2518" s="461"/>
      <c r="F2518" s="461"/>
      <c r="G2518" s="461"/>
      <c r="H2518" s="461"/>
      <c r="I2518" s="461"/>
      <c r="J2518" s="461"/>
      <c r="K2518" s="461"/>
      <c r="L2518" s="461"/>
      <c r="M2518" s="461"/>
      <c r="N2518" s="1113"/>
    </row>
    <row r="2519" spans="2:14" x14ac:dyDescent="0.3">
      <c r="B2519" s="850"/>
      <c r="C2519" s="461"/>
      <c r="D2519" s="461"/>
      <c r="E2519" s="461"/>
      <c r="F2519" s="1120"/>
      <c r="G2519" s="1120"/>
      <c r="H2519" s="1120"/>
      <c r="I2519" s="863"/>
      <c r="J2519" s="863"/>
      <c r="K2519" s="863"/>
      <c r="L2519" s="863"/>
      <c r="M2519" s="1121" t="s">
        <v>24691</v>
      </c>
      <c r="N2519" s="1123">
        <f>N2508+N2513+N2517</f>
        <v>22.96</v>
      </c>
    </row>
    <row r="2520" spans="2:14" x14ac:dyDescent="0.3">
      <c r="B2520" s="850"/>
      <c r="C2520" s="461"/>
      <c r="D2520" s="461"/>
      <c r="E2520" s="461"/>
      <c r="F2520" s="1120"/>
      <c r="G2520" s="1120"/>
      <c r="H2520" s="1120"/>
      <c r="I2520" s="1120"/>
      <c r="J2520" s="1124"/>
      <c r="K2520" s="1124"/>
      <c r="L2520" s="1124"/>
      <c r="M2520" s="1125" t="s">
        <v>24692</v>
      </c>
      <c r="N2520" s="1123">
        <v>1</v>
      </c>
    </row>
    <row r="2521" spans="2:14" ht="15.75" thickBot="1" x14ac:dyDescent="0.35">
      <c r="B2521" s="855"/>
      <c r="C2521" s="954"/>
      <c r="D2521" s="954"/>
      <c r="E2521" s="954"/>
      <c r="F2521" s="1110"/>
      <c r="G2521" s="1110"/>
      <c r="H2521" s="1110"/>
      <c r="I2521" s="1110"/>
      <c r="J2521" s="1110"/>
      <c r="K2521" s="1110"/>
      <c r="L2521" s="1110"/>
      <c r="M2521" s="1111" t="s">
        <v>24693</v>
      </c>
      <c r="N2521" s="1126">
        <f>TRUNC(N2519/N2520,2)</f>
        <v>22.96</v>
      </c>
    </row>
    <row r="2522" spans="2:14" ht="15.75" thickBot="1" x14ac:dyDescent="0.35">
      <c r="B2522" s="850"/>
      <c r="C2522" s="461"/>
      <c r="D2522" s="461"/>
      <c r="E2522" s="461"/>
      <c r="F2522" s="461"/>
      <c r="G2522" s="461"/>
      <c r="H2522" s="461"/>
      <c r="I2522" s="461"/>
      <c r="J2522" s="461"/>
      <c r="K2522" s="461"/>
      <c r="L2522" s="461"/>
      <c r="M2522" s="461"/>
      <c r="N2522" s="1113"/>
    </row>
    <row r="2523" spans="2:14" ht="30" x14ac:dyDescent="0.3">
      <c r="B2523" s="1104" t="s">
        <v>0</v>
      </c>
      <c r="C2523" s="1105" t="s">
        <v>24673</v>
      </c>
      <c r="D2523" s="1593" t="s">
        <v>24694</v>
      </c>
      <c r="E2523" s="1593"/>
      <c r="F2523" s="1593"/>
      <c r="G2523" s="1593"/>
      <c r="H2523" s="1593"/>
      <c r="I2523" s="1594"/>
      <c r="J2523" s="1106" t="s">
        <v>3686</v>
      </c>
      <c r="K2523" s="1106" t="s">
        <v>24695</v>
      </c>
      <c r="L2523" s="1614" t="s">
        <v>24683</v>
      </c>
      <c r="M2523" s="1615"/>
      <c r="N2523" s="1114" t="s">
        <v>24689</v>
      </c>
    </row>
    <row r="2524" spans="2:14" x14ac:dyDescent="0.3">
      <c r="B2524" s="1149">
        <v>4351</v>
      </c>
      <c r="C2524" s="1155" t="s">
        <v>24706</v>
      </c>
      <c r="D2524" s="1616" t="s">
        <v>25410</v>
      </c>
      <c r="E2524" s="1616"/>
      <c r="F2524" s="1616"/>
      <c r="G2524" s="1616"/>
      <c r="H2524" s="1616"/>
      <c r="I2524" s="1617"/>
      <c r="J2524" s="1151" t="s">
        <v>24804</v>
      </c>
      <c r="K2524" s="1151">
        <v>14.4</v>
      </c>
      <c r="L2524" s="1618">
        <v>6</v>
      </c>
      <c r="M2524" s="1619"/>
      <c r="N2524" s="1130">
        <f>L2524*K2524</f>
        <v>86.4</v>
      </c>
    </row>
    <row r="2525" spans="2:14" x14ac:dyDescent="0.3">
      <c r="B2525" s="1149">
        <v>36081</v>
      </c>
      <c r="C2525" s="1155" t="s">
        <v>24706</v>
      </c>
      <c r="D2525" s="1616" t="s">
        <v>25418</v>
      </c>
      <c r="E2525" s="1616"/>
      <c r="F2525" s="1616"/>
      <c r="G2525" s="1616"/>
      <c r="H2525" s="1616"/>
      <c r="I2525" s="1617"/>
      <c r="J2525" s="1151" t="s">
        <v>24804</v>
      </c>
      <c r="K2525" s="1151">
        <v>172.45</v>
      </c>
      <c r="L2525" s="1618">
        <v>1</v>
      </c>
      <c r="M2525" s="1619"/>
      <c r="N2525" s="1130">
        <f t="shared" ref="N2525" si="45">L2525*K2525</f>
        <v>172.45</v>
      </c>
    </row>
    <row r="2526" spans="2:14" ht="15.75" thickBot="1" x14ac:dyDescent="0.35">
      <c r="B2526" s="855"/>
      <c r="C2526" s="954"/>
      <c r="D2526" s="954"/>
      <c r="E2526" s="954"/>
      <c r="F2526" s="1110"/>
      <c r="G2526" s="1110"/>
      <c r="H2526" s="1110"/>
      <c r="I2526" s="1110"/>
      <c r="J2526" s="1110"/>
      <c r="K2526" s="1110"/>
      <c r="L2526" s="1110"/>
      <c r="M2526" s="1111" t="s">
        <v>24696</v>
      </c>
      <c r="N2526" s="1112">
        <f>SUM(N2524:N2525)</f>
        <v>258.85000000000002</v>
      </c>
    </row>
    <row r="2527" spans="2:14" ht="15.75" thickBot="1" x14ac:dyDescent="0.35">
      <c r="B2527" s="850"/>
      <c r="C2527" s="461"/>
      <c r="D2527" s="461"/>
      <c r="E2527" s="461"/>
      <c r="F2527" s="461"/>
      <c r="G2527" s="461"/>
      <c r="H2527" s="461"/>
      <c r="I2527" s="461"/>
      <c r="J2527" s="461"/>
      <c r="K2527" s="461"/>
      <c r="L2527" s="461"/>
      <c r="M2527" s="461"/>
      <c r="N2527" s="1113"/>
    </row>
    <row r="2528" spans="2:14" ht="30" x14ac:dyDescent="0.3">
      <c r="B2528" s="1104" t="s">
        <v>0</v>
      </c>
      <c r="C2528" s="1106" t="s">
        <v>24673</v>
      </c>
      <c r="D2528" s="1593" t="s">
        <v>24697</v>
      </c>
      <c r="E2528" s="1593"/>
      <c r="F2528" s="1593"/>
      <c r="G2528" s="1593"/>
      <c r="H2528" s="1593"/>
      <c r="I2528" s="1594"/>
      <c r="J2528" s="1106" t="s">
        <v>3686</v>
      </c>
      <c r="K2528" s="1106" t="s">
        <v>24695</v>
      </c>
      <c r="L2528" s="1614" t="s">
        <v>24683</v>
      </c>
      <c r="M2528" s="1615"/>
      <c r="N2528" s="1114" t="s">
        <v>24689</v>
      </c>
    </row>
    <row r="2529" spans="2:14" x14ac:dyDescent="0.3">
      <c r="B2529" s="1127"/>
      <c r="C2529" s="1128"/>
      <c r="D2529" s="1604"/>
      <c r="E2529" s="1604"/>
      <c r="F2529" s="1604"/>
      <c r="G2529" s="1604"/>
      <c r="H2529" s="1604"/>
      <c r="I2529" s="1605"/>
      <c r="J2529" s="462"/>
      <c r="K2529" s="462"/>
      <c r="L2529" s="1612"/>
      <c r="M2529" s="1613"/>
      <c r="N2529" s="1130"/>
    </row>
    <row r="2530" spans="2:14" ht="15.75" thickBot="1" x14ac:dyDescent="0.35">
      <c r="B2530" s="855"/>
      <c r="C2530" s="954"/>
      <c r="D2530" s="954"/>
      <c r="E2530" s="954"/>
      <c r="F2530" s="1110"/>
      <c r="G2530" s="1110"/>
      <c r="H2530" s="1110"/>
      <c r="I2530" s="1110"/>
      <c r="J2530" s="1110"/>
      <c r="K2530" s="1110"/>
      <c r="L2530" s="1110"/>
      <c r="M2530" s="1111" t="s">
        <v>24698</v>
      </c>
      <c r="N2530" s="1112">
        <f>SUM(N2529:N2529)</f>
        <v>0</v>
      </c>
    </row>
    <row r="2531" spans="2:14" ht="15.75" thickBot="1" x14ac:dyDescent="0.35">
      <c r="B2531" s="850"/>
      <c r="C2531" s="461"/>
      <c r="D2531" s="461"/>
      <c r="E2531" s="461"/>
      <c r="F2531" s="461"/>
      <c r="G2531" s="461"/>
      <c r="H2531" s="461"/>
      <c r="I2531" s="461"/>
      <c r="J2531" s="461"/>
      <c r="K2531" s="461"/>
      <c r="L2531" s="461"/>
      <c r="M2531" s="461"/>
      <c r="N2531" s="1113"/>
    </row>
    <row r="2532" spans="2:14" ht="30" x14ac:dyDescent="0.3">
      <c r="B2532" s="1104" t="s">
        <v>0</v>
      </c>
      <c r="C2532" s="1106" t="s">
        <v>24673</v>
      </c>
      <c r="D2532" s="1593" t="s">
        <v>24699</v>
      </c>
      <c r="E2532" s="1593"/>
      <c r="F2532" s="1593"/>
      <c r="G2532" s="1594"/>
      <c r="H2532" s="1106" t="s">
        <v>3686</v>
      </c>
      <c r="I2532" s="1106" t="s">
        <v>24700</v>
      </c>
      <c r="J2532" s="1106" t="s">
        <v>24701</v>
      </c>
      <c r="K2532" s="1106" t="s">
        <v>24695</v>
      </c>
      <c r="L2532" s="1614" t="s">
        <v>24683</v>
      </c>
      <c r="M2532" s="1615"/>
      <c r="N2532" s="1114" t="s">
        <v>24689</v>
      </c>
    </row>
    <row r="2533" spans="2:14" x14ac:dyDescent="0.3">
      <c r="B2533" s="1115"/>
      <c r="C2533" s="1116"/>
      <c r="D2533" s="1595"/>
      <c r="E2533" s="1595"/>
      <c r="F2533" s="1595"/>
      <c r="G2533" s="1595"/>
      <c r="H2533" s="1109"/>
      <c r="I2533" s="1109"/>
      <c r="J2533" s="1109"/>
      <c r="K2533" s="1109"/>
      <c r="L2533" s="1597"/>
      <c r="M2533" s="1598"/>
      <c r="N2533" s="1119"/>
    </row>
    <row r="2534" spans="2:14" x14ac:dyDescent="0.3">
      <c r="B2534" s="1115"/>
      <c r="C2534" s="1116"/>
      <c r="D2534" s="1595"/>
      <c r="E2534" s="1595"/>
      <c r="F2534" s="1595"/>
      <c r="G2534" s="1595"/>
      <c r="H2534" s="1109"/>
      <c r="I2534" s="1109"/>
      <c r="J2534" s="1109"/>
      <c r="K2534" s="1109"/>
      <c r="L2534" s="1597"/>
      <c r="M2534" s="1598"/>
      <c r="N2534" s="1119"/>
    </row>
    <row r="2535" spans="2:14" x14ac:dyDescent="0.3">
      <c r="B2535" s="1115"/>
      <c r="C2535" s="1116"/>
      <c r="D2535" s="1595"/>
      <c r="E2535" s="1595"/>
      <c r="F2535" s="1595"/>
      <c r="G2535" s="1595"/>
      <c r="H2535" s="1109"/>
      <c r="I2535" s="1109"/>
      <c r="J2535" s="1109"/>
      <c r="K2535" s="1109"/>
      <c r="L2535" s="1597"/>
      <c r="M2535" s="1598"/>
      <c r="N2535" s="1119"/>
    </row>
    <row r="2536" spans="2:14" x14ac:dyDescent="0.3">
      <c r="B2536" s="850"/>
      <c r="C2536" s="461"/>
      <c r="D2536" s="461"/>
      <c r="E2536" s="461"/>
      <c r="F2536" s="1120"/>
      <c r="G2536" s="1120"/>
      <c r="H2536" s="1120"/>
      <c r="I2536" s="1120"/>
      <c r="J2536" s="1120"/>
      <c r="K2536" s="1120"/>
      <c r="L2536" s="1120"/>
      <c r="M2536" s="1121" t="s">
        <v>24702</v>
      </c>
      <c r="N2536" s="1122">
        <f>SUM(N2533:N2535)</f>
        <v>0</v>
      </c>
    </row>
    <row r="2537" spans="2:14" x14ac:dyDescent="0.3">
      <c r="B2537" s="850"/>
      <c r="C2537" s="461"/>
      <c r="D2537" s="461"/>
      <c r="E2537" s="461"/>
      <c r="F2537" s="461"/>
      <c r="G2537" s="461"/>
      <c r="H2537" s="461"/>
      <c r="I2537" s="461"/>
      <c r="J2537" s="461"/>
      <c r="K2537" s="461"/>
      <c r="L2537" s="461"/>
      <c r="M2537" s="461"/>
      <c r="N2537" s="1113"/>
    </row>
    <row r="2538" spans="2:14" x14ac:dyDescent="0.3">
      <c r="B2538" s="1131"/>
      <c r="C2538" s="1132"/>
      <c r="D2538" s="1132"/>
      <c r="E2538" s="1132"/>
      <c r="F2538" s="1133"/>
      <c r="G2538" s="1133"/>
      <c r="H2538" s="1133"/>
      <c r="I2538" s="1133"/>
      <c r="J2538" s="1133"/>
      <c r="K2538" s="1133"/>
      <c r="L2538" s="1133"/>
      <c r="M2538" s="1134" t="s">
        <v>24703</v>
      </c>
      <c r="N2538" s="1123">
        <f>N2521+N2526+N2530+N2536</f>
        <v>281.81</v>
      </c>
    </row>
    <row r="2539" spans="2:14" x14ac:dyDescent="0.3">
      <c r="B2539" s="850"/>
      <c r="C2539" s="461"/>
      <c r="D2539" s="461"/>
      <c r="E2539" s="461"/>
      <c r="F2539" s="1120"/>
      <c r="G2539" s="1120"/>
      <c r="H2539" s="1120"/>
      <c r="I2539" s="1120"/>
      <c r="J2539" s="1120"/>
      <c r="K2539" s="1135"/>
      <c r="L2539" s="1135"/>
      <c r="M2539" s="1136">
        <f>'QUIOSQUE - MOD 01'!I3</f>
        <v>0.28220000000000001</v>
      </c>
      <c r="N2539" s="1123">
        <f>ROUND(N2538*M2539,2)</f>
        <v>79.53</v>
      </c>
    </row>
    <row r="2540" spans="2:14" ht="15.75" thickBot="1" x14ac:dyDescent="0.35">
      <c r="B2540" s="1599" t="s">
        <v>24704</v>
      </c>
      <c r="C2540" s="1600"/>
      <c r="D2540" s="1600"/>
      <c r="E2540" s="1600"/>
      <c r="F2540" s="1600"/>
      <c r="G2540" s="1600"/>
      <c r="H2540" s="1600"/>
      <c r="I2540" s="1600"/>
      <c r="J2540" s="1600"/>
      <c r="K2540" s="1600"/>
      <c r="L2540" s="1600"/>
      <c r="M2540" s="1601"/>
      <c r="N2540" s="1126">
        <f>N2538+N2539</f>
        <v>361.34</v>
      </c>
    </row>
    <row r="2542" spans="2:14" ht="15.75" thickBot="1" x14ac:dyDescent="0.35"/>
    <row r="2543" spans="2:14" ht="41.25" customHeight="1" x14ac:dyDescent="0.3">
      <c r="B2543" s="1607" t="s">
        <v>25419</v>
      </c>
      <c r="C2543" s="1608"/>
      <c r="D2543" s="1609"/>
      <c r="E2543" s="1610" t="s">
        <v>24669</v>
      </c>
      <c r="F2543" s="1610"/>
      <c r="G2543" s="1610"/>
      <c r="H2543" s="1610"/>
      <c r="I2543" s="1610"/>
      <c r="J2543" s="1610"/>
      <c r="K2543" s="1610"/>
      <c r="L2543" s="1623"/>
      <c r="M2543" s="1576"/>
      <c r="N2543" s="1577"/>
    </row>
    <row r="2544" spans="2:14" x14ac:dyDescent="0.3">
      <c r="B2544" s="1103" t="s">
        <v>24670</v>
      </c>
      <c r="C2544" s="1586" t="s">
        <v>25420</v>
      </c>
      <c r="D2544" s="1586"/>
      <c r="E2544" s="1586"/>
      <c r="F2544" s="1586"/>
      <c r="G2544" s="1586"/>
      <c r="H2544" s="1586"/>
      <c r="I2544" s="1586"/>
      <c r="J2544" s="1586"/>
      <c r="K2544" s="1586"/>
      <c r="L2544" s="1586"/>
      <c r="M2544" s="1586"/>
      <c r="N2544" s="1587"/>
    </row>
    <row r="2545" spans="2:14" x14ac:dyDescent="0.3">
      <c r="B2545" s="1103" t="s">
        <v>24671</v>
      </c>
      <c r="C2545" s="1588" t="s">
        <v>82</v>
      </c>
      <c r="D2545" s="1588"/>
      <c r="E2545" s="1588"/>
      <c r="F2545" s="1588"/>
      <c r="G2545" s="1588"/>
      <c r="H2545" s="1588"/>
      <c r="I2545" s="1588"/>
      <c r="J2545" s="1588"/>
      <c r="K2545" s="1588"/>
      <c r="L2545" s="1588"/>
      <c r="M2545" s="1588"/>
      <c r="N2545" s="1589"/>
    </row>
    <row r="2546" spans="2:14" ht="15.75" thickBot="1" x14ac:dyDescent="0.35">
      <c r="B2546" s="1103" t="s">
        <v>24672</v>
      </c>
      <c r="C2546" s="1590">
        <v>44501</v>
      </c>
      <c r="D2546" s="1591"/>
      <c r="E2546" s="1591"/>
      <c r="F2546" s="1591"/>
      <c r="G2546" s="1591"/>
      <c r="H2546" s="1591"/>
      <c r="I2546" s="1591"/>
      <c r="J2546" s="1591"/>
      <c r="K2546" s="1591"/>
      <c r="L2546" s="1591"/>
      <c r="M2546" s="1591"/>
      <c r="N2546" s="1592"/>
    </row>
    <row r="2547" spans="2:14" ht="30" x14ac:dyDescent="0.3">
      <c r="B2547" s="1104" t="s">
        <v>0</v>
      </c>
      <c r="C2547" s="1105" t="s">
        <v>24673</v>
      </c>
      <c r="D2547" s="1593" t="s">
        <v>24674</v>
      </c>
      <c r="E2547" s="1593"/>
      <c r="F2547" s="1593"/>
      <c r="G2547" s="1594"/>
      <c r="H2547" s="1106" t="s">
        <v>111</v>
      </c>
      <c r="I2547" s="1106" t="s">
        <v>24675</v>
      </c>
      <c r="J2547" s="1106" t="s">
        <v>24676</v>
      </c>
      <c r="K2547" s="1106" t="s">
        <v>24677</v>
      </c>
      <c r="L2547" s="1106" t="s">
        <v>24678</v>
      </c>
      <c r="M2547" s="1621" t="s">
        <v>24679</v>
      </c>
      <c r="N2547" s="1622"/>
    </row>
    <row r="2548" spans="2:14" x14ac:dyDescent="0.3">
      <c r="B2548" s="1115"/>
      <c r="C2548" s="1108"/>
      <c r="D2548" s="1595"/>
      <c r="E2548" s="1595"/>
      <c r="F2548" s="1595"/>
      <c r="G2548" s="1596"/>
      <c r="H2548" s="1109"/>
      <c r="I2548" s="1109"/>
      <c r="J2548" s="1109"/>
      <c r="K2548" s="1109"/>
      <c r="L2548" s="1109"/>
      <c r="M2548" s="1597"/>
      <c r="N2548" s="1620"/>
    </row>
    <row r="2549" spans="2:14" x14ac:dyDescent="0.3">
      <c r="B2549" s="1115"/>
      <c r="C2549" s="1108"/>
      <c r="D2549" s="1595"/>
      <c r="E2549" s="1595"/>
      <c r="F2549" s="1595"/>
      <c r="G2549" s="1596"/>
      <c r="H2549" s="1109"/>
      <c r="I2549" s="1109"/>
      <c r="J2549" s="1109"/>
      <c r="K2549" s="1109"/>
      <c r="L2549" s="1109"/>
      <c r="M2549" s="1597"/>
      <c r="N2549" s="1620"/>
    </row>
    <row r="2550" spans="2:14" x14ac:dyDescent="0.3">
      <c r="B2550" s="1107"/>
      <c r="C2550" s="1108"/>
      <c r="D2550" s="1595"/>
      <c r="E2550" s="1595"/>
      <c r="F2550" s="1595"/>
      <c r="G2550" s="1596"/>
      <c r="H2550" s="1109"/>
      <c r="I2550" s="1109"/>
      <c r="J2550" s="1109"/>
      <c r="K2550" s="1109"/>
      <c r="L2550" s="1109"/>
      <c r="M2550" s="1597"/>
      <c r="N2550" s="1620"/>
    </row>
    <row r="2551" spans="2:14" ht="15.75" thickBot="1" x14ac:dyDescent="0.35">
      <c r="B2551" s="855"/>
      <c r="C2551" s="954"/>
      <c r="D2551" s="954"/>
      <c r="E2551" s="954"/>
      <c r="F2551" s="1110"/>
      <c r="G2551" s="1110"/>
      <c r="H2551" s="1110"/>
      <c r="I2551" s="1110"/>
      <c r="J2551" s="1110"/>
      <c r="K2551" s="1110"/>
      <c r="L2551" s="1110"/>
      <c r="M2551" s="1111" t="s">
        <v>24680</v>
      </c>
      <c r="N2551" s="1112">
        <f>SUM(N2548:N2550)</f>
        <v>0</v>
      </c>
    </row>
    <row r="2552" spans="2:14" ht="15.75" thickBot="1" x14ac:dyDescent="0.35">
      <c r="B2552" s="850"/>
      <c r="C2552" s="461"/>
      <c r="D2552" s="461"/>
      <c r="E2552" s="461"/>
      <c r="F2552" s="461"/>
      <c r="G2552" s="461"/>
      <c r="H2552" s="461"/>
      <c r="I2552" s="461"/>
      <c r="J2552" s="461"/>
      <c r="K2552" s="461"/>
      <c r="L2552" s="461"/>
      <c r="M2552" s="461"/>
      <c r="N2552" s="1113"/>
    </row>
    <row r="2553" spans="2:14" ht="45" x14ac:dyDescent="0.3">
      <c r="B2553" s="1104" t="s">
        <v>0</v>
      </c>
      <c r="C2553" s="1105" t="s">
        <v>24673</v>
      </c>
      <c r="D2553" s="1593" t="s">
        <v>24681</v>
      </c>
      <c r="E2553" s="1593"/>
      <c r="F2553" s="1593"/>
      <c r="G2553" s="1593"/>
      <c r="H2553" s="1594"/>
      <c r="I2553" s="1106" t="s">
        <v>3686</v>
      </c>
      <c r="J2553" s="1106" t="s">
        <v>24682</v>
      </c>
      <c r="K2553" s="1106" t="s">
        <v>25177</v>
      </c>
      <c r="L2553" s="1106" t="s">
        <v>25178</v>
      </c>
      <c r="M2553" s="1106" t="s">
        <v>24683</v>
      </c>
      <c r="N2553" s="1114" t="s">
        <v>24679</v>
      </c>
    </row>
    <row r="2554" spans="2:14" x14ac:dyDescent="0.3">
      <c r="B2554" s="1115">
        <v>10115</v>
      </c>
      <c r="C2554" s="1108" t="s">
        <v>4379</v>
      </c>
      <c r="D2554" s="1604" t="s">
        <v>25421</v>
      </c>
      <c r="E2554" s="1604"/>
      <c r="F2554" s="1604"/>
      <c r="G2554" s="1604"/>
      <c r="H2554" s="1605"/>
      <c r="I2554" s="1109" t="s">
        <v>75</v>
      </c>
      <c r="J2554" s="1117">
        <v>1.5727</v>
      </c>
      <c r="K2554" s="1109">
        <v>7.43</v>
      </c>
      <c r="L2554" s="1109">
        <f>K2554*(1+J2554)</f>
        <v>19.12</v>
      </c>
      <c r="M2554" s="1118">
        <v>0.129</v>
      </c>
      <c r="N2554" s="1119">
        <f>M2554*L2554</f>
        <v>2.4700000000000002</v>
      </c>
    </row>
    <row r="2555" spans="2:14" x14ac:dyDescent="0.3">
      <c r="B2555" s="1115">
        <v>10101</v>
      </c>
      <c r="C2555" s="1108" t="s">
        <v>4379</v>
      </c>
      <c r="D2555" s="1604" t="s">
        <v>25223</v>
      </c>
      <c r="E2555" s="1604"/>
      <c r="F2555" s="1604"/>
      <c r="G2555" s="1604"/>
      <c r="H2555" s="1605"/>
      <c r="I2555" s="1109" t="s">
        <v>75</v>
      </c>
      <c r="J2555" s="1117">
        <v>1.5727</v>
      </c>
      <c r="K2555" s="1109">
        <v>6.27</v>
      </c>
      <c r="L2555" s="1109">
        <f>K2555*(1+J2555)</f>
        <v>16.13</v>
      </c>
      <c r="M2555" s="1118">
        <v>0.129</v>
      </c>
      <c r="N2555" s="1119">
        <f>M2555*L2555</f>
        <v>2.08</v>
      </c>
    </row>
    <row r="2556" spans="2:14" ht="15.75" thickBot="1" x14ac:dyDescent="0.35">
      <c r="B2556" s="855"/>
      <c r="C2556" s="954"/>
      <c r="D2556" s="954"/>
      <c r="E2556" s="954"/>
      <c r="F2556" s="1110"/>
      <c r="G2556" s="1110"/>
      <c r="H2556" s="1110"/>
      <c r="I2556" s="1110"/>
      <c r="J2556" s="1110"/>
      <c r="K2556" s="1110"/>
      <c r="L2556" s="1110"/>
      <c r="M2556" s="1111" t="s">
        <v>24684</v>
      </c>
      <c r="N2556" s="1112">
        <f>SUM(N2554:N2555)</f>
        <v>4.55</v>
      </c>
    </row>
    <row r="2557" spans="2:14" ht="15.75" thickBot="1" x14ac:dyDescent="0.35">
      <c r="B2557" s="850"/>
      <c r="C2557" s="461"/>
      <c r="D2557" s="461"/>
      <c r="E2557" s="461"/>
      <c r="F2557" s="461"/>
      <c r="G2557" s="461"/>
      <c r="H2557" s="461"/>
      <c r="I2557" s="1120"/>
      <c r="J2557" s="1120"/>
      <c r="K2557" s="461"/>
      <c r="L2557" s="461"/>
      <c r="M2557" s="461"/>
      <c r="N2557" s="1113"/>
    </row>
    <row r="2558" spans="2:14" ht="30" x14ac:dyDescent="0.3">
      <c r="B2558" s="1104" t="s">
        <v>0</v>
      </c>
      <c r="C2558" s="1105" t="s">
        <v>24673</v>
      </c>
      <c r="D2558" s="1593" t="s">
        <v>24685</v>
      </c>
      <c r="E2558" s="1593"/>
      <c r="F2558" s="1593"/>
      <c r="G2558" s="1593"/>
      <c r="H2558" s="1594"/>
      <c r="I2558" s="1106" t="s">
        <v>2858</v>
      </c>
      <c r="J2558" s="1106" t="s">
        <v>24686</v>
      </c>
      <c r="K2558" s="1106" t="s">
        <v>24687</v>
      </c>
      <c r="L2558" s="1614" t="s">
        <v>24688</v>
      </c>
      <c r="M2558" s="1615"/>
      <c r="N2558" s="1114" t="s">
        <v>24689</v>
      </c>
    </row>
    <row r="2559" spans="2:14" x14ac:dyDescent="0.3">
      <c r="B2559" s="1115"/>
      <c r="C2559" s="1116"/>
      <c r="D2559" s="1604"/>
      <c r="E2559" s="1604"/>
      <c r="F2559" s="1604"/>
      <c r="G2559" s="1604"/>
      <c r="H2559" s="1605"/>
      <c r="I2559" s="1109"/>
      <c r="J2559" s="1109"/>
      <c r="K2559" s="1109"/>
      <c r="L2559" s="1597"/>
      <c r="M2559" s="1598"/>
      <c r="N2559" s="1119">
        <f>N2556*(I2559/100)</f>
        <v>0</v>
      </c>
    </row>
    <row r="2560" spans="2:14" x14ac:dyDescent="0.3">
      <c r="B2560" s="850"/>
      <c r="C2560" s="461"/>
      <c r="D2560" s="461"/>
      <c r="E2560" s="461"/>
      <c r="F2560" s="1120"/>
      <c r="G2560" s="1120"/>
      <c r="H2560" s="1120"/>
      <c r="I2560" s="1120"/>
      <c r="J2560" s="1120"/>
      <c r="K2560" s="1120"/>
      <c r="L2560" s="1120"/>
      <c r="M2560" s="1121" t="s">
        <v>24690</v>
      </c>
      <c r="N2560" s="1122">
        <f>SUM(N2559:N2559)</f>
        <v>0</v>
      </c>
    </row>
    <row r="2561" spans="2:14" x14ac:dyDescent="0.3">
      <c r="B2561" s="850"/>
      <c r="C2561" s="461"/>
      <c r="D2561" s="461"/>
      <c r="E2561" s="461"/>
      <c r="F2561" s="461"/>
      <c r="G2561" s="461"/>
      <c r="H2561" s="461"/>
      <c r="I2561" s="461"/>
      <c r="J2561" s="461"/>
      <c r="K2561" s="461"/>
      <c r="L2561" s="461"/>
      <c r="M2561" s="461"/>
      <c r="N2561" s="1113"/>
    </row>
    <row r="2562" spans="2:14" x14ac:dyDescent="0.3">
      <c r="B2562" s="850"/>
      <c r="C2562" s="461"/>
      <c r="D2562" s="461"/>
      <c r="E2562" s="461"/>
      <c r="F2562" s="1120"/>
      <c r="G2562" s="1120"/>
      <c r="H2562" s="1120"/>
      <c r="I2562" s="863"/>
      <c r="J2562" s="863"/>
      <c r="K2562" s="863"/>
      <c r="L2562" s="863"/>
      <c r="M2562" s="1121" t="s">
        <v>24691</v>
      </c>
      <c r="N2562" s="1123">
        <f>N2551+N2556+N2560</f>
        <v>4.55</v>
      </c>
    </row>
    <row r="2563" spans="2:14" x14ac:dyDescent="0.3">
      <c r="B2563" s="850"/>
      <c r="C2563" s="461"/>
      <c r="D2563" s="461"/>
      <c r="E2563" s="461"/>
      <c r="F2563" s="1120"/>
      <c r="G2563" s="1120"/>
      <c r="H2563" s="1120"/>
      <c r="I2563" s="1120"/>
      <c r="J2563" s="1124"/>
      <c r="K2563" s="1124"/>
      <c r="L2563" s="1124"/>
      <c r="M2563" s="1125" t="s">
        <v>24692</v>
      </c>
      <c r="N2563" s="1123">
        <v>1</v>
      </c>
    </row>
    <row r="2564" spans="2:14" ht="15.75" thickBot="1" x14ac:dyDescent="0.35">
      <c r="B2564" s="855"/>
      <c r="C2564" s="954"/>
      <c r="D2564" s="954"/>
      <c r="E2564" s="954"/>
      <c r="F2564" s="1110"/>
      <c r="G2564" s="1110"/>
      <c r="H2564" s="1110"/>
      <c r="I2564" s="1110"/>
      <c r="J2564" s="1110"/>
      <c r="K2564" s="1110"/>
      <c r="L2564" s="1110"/>
      <c r="M2564" s="1111" t="s">
        <v>24693</v>
      </c>
      <c r="N2564" s="1126">
        <f>TRUNC(N2562/N2563,2)</f>
        <v>4.55</v>
      </c>
    </row>
    <row r="2565" spans="2:14" ht="15.75" thickBot="1" x14ac:dyDescent="0.35">
      <c r="B2565" s="850"/>
      <c r="C2565" s="461"/>
      <c r="D2565" s="461"/>
      <c r="E2565" s="461"/>
      <c r="F2565" s="461"/>
      <c r="G2565" s="461"/>
      <c r="H2565" s="461"/>
      <c r="I2565" s="461"/>
      <c r="J2565" s="461"/>
      <c r="K2565" s="461"/>
      <c r="L2565" s="461"/>
      <c r="M2565" s="461"/>
      <c r="N2565" s="1113"/>
    </row>
    <row r="2566" spans="2:14" ht="30" x14ac:dyDescent="0.3">
      <c r="B2566" s="1104" t="s">
        <v>0</v>
      </c>
      <c r="C2566" s="1105" t="s">
        <v>24673</v>
      </c>
      <c r="D2566" s="1593" t="s">
        <v>24694</v>
      </c>
      <c r="E2566" s="1593"/>
      <c r="F2566" s="1593"/>
      <c r="G2566" s="1593"/>
      <c r="H2566" s="1593"/>
      <c r="I2566" s="1594"/>
      <c r="J2566" s="1106" t="s">
        <v>3686</v>
      </c>
      <c r="K2566" s="1106" t="s">
        <v>24695</v>
      </c>
      <c r="L2566" s="1614" t="s">
        <v>24683</v>
      </c>
      <c r="M2566" s="1615"/>
      <c r="N2566" s="1114" t="s">
        <v>24689</v>
      </c>
    </row>
    <row r="2567" spans="2:14" x14ac:dyDescent="0.3">
      <c r="B2567" s="1149">
        <v>2689</v>
      </c>
      <c r="C2567" s="1155" t="s">
        <v>24706</v>
      </c>
      <c r="D2567" s="1616" t="s">
        <v>25422</v>
      </c>
      <c r="E2567" s="1616"/>
      <c r="F2567" s="1616"/>
      <c r="G2567" s="1616"/>
      <c r="H2567" s="1616"/>
      <c r="I2567" s="1617"/>
      <c r="J2567" s="1151" t="s">
        <v>82</v>
      </c>
      <c r="K2567" s="1151">
        <v>2.16</v>
      </c>
      <c r="L2567" s="1618">
        <v>1.0169999999999999</v>
      </c>
      <c r="M2567" s="1619"/>
      <c r="N2567" s="1130">
        <f>L2567*K2567</f>
        <v>2.2000000000000002</v>
      </c>
    </row>
    <row r="2568" spans="2:14" ht="15.75" thickBot="1" x14ac:dyDescent="0.35">
      <c r="B2568" s="855"/>
      <c r="C2568" s="954"/>
      <c r="D2568" s="954"/>
      <c r="E2568" s="954"/>
      <c r="F2568" s="1110"/>
      <c r="G2568" s="1110"/>
      <c r="H2568" s="1110"/>
      <c r="I2568" s="1110"/>
      <c r="J2568" s="1110"/>
      <c r="K2568" s="1110"/>
      <c r="L2568" s="1110"/>
      <c r="M2568" s="1111" t="s">
        <v>24696</v>
      </c>
      <c r="N2568" s="1112">
        <f>SUM(N2567:N2567)</f>
        <v>2.2000000000000002</v>
      </c>
    </row>
    <row r="2569" spans="2:14" ht="15.75" thickBot="1" x14ac:dyDescent="0.35">
      <c r="B2569" s="850"/>
      <c r="C2569" s="461"/>
      <c r="D2569" s="461"/>
      <c r="E2569" s="461"/>
      <c r="F2569" s="461"/>
      <c r="G2569" s="461"/>
      <c r="H2569" s="461"/>
      <c r="I2569" s="461"/>
      <c r="J2569" s="461"/>
      <c r="K2569" s="461"/>
      <c r="L2569" s="461"/>
      <c r="M2569" s="461"/>
      <c r="N2569" s="1113"/>
    </row>
    <row r="2570" spans="2:14" ht="30" x14ac:dyDescent="0.3">
      <c r="B2570" s="1104" t="s">
        <v>0</v>
      </c>
      <c r="C2570" s="1106" t="s">
        <v>24673</v>
      </c>
      <c r="D2570" s="1593" t="s">
        <v>24697</v>
      </c>
      <c r="E2570" s="1593"/>
      <c r="F2570" s="1593"/>
      <c r="G2570" s="1593"/>
      <c r="H2570" s="1593"/>
      <c r="I2570" s="1594"/>
      <c r="J2570" s="1106" t="s">
        <v>3686</v>
      </c>
      <c r="K2570" s="1106" t="s">
        <v>24695</v>
      </c>
      <c r="L2570" s="1614" t="s">
        <v>24683</v>
      </c>
      <c r="M2570" s="1615"/>
      <c r="N2570" s="1114" t="s">
        <v>24689</v>
      </c>
    </row>
    <row r="2571" spans="2:14" x14ac:dyDescent="0.3">
      <c r="B2571" s="1127"/>
      <c r="C2571" s="1128"/>
      <c r="D2571" s="1604"/>
      <c r="E2571" s="1604"/>
      <c r="F2571" s="1604"/>
      <c r="G2571" s="1604"/>
      <c r="H2571" s="1604"/>
      <c r="I2571" s="1605"/>
      <c r="J2571" s="462"/>
      <c r="K2571" s="462"/>
      <c r="L2571" s="1612"/>
      <c r="M2571" s="1613"/>
      <c r="N2571" s="1130"/>
    </row>
    <row r="2572" spans="2:14" ht="15.75" thickBot="1" x14ac:dyDescent="0.35">
      <c r="B2572" s="855"/>
      <c r="C2572" s="954"/>
      <c r="D2572" s="954"/>
      <c r="E2572" s="954"/>
      <c r="F2572" s="1110"/>
      <c r="G2572" s="1110"/>
      <c r="H2572" s="1110"/>
      <c r="I2572" s="1110"/>
      <c r="J2572" s="1110"/>
      <c r="K2572" s="1110"/>
      <c r="L2572" s="1110"/>
      <c r="M2572" s="1111" t="s">
        <v>24698</v>
      </c>
      <c r="N2572" s="1112">
        <f>SUM(N2571:N2571)</f>
        <v>0</v>
      </c>
    </row>
    <row r="2573" spans="2:14" ht="15.75" thickBot="1" x14ac:dyDescent="0.35">
      <c r="B2573" s="850"/>
      <c r="C2573" s="461"/>
      <c r="D2573" s="461"/>
      <c r="E2573" s="461"/>
      <c r="F2573" s="461"/>
      <c r="G2573" s="461"/>
      <c r="H2573" s="461"/>
      <c r="I2573" s="461"/>
      <c r="J2573" s="461"/>
      <c r="K2573" s="461"/>
      <c r="L2573" s="461"/>
      <c r="M2573" s="461"/>
      <c r="N2573" s="1113"/>
    </row>
    <row r="2574" spans="2:14" ht="30" x14ac:dyDescent="0.3">
      <c r="B2574" s="1104" t="s">
        <v>0</v>
      </c>
      <c r="C2574" s="1106" t="s">
        <v>24673</v>
      </c>
      <c r="D2574" s="1593" t="s">
        <v>24699</v>
      </c>
      <c r="E2574" s="1593"/>
      <c r="F2574" s="1593"/>
      <c r="G2574" s="1594"/>
      <c r="H2574" s="1106" t="s">
        <v>3686</v>
      </c>
      <c r="I2574" s="1106" t="s">
        <v>24700</v>
      </c>
      <c r="J2574" s="1106" t="s">
        <v>24701</v>
      </c>
      <c r="K2574" s="1106" t="s">
        <v>24695</v>
      </c>
      <c r="L2574" s="1614" t="s">
        <v>24683</v>
      </c>
      <c r="M2574" s="1615"/>
      <c r="N2574" s="1114" t="s">
        <v>24689</v>
      </c>
    </row>
    <row r="2575" spans="2:14" x14ac:dyDescent="0.3">
      <c r="B2575" s="1115"/>
      <c r="C2575" s="1116"/>
      <c r="D2575" s="1595"/>
      <c r="E2575" s="1595"/>
      <c r="F2575" s="1595"/>
      <c r="G2575" s="1595"/>
      <c r="H2575" s="1109"/>
      <c r="I2575" s="1109"/>
      <c r="J2575" s="1109"/>
      <c r="K2575" s="1109"/>
      <c r="L2575" s="1597"/>
      <c r="M2575" s="1598"/>
      <c r="N2575" s="1119"/>
    </row>
    <row r="2576" spans="2:14" x14ac:dyDescent="0.3">
      <c r="B2576" s="1115"/>
      <c r="C2576" s="1116"/>
      <c r="D2576" s="1595"/>
      <c r="E2576" s="1595"/>
      <c r="F2576" s="1595"/>
      <c r="G2576" s="1595"/>
      <c r="H2576" s="1109"/>
      <c r="I2576" s="1109"/>
      <c r="J2576" s="1109"/>
      <c r="K2576" s="1109"/>
      <c r="L2576" s="1597"/>
      <c r="M2576" s="1598"/>
      <c r="N2576" s="1119"/>
    </row>
    <row r="2577" spans="2:14" x14ac:dyDescent="0.3">
      <c r="B2577" s="1115"/>
      <c r="C2577" s="1116"/>
      <c r="D2577" s="1595"/>
      <c r="E2577" s="1595"/>
      <c r="F2577" s="1595"/>
      <c r="G2577" s="1595"/>
      <c r="H2577" s="1109"/>
      <c r="I2577" s="1109"/>
      <c r="J2577" s="1109"/>
      <c r="K2577" s="1109"/>
      <c r="L2577" s="1597"/>
      <c r="M2577" s="1598"/>
      <c r="N2577" s="1119"/>
    </row>
    <row r="2578" spans="2:14" x14ac:dyDescent="0.3">
      <c r="B2578" s="850"/>
      <c r="C2578" s="461"/>
      <c r="D2578" s="461"/>
      <c r="E2578" s="461"/>
      <c r="F2578" s="1120"/>
      <c r="G2578" s="1120"/>
      <c r="H2578" s="1120"/>
      <c r="I2578" s="1120"/>
      <c r="J2578" s="1120"/>
      <c r="K2578" s="1120"/>
      <c r="L2578" s="1120"/>
      <c r="M2578" s="1121" t="s">
        <v>24702</v>
      </c>
      <c r="N2578" s="1122">
        <f>SUM(N2575:N2577)</f>
        <v>0</v>
      </c>
    </row>
    <row r="2579" spans="2:14" x14ac:dyDescent="0.3">
      <c r="B2579" s="850"/>
      <c r="C2579" s="461"/>
      <c r="D2579" s="461"/>
      <c r="E2579" s="461"/>
      <c r="F2579" s="461"/>
      <c r="G2579" s="461"/>
      <c r="H2579" s="461"/>
      <c r="I2579" s="461"/>
      <c r="J2579" s="461"/>
      <c r="K2579" s="461"/>
      <c r="L2579" s="461"/>
      <c r="M2579" s="461"/>
      <c r="N2579" s="1113"/>
    </row>
    <row r="2580" spans="2:14" x14ac:dyDescent="0.3">
      <c r="B2580" s="1131"/>
      <c r="C2580" s="1132"/>
      <c r="D2580" s="1132"/>
      <c r="E2580" s="1132"/>
      <c r="F2580" s="1133"/>
      <c r="G2580" s="1133"/>
      <c r="H2580" s="1133"/>
      <c r="I2580" s="1133"/>
      <c r="J2580" s="1133"/>
      <c r="K2580" s="1133"/>
      <c r="L2580" s="1133"/>
      <c r="M2580" s="1134" t="s">
        <v>24703</v>
      </c>
      <c r="N2580" s="1123">
        <f>N2564+N2568+N2572+N2578</f>
        <v>6.75</v>
      </c>
    </row>
    <row r="2581" spans="2:14" x14ac:dyDescent="0.3">
      <c r="B2581" s="850"/>
      <c r="C2581" s="461"/>
      <c r="D2581" s="461"/>
      <c r="E2581" s="461"/>
      <c r="F2581" s="1120"/>
      <c r="G2581" s="1120"/>
      <c r="H2581" s="1120"/>
      <c r="I2581" s="1120"/>
      <c r="J2581" s="1120"/>
      <c r="K2581" s="1135"/>
      <c r="L2581" s="1135"/>
      <c r="M2581" s="1136">
        <f>'QUIOSQUE - MOD 01'!I3</f>
        <v>0.28220000000000001</v>
      </c>
      <c r="N2581" s="1123">
        <f>ROUND(N2580*M2581,2)</f>
        <v>1.9</v>
      </c>
    </row>
    <row r="2582" spans="2:14" ht="15.75" thickBot="1" x14ac:dyDescent="0.35">
      <c r="B2582" s="1599" t="s">
        <v>24704</v>
      </c>
      <c r="C2582" s="1600"/>
      <c r="D2582" s="1600"/>
      <c r="E2582" s="1600"/>
      <c r="F2582" s="1600"/>
      <c r="G2582" s="1600"/>
      <c r="H2582" s="1600"/>
      <c r="I2582" s="1600"/>
      <c r="J2582" s="1600"/>
      <c r="K2582" s="1600"/>
      <c r="L2582" s="1600"/>
      <c r="M2582" s="1601"/>
      <c r="N2582" s="1126">
        <f>N2580+N2581</f>
        <v>8.65</v>
      </c>
    </row>
    <row r="2585" spans="2:14" ht="15.75" thickBot="1" x14ac:dyDescent="0.35"/>
    <row r="2586" spans="2:14" ht="48" customHeight="1" x14ac:dyDescent="0.3">
      <c r="B2586" s="1607" t="s">
        <v>25423</v>
      </c>
      <c r="C2586" s="1608"/>
      <c r="D2586" s="1609"/>
      <c r="E2586" s="1610" t="s">
        <v>24669</v>
      </c>
      <c r="F2586" s="1610"/>
      <c r="G2586" s="1610"/>
      <c r="H2586" s="1610"/>
      <c r="I2586" s="1610"/>
      <c r="J2586" s="1610"/>
      <c r="K2586" s="1610"/>
      <c r="L2586" s="1623"/>
      <c r="M2586" s="1576"/>
      <c r="N2586" s="1577"/>
    </row>
    <row r="2587" spans="2:14" x14ac:dyDescent="0.3">
      <c r="B2587" s="1103" t="s">
        <v>24670</v>
      </c>
      <c r="C2587" s="1586" t="s">
        <v>25424</v>
      </c>
      <c r="D2587" s="1586"/>
      <c r="E2587" s="1586"/>
      <c r="F2587" s="1586"/>
      <c r="G2587" s="1586"/>
      <c r="H2587" s="1586"/>
      <c r="I2587" s="1586"/>
      <c r="J2587" s="1586"/>
      <c r="K2587" s="1586"/>
      <c r="L2587" s="1586"/>
      <c r="M2587" s="1586"/>
      <c r="N2587" s="1587"/>
    </row>
    <row r="2588" spans="2:14" x14ac:dyDescent="0.3">
      <c r="B2588" s="1103" t="s">
        <v>24671</v>
      </c>
      <c r="C2588" s="1588" t="s">
        <v>82</v>
      </c>
      <c r="D2588" s="1588"/>
      <c r="E2588" s="1588"/>
      <c r="F2588" s="1588"/>
      <c r="G2588" s="1588"/>
      <c r="H2588" s="1588"/>
      <c r="I2588" s="1588"/>
      <c r="J2588" s="1588"/>
      <c r="K2588" s="1588"/>
      <c r="L2588" s="1588"/>
      <c r="M2588" s="1588"/>
      <c r="N2588" s="1589"/>
    </row>
    <row r="2589" spans="2:14" ht="15.75" thickBot="1" x14ac:dyDescent="0.35">
      <c r="B2589" s="1103" t="s">
        <v>24672</v>
      </c>
      <c r="C2589" s="1590">
        <v>44501</v>
      </c>
      <c r="D2589" s="1591"/>
      <c r="E2589" s="1591"/>
      <c r="F2589" s="1591"/>
      <c r="G2589" s="1591"/>
      <c r="H2589" s="1591"/>
      <c r="I2589" s="1591"/>
      <c r="J2589" s="1591"/>
      <c r="K2589" s="1591"/>
      <c r="L2589" s="1591"/>
      <c r="M2589" s="1591"/>
      <c r="N2589" s="1592"/>
    </row>
    <row r="2590" spans="2:14" ht="30" x14ac:dyDescent="0.3">
      <c r="B2590" s="1104" t="s">
        <v>0</v>
      </c>
      <c r="C2590" s="1105" t="s">
        <v>24673</v>
      </c>
      <c r="D2590" s="1593" t="s">
        <v>24674</v>
      </c>
      <c r="E2590" s="1593"/>
      <c r="F2590" s="1593"/>
      <c r="G2590" s="1594"/>
      <c r="H2590" s="1106" t="s">
        <v>111</v>
      </c>
      <c r="I2590" s="1106" t="s">
        <v>24675</v>
      </c>
      <c r="J2590" s="1106" t="s">
        <v>24676</v>
      </c>
      <c r="K2590" s="1106" t="s">
        <v>24677</v>
      </c>
      <c r="L2590" s="1106" t="s">
        <v>24678</v>
      </c>
      <c r="M2590" s="1621" t="s">
        <v>24679</v>
      </c>
      <c r="N2590" s="1622"/>
    </row>
    <row r="2591" spans="2:14" x14ac:dyDescent="0.3">
      <c r="B2591" s="1115"/>
      <c r="C2591" s="1108"/>
      <c r="D2591" s="1595"/>
      <c r="E2591" s="1595"/>
      <c r="F2591" s="1595"/>
      <c r="G2591" s="1596"/>
      <c r="H2591" s="1109"/>
      <c r="I2591" s="1109"/>
      <c r="J2591" s="1109"/>
      <c r="K2591" s="1109"/>
      <c r="L2591" s="1109"/>
      <c r="M2591" s="1597"/>
      <c r="N2591" s="1620"/>
    </row>
    <row r="2592" spans="2:14" x14ac:dyDescent="0.3">
      <c r="B2592" s="1115"/>
      <c r="C2592" s="1108"/>
      <c r="D2592" s="1595"/>
      <c r="E2592" s="1595"/>
      <c r="F2592" s="1595"/>
      <c r="G2592" s="1596"/>
      <c r="H2592" s="1109"/>
      <c r="I2592" s="1109"/>
      <c r="J2592" s="1109"/>
      <c r="K2592" s="1109"/>
      <c r="L2592" s="1109"/>
      <c r="M2592" s="1597"/>
      <c r="N2592" s="1620"/>
    </row>
    <row r="2593" spans="2:14" x14ac:dyDescent="0.3">
      <c r="B2593" s="1107"/>
      <c r="C2593" s="1108"/>
      <c r="D2593" s="1595"/>
      <c r="E2593" s="1595"/>
      <c r="F2593" s="1595"/>
      <c r="G2593" s="1596"/>
      <c r="H2593" s="1109"/>
      <c r="I2593" s="1109"/>
      <c r="J2593" s="1109"/>
      <c r="K2593" s="1109"/>
      <c r="L2593" s="1109"/>
      <c r="M2593" s="1597"/>
      <c r="N2593" s="1620"/>
    </row>
    <row r="2594" spans="2:14" ht="15.75" thickBot="1" x14ac:dyDescent="0.35">
      <c r="B2594" s="855"/>
      <c r="C2594" s="954"/>
      <c r="D2594" s="954"/>
      <c r="E2594" s="954"/>
      <c r="F2594" s="1110"/>
      <c r="G2594" s="1110"/>
      <c r="H2594" s="1110"/>
      <c r="I2594" s="1110"/>
      <c r="J2594" s="1110"/>
      <c r="K2594" s="1110"/>
      <c r="L2594" s="1110"/>
      <c r="M2594" s="1111" t="s">
        <v>24680</v>
      </c>
      <c r="N2594" s="1112">
        <f>SUM(N2591:N2593)</f>
        <v>0</v>
      </c>
    </row>
    <row r="2595" spans="2:14" ht="15.75" thickBot="1" x14ac:dyDescent="0.35">
      <c r="B2595" s="850"/>
      <c r="C2595" s="461"/>
      <c r="D2595" s="461"/>
      <c r="E2595" s="461"/>
      <c r="F2595" s="461"/>
      <c r="G2595" s="461"/>
      <c r="H2595" s="461"/>
      <c r="I2595" s="461"/>
      <c r="J2595" s="461"/>
      <c r="K2595" s="461"/>
      <c r="L2595" s="461"/>
      <c r="M2595" s="461"/>
      <c r="N2595" s="1113"/>
    </row>
    <row r="2596" spans="2:14" ht="45" x14ac:dyDescent="0.3">
      <c r="B2596" s="1104" t="s">
        <v>0</v>
      </c>
      <c r="C2596" s="1105" t="s">
        <v>24673</v>
      </c>
      <c r="D2596" s="1593" t="s">
        <v>24681</v>
      </c>
      <c r="E2596" s="1593"/>
      <c r="F2596" s="1593"/>
      <c r="G2596" s="1593"/>
      <c r="H2596" s="1594"/>
      <c r="I2596" s="1106" t="s">
        <v>3686</v>
      </c>
      <c r="J2596" s="1106" t="s">
        <v>24682</v>
      </c>
      <c r="K2596" s="1106" t="s">
        <v>25177</v>
      </c>
      <c r="L2596" s="1106" t="s">
        <v>25178</v>
      </c>
      <c r="M2596" s="1106" t="s">
        <v>24683</v>
      </c>
      <c r="N2596" s="1114" t="s">
        <v>24679</v>
      </c>
    </row>
    <row r="2597" spans="2:14" x14ac:dyDescent="0.3">
      <c r="B2597" s="1115">
        <v>10115</v>
      </c>
      <c r="C2597" s="1108" t="s">
        <v>4379</v>
      </c>
      <c r="D2597" s="1604" t="s">
        <v>25421</v>
      </c>
      <c r="E2597" s="1604"/>
      <c r="F2597" s="1604"/>
      <c r="G2597" s="1604"/>
      <c r="H2597" s="1605"/>
      <c r="I2597" s="1109" t="s">
        <v>75</v>
      </c>
      <c r="J2597" s="1117">
        <v>1.5727</v>
      </c>
      <c r="K2597" s="1109">
        <v>7.43</v>
      </c>
      <c r="L2597" s="1109">
        <f>K2597*(1+J2597)</f>
        <v>19.12</v>
      </c>
      <c r="M2597" s="1118">
        <v>0.14399999999999999</v>
      </c>
      <c r="N2597" s="1119">
        <f>M2597*L2597</f>
        <v>2.75</v>
      </c>
    </row>
    <row r="2598" spans="2:14" x14ac:dyDescent="0.3">
      <c r="B2598" s="1115">
        <v>10101</v>
      </c>
      <c r="C2598" s="1108" t="s">
        <v>4379</v>
      </c>
      <c r="D2598" s="1604" t="s">
        <v>25223</v>
      </c>
      <c r="E2598" s="1604"/>
      <c r="F2598" s="1604"/>
      <c r="G2598" s="1604"/>
      <c r="H2598" s="1605"/>
      <c r="I2598" s="1109" t="s">
        <v>75</v>
      </c>
      <c r="J2598" s="1117">
        <v>1.5727</v>
      </c>
      <c r="K2598" s="1109">
        <v>6.27</v>
      </c>
      <c r="L2598" s="1109">
        <f>K2598*(1+J2598)</f>
        <v>16.13</v>
      </c>
      <c r="M2598" s="1118">
        <v>0.14399999999999999</v>
      </c>
      <c r="N2598" s="1119">
        <f>M2598*L2598</f>
        <v>2.3199999999999998</v>
      </c>
    </row>
    <row r="2599" spans="2:14" ht="15.75" thickBot="1" x14ac:dyDescent="0.35">
      <c r="B2599" s="855"/>
      <c r="C2599" s="954"/>
      <c r="D2599" s="954"/>
      <c r="E2599" s="954"/>
      <c r="F2599" s="1110"/>
      <c r="G2599" s="1110"/>
      <c r="H2599" s="1110"/>
      <c r="I2599" s="1110"/>
      <c r="J2599" s="1110"/>
      <c r="K2599" s="1110"/>
      <c r="L2599" s="1110"/>
      <c r="M2599" s="1111" t="s">
        <v>24684</v>
      </c>
      <c r="N2599" s="1112">
        <f>SUM(N2597:N2598)</f>
        <v>5.07</v>
      </c>
    </row>
    <row r="2600" spans="2:14" ht="15.75" thickBot="1" x14ac:dyDescent="0.35">
      <c r="B2600" s="850"/>
      <c r="C2600" s="461"/>
      <c r="D2600" s="461"/>
      <c r="E2600" s="461"/>
      <c r="F2600" s="461"/>
      <c r="G2600" s="461"/>
      <c r="H2600" s="461"/>
      <c r="I2600" s="1120"/>
      <c r="J2600" s="1120"/>
      <c r="K2600" s="461"/>
      <c r="L2600" s="461"/>
      <c r="M2600" s="461"/>
      <c r="N2600" s="1113"/>
    </row>
    <row r="2601" spans="2:14" ht="30" x14ac:dyDescent="0.3">
      <c r="B2601" s="1104" t="s">
        <v>0</v>
      </c>
      <c r="C2601" s="1105" t="s">
        <v>24673</v>
      </c>
      <c r="D2601" s="1593" t="s">
        <v>24685</v>
      </c>
      <c r="E2601" s="1593"/>
      <c r="F2601" s="1593"/>
      <c r="G2601" s="1593"/>
      <c r="H2601" s="1594"/>
      <c r="I2601" s="1106" t="s">
        <v>2858</v>
      </c>
      <c r="J2601" s="1106" t="s">
        <v>24686</v>
      </c>
      <c r="K2601" s="1106" t="s">
        <v>24687</v>
      </c>
      <c r="L2601" s="1614" t="s">
        <v>24688</v>
      </c>
      <c r="M2601" s="1615"/>
      <c r="N2601" s="1114" t="s">
        <v>24689</v>
      </c>
    </row>
    <row r="2602" spans="2:14" x14ac:dyDescent="0.3">
      <c r="B2602" s="1115"/>
      <c r="C2602" s="1116"/>
      <c r="D2602" s="1604"/>
      <c r="E2602" s="1604"/>
      <c r="F2602" s="1604"/>
      <c r="G2602" s="1604"/>
      <c r="H2602" s="1605"/>
      <c r="I2602" s="1109"/>
      <c r="J2602" s="1109"/>
      <c r="K2602" s="1109"/>
      <c r="L2602" s="1597"/>
      <c r="M2602" s="1598"/>
      <c r="N2602" s="1119">
        <f>N2599*(I2602/100)</f>
        <v>0</v>
      </c>
    </row>
    <row r="2603" spans="2:14" x14ac:dyDescent="0.3">
      <c r="B2603" s="850"/>
      <c r="C2603" s="461"/>
      <c r="D2603" s="461"/>
      <c r="E2603" s="461"/>
      <c r="F2603" s="1120"/>
      <c r="G2603" s="1120"/>
      <c r="H2603" s="1120"/>
      <c r="I2603" s="1120"/>
      <c r="J2603" s="1120"/>
      <c r="K2603" s="1120"/>
      <c r="L2603" s="1120"/>
      <c r="M2603" s="1121" t="s">
        <v>24690</v>
      </c>
      <c r="N2603" s="1122">
        <f>SUM(N2602:N2602)</f>
        <v>0</v>
      </c>
    </row>
    <row r="2604" spans="2:14" x14ac:dyDescent="0.3">
      <c r="B2604" s="850"/>
      <c r="C2604" s="461"/>
      <c r="D2604" s="461"/>
      <c r="E2604" s="461"/>
      <c r="F2604" s="461"/>
      <c r="G2604" s="461"/>
      <c r="H2604" s="461"/>
      <c r="I2604" s="461"/>
      <c r="J2604" s="461"/>
      <c r="K2604" s="461"/>
      <c r="L2604" s="461"/>
      <c r="M2604" s="461"/>
      <c r="N2604" s="1113"/>
    </row>
    <row r="2605" spans="2:14" x14ac:dyDescent="0.3">
      <c r="B2605" s="850"/>
      <c r="C2605" s="461"/>
      <c r="D2605" s="461"/>
      <c r="E2605" s="461"/>
      <c r="F2605" s="1120"/>
      <c r="G2605" s="1120"/>
      <c r="H2605" s="1120"/>
      <c r="I2605" s="863"/>
      <c r="J2605" s="863"/>
      <c r="K2605" s="863"/>
      <c r="L2605" s="863"/>
      <c r="M2605" s="1121" t="s">
        <v>24691</v>
      </c>
      <c r="N2605" s="1123">
        <f>N2594+N2599+N2603</f>
        <v>5.07</v>
      </c>
    </row>
    <row r="2606" spans="2:14" x14ac:dyDescent="0.3">
      <c r="B2606" s="850"/>
      <c r="C2606" s="461"/>
      <c r="D2606" s="461"/>
      <c r="E2606" s="461"/>
      <c r="F2606" s="1120"/>
      <c r="G2606" s="1120"/>
      <c r="H2606" s="1120"/>
      <c r="I2606" s="1120"/>
      <c r="J2606" s="1124"/>
      <c r="K2606" s="1124"/>
      <c r="L2606" s="1124"/>
      <c r="M2606" s="1125" t="s">
        <v>24692</v>
      </c>
      <c r="N2606" s="1123">
        <v>1</v>
      </c>
    </row>
    <row r="2607" spans="2:14" ht="15.75" thickBot="1" x14ac:dyDescent="0.35">
      <c r="B2607" s="855"/>
      <c r="C2607" s="954"/>
      <c r="D2607" s="954"/>
      <c r="E2607" s="954"/>
      <c r="F2607" s="1110"/>
      <c r="G2607" s="1110"/>
      <c r="H2607" s="1110"/>
      <c r="I2607" s="1110"/>
      <c r="J2607" s="1110"/>
      <c r="K2607" s="1110"/>
      <c r="L2607" s="1110"/>
      <c r="M2607" s="1111" t="s">
        <v>24693</v>
      </c>
      <c r="N2607" s="1126">
        <f>TRUNC(N2605/N2606,2)</f>
        <v>5.07</v>
      </c>
    </row>
    <row r="2608" spans="2:14" ht="15.75" thickBot="1" x14ac:dyDescent="0.35">
      <c r="B2608" s="850"/>
      <c r="C2608" s="461"/>
      <c r="D2608" s="461"/>
      <c r="E2608" s="461"/>
      <c r="F2608" s="461"/>
      <c r="G2608" s="461"/>
      <c r="H2608" s="461"/>
      <c r="I2608" s="461"/>
      <c r="J2608" s="461"/>
      <c r="K2608" s="461"/>
      <c r="L2608" s="461"/>
      <c r="M2608" s="461"/>
      <c r="N2608" s="1113"/>
    </row>
    <row r="2609" spans="2:14" ht="30" x14ac:dyDescent="0.3">
      <c r="B2609" s="1104" t="s">
        <v>0</v>
      </c>
      <c r="C2609" s="1105" t="s">
        <v>24673</v>
      </c>
      <c r="D2609" s="1593" t="s">
        <v>24694</v>
      </c>
      <c r="E2609" s="1593"/>
      <c r="F2609" s="1593"/>
      <c r="G2609" s="1593"/>
      <c r="H2609" s="1593"/>
      <c r="I2609" s="1594"/>
      <c r="J2609" s="1106" t="s">
        <v>3686</v>
      </c>
      <c r="K2609" s="1106" t="s">
        <v>24695</v>
      </c>
      <c r="L2609" s="1614" t="s">
        <v>24683</v>
      </c>
      <c r="M2609" s="1615"/>
      <c r="N2609" s="1114" t="s">
        <v>24689</v>
      </c>
    </row>
    <row r="2610" spans="2:14" x14ac:dyDescent="0.3">
      <c r="B2610" s="1149">
        <v>2688</v>
      </c>
      <c r="C2610" s="1155" t="s">
        <v>24706</v>
      </c>
      <c r="D2610" s="1616" t="s">
        <v>25425</v>
      </c>
      <c r="E2610" s="1616"/>
      <c r="F2610" s="1616"/>
      <c r="G2610" s="1616"/>
      <c r="H2610" s="1616"/>
      <c r="I2610" s="1617"/>
      <c r="J2610" s="1151" t="s">
        <v>82</v>
      </c>
      <c r="K2610" s="1151">
        <v>2.34</v>
      </c>
      <c r="L2610" s="1618">
        <v>1.0169999999999999</v>
      </c>
      <c r="M2610" s="1619"/>
      <c r="N2610" s="1130">
        <f>L2610*K2610</f>
        <v>2.38</v>
      </c>
    </row>
    <row r="2611" spans="2:14" ht="15.75" thickBot="1" x14ac:dyDescent="0.35">
      <c r="B2611" s="855"/>
      <c r="C2611" s="954"/>
      <c r="D2611" s="954"/>
      <c r="E2611" s="954"/>
      <c r="F2611" s="1110"/>
      <c r="G2611" s="1110"/>
      <c r="H2611" s="1110"/>
      <c r="I2611" s="1110"/>
      <c r="J2611" s="1110"/>
      <c r="K2611" s="1110"/>
      <c r="L2611" s="1110"/>
      <c r="M2611" s="1111" t="s">
        <v>24696</v>
      </c>
      <c r="N2611" s="1112">
        <f>SUM(N2610:N2610)</f>
        <v>2.38</v>
      </c>
    </row>
    <row r="2612" spans="2:14" ht="15.75" thickBot="1" x14ac:dyDescent="0.35">
      <c r="B2612" s="850"/>
      <c r="C2612" s="461"/>
      <c r="D2612" s="461"/>
      <c r="E2612" s="461"/>
      <c r="F2612" s="461"/>
      <c r="G2612" s="461"/>
      <c r="H2612" s="461"/>
      <c r="I2612" s="461"/>
      <c r="J2612" s="461"/>
      <c r="K2612" s="461"/>
      <c r="L2612" s="461"/>
      <c r="M2612" s="461"/>
      <c r="N2612" s="1113"/>
    </row>
    <row r="2613" spans="2:14" ht="30" x14ac:dyDescent="0.3">
      <c r="B2613" s="1104" t="s">
        <v>0</v>
      </c>
      <c r="C2613" s="1106" t="s">
        <v>24673</v>
      </c>
      <c r="D2613" s="1593" t="s">
        <v>24697</v>
      </c>
      <c r="E2613" s="1593"/>
      <c r="F2613" s="1593"/>
      <c r="G2613" s="1593"/>
      <c r="H2613" s="1593"/>
      <c r="I2613" s="1594"/>
      <c r="J2613" s="1106" t="s">
        <v>3686</v>
      </c>
      <c r="K2613" s="1106" t="s">
        <v>24695</v>
      </c>
      <c r="L2613" s="1614" t="s">
        <v>24683</v>
      </c>
      <c r="M2613" s="1615"/>
      <c r="N2613" s="1114" t="s">
        <v>24689</v>
      </c>
    </row>
    <row r="2614" spans="2:14" x14ac:dyDescent="0.3">
      <c r="B2614" s="1127"/>
      <c r="C2614" s="1128"/>
      <c r="D2614" s="1604"/>
      <c r="E2614" s="1604"/>
      <c r="F2614" s="1604"/>
      <c r="G2614" s="1604"/>
      <c r="H2614" s="1604"/>
      <c r="I2614" s="1605"/>
      <c r="J2614" s="462"/>
      <c r="K2614" s="462"/>
      <c r="L2614" s="1612"/>
      <c r="M2614" s="1613"/>
      <c r="N2614" s="1130"/>
    </row>
    <row r="2615" spans="2:14" ht="15.75" thickBot="1" x14ac:dyDescent="0.35">
      <c r="B2615" s="855"/>
      <c r="C2615" s="954"/>
      <c r="D2615" s="954"/>
      <c r="E2615" s="954"/>
      <c r="F2615" s="1110"/>
      <c r="G2615" s="1110"/>
      <c r="H2615" s="1110"/>
      <c r="I2615" s="1110"/>
      <c r="J2615" s="1110"/>
      <c r="K2615" s="1110"/>
      <c r="L2615" s="1110"/>
      <c r="M2615" s="1111" t="s">
        <v>24698</v>
      </c>
      <c r="N2615" s="1112">
        <f>SUM(N2614:N2614)</f>
        <v>0</v>
      </c>
    </row>
    <row r="2616" spans="2:14" ht="15.75" thickBot="1" x14ac:dyDescent="0.35">
      <c r="B2616" s="850"/>
      <c r="C2616" s="461"/>
      <c r="D2616" s="461"/>
      <c r="E2616" s="461"/>
      <c r="F2616" s="461"/>
      <c r="G2616" s="461"/>
      <c r="H2616" s="461"/>
      <c r="I2616" s="461"/>
      <c r="J2616" s="461"/>
      <c r="K2616" s="461"/>
      <c r="L2616" s="461"/>
      <c r="M2616" s="461"/>
      <c r="N2616" s="1113"/>
    </row>
    <row r="2617" spans="2:14" ht="30" x14ac:dyDescent="0.3">
      <c r="B2617" s="1104" t="s">
        <v>0</v>
      </c>
      <c r="C2617" s="1106" t="s">
        <v>24673</v>
      </c>
      <c r="D2617" s="1593" t="s">
        <v>24699</v>
      </c>
      <c r="E2617" s="1593"/>
      <c r="F2617" s="1593"/>
      <c r="G2617" s="1594"/>
      <c r="H2617" s="1106" t="s">
        <v>3686</v>
      </c>
      <c r="I2617" s="1106" t="s">
        <v>24700</v>
      </c>
      <c r="J2617" s="1106" t="s">
        <v>24701</v>
      </c>
      <c r="K2617" s="1106" t="s">
        <v>24695</v>
      </c>
      <c r="L2617" s="1614" t="s">
        <v>24683</v>
      </c>
      <c r="M2617" s="1615"/>
      <c r="N2617" s="1114" t="s">
        <v>24689</v>
      </c>
    </row>
    <row r="2618" spans="2:14" x14ac:dyDescent="0.3">
      <c r="B2618" s="1115"/>
      <c r="C2618" s="1116"/>
      <c r="D2618" s="1595"/>
      <c r="E2618" s="1595"/>
      <c r="F2618" s="1595"/>
      <c r="G2618" s="1595"/>
      <c r="H2618" s="1109"/>
      <c r="I2618" s="1109"/>
      <c r="J2618" s="1109"/>
      <c r="K2618" s="1109"/>
      <c r="L2618" s="1597"/>
      <c r="M2618" s="1598"/>
      <c r="N2618" s="1119"/>
    </row>
    <row r="2619" spans="2:14" x14ac:dyDescent="0.3">
      <c r="B2619" s="1115"/>
      <c r="C2619" s="1116"/>
      <c r="D2619" s="1595"/>
      <c r="E2619" s="1595"/>
      <c r="F2619" s="1595"/>
      <c r="G2619" s="1595"/>
      <c r="H2619" s="1109"/>
      <c r="I2619" s="1109"/>
      <c r="J2619" s="1109"/>
      <c r="K2619" s="1109"/>
      <c r="L2619" s="1597"/>
      <c r="M2619" s="1598"/>
      <c r="N2619" s="1119"/>
    </row>
    <row r="2620" spans="2:14" x14ac:dyDescent="0.3">
      <c r="B2620" s="1115"/>
      <c r="C2620" s="1116"/>
      <c r="D2620" s="1595"/>
      <c r="E2620" s="1595"/>
      <c r="F2620" s="1595"/>
      <c r="G2620" s="1595"/>
      <c r="H2620" s="1109"/>
      <c r="I2620" s="1109"/>
      <c r="J2620" s="1109"/>
      <c r="K2620" s="1109"/>
      <c r="L2620" s="1597"/>
      <c r="M2620" s="1598"/>
      <c r="N2620" s="1119"/>
    </row>
    <row r="2621" spans="2:14" x14ac:dyDescent="0.3">
      <c r="B2621" s="850"/>
      <c r="C2621" s="461"/>
      <c r="D2621" s="461"/>
      <c r="E2621" s="461"/>
      <c r="F2621" s="1120"/>
      <c r="G2621" s="1120"/>
      <c r="H2621" s="1120"/>
      <c r="I2621" s="1120"/>
      <c r="J2621" s="1120"/>
      <c r="K2621" s="1120"/>
      <c r="L2621" s="1120"/>
      <c r="M2621" s="1121" t="s">
        <v>24702</v>
      </c>
      <c r="N2621" s="1122">
        <f>SUM(N2618:N2620)</f>
        <v>0</v>
      </c>
    </row>
    <row r="2622" spans="2:14" x14ac:dyDescent="0.3">
      <c r="B2622" s="850"/>
      <c r="C2622" s="461"/>
      <c r="D2622" s="461"/>
      <c r="E2622" s="461"/>
      <c r="F2622" s="461"/>
      <c r="G2622" s="461"/>
      <c r="H2622" s="461"/>
      <c r="I2622" s="461"/>
      <c r="J2622" s="461"/>
      <c r="K2622" s="461"/>
      <c r="L2622" s="461"/>
      <c r="M2622" s="461"/>
      <c r="N2622" s="1113"/>
    </row>
    <row r="2623" spans="2:14" x14ac:dyDescent="0.3">
      <c r="B2623" s="1131"/>
      <c r="C2623" s="1132"/>
      <c r="D2623" s="1132"/>
      <c r="E2623" s="1132"/>
      <c r="F2623" s="1133"/>
      <c r="G2623" s="1133"/>
      <c r="H2623" s="1133"/>
      <c r="I2623" s="1133"/>
      <c r="J2623" s="1133"/>
      <c r="K2623" s="1133"/>
      <c r="L2623" s="1133"/>
      <c r="M2623" s="1134" t="s">
        <v>24703</v>
      </c>
      <c r="N2623" s="1123">
        <f>N2607+N2611+N2615+N2621</f>
        <v>7.45</v>
      </c>
    </row>
    <row r="2624" spans="2:14" x14ac:dyDescent="0.3">
      <c r="B2624" s="850"/>
      <c r="C2624" s="461"/>
      <c r="D2624" s="461"/>
      <c r="E2624" s="461"/>
      <c r="F2624" s="1120"/>
      <c r="G2624" s="1120"/>
      <c r="H2624" s="1120"/>
      <c r="I2624" s="1120"/>
      <c r="J2624" s="1120"/>
      <c r="K2624" s="1135"/>
      <c r="L2624" s="1135"/>
      <c r="M2624" s="1136">
        <f>'QUIOSQUE - MOD 01'!I3</f>
        <v>0.28220000000000001</v>
      </c>
      <c r="N2624" s="1123">
        <f>ROUND(N2623*M2624,2)</f>
        <v>2.1</v>
      </c>
    </row>
    <row r="2625" spans="2:14" ht="15.75" thickBot="1" x14ac:dyDescent="0.35">
      <c r="B2625" s="1599" t="s">
        <v>24704</v>
      </c>
      <c r="C2625" s="1600"/>
      <c r="D2625" s="1600"/>
      <c r="E2625" s="1600"/>
      <c r="F2625" s="1600"/>
      <c r="G2625" s="1600"/>
      <c r="H2625" s="1600"/>
      <c r="I2625" s="1600"/>
      <c r="J2625" s="1600"/>
      <c r="K2625" s="1600"/>
      <c r="L2625" s="1600"/>
      <c r="M2625" s="1601"/>
      <c r="N2625" s="1126">
        <f>N2623+N2624</f>
        <v>9.5500000000000007</v>
      </c>
    </row>
    <row r="2628" spans="2:14" ht="15.75" thickBot="1" x14ac:dyDescent="0.35"/>
    <row r="2629" spans="2:14" ht="47.25" customHeight="1" x14ac:dyDescent="0.3">
      <c r="B2629" s="1607" t="s">
        <v>25426</v>
      </c>
      <c r="C2629" s="1608"/>
      <c r="D2629" s="1609"/>
      <c r="E2629" s="1610" t="s">
        <v>24669</v>
      </c>
      <c r="F2629" s="1610"/>
      <c r="G2629" s="1610"/>
      <c r="H2629" s="1610"/>
      <c r="I2629" s="1610"/>
      <c r="J2629" s="1610"/>
      <c r="K2629" s="1610"/>
      <c r="L2629" s="1623"/>
      <c r="M2629" s="1576"/>
      <c r="N2629" s="1577"/>
    </row>
    <row r="2630" spans="2:14" x14ac:dyDescent="0.3">
      <c r="B2630" s="1103" t="s">
        <v>24670</v>
      </c>
      <c r="C2630" s="1586" t="s">
        <v>25427</v>
      </c>
      <c r="D2630" s="1586"/>
      <c r="E2630" s="1586"/>
      <c r="F2630" s="1586"/>
      <c r="G2630" s="1586"/>
      <c r="H2630" s="1586"/>
      <c r="I2630" s="1586"/>
      <c r="J2630" s="1586"/>
      <c r="K2630" s="1586"/>
      <c r="L2630" s="1586"/>
      <c r="M2630" s="1586"/>
      <c r="N2630" s="1587"/>
    </row>
    <row r="2631" spans="2:14" x14ac:dyDescent="0.3">
      <c r="B2631" s="1103" t="s">
        <v>24671</v>
      </c>
      <c r="C2631" s="1588" t="s">
        <v>82</v>
      </c>
      <c r="D2631" s="1588"/>
      <c r="E2631" s="1588"/>
      <c r="F2631" s="1588"/>
      <c r="G2631" s="1588"/>
      <c r="H2631" s="1588"/>
      <c r="I2631" s="1588"/>
      <c r="J2631" s="1588"/>
      <c r="K2631" s="1588"/>
      <c r="L2631" s="1588"/>
      <c r="M2631" s="1588"/>
      <c r="N2631" s="1589"/>
    </row>
    <row r="2632" spans="2:14" ht="15.75" thickBot="1" x14ac:dyDescent="0.35">
      <c r="B2632" s="1103" t="s">
        <v>24672</v>
      </c>
      <c r="C2632" s="1590">
        <v>44501</v>
      </c>
      <c r="D2632" s="1591"/>
      <c r="E2632" s="1591"/>
      <c r="F2632" s="1591"/>
      <c r="G2632" s="1591"/>
      <c r="H2632" s="1591"/>
      <c r="I2632" s="1591"/>
      <c r="J2632" s="1591"/>
      <c r="K2632" s="1591"/>
      <c r="L2632" s="1591"/>
      <c r="M2632" s="1591"/>
      <c r="N2632" s="1592"/>
    </row>
    <row r="2633" spans="2:14" ht="30" x14ac:dyDescent="0.3">
      <c r="B2633" s="1104" t="s">
        <v>0</v>
      </c>
      <c r="C2633" s="1105" t="s">
        <v>24673</v>
      </c>
      <c r="D2633" s="1593" t="s">
        <v>24674</v>
      </c>
      <c r="E2633" s="1593"/>
      <c r="F2633" s="1593"/>
      <c r="G2633" s="1594"/>
      <c r="H2633" s="1106" t="s">
        <v>111</v>
      </c>
      <c r="I2633" s="1106" t="s">
        <v>24675</v>
      </c>
      <c r="J2633" s="1106" t="s">
        <v>24676</v>
      </c>
      <c r="K2633" s="1106" t="s">
        <v>24677</v>
      </c>
      <c r="L2633" s="1106" t="s">
        <v>24678</v>
      </c>
      <c r="M2633" s="1621" t="s">
        <v>24679</v>
      </c>
      <c r="N2633" s="1622"/>
    </row>
    <row r="2634" spans="2:14" x14ac:dyDescent="0.3">
      <c r="B2634" s="1115"/>
      <c r="C2634" s="1108"/>
      <c r="D2634" s="1595"/>
      <c r="E2634" s="1595"/>
      <c r="F2634" s="1595"/>
      <c r="G2634" s="1596"/>
      <c r="H2634" s="1109"/>
      <c r="I2634" s="1109"/>
      <c r="J2634" s="1109"/>
      <c r="K2634" s="1109"/>
      <c r="L2634" s="1109"/>
      <c r="M2634" s="1597"/>
      <c r="N2634" s="1620"/>
    </row>
    <row r="2635" spans="2:14" x14ac:dyDescent="0.3">
      <c r="B2635" s="1115"/>
      <c r="C2635" s="1108"/>
      <c r="D2635" s="1595"/>
      <c r="E2635" s="1595"/>
      <c r="F2635" s="1595"/>
      <c r="G2635" s="1596"/>
      <c r="H2635" s="1109"/>
      <c r="I2635" s="1109"/>
      <c r="J2635" s="1109"/>
      <c r="K2635" s="1109"/>
      <c r="L2635" s="1109"/>
      <c r="M2635" s="1597"/>
      <c r="N2635" s="1620"/>
    </row>
    <row r="2636" spans="2:14" x14ac:dyDescent="0.3">
      <c r="B2636" s="1107"/>
      <c r="C2636" s="1108"/>
      <c r="D2636" s="1595"/>
      <c r="E2636" s="1595"/>
      <c r="F2636" s="1595"/>
      <c r="G2636" s="1596"/>
      <c r="H2636" s="1109"/>
      <c r="I2636" s="1109"/>
      <c r="J2636" s="1109"/>
      <c r="K2636" s="1109"/>
      <c r="L2636" s="1109"/>
      <c r="M2636" s="1597"/>
      <c r="N2636" s="1620"/>
    </row>
    <row r="2637" spans="2:14" ht="15.75" thickBot="1" x14ac:dyDescent="0.35">
      <c r="B2637" s="855"/>
      <c r="C2637" s="954"/>
      <c r="D2637" s="954"/>
      <c r="E2637" s="954"/>
      <c r="F2637" s="1110"/>
      <c r="G2637" s="1110"/>
      <c r="H2637" s="1110"/>
      <c r="I2637" s="1110"/>
      <c r="J2637" s="1110"/>
      <c r="K2637" s="1110"/>
      <c r="L2637" s="1110"/>
      <c r="M2637" s="1111" t="s">
        <v>24680</v>
      </c>
      <c r="N2637" s="1112">
        <f>SUM(N2634:N2636)</f>
        <v>0</v>
      </c>
    </row>
    <row r="2638" spans="2:14" ht="15.75" thickBot="1" x14ac:dyDescent="0.35">
      <c r="B2638" s="850"/>
      <c r="C2638" s="461"/>
      <c r="D2638" s="461"/>
      <c r="E2638" s="461"/>
      <c r="F2638" s="461"/>
      <c r="G2638" s="461"/>
      <c r="H2638" s="461"/>
      <c r="I2638" s="461"/>
      <c r="J2638" s="461"/>
      <c r="K2638" s="461"/>
      <c r="L2638" s="461"/>
      <c r="M2638" s="461"/>
      <c r="N2638" s="1113"/>
    </row>
    <row r="2639" spans="2:14" ht="45" x14ac:dyDescent="0.3">
      <c r="B2639" s="1104" t="s">
        <v>0</v>
      </c>
      <c r="C2639" s="1105" t="s">
        <v>24673</v>
      </c>
      <c r="D2639" s="1593" t="s">
        <v>24681</v>
      </c>
      <c r="E2639" s="1593"/>
      <c r="F2639" s="1593"/>
      <c r="G2639" s="1593"/>
      <c r="H2639" s="1594"/>
      <c r="I2639" s="1106" t="s">
        <v>3686</v>
      </c>
      <c r="J2639" s="1106" t="s">
        <v>24682</v>
      </c>
      <c r="K2639" s="1106" t="s">
        <v>25177</v>
      </c>
      <c r="L2639" s="1106" t="s">
        <v>25178</v>
      </c>
      <c r="M2639" s="1106" t="s">
        <v>24683</v>
      </c>
      <c r="N2639" s="1114" t="s">
        <v>24679</v>
      </c>
    </row>
    <row r="2640" spans="2:14" x14ac:dyDescent="0.3">
      <c r="B2640" s="1115">
        <v>10115</v>
      </c>
      <c r="C2640" s="1108" t="s">
        <v>4379</v>
      </c>
      <c r="D2640" s="1604" t="s">
        <v>25421</v>
      </c>
      <c r="E2640" s="1604"/>
      <c r="F2640" s="1604"/>
      <c r="G2640" s="1604"/>
      <c r="H2640" s="1605"/>
      <c r="I2640" s="1109" t="s">
        <v>75</v>
      </c>
      <c r="J2640" s="1117">
        <v>1.5727</v>
      </c>
      <c r="K2640" s="1109">
        <v>7.43</v>
      </c>
      <c r="L2640" s="1109">
        <f>K2640*(1+J2640)</f>
        <v>19.12</v>
      </c>
      <c r="M2640" s="1118">
        <v>8.6999999999999994E-2</v>
      </c>
      <c r="N2640" s="1119">
        <f>M2640*L2640</f>
        <v>1.66</v>
      </c>
    </row>
    <row r="2641" spans="2:14" x14ac:dyDescent="0.3">
      <c r="B2641" s="1115">
        <v>10101</v>
      </c>
      <c r="C2641" s="1108" t="s">
        <v>4379</v>
      </c>
      <c r="D2641" s="1604" t="s">
        <v>25223</v>
      </c>
      <c r="E2641" s="1604"/>
      <c r="F2641" s="1604"/>
      <c r="G2641" s="1604"/>
      <c r="H2641" s="1605"/>
      <c r="I2641" s="1109" t="s">
        <v>75</v>
      </c>
      <c r="J2641" s="1117">
        <v>1.5727</v>
      </c>
      <c r="K2641" s="1109">
        <v>6.27</v>
      </c>
      <c r="L2641" s="1109">
        <f>K2641*(1+J2641)</f>
        <v>16.13</v>
      </c>
      <c r="M2641" s="1118">
        <v>8.6999999999999994E-2</v>
      </c>
      <c r="N2641" s="1119">
        <f>M2641*L2641</f>
        <v>1.4</v>
      </c>
    </row>
    <row r="2642" spans="2:14" ht="15.75" thickBot="1" x14ac:dyDescent="0.35">
      <c r="B2642" s="855"/>
      <c r="C2642" s="954"/>
      <c r="D2642" s="954"/>
      <c r="E2642" s="954"/>
      <c r="F2642" s="1110"/>
      <c r="G2642" s="1110"/>
      <c r="H2642" s="1110"/>
      <c r="I2642" s="1110"/>
      <c r="J2642" s="1110"/>
      <c r="K2642" s="1110"/>
      <c r="L2642" s="1110"/>
      <c r="M2642" s="1111" t="s">
        <v>24684</v>
      </c>
      <c r="N2642" s="1112">
        <f>SUM(N2640:N2641)</f>
        <v>3.06</v>
      </c>
    </row>
    <row r="2643" spans="2:14" ht="15.75" thickBot="1" x14ac:dyDescent="0.35">
      <c r="B2643" s="850"/>
      <c r="C2643" s="461"/>
      <c r="D2643" s="461"/>
      <c r="E2643" s="461"/>
      <c r="F2643" s="461"/>
      <c r="G2643" s="461"/>
      <c r="H2643" s="461"/>
      <c r="I2643" s="1120"/>
      <c r="J2643" s="1120"/>
      <c r="K2643" s="461"/>
      <c r="L2643" s="461"/>
      <c r="M2643" s="461"/>
      <c r="N2643" s="1113"/>
    </row>
    <row r="2644" spans="2:14" ht="30" x14ac:dyDescent="0.3">
      <c r="B2644" s="1104" t="s">
        <v>0</v>
      </c>
      <c r="C2644" s="1105" t="s">
        <v>24673</v>
      </c>
      <c r="D2644" s="1593" t="s">
        <v>24685</v>
      </c>
      <c r="E2644" s="1593"/>
      <c r="F2644" s="1593"/>
      <c r="G2644" s="1593"/>
      <c r="H2644" s="1594"/>
      <c r="I2644" s="1106" t="s">
        <v>2858</v>
      </c>
      <c r="J2644" s="1106" t="s">
        <v>24686</v>
      </c>
      <c r="K2644" s="1106" t="s">
        <v>24687</v>
      </c>
      <c r="L2644" s="1614" t="s">
        <v>24688</v>
      </c>
      <c r="M2644" s="1615"/>
      <c r="N2644" s="1114" t="s">
        <v>24689</v>
      </c>
    </row>
    <row r="2645" spans="2:14" x14ac:dyDescent="0.3">
      <c r="B2645" s="1115"/>
      <c r="C2645" s="1116"/>
      <c r="D2645" s="1604"/>
      <c r="E2645" s="1604"/>
      <c r="F2645" s="1604"/>
      <c r="G2645" s="1604"/>
      <c r="H2645" s="1605"/>
      <c r="I2645" s="1109"/>
      <c r="J2645" s="1109"/>
      <c r="K2645" s="1109"/>
      <c r="L2645" s="1597"/>
      <c r="M2645" s="1598"/>
      <c r="N2645" s="1119">
        <f>N2642*(I2645/100)</f>
        <v>0</v>
      </c>
    </row>
    <row r="2646" spans="2:14" x14ac:dyDescent="0.3">
      <c r="B2646" s="850"/>
      <c r="C2646" s="461"/>
      <c r="D2646" s="461"/>
      <c r="E2646" s="461"/>
      <c r="F2646" s="1120"/>
      <c r="G2646" s="1120"/>
      <c r="H2646" s="1120"/>
      <c r="I2646" s="1120"/>
      <c r="J2646" s="1120"/>
      <c r="K2646" s="1120"/>
      <c r="L2646" s="1120"/>
      <c r="M2646" s="1121" t="s">
        <v>24690</v>
      </c>
      <c r="N2646" s="1122">
        <f>SUM(N2645:N2645)</f>
        <v>0</v>
      </c>
    </row>
    <row r="2647" spans="2:14" x14ac:dyDescent="0.3">
      <c r="B2647" s="850"/>
      <c r="C2647" s="461"/>
      <c r="D2647" s="461"/>
      <c r="E2647" s="461"/>
      <c r="F2647" s="461"/>
      <c r="G2647" s="461"/>
      <c r="H2647" s="461"/>
      <c r="I2647" s="461"/>
      <c r="J2647" s="461"/>
      <c r="K2647" s="461"/>
      <c r="L2647" s="461"/>
      <c r="M2647" s="461"/>
      <c r="N2647" s="1113"/>
    </row>
    <row r="2648" spans="2:14" x14ac:dyDescent="0.3">
      <c r="B2648" s="850"/>
      <c r="C2648" s="461"/>
      <c r="D2648" s="461"/>
      <c r="E2648" s="461"/>
      <c r="F2648" s="1120"/>
      <c r="G2648" s="1120"/>
      <c r="H2648" s="1120"/>
      <c r="I2648" s="863"/>
      <c r="J2648" s="863"/>
      <c r="K2648" s="863"/>
      <c r="L2648" s="863"/>
      <c r="M2648" s="1121" t="s">
        <v>24691</v>
      </c>
      <c r="N2648" s="1123">
        <f>N2637+N2642+N2646</f>
        <v>3.06</v>
      </c>
    </row>
    <row r="2649" spans="2:14" x14ac:dyDescent="0.3">
      <c r="B2649" s="850"/>
      <c r="C2649" s="461"/>
      <c r="D2649" s="461"/>
      <c r="E2649" s="461"/>
      <c r="F2649" s="1120"/>
      <c r="G2649" s="1120"/>
      <c r="H2649" s="1120"/>
      <c r="I2649" s="1120"/>
      <c r="J2649" s="1124"/>
      <c r="K2649" s="1124"/>
      <c r="L2649" s="1124"/>
      <c r="M2649" s="1125" t="s">
        <v>24692</v>
      </c>
      <c r="N2649" s="1123">
        <v>1</v>
      </c>
    </row>
    <row r="2650" spans="2:14" ht="15.75" thickBot="1" x14ac:dyDescent="0.35">
      <c r="B2650" s="855"/>
      <c r="C2650" s="954"/>
      <c r="D2650" s="954"/>
      <c r="E2650" s="954"/>
      <c r="F2650" s="1110"/>
      <c r="G2650" s="1110"/>
      <c r="H2650" s="1110"/>
      <c r="I2650" s="1110"/>
      <c r="J2650" s="1110"/>
      <c r="K2650" s="1110"/>
      <c r="L2650" s="1110"/>
      <c r="M2650" s="1111" t="s">
        <v>24693</v>
      </c>
      <c r="N2650" s="1126">
        <f>TRUNC(N2648/N2649,2)</f>
        <v>3.06</v>
      </c>
    </row>
    <row r="2651" spans="2:14" ht="15.75" thickBot="1" x14ac:dyDescent="0.35">
      <c r="B2651" s="850"/>
      <c r="C2651" s="461"/>
      <c r="D2651" s="461"/>
      <c r="E2651" s="461"/>
      <c r="F2651" s="461"/>
      <c r="G2651" s="461"/>
      <c r="H2651" s="461"/>
      <c r="I2651" s="461"/>
      <c r="J2651" s="461"/>
      <c r="K2651" s="461"/>
      <c r="L2651" s="461"/>
      <c r="M2651" s="461"/>
      <c r="N2651" s="1113"/>
    </row>
    <row r="2652" spans="2:14" ht="30" x14ac:dyDescent="0.3">
      <c r="B2652" s="1104" t="s">
        <v>0</v>
      </c>
      <c r="C2652" s="1105" t="s">
        <v>24673</v>
      </c>
      <c r="D2652" s="1593" t="s">
        <v>24694</v>
      </c>
      <c r="E2652" s="1593"/>
      <c r="F2652" s="1593"/>
      <c r="G2652" s="1593"/>
      <c r="H2652" s="1593"/>
      <c r="I2652" s="1594"/>
      <c r="J2652" s="1106" t="s">
        <v>3686</v>
      </c>
      <c r="K2652" s="1106" t="s">
        <v>24695</v>
      </c>
      <c r="L2652" s="1614" t="s">
        <v>24683</v>
      </c>
      <c r="M2652" s="1615"/>
      <c r="N2652" s="1114" t="s">
        <v>24689</v>
      </c>
    </row>
    <row r="2653" spans="2:14" x14ac:dyDescent="0.3">
      <c r="B2653" s="1149">
        <v>2688</v>
      </c>
      <c r="C2653" s="1155" t="s">
        <v>24706</v>
      </c>
      <c r="D2653" s="1616" t="s">
        <v>25425</v>
      </c>
      <c r="E2653" s="1616"/>
      <c r="F2653" s="1616"/>
      <c r="G2653" s="1616"/>
      <c r="H2653" s="1616"/>
      <c r="I2653" s="1617"/>
      <c r="J2653" s="1151" t="s">
        <v>82</v>
      </c>
      <c r="K2653" s="1151">
        <v>2.34</v>
      </c>
      <c r="L2653" s="1618">
        <v>1.1000000000000001</v>
      </c>
      <c r="M2653" s="1619"/>
      <c r="N2653" s="1130">
        <f>L2653*K2653</f>
        <v>2.57</v>
      </c>
    </row>
    <row r="2654" spans="2:14" x14ac:dyDescent="0.3">
      <c r="B2654" s="1149">
        <v>43132</v>
      </c>
      <c r="C2654" s="1155" t="s">
        <v>24706</v>
      </c>
      <c r="D2654" s="1616" t="s">
        <v>25428</v>
      </c>
      <c r="E2654" s="1616"/>
      <c r="F2654" s="1616"/>
      <c r="G2654" s="1616"/>
      <c r="H2654" s="1616"/>
      <c r="I2654" s="1617"/>
      <c r="J2654" s="1151" t="s">
        <v>77</v>
      </c>
      <c r="K2654" s="1151">
        <v>30.45</v>
      </c>
      <c r="L2654" s="1618">
        <v>1.8E-3</v>
      </c>
      <c r="M2654" s="1619"/>
      <c r="N2654" s="1130">
        <f>L2654*K2654</f>
        <v>0.05</v>
      </c>
    </row>
    <row r="2655" spans="2:14" ht="15.75" thickBot="1" x14ac:dyDescent="0.35">
      <c r="B2655" s="855"/>
      <c r="C2655" s="954"/>
      <c r="D2655" s="954"/>
      <c r="E2655" s="954"/>
      <c r="F2655" s="1110"/>
      <c r="G2655" s="1110"/>
      <c r="H2655" s="1110"/>
      <c r="I2655" s="1110"/>
      <c r="J2655" s="1110"/>
      <c r="K2655" s="1110"/>
      <c r="L2655" s="1110"/>
      <c r="M2655" s="1111" t="s">
        <v>24696</v>
      </c>
      <c r="N2655" s="1112">
        <f>SUM(N2653:N2654)</f>
        <v>2.62</v>
      </c>
    </row>
    <row r="2656" spans="2:14" ht="15.75" thickBot="1" x14ac:dyDescent="0.35">
      <c r="B2656" s="850"/>
      <c r="C2656" s="461"/>
      <c r="D2656" s="461"/>
      <c r="E2656" s="461"/>
      <c r="F2656" s="461"/>
      <c r="G2656" s="461"/>
      <c r="H2656" s="461"/>
      <c r="I2656" s="461"/>
      <c r="J2656" s="461"/>
      <c r="K2656" s="461"/>
      <c r="L2656" s="461"/>
      <c r="M2656" s="461"/>
      <c r="N2656" s="1113"/>
    </row>
    <row r="2657" spans="2:14" ht="30" x14ac:dyDescent="0.3">
      <c r="B2657" s="1104" t="s">
        <v>0</v>
      </c>
      <c r="C2657" s="1106" t="s">
        <v>24673</v>
      </c>
      <c r="D2657" s="1593" t="s">
        <v>24697</v>
      </c>
      <c r="E2657" s="1593"/>
      <c r="F2657" s="1593"/>
      <c r="G2657" s="1593"/>
      <c r="H2657" s="1593"/>
      <c r="I2657" s="1594"/>
      <c r="J2657" s="1106" t="s">
        <v>3686</v>
      </c>
      <c r="K2657" s="1106" t="s">
        <v>24695</v>
      </c>
      <c r="L2657" s="1614" t="s">
        <v>24683</v>
      </c>
      <c r="M2657" s="1615"/>
      <c r="N2657" s="1114" t="s">
        <v>24689</v>
      </c>
    </row>
    <row r="2658" spans="2:14" x14ac:dyDescent="0.3">
      <c r="B2658" s="1127"/>
      <c r="C2658" s="1128"/>
      <c r="D2658" s="1604"/>
      <c r="E2658" s="1604"/>
      <c r="F2658" s="1604"/>
      <c r="G2658" s="1604"/>
      <c r="H2658" s="1604"/>
      <c r="I2658" s="1605"/>
      <c r="J2658" s="462"/>
      <c r="K2658" s="462"/>
      <c r="L2658" s="1612"/>
      <c r="M2658" s="1613"/>
      <c r="N2658" s="1130"/>
    </row>
    <row r="2659" spans="2:14" ht="15.75" thickBot="1" x14ac:dyDescent="0.35">
      <c r="B2659" s="855"/>
      <c r="C2659" s="954"/>
      <c r="D2659" s="954"/>
      <c r="E2659" s="954"/>
      <c r="F2659" s="1110"/>
      <c r="G2659" s="1110"/>
      <c r="H2659" s="1110"/>
      <c r="I2659" s="1110"/>
      <c r="J2659" s="1110"/>
      <c r="K2659" s="1110"/>
      <c r="L2659" s="1110"/>
      <c r="M2659" s="1111" t="s">
        <v>24698</v>
      </c>
      <c r="N2659" s="1112">
        <f>SUM(N2658:N2658)</f>
        <v>0</v>
      </c>
    </row>
    <row r="2660" spans="2:14" ht="15.75" thickBot="1" x14ac:dyDescent="0.35">
      <c r="B2660" s="850"/>
      <c r="C2660" s="461"/>
      <c r="D2660" s="461"/>
      <c r="E2660" s="461"/>
      <c r="F2660" s="461"/>
      <c r="G2660" s="461"/>
      <c r="H2660" s="461"/>
      <c r="I2660" s="461"/>
      <c r="J2660" s="461"/>
      <c r="K2660" s="461"/>
      <c r="L2660" s="461"/>
      <c r="M2660" s="461"/>
      <c r="N2660" s="1113"/>
    </row>
    <row r="2661" spans="2:14" ht="30" x14ac:dyDescent="0.3">
      <c r="B2661" s="1104" t="s">
        <v>0</v>
      </c>
      <c r="C2661" s="1106" t="s">
        <v>24673</v>
      </c>
      <c r="D2661" s="1593" t="s">
        <v>24699</v>
      </c>
      <c r="E2661" s="1593"/>
      <c r="F2661" s="1593"/>
      <c r="G2661" s="1594"/>
      <c r="H2661" s="1106" t="s">
        <v>3686</v>
      </c>
      <c r="I2661" s="1106" t="s">
        <v>24700</v>
      </c>
      <c r="J2661" s="1106" t="s">
        <v>24701</v>
      </c>
      <c r="K2661" s="1106" t="s">
        <v>24695</v>
      </c>
      <c r="L2661" s="1614" t="s">
        <v>24683</v>
      </c>
      <c r="M2661" s="1615"/>
      <c r="N2661" s="1114" t="s">
        <v>24689</v>
      </c>
    </row>
    <row r="2662" spans="2:14" x14ac:dyDescent="0.3">
      <c r="B2662" s="1115"/>
      <c r="C2662" s="1116"/>
      <c r="D2662" s="1595"/>
      <c r="E2662" s="1595"/>
      <c r="F2662" s="1595"/>
      <c r="G2662" s="1595"/>
      <c r="H2662" s="1109"/>
      <c r="I2662" s="1109"/>
      <c r="J2662" s="1109"/>
      <c r="K2662" s="1109"/>
      <c r="L2662" s="1597"/>
      <c r="M2662" s="1598"/>
      <c r="N2662" s="1119"/>
    </row>
    <row r="2663" spans="2:14" x14ac:dyDescent="0.3">
      <c r="B2663" s="1115"/>
      <c r="C2663" s="1116"/>
      <c r="D2663" s="1595"/>
      <c r="E2663" s="1595"/>
      <c r="F2663" s="1595"/>
      <c r="G2663" s="1595"/>
      <c r="H2663" s="1109"/>
      <c r="I2663" s="1109"/>
      <c r="J2663" s="1109"/>
      <c r="K2663" s="1109"/>
      <c r="L2663" s="1597"/>
      <c r="M2663" s="1598"/>
      <c r="N2663" s="1119"/>
    </row>
    <row r="2664" spans="2:14" x14ac:dyDescent="0.3">
      <c r="B2664" s="1115"/>
      <c r="C2664" s="1116"/>
      <c r="D2664" s="1595"/>
      <c r="E2664" s="1595"/>
      <c r="F2664" s="1595"/>
      <c r="G2664" s="1595"/>
      <c r="H2664" s="1109"/>
      <c r="I2664" s="1109"/>
      <c r="J2664" s="1109"/>
      <c r="K2664" s="1109"/>
      <c r="L2664" s="1597"/>
      <c r="M2664" s="1598"/>
      <c r="N2664" s="1119"/>
    </row>
    <row r="2665" spans="2:14" x14ac:dyDescent="0.3">
      <c r="B2665" s="850"/>
      <c r="C2665" s="461"/>
      <c r="D2665" s="461"/>
      <c r="E2665" s="461"/>
      <c r="F2665" s="1120"/>
      <c r="G2665" s="1120"/>
      <c r="H2665" s="1120"/>
      <c r="I2665" s="1120"/>
      <c r="J2665" s="1120"/>
      <c r="K2665" s="1120"/>
      <c r="L2665" s="1120"/>
      <c r="M2665" s="1121" t="s">
        <v>24702</v>
      </c>
      <c r="N2665" s="1122">
        <f>SUM(N2662:N2664)</f>
        <v>0</v>
      </c>
    </row>
    <row r="2666" spans="2:14" x14ac:dyDescent="0.3">
      <c r="B2666" s="850"/>
      <c r="C2666" s="461"/>
      <c r="D2666" s="461"/>
      <c r="E2666" s="461"/>
      <c r="F2666" s="461"/>
      <c r="G2666" s="461"/>
      <c r="H2666" s="461"/>
      <c r="I2666" s="461"/>
      <c r="J2666" s="461"/>
      <c r="K2666" s="461"/>
      <c r="L2666" s="461"/>
      <c r="M2666" s="461"/>
      <c r="N2666" s="1113"/>
    </row>
    <row r="2667" spans="2:14" x14ac:dyDescent="0.3">
      <c r="B2667" s="1131"/>
      <c r="C2667" s="1132"/>
      <c r="D2667" s="1132"/>
      <c r="E2667" s="1132"/>
      <c r="F2667" s="1133"/>
      <c r="G2667" s="1133"/>
      <c r="H2667" s="1133"/>
      <c r="I2667" s="1133"/>
      <c r="J2667" s="1133"/>
      <c r="K2667" s="1133"/>
      <c r="L2667" s="1133"/>
      <c r="M2667" s="1134" t="s">
        <v>24703</v>
      </c>
      <c r="N2667" s="1123">
        <f>N2650+N2655+N2659+N2665</f>
        <v>5.68</v>
      </c>
    </row>
    <row r="2668" spans="2:14" x14ac:dyDescent="0.3">
      <c r="B2668" s="850"/>
      <c r="C2668" s="461"/>
      <c r="D2668" s="461"/>
      <c r="E2668" s="461"/>
      <c r="F2668" s="1120"/>
      <c r="G2668" s="1120"/>
      <c r="H2668" s="1120"/>
      <c r="I2668" s="1120"/>
      <c r="J2668" s="1120"/>
      <c r="K2668" s="1135"/>
      <c r="L2668" s="1135"/>
      <c r="M2668" s="1136">
        <f>'QUIOSQUE - MOD 01'!I3</f>
        <v>0.28220000000000001</v>
      </c>
      <c r="N2668" s="1123">
        <f>ROUND(N2667*M2668,2)</f>
        <v>1.6</v>
      </c>
    </row>
    <row r="2669" spans="2:14" ht="15.75" thickBot="1" x14ac:dyDescent="0.35">
      <c r="B2669" s="1599" t="s">
        <v>24704</v>
      </c>
      <c r="C2669" s="1600"/>
      <c r="D2669" s="1600"/>
      <c r="E2669" s="1600"/>
      <c r="F2669" s="1600"/>
      <c r="G2669" s="1600"/>
      <c r="H2669" s="1600"/>
      <c r="I2669" s="1600"/>
      <c r="J2669" s="1600"/>
      <c r="K2669" s="1600"/>
      <c r="L2669" s="1600"/>
      <c r="M2669" s="1601"/>
      <c r="N2669" s="1126">
        <f>N2667+N2668</f>
        <v>7.28</v>
      </c>
    </row>
    <row r="2671" spans="2:14" ht="15.75" thickBot="1" x14ac:dyDescent="0.35"/>
    <row r="2672" spans="2:14" ht="44.25" customHeight="1" x14ac:dyDescent="0.3">
      <c r="B2672" s="1607" t="s">
        <v>25429</v>
      </c>
      <c r="C2672" s="1608"/>
      <c r="D2672" s="1609"/>
      <c r="E2672" s="1610" t="s">
        <v>24669</v>
      </c>
      <c r="F2672" s="1610"/>
      <c r="G2672" s="1610"/>
      <c r="H2672" s="1610"/>
      <c r="I2672" s="1610"/>
      <c r="J2672" s="1610"/>
      <c r="K2672" s="1610"/>
      <c r="L2672" s="1623"/>
      <c r="M2672" s="1576"/>
      <c r="N2672" s="1577"/>
    </row>
    <row r="2673" spans="2:14" x14ac:dyDescent="0.3">
      <c r="B2673" s="1103" t="s">
        <v>24670</v>
      </c>
      <c r="C2673" s="1586" t="s">
        <v>25430</v>
      </c>
      <c r="D2673" s="1586"/>
      <c r="E2673" s="1586"/>
      <c r="F2673" s="1586"/>
      <c r="G2673" s="1586"/>
      <c r="H2673" s="1586"/>
      <c r="I2673" s="1586"/>
      <c r="J2673" s="1586"/>
      <c r="K2673" s="1586"/>
      <c r="L2673" s="1586"/>
      <c r="M2673" s="1586"/>
      <c r="N2673" s="1587"/>
    </row>
    <row r="2674" spans="2:14" x14ac:dyDescent="0.3">
      <c r="B2674" s="1103" t="s">
        <v>24671</v>
      </c>
      <c r="C2674" s="1588" t="s">
        <v>24804</v>
      </c>
      <c r="D2674" s="1588"/>
      <c r="E2674" s="1588"/>
      <c r="F2674" s="1588"/>
      <c r="G2674" s="1588"/>
      <c r="H2674" s="1588"/>
      <c r="I2674" s="1588"/>
      <c r="J2674" s="1588"/>
      <c r="K2674" s="1588"/>
      <c r="L2674" s="1588"/>
      <c r="M2674" s="1588"/>
      <c r="N2674" s="1589"/>
    </row>
    <row r="2675" spans="2:14" ht="15.75" thickBot="1" x14ac:dyDescent="0.35">
      <c r="B2675" s="1103" t="s">
        <v>24672</v>
      </c>
      <c r="C2675" s="1590">
        <v>44501</v>
      </c>
      <c r="D2675" s="1591"/>
      <c r="E2675" s="1591"/>
      <c r="F2675" s="1591"/>
      <c r="G2675" s="1591"/>
      <c r="H2675" s="1591"/>
      <c r="I2675" s="1591"/>
      <c r="J2675" s="1591"/>
      <c r="K2675" s="1591"/>
      <c r="L2675" s="1591"/>
      <c r="M2675" s="1591"/>
      <c r="N2675" s="1592"/>
    </row>
    <row r="2676" spans="2:14" ht="30" x14ac:dyDescent="0.3">
      <c r="B2676" s="1104" t="s">
        <v>0</v>
      </c>
      <c r="C2676" s="1105" t="s">
        <v>24673</v>
      </c>
      <c r="D2676" s="1593" t="s">
        <v>24674</v>
      </c>
      <c r="E2676" s="1593"/>
      <c r="F2676" s="1593"/>
      <c r="G2676" s="1594"/>
      <c r="H2676" s="1106" t="s">
        <v>111</v>
      </c>
      <c r="I2676" s="1106" t="s">
        <v>24675</v>
      </c>
      <c r="J2676" s="1106" t="s">
        <v>24676</v>
      </c>
      <c r="K2676" s="1106" t="s">
        <v>24677</v>
      </c>
      <c r="L2676" s="1106" t="s">
        <v>24678</v>
      </c>
      <c r="M2676" s="1621" t="s">
        <v>24679</v>
      </c>
      <c r="N2676" s="1622"/>
    </row>
    <row r="2677" spans="2:14" x14ac:dyDescent="0.3">
      <c r="B2677" s="1115"/>
      <c r="C2677" s="1108"/>
      <c r="D2677" s="1595"/>
      <c r="E2677" s="1595"/>
      <c r="F2677" s="1595"/>
      <c r="G2677" s="1596"/>
      <c r="H2677" s="1109"/>
      <c r="I2677" s="1109"/>
      <c r="J2677" s="1109"/>
      <c r="K2677" s="1109"/>
      <c r="L2677" s="1109"/>
      <c r="M2677" s="1597"/>
      <c r="N2677" s="1620"/>
    </row>
    <row r="2678" spans="2:14" x14ac:dyDescent="0.3">
      <c r="B2678" s="1115"/>
      <c r="C2678" s="1108"/>
      <c r="D2678" s="1595"/>
      <c r="E2678" s="1595"/>
      <c r="F2678" s="1595"/>
      <c r="G2678" s="1596"/>
      <c r="H2678" s="1109"/>
      <c r="I2678" s="1109"/>
      <c r="J2678" s="1109"/>
      <c r="K2678" s="1109"/>
      <c r="L2678" s="1109"/>
      <c r="M2678" s="1597"/>
      <c r="N2678" s="1620"/>
    </row>
    <row r="2679" spans="2:14" x14ac:dyDescent="0.3">
      <c r="B2679" s="1107"/>
      <c r="C2679" s="1108"/>
      <c r="D2679" s="1595"/>
      <c r="E2679" s="1595"/>
      <c r="F2679" s="1595"/>
      <c r="G2679" s="1596"/>
      <c r="H2679" s="1109"/>
      <c r="I2679" s="1109"/>
      <c r="J2679" s="1109"/>
      <c r="K2679" s="1109"/>
      <c r="L2679" s="1109"/>
      <c r="M2679" s="1597"/>
      <c r="N2679" s="1620"/>
    </row>
    <row r="2680" spans="2:14" ht="15.75" thickBot="1" x14ac:dyDescent="0.35">
      <c r="B2680" s="855"/>
      <c r="C2680" s="954"/>
      <c r="D2680" s="954"/>
      <c r="E2680" s="954"/>
      <c r="F2680" s="1110"/>
      <c r="G2680" s="1110"/>
      <c r="H2680" s="1110"/>
      <c r="I2680" s="1110"/>
      <c r="J2680" s="1110"/>
      <c r="K2680" s="1110"/>
      <c r="L2680" s="1110"/>
      <c r="M2680" s="1111" t="s">
        <v>24680</v>
      </c>
      <c r="N2680" s="1112">
        <f>SUM(N2677:N2679)</f>
        <v>0</v>
      </c>
    </row>
    <row r="2681" spans="2:14" ht="15.75" thickBot="1" x14ac:dyDescent="0.35">
      <c r="B2681" s="850"/>
      <c r="C2681" s="461"/>
      <c r="D2681" s="461"/>
      <c r="E2681" s="461"/>
      <c r="F2681" s="461"/>
      <c r="G2681" s="461"/>
      <c r="H2681" s="461"/>
      <c r="I2681" s="461"/>
      <c r="J2681" s="461"/>
      <c r="K2681" s="461"/>
      <c r="L2681" s="461"/>
      <c r="M2681" s="461"/>
      <c r="N2681" s="1113"/>
    </row>
    <row r="2682" spans="2:14" ht="45" x14ac:dyDescent="0.3">
      <c r="B2682" s="1104" t="s">
        <v>0</v>
      </c>
      <c r="C2682" s="1105" t="s">
        <v>24673</v>
      </c>
      <c r="D2682" s="1593" t="s">
        <v>24681</v>
      </c>
      <c r="E2682" s="1593"/>
      <c r="F2682" s="1593"/>
      <c r="G2682" s="1593"/>
      <c r="H2682" s="1594"/>
      <c r="I2682" s="1106" t="s">
        <v>3686</v>
      </c>
      <c r="J2682" s="1106" t="s">
        <v>24682</v>
      </c>
      <c r="K2682" s="1106" t="s">
        <v>25177</v>
      </c>
      <c r="L2682" s="1106" t="s">
        <v>25178</v>
      </c>
      <c r="M2682" s="1106" t="s">
        <v>24683</v>
      </c>
      <c r="N2682" s="1114" t="s">
        <v>24679</v>
      </c>
    </row>
    <row r="2683" spans="2:14" x14ac:dyDescent="0.3">
      <c r="B2683" s="1115">
        <v>10115</v>
      </c>
      <c r="C2683" s="1108" t="s">
        <v>4379</v>
      </c>
      <c r="D2683" s="1604" t="s">
        <v>25421</v>
      </c>
      <c r="E2683" s="1604"/>
      <c r="F2683" s="1604"/>
      <c r="G2683" s="1604"/>
      <c r="H2683" s="1605"/>
      <c r="I2683" s="1109" t="s">
        <v>75</v>
      </c>
      <c r="J2683" s="1117">
        <v>1.5727</v>
      </c>
      <c r="K2683" s="1109">
        <v>7.43</v>
      </c>
      <c r="L2683" s="1109">
        <f>K2683*(1+J2683)</f>
        <v>19.12</v>
      </c>
      <c r="M2683" s="1118">
        <v>0.32590000000000002</v>
      </c>
      <c r="N2683" s="1119">
        <f>M2683*L2683</f>
        <v>6.23</v>
      </c>
    </row>
    <row r="2684" spans="2:14" x14ac:dyDescent="0.3">
      <c r="B2684" s="1115">
        <v>10101</v>
      </c>
      <c r="C2684" s="1108" t="s">
        <v>4379</v>
      </c>
      <c r="D2684" s="1604" t="s">
        <v>25223</v>
      </c>
      <c r="E2684" s="1604"/>
      <c r="F2684" s="1604"/>
      <c r="G2684" s="1604"/>
      <c r="H2684" s="1605"/>
      <c r="I2684" s="1109" t="s">
        <v>75</v>
      </c>
      <c r="J2684" s="1117">
        <v>1.5727</v>
      </c>
      <c r="K2684" s="1109">
        <v>6.27</v>
      </c>
      <c r="L2684" s="1109">
        <f>K2684*(1+J2684)</f>
        <v>16.13</v>
      </c>
      <c r="M2684" s="1118">
        <v>0.32590000000000002</v>
      </c>
      <c r="N2684" s="1119">
        <f>M2684*L2684</f>
        <v>5.26</v>
      </c>
    </row>
    <row r="2685" spans="2:14" ht="15.75" thickBot="1" x14ac:dyDescent="0.35">
      <c r="B2685" s="855"/>
      <c r="C2685" s="954"/>
      <c r="D2685" s="954"/>
      <c r="E2685" s="954"/>
      <c r="F2685" s="1110"/>
      <c r="G2685" s="1110"/>
      <c r="H2685" s="1110"/>
      <c r="I2685" s="1110"/>
      <c r="J2685" s="1110"/>
      <c r="K2685" s="1110"/>
      <c r="L2685" s="1110"/>
      <c r="M2685" s="1111" t="s">
        <v>24684</v>
      </c>
      <c r="N2685" s="1112">
        <f>SUM(N2683:N2684)</f>
        <v>11.49</v>
      </c>
    </row>
    <row r="2686" spans="2:14" ht="15.75" thickBot="1" x14ac:dyDescent="0.35">
      <c r="B2686" s="850"/>
      <c r="C2686" s="461"/>
      <c r="D2686" s="461"/>
      <c r="E2686" s="461"/>
      <c r="F2686" s="461"/>
      <c r="G2686" s="461"/>
      <c r="H2686" s="461"/>
      <c r="I2686" s="1120"/>
      <c r="J2686" s="1120"/>
      <c r="K2686" s="461"/>
      <c r="L2686" s="461"/>
      <c r="M2686" s="461"/>
      <c r="N2686" s="1113"/>
    </row>
    <row r="2687" spans="2:14" ht="30" x14ac:dyDescent="0.3">
      <c r="B2687" s="1104" t="s">
        <v>0</v>
      </c>
      <c r="C2687" s="1105" t="s">
        <v>24673</v>
      </c>
      <c r="D2687" s="1593" t="s">
        <v>24685</v>
      </c>
      <c r="E2687" s="1593"/>
      <c r="F2687" s="1593"/>
      <c r="G2687" s="1593"/>
      <c r="H2687" s="1594"/>
      <c r="I2687" s="1106" t="s">
        <v>2858</v>
      </c>
      <c r="J2687" s="1106" t="s">
        <v>24686</v>
      </c>
      <c r="K2687" s="1106" t="s">
        <v>24687</v>
      </c>
      <c r="L2687" s="1614" t="s">
        <v>24688</v>
      </c>
      <c r="M2687" s="1615"/>
      <c r="N2687" s="1114" t="s">
        <v>24689</v>
      </c>
    </row>
    <row r="2688" spans="2:14" x14ac:dyDescent="0.3">
      <c r="B2688" s="1115"/>
      <c r="C2688" s="1116"/>
      <c r="D2688" s="1604"/>
      <c r="E2688" s="1604"/>
      <c r="F2688" s="1604"/>
      <c r="G2688" s="1604"/>
      <c r="H2688" s="1605"/>
      <c r="I2688" s="1109"/>
      <c r="J2688" s="1109"/>
      <c r="K2688" s="1109"/>
      <c r="L2688" s="1597"/>
      <c r="M2688" s="1598"/>
      <c r="N2688" s="1119">
        <f>N2685*(I2688/100)</f>
        <v>0</v>
      </c>
    </row>
    <row r="2689" spans="2:14" x14ac:dyDescent="0.3">
      <c r="B2689" s="850"/>
      <c r="C2689" s="461"/>
      <c r="D2689" s="461"/>
      <c r="E2689" s="461"/>
      <c r="F2689" s="1120"/>
      <c r="G2689" s="1120"/>
      <c r="H2689" s="1120"/>
      <c r="I2689" s="1120"/>
      <c r="J2689" s="1120"/>
      <c r="K2689" s="1120"/>
      <c r="L2689" s="1120"/>
      <c r="M2689" s="1121" t="s">
        <v>24690</v>
      </c>
      <c r="N2689" s="1122">
        <f>SUM(N2688:N2688)</f>
        <v>0</v>
      </c>
    </row>
    <row r="2690" spans="2:14" x14ac:dyDescent="0.3">
      <c r="B2690" s="850"/>
      <c r="C2690" s="461"/>
      <c r="D2690" s="461"/>
      <c r="E2690" s="461"/>
      <c r="F2690" s="461"/>
      <c r="G2690" s="461"/>
      <c r="H2690" s="461"/>
      <c r="I2690" s="461"/>
      <c r="J2690" s="461"/>
      <c r="K2690" s="461"/>
      <c r="L2690" s="461"/>
      <c r="M2690" s="461"/>
      <c r="N2690" s="1113"/>
    </row>
    <row r="2691" spans="2:14" x14ac:dyDescent="0.3">
      <c r="B2691" s="850"/>
      <c r="C2691" s="461"/>
      <c r="D2691" s="461"/>
      <c r="E2691" s="461"/>
      <c r="F2691" s="1120"/>
      <c r="G2691" s="1120"/>
      <c r="H2691" s="1120"/>
      <c r="I2691" s="863"/>
      <c r="J2691" s="863"/>
      <c r="K2691" s="863"/>
      <c r="L2691" s="863"/>
      <c r="M2691" s="1121" t="s">
        <v>24691</v>
      </c>
      <c r="N2691" s="1123">
        <f>N2680+N2685+N2689</f>
        <v>11.49</v>
      </c>
    </row>
    <row r="2692" spans="2:14" x14ac:dyDescent="0.3">
      <c r="B2692" s="850"/>
      <c r="C2692" s="461"/>
      <c r="D2692" s="461"/>
      <c r="E2692" s="461"/>
      <c r="F2692" s="1120"/>
      <c r="G2692" s="1120"/>
      <c r="H2692" s="1120"/>
      <c r="I2692" s="1120"/>
      <c r="J2692" s="1124"/>
      <c r="K2692" s="1124"/>
      <c r="L2692" s="1124"/>
      <c r="M2692" s="1125" t="s">
        <v>24692</v>
      </c>
      <c r="N2692" s="1123">
        <v>1</v>
      </c>
    </row>
    <row r="2693" spans="2:14" ht="15.75" thickBot="1" x14ac:dyDescent="0.35">
      <c r="B2693" s="855"/>
      <c r="C2693" s="954"/>
      <c r="D2693" s="954"/>
      <c r="E2693" s="954"/>
      <c r="F2693" s="1110"/>
      <c r="G2693" s="1110"/>
      <c r="H2693" s="1110"/>
      <c r="I2693" s="1110"/>
      <c r="J2693" s="1110"/>
      <c r="K2693" s="1110"/>
      <c r="L2693" s="1110"/>
      <c r="M2693" s="1111" t="s">
        <v>24693</v>
      </c>
      <c r="N2693" s="1126">
        <f>TRUNC(N2691/N2692,2)</f>
        <v>11.49</v>
      </c>
    </row>
    <row r="2694" spans="2:14" ht="15.75" thickBot="1" x14ac:dyDescent="0.35">
      <c r="B2694" s="850"/>
      <c r="C2694" s="461"/>
      <c r="D2694" s="461"/>
      <c r="E2694" s="461"/>
      <c r="F2694" s="461"/>
      <c r="G2694" s="461"/>
      <c r="H2694" s="461"/>
      <c r="I2694" s="461"/>
      <c r="J2694" s="461"/>
      <c r="K2694" s="461"/>
      <c r="L2694" s="461"/>
      <c r="M2694" s="461"/>
      <c r="N2694" s="1113"/>
    </row>
    <row r="2695" spans="2:14" ht="30" x14ac:dyDescent="0.3">
      <c r="B2695" s="1104" t="s">
        <v>0</v>
      </c>
      <c r="C2695" s="1105" t="s">
        <v>24673</v>
      </c>
      <c r="D2695" s="1593" t="s">
        <v>24694</v>
      </c>
      <c r="E2695" s="1593"/>
      <c r="F2695" s="1593"/>
      <c r="G2695" s="1593"/>
      <c r="H2695" s="1593"/>
      <c r="I2695" s="1594"/>
      <c r="J2695" s="1106" t="s">
        <v>3686</v>
      </c>
      <c r="K2695" s="1106" t="s">
        <v>24695</v>
      </c>
      <c r="L2695" s="1614" t="s">
        <v>24683</v>
      </c>
      <c r="M2695" s="1615"/>
      <c r="N2695" s="1114" t="s">
        <v>24689</v>
      </c>
    </row>
    <row r="2696" spans="2:14" x14ac:dyDescent="0.3">
      <c r="B2696" s="1149">
        <v>39795</v>
      </c>
      <c r="C2696" s="1155" t="s">
        <v>24706</v>
      </c>
      <c r="D2696" s="1616" t="s">
        <v>25431</v>
      </c>
      <c r="E2696" s="1616"/>
      <c r="F2696" s="1616"/>
      <c r="G2696" s="1616"/>
      <c r="H2696" s="1616"/>
      <c r="I2696" s="1617"/>
      <c r="J2696" s="1151" t="s">
        <v>24804</v>
      </c>
      <c r="K2696" s="1151">
        <v>53.55</v>
      </c>
      <c r="L2696" s="1618">
        <v>1</v>
      </c>
      <c r="M2696" s="1619"/>
      <c r="N2696" s="1130">
        <f>L2696*K2696</f>
        <v>53.55</v>
      </c>
    </row>
    <row r="2697" spans="2:14" x14ac:dyDescent="0.3">
      <c r="B2697" s="1149">
        <v>87367</v>
      </c>
      <c r="C2697" s="1155" t="s">
        <v>24706</v>
      </c>
      <c r="D2697" s="1616" t="s">
        <v>25432</v>
      </c>
      <c r="E2697" s="1616"/>
      <c r="F2697" s="1616"/>
      <c r="G2697" s="1616"/>
      <c r="H2697" s="1616"/>
      <c r="I2697" s="1617"/>
      <c r="J2697" s="1151" t="s">
        <v>76</v>
      </c>
      <c r="K2697" s="1151">
        <v>515.41999999999996</v>
      </c>
      <c r="L2697" s="1618">
        <v>4.4000000000000003E-3</v>
      </c>
      <c r="M2697" s="1619"/>
      <c r="N2697" s="1130">
        <f>L2697*K2697</f>
        <v>2.27</v>
      </c>
    </row>
    <row r="2698" spans="2:14" ht="15.75" thickBot="1" x14ac:dyDescent="0.35">
      <c r="B2698" s="855"/>
      <c r="C2698" s="954"/>
      <c r="D2698" s="954"/>
      <c r="E2698" s="954"/>
      <c r="F2698" s="1110"/>
      <c r="G2698" s="1110"/>
      <c r="H2698" s="1110"/>
      <c r="I2698" s="1110"/>
      <c r="J2698" s="1110"/>
      <c r="K2698" s="1110"/>
      <c r="L2698" s="1110"/>
      <c r="M2698" s="1111" t="s">
        <v>24696</v>
      </c>
      <c r="N2698" s="1112">
        <f>SUM(N2696:N2697)</f>
        <v>55.82</v>
      </c>
    </row>
    <row r="2699" spans="2:14" ht="15.75" thickBot="1" x14ac:dyDescent="0.35">
      <c r="B2699" s="850"/>
      <c r="C2699" s="461"/>
      <c r="D2699" s="461"/>
      <c r="E2699" s="461"/>
      <c r="F2699" s="461"/>
      <c r="G2699" s="461"/>
      <c r="H2699" s="461"/>
      <c r="I2699" s="461"/>
      <c r="J2699" s="461"/>
      <c r="K2699" s="461"/>
      <c r="L2699" s="461"/>
      <c r="M2699" s="461"/>
      <c r="N2699" s="1113"/>
    </row>
    <row r="2700" spans="2:14" ht="30" x14ac:dyDescent="0.3">
      <c r="B2700" s="1104" t="s">
        <v>0</v>
      </c>
      <c r="C2700" s="1106" t="s">
        <v>24673</v>
      </c>
      <c r="D2700" s="1593" t="s">
        <v>24697</v>
      </c>
      <c r="E2700" s="1593"/>
      <c r="F2700" s="1593"/>
      <c r="G2700" s="1593"/>
      <c r="H2700" s="1593"/>
      <c r="I2700" s="1594"/>
      <c r="J2700" s="1106" t="s">
        <v>3686</v>
      </c>
      <c r="K2700" s="1106" t="s">
        <v>24695</v>
      </c>
      <c r="L2700" s="1614" t="s">
        <v>24683</v>
      </c>
      <c r="M2700" s="1615"/>
      <c r="N2700" s="1114" t="s">
        <v>24689</v>
      </c>
    </row>
    <row r="2701" spans="2:14" x14ac:dyDescent="0.3">
      <c r="B2701" s="1127"/>
      <c r="C2701" s="1128"/>
      <c r="D2701" s="1604"/>
      <c r="E2701" s="1604"/>
      <c r="F2701" s="1604"/>
      <c r="G2701" s="1604"/>
      <c r="H2701" s="1604"/>
      <c r="I2701" s="1605"/>
      <c r="J2701" s="462"/>
      <c r="K2701" s="462"/>
      <c r="L2701" s="1612"/>
      <c r="M2701" s="1613"/>
      <c r="N2701" s="1130"/>
    </row>
    <row r="2702" spans="2:14" ht="15.75" thickBot="1" x14ac:dyDescent="0.35">
      <c r="B2702" s="855"/>
      <c r="C2702" s="954"/>
      <c r="D2702" s="954"/>
      <c r="E2702" s="954"/>
      <c r="F2702" s="1110"/>
      <c r="G2702" s="1110"/>
      <c r="H2702" s="1110"/>
      <c r="I2702" s="1110"/>
      <c r="J2702" s="1110"/>
      <c r="K2702" s="1110"/>
      <c r="L2702" s="1110"/>
      <c r="M2702" s="1111" t="s">
        <v>24698</v>
      </c>
      <c r="N2702" s="1112">
        <f>SUM(N2701:N2701)</f>
        <v>0</v>
      </c>
    </row>
    <row r="2703" spans="2:14" ht="15.75" thickBot="1" x14ac:dyDescent="0.35">
      <c r="B2703" s="850"/>
      <c r="C2703" s="461"/>
      <c r="D2703" s="461"/>
      <c r="E2703" s="461"/>
      <c r="F2703" s="461"/>
      <c r="G2703" s="461"/>
      <c r="H2703" s="461"/>
      <c r="I2703" s="461"/>
      <c r="J2703" s="461"/>
      <c r="K2703" s="461"/>
      <c r="L2703" s="461"/>
      <c r="M2703" s="461"/>
      <c r="N2703" s="1113"/>
    </row>
    <row r="2704" spans="2:14" ht="30" x14ac:dyDescent="0.3">
      <c r="B2704" s="1104" t="s">
        <v>0</v>
      </c>
      <c r="C2704" s="1106" t="s">
        <v>24673</v>
      </c>
      <c r="D2704" s="1593" t="s">
        <v>24699</v>
      </c>
      <c r="E2704" s="1593"/>
      <c r="F2704" s="1593"/>
      <c r="G2704" s="1594"/>
      <c r="H2704" s="1106" t="s">
        <v>3686</v>
      </c>
      <c r="I2704" s="1106" t="s">
        <v>24700</v>
      </c>
      <c r="J2704" s="1106" t="s">
        <v>24701</v>
      </c>
      <c r="K2704" s="1106" t="s">
        <v>24695</v>
      </c>
      <c r="L2704" s="1614" t="s">
        <v>24683</v>
      </c>
      <c r="M2704" s="1615"/>
      <c r="N2704" s="1114" t="s">
        <v>24689</v>
      </c>
    </row>
    <row r="2705" spans="2:14" x14ac:dyDescent="0.3">
      <c r="B2705" s="1115"/>
      <c r="C2705" s="1116"/>
      <c r="D2705" s="1595"/>
      <c r="E2705" s="1595"/>
      <c r="F2705" s="1595"/>
      <c r="G2705" s="1595"/>
      <c r="H2705" s="1109"/>
      <c r="I2705" s="1109"/>
      <c r="J2705" s="1109"/>
      <c r="K2705" s="1109"/>
      <c r="L2705" s="1597"/>
      <c r="M2705" s="1598"/>
      <c r="N2705" s="1119"/>
    </row>
    <row r="2706" spans="2:14" x14ac:dyDescent="0.3">
      <c r="B2706" s="1115"/>
      <c r="C2706" s="1116"/>
      <c r="D2706" s="1595"/>
      <c r="E2706" s="1595"/>
      <c r="F2706" s="1595"/>
      <c r="G2706" s="1595"/>
      <c r="H2706" s="1109"/>
      <c r="I2706" s="1109"/>
      <c r="J2706" s="1109"/>
      <c r="K2706" s="1109"/>
      <c r="L2706" s="1597"/>
      <c r="M2706" s="1598"/>
      <c r="N2706" s="1119"/>
    </row>
    <row r="2707" spans="2:14" x14ac:dyDescent="0.3">
      <c r="B2707" s="1115"/>
      <c r="C2707" s="1116"/>
      <c r="D2707" s="1595"/>
      <c r="E2707" s="1595"/>
      <c r="F2707" s="1595"/>
      <c r="G2707" s="1595"/>
      <c r="H2707" s="1109"/>
      <c r="I2707" s="1109"/>
      <c r="J2707" s="1109"/>
      <c r="K2707" s="1109"/>
      <c r="L2707" s="1597"/>
      <c r="M2707" s="1598"/>
      <c r="N2707" s="1119"/>
    </row>
    <row r="2708" spans="2:14" x14ac:dyDescent="0.3">
      <c r="B2708" s="850"/>
      <c r="C2708" s="461"/>
      <c r="D2708" s="461"/>
      <c r="E2708" s="461"/>
      <c r="F2708" s="1120"/>
      <c r="G2708" s="1120"/>
      <c r="H2708" s="1120"/>
      <c r="I2708" s="1120"/>
      <c r="J2708" s="1120"/>
      <c r="K2708" s="1120"/>
      <c r="L2708" s="1120"/>
      <c r="M2708" s="1121" t="s">
        <v>24702</v>
      </c>
      <c r="N2708" s="1122">
        <f>SUM(N2705:N2707)</f>
        <v>0</v>
      </c>
    </row>
    <row r="2709" spans="2:14" x14ac:dyDescent="0.3">
      <c r="B2709" s="850"/>
      <c r="C2709" s="461"/>
      <c r="D2709" s="461"/>
      <c r="E2709" s="461"/>
      <c r="F2709" s="461"/>
      <c r="G2709" s="461"/>
      <c r="H2709" s="461"/>
      <c r="I2709" s="461"/>
      <c r="J2709" s="461"/>
      <c r="K2709" s="461"/>
      <c r="L2709" s="461"/>
      <c r="M2709" s="461"/>
      <c r="N2709" s="1113"/>
    </row>
    <row r="2710" spans="2:14" x14ac:dyDescent="0.3">
      <c r="B2710" s="1131"/>
      <c r="C2710" s="1132"/>
      <c r="D2710" s="1132"/>
      <c r="E2710" s="1132"/>
      <c r="F2710" s="1133"/>
      <c r="G2710" s="1133"/>
      <c r="H2710" s="1133"/>
      <c r="I2710" s="1133"/>
      <c r="J2710" s="1133"/>
      <c r="K2710" s="1133"/>
      <c r="L2710" s="1133"/>
      <c r="M2710" s="1134" t="s">
        <v>24703</v>
      </c>
      <c r="N2710" s="1123">
        <f>N2693+N2698+N2702+N2708</f>
        <v>67.31</v>
      </c>
    </row>
    <row r="2711" spans="2:14" x14ac:dyDescent="0.3">
      <c r="B2711" s="850"/>
      <c r="C2711" s="461"/>
      <c r="D2711" s="461"/>
      <c r="E2711" s="461"/>
      <c r="F2711" s="1120"/>
      <c r="G2711" s="1120"/>
      <c r="H2711" s="1120"/>
      <c r="I2711" s="1120"/>
      <c r="J2711" s="1120"/>
      <c r="K2711" s="1135"/>
      <c r="L2711" s="1135"/>
      <c r="M2711" s="1136">
        <f>'QUIOSQUE - MOD 01'!I3</f>
        <v>0.28220000000000001</v>
      </c>
      <c r="N2711" s="1123">
        <f>ROUND(N2710*M2711,2)</f>
        <v>18.989999999999998</v>
      </c>
    </row>
    <row r="2712" spans="2:14" ht="15.75" thickBot="1" x14ac:dyDescent="0.35">
      <c r="B2712" s="1599" t="s">
        <v>24704</v>
      </c>
      <c r="C2712" s="1600"/>
      <c r="D2712" s="1600"/>
      <c r="E2712" s="1600"/>
      <c r="F2712" s="1600"/>
      <c r="G2712" s="1600"/>
      <c r="H2712" s="1600"/>
      <c r="I2712" s="1600"/>
      <c r="J2712" s="1600"/>
      <c r="K2712" s="1600"/>
      <c r="L2712" s="1600"/>
      <c r="M2712" s="1601"/>
      <c r="N2712" s="1126">
        <f>N2710+N2711</f>
        <v>86.3</v>
      </c>
    </row>
    <row r="2715" spans="2:14" ht="15.75" thickBot="1" x14ac:dyDescent="0.35"/>
    <row r="2716" spans="2:14" ht="45.75" customHeight="1" x14ac:dyDescent="0.3">
      <c r="B2716" s="1607" t="s">
        <v>25433</v>
      </c>
      <c r="C2716" s="1608"/>
      <c r="D2716" s="1609"/>
      <c r="E2716" s="1610" t="s">
        <v>24669</v>
      </c>
      <c r="F2716" s="1610"/>
      <c r="G2716" s="1610"/>
      <c r="H2716" s="1610"/>
      <c r="I2716" s="1610"/>
      <c r="J2716" s="1610"/>
      <c r="K2716" s="1610"/>
      <c r="L2716" s="1623"/>
      <c r="M2716" s="1576"/>
      <c r="N2716" s="1577"/>
    </row>
    <row r="2717" spans="2:14" x14ac:dyDescent="0.3">
      <c r="B2717" s="1103" t="s">
        <v>24670</v>
      </c>
      <c r="C2717" s="1586" t="s">
        <v>25434</v>
      </c>
      <c r="D2717" s="1586"/>
      <c r="E2717" s="1586"/>
      <c r="F2717" s="1586"/>
      <c r="G2717" s="1586"/>
      <c r="H2717" s="1586"/>
      <c r="I2717" s="1586"/>
      <c r="J2717" s="1586"/>
      <c r="K2717" s="1586"/>
      <c r="L2717" s="1586"/>
      <c r="M2717" s="1586"/>
      <c r="N2717" s="1587"/>
    </row>
    <row r="2718" spans="2:14" x14ac:dyDescent="0.3">
      <c r="B2718" s="1103" t="s">
        <v>24671</v>
      </c>
      <c r="C2718" s="1588" t="s">
        <v>24804</v>
      </c>
      <c r="D2718" s="1588"/>
      <c r="E2718" s="1588"/>
      <c r="F2718" s="1588"/>
      <c r="G2718" s="1588"/>
      <c r="H2718" s="1588"/>
      <c r="I2718" s="1588"/>
      <c r="J2718" s="1588"/>
      <c r="K2718" s="1588"/>
      <c r="L2718" s="1588"/>
      <c r="M2718" s="1588"/>
      <c r="N2718" s="1589"/>
    </row>
    <row r="2719" spans="2:14" ht="15.75" thickBot="1" x14ac:dyDescent="0.35">
      <c r="B2719" s="1103" t="s">
        <v>24672</v>
      </c>
      <c r="C2719" s="1590">
        <v>44501</v>
      </c>
      <c r="D2719" s="1591"/>
      <c r="E2719" s="1591"/>
      <c r="F2719" s="1591"/>
      <c r="G2719" s="1591"/>
      <c r="H2719" s="1591"/>
      <c r="I2719" s="1591"/>
      <c r="J2719" s="1591"/>
      <c r="K2719" s="1591"/>
      <c r="L2719" s="1591"/>
      <c r="M2719" s="1591"/>
      <c r="N2719" s="1592"/>
    </row>
    <row r="2720" spans="2:14" ht="30" x14ac:dyDescent="0.3">
      <c r="B2720" s="1104" t="s">
        <v>0</v>
      </c>
      <c r="C2720" s="1105" t="s">
        <v>24673</v>
      </c>
      <c r="D2720" s="1593" t="s">
        <v>24674</v>
      </c>
      <c r="E2720" s="1593"/>
      <c r="F2720" s="1593"/>
      <c r="G2720" s="1594"/>
      <c r="H2720" s="1106" t="s">
        <v>111</v>
      </c>
      <c r="I2720" s="1106" t="s">
        <v>24675</v>
      </c>
      <c r="J2720" s="1106" t="s">
        <v>24676</v>
      </c>
      <c r="K2720" s="1106" t="s">
        <v>24677</v>
      </c>
      <c r="L2720" s="1106" t="s">
        <v>24678</v>
      </c>
      <c r="M2720" s="1621" t="s">
        <v>24679</v>
      </c>
      <c r="N2720" s="1622"/>
    </row>
    <row r="2721" spans="2:14" x14ac:dyDescent="0.3">
      <c r="B2721" s="1115"/>
      <c r="C2721" s="1108"/>
      <c r="D2721" s="1595"/>
      <c r="E2721" s="1595"/>
      <c r="F2721" s="1595"/>
      <c r="G2721" s="1596"/>
      <c r="H2721" s="1109"/>
      <c r="I2721" s="1109"/>
      <c r="J2721" s="1109"/>
      <c r="K2721" s="1109"/>
      <c r="L2721" s="1109"/>
      <c r="M2721" s="1597"/>
      <c r="N2721" s="1620"/>
    </row>
    <row r="2722" spans="2:14" x14ac:dyDescent="0.3">
      <c r="B2722" s="1115"/>
      <c r="C2722" s="1108"/>
      <c r="D2722" s="1595"/>
      <c r="E2722" s="1595"/>
      <c r="F2722" s="1595"/>
      <c r="G2722" s="1596"/>
      <c r="H2722" s="1109"/>
      <c r="I2722" s="1109"/>
      <c r="J2722" s="1109"/>
      <c r="K2722" s="1109"/>
      <c r="L2722" s="1109"/>
      <c r="M2722" s="1597"/>
      <c r="N2722" s="1620"/>
    </row>
    <row r="2723" spans="2:14" x14ac:dyDescent="0.3">
      <c r="B2723" s="1107"/>
      <c r="C2723" s="1108"/>
      <c r="D2723" s="1595"/>
      <c r="E2723" s="1595"/>
      <c r="F2723" s="1595"/>
      <c r="G2723" s="1596"/>
      <c r="H2723" s="1109"/>
      <c r="I2723" s="1109"/>
      <c r="J2723" s="1109"/>
      <c r="K2723" s="1109"/>
      <c r="L2723" s="1109"/>
      <c r="M2723" s="1597"/>
      <c r="N2723" s="1620"/>
    </row>
    <row r="2724" spans="2:14" ht="15.75" thickBot="1" x14ac:dyDescent="0.35">
      <c r="B2724" s="855"/>
      <c r="C2724" s="954"/>
      <c r="D2724" s="954"/>
      <c r="E2724" s="954"/>
      <c r="F2724" s="1110"/>
      <c r="G2724" s="1110"/>
      <c r="H2724" s="1110"/>
      <c r="I2724" s="1110"/>
      <c r="J2724" s="1110"/>
      <c r="K2724" s="1110"/>
      <c r="L2724" s="1110"/>
      <c r="M2724" s="1111" t="s">
        <v>24680</v>
      </c>
      <c r="N2724" s="1112">
        <f>SUM(N2721:N2723)</f>
        <v>0</v>
      </c>
    </row>
    <row r="2725" spans="2:14" ht="15.75" thickBot="1" x14ac:dyDescent="0.35">
      <c r="B2725" s="850"/>
      <c r="C2725" s="461"/>
      <c r="D2725" s="461"/>
      <c r="E2725" s="461"/>
      <c r="F2725" s="461"/>
      <c r="G2725" s="461"/>
      <c r="H2725" s="461"/>
      <c r="I2725" s="461"/>
      <c r="J2725" s="461"/>
      <c r="K2725" s="461"/>
      <c r="L2725" s="461"/>
      <c r="M2725" s="461"/>
      <c r="N2725" s="1113"/>
    </row>
    <row r="2726" spans="2:14" ht="45" x14ac:dyDescent="0.3">
      <c r="B2726" s="1104" t="s">
        <v>0</v>
      </c>
      <c r="C2726" s="1105" t="s">
        <v>24673</v>
      </c>
      <c r="D2726" s="1593" t="s">
        <v>24681</v>
      </c>
      <c r="E2726" s="1593"/>
      <c r="F2726" s="1593"/>
      <c r="G2726" s="1593"/>
      <c r="H2726" s="1594"/>
      <c r="I2726" s="1106" t="s">
        <v>3686</v>
      </c>
      <c r="J2726" s="1106" t="s">
        <v>24682</v>
      </c>
      <c r="K2726" s="1106" t="s">
        <v>25177</v>
      </c>
      <c r="L2726" s="1106" t="s">
        <v>25178</v>
      </c>
      <c r="M2726" s="1106" t="s">
        <v>24683</v>
      </c>
      <c r="N2726" s="1114" t="s">
        <v>24679</v>
      </c>
    </row>
    <row r="2727" spans="2:14" x14ac:dyDescent="0.3">
      <c r="B2727" s="1115">
        <v>10115</v>
      </c>
      <c r="C2727" s="1108" t="s">
        <v>4379</v>
      </c>
      <c r="D2727" s="1604" t="s">
        <v>25421</v>
      </c>
      <c r="E2727" s="1604"/>
      <c r="F2727" s="1604"/>
      <c r="G2727" s="1604"/>
      <c r="H2727" s="1605"/>
      <c r="I2727" s="1109" t="s">
        <v>75</v>
      </c>
      <c r="J2727" s="1117">
        <v>1.5727</v>
      </c>
      <c r="K2727" s="1109">
        <v>7.43</v>
      </c>
      <c r="L2727" s="1109">
        <f>K2727*(1+J2727)</f>
        <v>19.12</v>
      </c>
      <c r="M2727" s="1118">
        <v>0.23499999999999999</v>
      </c>
      <c r="N2727" s="1119">
        <f>M2727*L2727</f>
        <v>4.49</v>
      </c>
    </row>
    <row r="2728" spans="2:14" x14ac:dyDescent="0.3">
      <c r="B2728" s="1115">
        <v>10101</v>
      </c>
      <c r="C2728" s="1108" t="s">
        <v>4379</v>
      </c>
      <c r="D2728" s="1604" t="s">
        <v>25223</v>
      </c>
      <c r="E2728" s="1604"/>
      <c r="F2728" s="1604"/>
      <c r="G2728" s="1604"/>
      <c r="H2728" s="1605"/>
      <c r="I2728" s="1109" t="s">
        <v>75</v>
      </c>
      <c r="J2728" s="1117">
        <v>1.5727</v>
      </c>
      <c r="K2728" s="1109">
        <v>6.27</v>
      </c>
      <c r="L2728" s="1109">
        <f>K2728*(1+J2728)</f>
        <v>16.13</v>
      </c>
      <c r="M2728" s="1118">
        <v>0.23499999999999999</v>
      </c>
      <c r="N2728" s="1119">
        <f>M2728*L2728</f>
        <v>3.79</v>
      </c>
    </row>
    <row r="2729" spans="2:14" ht="15.75" thickBot="1" x14ac:dyDescent="0.35">
      <c r="B2729" s="855"/>
      <c r="C2729" s="954"/>
      <c r="D2729" s="954"/>
      <c r="E2729" s="954"/>
      <c r="F2729" s="1110"/>
      <c r="G2729" s="1110"/>
      <c r="H2729" s="1110"/>
      <c r="I2729" s="1110"/>
      <c r="J2729" s="1110"/>
      <c r="K2729" s="1110"/>
      <c r="L2729" s="1110"/>
      <c r="M2729" s="1111" t="s">
        <v>24684</v>
      </c>
      <c r="N2729" s="1112">
        <f>SUM(N2727:N2728)</f>
        <v>8.2799999999999994</v>
      </c>
    </row>
    <row r="2730" spans="2:14" ht="15.75" thickBot="1" x14ac:dyDescent="0.35">
      <c r="B2730" s="850"/>
      <c r="C2730" s="461"/>
      <c r="D2730" s="461"/>
      <c r="E2730" s="461"/>
      <c r="F2730" s="461"/>
      <c r="G2730" s="461"/>
      <c r="H2730" s="461"/>
      <c r="I2730" s="1120"/>
      <c r="J2730" s="1120"/>
      <c r="K2730" s="461"/>
      <c r="L2730" s="461"/>
      <c r="M2730" s="461"/>
      <c r="N2730" s="1113"/>
    </row>
    <row r="2731" spans="2:14" ht="30" x14ac:dyDescent="0.3">
      <c r="B2731" s="1104" t="s">
        <v>0</v>
      </c>
      <c r="C2731" s="1105" t="s">
        <v>24673</v>
      </c>
      <c r="D2731" s="1593" t="s">
        <v>24685</v>
      </c>
      <c r="E2731" s="1593"/>
      <c r="F2731" s="1593"/>
      <c r="G2731" s="1593"/>
      <c r="H2731" s="1594"/>
      <c r="I2731" s="1106" t="s">
        <v>2858</v>
      </c>
      <c r="J2731" s="1106" t="s">
        <v>24686</v>
      </c>
      <c r="K2731" s="1106" t="s">
        <v>24687</v>
      </c>
      <c r="L2731" s="1614" t="s">
        <v>24688</v>
      </c>
      <c r="M2731" s="1615"/>
      <c r="N2731" s="1114" t="s">
        <v>24689</v>
      </c>
    </row>
    <row r="2732" spans="2:14" x14ac:dyDescent="0.3">
      <c r="B2732" s="1115"/>
      <c r="C2732" s="1116"/>
      <c r="D2732" s="1604"/>
      <c r="E2732" s="1604"/>
      <c r="F2732" s="1604"/>
      <c r="G2732" s="1604"/>
      <c r="H2732" s="1605"/>
      <c r="I2732" s="1109"/>
      <c r="J2732" s="1109"/>
      <c r="K2732" s="1109"/>
      <c r="L2732" s="1597"/>
      <c r="M2732" s="1598"/>
      <c r="N2732" s="1119">
        <f>N2729*(I2732/100)</f>
        <v>0</v>
      </c>
    </row>
    <row r="2733" spans="2:14" x14ac:dyDescent="0.3">
      <c r="B2733" s="850"/>
      <c r="C2733" s="461"/>
      <c r="D2733" s="461"/>
      <c r="E2733" s="461"/>
      <c r="F2733" s="1120"/>
      <c r="G2733" s="1120"/>
      <c r="H2733" s="1120"/>
      <c r="I2733" s="1120"/>
      <c r="J2733" s="1120"/>
      <c r="K2733" s="1120"/>
      <c r="L2733" s="1120"/>
      <c r="M2733" s="1121" t="s">
        <v>24690</v>
      </c>
      <c r="N2733" s="1122">
        <f>SUM(N2732:N2732)</f>
        <v>0</v>
      </c>
    </row>
    <row r="2734" spans="2:14" x14ac:dyDescent="0.3">
      <c r="B2734" s="850"/>
      <c r="C2734" s="461"/>
      <c r="D2734" s="461"/>
      <c r="E2734" s="461"/>
      <c r="F2734" s="461"/>
      <c r="G2734" s="461"/>
      <c r="H2734" s="461"/>
      <c r="I2734" s="461"/>
      <c r="J2734" s="461"/>
      <c r="K2734" s="461"/>
      <c r="L2734" s="461"/>
      <c r="M2734" s="461"/>
      <c r="N2734" s="1113"/>
    </row>
    <row r="2735" spans="2:14" x14ac:dyDescent="0.3">
      <c r="B2735" s="850"/>
      <c r="C2735" s="461"/>
      <c r="D2735" s="461"/>
      <c r="E2735" s="461"/>
      <c r="F2735" s="1120"/>
      <c r="G2735" s="1120"/>
      <c r="H2735" s="1120"/>
      <c r="I2735" s="863"/>
      <c r="J2735" s="863"/>
      <c r="K2735" s="863"/>
      <c r="L2735" s="863"/>
      <c r="M2735" s="1121" t="s">
        <v>24691</v>
      </c>
      <c r="N2735" s="1123">
        <f>N2724+N2729+N2733</f>
        <v>8.2799999999999994</v>
      </c>
    </row>
    <row r="2736" spans="2:14" x14ac:dyDescent="0.3">
      <c r="B2736" s="850"/>
      <c r="C2736" s="461"/>
      <c r="D2736" s="461"/>
      <c r="E2736" s="461"/>
      <c r="F2736" s="1120"/>
      <c r="G2736" s="1120"/>
      <c r="H2736" s="1120"/>
      <c r="I2736" s="1120"/>
      <c r="J2736" s="1124"/>
      <c r="K2736" s="1124"/>
      <c r="L2736" s="1124"/>
      <c r="M2736" s="1125" t="s">
        <v>24692</v>
      </c>
      <c r="N2736" s="1123">
        <v>1</v>
      </c>
    </row>
    <row r="2737" spans="2:14" ht="15.75" thickBot="1" x14ac:dyDescent="0.35">
      <c r="B2737" s="855"/>
      <c r="C2737" s="954"/>
      <c r="D2737" s="954"/>
      <c r="E2737" s="954"/>
      <c r="F2737" s="1110"/>
      <c r="G2737" s="1110"/>
      <c r="H2737" s="1110"/>
      <c r="I2737" s="1110"/>
      <c r="J2737" s="1110"/>
      <c r="K2737" s="1110"/>
      <c r="L2737" s="1110"/>
      <c r="M2737" s="1111" t="s">
        <v>24693</v>
      </c>
      <c r="N2737" s="1126">
        <f>TRUNC(N2735/N2736,2)</f>
        <v>8.2799999999999994</v>
      </c>
    </row>
    <row r="2738" spans="2:14" ht="15.75" thickBot="1" x14ac:dyDescent="0.35">
      <c r="B2738" s="850"/>
      <c r="C2738" s="461"/>
      <c r="D2738" s="461"/>
      <c r="E2738" s="461"/>
      <c r="F2738" s="461"/>
      <c r="G2738" s="461"/>
      <c r="H2738" s="461"/>
      <c r="I2738" s="461"/>
      <c r="J2738" s="461"/>
      <c r="K2738" s="461"/>
      <c r="L2738" s="461"/>
      <c r="M2738" s="461"/>
      <c r="N2738" s="1113"/>
    </row>
    <row r="2739" spans="2:14" ht="30" x14ac:dyDescent="0.3">
      <c r="B2739" s="1104" t="s">
        <v>0</v>
      </c>
      <c r="C2739" s="1105" t="s">
        <v>24673</v>
      </c>
      <c r="D2739" s="1593" t="s">
        <v>24694</v>
      </c>
      <c r="E2739" s="1593"/>
      <c r="F2739" s="1593"/>
      <c r="G2739" s="1593"/>
      <c r="H2739" s="1593"/>
      <c r="I2739" s="1594"/>
      <c r="J2739" s="1106" t="s">
        <v>3686</v>
      </c>
      <c r="K2739" s="1106" t="s">
        <v>24695</v>
      </c>
      <c r="L2739" s="1614" t="s">
        <v>24683</v>
      </c>
      <c r="M2739" s="1615"/>
      <c r="N2739" s="1114" t="s">
        <v>24689</v>
      </c>
    </row>
    <row r="2740" spans="2:14" x14ac:dyDescent="0.3">
      <c r="B2740" s="1149">
        <v>38075</v>
      </c>
      <c r="C2740" s="1155" t="s">
        <v>24706</v>
      </c>
      <c r="D2740" s="1616" t="s">
        <v>25435</v>
      </c>
      <c r="E2740" s="1616"/>
      <c r="F2740" s="1616"/>
      <c r="G2740" s="1616"/>
      <c r="H2740" s="1616"/>
      <c r="I2740" s="1617"/>
      <c r="J2740" s="1151" t="s">
        <v>24804</v>
      </c>
      <c r="K2740" s="1151">
        <v>14.29</v>
      </c>
      <c r="L2740" s="1618">
        <v>1</v>
      </c>
      <c r="M2740" s="1619"/>
      <c r="N2740" s="1130">
        <f>L2740*K2740</f>
        <v>14.29</v>
      </c>
    </row>
    <row r="2741" spans="2:14" ht="15.75" thickBot="1" x14ac:dyDescent="0.35">
      <c r="B2741" s="855"/>
      <c r="C2741" s="954"/>
      <c r="D2741" s="954"/>
      <c r="E2741" s="954"/>
      <c r="F2741" s="1110"/>
      <c r="G2741" s="1110"/>
      <c r="H2741" s="1110"/>
      <c r="I2741" s="1110"/>
      <c r="J2741" s="1110"/>
      <c r="K2741" s="1110"/>
      <c r="L2741" s="1110"/>
      <c r="M2741" s="1111" t="s">
        <v>24696</v>
      </c>
      <c r="N2741" s="1112">
        <f>SUM(N2740:N2740)</f>
        <v>14.29</v>
      </c>
    </row>
    <row r="2742" spans="2:14" ht="15.75" thickBot="1" x14ac:dyDescent="0.35">
      <c r="B2742" s="850"/>
      <c r="C2742" s="461"/>
      <c r="D2742" s="461"/>
      <c r="E2742" s="461"/>
      <c r="F2742" s="461"/>
      <c r="G2742" s="461"/>
      <c r="H2742" s="461"/>
      <c r="I2742" s="461"/>
      <c r="J2742" s="461"/>
      <c r="K2742" s="461"/>
      <c r="L2742" s="461"/>
      <c r="M2742" s="461"/>
      <c r="N2742" s="1113"/>
    </row>
    <row r="2743" spans="2:14" ht="30" x14ac:dyDescent="0.3">
      <c r="B2743" s="1104" t="s">
        <v>0</v>
      </c>
      <c r="C2743" s="1106" t="s">
        <v>24673</v>
      </c>
      <c r="D2743" s="1593" t="s">
        <v>24697</v>
      </c>
      <c r="E2743" s="1593"/>
      <c r="F2743" s="1593"/>
      <c r="G2743" s="1593"/>
      <c r="H2743" s="1593"/>
      <c r="I2743" s="1594"/>
      <c r="J2743" s="1106" t="s">
        <v>3686</v>
      </c>
      <c r="K2743" s="1106" t="s">
        <v>24695</v>
      </c>
      <c r="L2743" s="1614" t="s">
        <v>24683</v>
      </c>
      <c r="M2743" s="1615"/>
      <c r="N2743" s="1114" t="s">
        <v>24689</v>
      </c>
    </row>
    <row r="2744" spans="2:14" x14ac:dyDescent="0.3">
      <c r="B2744" s="1127"/>
      <c r="C2744" s="1128"/>
      <c r="D2744" s="1604"/>
      <c r="E2744" s="1604"/>
      <c r="F2744" s="1604"/>
      <c r="G2744" s="1604"/>
      <c r="H2744" s="1604"/>
      <c r="I2744" s="1605"/>
      <c r="J2744" s="462"/>
      <c r="K2744" s="462"/>
      <c r="L2744" s="1612"/>
      <c r="M2744" s="1613"/>
      <c r="N2744" s="1130"/>
    </row>
    <row r="2745" spans="2:14" ht="15.75" thickBot="1" x14ac:dyDescent="0.35">
      <c r="B2745" s="855"/>
      <c r="C2745" s="954"/>
      <c r="D2745" s="954"/>
      <c r="E2745" s="954"/>
      <c r="F2745" s="1110"/>
      <c r="G2745" s="1110"/>
      <c r="H2745" s="1110"/>
      <c r="I2745" s="1110"/>
      <c r="J2745" s="1110"/>
      <c r="K2745" s="1110"/>
      <c r="L2745" s="1110"/>
      <c r="M2745" s="1111" t="s">
        <v>24698</v>
      </c>
      <c r="N2745" s="1112">
        <f>SUM(N2744:N2744)</f>
        <v>0</v>
      </c>
    </row>
    <row r="2746" spans="2:14" ht="15.75" thickBot="1" x14ac:dyDescent="0.35">
      <c r="B2746" s="850"/>
      <c r="C2746" s="461"/>
      <c r="D2746" s="461"/>
      <c r="E2746" s="461"/>
      <c r="F2746" s="461"/>
      <c r="G2746" s="461"/>
      <c r="H2746" s="461"/>
      <c r="I2746" s="461"/>
      <c r="J2746" s="461"/>
      <c r="K2746" s="461"/>
      <c r="L2746" s="461"/>
      <c r="M2746" s="461"/>
      <c r="N2746" s="1113"/>
    </row>
    <row r="2747" spans="2:14" ht="30" x14ac:dyDescent="0.3">
      <c r="B2747" s="1104" t="s">
        <v>0</v>
      </c>
      <c r="C2747" s="1106" t="s">
        <v>24673</v>
      </c>
      <c r="D2747" s="1593" t="s">
        <v>24699</v>
      </c>
      <c r="E2747" s="1593"/>
      <c r="F2747" s="1593"/>
      <c r="G2747" s="1594"/>
      <c r="H2747" s="1106" t="s">
        <v>3686</v>
      </c>
      <c r="I2747" s="1106" t="s">
        <v>24700</v>
      </c>
      <c r="J2747" s="1106" t="s">
        <v>24701</v>
      </c>
      <c r="K2747" s="1106" t="s">
        <v>24695</v>
      </c>
      <c r="L2747" s="1614" t="s">
        <v>24683</v>
      </c>
      <c r="M2747" s="1615"/>
      <c r="N2747" s="1114" t="s">
        <v>24689</v>
      </c>
    </row>
    <row r="2748" spans="2:14" x14ac:dyDescent="0.3">
      <c r="B2748" s="1115"/>
      <c r="C2748" s="1116"/>
      <c r="D2748" s="1595"/>
      <c r="E2748" s="1595"/>
      <c r="F2748" s="1595"/>
      <c r="G2748" s="1595"/>
      <c r="H2748" s="1109"/>
      <c r="I2748" s="1109"/>
      <c r="J2748" s="1109"/>
      <c r="K2748" s="1109"/>
      <c r="L2748" s="1597"/>
      <c r="M2748" s="1598"/>
      <c r="N2748" s="1119"/>
    </row>
    <row r="2749" spans="2:14" x14ac:dyDescent="0.3">
      <c r="B2749" s="1115"/>
      <c r="C2749" s="1116"/>
      <c r="D2749" s="1595"/>
      <c r="E2749" s="1595"/>
      <c r="F2749" s="1595"/>
      <c r="G2749" s="1595"/>
      <c r="H2749" s="1109"/>
      <c r="I2749" s="1109"/>
      <c r="J2749" s="1109"/>
      <c r="K2749" s="1109"/>
      <c r="L2749" s="1597"/>
      <c r="M2749" s="1598"/>
      <c r="N2749" s="1119"/>
    </row>
    <row r="2750" spans="2:14" x14ac:dyDescent="0.3">
      <c r="B2750" s="1115"/>
      <c r="C2750" s="1116"/>
      <c r="D2750" s="1595"/>
      <c r="E2750" s="1595"/>
      <c r="F2750" s="1595"/>
      <c r="G2750" s="1595"/>
      <c r="H2750" s="1109"/>
      <c r="I2750" s="1109"/>
      <c r="J2750" s="1109"/>
      <c r="K2750" s="1109"/>
      <c r="L2750" s="1597"/>
      <c r="M2750" s="1598"/>
      <c r="N2750" s="1119"/>
    </row>
    <row r="2751" spans="2:14" x14ac:dyDescent="0.3">
      <c r="B2751" s="850"/>
      <c r="C2751" s="461"/>
      <c r="D2751" s="461"/>
      <c r="E2751" s="461"/>
      <c r="F2751" s="1120"/>
      <c r="G2751" s="1120"/>
      <c r="H2751" s="1120"/>
      <c r="I2751" s="1120"/>
      <c r="J2751" s="1120"/>
      <c r="K2751" s="1120"/>
      <c r="L2751" s="1120"/>
      <c r="M2751" s="1121" t="s">
        <v>24702</v>
      </c>
      <c r="N2751" s="1122">
        <f>SUM(N2748:N2750)</f>
        <v>0</v>
      </c>
    </row>
    <row r="2752" spans="2:14" x14ac:dyDescent="0.3">
      <c r="B2752" s="850"/>
      <c r="C2752" s="461"/>
      <c r="D2752" s="461"/>
      <c r="E2752" s="461"/>
      <c r="F2752" s="461"/>
      <c r="G2752" s="461"/>
      <c r="H2752" s="461"/>
      <c r="I2752" s="461"/>
      <c r="J2752" s="461"/>
      <c r="K2752" s="461"/>
      <c r="L2752" s="461"/>
      <c r="M2752" s="461"/>
      <c r="N2752" s="1113"/>
    </row>
    <row r="2753" spans="2:14" x14ac:dyDescent="0.3">
      <c r="B2753" s="1131"/>
      <c r="C2753" s="1132"/>
      <c r="D2753" s="1132"/>
      <c r="E2753" s="1132"/>
      <c r="F2753" s="1133"/>
      <c r="G2753" s="1133"/>
      <c r="H2753" s="1133"/>
      <c r="I2753" s="1133"/>
      <c r="J2753" s="1133"/>
      <c r="K2753" s="1133"/>
      <c r="L2753" s="1133"/>
      <c r="M2753" s="1134" t="s">
        <v>24703</v>
      </c>
      <c r="N2753" s="1123">
        <f>N2737+N2741+N2745+N2751</f>
        <v>22.57</v>
      </c>
    </row>
    <row r="2754" spans="2:14" x14ac:dyDescent="0.3">
      <c r="B2754" s="850"/>
      <c r="C2754" s="461"/>
      <c r="D2754" s="461"/>
      <c r="E2754" s="461"/>
      <c r="F2754" s="1120"/>
      <c r="G2754" s="1120"/>
      <c r="H2754" s="1120"/>
      <c r="I2754" s="1120"/>
      <c r="J2754" s="1120"/>
      <c r="K2754" s="1135"/>
      <c r="L2754" s="1135"/>
      <c r="M2754" s="1136">
        <f>'QUIOSQUE - MOD 01'!I3</f>
        <v>0.28220000000000001</v>
      </c>
      <c r="N2754" s="1123">
        <f>ROUND(N2753*M2754,2)</f>
        <v>6.37</v>
      </c>
    </row>
    <row r="2755" spans="2:14" ht="15.75" thickBot="1" x14ac:dyDescent="0.35">
      <c r="B2755" s="1599" t="s">
        <v>24704</v>
      </c>
      <c r="C2755" s="1600"/>
      <c r="D2755" s="1600"/>
      <c r="E2755" s="1600"/>
      <c r="F2755" s="1600"/>
      <c r="G2755" s="1600"/>
      <c r="H2755" s="1600"/>
      <c r="I2755" s="1600"/>
      <c r="J2755" s="1600"/>
      <c r="K2755" s="1600"/>
      <c r="L2755" s="1600"/>
      <c r="M2755" s="1601"/>
      <c r="N2755" s="1126">
        <f>N2753+N2754</f>
        <v>28.94</v>
      </c>
    </row>
    <row r="2757" spans="2:14" ht="15.75" thickBot="1" x14ac:dyDescent="0.35"/>
    <row r="2758" spans="2:14" ht="42.75" customHeight="1" x14ac:dyDescent="0.3">
      <c r="B2758" s="1607" t="s">
        <v>25436</v>
      </c>
      <c r="C2758" s="1608"/>
      <c r="D2758" s="1609"/>
      <c r="E2758" s="1610" t="s">
        <v>24669</v>
      </c>
      <c r="F2758" s="1610"/>
      <c r="G2758" s="1610"/>
      <c r="H2758" s="1610"/>
      <c r="I2758" s="1610"/>
      <c r="J2758" s="1610"/>
      <c r="K2758" s="1610"/>
      <c r="L2758" s="1623"/>
      <c r="M2758" s="1576"/>
      <c r="N2758" s="1577"/>
    </row>
    <row r="2759" spans="2:14" x14ac:dyDescent="0.3">
      <c r="B2759" s="1103" t="s">
        <v>24670</v>
      </c>
      <c r="C2759" s="1586" t="s">
        <v>25437</v>
      </c>
      <c r="D2759" s="1586"/>
      <c r="E2759" s="1586"/>
      <c r="F2759" s="1586"/>
      <c r="G2759" s="1586"/>
      <c r="H2759" s="1586"/>
      <c r="I2759" s="1586"/>
      <c r="J2759" s="1586"/>
      <c r="K2759" s="1586"/>
      <c r="L2759" s="1586"/>
      <c r="M2759" s="1586"/>
      <c r="N2759" s="1587"/>
    </row>
    <row r="2760" spans="2:14" x14ac:dyDescent="0.3">
      <c r="B2760" s="1103" t="s">
        <v>24671</v>
      </c>
      <c r="C2760" s="1588" t="s">
        <v>24804</v>
      </c>
      <c r="D2760" s="1588"/>
      <c r="E2760" s="1588"/>
      <c r="F2760" s="1588"/>
      <c r="G2760" s="1588"/>
      <c r="H2760" s="1588"/>
      <c r="I2760" s="1588"/>
      <c r="J2760" s="1588"/>
      <c r="K2760" s="1588"/>
      <c r="L2760" s="1588"/>
      <c r="M2760" s="1588"/>
      <c r="N2760" s="1589"/>
    </row>
    <row r="2761" spans="2:14" ht="15.75" thickBot="1" x14ac:dyDescent="0.35">
      <c r="B2761" s="1103" t="s">
        <v>24672</v>
      </c>
      <c r="C2761" s="1590">
        <v>44501</v>
      </c>
      <c r="D2761" s="1591"/>
      <c r="E2761" s="1591"/>
      <c r="F2761" s="1591"/>
      <c r="G2761" s="1591"/>
      <c r="H2761" s="1591"/>
      <c r="I2761" s="1591"/>
      <c r="J2761" s="1591"/>
      <c r="K2761" s="1591"/>
      <c r="L2761" s="1591"/>
      <c r="M2761" s="1591"/>
      <c r="N2761" s="1592"/>
    </row>
    <row r="2762" spans="2:14" ht="30" x14ac:dyDescent="0.3">
      <c r="B2762" s="1104" t="s">
        <v>0</v>
      </c>
      <c r="C2762" s="1105" t="s">
        <v>24673</v>
      </c>
      <c r="D2762" s="1593" t="s">
        <v>24674</v>
      </c>
      <c r="E2762" s="1593"/>
      <c r="F2762" s="1593"/>
      <c r="G2762" s="1594"/>
      <c r="H2762" s="1106" t="s">
        <v>111</v>
      </c>
      <c r="I2762" s="1106" t="s">
        <v>24675</v>
      </c>
      <c r="J2762" s="1106" t="s">
        <v>24676</v>
      </c>
      <c r="K2762" s="1106" t="s">
        <v>24677</v>
      </c>
      <c r="L2762" s="1106" t="s">
        <v>24678</v>
      </c>
      <c r="M2762" s="1621" t="s">
        <v>24679</v>
      </c>
      <c r="N2762" s="1622"/>
    </row>
    <row r="2763" spans="2:14" x14ac:dyDescent="0.3">
      <c r="B2763" s="1115"/>
      <c r="C2763" s="1108"/>
      <c r="D2763" s="1595"/>
      <c r="E2763" s="1595"/>
      <c r="F2763" s="1595"/>
      <c r="G2763" s="1596"/>
      <c r="H2763" s="1109"/>
      <c r="I2763" s="1109"/>
      <c r="J2763" s="1109"/>
      <c r="K2763" s="1109"/>
      <c r="L2763" s="1109"/>
      <c r="M2763" s="1597"/>
      <c r="N2763" s="1620"/>
    </row>
    <row r="2764" spans="2:14" x14ac:dyDescent="0.3">
      <c r="B2764" s="1115"/>
      <c r="C2764" s="1108"/>
      <c r="D2764" s="1595"/>
      <c r="E2764" s="1595"/>
      <c r="F2764" s="1595"/>
      <c r="G2764" s="1596"/>
      <c r="H2764" s="1109"/>
      <c r="I2764" s="1109"/>
      <c r="J2764" s="1109"/>
      <c r="K2764" s="1109"/>
      <c r="L2764" s="1109"/>
      <c r="M2764" s="1597"/>
      <c r="N2764" s="1620"/>
    </row>
    <row r="2765" spans="2:14" x14ac:dyDescent="0.3">
      <c r="B2765" s="1107"/>
      <c r="C2765" s="1108"/>
      <c r="D2765" s="1595"/>
      <c r="E2765" s="1595"/>
      <c r="F2765" s="1595"/>
      <c r="G2765" s="1596"/>
      <c r="H2765" s="1109"/>
      <c r="I2765" s="1109"/>
      <c r="J2765" s="1109"/>
      <c r="K2765" s="1109"/>
      <c r="L2765" s="1109"/>
      <c r="M2765" s="1597"/>
      <c r="N2765" s="1620"/>
    </row>
    <row r="2766" spans="2:14" ht="15.75" thickBot="1" x14ac:dyDescent="0.35">
      <c r="B2766" s="855"/>
      <c r="C2766" s="954"/>
      <c r="D2766" s="954"/>
      <c r="E2766" s="954"/>
      <c r="F2766" s="1110"/>
      <c r="G2766" s="1110"/>
      <c r="H2766" s="1110"/>
      <c r="I2766" s="1110"/>
      <c r="J2766" s="1110"/>
      <c r="K2766" s="1110"/>
      <c r="L2766" s="1110"/>
      <c r="M2766" s="1111" t="s">
        <v>24680</v>
      </c>
      <c r="N2766" s="1112">
        <f>SUM(N2763:N2765)</f>
        <v>0</v>
      </c>
    </row>
    <row r="2767" spans="2:14" ht="15.75" thickBot="1" x14ac:dyDescent="0.35">
      <c r="B2767" s="850"/>
      <c r="C2767" s="461"/>
      <c r="D2767" s="461"/>
      <c r="E2767" s="461"/>
      <c r="F2767" s="461"/>
      <c r="G2767" s="461"/>
      <c r="H2767" s="461"/>
      <c r="I2767" s="461"/>
      <c r="J2767" s="461"/>
      <c r="K2767" s="461"/>
      <c r="L2767" s="461"/>
      <c r="M2767" s="461"/>
      <c r="N2767" s="1113"/>
    </row>
    <row r="2768" spans="2:14" ht="45" x14ac:dyDescent="0.3">
      <c r="B2768" s="1104" t="s">
        <v>0</v>
      </c>
      <c r="C2768" s="1105" t="s">
        <v>24673</v>
      </c>
      <c r="D2768" s="1593" t="s">
        <v>24681</v>
      </c>
      <c r="E2768" s="1593"/>
      <c r="F2768" s="1593"/>
      <c r="G2768" s="1593"/>
      <c r="H2768" s="1594"/>
      <c r="I2768" s="1106" t="s">
        <v>3686</v>
      </c>
      <c r="J2768" s="1106" t="s">
        <v>24682</v>
      </c>
      <c r="K2768" s="1106" t="s">
        <v>25177</v>
      </c>
      <c r="L2768" s="1106" t="s">
        <v>25178</v>
      </c>
      <c r="M2768" s="1106" t="s">
        <v>24683</v>
      </c>
      <c r="N2768" s="1114" t="s">
        <v>24679</v>
      </c>
    </row>
    <row r="2769" spans="2:14" x14ac:dyDescent="0.3">
      <c r="B2769" s="1115">
        <v>10115</v>
      </c>
      <c r="C2769" s="1108" t="s">
        <v>4379</v>
      </c>
      <c r="D2769" s="1604" t="s">
        <v>25421</v>
      </c>
      <c r="E2769" s="1604"/>
      <c r="F2769" s="1604"/>
      <c r="G2769" s="1604"/>
      <c r="H2769" s="1605"/>
      <c r="I2769" s="1109" t="s">
        <v>75</v>
      </c>
      <c r="J2769" s="1117">
        <v>1.5727</v>
      </c>
      <c r="K2769" s="1109">
        <v>7.43</v>
      </c>
      <c r="L2769" s="1109">
        <f>K2769*(1+J2769)</f>
        <v>19.12</v>
      </c>
      <c r="M2769" s="1118">
        <v>0.496</v>
      </c>
      <c r="N2769" s="1119">
        <f>M2769*L2769</f>
        <v>9.48</v>
      </c>
    </row>
    <row r="2770" spans="2:14" x14ac:dyDescent="0.3">
      <c r="B2770" s="1115">
        <v>10101</v>
      </c>
      <c r="C2770" s="1108" t="s">
        <v>4379</v>
      </c>
      <c r="D2770" s="1604" t="s">
        <v>25223</v>
      </c>
      <c r="E2770" s="1604"/>
      <c r="F2770" s="1604"/>
      <c r="G2770" s="1604"/>
      <c r="H2770" s="1605"/>
      <c r="I2770" s="1109" t="s">
        <v>75</v>
      </c>
      <c r="J2770" s="1117">
        <v>1.5727</v>
      </c>
      <c r="K2770" s="1109">
        <v>6.27</v>
      </c>
      <c r="L2770" s="1109">
        <f>K2770*(1+J2770)</f>
        <v>16.13</v>
      </c>
      <c r="M2770" s="1118">
        <v>0.496</v>
      </c>
      <c r="N2770" s="1119">
        <f>M2770*L2770</f>
        <v>8</v>
      </c>
    </row>
    <row r="2771" spans="2:14" ht="15.75" thickBot="1" x14ac:dyDescent="0.35">
      <c r="B2771" s="855"/>
      <c r="C2771" s="954"/>
      <c r="D2771" s="954"/>
      <c r="E2771" s="954"/>
      <c r="F2771" s="1110"/>
      <c r="G2771" s="1110"/>
      <c r="H2771" s="1110"/>
      <c r="I2771" s="1110"/>
      <c r="J2771" s="1110"/>
      <c r="K2771" s="1110"/>
      <c r="L2771" s="1110"/>
      <c r="M2771" s="1111" t="s">
        <v>24684</v>
      </c>
      <c r="N2771" s="1112">
        <f>SUM(N2769:N2770)</f>
        <v>17.48</v>
      </c>
    </row>
    <row r="2772" spans="2:14" ht="15.75" thickBot="1" x14ac:dyDescent="0.35">
      <c r="B2772" s="850"/>
      <c r="C2772" s="461"/>
      <c r="D2772" s="461"/>
      <c r="E2772" s="461"/>
      <c r="F2772" s="461"/>
      <c r="G2772" s="461"/>
      <c r="H2772" s="461"/>
      <c r="I2772" s="1120"/>
      <c r="J2772" s="1120"/>
      <c r="K2772" s="461"/>
      <c r="L2772" s="461"/>
      <c r="M2772" s="461"/>
      <c r="N2772" s="1113"/>
    </row>
    <row r="2773" spans="2:14" ht="30" x14ac:dyDescent="0.3">
      <c r="B2773" s="1104" t="s">
        <v>0</v>
      </c>
      <c r="C2773" s="1105" t="s">
        <v>24673</v>
      </c>
      <c r="D2773" s="1593" t="s">
        <v>24685</v>
      </c>
      <c r="E2773" s="1593"/>
      <c r="F2773" s="1593"/>
      <c r="G2773" s="1593"/>
      <c r="H2773" s="1594"/>
      <c r="I2773" s="1106" t="s">
        <v>2858</v>
      </c>
      <c r="J2773" s="1106" t="s">
        <v>24686</v>
      </c>
      <c r="K2773" s="1106" t="s">
        <v>24687</v>
      </c>
      <c r="L2773" s="1614" t="s">
        <v>24688</v>
      </c>
      <c r="M2773" s="1615"/>
      <c r="N2773" s="1114" t="s">
        <v>24689</v>
      </c>
    </row>
    <row r="2774" spans="2:14" x14ac:dyDescent="0.3">
      <c r="B2774" s="1115"/>
      <c r="C2774" s="1116"/>
      <c r="D2774" s="1604"/>
      <c r="E2774" s="1604"/>
      <c r="F2774" s="1604"/>
      <c r="G2774" s="1604"/>
      <c r="H2774" s="1605"/>
      <c r="I2774" s="1109"/>
      <c r="J2774" s="1109"/>
      <c r="K2774" s="1109"/>
      <c r="L2774" s="1597"/>
      <c r="M2774" s="1598"/>
      <c r="N2774" s="1119">
        <f>N2771*(I2774/100)</f>
        <v>0</v>
      </c>
    </row>
    <row r="2775" spans="2:14" x14ac:dyDescent="0.3">
      <c r="B2775" s="850"/>
      <c r="C2775" s="461"/>
      <c r="D2775" s="461"/>
      <c r="E2775" s="461"/>
      <c r="F2775" s="1120"/>
      <c r="G2775" s="1120"/>
      <c r="H2775" s="1120"/>
      <c r="I2775" s="1120"/>
      <c r="J2775" s="1120"/>
      <c r="K2775" s="1120"/>
      <c r="L2775" s="1120"/>
      <c r="M2775" s="1121" t="s">
        <v>24690</v>
      </c>
      <c r="N2775" s="1122">
        <f>SUM(N2774:N2774)</f>
        <v>0</v>
      </c>
    </row>
    <row r="2776" spans="2:14" x14ac:dyDescent="0.3">
      <c r="B2776" s="850"/>
      <c r="C2776" s="461"/>
      <c r="D2776" s="461"/>
      <c r="E2776" s="461"/>
      <c r="F2776" s="461"/>
      <c r="G2776" s="461"/>
      <c r="H2776" s="461"/>
      <c r="I2776" s="461"/>
      <c r="J2776" s="461"/>
      <c r="K2776" s="461"/>
      <c r="L2776" s="461"/>
      <c r="M2776" s="461"/>
      <c r="N2776" s="1113"/>
    </row>
    <row r="2777" spans="2:14" x14ac:dyDescent="0.3">
      <c r="B2777" s="850"/>
      <c r="C2777" s="461"/>
      <c r="D2777" s="461"/>
      <c r="E2777" s="461"/>
      <c r="F2777" s="1120"/>
      <c r="G2777" s="1120"/>
      <c r="H2777" s="1120"/>
      <c r="I2777" s="863"/>
      <c r="J2777" s="863"/>
      <c r="K2777" s="863"/>
      <c r="L2777" s="863"/>
      <c r="M2777" s="1121" t="s">
        <v>24691</v>
      </c>
      <c r="N2777" s="1123">
        <f>N2766+N2771+N2775</f>
        <v>17.48</v>
      </c>
    </row>
    <row r="2778" spans="2:14" x14ac:dyDescent="0.3">
      <c r="B2778" s="850"/>
      <c r="C2778" s="461"/>
      <c r="D2778" s="461"/>
      <c r="E2778" s="461"/>
      <c r="F2778" s="1120"/>
      <c r="G2778" s="1120"/>
      <c r="H2778" s="1120"/>
      <c r="I2778" s="1120"/>
      <c r="J2778" s="1124"/>
      <c r="K2778" s="1124"/>
      <c r="L2778" s="1124"/>
      <c r="M2778" s="1125" t="s">
        <v>24692</v>
      </c>
      <c r="N2778" s="1123">
        <v>1</v>
      </c>
    </row>
    <row r="2779" spans="2:14" ht="15.75" thickBot="1" x14ac:dyDescent="0.35">
      <c r="B2779" s="855"/>
      <c r="C2779" s="954"/>
      <c r="D2779" s="954"/>
      <c r="E2779" s="954"/>
      <c r="F2779" s="1110"/>
      <c r="G2779" s="1110"/>
      <c r="H2779" s="1110"/>
      <c r="I2779" s="1110"/>
      <c r="J2779" s="1110"/>
      <c r="K2779" s="1110"/>
      <c r="L2779" s="1110"/>
      <c r="M2779" s="1111" t="s">
        <v>24693</v>
      </c>
      <c r="N2779" s="1126">
        <f>TRUNC(N2777/N2778,2)</f>
        <v>17.48</v>
      </c>
    </row>
    <row r="2780" spans="2:14" ht="15.75" thickBot="1" x14ac:dyDescent="0.35">
      <c r="B2780" s="850"/>
      <c r="C2780" s="461"/>
      <c r="D2780" s="461"/>
      <c r="E2780" s="461"/>
      <c r="F2780" s="461"/>
      <c r="G2780" s="461"/>
      <c r="H2780" s="461"/>
      <c r="I2780" s="461"/>
      <c r="J2780" s="461"/>
      <c r="K2780" s="461"/>
      <c r="L2780" s="461"/>
      <c r="M2780" s="461"/>
      <c r="N2780" s="1113"/>
    </row>
    <row r="2781" spans="2:14" ht="30" x14ac:dyDescent="0.3">
      <c r="B2781" s="1104" t="s">
        <v>0</v>
      </c>
      <c r="C2781" s="1105" t="s">
        <v>24673</v>
      </c>
      <c r="D2781" s="1593" t="s">
        <v>24694</v>
      </c>
      <c r="E2781" s="1593"/>
      <c r="F2781" s="1593"/>
      <c r="G2781" s="1593"/>
      <c r="H2781" s="1593"/>
      <c r="I2781" s="1594"/>
      <c r="J2781" s="1106" t="s">
        <v>3686</v>
      </c>
      <c r="K2781" s="1106" t="s">
        <v>24695</v>
      </c>
      <c r="L2781" s="1614" t="s">
        <v>24683</v>
      </c>
      <c r="M2781" s="1615"/>
      <c r="N2781" s="1114" t="s">
        <v>24689</v>
      </c>
    </row>
    <row r="2782" spans="2:14" x14ac:dyDescent="0.3">
      <c r="B2782" s="1149">
        <v>38075</v>
      </c>
      <c r="C2782" s="1155" t="s">
        <v>24706</v>
      </c>
      <c r="D2782" s="1616" t="s">
        <v>25435</v>
      </c>
      <c r="E2782" s="1616"/>
      <c r="F2782" s="1616"/>
      <c r="G2782" s="1616"/>
      <c r="H2782" s="1616"/>
      <c r="I2782" s="1617"/>
      <c r="J2782" s="1151" t="s">
        <v>24804</v>
      </c>
      <c r="K2782" s="1151">
        <v>14.29</v>
      </c>
      <c r="L2782" s="1618">
        <v>1</v>
      </c>
      <c r="M2782" s="1619"/>
      <c r="N2782" s="1130">
        <f>L2782*K2782</f>
        <v>14.29</v>
      </c>
    </row>
    <row r="2783" spans="2:14" ht="15.75" thickBot="1" x14ac:dyDescent="0.35">
      <c r="B2783" s="855"/>
      <c r="C2783" s="954"/>
      <c r="D2783" s="954"/>
      <c r="E2783" s="954"/>
      <c r="F2783" s="1110"/>
      <c r="G2783" s="1110"/>
      <c r="H2783" s="1110"/>
      <c r="I2783" s="1110"/>
      <c r="J2783" s="1110"/>
      <c r="K2783" s="1110"/>
      <c r="L2783" s="1110"/>
      <c r="M2783" s="1111" t="s">
        <v>24696</v>
      </c>
      <c r="N2783" s="1112">
        <f>SUM(N2782:N2782)</f>
        <v>14.29</v>
      </c>
    </row>
    <row r="2784" spans="2:14" ht="15.75" thickBot="1" x14ac:dyDescent="0.35">
      <c r="B2784" s="850"/>
      <c r="C2784" s="461"/>
      <c r="D2784" s="461"/>
      <c r="E2784" s="461"/>
      <c r="F2784" s="461"/>
      <c r="G2784" s="461"/>
      <c r="H2784" s="461"/>
      <c r="I2784" s="461"/>
      <c r="J2784" s="461"/>
      <c r="K2784" s="461"/>
      <c r="L2784" s="461"/>
      <c r="M2784" s="461"/>
      <c r="N2784" s="1113"/>
    </row>
    <row r="2785" spans="2:14" ht="30" x14ac:dyDescent="0.3">
      <c r="B2785" s="1104" t="s">
        <v>0</v>
      </c>
      <c r="C2785" s="1106" t="s">
        <v>24673</v>
      </c>
      <c r="D2785" s="1593" t="s">
        <v>24697</v>
      </c>
      <c r="E2785" s="1593"/>
      <c r="F2785" s="1593"/>
      <c r="G2785" s="1593"/>
      <c r="H2785" s="1593"/>
      <c r="I2785" s="1594"/>
      <c r="J2785" s="1106" t="s">
        <v>3686</v>
      </c>
      <c r="K2785" s="1106" t="s">
        <v>24695</v>
      </c>
      <c r="L2785" s="1614" t="s">
        <v>24683</v>
      </c>
      <c r="M2785" s="1615"/>
      <c r="N2785" s="1114" t="s">
        <v>24689</v>
      </c>
    </row>
    <row r="2786" spans="2:14" x14ac:dyDescent="0.3">
      <c r="B2786" s="1127"/>
      <c r="C2786" s="1128"/>
      <c r="D2786" s="1604"/>
      <c r="E2786" s="1604"/>
      <c r="F2786" s="1604"/>
      <c r="G2786" s="1604"/>
      <c r="H2786" s="1604"/>
      <c r="I2786" s="1605"/>
      <c r="J2786" s="462"/>
      <c r="K2786" s="462"/>
      <c r="L2786" s="1612"/>
      <c r="M2786" s="1613"/>
      <c r="N2786" s="1130"/>
    </row>
    <row r="2787" spans="2:14" ht="15.75" thickBot="1" x14ac:dyDescent="0.35">
      <c r="B2787" s="855"/>
      <c r="C2787" s="954"/>
      <c r="D2787" s="954"/>
      <c r="E2787" s="954"/>
      <c r="F2787" s="1110"/>
      <c r="G2787" s="1110"/>
      <c r="H2787" s="1110"/>
      <c r="I2787" s="1110"/>
      <c r="J2787" s="1110"/>
      <c r="K2787" s="1110"/>
      <c r="L2787" s="1110"/>
      <c r="M2787" s="1111" t="s">
        <v>24698</v>
      </c>
      <c r="N2787" s="1112">
        <f>SUM(N2786:N2786)</f>
        <v>0</v>
      </c>
    </row>
    <row r="2788" spans="2:14" ht="15.75" thickBot="1" x14ac:dyDescent="0.35">
      <c r="B2788" s="850"/>
      <c r="C2788" s="461"/>
      <c r="D2788" s="461"/>
      <c r="E2788" s="461"/>
      <c r="F2788" s="461"/>
      <c r="G2788" s="461"/>
      <c r="H2788" s="461"/>
      <c r="I2788" s="461"/>
      <c r="J2788" s="461"/>
      <c r="K2788" s="461"/>
      <c r="L2788" s="461"/>
      <c r="M2788" s="461"/>
      <c r="N2788" s="1113"/>
    </row>
    <row r="2789" spans="2:14" ht="30" x14ac:dyDescent="0.3">
      <c r="B2789" s="1104" t="s">
        <v>0</v>
      </c>
      <c r="C2789" s="1106" t="s">
        <v>24673</v>
      </c>
      <c r="D2789" s="1593" t="s">
        <v>24699</v>
      </c>
      <c r="E2789" s="1593"/>
      <c r="F2789" s="1593"/>
      <c r="G2789" s="1594"/>
      <c r="H2789" s="1106" t="s">
        <v>3686</v>
      </c>
      <c r="I2789" s="1106" t="s">
        <v>24700</v>
      </c>
      <c r="J2789" s="1106" t="s">
        <v>24701</v>
      </c>
      <c r="K2789" s="1106" t="s">
        <v>24695</v>
      </c>
      <c r="L2789" s="1614" t="s">
        <v>24683</v>
      </c>
      <c r="M2789" s="1615"/>
      <c r="N2789" s="1114" t="s">
        <v>24689</v>
      </c>
    </row>
    <row r="2790" spans="2:14" x14ac:dyDescent="0.3">
      <c r="B2790" s="1115"/>
      <c r="C2790" s="1116"/>
      <c r="D2790" s="1595"/>
      <c r="E2790" s="1595"/>
      <c r="F2790" s="1595"/>
      <c r="G2790" s="1595"/>
      <c r="H2790" s="1109"/>
      <c r="I2790" s="1109"/>
      <c r="J2790" s="1109"/>
      <c r="K2790" s="1109"/>
      <c r="L2790" s="1597"/>
      <c r="M2790" s="1598"/>
      <c r="N2790" s="1119"/>
    </row>
    <row r="2791" spans="2:14" x14ac:dyDescent="0.3">
      <c r="B2791" s="1115"/>
      <c r="C2791" s="1116"/>
      <c r="D2791" s="1595"/>
      <c r="E2791" s="1595"/>
      <c r="F2791" s="1595"/>
      <c r="G2791" s="1595"/>
      <c r="H2791" s="1109"/>
      <c r="I2791" s="1109"/>
      <c r="J2791" s="1109"/>
      <c r="K2791" s="1109"/>
      <c r="L2791" s="1597"/>
      <c r="M2791" s="1598"/>
      <c r="N2791" s="1119"/>
    </row>
    <row r="2792" spans="2:14" x14ac:dyDescent="0.3">
      <c r="B2792" s="1115"/>
      <c r="C2792" s="1116"/>
      <c r="D2792" s="1595"/>
      <c r="E2792" s="1595"/>
      <c r="F2792" s="1595"/>
      <c r="G2792" s="1595"/>
      <c r="H2792" s="1109"/>
      <c r="I2792" s="1109"/>
      <c r="J2792" s="1109"/>
      <c r="K2792" s="1109"/>
      <c r="L2792" s="1597"/>
      <c r="M2792" s="1598"/>
      <c r="N2792" s="1119"/>
    </row>
    <row r="2793" spans="2:14" x14ac:dyDescent="0.3">
      <c r="B2793" s="850"/>
      <c r="C2793" s="461"/>
      <c r="D2793" s="461"/>
      <c r="E2793" s="461"/>
      <c r="F2793" s="1120"/>
      <c r="G2793" s="1120"/>
      <c r="H2793" s="1120"/>
      <c r="I2793" s="1120"/>
      <c r="J2793" s="1120"/>
      <c r="K2793" s="1120"/>
      <c r="L2793" s="1120"/>
      <c r="M2793" s="1121" t="s">
        <v>24702</v>
      </c>
      <c r="N2793" s="1122">
        <f>SUM(N2790:N2792)</f>
        <v>0</v>
      </c>
    </row>
    <row r="2794" spans="2:14" x14ac:dyDescent="0.3">
      <c r="B2794" s="850"/>
      <c r="C2794" s="461"/>
      <c r="D2794" s="461"/>
      <c r="E2794" s="461"/>
      <c r="F2794" s="461"/>
      <c r="G2794" s="461"/>
      <c r="H2794" s="461"/>
      <c r="I2794" s="461"/>
      <c r="J2794" s="461"/>
      <c r="K2794" s="461"/>
      <c r="L2794" s="461"/>
      <c r="M2794" s="461"/>
      <c r="N2794" s="1113"/>
    </row>
    <row r="2795" spans="2:14" x14ac:dyDescent="0.3">
      <c r="B2795" s="1131"/>
      <c r="C2795" s="1132"/>
      <c r="D2795" s="1132"/>
      <c r="E2795" s="1132"/>
      <c r="F2795" s="1133"/>
      <c r="G2795" s="1133"/>
      <c r="H2795" s="1133"/>
      <c r="I2795" s="1133"/>
      <c r="J2795" s="1133"/>
      <c r="K2795" s="1133"/>
      <c r="L2795" s="1133"/>
      <c r="M2795" s="1134" t="s">
        <v>24703</v>
      </c>
      <c r="N2795" s="1123">
        <f>N2779+N2783+N2787+N2793</f>
        <v>31.77</v>
      </c>
    </row>
    <row r="2796" spans="2:14" x14ac:dyDescent="0.3">
      <c r="B2796" s="850"/>
      <c r="C2796" s="461"/>
      <c r="D2796" s="461"/>
      <c r="E2796" s="461"/>
      <c r="F2796" s="1120"/>
      <c r="G2796" s="1120"/>
      <c r="H2796" s="1120"/>
      <c r="I2796" s="1120"/>
      <c r="J2796" s="1120"/>
      <c r="K2796" s="1135"/>
      <c r="L2796" s="1135"/>
      <c r="M2796" s="1136">
        <f>'QUIOSQUE - MOD 01'!I3</f>
        <v>0.28220000000000001</v>
      </c>
      <c r="N2796" s="1123">
        <f>ROUND(N2795*M2796,2)</f>
        <v>8.9700000000000006</v>
      </c>
    </row>
    <row r="2797" spans="2:14" ht="15.75" thickBot="1" x14ac:dyDescent="0.35">
      <c r="B2797" s="1599" t="s">
        <v>24704</v>
      </c>
      <c r="C2797" s="1600"/>
      <c r="D2797" s="1600"/>
      <c r="E2797" s="1600"/>
      <c r="F2797" s="1600"/>
      <c r="G2797" s="1600"/>
      <c r="H2797" s="1600"/>
      <c r="I2797" s="1600"/>
      <c r="J2797" s="1600"/>
      <c r="K2797" s="1600"/>
      <c r="L2797" s="1600"/>
      <c r="M2797" s="1601"/>
      <c r="N2797" s="1126">
        <f>N2795+N2796</f>
        <v>40.74</v>
      </c>
    </row>
    <row r="2799" spans="2:14" ht="15.75" thickBot="1" x14ac:dyDescent="0.35"/>
    <row r="2800" spans="2:14" ht="42.75" customHeight="1" x14ac:dyDescent="0.3">
      <c r="B2800" s="1607" t="s">
        <v>25438</v>
      </c>
      <c r="C2800" s="1608"/>
      <c r="D2800" s="1609"/>
      <c r="E2800" s="1610" t="s">
        <v>24669</v>
      </c>
      <c r="F2800" s="1610"/>
      <c r="G2800" s="1610"/>
      <c r="H2800" s="1610"/>
      <c r="I2800" s="1610"/>
      <c r="J2800" s="1610"/>
      <c r="K2800" s="1610"/>
      <c r="L2800" s="1623"/>
      <c r="M2800" s="1576"/>
      <c r="N2800" s="1577"/>
    </row>
    <row r="2801" spans="2:14" x14ac:dyDescent="0.3">
      <c r="B2801" s="1103" t="s">
        <v>24670</v>
      </c>
      <c r="C2801" s="1586" t="s">
        <v>25439</v>
      </c>
      <c r="D2801" s="1586"/>
      <c r="E2801" s="1586"/>
      <c r="F2801" s="1586"/>
      <c r="G2801" s="1586"/>
      <c r="H2801" s="1586"/>
      <c r="I2801" s="1586"/>
      <c r="J2801" s="1586"/>
      <c r="K2801" s="1586"/>
      <c r="L2801" s="1586"/>
      <c r="M2801" s="1586"/>
      <c r="N2801" s="1587"/>
    </row>
    <row r="2802" spans="2:14" x14ac:dyDescent="0.3">
      <c r="B2802" s="1103" t="s">
        <v>24671</v>
      </c>
      <c r="C2802" s="1588" t="s">
        <v>24804</v>
      </c>
      <c r="D2802" s="1588"/>
      <c r="E2802" s="1588"/>
      <c r="F2802" s="1588"/>
      <c r="G2802" s="1588"/>
      <c r="H2802" s="1588"/>
      <c r="I2802" s="1588"/>
      <c r="J2802" s="1588"/>
      <c r="K2802" s="1588"/>
      <c r="L2802" s="1588"/>
      <c r="M2802" s="1588"/>
      <c r="N2802" s="1589"/>
    </row>
    <row r="2803" spans="2:14" ht="15.75" thickBot="1" x14ac:dyDescent="0.35">
      <c r="B2803" s="1103" t="s">
        <v>24672</v>
      </c>
      <c r="C2803" s="1590">
        <v>44501</v>
      </c>
      <c r="D2803" s="1591"/>
      <c r="E2803" s="1591"/>
      <c r="F2803" s="1591"/>
      <c r="G2803" s="1591"/>
      <c r="H2803" s="1591"/>
      <c r="I2803" s="1591"/>
      <c r="J2803" s="1591"/>
      <c r="K2803" s="1591"/>
      <c r="L2803" s="1591"/>
      <c r="M2803" s="1591"/>
      <c r="N2803" s="1592"/>
    </row>
    <row r="2804" spans="2:14" ht="30" x14ac:dyDescent="0.3">
      <c r="B2804" s="1104" t="s">
        <v>0</v>
      </c>
      <c r="C2804" s="1105" t="s">
        <v>24673</v>
      </c>
      <c r="D2804" s="1593" t="s">
        <v>24674</v>
      </c>
      <c r="E2804" s="1593"/>
      <c r="F2804" s="1593"/>
      <c r="G2804" s="1594"/>
      <c r="H2804" s="1106" t="s">
        <v>111</v>
      </c>
      <c r="I2804" s="1106" t="s">
        <v>24675</v>
      </c>
      <c r="J2804" s="1106" t="s">
        <v>24676</v>
      </c>
      <c r="K2804" s="1106" t="s">
        <v>24677</v>
      </c>
      <c r="L2804" s="1106" t="s">
        <v>24678</v>
      </c>
      <c r="M2804" s="1621" t="s">
        <v>24679</v>
      </c>
      <c r="N2804" s="1622"/>
    </row>
    <row r="2805" spans="2:14" x14ac:dyDescent="0.3">
      <c r="B2805" s="1115"/>
      <c r="C2805" s="1108"/>
      <c r="D2805" s="1595"/>
      <c r="E2805" s="1595"/>
      <c r="F2805" s="1595"/>
      <c r="G2805" s="1596"/>
      <c r="H2805" s="1109"/>
      <c r="I2805" s="1109"/>
      <c r="J2805" s="1109"/>
      <c r="K2805" s="1109"/>
      <c r="L2805" s="1109"/>
      <c r="M2805" s="1597"/>
      <c r="N2805" s="1620"/>
    </row>
    <row r="2806" spans="2:14" x14ac:dyDescent="0.3">
      <c r="B2806" s="1115"/>
      <c r="C2806" s="1108"/>
      <c r="D2806" s="1595"/>
      <c r="E2806" s="1595"/>
      <c r="F2806" s="1595"/>
      <c r="G2806" s="1596"/>
      <c r="H2806" s="1109"/>
      <c r="I2806" s="1109"/>
      <c r="J2806" s="1109"/>
      <c r="K2806" s="1109"/>
      <c r="L2806" s="1109"/>
      <c r="M2806" s="1597"/>
      <c r="N2806" s="1620"/>
    </row>
    <row r="2807" spans="2:14" x14ac:dyDescent="0.3">
      <c r="B2807" s="1107"/>
      <c r="C2807" s="1108"/>
      <c r="D2807" s="1595"/>
      <c r="E2807" s="1595"/>
      <c r="F2807" s="1595"/>
      <c r="G2807" s="1596"/>
      <c r="H2807" s="1109"/>
      <c r="I2807" s="1109"/>
      <c r="J2807" s="1109"/>
      <c r="K2807" s="1109"/>
      <c r="L2807" s="1109"/>
      <c r="M2807" s="1597"/>
      <c r="N2807" s="1620"/>
    </row>
    <row r="2808" spans="2:14" ht="15.75" thickBot="1" x14ac:dyDescent="0.35">
      <c r="B2808" s="855"/>
      <c r="C2808" s="954"/>
      <c r="D2808" s="954"/>
      <c r="E2808" s="954"/>
      <c r="F2808" s="1110"/>
      <c r="G2808" s="1110"/>
      <c r="H2808" s="1110"/>
      <c r="I2808" s="1110"/>
      <c r="J2808" s="1110"/>
      <c r="K2808" s="1110"/>
      <c r="L2808" s="1110"/>
      <c r="M2808" s="1111" t="s">
        <v>24680</v>
      </c>
      <c r="N2808" s="1112">
        <f>SUM(N2805:N2807)</f>
        <v>0</v>
      </c>
    </row>
    <row r="2809" spans="2:14" ht="15.75" thickBot="1" x14ac:dyDescent="0.35">
      <c r="B2809" s="850"/>
      <c r="C2809" s="461"/>
      <c r="D2809" s="461"/>
      <c r="E2809" s="461"/>
      <c r="F2809" s="461"/>
      <c r="G2809" s="461"/>
      <c r="H2809" s="461"/>
      <c r="I2809" s="461"/>
      <c r="J2809" s="461"/>
      <c r="K2809" s="461"/>
      <c r="L2809" s="461"/>
      <c r="M2809" s="461"/>
      <c r="N2809" s="1113"/>
    </row>
    <row r="2810" spans="2:14" ht="45" x14ac:dyDescent="0.3">
      <c r="B2810" s="1104" t="s">
        <v>0</v>
      </c>
      <c r="C2810" s="1105" t="s">
        <v>24673</v>
      </c>
      <c r="D2810" s="1593" t="s">
        <v>24681</v>
      </c>
      <c r="E2810" s="1593"/>
      <c r="F2810" s="1593"/>
      <c r="G2810" s="1593"/>
      <c r="H2810" s="1594"/>
      <c r="I2810" s="1106" t="s">
        <v>3686</v>
      </c>
      <c r="J2810" s="1106" t="s">
        <v>24682</v>
      </c>
      <c r="K2810" s="1106" t="s">
        <v>25177</v>
      </c>
      <c r="L2810" s="1106" t="s">
        <v>25178</v>
      </c>
      <c r="M2810" s="1106" t="s">
        <v>24683</v>
      </c>
      <c r="N2810" s="1114" t="s">
        <v>24679</v>
      </c>
    </row>
    <row r="2811" spans="2:14" x14ac:dyDescent="0.3">
      <c r="B2811" s="1115">
        <v>10115</v>
      </c>
      <c r="C2811" s="1108" t="s">
        <v>4379</v>
      </c>
      <c r="D2811" s="1604" t="s">
        <v>25421</v>
      </c>
      <c r="E2811" s="1604"/>
      <c r="F2811" s="1604"/>
      <c r="G2811" s="1604"/>
      <c r="H2811" s="1605"/>
      <c r="I2811" s="1109" t="s">
        <v>75</v>
      </c>
      <c r="J2811" s="1117">
        <v>1.5727</v>
      </c>
      <c r="K2811" s="1109">
        <v>7.43</v>
      </c>
      <c r="L2811" s="1109">
        <f>K2811*(1+J2811)</f>
        <v>19.12</v>
      </c>
      <c r="M2811" s="1118">
        <v>0.23499999999999999</v>
      </c>
      <c r="N2811" s="1119">
        <f>M2811*L2811</f>
        <v>4.49</v>
      </c>
    </row>
    <row r="2812" spans="2:14" x14ac:dyDescent="0.3">
      <c r="B2812" s="1115">
        <v>10101</v>
      </c>
      <c r="C2812" s="1108" t="s">
        <v>4379</v>
      </c>
      <c r="D2812" s="1604" t="s">
        <v>25223</v>
      </c>
      <c r="E2812" s="1604"/>
      <c r="F2812" s="1604"/>
      <c r="G2812" s="1604"/>
      <c r="H2812" s="1605"/>
      <c r="I2812" s="1109" t="s">
        <v>75</v>
      </c>
      <c r="J2812" s="1117">
        <v>1.5727</v>
      </c>
      <c r="K2812" s="1109">
        <v>6.27</v>
      </c>
      <c r="L2812" s="1109">
        <f>K2812*(1+J2812)</f>
        <v>16.13</v>
      </c>
      <c r="M2812" s="1118">
        <v>0.23499999999999999</v>
      </c>
      <c r="N2812" s="1119">
        <f>M2812*L2812</f>
        <v>3.79</v>
      </c>
    </row>
    <row r="2813" spans="2:14" ht="15.75" thickBot="1" x14ac:dyDescent="0.35">
      <c r="B2813" s="855"/>
      <c r="C2813" s="954"/>
      <c r="D2813" s="954"/>
      <c r="E2813" s="954"/>
      <c r="F2813" s="1110"/>
      <c r="G2813" s="1110"/>
      <c r="H2813" s="1110"/>
      <c r="I2813" s="1110"/>
      <c r="J2813" s="1110"/>
      <c r="K2813" s="1110"/>
      <c r="L2813" s="1110"/>
      <c r="M2813" s="1111" t="s">
        <v>24684</v>
      </c>
      <c r="N2813" s="1112">
        <f>SUM(N2811:N2812)</f>
        <v>8.2799999999999994</v>
      </c>
    </row>
    <row r="2814" spans="2:14" ht="15.75" thickBot="1" x14ac:dyDescent="0.35">
      <c r="B2814" s="850"/>
      <c r="C2814" s="461"/>
      <c r="D2814" s="461"/>
      <c r="E2814" s="461"/>
      <c r="F2814" s="461"/>
      <c r="G2814" s="461"/>
      <c r="H2814" s="461"/>
      <c r="I2814" s="1120"/>
      <c r="J2814" s="1120"/>
      <c r="K2814" s="461"/>
      <c r="L2814" s="461"/>
      <c r="M2814" s="461"/>
      <c r="N2814" s="1113"/>
    </row>
    <row r="2815" spans="2:14" ht="30" x14ac:dyDescent="0.3">
      <c r="B2815" s="1104" t="s">
        <v>0</v>
      </c>
      <c r="C2815" s="1105" t="s">
        <v>24673</v>
      </c>
      <c r="D2815" s="1593" t="s">
        <v>24685</v>
      </c>
      <c r="E2815" s="1593"/>
      <c r="F2815" s="1593"/>
      <c r="G2815" s="1593"/>
      <c r="H2815" s="1594"/>
      <c r="I2815" s="1106" t="s">
        <v>2858</v>
      </c>
      <c r="J2815" s="1106" t="s">
        <v>24686</v>
      </c>
      <c r="K2815" s="1106" t="s">
        <v>24687</v>
      </c>
      <c r="L2815" s="1614" t="s">
        <v>24688</v>
      </c>
      <c r="M2815" s="1615"/>
      <c r="N2815" s="1114" t="s">
        <v>24689</v>
      </c>
    </row>
    <row r="2816" spans="2:14" x14ac:dyDescent="0.3">
      <c r="B2816" s="1115"/>
      <c r="C2816" s="1116"/>
      <c r="D2816" s="1604"/>
      <c r="E2816" s="1604"/>
      <c r="F2816" s="1604"/>
      <c r="G2816" s="1604"/>
      <c r="H2816" s="1605"/>
      <c r="I2816" s="1109"/>
      <c r="J2816" s="1109"/>
      <c r="K2816" s="1109"/>
      <c r="L2816" s="1597"/>
      <c r="M2816" s="1598"/>
      <c r="N2816" s="1119">
        <f>N2813*(I2816/100)</f>
        <v>0</v>
      </c>
    </row>
    <row r="2817" spans="2:14" x14ac:dyDescent="0.3">
      <c r="B2817" s="850"/>
      <c r="C2817" s="461"/>
      <c r="D2817" s="461"/>
      <c r="E2817" s="461"/>
      <c r="F2817" s="1120"/>
      <c r="G2817" s="1120"/>
      <c r="H2817" s="1120"/>
      <c r="I2817" s="1120"/>
      <c r="J2817" s="1120"/>
      <c r="K2817" s="1120"/>
      <c r="L2817" s="1120"/>
      <c r="M2817" s="1121" t="s">
        <v>24690</v>
      </c>
      <c r="N2817" s="1122">
        <f>SUM(N2816:N2816)</f>
        <v>0</v>
      </c>
    </row>
    <row r="2818" spans="2:14" x14ac:dyDescent="0.3">
      <c r="B2818" s="850"/>
      <c r="C2818" s="461"/>
      <c r="D2818" s="461"/>
      <c r="E2818" s="461"/>
      <c r="F2818" s="461"/>
      <c r="G2818" s="461"/>
      <c r="H2818" s="461"/>
      <c r="I2818" s="461"/>
      <c r="J2818" s="461"/>
      <c r="K2818" s="461"/>
      <c r="L2818" s="461"/>
      <c r="M2818" s="461"/>
      <c r="N2818" s="1113"/>
    </row>
    <row r="2819" spans="2:14" x14ac:dyDescent="0.3">
      <c r="B2819" s="850"/>
      <c r="C2819" s="461"/>
      <c r="D2819" s="461"/>
      <c r="E2819" s="461"/>
      <c r="F2819" s="1120"/>
      <c r="G2819" s="1120"/>
      <c r="H2819" s="1120"/>
      <c r="I2819" s="863"/>
      <c r="J2819" s="863"/>
      <c r="K2819" s="863"/>
      <c r="L2819" s="863"/>
      <c r="M2819" s="1121" t="s">
        <v>24691</v>
      </c>
      <c r="N2819" s="1123">
        <f>N2808+N2813+N2817</f>
        <v>8.2799999999999994</v>
      </c>
    </row>
    <row r="2820" spans="2:14" x14ac:dyDescent="0.3">
      <c r="B2820" s="850"/>
      <c r="C2820" s="461"/>
      <c r="D2820" s="461"/>
      <c r="E2820" s="461"/>
      <c r="F2820" s="1120"/>
      <c r="G2820" s="1120"/>
      <c r="H2820" s="1120"/>
      <c r="I2820" s="1120"/>
      <c r="J2820" s="1124"/>
      <c r="K2820" s="1124"/>
      <c r="L2820" s="1124"/>
      <c r="M2820" s="1125" t="s">
        <v>24692</v>
      </c>
      <c r="N2820" s="1123">
        <v>1</v>
      </c>
    </row>
    <row r="2821" spans="2:14" ht="15.75" thickBot="1" x14ac:dyDescent="0.35">
      <c r="B2821" s="855"/>
      <c r="C2821" s="954"/>
      <c r="D2821" s="954"/>
      <c r="E2821" s="954"/>
      <c r="F2821" s="1110"/>
      <c r="G2821" s="1110"/>
      <c r="H2821" s="1110"/>
      <c r="I2821" s="1110"/>
      <c r="J2821" s="1110"/>
      <c r="K2821" s="1110"/>
      <c r="L2821" s="1110"/>
      <c r="M2821" s="1111" t="s">
        <v>24693</v>
      </c>
      <c r="N2821" s="1126">
        <f>TRUNC(N2819/N2820,2)</f>
        <v>8.2799999999999994</v>
      </c>
    </row>
    <row r="2822" spans="2:14" ht="15.75" thickBot="1" x14ac:dyDescent="0.35">
      <c r="B2822" s="850"/>
      <c r="C2822" s="461"/>
      <c r="D2822" s="461"/>
      <c r="E2822" s="461"/>
      <c r="F2822" s="461"/>
      <c r="G2822" s="461"/>
      <c r="H2822" s="461"/>
      <c r="I2822" s="461"/>
      <c r="J2822" s="461"/>
      <c r="K2822" s="461"/>
      <c r="L2822" s="461"/>
      <c r="M2822" s="461"/>
      <c r="N2822" s="1113"/>
    </row>
    <row r="2823" spans="2:14" ht="30" x14ac:dyDescent="0.3">
      <c r="B2823" s="1104" t="s">
        <v>0</v>
      </c>
      <c r="C2823" s="1105" t="s">
        <v>24673</v>
      </c>
      <c r="D2823" s="1593" t="s">
        <v>24694</v>
      </c>
      <c r="E2823" s="1593"/>
      <c r="F2823" s="1593"/>
      <c r="G2823" s="1593"/>
      <c r="H2823" s="1593"/>
      <c r="I2823" s="1594"/>
      <c r="J2823" s="1106" t="s">
        <v>3686</v>
      </c>
      <c r="K2823" s="1106" t="s">
        <v>24695</v>
      </c>
      <c r="L2823" s="1614" t="s">
        <v>24683</v>
      </c>
      <c r="M2823" s="1615"/>
      <c r="N2823" s="1114" t="s">
        <v>24689</v>
      </c>
    </row>
    <row r="2824" spans="2:14" x14ac:dyDescent="0.3">
      <c r="B2824" s="1149">
        <v>38075</v>
      </c>
      <c r="C2824" s="1155" t="s">
        <v>24706</v>
      </c>
      <c r="D2824" s="1616" t="s">
        <v>25435</v>
      </c>
      <c r="E2824" s="1616"/>
      <c r="F2824" s="1616"/>
      <c r="G2824" s="1616"/>
      <c r="H2824" s="1616"/>
      <c r="I2824" s="1617"/>
      <c r="J2824" s="1151" t="s">
        <v>24804</v>
      </c>
      <c r="K2824" s="1151">
        <v>14.29</v>
      </c>
      <c r="L2824" s="1618">
        <v>1</v>
      </c>
      <c r="M2824" s="1619"/>
      <c r="N2824" s="1130">
        <f>L2824*K2824</f>
        <v>14.29</v>
      </c>
    </row>
    <row r="2825" spans="2:14" ht="15.75" thickBot="1" x14ac:dyDescent="0.35">
      <c r="B2825" s="855"/>
      <c r="C2825" s="954"/>
      <c r="D2825" s="954"/>
      <c r="E2825" s="954"/>
      <c r="F2825" s="1110"/>
      <c r="G2825" s="1110"/>
      <c r="H2825" s="1110"/>
      <c r="I2825" s="1110"/>
      <c r="J2825" s="1110"/>
      <c r="K2825" s="1110"/>
      <c r="L2825" s="1110"/>
      <c r="M2825" s="1111" t="s">
        <v>24696</v>
      </c>
      <c r="N2825" s="1112">
        <f>SUM(N2824:N2824)</f>
        <v>14.29</v>
      </c>
    </row>
    <row r="2826" spans="2:14" ht="15.75" thickBot="1" x14ac:dyDescent="0.35">
      <c r="B2826" s="850"/>
      <c r="C2826" s="461"/>
      <c r="D2826" s="461"/>
      <c r="E2826" s="461"/>
      <c r="F2826" s="461"/>
      <c r="G2826" s="461"/>
      <c r="H2826" s="461"/>
      <c r="I2826" s="461"/>
      <c r="J2826" s="461"/>
      <c r="K2826" s="461"/>
      <c r="L2826" s="461"/>
      <c r="M2826" s="461"/>
      <c r="N2826" s="1113"/>
    </row>
    <row r="2827" spans="2:14" ht="30" x14ac:dyDescent="0.3">
      <c r="B2827" s="1104" t="s">
        <v>0</v>
      </c>
      <c r="C2827" s="1106" t="s">
        <v>24673</v>
      </c>
      <c r="D2827" s="1593" t="s">
        <v>24697</v>
      </c>
      <c r="E2827" s="1593"/>
      <c r="F2827" s="1593"/>
      <c r="G2827" s="1593"/>
      <c r="H2827" s="1593"/>
      <c r="I2827" s="1594"/>
      <c r="J2827" s="1106" t="s">
        <v>3686</v>
      </c>
      <c r="K2827" s="1106" t="s">
        <v>24695</v>
      </c>
      <c r="L2827" s="1614" t="s">
        <v>24683</v>
      </c>
      <c r="M2827" s="1615"/>
      <c r="N2827" s="1114" t="s">
        <v>24689</v>
      </c>
    </row>
    <row r="2828" spans="2:14" x14ac:dyDescent="0.3">
      <c r="B2828" s="1127"/>
      <c r="C2828" s="1128"/>
      <c r="D2828" s="1604"/>
      <c r="E2828" s="1604"/>
      <c r="F2828" s="1604"/>
      <c r="G2828" s="1604"/>
      <c r="H2828" s="1604"/>
      <c r="I2828" s="1605"/>
      <c r="J2828" s="462"/>
      <c r="K2828" s="462"/>
      <c r="L2828" s="1612"/>
      <c r="M2828" s="1613"/>
      <c r="N2828" s="1130"/>
    </row>
    <row r="2829" spans="2:14" ht="15.75" thickBot="1" x14ac:dyDescent="0.35">
      <c r="B2829" s="855"/>
      <c r="C2829" s="954"/>
      <c r="D2829" s="954"/>
      <c r="E2829" s="954"/>
      <c r="F2829" s="1110"/>
      <c r="G2829" s="1110"/>
      <c r="H2829" s="1110"/>
      <c r="I2829" s="1110"/>
      <c r="J2829" s="1110"/>
      <c r="K2829" s="1110"/>
      <c r="L2829" s="1110"/>
      <c r="M2829" s="1111" t="s">
        <v>24698</v>
      </c>
      <c r="N2829" s="1112">
        <f>SUM(N2828:N2828)</f>
        <v>0</v>
      </c>
    </row>
    <row r="2830" spans="2:14" ht="15.75" thickBot="1" x14ac:dyDescent="0.35">
      <c r="B2830" s="850"/>
      <c r="C2830" s="461"/>
      <c r="D2830" s="461"/>
      <c r="E2830" s="461"/>
      <c r="F2830" s="461"/>
      <c r="G2830" s="461"/>
      <c r="H2830" s="461"/>
      <c r="I2830" s="461"/>
      <c r="J2830" s="461"/>
      <c r="K2830" s="461"/>
      <c r="L2830" s="461"/>
      <c r="M2830" s="461"/>
      <c r="N2830" s="1113"/>
    </row>
    <row r="2831" spans="2:14" ht="30" x14ac:dyDescent="0.3">
      <c r="B2831" s="1104" t="s">
        <v>0</v>
      </c>
      <c r="C2831" s="1106" t="s">
        <v>24673</v>
      </c>
      <c r="D2831" s="1593" t="s">
        <v>24699</v>
      </c>
      <c r="E2831" s="1593"/>
      <c r="F2831" s="1593"/>
      <c r="G2831" s="1594"/>
      <c r="H2831" s="1106" t="s">
        <v>3686</v>
      </c>
      <c r="I2831" s="1106" t="s">
        <v>24700</v>
      </c>
      <c r="J2831" s="1106" t="s">
        <v>24701</v>
      </c>
      <c r="K2831" s="1106" t="s">
        <v>24695</v>
      </c>
      <c r="L2831" s="1614" t="s">
        <v>24683</v>
      </c>
      <c r="M2831" s="1615"/>
      <c r="N2831" s="1114" t="s">
        <v>24689</v>
      </c>
    </row>
    <row r="2832" spans="2:14" x14ac:dyDescent="0.3">
      <c r="B2832" s="1115"/>
      <c r="C2832" s="1116"/>
      <c r="D2832" s="1595"/>
      <c r="E2832" s="1595"/>
      <c r="F2832" s="1595"/>
      <c r="G2832" s="1595"/>
      <c r="H2832" s="1109"/>
      <c r="I2832" s="1109"/>
      <c r="J2832" s="1109"/>
      <c r="K2832" s="1109"/>
      <c r="L2832" s="1597"/>
      <c r="M2832" s="1598"/>
      <c r="N2832" s="1119"/>
    </row>
    <row r="2833" spans="2:14" x14ac:dyDescent="0.3">
      <c r="B2833" s="1115"/>
      <c r="C2833" s="1116"/>
      <c r="D2833" s="1595"/>
      <c r="E2833" s="1595"/>
      <c r="F2833" s="1595"/>
      <c r="G2833" s="1595"/>
      <c r="H2833" s="1109"/>
      <c r="I2833" s="1109"/>
      <c r="J2833" s="1109"/>
      <c r="K2833" s="1109"/>
      <c r="L2833" s="1597"/>
      <c r="M2833" s="1598"/>
      <c r="N2833" s="1119"/>
    </row>
    <row r="2834" spans="2:14" x14ac:dyDescent="0.3">
      <c r="B2834" s="1115"/>
      <c r="C2834" s="1116"/>
      <c r="D2834" s="1595"/>
      <c r="E2834" s="1595"/>
      <c r="F2834" s="1595"/>
      <c r="G2834" s="1595"/>
      <c r="H2834" s="1109"/>
      <c r="I2834" s="1109"/>
      <c r="J2834" s="1109"/>
      <c r="K2834" s="1109"/>
      <c r="L2834" s="1597"/>
      <c r="M2834" s="1598"/>
      <c r="N2834" s="1119"/>
    </row>
    <row r="2835" spans="2:14" x14ac:dyDescent="0.3">
      <c r="B2835" s="850"/>
      <c r="C2835" s="461"/>
      <c r="D2835" s="461"/>
      <c r="E2835" s="461"/>
      <c r="F2835" s="1120"/>
      <c r="G2835" s="1120"/>
      <c r="H2835" s="1120"/>
      <c r="I2835" s="1120"/>
      <c r="J2835" s="1120"/>
      <c r="K2835" s="1120"/>
      <c r="L2835" s="1120"/>
      <c r="M2835" s="1121" t="s">
        <v>24702</v>
      </c>
      <c r="N2835" s="1122">
        <f>SUM(N2832:N2834)</f>
        <v>0</v>
      </c>
    </row>
    <row r="2836" spans="2:14" x14ac:dyDescent="0.3">
      <c r="B2836" s="850"/>
      <c r="C2836" s="461"/>
      <c r="D2836" s="461"/>
      <c r="E2836" s="461"/>
      <c r="F2836" s="461"/>
      <c r="G2836" s="461"/>
      <c r="H2836" s="461"/>
      <c r="I2836" s="461"/>
      <c r="J2836" s="461"/>
      <c r="K2836" s="461"/>
      <c r="L2836" s="461"/>
      <c r="M2836" s="461"/>
      <c r="N2836" s="1113"/>
    </row>
    <row r="2837" spans="2:14" x14ac:dyDescent="0.3">
      <c r="B2837" s="1131"/>
      <c r="C2837" s="1132"/>
      <c r="D2837" s="1132"/>
      <c r="E2837" s="1132"/>
      <c r="F2837" s="1133"/>
      <c r="G2837" s="1133"/>
      <c r="H2837" s="1133"/>
      <c r="I2837" s="1133"/>
      <c r="J2837" s="1133"/>
      <c r="K2837" s="1133"/>
      <c r="L2837" s="1133"/>
      <c r="M2837" s="1134" t="s">
        <v>24703</v>
      </c>
      <c r="N2837" s="1123">
        <f>N2821+N2825+N2829+N2835</f>
        <v>22.57</v>
      </c>
    </row>
    <row r="2838" spans="2:14" x14ac:dyDescent="0.3">
      <c r="B2838" s="850"/>
      <c r="C2838" s="461"/>
      <c r="D2838" s="461"/>
      <c r="E2838" s="461"/>
      <c r="F2838" s="1120"/>
      <c r="G2838" s="1120"/>
      <c r="H2838" s="1120"/>
      <c r="I2838" s="1120"/>
      <c r="J2838" s="1120"/>
      <c r="K2838" s="1135"/>
      <c r="L2838" s="1135"/>
      <c r="M2838" s="1136">
        <f>'QUIOSQUE - MOD 01'!I3</f>
        <v>0.28220000000000001</v>
      </c>
      <c r="N2838" s="1123">
        <f>ROUND(N2837*M2838,2)</f>
        <v>6.37</v>
      </c>
    </row>
    <row r="2839" spans="2:14" ht="15.75" thickBot="1" x14ac:dyDescent="0.35">
      <c r="B2839" s="1599" t="s">
        <v>24704</v>
      </c>
      <c r="C2839" s="1600"/>
      <c r="D2839" s="1600"/>
      <c r="E2839" s="1600"/>
      <c r="F2839" s="1600"/>
      <c r="G2839" s="1600"/>
      <c r="H2839" s="1600"/>
      <c r="I2839" s="1600"/>
      <c r="J2839" s="1600"/>
      <c r="K2839" s="1600"/>
      <c r="L2839" s="1600"/>
      <c r="M2839" s="1601"/>
      <c r="N2839" s="1126">
        <f>N2837+N2838</f>
        <v>28.94</v>
      </c>
    </row>
    <row r="2841" spans="2:14" ht="15.75" thickBot="1" x14ac:dyDescent="0.35"/>
    <row r="2842" spans="2:14" ht="41.25" customHeight="1" x14ac:dyDescent="0.3">
      <c r="B2842" s="1607" t="s">
        <v>25440</v>
      </c>
      <c r="C2842" s="1608"/>
      <c r="D2842" s="1609"/>
      <c r="E2842" s="1610" t="s">
        <v>24669</v>
      </c>
      <c r="F2842" s="1610"/>
      <c r="G2842" s="1610"/>
      <c r="H2842" s="1610"/>
      <c r="I2842" s="1610"/>
      <c r="J2842" s="1610"/>
      <c r="K2842" s="1610"/>
      <c r="L2842" s="1623"/>
      <c r="M2842" s="1576"/>
      <c r="N2842" s="1577"/>
    </row>
    <row r="2843" spans="2:14" x14ac:dyDescent="0.3">
      <c r="B2843" s="1103" t="s">
        <v>24670</v>
      </c>
      <c r="C2843" s="1586" t="s">
        <v>25441</v>
      </c>
      <c r="D2843" s="1586"/>
      <c r="E2843" s="1586"/>
      <c r="F2843" s="1586"/>
      <c r="G2843" s="1586"/>
      <c r="H2843" s="1586"/>
      <c r="I2843" s="1586"/>
      <c r="J2843" s="1586"/>
      <c r="K2843" s="1586"/>
      <c r="L2843" s="1586"/>
      <c r="M2843" s="1586"/>
      <c r="N2843" s="1587"/>
    </row>
    <row r="2844" spans="2:14" x14ac:dyDescent="0.3">
      <c r="B2844" s="1103" t="s">
        <v>24671</v>
      </c>
      <c r="C2844" s="1588" t="s">
        <v>82</v>
      </c>
      <c r="D2844" s="1588"/>
      <c r="E2844" s="1588"/>
      <c r="F2844" s="1588"/>
      <c r="G2844" s="1588"/>
      <c r="H2844" s="1588"/>
      <c r="I2844" s="1588"/>
      <c r="J2844" s="1588"/>
      <c r="K2844" s="1588"/>
      <c r="L2844" s="1588"/>
      <c r="M2844" s="1588"/>
      <c r="N2844" s="1589"/>
    </row>
    <row r="2845" spans="2:14" ht="15.75" thickBot="1" x14ac:dyDescent="0.35">
      <c r="B2845" s="1103" t="s">
        <v>24672</v>
      </c>
      <c r="C2845" s="1590">
        <v>44501</v>
      </c>
      <c r="D2845" s="1591"/>
      <c r="E2845" s="1591"/>
      <c r="F2845" s="1591"/>
      <c r="G2845" s="1591"/>
      <c r="H2845" s="1591"/>
      <c r="I2845" s="1591"/>
      <c r="J2845" s="1591"/>
      <c r="K2845" s="1591"/>
      <c r="L2845" s="1591"/>
      <c r="M2845" s="1591"/>
      <c r="N2845" s="1592"/>
    </row>
    <row r="2846" spans="2:14" ht="30" x14ac:dyDescent="0.3">
      <c r="B2846" s="1104" t="s">
        <v>0</v>
      </c>
      <c r="C2846" s="1105" t="s">
        <v>24673</v>
      </c>
      <c r="D2846" s="1593" t="s">
        <v>24674</v>
      </c>
      <c r="E2846" s="1593"/>
      <c r="F2846" s="1593"/>
      <c r="G2846" s="1594"/>
      <c r="H2846" s="1106" t="s">
        <v>111</v>
      </c>
      <c r="I2846" s="1106" t="s">
        <v>24675</v>
      </c>
      <c r="J2846" s="1106" t="s">
        <v>24676</v>
      </c>
      <c r="K2846" s="1106" t="s">
        <v>24677</v>
      </c>
      <c r="L2846" s="1106" t="s">
        <v>24678</v>
      </c>
      <c r="M2846" s="1621" t="s">
        <v>24679</v>
      </c>
      <c r="N2846" s="1622"/>
    </row>
    <row r="2847" spans="2:14" x14ac:dyDescent="0.3">
      <c r="B2847" s="1115"/>
      <c r="C2847" s="1108"/>
      <c r="D2847" s="1595"/>
      <c r="E2847" s="1595"/>
      <c r="F2847" s="1595"/>
      <c r="G2847" s="1596"/>
      <c r="H2847" s="1109"/>
      <c r="I2847" s="1109"/>
      <c r="J2847" s="1109"/>
      <c r="K2847" s="1109"/>
      <c r="L2847" s="1109"/>
      <c r="M2847" s="1597"/>
      <c r="N2847" s="1620"/>
    </row>
    <row r="2848" spans="2:14" x14ac:dyDescent="0.3">
      <c r="B2848" s="1115"/>
      <c r="C2848" s="1108"/>
      <c r="D2848" s="1595"/>
      <c r="E2848" s="1595"/>
      <c r="F2848" s="1595"/>
      <c r="G2848" s="1596"/>
      <c r="H2848" s="1109"/>
      <c r="I2848" s="1109"/>
      <c r="J2848" s="1109"/>
      <c r="K2848" s="1109"/>
      <c r="L2848" s="1109"/>
      <c r="M2848" s="1597"/>
      <c r="N2848" s="1620"/>
    </row>
    <row r="2849" spans="2:14" x14ac:dyDescent="0.3">
      <c r="B2849" s="1107"/>
      <c r="C2849" s="1108"/>
      <c r="D2849" s="1595"/>
      <c r="E2849" s="1595"/>
      <c r="F2849" s="1595"/>
      <c r="G2849" s="1596"/>
      <c r="H2849" s="1109"/>
      <c r="I2849" s="1109"/>
      <c r="J2849" s="1109"/>
      <c r="K2849" s="1109"/>
      <c r="L2849" s="1109"/>
      <c r="M2849" s="1597"/>
      <c r="N2849" s="1620"/>
    </row>
    <row r="2850" spans="2:14" ht="15.75" thickBot="1" x14ac:dyDescent="0.35">
      <c r="B2850" s="855"/>
      <c r="C2850" s="954"/>
      <c r="D2850" s="954"/>
      <c r="E2850" s="954"/>
      <c r="F2850" s="1110"/>
      <c r="G2850" s="1110"/>
      <c r="H2850" s="1110"/>
      <c r="I2850" s="1110"/>
      <c r="J2850" s="1110"/>
      <c r="K2850" s="1110"/>
      <c r="L2850" s="1110"/>
      <c r="M2850" s="1111" t="s">
        <v>24680</v>
      </c>
      <c r="N2850" s="1112">
        <f>SUM(N2847:N2849)</f>
        <v>0</v>
      </c>
    </row>
    <row r="2851" spans="2:14" ht="15.75" thickBot="1" x14ac:dyDescent="0.35">
      <c r="B2851" s="850"/>
      <c r="C2851" s="461"/>
      <c r="D2851" s="461"/>
      <c r="E2851" s="461"/>
      <c r="F2851" s="461"/>
      <c r="G2851" s="461"/>
      <c r="H2851" s="461"/>
      <c r="I2851" s="461"/>
      <c r="J2851" s="461"/>
      <c r="K2851" s="461"/>
      <c r="L2851" s="461"/>
      <c r="M2851" s="461"/>
      <c r="N2851" s="1113"/>
    </row>
    <row r="2852" spans="2:14" ht="45" x14ac:dyDescent="0.3">
      <c r="B2852" s="1104" t="s">
        <v>0</v>
      </c>
      <c r="C2852" s="1105" t="s">
        <v>24673</v>
      </c>
      <c r="D2852" s="1593" t="s">
        <v>24681</v>
      </c>
      <c r="E2852" s="1593"/>
      <c r="F2852" s="1593"/>
      <c r="G2852" s="1593"/>
      <c r="H2852" s="1594"/>
      <c r="I2852" s="1106" t="s">
        <v>3686</v>
      </c>
      <c r="J2852" s="1106" t="s">
        <v>24682</v>
      </c>
      <c r="K2852" s="1106" t="s">
        <v>25177</v>
      </c>
      <c r="L2852" s="1106" t="s">
        <v>25178</v>
      </c>
      <c r="M2852" s="1106" t="s">
        <v>24683</v>
      </c>
      <c r="N2852" s="1114" t="s">
        <v>24679</v>
      </c>
    </row>
    <row r="2853" spans="2:14" x14ac:dyDescent="0.3">
      <c r="B2853" s="1115">
        <v>10115</v>
      </c>
      <c r="C2853" s="1108" t="s">
        <v>4379</v>
      </c>
      <c r="D2853" s="1604" t="s">
        <v>25421</v>
      </c>
      <c r="E2853" s="1604"/>
      <c r="F2853" s="1604"/>
      <c r="G2853" s="1604"/>
      <c r="H2853" s="1605"/>
      <c r="I2853" s="1109" t="s">
        <v>75</v>
      </c>
      <c r="J2853" s="1117">
        <v>1.5727</v>
      </c>
      <c r="K2853" s="1109">
        <v>7.43</v>
      </c>
      <c r="L2853" s="1109">
        <f>K2853*(1+J2853)</f>
        <v>19.12</v>
      </c>
      <c r="M2853" s="1118">
        <v>0.03</v>
      </c>
      <c r="N2853" s="1119">
        <f>M2853*L2853</f>
        <v>0.56999999999999995</v>
      </c>
    </row>
    <row r="2854" spans="2:14" x14ac:dyDescent="0.3">
      <c r="B2854" s="1115">
        <v>10101</v>
      </c>
      <c r="C2854" s="1108" t="s">
        <v>4379</v>
      </c>
      <c r="D2854" s="1604" t="s">
        <v>25223</v>
      </c>
      <c r="E2854" s="1604"/>
      <c r="F2854" s="1604"/>
      <c r="G2854" s="1604"/>
      <c r="H2854" s="1605"/>
      <c r="I2854" s="1109" t="s">
        <v>75</v>
      </c>
      <c r="J2854" s="1117">
        <v>1.5727</v>
      </c>
      <c r="K2854" s="1109">
        <v>6.27</v>
      </c>
      <c r="L2854" s="1109">
        <f>K2854*(1+J2854)</f>
        <v>16.13</v>
      </c>
      <c r="M2854" s="1118">
        <v>0.03</v>
      </c>
      <c r="N2854" s="1119">
        <f>M2854*L2854</f>
        <v>0.48</v>
      </c>
    </row>
    <row r="2855" spans="2:14" ht="15.75" thickBot="1" x14ac:dyDescent="0.35">
      <c r="B2855" s="855"/>
      <c r="C2855" s="954"/>
      <c r="D2855" s="954"/>
      <c r="E2855" s="954"/>
      <c r="F2855" s="1110"/>
      <c r="G2855" s="1110"/>
      <c r="H2855" s="1110"/>
      <c r="I2855" s="1110"/>
      <c r="J2855" s="1110"/>
      <c r="K2855" s="1110"/>
      <c r="L2855" s="1110"/>
      <c r="M2855" s="1111" t="s">
        <v>24684</v>
      </c>
      <c r="N2855" s="1112">
        <f>SUM(N2853:N2854)</f>
        <v>1.05</v>
      </c>
    </row>
    <row r="2856" spans="2:14" ht="15.75" thickBot="1" x14ac:dyDescent="0.35">
      <c r="B2856" s="850"/>
      <c r="C2856" s="461"/>
      <c r="D2856" s="461"/>
      <c r="E2856" s="461"/>
      <c r="F2856" s="461"/>
      <c r="G2856" s="461"/>
      <c r="H2856" s="461"/>
      <c r="I2856" s="1120"/>
      <c r="J2856" s="1120"/>
      <c r="K2856" s="461"/>
      <c r="L2856" s="461"/>
      <c r="M2856" s="461"/>
      <c r="N2856" s="1113"/>
    </row>
    <row r="2857" spans="2:14" ht="30" x14ac:dyDescent="0.3">
      <c r="B2857" s="1104" t="s">
        <v>0</v>
      </c>
      <c r="C2857" s="1105" t="s">
        <v>24673</v>
      </c>
      <c r="D2857" s="1593" t="s">
        <v>24685</v>
      </c>
      <c r="E2857" s="1593"/>
      <c r="F2857" s="1593"/>
      <c r="G2857" s="1593"/>
      <c r="H2857" s="1594"/>
      <c r="I2857" s="1106" t="s">
        <v>2858</v>
      </c>
      <c r="J2857" s="1106" t="s">
        <v>24686</v>
      </c>
      <c r="K2857" s="1106" t="s">
        <v>24687</v>
      </c>
      <c r="L2857" s="1614" t="s">
        <v>24688</v>
      </c>
      <c r="M2857" s="1615"/>
      <c r="N2857" s="1114" t="s">
        <v>24689</v>
      </c>
    </row>
    <row r="2858" spans="2:14" x14ac:dyDescent="0.3">
      <c r="B2858" s="1115"/>
      <c r="C2858" s="1116"/>
      <c r="D2858" s="1604"/>
      <c r="E2858" s="1604"/>
      <c r="F2858" s="1604"/>
      <c r="G2858" s="1604"/>
      <c r="H2858" s="1605"/>
      <c r="I2858" s="1109"/>
      <c r="J2858" s="1109"/>
      <c r="K2858" s="1109"/>
      <c r="L2858" s="1597"/>
      <c r="M2858" s="1598"/>
      <c r="N2858" s="1119">
        <f>N2855*(I2858/100)</f>
        <v>0</v>
      </c>
    </row>
    <row r="2859" spans="2:14" x14ac:dyDescent="0.3">
      <c r="B2859" s="850"/>
      <c r="C2859" s="461"/>
      <c r="D2859" s="461"/>
      <c r="E2859" s="461"/>
      <c r="F2859" s="1120"/>
      <c r="G2859" s="1120"/>
      <c r="H2859" s="1120"/>
      <c r="I2859" s="1120"/>
      <c r="J2859" s="1120"/>
      <c r="K2859" s="1120"/>
      <c r="L2859" s="1120"/>
      <c r="M2859" s="1121" t="s">
        <v>24690</v>
      </c>
      <c r="N2859" s="1122">
        <f>SUM(N2858:N2858)</f>
        <v>0</v>
      </c>
    </row>
    <row r="2860" spans="2:14" x14ac:dyDescent="0.3">
      <c r="B2860" s="850"/>
      <c r="C2860" s="461"/>
      <c r="D2860" s="461"/>
      <c r="E2860" s="461"/>
      <c r="F2860" s="461"/>
      <c r="G2860" s="461"/>
      <c r="H2860" s="461"/>
      <c r="I2860" s="461"/>
      <c r="J2860" s="461"/>
      <c r="K2860" s="461"/>
      <c r="L2860" s="461"/>
      <c r="M2860" s="461"/>
      <c r="N2860" s="1113"/>
    </row>
    <row r="2861" spans="2:14" x14ac:dyDescent="0.3">
      <c r="B2861" s="850"/>
      <c r="C2861" s="461"/>
      <c r="D2861" s="461"/>
      <c r="E2861" s="461"/>
      <c r="F2861" s="1120"/>
      <c r="G2861" s="1120"/>
      <c r="H2861" s="1120"/>
      <c r="I2861" s="863"/>
      <c r="J2861" s="863"/>
      <c r="K2861" s="863"/>
      <c r="L2861" s="863"/>
      <c r="M2861" s="1121" t="s">
        <v>24691</v>
      </c>
      <c r="N2861" s="1123">
        <f>N2850+N2855+N2859</f>
        <v>1.05</v>
      </c>
    </row>
    <row r="2862" spans="2:14" x14ac:dyDescent="0.3">
      <c r="B2862" s="850"/>
      <c r="C2862" s="461"/>
      <c r="D2862" s="461"/>
      <c r="E2862" s="461"/>
      <c r="F2862" s="1120"/>
      <c r="G2862" s="1120"/>
      <c r="H2862" s="1120"/>
      <c r="I2862" s="1120"/>
      <c r="J2862" s="1124"/>
      <c r="K2862" s="1124"/>
      <c r="L2862" s="1124"/>
      <c r="M2862" s="1125" t="s">
        <v>24692</v>
      </c>
      <c r="N2862" s="1123">
        <v>1</v>
      </c>
    </row>
    <row r="2863" spans="2:14" ht="15.75" thickBot="1" x14ac:dyDescent="0.35">
      <c r="B2863" s="855"/>
      <c r="C2863" s="954"/>
      <c r="D2863" s="954"/>
      <c r="E2863" s="954"/>
      <c r="F2863" s="1110"/>
      <c r="G2863" s="1110"/>
      <c r="H2863" s="1110"/>
      <c r="I2863" s="1110"/>
      <c r="J2863" s="1110"/>
      <c r="K2863" s="1110"/>
      <c r="L2863" s="1110"/>
      <c r="M2863" s="1111" t="s">
        <v>24693</v>
      </c>
      <c r="N2863" s="1126">
        <f>TRUNC(N2861/N2862,2)</f>
        <v>1.05</v>
      </c>
    </row>
    <row r="2864" spans="2:14" ht="15.75" thickBot="1" x14ac:dyDescent="0.35">
      <c r="B2864" s="850"/>
      <c r="C2864" s="461"/>
      <c r="D2864" s="461"/>
      <c r="E2864" s="461"/>
      <c r="F2864" s="461"/>
      <c r="G2864" s="461"/>
      <c r="H2864" s="461"/>
      <c r="I2864" s="461"/>
      <c r="J2864" s="461"/>
      <c r="K2864" s="461"/>
      <c r="L2864" s="461"/>
      <c r="M2864" s="461"/>
      <c r="N2864" s="1113"/>
    </row>
    <row r="2865" spans="2:14" ht="30" x14ac:dyDescent="0.3">
      <c r="B2865" s="1104" t="s">
        <v>0</v>
      </c>
      <c r="C2865" s="1105" t="s">
        <v>24673</v>
      </c>
      <c r="D2865" s="1593" t="s">
        <v>24694</v>
      </c>
      <c r="E2865" s="1593"/>
      <c r="F2865" s="1593"/>
      <c r="G2865" s="1593"/>
      <c r="H2865" s="1593"/>
      <c r="I2865" s="1594"/>
      <c r="J2865" s="1106" t="s">
        <v>3686</v>
      </c>
      <c r="K2865" s="1106" t="s">
        <v>24695</v>
      </c>
      <c r="L2865" s="1614" t="s">
        <v>24683</v>
      </c>
      <c r="M2865" s="1615"/>
      <c r="N2865" s="1114" t="s">
        <v>24689</v>
      </c>
    </row>
    <row r="2866" spans="2:14" x14ac:dyDescent="0.3">
      <c r="B2866" s="1149">
        <v>1014</v>
      </c>
      <c r="C2866" s="1155" t="s">
        <v>24706</v>
      </c>
      <c r="D2866" s="1616" t="s">
        <v>25442</v>
      </c>
      <c r="E2866" s="1616"/>
      <c r="F2866" s="1616"/>
      <c r="G2866" s="1616"/>
      <c r="H2866" s="1616"/>
      <c r="I2866" s="1617"/>
      <c r="J2866" s="1151" t="s">
        <v>82</v>
      </c>
      <c r="K2866" s="1151">
        <v>2.2400000000000002</v>
      </c>
      <c r="L2866" s="1618">
        <v>1.19</v>
      </c>
      <c r="M2866" s="1619"/>
      <c r="N2866" s="1130">
        <f>L2866*K2866</f>
        <v>2.67</v>
      </c>
    </row>
    <row r="2867" spans="2:14" x14ac:dyDescent="0.3">
      <c r="B2867" s="1149">
        <v>21127</v>
      </c>
      <c r="C2867" s="1155" t="s">
        <v>24706</v>
      </c>
      <c r="D2867" s="1616" t="s">
        <v>25443</v>
      </c>
      <c r="E2867" s="1616"/>
      <c r="F2867" s="1616"/>
      <c r="G2867" s="1616"/>
      <c r="H2867" s="1616"/>
      <c r="I2867" s="1617"/>
      <c r="J2867" s="1151" t="s">
        <v>24804</v>
      </c>
      <c r="K2867" s="1151">
        <v>4.72</v>
      </c>
      <c r="L2867" s="1618">
        <v>8.9999999999999993E-3</v>
      </c>
      <c r="M2867" s="1619"/>
      <c r="N2867" s="1130">
        <f>L2867*K2867</f>
        <v>0.04</v>
      </c>
    </row>
    <row r="2868" spans="2:14" ht="15.75" thickBot="1" x14ac:dyDescent="0.35">
      <c r="B2868" s="855"/>
      <c r="C2868" s="954"/>
      <c r="D2868" s="954"/>
      <c r="E2868" s="954"/>
      <c r="F2868" s="1110"/>
      <c r="G2868" s="1110"/>
      <c r="H2868" s="1110"/>
      <c r="I2868" s="1110"/>
      <c r="J2868" s="1110"/>
      <c r="K2868" s="1110"/>
      <c r="L2868" s="1110"/>
      <c r="M2868" s="1111" t="s">
        <v>24696</v>
      </c>
      <c r="N2868" s="1112">
        <f>SUM(N2866:N2867)</f>
        <v>2.71</v>
      </c>
    </row>
    <row r="2869" spans="2:14" ht="15.75" thickBot="1" x14ac:dyDescent="0.35">
      <c r="B2869" s="850"/>
      <c r="C2869" s="461"/>
      <c r="D2869" s="461"/>
      <c r="E2869" s="461"/>
      <c r="F2869" s="461"/>
      <c r="G2869" s="461"/>
      <c r="H2869" s="461"/>
      <c r="I2869" s="461"/>
      <c r="J2869" s="461"/>
      <c r="K2869" s="461"/>
      <c r="L2869" s="461"/>
      <c r="M2869" s="461"/>
      <c r="N2869" s="1113"/>
    </row>
    <row r="2870" spans="2:14" ht="30" x14ac:dyDescent="0.3">
      <c r="B2870" s="1104" t="s">
        <v>0</v>
      </c>
      <c r="C2870" s="1106" t="s">
        <v>24673</v>
      </c>
      <c r="D2870" s="1593" t="s">
        <v>24697</v>
      </c>
      <c r="E2870" s="1593"/>
      <c r="F2870" s="1593"/>
      <c r="G2870" s="1593"/>
      <c r="H2870" s="1593"/>
      <c r="I2870" s="1594"/>
      <c r="J2870" s="1106" t="s">
        <v>3686</v>
      </c>
      <c r="K2870" s="1106" t="s">
        <v>24695</v>
      </c>
      <c r="L2870" s="1614" t="s">
        <v>24683</v>
      </c>
      <c r="M2870" s="1615"/>
      <c r="N2870" s="1114" t="s">
        <v>24689</v>
      </c>
    </row>
    <row r="2871" spans="2:14" x14ac:dyDescent="0.3">
      <c r="B2871" s="1127"/>
      <c r="C2871" s="1128"/>
      <c r="D2871" s="1604"/>
      <c r="E2871" s="1604"/>
      <c r="F2871" s="1604"/>
      <c r="G2871" s="1604"/>
      <c r="H2871" s="1604"/>
      <c r="I2871" s="1605"/>
      <c r="J2871" s="462"/>
      <c r="K2871" s="462"/>
      <c r="L2871" s="1612"/>
      <c r="M2871" s="1613"/>
      <c r="N2871" s="1130"/>
    </row>
    <row r="2872" spans="2:14" ht="15.75" thickBot="1" x14ac:dyDescent="0.35">
      <c r="B2872" s="855"/>
      <c r="C2872" s="954"/>
      <c r="D2872" s="954"/>
      <c r="E2872" s="954"/>
      <c r="F2872" s="1110"/>
      <c r="G2872" s="1110"/>
      <c r="H2872" s="1110"/>
      <c r="I2872" s="1110"/>
      <c r="J2872" s="1110"/>
      <c r="K2872" s="1110"/>
      <c r="L2872" s="1110"/>
      <c r="M2872" s="1111" t="s">
        <v>24698</v>
      </c>
      <c r="N2872" s="1112">
        <f>SUM(N2871:N2871)</f>
        <v>0</v>
      </c>
    </row>
    <row r="2873" spans="2:14" ht="15.75" thickBot="1" x14ac:dyDescent="0.35">
      <c r="B2873" s="850"/>
      <c r="C2873" s="461"/>
      <c r="D2873" s="461"/>
      <c r="E2873" s="461"/>
      <c r="F2873" s="461"/>
      <c r="G2873" s="461"/>
      <c r="H2873" s="461"/>
      <c r="I2873" s="461"/>
      <c r="J2873" s="461"/>
      <c r="K2873" s="461"/>
      <c r="L2873" s="461"/>
      <c r="M2873" s="461"/>
      <c r="N2873" s="1113"/>
    </row>
    <row r="2874" spans="2:14" ht="30" x14ac:dyDescent="0.3">
      <c r="B2874" s="1104" t="s">
        <v>0</v>
      </c>
      <c r="C2874" s="1106" t="s">
        <v>24673</v>
      </c>
      <c r="D2874" s="1593" t="s">
        <v>24699</v>
      </c>
      <c r="E2874" s="1593"/>
      <c r="F2874" s="1593"/>
      <c r="G2874" s="1594"/>
      <c r="H2874" s="1106" t="s">
        <v>3686</v>
      </c>
      <c r="I2874" s="1106" t="s">
        <v>24700</v>
      </c>
      <c r="J2874" s="1106" t="s">
        <v>24701</v>
      </c>
      <c r="K2874" s="1106" t="s">
        <v>24695</v>
      </c>
      <c r="L2874" s="1614" t="s">
        <v>24683</v>
      </c>
      <c r="M2874" s="1615"/>
      <c r="N2874" s="1114" t="s">
        <v>24689</v>
      </c>
    </row>
    <row r="2875" spans="2:14" x14ac:dyDescent="0.3">
      <c r="B2875" s="1115"/>
      <c r="C2875" s="1116"/>
      <c r="D2875" s="1595"/>
      <c r="E2875" s="1595"/>
      <c r="F2875" s="1595"/>
      <c r="G2875" s="1595"/>
      <c r="H2875" s="1109"/>
      <c r="I2875" s="1109"/>
      <c r="J2875" s="1109"/>
      <c r="K2875" s="1109"/>
      <c r="L2875" s="1597"/>
      <c r="M2875" s="1598"/>
      <c r="N2875" s="1119"/>
    </row>
    <row r="2876" spans="2:14" x14ac:dyDescent="0.3">
      <c r="B2876" s="1115"/>
      <c r="C2876" s="1116"/>
      <c r="D2876" s="1595"/>
      <c r="E2876" s="1595"/>
      <c r="F2876" s="1595"/>
      <c r="G2876" s="1595"/>
      <c r="H2876" s="1109"/>
      <c r="I2876" s="1109"/>
      <c r="J2876" s="1109"/>
      <c r="K2876" s="1109"/>
      <c r="L2876" s="1597"/>
      <c r="M2876" s="1598"/>
      <c r="N2876" s="1119"/>
    </row>
    <row r="2877" spans="2:14" x14ac:dyDescent="0.3">
      <c r="B2877" s="1115"/>
      <c r="C2877" s="1116"/>
      <c r="D2877" s="1595"/>
      <c r="E2877" s="1595"/>
      <c r="F2877" s="1595"/>
      <c r="G2877" s="1595"/>
      <c r="H2877" s="1109"/>
      <c r="I2877" s="1109"/>
      <c r="J2877" s="1109"/>
      <c r="K2877" s="1109"/>
      <c r="L2877" s="1597"/>
      <c r="M2877" s="1598"/>
      <c r="N2877" s="1119"/>
    </row>
    <row r="2878" spans="2:14" x14ac:dyDescent="0.3">
      <c r="B2878" s="850"/>
      <c r="C2878" s="461"/>
      <c r="D2878" s="461"/>
      <c r="E2878" s="461"/>
      <c r="F2878" s="1120"/>
      <c r="G2878" s="1120"/>
      <c r="H2878" s="1120"/>
      <c r="I2878" s="1120"/>
      <c r="J2878" s="1120"/>
      <c r="K2878" s="1120"/>
      <c r="L2878" s="1120"/>
      <c r="M2878" s="1121" t="s">
        <v>24702</v>
      </c>
      <c r="N2878" s="1122">
        <f>SUM(N2875:N2877)</f>
        <v>0</v>
      </c>
    </row>
    <row r="2879" spans="2:14" x14ac:dyDescent="0.3">
      <c r="B2879" s="850"/>
      <c r="C2879" s="461"/>
      <c r="D2879" s="461"/>
      <c r="E2879" s="461"/>
      <c r="F2879" s="461"/>
      <c r="G2879" s="461"/>
      <c r="H2879" s="461"/>
      <c r="I2879" s="461"/>
      <c r="J2879" s="461"/>
      <c r="K2879" s="461"/>
      <c r="L2879" s="461"/>
      <c r="M2879" s="461"/>
      <c r="N2879" s="1113"/>
    </row>
    <row r="2880" spans="2:14" x14ac:dyDescent="0.3">
      <c r="B2880" s="1131"/>
      <c r="C2880" s="1132"/>
      <c r="D2880" s="1132"/>
      <c r="E2880" s="1132"/>
      <c r="F2880" s="1133"/>
      <c r="G2880" s="1133"/>
      <c r="H2880" s="1133"/>
      <c r="I2880" s="1133"/>
      <c r="J2880" s="1133"/>
      <c r="K2880" s="1133"/>
      <c r="L2880" s="1133"/>
      <c r="M2880" s="1134" t="s">
        <v>24703</v>
      </c>
      <c r="N2880" s="1123">
        <f>N2863+N2868+N2872+N2878</f>
        <v>3.76</v>
      </c>
    </row>
    <row r="2881" spans="2:14" x14ac:dyDescent="0.3">
      <c r="B2881" s="850"/>
      <c r="C2881" s="461"/>
      <c r="D2881" s="461"/>
      <c r="E2881" s="461"/>
      <c r="F2881" s="1120"/>
      <c r="G2881" s="1120"/>
      <c r="H2881" s="1120"/>
      <c r="I2881" s="1120"/>
      <c r="J2881" s="1120"/>
      <c r="K2881" s="1135"/>
      <c r="L2881" s="1135"/>
      <c r="M2881" s="1136">
        <f>'QUIOSQUE - MOD 01'!I3</f>
        <v>0.28220000000000001</v>
      </c>
      <c r="N2881" s="1123">
        <f>ROUND(N2880*M2881,2)</f>
        <v>1.06</v>
      </c>
    </row>
    <row r="2882" spans="2:14" ht="15.75" thickBot="1" x14ac:dyDescent="0.35">
      <c r="B2882" s="1599" t="s">
        <v>24704</v>
      </c>
      <c r="C2882" s="1600"/>
      <c r="D2882" s="1600"/>
      <c r="E2882" s="1600"/>
      <c r="F2882" s="1600"/>
      <c r="G2882" s="1600"/>
      <c r="H2882" s="1600"/>
      <c r="I2882" s="1600"/>
      <c r="J2882" s="1600"/>
      <c r="K2882" s="1600"/>
      <c r="L2882" s="1600"/>
      <c r="M2882" s="1601"/>
      <c r="N2882" s="1126">
        <f>N2880+N2881</f>
        <v>4.82</v>
      </c>
    </row>
    <row r="2885" spans="2:14" ht="15.75" thickBot="1" x14ac:dyDescent="0.35"/>
    <row r="2886" spans="2:14" ht="40.5" customHeight="1" x14ac:dyDescent="0.3">
      <c r="B2886" s="1607" t="s">
        <v>25444</v>
      </c>
      <c r="C2886" s="1608"/>
      <c r="D2886" s="1609"/>
      <c r="E2886" s="1610" t="s">
        <v>24669</v>
      </c>
      <c r="F2886" s="1610"/>
      <c r="G2886" s="1610"/>
      <c r="H2886" s="1610"/>
      <c r="I2886" s="1610"/>
      <c r="J2886" s="1610"/>
      <c r="K2886" s="1610"/>
      <c r="L2886" s="1623"/>
      <c r="M2886" s="1576"/>
      <c r="N2886" s="1577"/>
    </row>
    <row r="2887" spans="2:14" x14ac:dyDescent="0.3">
      <c r="B2887" s="1103" t="s">
        <v>24670</v>
      </c>
      <c r="C2887" s="1586" t="s">
        <v>25445</v>
      </c>
      <c r="D2887" s="1586"/>
      <c r="E2887" s="1586"/>
      <c r="F2887" s="1586"/>
      <c r="G2887" s="1586"/>
      <c r="H2887" s="1586"/>
      <c r="I2887" s="1586"/>
      <c r="J2887" s="1586"/>
      <c r="K2887" s="1586"/>
      <c r="L2887" s="1586"/>
      <c r="M2887" s="1586"/>
      <c r="N2887" s="1587"/>
    </row>
    <row r="2888" spans="2:14" x14ac:dyDescent="0.3">
      <c r="B2888" s="1103" t="s">
        <v>24671</v>
      </c>
      <c r="C2888" s="1588" t="s">
        <v>82</v>
      </c>
      <c r="D2888" s="1588"/>
      <c r="E2888" s="1588"/>
      <c r="F2888" s="1588"/>
      <c r="G2888" s="1588"/>
      <c r="H2888" s="1588"/>
      <c r="I2888" s="1588"/>
      <c r="J2888" s="1588"/>
      <c r="K2888" s="1588"/>
      <c r="L2888" s="1588"/>
      <c r="M2888" s="1588"/>
      <c r="N2888" s="1589"/>
    </row>
    <row r="2889" spans="2:14" ht="15.75" thickBot="1" x14ac:dyDescent="0.35">
      <c r="B2889" s="1103" t="s">
        <v>24672</v>
      </c>
      <c r="C2889" s="1590">
        <v>44501</v>
      </c>
      <c r="D2889" s="1591"/>
      <c r="E2889" s="1591"/>
      <c r="F2889" s="1591"/>
      <c r="G2889" s="1591"/>
      <c r="H2889" s="1591"/>
      <c r="I2889" s="1591"/>
      <c r="J2889" s="1591"/>
      <c r="K2889" s="1591"/>
      <c r="L2889" s="1591"/>
      <c r="M2889" s="1591"/>
      <c r="N2889" s="1592"/>
    </row>
    <row r="2890" spans="2:14" ht="30" x14ac:dyDescent="0.3">
      <c r="B2890" s="1104" t="s">
        <v>0</v>
      </c>
      <c r="C2890" s="1105" t="s">
        <v>24673</v>
      </c>
      <c r="D2890" s="1593" t="s">
        <v>24674</v>
      </c>
      <c r="E2890" s="1593"/>
      <c r="F2890" s="1593"/>
      <c r="G2890" s="1594"/>
      <c r="H2890" s="1106" t="s">
        <v>111</v>
      </c>
      <c r="I2890" s="1106" t="s">
        <v>24675</v>
      </c>
      <c r="J2890" s="1106" t="s">
        <v>24676</v>
      </c>
      <c r="K2890" s="1106" t="s">
        <v>24677</v>
      </c>
      <c r="L2890" s="1106" t="s">
        <v>24678</v>
      </c>
      <c r="M2890" s="1621" t="s">
        <v>24679</v>
      </c>
      <c r="N2890" s="1622"/>
    </row>
    <row r="2891" spans="2:14" x14ac:dyDescent="0.3">
      <c r="B2891" s="1115"/>
      <c r="C2891" s="1108"/>
      <c r="D2891" s="1595"/>
      <c r="E2891" s="1595"/>
      <c r="F2891" s="1595"/>
      <c r="G2891" s="1596"/>
      <c r="H2891" s="1109"/>
      <c r="I2891" s="1109"/>
      <c r="J2891" s="1109"/>
      <c r="K2891" s="1109"/>
      <c r="L2891" s="1109"/>
      <c r="M2891" s="1597"/>
      <c r="N2891" s="1620"/>
    </row>
    <row r="2892" spans="2:14" x14ac:dyDescent="0.3">
      <c r="B2892" s="1115"/>
      <c r="C2892" s="1108"/>
      <c r="D2892" s="1595"/>
      <c r="E2892" s="1595"/>
      <c r="F2892" s="1595"/>
      <c r="G2892" s="1596"/>
      <c r="H2892" s="1109"/>
      <c r="I2892" s="1109"/>
      <c r="J2892" s="1109"/>
      <c r="K2892" s="1109"/>
      <c r="L2892" s="1109"/>
      <c r="M2892" s="1597"/>
      <c r="N2892" s="1620"/>
    </row>
    <row r="2893" spans="2:14" x14ac:dyDescent="0.3">
      <c r="B2893" s="1107"/>
      <c r="C2893" s="1108"/>
      <c r="D2893" s="1595"/>
      <c r="E2893" s="1595"/>
      <c r="F2893" s="1595"/>
      <c r="G2893" s="1596"/>
      <c r="H2893" s="1109"/>
      <c r="I2893" s="1109"/>
      <c r="J2893" s="1109"/>
      <c r="K2893" s="1109"/>
      <c r="L2893" s="1109"/>
      <c r="M2893" s="1597"/>
      <c r="N2893" s="1620"/>
    </row>
    <row r="2894" spans="2:14" ht="15.75" thickBot="1" x14ac:dyDescent="0.35">
      <c r="B2894" s="855"/>
      <c r="C2894" s="954"/>
      <c r="D2894" s="954"/>
      <c r="E2894" s="954"/>
      <c r="F2894" s="1110"/>
      <c r="G2894" s="1110"/>
      <c r="H2894" s="1110"/>
      <c r="I2894" s="1110"/>
      <c r="J2894" s="1110"/>
      <c r="K2894" s="1110"/>
      <c r="L2894" s="1110"/>
      <c r="M2894" s="1111" t="s">
        <v>24680</v>
      </c>
      <c r="N2894" s="1112">
        <f>SUM(N2891:N2893)</f>
        <v>0</v>
      </c>
    </row>
    <row r="2895" spans="2:14" ht="15.75" thickBot="1" x14ac:dyDescent="0.35">
      <c r="B2895" s="850"/>
      <c r="C2895" s="461"/>
      <c r="D2895" s="461"/>
      <c r="E2895" s="461"/>
      <c r="F2895" s="461"/>
      <c r="G2895" s="461"/>
      <c r="H2895" s="461"/>
      <c r="I2895" s="461"/>
      <c r="J2895" s="461"/>
      <c r="K2895" s="461"/>
      <c r="L2895" s="461"/>
      <c r="M2895" s="461"/>
      <c r="N2895" s="1113"/>
    </row>
    <row r="2896" spans="2:14" ht="45" x14ac:dyDescent="0.3">
      <c r="B2896" s="1104" t="s">
        <v>0</v>
      </c>
      <c r="C2896" s="1105" t="s">
        <v>24673</v>
      </c>
      <c r="D2896" s="1593" t="s">
        <v>24681</v>
      </c>
      <c r="E2896" s="1593"/>
      <c r="F2896" s="1593"/>
      <c r="G2896" s="1593"/>
      <c r="H2896" s="1594"/>
      <c r="I2896" s="1106" t="s">
        <v>3686</v>
      </c>
      <c r="J2896" s="1106" t="s">
        <v>24682</v>
      </c>
      <c r="K2896" s="1106" t="s">
        <v>25177</v>
      </c>
      <c r="L2896" s="1106" t="s">
        <v>25178</v>
      </c>
      <c r="M2896" s="1106" t="s">
        <v>24683</v>
      </c>
      <c r="N2896" s="1114" t="s">
        <v>24679</v>
      </c>
    </row>
    <row r="2897" spans="2:14" x14ac:dyDescent="0.3">
      <c r="B2897" s="1115">
        <v>10115</v>
      </c>
      <c r="C2897" s="1108" t="s">
        <v>4379</v>
      </c>
      <c r="D2897" s="1604" t="s">
        <v>25421</v>
      </c>
      <c r="E2897" s="1604"/>
      <c r="F2897" s="1604"/>
      <c r="G2897" s="1604"/>
      <c r="H2897" s="1605"/>
      <c r="I2897" s="1109" t="s">
        <v>75</v>
      </c>
      <c r="J2897" s="1117">
        <v>1.5727</v>
      </c>
      <c r="K2897" s="1109">
        <v>7.43</v>
      </c>
      <c r="L2897" s="1109">
        <f>K2897*(1+J2897)</f>
        <v>19.12</v>
      </c>
      <c r="M2897" s="1118">
        <v>2.4E-2</v>
      </c>
      <c r="N2897" s="1119">
        <f>M2897*L2897</f>
        <v>0.46</v>
      </c>
    </row>
    <row r="2898" spans="2:14" x14ac:dyDescent="0.3">
      <c r="B2898" s="1115">
        <v>10101</v>
      </c>
      <c r="C2898" s="1108" t="s">
        <v>4379</v>
      </c>
      <c r="D2898" s="1604" t="s">
        <v>25223</v>
      </c>
      <c r="E2898" s="1604"/>
      <c r="F2898" s="1604"/>
      <c r="G2898" s="1604"/>
      <c r="H2898" s="1605"/>
      <c r="I2898" s="1109" t="s">
        <v>75</v>
      </c>
      <c r="J2898" s="1117">
        <v>1.5727</v>
      </c>
      <c r="K2898" s="1109">
        <v>6.27</v>
      </c>
      <c r="L2898" s="1109">
        <f>K2898*(1+J2898)</f>
        <v>16.13</v>
      </c>
      <c r="M2898" s="1118">
        <v>2.4E-2</v>
      </c>
      <c r="N2898" s="1119">
        <f>M2898*L2898</f>
        <v>0.39</v>
      </c>
    </row>
    <row r="2899" spans="2:14" ht="15.75" thickBot="1" x14ac:dyDescent="0.35">
      <c r="B2899" s="855"/>
      <c r="C2899" s="954"/>
      <c r="D2899" s="954"/>
      <c r="E2899" s="954"/>
      <c r="F2899" s="1110"/>
      <c r="G2899" s="1110"/>
      <c r="H2899" s="1110"/>
      <c r="I2899" s="1110"/>
      <c r="J2899" s="1110"/>
      <c r="K2899" s="1110"/>
      <c r="L2899" s="1110"/>
      <c r="M2899" s="1111" t="s">
        <v>24684</v>
      </c>
      <c r="N2899" s="1112">
        <f>SUM(N2897:N2898)</f>
        <v>0.85</v>
      </c>
    </row>
    <row r="2900" spans="2:14" ht="15.75" thickBot="1" x14ac:dyDescent="0.35">
      <c r="B2900" s="850"/>
      <c r="C2900" s="461"/>
      <c r="D2900" s="461"/>
      <c r="E2900" s="461"/>
      <c r="F2900" s="461"/>
      <c r="G2900" s="461"/>
      <c r="H2900" s="461"/>
      <c r="I2900" s="1120"/>
      <c r="J2900" s="1120"/>
      <c r="K2900" s="461"/>
      <c r="L2900" s="461"/>
      <c r="M2900" s="461"/>
      <c r="N2900" s="1113"/>
    </row>
    <row r="2901" spans="2:14" ht="30" x14ac:dyDescent="0.3">
      <c r="B2901" s="1104" t="s">
        <v>0</v>
      </c>
      <c r="C2901" s="1105" t="s">
        <v>24673</v>
      </c>
      <c r="D2901" s="1593" t="s">
        <v>24685</v>
      </c>
      <c r="E2901" s="1593"/>
      <c r="F2901" s="1593"/>
      <c r="G2901" s="1593"/>
      <c r="H2901" s="1594"/>
      <c r="I2901" s="1106" t="s">
        <v>2858</v>
      </c>
      <c r="J2901" s="1106" t="s">
        <v>24686</v>
      </c>
      <c r="K2901" s="1106" t="s">
        <v>24687</v>
      </c>
      <c r="L2901" s="1614" t="s">
        <v>24688</v>
      </c>
      <c r="M2901" s="1615"/>
      <c r="N2901" s="1114" t="s">
        <v>24689</v>
      </c>
    </row>
    <row r="2902" spans="2:14" x14ac:dyDescent="0.3">
      <c r="B2902" s="1115"/>
      <c r="C2902" s="1116"/>
      <c r="D2902" s="1604"/>
      <c r="E2902" s="1604"/>
      <c r="F2902" s="1604"/>
      <c r="G2902" s="1604"/>
      <c r="H2902" s="1605"/>
      <c r="I2902" s="1109"/>
      <c r="J2902" s="1109"/>
      <c r="K2902" s="1109"/>
      <c r="L2902" s="1597"/>
      <c r="M2902" s="1598"/>
      <c r="N2902" s="1119">
        <f>N2899*(I2902/100)</f>
        <v>0</v>
      </c>
    </row>
    <row r="2903" spans="2:14" x14ac:dyDescent="0.3">
      <c r="B2903" s="850"/>
      <c r="C2903" s="461"/>
      <c r="D2903" s="461"/>
      <c r="E2903" s="461"/>
      <c r="F2903" s="1120"/>
      <c r="G2903" s="1120"/>
      <c r="H2903" s="1120"/>
      <c r="I2903" s="1120"/>
      <c r="J2903" s="1120"/>
      <c r="K2903" s="1120"/>
      <c r="L2903" s="1120"/>
      <c r="M2903" s="1121" t="s">
        <v>24690</v>
      </c>
      <c r="N2903" s="1122">
        <f>SUM(N2902:N2902)</f>
        <v>0</v>
      </c>
    </row>
    <row r="2904" spans="2:14" x14ac:dyDescent="0.3">
      <c r="B2904" s="850"/>
      <c r="C2904" s="461"/>
      <c r="D2904" s="461"/>
      <c r="E2904" s="461"/>
      <c r="F2904" s="461"/>
      <c r="G2904" s="461"/>
      <c r="H2904" s="461"/>
      <c r="I2904" s="461"/>
      <c r="J2904" s="461"/>
      <c r="K2904" s="461"/>
      <c r="L2904" s="461"/>
      <c r="M2904" s="461"/>
      <c r="N2904" s="1113"/>
    </row>
    <row r="2905" spans="2:14" x14ac:dyDescent="0.3">
      <c r="B2905" s="850"/>
      <c r="C2905" s="461"/>
      <c r="D2905" s="461"/>
      <c r="E2905" s="461"/>
      <c r="F2905" s="1120"/>
      <c r="G2905" s="1120"/>
      <c r="H2905" s="1120"/>
      <c r="I2905" s="863"/>
      <c r="J2905" s="863"/>
      <c r="K2905" s="863"/>
      <c r="L2905" s="863"/>
      <c r="M2905" s="1121" t="s">
        <v>24691</v>
      </c>
      <c r="N2905" s="1123">
        <f>N2894+N2899+N2903</f>
        <v>0.85</v>
      </c>
    </row>
    <row r="2906" spans="2:14" x14ac:dyDescent="0.3">
      <c r="B2906" s="850"/>
      <c r="C2906" s="461"/>
      <c r="D2906" s="461"/>
      <c r="E2906" s="461"/>
      <c r="F2906" s="1120"/>
      <c r="G2906" s="1120"/>
      <c r="H2906" s="1120"/>
      <c r="I2906" s="1120"/>
      <c r="J2906" s="1124"/>
      <c r="K2906" s="1124"/>
      <c r="L2906" s="1124"/>
      <c r="M2906" s="1125" t="s">
        <v>24692</v>
      </c>
      <c r="N2906" s="1123">
        <v>1</v>
      </c>
    </row>
    <row r="2907" spans="2:14" ht="15.75" thickBot="1" x14ac:dyDescent="0.35">
      <c r="B2907" s="855"/>
      <c r="C2907" s="954"/>
      <c r="D2907" s="954"/>
      <c r="E2907" s="954"/>
      <c r="F2907" s="1110"/>
      <c r="G2907" s="1110"/>
      <c r="H2907" s="1110"/>
      <c r="I2907" s="1110"/>
      <c r="J2907" s="1110"/>
      <c r="K2907" s="1110"/>
      <c r="L2907" s="1110"/>
      <c r="M2907" s="1111" t="s">
        <v>24693</v>
      </c>
      <c r="N2907" s="1126">
        <f>TRUNC(N2905/N2906,2)</f>
        <v>0.85</v>
      </c>
    </row>
    <row r="2908" spans="2:14" ht="15.75" thickBot="1" x14ac:dyDescent="0.35">
      <c r="B2908" s="850"/>
      <c r="C2908" s="461"/>
      <c r="D2908" s="461"/>
      <c r="E2908" s="461"/>
      <c r="F2908" s="461"/>
      <c r="G2908" s="461"/>
      <c r="H2908" s="461"/>
      <c r="I2908" s="461"/>
      <c r="J2908" s="461"/>
      <c r="K2908" s="461"/>
      <c r="L2908" s="461"/>
      <c r="M2908" s="461"/>
      <c r="N2908" s="1113"/>
    </row>
    <row r="2909" spans="2:14" ht="30" x14ac:dyDescent="0.3">
      <c r="B2909" s="1104" t="s">
        <v>0</v>
      </c>
      <c r="C2909" s="1105" t="s">
        <v>24673</v>
      </c>
      <c r="D2909" s="1593" t="s">
        <v>24694</v>
      </c>
      <c r="E2909" s="1593"/>
      <c r="F2909" s="1593"/>
      <c r="G2909" s="1593"/>
      <c r="H2909" s="1593"/>
      <c r="I2909" s="1594"/>
      <c r="J2909" s="1106" t="s">
        <v>3686</v>
      </c>
      <c r="K2909" s="1106" t="s">
        <v>24695</v>
      </c>
      <c r="L2909" s="1614" t="s">
        <v>24683</v>
      </c>
      <c r="M2909" s="1615"/>
      <c r="N2909" s="1114" t="s">
        <v>24689</v>
      </c>
    </row>
    <row r="2910" spans="2:14" x14ac:dyDescent="0.3">
      <c r="B2910" s="1149">
        <v>1013</v>
      </c>
      <c r="C2910" s="1155" t="s">
        <v>24706</v>
      </c>
      <c r="D2910" s="1616" t="s">
        <v>25446</v>
      </c>
      <c r="E2910" s="1616"/>
      <c r="F2910" s="1616"/>
      <c r="G2910" s="1616"/>
      <c r="H2910" s="1616"/>
      <c r="I2910" s="1617"/>
      <c r="J2910" s="1151" t="s">
        <v>82</v>
      </c>
      <c r="K2910" s="1151">
        <v>1.4</v>
      </c>
      <c r="L2910" s="1618">
        <v>1.19</v>
      </c>
      <c r="M2910" s="1619"/>
      <c r="N2910" s="1130">
        <f>L2910*K2910</f>
        <v>1.67</v>
      </c>
    </row>
    <row r="2911" spans="2:14" x14ac:dyDescent="0.3">
      <c r="B2911" s="1149">
        <v>21127</v>
      </c>
      <c r="C2911" s="1155" t="s">
        <v>24706</v>
      </c>
      <c r="D2911" s="1616" t="s">
        <v>25443</v>
      </c>
      <c r="E2911" s="1616"/>
      <c r="F2911" s="1616"/>
      <c r="G2911" s="1616"/>
      <c r="H2911" s="1616"/>
      <c r="I2911" s="1617"/>
      <c r="J2911" s="1151" t="s">
        <v>24804</v>
      </c>
      <c r="K2911" s="1151">
        <v>4.72</v>
      </c>
      <c r="L2911" s="1618">
        <v>8.9999999999999993E-3</v>
      </c>
      <c r="M2911" s="1619"/>
      <c r="N2911" s="1130">
        <f>L2911*K2911</f>
        <v>0.04</v>
      </c>
    </row>
    <row r="2912" spans="2:14" ht="15.75" thickBot="1" x14ac:dyDescent="0.35">
      <c r="B2912" s="855"/>
      <c r="C2912" s="954"/>
      <c r="D2912" s="954"/>
      <c r="E2912" s="954"/>
      <c r="F2912" s="1110"/>
      <c r="G2912" s="1110"/>
      <c r="H2912" s="1110"/>
      <c r="I2912" s="1110"/>
      <c r="J2912" s="1110"/>
      <c r="K2912" s="1110"/>
      <c r="L2912" s="1110"/>
      <c r="M2912" s="1111" t="s">
        <v>24696</v>
      </c>
      <c r="N2912" s="1112">
        <f>SUM(N2910:N2911)</f>
        <v>1.71</v>
      </c>
    </row>
    <row r="2913" spans="2:14" ht="15.75" thickBot="1" x14ac:dyDescent="0.35">
      <c r="B2913" s="850"/>
      <c r="C2913" s="461"/>
      <c r="D2913" s="461"/>
      <c r="E2913" s="461"/>
      <c r="F2913" s="461"/>
      <c r="G2913" s="461"/>
      <c r="H2913" s="461"/>
      <c r="I2913" s="461"/>
      <c r="J2913" s="461"/>
      <c r="K2913" s="461"/>
      <c r="L2913" s="461"/>
      <c r="M2913" s="461"/>
      <c r="N2913" s="1113"/>
    </row>
    <row r="2914" spans="2:14" ht="30" x14ac:dyDescent="0.3">
      <c r="B2914" s="1104" t="s">
        <v>0</v>
      </c>
      <c r="C2914" s="1106" t="s">
        <v>24673</v>
      </c>
      <c r="D2914" s="1593" t="s">
        <v>24697</v>
      </c>
      <c r="E2914" s="1593"/>
      <c r="F2914" s="1593"/>
      <c r="G2914" s="1593"/>
      <c r="H2914" s="1593"/>
      <c r="I2914" s="1594"/>
      <c r="J2914" s="1106" t="s">
        <v>3686</v>
      </c>
      <c r="K2914" s="1106" t="s">
        <v>24695</v>
      </c>
      <c r="L2914" s="1614" t="s">
        <v>24683</v>
      </c>
      <c r="M2914" s="1615"/>
      <c r="N2914" s="1114" t="s">
        <v>24689</v>
      </c>
    </row>
    <row r="2915" spans="2:14" x14ac:dyDescent="0.3">
      <c r="B2915" s="1127"/>
      <c r="C2915" s="1128"/>
      <c r="D2915" s="1604"/>
      <c r="E2915" s="1604"/>
      <c r="F2915" s="1604"/>
      <c r="G2915" s="1604"/>
      <c r="H2915" s="1604"/>
      <c r="I2915" s="1605"/>
      <c r="J2915" s="462"/>
      <c r="K2915" s="462"/>
      <c r="L2915" s="1612"/>
      <c r="M2915" s="1613"/>
      <c r="N2915" s="1130"/>
    </row>
    <row r="2916" spans="2:14" ht="15.75" thickBot="1" x14ac:dyDescent="0.35">
      <c r="B2916" s="855"/>
      <c r="C2916" s="954"/>
      <c r="D2916" s="954"/>
      <c r="E2916" s="954"/>
      <c r="F2916" s="1110"/>
      <c r="G2916" s="1110"/>
      <c r="H2916" s="1110"/>
      <c r="I2916" s="1110"/>
      <c r="J2916" s="1110"/>
      <c r="K2916" s="1110"/>
      <c r="L2916" s="1110"/>
      <c r="M2916" s="1111" t="s">
        <v>24698</v>
      </c>
      <c r="N2916" s="1112">
        <f>SUM(N2915:N2915)</f>
        <v>0</v>
      </c>
    </row>
    <row r="2917" spans="2:14" ht="15.75" thickBot="1" x14ac:dyDescent="0.35">
      <c r="B2917" s="850"/>
      <c r="C2917" s="461"/>
      <c r="D2917" s="461"/>
      <c r="E2917" s="461"/>
      <c r="F2917" s="461"/>
      <c r="G2917" s="461"/>
      <c r="H2917" s="461"/>
      <c r="I2917" s="461"/>
      <c r="J2917" s="461"/>
      <c r="K2917" s="461"/>
      <c r="L2917" s="461"/>
      <c r="M2917" s="461"/>
      <c r="N2917" s="1113"/>
    </row>
    <row r="2918" spans="2:14" ht="30" x14ac:dyDescent="0.3">
      <c r="B2918" s="1104" t="s">
        <v>0</v>
      </c>
      <c r="C2918" s="1106" t="s">
        <v>24673</v>
      </c>
      <c r="D2918" s="1593" t="s">
        <v>24699</v>
      </c>
      <c r="E2918" s="1593"/>
      <c r="F2918" s="1593"/>
      <c r="G2918" s="1594"/>
      <c r="H2918" s="1106" t="s">
        <v>3686</v>
      </c>
      <c r="I2918" s="1106" t="s">
        <v>24700</v>
      </c>
      <c r="J2918" s="1106" t="s">
        <v>24701</v>
      </c>
      <c r="K2918" s="1106" t="s">
        <v>24695</v>
      </c>
      <c r="L2918" s="1614" t="s">
        <v>24683</v>
      </c>
      <c r="M2918" s="1615"/>
      <c r="N2918" s="1114" t="s">
        <v>24689</v>
      </c>
    </row>
    <row r="2919" spans="2:14" x14ac:dyDescent="0.3">
      <c r="B2919" s="1115"/>
      <c r="C2919" s="1116"/>
      <c r="D2919" s="1595"/>
      <c r="E2919" s="1595"/>
      <c r="F2919" s="1595"/>
      <c r="G2919" s="1595"/>
      <c r="H2919" s="1109"/>
      <c r="I2919" s="1109"/>
      <c r="J2919" s="1109"/>
      <c r="K2919" s="1109"/>
      <c r="L2919" s="1597"/>
      <c r="M2919" s="1598"/>
      <c r="N2919" s="1119"/>
    </row>
    <row r="2920" spans="2:14" x14ac:dyDescent="0.3">
      <c r="B2920" s="1115"/>
      <c r="C2920" s="1116"/>
      <c r="D2920" s="1595"/>
      <c r="E2920" s="1595"/>
      <c r="F2920" s="1595"/>
      <c r="G2920" s="1595"/>
      <c r="H2920" s="1109"/>
      <c r="I2920" s="1109"/>
      <c r="J2920" s="1109"/>
      <c r="K2920" s="1109"/>
      <c r="L2920" s="1597"/>
      <c r="M2920" s="1598"/>
      <c r="N2920" s="1119"/>
    </row>
    <row r="2921" spans="2:14" x14ac:dyDescent="0.3">
      <c r="B2921" s="1115"/>
      <c r="C2921" s="1116"/>
      <c r="D2921" s="1595"/>
      <c r="E2921" s="1595"/>
      <c r="F2921" s="1595"/>
      <c r="G2921" s="1595"/>
      <c r="H2921" s="1109"/>
      <c r="I2921" s="1109"/>
      <c r="J2921" s="1109"/>
      <c r="K2921" s="1109"/>
      <c r="L2921" s="1597"/>
      <c r="M2921" s="1598"/>
      <c r="N2921" s="1119"/>
    </row>
    <row r="2922" spans="2:14" x14ac:dyDescent="0.3">
      <c r="B2922" s="850"/>
      <c r="C2922" s="461"/>
      <c r="D2922" s="461"/>
      <c r="E2922" s="461"/>
      <c r="F2922" s="1120"/>
      <c r="G2922" s="1120"/>
      <c r="H2922" s="1120"/>
      <c r="I2922" s="1120"/>
      <c r="J2922" s="1120"/>
      <c r="K2922" s="1120"/>
      <c r="L2922" s="1120"/>
      <c r="M2922" s="1121" t="s">
        <v>24702</v>
      </c>
      <c r="N2922" s="1122">
        <f>SUM(N2919:N2921)</f>
        <v>0</v>
      </c>
    </row>
    <row r="2923" spans="2:14" x14ac:dyDescent="0.3">
      <c r="B2923" s="850"/>
      <c r="C2923" s="461"/>
      <c r="D2923" s="461"/>
      <c r="E2923" s="461"/>
      <c r="F2923" s="461"/>
      <c r="G2923" s="461"/>
      <c r="H2923" s="461"/>
      <c r="I2923" s="461"/>
      <c r="J2923" s="461"/>
      <c r="K2923" s="461"/>
      <c r="L2923" s="461"/>
      <c r="M2923" s="461"/>
      <c r="N2923" s="1113"/>
    </row>
    <row r="2924" spans="2:14" x14ac:dyDescent="0.3">
      <c r="B2924" s="1131"/>
      <c r="C2924" s="1132"/>
      <c r="D2924" s="1132"/>
      <c r="E2924" s="1132"/>
      <c r="F2924" s="1133"/>
      <c r="G2924" s="1133"/>
      <c r="H2924" s="1133"/>
      <c r="I2924" s="1133"/>
      <c r="J2924" s="1133"/>
      <c r="K2924" s="1133"/>
      <c r="L2924" s="1133"/>
      <c r="M2924" s="1134" t="s">
        <v>24703</v>
      </c>
      <c r="N2924" s="1123">
        <f>N2907+N2912+N2916+N2922</f>
        <v>2.56</v>
      </c>
    </row>
    <row r="2925" spans="2:14" x14ac:dyDescent="0.3">
      <c r="B2925" s="850"/>
      <c r="C2925" s="461"/>
      <c r="D2925" s="461"/>
      <c r="E2925" s="461"/>
      <c r="F2925" s="1120"/>
      <c r="G2925" s="1120"/>
      <c r="H2925" s="1120"/>
      <c r="I2925" s="1120"/>
      <c r="J2925" s="1120"/>
      <c r="K2925" s="1135"/>
      <c r="L2925" s="1135"/>
      <c r="M2925" s="1136">
        <f>'QUIOSQUE - MOD 01'!I3</f>
        <v>0.28220000000000001</v>
      </c>
      <c r="N2925" s="1123">
        <f>ROUND(N2924*M2925,2)</f>
        <v>0.72</v>
      </c>
    </row>
    <row r="2926" spans="2:14" ht="15.75" thickBot="1" x14ac:dyDescent="0.35">
      <c r="B2926" s="1599" t="s">
        <v>24704</v>
      </c>
      <c r="C2926" s="1600"/>
      <c r="D2926" s="1600"/>
      <c r="E2926" s="1600"/>
      <c r="F2926" s="1600"/>
      <c r="G2926" s="1600"/>
      <c r="H2926" s="1600"/>
      <c r="I2926" s="1600"/>
      <c r="J2926" s="1600"/>
      <c r="K2926" s="1600"/>
      <c r="L2926" s="1600"/>
      <c r="M2926" s="1601"/>
      <c r="N2926" s="1126">
        <f>N2924+N2925</f>
        <v>3.28</v>
      </c>
    </row>
    <row r="2929" spans="2:14" ht="15.75" thickBot="1" x14ac:dyDescent="0.35"/>
    <row r="2930" spans="2:14" ht="41.25" customHeight="1" x14ac:dyDescent="0.3">
      <c r="B2930" s="1607" t="s">
        <v>25259</v>
      </c>
      <c r="C2930" s="1608"/>
      <c r="D2930" s="1609"/>
      <c r="E2930" s="1610" t="s">
        <v>24669</v>
      </c>
      <c r="F2930" s="1610"/>
      <c r="G2930" s="1610"/>
      <c r="H2930" s="1610"/>
      <c r="I2930" s="1610"/>
      <c r="J2930" s="1610"/>
      <c r="K2930" s="1610"/>
      <c r="L2930" s="1146"/>
      <c r="M2930" s="1611"/>
      <c r="N2930" s="1577"/>
    </row>
    <row r="2931" spans="2:14" x14ac:dyDescent="0.3">
      <c r="B2931" s="1103" t="s">
        <v>24670</v>
      </c>
      <c r="C2931" s="1586" t="s">
        <v>25447</v>
      </c>
      <c r="D2931" s="1586"/>
      <c r="E2931" s="1586"/>
      <c r="F2931" s="1586"/>
      <c r="G2931" s="1586"/>
      <c r="H2931" s="1586"/>
      <c r="I2931" s="1586"/>
      <c r="J2931" s="1586"/>
      <c r="K2931" s="1586"/>
      <c r="L2931" s="1586"/>
      <c r="M2931" s="1586"/>
      <c r="N2931" s="1587"/>
    </row>
    <row r="2932" spans="2:14" x14ac:dyDescent="0.3">
      <c r="B2932" s="1103" t="s">
        <v>24671</v>
      </c>
      <c r="C2932" s="1588" t="s">
        <v>8</v>
      </c>
      <c r="D2932" s="1588"/>
      <c r="E2932" s="1588"/>
      <c r="F2932" s="1588"/>
      <c r="G2932" s="1588"/>
      <c r="H2932" s="1588"/>
      <c r="I2932" s="1588"/>
      <c r="J2932" s="1588"/>
      <c r="K2932" s="1588"/>
      <c r="L2932" s="1588"/>
      <c r="M2932" s="1588"/>
      <c r="N2932" s="1589"/>
    </row>
    <row r="2933" spans="2:14" ht="15.75" thickBot="1" x14ac:dyDescent="0.35">
      <c r="B2933" s="1103" t="s">
        <v>24672</v>
      </c>
      <c r="C2933" s="1590">
        <v>44501</v>
      </c>
      <c r="D2933" s="1591"/>
      <c r="E2933" s="1591"/>
      <c r="F2933" s="1591"/>
      <c r="G2933" s="1591"/>
      <c r="H2933" s="1591"/>
      <c r="I2933" s="1591"/>
      <c r="J2933" s="1591"/>
      <c r="K2933" s="1591"/>
      <c r="L2933" s="1591"/>
      <c r="M2933" s="1591"/>
      <c r="N2933" s="1592"/>
    </row>
    <row r="2934" spans="2:14" ht="30" x14ac:dyDescent="0.3">
      <c r="B2934" s="1104" t="s">
        <v>0</v>
      </c>
      <c r="C2934" s="1105" t="s">
        <v>24673</v>
      </c>
      <c r="D2934" s="1593" t="s">
        <v>24674</v>
      </c>
      <c r="E2934" s="1593"/>
      <c r="F2934" s="1593"/>
      <c r="G2934" s="1594"/>
      <c r="H2934" s="1106" t="s">
        <v>111</v>
      </c>
      <c r="I2934" s="1106" t="s">
        <v>24675</v>
      </c>
      <c r="J2934" s="1106" t="s">
        <v>24676</v>
      </c>
      <c r="K2934" s="1106" t="s">
        <v>24677</v>
      </c>
      <c r="L2934" s="1106"/>
      <c r="M2934" s="1106" t="s">
        <v>24678</v>
      </c>
      <c r="N2934" s="1114" t="s">
        <v>24679</v>
      </c>
    </row>
    <row r="2935" spans="2:14" x14ac:dyDescent="0.3">
      <c r="B2935" s="1115"/>
      <c r="C2935" s="1108"/>
      <c r="D2935" s="1595"/>
      <c r="E2935" s="1595"/>
      <c r="F2935" s="1595"/>
      <c r="G2935" s="1596"/>
      <c r="H2935" s="1109"/>
      <c r="I2935" s="1109"/>
      <c r="J2935" s="1109"/>
      <c r="K2935" s="1109"/>
      <c r="L2935" s="1109"/>
      <c r="M2935" s="1109"/>
      <c r="N2935" s="1119"/>
    </row>
    <row r="2936" spans="2:14" ht="15.75" thickBot="1" x14ac:dyDescent="0.35">
      <c r="B2936" s="855"/>
      <c r="C2936" s="954"/>
      <c r="D2936" s="954"/>
      <c r="E2936" s="954"/>
      <c r="F2936" s="1110"/>
      <c r="G2936" s="1110"/>
      <c r="H2936" s="1110"/>
      <c r="I2936" s="1110"/>
      <c r="J2936" s="1110"/>
      <c r="K2936" s="1110"/>
      <c r="L2936" s="1110"/>
      <c r="M2936" s="1111" t="s">
        <v>24680</v>
      </c>
      <c r="N2936" s="1112">
        <f>SUM(N2935)</f>
        <v>0</v>
      </c>
    </row>
    <row r="2937" spans="2:14" ht="15.75" thickBot="1" x14ac:dyDescent="0.35">
      <c r="B2937" s="850"/>
      <c r="C2937" s="461"/>
      <c r="D2937" s="461"/>
      <c r="E2937" s="461"/>
      <c r="F2937" s="461"/>
      <c r="G2937" s="461"/>
      <c r="H2937" s="461"/>
      <c r="I2937" s="461"/>
      <c r="J2937" s="461"/>
      <c r="K2937" s="461"/>
      <c r="L2937" s="461"/>
      <c r="M2937" s="461"/>
      <c r="N2937" s="1113"/>
    </row>
    <row r="2938" spans="2:14" ht="45" x14ac:dyDescent="0.3">
      <c r="B2938" s="1104" t="s">
        <v>0</v>
      </c>
      <c r="C2938" s="1105" t="s">
        <v>24673</v>
      </c>
      <c r="D2938" s="1593" t="s">
        <v>24681</v>
      </c>
      <c r="E2938" s="1593"/>
      <c r="F2938" s="1593"/>
      <c r="G2938" s="1593"/>
      <c r="H2938" s="1594"/>
      <c r="I2938" s="1106" t="s">
        <v>3686</v>
      </c>
      <c r="J2938" s="1106" t="s">
        <v>24682</v>
      </c>
      <c r="K2938" s="1106" t="s">
        <v>24861</v>
      </c>
      <c r="L2938" s="1106" t="s">
        <v>24862</v>
      </c>
      <c r="M2938" s="1106" t="s">
        <v>24683</v>
      </c>
      <c r="N2938" s="1114" t="s">
        <v>24679</v>
      </c>
    </row>
    <row r="2939" spans="2:14" x14ac:dyDescent="0.3">
      <c r="B2939" s="1115">
        <v>10101</v>
      </c>
      <c r="C2939" s="1116" t="s">
        <v>4389</v>
      </c>
      <c r="D2939" s="1604" t="s">
        <v>24788</v>
      </c>
      <c r="E2939" s="1604"/>
      <c r="F2939" s="1604"/>
      <c r="G2939" s="1604"/>
      <c r="H2939" s="1605"/>
      <c r="I2939" s="1109" t="s">
        <v>75</v>
      </c>
      <c r="J2939" s="1117">
        <v>1.5727</v>
      </c>
      <c r="K2939" s="1143">
        <v>6.27</v>
      </c>
      <c r="L2939" s="1143">
        <f>K2939*(1+J2939)</f>
        <v>16.13</v>
      </c>
      <c r="M2939" s="1118">
        <v>1</v>
      </c>
      <c r="N2939" s="1119">
        <f>L2939*M2939</f>
        <v>16.13</v>
      </c>
    </row>
    <row r="2940" spans="2:14" ht="15.75" thickBot="1" x14ac:dyDescent="0.35">
      <c r="B2940" s="855"/>
      <c r="C2940" s="954"/>
      <c r="D2940" s="954"/>
      <c r="E2940" s="954"/>
      <c r="F2940" s="1110"/>
      <c r="G2940" s="1110"/>
      <c r="H2940" s="1110"/>
      <c r="I2940" s="1110"/>
      <c r="J2940" s="1110"/>
      <c r="K2940" s="1110"/>
      <c r="L2940" s="1110"/>
      <c r="M2940" s="1111" t="s">
        <v>24684</v>
      </c>
      <c r="N2940" s="1112">
        <f>SUM(N2939:N2939)</f>
        <v>16.13</v>
      </c>
    </row>
    <row r="2941" spans="2:14" ht="15.75" thickBot="1" x14ac:dyDescent="0.35">
      <c r="B2941" s="850"/>
      <c r="C2941" s="461"/>
      <c r="D2941" s="461"/>
      <c r="E2941" s="461"/>
      <c r="F2941" s="461"/>
      <c r="G2941" s="461"/>
      <c r="H2941" s="461"/>
      <c r="I2941" s="1120"/>
      <c r="J2941" s="1120"/>
      <c r="K2941" s="461"/>
      <c r="L2941" s="461"/>
      <c r="M2941" s="461"/>
      <c r="N2941" s="1113"/>
    </row>
    <row r="2942" spans="2:14" ht="30" x14ac:dyDescent="0.3">
      <c r="B2942" s="1104" t="s">
        <v>0</v>
      </c>
      <c r="C2942" s="1105" t="s">
        <v>24673</v>
      </c>
      <c r="D2942" s="1593" t="s">
        <v>24685</v>
      </c>
      <c r="E2942" s="1593"/>
      <c r="F2942" s="1593"/>
      <c r="G2942" s="1593"/>
      <c r="H2942" s="1594"/>
      <c r="I2942" s="1106" t="s">
        <v>2858</v>
      </c>
      <c r="J2942" s="1106" t="s">
        <v>24686</v>
      </c>
      <c r="K2942" s="1106" t="s">
        <v>24687</v>
      </c>
      <c r="L2942" s="1106"/>
      <c r="M2942" s="1106" t="s">
        <v>24688</v>
      </c>
      <c r="N2942" s="1114" t="s">
        <v>24689</v>
      </c>
    </row>
    <row r="2943" spans="2:14" x14ac:dyDescent="0.3">
      <c r="B2943" s="1115"/>
      <c r="C2943" s="1116"/>
      <c r="D2943" s="1604"/>
      <c r="E2943" s="1604"/>
      <c r="F2943" s="1604"/>
      <c r="G2943" s="1604"/>
      <c r="H2943" s="1605"/>
      <c r="I2943" s="1109"/>
      <c r="J2943" s="1109"/>
      <c r="K2943" s="1109"/>
      <c r="L2943" s="1109"/>
      <c r="M2943" s="1109"/>
      <c r="N2943" s="1119"/>
    </row>
    <row r="2944" spans="2:14" x14ac:dyDescent="0.3">
      <c r="B2944" s="850"/>
      <c r="C2944" s="461"/>
      <c r="D2944" s="461"/>
      <c r="E2944" s="461"/>
      <c r="F2944" s="1120"/>
      <c r="G2944" s="1120"/>
      <c r="H2944" s="1120"/>
      <c r="I2944" s="1120"/>
      <c r="J2944" s="1120"/>
      <c r="K2944" s="1120"/>
      <c r="L2944" s="1120"/>
      <c r="M2944" s="1121" t="s">
        <v>24690</v>
      </c>
      <c r="N2944" s="1122">
        <f>SUM(N2943:N2943)</f>
        <v>0</v>
      </c>
    </row>
    <row r="2945" spans="2:14" x14ac:dyDescent="0.3">
      <c r="B2945" s="850"/>
      <c r="C2945" s="461"/>
      <c r="D2945" s="461"/>
      <c r="E2945" s="461"/>
      <c r="F2945" s="461"/>
      <c r="G2945" s="461"/>
      <c r="H2945" s="461"/>
      <c r="I2945" s="461"/>
      <c r="J2945" s="461"/>
      <c r="K2945" s="461"/>
      <c r="L2945" s="461"/>
      <c r="M2945" s="461"/>
      <c r="N2945" s="1113"/>
    </row>
    <row r="2946" spans="2:14" x14ac:dyDescent="0.3">
      <c r="B2946" s="850"/>
      <c r="C2946" s="461"/>
      <c r="D2946" s="461"/>
      <c r="E2946" s="461"/>
      <c r="F2946" s="1120"/>
      <c r="G2946" s="1120"/>
      <c r="H2946" s="1120"/>
      <c r="I2946" s="863"/>
      <c r="J2946" s="863"/>
      <c r="K2946" s="863"/>
      <c r="L2946" s="863"/>
      <c r="M2946" s="1121" t="s">
        <v>24691</v>
      </c>
      <c r="N2946" s="1123">
        <f>N2936+N2940+N2944</f>
        <v>16.13</v>
      </c>
    </row>
    <row r="2947" spans="2:14" x14ac:dyDescent="0.3">
      <c r="B2947" s="850"/>
      <c r="C2947" s="461"/>
      <c r="D2947" s="461"/>
      <c r="E2947" s="461"/>
      <c r="F2947" s="1120"/>
      <c r="G2947" s="1120"/>
      <c r="H2947" s="1120"/>
      <c r="I2947" s="1120"/>
      <c r="J2947" s="1124"/>
      <c r="K2947" s="1124"/>
      <c r="L2947" s="1124"/>
      <c r="M2947" s="1125" t="s">
        <v>24692</v>
      </c>
      <c r="N2947" s="1123">
        <v>1</v>
      </c>
    </row>
    <row r="2948" spans="2:14" ht="15.75" thickBot="1" x14ac:dyDescent="0.35">
      <c r="B2948" s="855"/>
      <c r="C2948" s="954"/>
      <c r="D2948" s="954"/>
      <c r="E2948" s="954"/>
      <c r="F2948" s="1110"/>
      <c r="G2948" s="1110"/>
      <c r="H2948" s="1110"/>
      <c r="I2948" s="1110"/>
      <c r="J2948" s="1110"/>
      <c r="K2948" s="1110"/>
      <c r="L2948" s="1110"/>
      <c r="M2948" s="1111" t="s">
        <v>24693</v>
      </c>
      <c r="N2948" s="1126">
        <f>TRUNC(N2946/N2947,2)</f>
        <v>16.13</v>
      </c>
    </row>
    <row r="2949" spans="2:14" ht="15.75" thickBot="1" x14ac:dyDescent="0.35">
      <c r="B2949" s="850"/>
      <c r="C2949" s="461"/>
      <c r="D2949" s="461"/>
      <c r="E2949" s="461"/>
      <c r="F2949" s="461"/>
      <c r="G2949" s="461"/>
      <c r="H2949" s="461"/>
      <c r="I2949" s="461"/>
      <c r="J2949" s="461"/>
      <c r="K2949" s="461"/>
      <c r="L2949" s="461"/>
      <c r="M2949" s="461"/>
      <c r="N2949" s="1113"/>
    </row>
    <row r="2950" spans="2:14" ht="30" x14ac:dyDescent="0.3">
      <c r="B2950" s="1104" t="s">
        <v>0</v>
      </c>
      <c r="C2950" s="1105" t="s">
        <v>24673</v>
      </c>
      <c r="D2950" s="1593" t="s">
        <v>24694</v>
      </c>
      <c r="E2950" s="1593"/>
      <c r="F2950" s="1593"/>
      <c r="G2950" s="1593"/>
      <c r="H2950" s="1593"/>
      <c r="I2950" s="1594"/>
      <c r="J2950" s="1106" t="s">
        <v>3686</v>
      </c>
      <c r="K2950" s="1106" t="s">
        <v>24695</v>
      </c>
      <c r="L2950" s="1106"/>
      <c r="M2950" s="1106" t="s">
        <v>24683</v>
      </c>
      <c r="N2950" s="1114" t="s">
        <v>24689</v>
      </c>
    </row>
    <row r="2951" spans="2:14" ht="30" x14ac:dyDescent="0.3">
      <c r="B2951" s="1115" t="s">
        <v>24795</v>
      </c>
      <c r="C2951" s="1116" t="s">
        <v>24793</v>
      </c>
      <c r="D2951" s="1604" t="s">
        <v>25448</v>
      </c>
      <c r="E2951" s="1604"/>
      <c r="F2951" s="1604"/>
      <c r="G2951" s="1604"/>
      <c r="H2951" s="1604"/>
      <c r="I2951" s="1605"/>
      <c r="J2951" s="1109" t="s">
        <v>8</v>
      </c>
      <c r="K2951" s="1143">
        <f>'[5]MAPA DE COT. - Quiosque'!H386</f>
        <v>1172.94</v>
      </c>
      <c r="L2951" s="1143"/>
      <c r="M2951" s="1118">
        <v>1</v>
      </c>
      <c r="N2951" s="1119">
        <f>K2951*M2951</f>
        <v>1172.94</v>
      </c>
    </row>
    <row r="2952" spans="2:14" x14ac:dyDescent="0.3">
      <c r="B2952" s="1115"/>
      <c r="C2952" s="1116"/>
      <c r="D2952" s="1604"/>
      <c r="E2952" s="1604"/>
      <c r="F2952" s="1604"/>
      <c r="G2952" s="1604"/>
      <c r="H2952" s="1604"/>
      <c r="I2952" s="1605"/>
      <c r="J2952" s="1109"/>
      <c r="K2952" s="1109"/>
      <c r="L2952" s="1109"/>
      <c r="M2952" s="1118"/>
      <c r="N2952" s="1119"/>
    </row>
    <row r="2953" spans="2:14" ht="15.75" thickBot="1" x14ac:dyDescent="0.35">
      <c r="B2953" s="855"/>
      <c r="C2953" s="954"/>
      <c r="D2953" s="954"/>
      <c r="E2953" s="954"/>
      <c r="F2953" s="1110"/>
      <c r="G2953" s="1110"/>
      <c r="H2953" s="1110"/>
      <c r="I2953" s="1110"/>
      <c r="J2953" s="1110"/>
      <c r="K2953" s="1110"/>
      <c r="L2953" s="1110"/>
      <c r="M2953" s="1111" t="s">
        <v>24696</v>
      </c>
      <c r="N2953" s="1112">
        <f>SUM(N2951:N2951)</f>
        <v>1172.94</v>
      </c>
    </row>
    <row r="2954" spans="2:14" ht="15.75" thickBot="1" x14ac:dyDescent="0.35">
      <c r="B2954" s="850"/>
      <c r="C2954" s="461"/>
      <c r="D2954" s="461"/>
      <c r="E2954" s="461"/>
      <c r="F2954" s="461"/>
      <c r="G2954" s="461"/>
      <c r="H2954" s="461"/>
      <c r="I2954" s="461"/>
      <c r="J2954" s="461"/>
      <c r="K2954" s="461"/>
      <c r="L2954" s="461"/>
      <c r="M2954" s="461"/>
      <c r="N2954" s="1113"/>
    </row>
    <row r="2955" spans="2:14" ht="30" x14ac:dyDescent="0.3">
      <c r="B2955" s="1104" t="s">
        <v>0</v>
      </c>
      <c r="C2955" s="1106" t="s">
        <v>24673</v>
      </c>
      <c r="D2955" s="1593" t="s">
        <v>24697</v>
      </c>
      <c r="E2955" s="1593"/>
      <c r="F2955" s="1593"/>
      <c r="G2955" s="1593"/>
      <c r="H2955" s="1593"/>
      <c r="I2955" s="1594"/>
      <c r="J2955" s="1106" t="s">
        <v>3686</v>
      </c>
      <c r="K2955" s="1106" t="s">
        <v>24695</v>
      </c>
      <c r="L2955" s="1106"/>
      <c r="M2955" s="1106" t="s">
        <v>24683</v>
      </c>
      <c r="N2955" s="1114" t="s">
        <v>24689</v>
      </c>
    </row>
    <row r="2956" spans="2:14" x14ac:dyDescent="0.3">
      <c r="B2956" s="1127"/>
      <c r="C2956" s="1128"/>
      <c r="D2956" s="1604"/>
      <c r="E2956" s="1604"/>
      <c r="F2956" s="1604"/>
      <c r="G2956" s="1604"/>
      <c r="H2956" s="1604"/>
      <c r="I2956" s="1605"/>
      <c r="J2956" s="462"/>
      <c r="K2956" s="462"/>
      <c r="L2956" s="462"/>
      <c r="M2956" s="1147"/>
      <c r="N2956" s="1130"/>
    </row>
    <row r="2957" spans="2:14" ht="15.75" thickBot="1" x14ac:dyDescent="0.35">
      <c r="B2957" s="855"/>
      <c r="C2957" s="954"/>
      <c r="D2957" s="954"/>
      <c r="E2957" s="954"/>
      <c r="F2957" s="1110"/>
      <c r="G2957" s="1110"/>
      <c r="H2957" s="1110"/>
      <c r="I2957" s="1110"/>
      <c r="J2957" s="1110"/>
      <c r="K2957" s="1110"/>
      <c r="L2957" s="1110"/>
      <c r="M2957" s="1111" t="s">
        <v>24698</v>
      </c>
      <c r="N2957" s="1112">
        <f>SUM(N2956:N2956)</f>
        <v>0</v>
      </c>
    </row>
    <row r="2958" spans="2:14" ht="15.75" thickBot="1" x14ac:dyDescent="0.35">
      <c r="B2958" s="850"/>
      <c r="C2958" s="461"/>
      <c r="D2958" s="461"/>
      <c r="E2958" s="461"/>
      <c r="F2958" s="461"/>
      <c r="G2958" s="461"/>
      <c r="H2958" s="461"/>
      <c r="I2958" s="461"/>
      <c r="J2958" s="461"/>
      <c r="K2958" s="461"/>
      <c r="L2958" s="461"/>
      <c r="M2958" s="461"/>
      <c r="N2958" s="1113"/>
    </row>
    <row r="2959" spans="2:14" ht="30" x14ac:dyDescent="0.3">
      <c r="B2959" s="1104" t="s">
        <v>0</v>
      </c>
      <c r="C2959" s="1106" t="s">
        <v>24673</v>
      </c>
      <c r="D2959" s="1593" t="s">
        <v>24699</v>
      </c>
      <c r="E2959" s="1593"/>
      <c r="F2959" s="1593"/>
      <c r="G2959" s="1594"/>
      <c r="H2959" s="1106" t="s">
        <v>3686</v>
      </c>
      <c r="I2959" s="1106" t="s">
        <v>24700</v>
      </c>
      <c r="J2959" s="1106" t="s">
        <v>24701</v>
      </c>
      <c r="K2959" s="1106" t="s">
        <v>24695</v>
      </c>
      <c r="L2959" s="1106"/>
      <c r="M2959" s="1106" t="s">
        <v>24683</v>
      </c>
      <c r="N2959" s="1114" t="s">
        <v>24689</v>
      </c>
    </row>
    <row r="2960" spans="2:14" x14ac:dyDescent="0.3">
      <c r="B2960" s="1115"/>
      <c r="C2960" s="1116"/>
      <c r="D2960" s="1595"/>
      <c r="E2960" s="1595"/>
      <c r="F2960" s="1595"/>
      <c r="G2960" s="1595"/>
      <c r="H2960" s="1109"/>
      <c r="I2960" s="1109"/>
      <c r="J2960" s="1109"/>
      <c r="K2960" s="1109"/>
      <c r="L2960" s="1109"/>
      <c r="M2960" s="1118"/>
      <c r="N2960" s="1119"/>
    </row>
    <row r="2961" spans="2:14" x14ac:dyDescent="0.3">
      <c r="B2961" s="850"/>
      <c r="C2961" s="461"/>
      <c r="D2961" s="461"/>
      <c r="E2961" s="461"/>
      <c r="F2961" s="1120"/>
      <c r="G2961" s="1120"/>
      <c r="H2961" s="1120"/>
      <c r="I2961" s="1120"/>
      <c r="J2961" s="1120"/>
      <c r="K2961" s="1120"/>
      <c r="L2961" s="1120"/>
      <c r="M2961" s="1121" t="s">
        <v>24702</v>
      </c>
      <c r="N2961" s="1122">
        <f>SUM(N2960:N2960)</f>
        <v>0</v>
      </c>
    </row>
    <row r="2962" spans="2:14" x14ac:dyDescent="0.3">
      <c r="B2962" s="850"/>
      <c r="C2962" s="461"/>
      <c r="D2962" s="461"/>
      <c r="E2962" s="461"/>
      <c r="F2962" s="461"/>
      <c r="G2962" s="461"/>
      <c r="H2962" s="461"/>
      <c r="I2962" s="461"/>
      <c r="J2962" s="461"/>
      <c r="K2962" s="461"/>
      <c r="L2962" s="461"/>
      <c r="M2962" s="461"/>
      <c r="N2962" s="1113"/>
    </row>
    <row r="2963" spans="2:14" x14ac:dyDescent="0.3">
      <c r="B2963" s="1131"/>
      <c r="C2963" s="1132"/>
      <c r="D2963" s="1132"/>
      <c r="E2963" s="1132"/>
      <c r="F2963" s="1133"/>
      <c r="G2963" s="1133"/>
      <c r="H2963" s="1133"/>
      <c r="I2963" s="1133"/>
      <c r="J2963" s="1133"/>
      <c r="K2963" s="1133"/>
      <c r="L2963" s="1133"/>
      <c r="M2963" s="1134" t="s">
        <v>24703</v>
      </c>
      <c r="N2963" s="1123">
        <f>N2948+N2953+N2957+N2961</f>
        <v>1189.07</v>
      </c>
    </row>
    <row r="2964" spans="2:14" x14ac:dyDescent="0.3">
      <c r="B2964" s="850"/>
      <c r="C2964" s="461"/>
      <c r="D2964" s="461"/>
      <c r="E2964" s="461"/>
      <c r="F2964" s="1120"/>
      <c r="G2964" s="1120"/>
      <c r="H2964" s="1120"/>
      <c r="I2964" s="1120"/>
      <c r="J2964" s="1120"/>
      <c r="K2964" s="1120"/>
      <c r="L2964" s="1120"/>
      <c r="M2964" s="1136">
        <f>'QUIOSQUE - MOD 01'!I4</f>
        <v>0.15570000000000001</v>
      </c>
      <c r="N2964" s="1123">
        <f>N2963*M2964</f>
        <v>185.14</v>
      </c>
    </row>
    <row r="2965" spans="2:14" ht="15.75" thickBot="1" x14ac:dyDescent="0.35">
      <c r="B2965" s="1599" t="s">
        <v>24704</v>
      </c>
      <c r="C2965" s="1600"/>
      <c r="D2965" s="1600"/>
      <c r="E2965" s="1600"/>
      <c r="F2965" s="1600"/>
      <c r="G2965" s="1600"/>
      <c r="H2965" s="1600"/>
      <c r="I2965" s="1600"/>
      <c r="J2965" s="1600"/>
      <c r="K2965" s="1600"/>
      <c r="L2965" s="1600"/>
      <c r="M2965" s="1601"/>
      <c r="N2965" s="1126">
        <f>N2963+N2964</f>
        <v>1374.21</v>
      </c>
    </row>
    <row r="2966" spans="2:14" s="1229" customFormat="1" x14ac:dyDescent="0.3"/>
    <row r="2967" spans="2:14" s="1229" customFormat="1" ht="15.75" thickBot="1" x14ac:dyDescent="0.35"/>
    <row r="2968" spans="2:14" ht="43.5" customHeight="1" x14ac:dyDescent="0.3">
      <c r="B2968" s="1607" t="s">
        <v>25259</v>
      </c>
      <c r="C2968" s="1608"/>
      <c r="D2968" s="1609"/>
      <c r="E2968" s="1610" t="s">
        <v>24669</v>
      </c>
      <c r="F2968" s="1610"/>
      <c r="G2968" s="1610"/>
      <c r="H2968" s="1610"/>
      <c r="I2968" s="1610"/>
      <c r="J2968" s="1610"/>
      <c r="K2968" s="1610"/>
      <c r="L2968" s="1623"/>
      <c r="M2968" s="1576"/>
      <c r="N2968" s="1577"/>
    </row>
    <row r="2969" spans="2:14" x14ac:dyDescent="0.3">
      <c r="B2969" s="1103" t="s">
        <v>24670</v>
      </c>
      <c r="C2969" s="1586" t="s">
        <v>25785</v>
      </c>
      <c r="D2969" s="1586"/>
      <c r="E2969" s="1586"/>
      <c r="F2969" s="1586"/>
      <c r="G2969" s="1586"/>
      <c r="H2969" s="1586"/>
      <c r="I2969" s="1586"/>
      <c r="J2969" s="1586"/>
      <c r="K2969" s="1586"/>
      <c r="L2969" s="1586"/>
      <c r="M2969" s="1586"/>
      <c r="N2969" s="1587"/>
    </row>
    <row r="2970" spans="2:14" x14ac:dyDescent="0.3">
      <c r="B2970" s="1103" t="s">
        <v>24671</v>
      </c>
      <c r="C2970" s="1645" t="s">
        <v>8</v>
      </c>
      <c r="D2970" s="1645"/>
      <c r="E2970" s="1645"/>
      <c r="F2970" s="1645"/>
      <c r="G2970" s="1645"/>
      <c r="H2970" s="1645"/>
      <c r="I2970" s="1645"/>
      <c r="J2970" s="1645"/>
      <c r="K2970" s="1645"/>
      <c r="L2970" s="1645"/>
      <c r="M2970" s="1645"/>
      <c r="N2970" s="1589"/>
    </row>
    <row r="2971" spans="2:14" ht="15.75" thickBot="1" x14ac:dyDescent="0.35">
      <c r="B2971" s="1103" t="s">
        <v>24672</v>
      </c>
      <c r="C2971" s="1590">
        <v>44501</v>
      </c>
      <c r="D2971" s="1591"/>
      <c r="E2971" s="1591"/>
      <c r="F2971" s="1591"/>
      <c r="G2971" s="1591"/>
      <c r="H2971" s="1591"/>
      <c r="I2971" s="1591"/>
      <c r="J2971" s="1591"/>
      <c r="K2971" s="1591"/>
      <c r="L2971" s="1591"/>
      <c r="M2971" s="1591"/>
      <c r="N2971" s="1592"/>
    </row>
    <row r="2972" spans="2:14" ht="30" x14ac:dyDescent="0.3">
      <c r="B2972" s="1104" t="s">
        <v>0</v>
      </c>
      <c r="C2972" s="1105" t="s">
        <v>24673</v>
      </c>
      <c r="D2972" s="1593" t="s">
        <v>24674</v>
      </c>
      <c r="E2972" s="1593"/>
      <c r="F2972" s="1593"/>
      <c r="G2972" s="1594"/>
      <c r="H2972" s="1106" t="s">
        <v>111</v>
      </c>
      <c r="I2972" s="1106" t="s">
        <v>24675</v>
      </c>
      <c r="J2972" s="1106" t="s">
        <v>24676</v>
      </c>
      <c r="K2972" s="1106" t="s">
        <v>24677</v>
      </c>
      <c r="L2972" s="1106" t="s">
        <v>24678</v>
      </c>
      <c r="M2972" s="1621" t="s">
        <v>24679</v>
      </c>
      <c r="N2972" s="1622"/>
    </row>
    <row r="2973" spans="2:14" x14ac:dyDescent="0.3">
      <c r="B2973" s="1107"/>
      <c r="C2973" s="1108"/>
      <c r="D2973" s="1595"/>
      <c r="E2973" s="1595"/>
      <c r="F2973" s="1595"/>
      <c r="G2973" s="1596"/>
      <c r="H2973" s="1109"/>
      <c r="I2973" s="1109"/>
      <c r="J2973" s="1109"/>
      <c r="K2973" s="1109"/>
      <c r="L2973" s="1109"/>
      <c r="M2973" s="1597"/>
      <c r="N2973" s="1620"/>
    </row>
    <row r="2974" spans="2:14" ht="15.75" thickBot="1" x14ac:dyDescent="0.35">
      <c r="B2974" s="855"/>
      <c r="C2974" s="954"/>
      <c r="D2974" s="954"/>
      <c r="E2974" s="954"/>
      <c r="F2974" s="1110"/>
      <c r="G2974" s="1110"/>
      <c r="H2974" s="1110"/>
      <c r="I2974" s="1110"/>
      <c r="J2974" s="1110"/>
      <c r="K2974" s="1110"/>
      <c r="L2974" s="1110"/>
      <c r="M2974" s="1285" t="s">
        <v>24680</v>
      </c>
      <c r="N2974" s="1112">
        <f>SUM(M2973:N2973)</f>
        <v>0</v>
      </c>
    </row>
    <row r="2975" spans="2:14" ht="15.75" thickBot="1" x14ac:dyDescent="0.35">
      <c r="B2975" s="850"/>
      <c r="C2975" s="692"/>
      <c r="D2975" s="692"/>
      <c r="E2975" s="692"/>
      <c r="F2975" s="692"/>
      <c r="G2975" s="692"/>
      <c r="H2975" s="692"/>
      <c r="I2975" s="692"/>
      <c r="J2975" s="692"/>
      <c r="K2975" s="692"/>
      <c r="L2975" s="692"/>
      <c r="M2975" s="692"/>
      <c r="N2975" s="1113"/>
    </row>
    <row r="2976" spans="2:14" ht="45" x14ac:dyDescent="0.3">
      <c r="B2976" s="1104" t="s">
        <v>0</v>
      </c>
      <c r="C2976" s="1105" t="s">
        <v>24673</v>
      </c>
      <c r="D2976" s="1593" t="s">
        <v>24681</v>
      </c>
      <c r="E2976" s="1593"/>
      <c r="F2976" s="1593"/>
      <c r="G2976" s="1593"/>
      <c r="H2976" s="1594"/>
      <c r="I2976" s="1106" t="s">
        <v>3686</v>
      </c>
      <c r="J2976" s="1106" t="s">
        <v>24682</v>
      </c>
      <c r="K2976" s="1106" t="s">
        <v>25177</v>
      </c>
      <c r="L2976" s="1106" t="s">
        <v>25178</v>
      </c>
      <c r="M2976" s="1106" t="s">
        <v>24683</v>
      </c>
      <c r="N2976" s="1114" t="s">
        <v>24679</v>
      </c>
    </row>
    <row r="2977" spans="2:14" x14ac:dyDescent="0.3">
      <c r="B2977" s="1115">
        <v>10139</v>
      </c>
      <c r="C2977" s="1108" t="s">
        <v>4379</v>
      </c>
      <c r="D2977" s="1604" t="s">
        <v>25786</v>
      </c>
      <c r="E2977" s="1604"/>
      <c r="F2977" s="1604"/>
      <c r="G2977" s="1604"/>
      <c r="H2977" s="1605"/>
      <c r="I2977" s="1109" t="s">
        <v>75</v>
      </c>
      <c r="J2977" s="1117">
        <v>1.5727</v>
      </c>
      <c r="K2977" s="1109">
        <v>7.43</v>
      </c>
      <c r="L2977" s="1109">
        <f>K2977*(1+J2977)</f>
        <v>19.12</v>
      </c>
      <c r="M2977" s="1118">
        <v>1</v>
      </c>
      <c r="N2977" s="1119">
        <f>M2977*L2977</f>
        <v>19.12</v>
      </c>
    </row>
    <row r="2978" spans="2:14" x14ac:dyDescent="0.3">
      <c r="B2978" s="1115">
        <v>10118</v>
      </c>
      <c r="C2978" s="1108" t="s">
        <v>4379</v>
      </c>
      <c r="D2978" s="1604" t="s">
        <v>25787</v>
      </c>
      <c r="E2978" s="1604"/>
      <c r="F2978" s="1604"/>
      <c r="G2978" s="1604"/>
      <c r="H2978" s="1605"/>
      <c r="I2978" s="1109" t="s">
        <v>75</v>
      </c>
      <c r="J2978" s="1117">
        <v>1.5727</v>
      </c>
      <c r="K2978" s="1109">
        <v>6.27</v>
      </c>
      <c r="L2978" s="1109">
        <f>K2978*(1+J2978)</f>
        <v>16.13</v>
      </c>
      <c r="M2978" s="1118">
        <v>5</v>
      </c>
      <c r="N2978" s="1119">
        <f>M2978*L2978</f>
        <v>80.650000000000006</v>
      </c>
    </row>
    <row r="2979" spans="2:14" x14ac:dyDescent="0.3">
      <c r="B2979" s="1115">
        <v>10101</v>
      </c>
      <c r="C2979" s="1108" t="s">
        <v>4379</v>
      </c>
      <c r="D2979" s="1604" t="s">
        <v>25223</v>
      </c>
      <c r="E2979" s="1604"/>
      <c r="F2979" s="1604"/>
      <c r="G2979" s="1604"/>
      <c r="H2979" s="1605"/>
      <c r="I2979" s="1109" t="s">
        <v>75</v>
      </c>
      <c r="J2979" s="1117">
        <v>1.5727</v>
      </c>
      <c r="K2979" s="1109">
        <v>6.27</v>
      </c>
      <c r="L2979" s="1109">
        <f>K2979*(1+J2979)</f>
        <v>16.13</v>
      </c>
      <c r="M2979" s="1118">
        <v>3</v>
      </c>
      <c r="N2979" s="1119">
        <f>M2979*L2979</f>
        <v>48.39</v>
      </c>
    </row>
    <row r="2980" spans="2:14" ht="15.75" thickBot="1" x14ac:dyDescent="0.35">
      <c r="B2980" s="855"/>
      <c r="C2980" s="954"/>
      <c r="D2980" s="954"/>
      <c r="E2980" s="954"/>
      <c r="F2980" s="1110"/>
      <c r="G2980" s="1110"/>
      <c r="H2980" s="1110"/>
      <c r="I2980" s="1110"/>
      <c r="J2980" s="1110"/>
      <c r="K2980" s="1110"/>
      <c r="L2980" s="1110"/>
      <c r="M2980" s="1285" t="s">
        <v>24684</v>
      </c>
      <c r="N2980" s="1112">
        <f>SUM(N2977:N2979)</f>
        <v>148.16</v>
      </c>
    </row>
    <row r="2981" spans="2:14" ht="15.75" thickBot="1" x14ac:dyDescent="0.35">
      <c r="B2981" s="850"/>
      <c r="C2981" s="692"/>
      <c r="D2981" s="692"/>
      <c r="E2981" s="692"/>
      <c r="F2981" s="692"/>
      <c r="G2981" s="692"/>
      <c r="H2981" s="692"/>
      <c r="I2981" s="1194"/>
      <c r="J2981" s="1194"/>
      <c r="K2981" s="692"/>
      <c r="L2981" s="692"/>
      <c r="M2981" s="692"/>
      <c r="N2981" s="1113"/>
    </row>
    <row r="2982" spans="2:14" ht="30" x14ac:dyDescent="0.3">
      <c r="B2982" s="1104" t="s">
        <v>0</v>
      </c>
      <c r="C2982" s="1105" t="s">
        <v>24673</v>
      </c>
      <c r="D2982" s="1593" t="s">
        <v>24685</v>
      </c>
      <c r="E2982" s="1593"/>
      <c r="F2982" s="1593"/>
      <c r="G2982" s="1593"/>
      <c r="H2982" s="1594"/>
      <c r="I2982" s="1106" t="s">
        <v>2858</v>
      </c>
      <c r="J2982" s="1106" t="s">
        <v>24686</v>
      </c>
      <c r="K2982" s="1106" t="s">
        <v>24687</v>
      </c>
      <c r="L2982" s="1614" t="s">
        <v>24688</v>
      </c>
      <c r="M2982" s="1615"/>
      <c r="N2982" s="1114" t="s">
        <v>24689</v>
      </c>
    </row>
    <row r="2983" spans="2:14" x14ac:dyDescent="0.3">
      <c r="B2983" s="1115"/>
      <c r="C2983" s="1283"/>
      <c r="D2983" s="1604"/>
      <c r="E2983" s="1604"/>
      <c r="F2983" s="1604"/>
      <c r="G2983" s="1604"/>
      <c r="H2983" s="1605"/>
      <c r="I2983" s="1109"/>
      <c r="J2983" s="1109"/>
      <c r="K2983" s="1109"/>
      <c r="L2983" s="1597"/>
      <c r="M2983" s="1598"/>
      <c r="N2983" s="1119">
        <f>N2980*(I2983/100)</f>
        <v>0</v>
      </c>
    </row>
    <row r="2984" spans="2:14" x14ac:dyDescent="0.3">
      <c r="B2984" s="850"/>
      <c r="C2984" s="692"/>
      <c r="D2984" s="692"/>
      <c r="E2984" s="692"/>
      <c r="F2984" s="1194"/>
      <c r="G2984" s="1194"/>
      <c r="H2984" s="1194"/>
      <c r="I2984" s="1194"/>
      <c r="J2984" s="1194"/>
      <c r="K2984" s="1194"/>
      <c r="L2984" s="1194"/>
      <c r="M2984" s="1286" t="s">
        <v>24690</v>
      </c>
      <c r="N2984" s="1122">
        <f>SUM(N2983:N2983)</f>
        <v>0</v>
      </c>
    </row>
    <row r="2985" spans="2:14" x14ac:dyDescent="0.3">
      <c r="B2985" s="850"/>
      <c r="C2985" s="692"/>
      <c r="D2985" s="692"/>
      <c r="E2985" s="692"/>
      <c r="F2985" s="692"/>
      <c r="G2985" s="692"/>
      <c r="H2985" s="692"/>
      <c r="I2985" s="692"/>
      <c r="J2985" s="692"/>
      <c r="K2985" s="692"/>
      <c r="L2985" s="692"/>
      <c r="M2985" s="692"/>
      <c r="N2985" s="1113"/>
    </row>
    <row r="2986" spans="2:14" x14ac:dyDescent="0.3">
      <c r="B2986" s="850"/>
      <c r="C2986" s="692"/>
      <c r="D2986" s="692"/>
      <c r="E2986" s="692"/>
      <c r="F2986" s="1194"/>
      <c r="G2986" s="1194"/>
      <c r="H2986" s="1194"/>
      <c r="I2986" s="1287"/>
      <c r="J2986" s="1287"/>
      <c r="K2986" s="1287"/>
      <c r="L2986" s="1287"/>
      <c r="M2986" s="1286" t="s">
        <v>24691</v>
      </c>
      <c r="N2986" s="1123">
        <f>N2974+N2980+N2984</f>
        <v>148.16</v>
      </c>
    </row>
    <row r="2987" spans="2:14" x14ac:dyDescent="0.3">
      <c r="B2987" s="850"/>
      <c r="C2987" s="692"/>
      <c r="D2987" s="692"/>
      <c r="E2987" s="692"/>
      <c r="F2987" s="1194"/>
      <c r="G2987" s="1194"/>
      <c r="H2987" s="1194"/>
      <c r="I2987" s="1194"/>
      <c r="J2987" s="1288"/>
      <c r="K2987" s="1288"/>
      <c r="L2987" s="1288"/>
      <c r="M2987" s="1289" t="s">
        <v>24692</v>
      </c>
      <c r="N2987" s="1123">
        <v>1</v>
      </c>
    </row>
    <row r="2988" spans="2:14" ht="15.75" thickBot="1" x14ac:dyDescent="0.35">
      <c r="B2988" s="855"/>
      <c r="C2988" s="954"/>
      <c r="D2988" s="954"/>
      <c r="E2988" s="954"/>
      <c r="F2988" s="1110"/>
      <c r="G2988" s="1110"/>
      <c r="H2988" s="1110"/>
      <c r="I2988" s="1110"/>
      <c r="J2988" s="1110"/>
      <c r="K2988" s="1110"/>
      <c r="L2988" s="1110"/>
      <c r="M2988" s="1285" t="s">
        <v>24693</v>
      </c>
      <c r="N2988" s="1126">
        <f>TRUNC(N2986/N2987,2)</f>
        <v>148.16</v>
      </c>
    </row>
    <row r="2989" spans="2:14" ht="15.75" thickBot="1" x14ac:dyDescent="0.35">
      <c r="B2989" s="850"/>
      <c r="C2989" s="692"/>
      <c r="D2989" s="692"/>
      <c r="E2989" s="692"/>
      <c r="F2989" s="692"/>
      <c r="G2989" s="692"/>
      <c r="H2989" s="692"/>
      <c r="I2989" s="692"/>
      <c r="J2989" s="692"/>
      <c r="K2989" s="692"/>
      <c r="L2989" s="692"/>
      <c r="M2989" s="692"/>
      <c r="N2989" s="1113"/>
    </row>
    <row r="2990" spans="2:14" ht="30" x14ac:dyDescent="0.3">
      <c r="B2990" s="1104" t="s">
        <v>0</v>
      </c>
      <c r="C2990" s="1105" t="s">
        <v>24673</v>
      </c>
      <c r="D2990" s="1593" t="s">
        <v>24694</v>
      </c>
      <c r="E2990" s="1593"/>
      <c r="F2990" s="1593"/>
      <c r="G2990" s="1593"/>
      <c r="H2990" s="1593"/>
      <c r="I2990" s="1594"/>
      <c r="J2990" s="1106" t="s">
        <v>3686</v>
      </c>
      <c r="K2990" s="1106" t="s">
        <v>24695</v>
      </c>
      <c r="L2990" s="1614" t="s">
        <v>24683</v>
      </c>
      <c r="M2990" s="1615"/>
      <c r="N2990" s="1114" t="s">
        <v>24689</v>
      </c>
    </row>
    <row r="2991" spans="2:14" ht="30" x14ac:dyDescent="0.3">
      <c r="B2991" s="1149" t="s">
        <v>24795</v>
      </c>
      <c r="C2991" s="1155" t="s">
        <v>24708</v>
      </c>
      <c r="D2991" s="1646" t="s">
        <v>25788</v>
      </c>
      <c r="E2991" s="1616"/>
      <c r="F2991" s="1616"/>
      <c r="G2991" s="1616"/>
      <c r="H2991" s="1616"/>
      <c r="I2991" s="1617"/>
      <c r="J2991" s="1151" t="s">
        <v>8</v>
      </c>
      <c r="K2991" s="1152">
        <f>'MAPA DE COT. - Quiosque'!H372</f>
        <v>2633.02</v>
      </c>
      <c r="L2991" s="1618">
        <v>1</v>
      </c>
      <c r="M2991" s="1619"/>
      <c r="N2991" s="1130">
        <f>K2991*L2991</f>
        <v>2633.02</v>
      </c>
    </row>
    <row r="2992" spans="2:14" x14ac:dyDescent="0.3">
      <c r="B2992" s="1149"/>
      <c r="C2992" s="1155"/>
      <c r="D2992" s="1616"/>
      <c r="E2992" s="1616"/>
      <c r="F2992" s="1616"/>
      <c r="G2992" s="1616"/>
      <c r="H2992" s="1616"/>
      <c r="I2992" s="1617"/>
      <c r="J2992" s="1151"/>
      <c r="K2992" s="1151"/>
      <c r="L2992" s="1618"/>
      <c r="M2992" s="1619"/>
      <c r="N2992" s="1130"/>
    </row>
    <row r="2993" spans="2:14" ht="15.75" thickBot="1" x14ac:dyDescent="0.35">
      <c r="B2993" s="855"/>
      <c r="C2993" s="954"/>
      <c r="D2993" s="954"/>
      <c r="E2993" s="954"/>
      <c r="F2993" s="1110"/>
      <c r="G2993" s="1110"/>
      <c r="H2993" s="1110"/>
      <c r="I2993" s="1110"/>
      <c r="J2993" s="1110"/>
      <c r="K2993" s="1110"/>
      <c r="L2993" s="1110"/>
      <c r="M2993" s="1285" t="s">
        <v>24696</v>
      </c>
      <c r="N2993" s="1112">
        <f>SUM(N2991:N2992)</f>
        <v>2633.02</v>
      </c>
    </row>
    <row r="2994" spans="2:14" ht="15.75" thickBot="1" x14ac:dyDescent="0.35">
      <c r="B2994" s="850"/>
      <c r="C2994" s="692"/>
      <c r="D2994" s="692"/>
      <c r="E2994" s="692"/>
      <c r="F2994" s="692"/>
      <c r="G2994" s="692"/>
      <c r="H2994" s="692"/>
      <c r="I2994" s="692"/>
      <c r="J2994" s="692"/>
      <c r="K2994" s="692"/>
      <c r="L2994" s="692"/>
      <c r="M2994" s="692"/>
      <c r="N2994" s="1113"/>
    </row>
    <row r="2995" spans="2:14" ht="30" x14ac:dyDescent="0.3">
      <c r="B2995" s="1104" t="s">
        <v>0</v>
      </c>
      <c r="C2995" s="1106" t="s">
        <v>24673</v>
      </c>
      <c r="D2995" s="1593" t="s">
        <v>24697</v>
      </c>
      <c r="E2995" s="1593"/>
      <c r="F2995" s="1593"/>
      <c r="G2995" s="1593"/>
      <c r="H2995" s="1593"/>
      <c r="I2995" s="1594"/>
      <c r="J2995" s="1106" t="s">
        <v>3686</v>
      </c>
      <c r="K2995" s="1106" t="s">
        <v>24695</v>
      </c>
      <c r="L2995" s="1614" t="s">
        <v>24683</v>
      </c>
      <c r="M2995" s="1615"/>
      <c r="N2995" s="1114" t="s">
        <v>24689</v>
      </c>
    </row>
    <row r="2996" spans="2:14" x14ac:dyDescent="0.3">
      <c r="B2996" s="1127"/>
      <c r="C2996" s="1128"/>
      <c r="D2996" s="1604"/>
      <c r="E2996" s="1604"/>
      <c r="F2996" s="1604"/>
      <c r="G2996" s="1604"/>
      <c r="H2996" s="1604"/>
      <c r="I2996" s="1605"/>
      <c r="J2996" s="462"/>
      <c r="K2996" s="462"/>
      <c r="L2996" s="1612"/>
      <c r="M2996" s="1613"/>
      <c r="N2996" s="1130"/>
    </row>
    <row r="2997" spans="2:14" ht="15.75" thickBot="1" x14ac:dyDescent="0.35">
      <c r="B2997" s="855"/>
      <c r="C2997" s="954"/>
      <c r="D2997" s="954"/>
      <c r="E2997" s="954"/>
      <c r="F2997" s="1110"/>
      <c r="G2997" s="1110"/>
      <c r="H2997" s="1110"/>
      <c r="I2997" s="1110"/>
      <c r="J2997" s="1110"/>
      <c r="K2997" s="1110"/>
      <c r="L2997" s="1110"/>
      <c r="M2997" s="1285" t="s">
        <v>24698</v>
      </c>
      <c r="N2997" s="1112">
        <f>SUM(N2996:N2996)</f>
        <v>0</v>
      </c>
    </row>
    <row r="2998" spans="2:14" ht="15.75" thickBot="1" x14ac:dyDescent="0.35">
      <c r="B2998" s="850"/>
      <c r="C2998" s="692"/>
      <c r="D2998" s="692"/>
      <c r="E2998" s="692"/>
      <c r="F2998" s="692"/>
      <c r="G2998" s="692"/>
      <c r="H2998" s="692"/>
      <c r="I2998" s="692"/>
      <c r="J2998" s="692"/>
      <c r="K2998" s="692"/>
      <c r="L2998" s="692"/>
      <c r="M2998" s="692"/>
      <c r="N2998" s="1113"/>
    </row>
    <row r="2999" spans="2:14" ht="30" x14ac:dyDescent="0.3">
      <c r="B2999" s="1104" t="s">
        <v>0</v>
      </c>
      <c r="C2999" s="1106" t="s">
        <v>24673</v>
      </c>
      <c r="D2999" s="1593" t="s">
        <v>24699</v>
      </c>
      <c r="E2999" s="1593"/>
      <c r="F2999" s="1593"/>
      <c r="G2999" s="1594"/>
      <c r="H2999" s="1106" t="s">
        <v>3686</v>
      </c>
      <c r="I2999" s="1106" t="s">
        <v>24700</v>
      </c>
      <c r="J2999" s="1106" t="s">
        <v>24701</v>
      </c>
      <c r="K2999" s="1106" t="s">
        <v>24695</v>
      </c>
      <c r="L2999" s="1614" t="s">
        <v>24683</v>
      </c>
      <c r="M2999" s="1615"/>
      <c r="N2999" s="1114" t="s">
        <v>24689</v>
      </c>
    </row>
    <row r="3000" spans="2:14" x14ac:dyDescent="0.3">
      <c r="B3000" s="1115"/>
      <c r="C3000" s="1283"/>
      <c r="D3000" s="1595"/>
      <c r="E3000" s="1595"/>
      <c r="F3000" s="1595"/>
      <c r="G3000" s="1595"/>
      <c r="H3000" s="1109"/>
      <c r="I3000" s="1109"/>
      <c r="J3000" s="1109"/>
      <c r="K3000" s="1109"/>
      <c r="L3000" s="1597"/>
      <c r="M3000" s="1598"/>
      <c r="N3000" s="1119"/>
    </row>
    <row r="3001" spans="2:14" x14ac:dyDescent="0.3">
      <c r="B3001" s="1115"/>
      <c r="C3001" s="1283"/>
      <c r="D3001" s="1595"/>
      <c r="E3001" s="1595"/>
      <c r="F3001" s="1595"/>
      <c r="G3001" s="1595"/>
      <c r="H3001" s="1109"/>
      <c r="I3001" s="1109"/>
      <c r="J3001" s="1109"/>
      <c r="K3001" s="1109"/>
      <c r="L3001" s="1597"/>
      <c r="M3001" s="1598"/>
      <c r="N3001" s="1119"/>
    </row>
    <row r="3002" spans="2:14" x14ac:dyDescent="0.3">
      <c r="B3002" s="1115"/>
      <c r="C3002" s="1283"/>
      <c r="D3002" s="1595"/>
      <c r="E3002" s="1595"/>
      <c r="F3002" s="1595"/>
      <c r="G3002" s="1595"/>
      <c r="H3002" s="1109"/>
      <c r="I3002" s="1109"/>
      <c r="J3002" s="1109"/>
      <c r="K3002" s="1109"/>
      <c r="L3002" s="1597"/>
      <c r="M3002" s="1598"/>
      <c r="N3002" s="1119"/>
    </row>
    <row r="3003" spans="2:14" x14ac:dyDescent="0.3">
      <c r="B3003" s="850"/>
      <c r="C3003" s="692"/>
      <c r="D3003" s="692"/>
      <c r="E3003" s="692"/>
      <c r="F3003" s="1194"/>
      <c r="G3003" s="1194"/>
      <c r="H3003" s="1194"/>
      <c r="I3003" s="1194"/>
      <c r="J3003" s="1194"/>
      <c r="K3003" s="1194"/>
      <c r="L3003" s="1194"/>
      <c r="M3003" s="1286" t="s">
        <v>24702</v>
      </c>
      <c r="N3003" s="1122">
        <f>SUM(N3000:N3002)</f>
        <v>0</v>
      </c>
    </row>
    <row r="3004" spans="2:14" x14ac:dyDescent="0.3">
      <c r="B3004" s="850"/>
      <c r="C3004" s="692"/>
      <c r="D3004" s="692"/>
      <c r="E3004" s="692"/>
      <c r="F3004" s="692"/>
      <c r="G3004" s="692"/>
      <c r="H3004" s="692"/>
      <c r="I3004" s="692"/>
      <c r="J3004" s="692"/>
      <c r="K3004" s="692"/>
      <c r="L3004" s="692"/>
      <c r="M3004" s="692"/>
      <c r="N3004" s="1113"/>
    </row>
    <row r="3005" spans="2:14" x14ac:dyDescent="0.3">
      <c r="B3005" s="1131"/>
      <c r="C3005" s="1132"/>
      <c r="D3005" s="1132"/>
      <c r="E3005" s="1132"/>
      <c r="F3005" s="1133"/>
      <c r="G3005" s="1133"/>
      <c r="H3005" s="1133"/>
      <c r="I3005" s="1133"/>
      <c r="J3005" s="1133"/>
      <c r="K3005" s="1133"/>
      <c r="L3005" s="1133"/>
      <c r="M3005" s="1134" t="s">
        <v>24703</v>
      </c>
      <c r="N3005" s="1123">
        <f>N2988+N2993+N2997+N3003</f>
        <v>2781.18</v>
      </c>
    </row>
    <row r="3006" spans="2:14" x14ac:dyDescent="0.3">
      <c r="B3006" s="850"/>
      <c r="C3006" s="692"/>
      <c r="D3006" s="692"/>
      <c r="E3006" s="692"/>
      <c r="F3006" s="1194"/>
      <c r="G3006" s="1194"/>
      <c r="H3006" s="1194"/>
      <c r="I3006" s="1194"/>
      <c r="J3006" s="1194"/>
      <c r="K3006" s="1290"/>
      <c r="L3006" s="1290"/>
      <c r="M3006" s="1291">
        <f>'[6]QUIOSQUE - MOD 01'!$I$4</f>
        <v>0.15570000000000001</v>
      </c>
      <c r="N3006" s="1123">
        <f>ROUND(N3005*M3006,2)</f>
        <v>433.03</v>
      </c>
    </row>
    <row r="3007" spans="2:14" ht="15.75" thickBot="1" x14ac:dyDescent="0.35">
      <c r="B3007" s="1599" t="s">
        <v>24704</v>
      </c>
      <c r="C3007" s="1600"/>
      <c r="D3007" s="1600"/>
      <c r="E3007" s="1600"/>
      <c r="F3007" s="1600"/>
      <c r="G3007" s="1600"/>
      <c r="H3007" s="1600"/>
      <c r="I3007" s="1600"/>
      <c r="J3007" s="1600"/>
      <c r="K3007" s="1600"/>
      <c r="L3007" s="1600"/>
      <c r="M3007" s="1601"/>
      <c r="N3007" s="1126">
        <f>N3005+N3006</f>
        <v>3214.21</v>
      </c>
    </row>
    <row r="3008" spans="2:14" x14ac:dyDescent="0.3">
      <c r="B3008" s="1068"/>
      <c r="N3008" s="1074"/>
    </row>
    <row r="3009" spans="2:14" x14ac:dyDescent="0.3">
      <c r="B3009" s="1068"/>
      <c r="N3009" s="1074"/>
    </row>
    <row r="3010" spans="2:14" x14ac:dyDescent="0.3">
      <c r="B3010" s="1068"/>
      <c r="N3010" s="1074"/>
    </row>
    <row r="3011" spans="2:14" x14ac:dyDescent="0.3">
      <c r="B3011" s="1068"/>
      <c r="N3011" s="1074"/>
    </row>
    <row r="3012" spans="2:14" x14ac:dyDescent="0.3">
      <c r="B3012" s="1068"/>
      <c r="N3012" s="1074"/>
    </row>
    <row r="3013" spans="2:14" x14ac:dyDescent="0.3">
      <c r="B3013" s="1168"/>
      <c r="C3013" s="958"/>
      <c r="D3013" s="1606" t="s">
        <v>25173</v>
      </c>
      <c r="E3013" s="1606"/>
      <c r="F3013" s="1606"/>
      <c r="G3013" s="1606"/>
      <c r="H3013" s="958"/>
      <c r="I3013" s="1606"/>
      <c r="J3013" s="1606"/>
      <c r="K3013" s="1606"/>
      <c r="L3013" s="1606"/>
      <c r="M3013" s="958"/>
      <c r="N3013" s="1169"/>
    </row>
    <row r="3014" spans="2:14" x14ac:dyDescent="0.3">
      <c r="B3014" s="1068"/>
      <c r="D3014" s="1602" t="s">
        <v>24941</v>
      </c>
      <c r="E3014" s="1602"/>
      <c r="F3014" s="1602"/>
      <c r="G3014" s="1602"/>
      <c r="I3014" s="1602"/>
      <c r="J3014" s="1602"/>
      <c r="K3014" s="1602"/>
      <c r="L3014" s="1602"/>
      <c r="N3014" s="1074"/>
    </row>
    <row r="3015" spans="2:14" ht="15.75" thickBot="1" x14ac:dyDescent="0.35">
      <c r="B3015" s="1077"/>
      <c r="C3015" s="1170"/>
      <c r="D3015" s="1603" t="s">
        <v>25449</v>
      </c>
      <c r="E3015" s="1603"/>
      <c r="F3015" s="1603"/>
      <c r="G3015" s="1603"/>
      <c r="H3015" s="1170"/>
      <c r="I3015" s="1603"/>
      <c r="J3015" s="1603"/>
      <c r="K3015" s="1603"/>
      <c r="L3015" s="1603"/>
      <c r="M3015" s="1170"/>
      <c r="N3015" s="1082"/>
    </row>
  </sheetData>
  <mergeCells count="2494">
    <mergeCell ref="B3007:M3007"/>
    <mergeCell ref="D2990:I2990"/>
    <mergeCell ref="L2990:M2990"/>
    <mergeCell ref="D2991:I2991"/>
    <mergeCell ref="L2991:M2991"/>
    <mergeCell ref="D2992:I2992"/>
    <mergeCell ref="L2992:M2992"/>
    <mergeCell ref="D2995:I2995"/>
    <mergeCell ref="L2995:M2995"/>
    <mergeCell ref="D2996:I2996"/>
    <mergeCell ref="L2996:M2996"/>
    <mergeCell ref="D2999:G2999"/>
    <mergeCell ref="L2999:M2999"/>
    <mergeCell ref="D3000:G3000"/>
    <mergeCell ref="L3000:M3000"/>
    <mergeCell ref="D3001:G3001"/>
    <mergeCell ref="L3001:M3001"/>
    <mergeCell ref="D3002:G3002"/>
    <mergeCell ref="L3002:M3002"/>
    <mergeCell ref="E2968:K2968"/>
    <mergeCell ref="L2968:N2968"/>
    <mergeCell ref="C2969:N2969"/>
    <mergeCell ref="C2970:N2970"/>
    <mergeCell ref="C2971:N2971"/>
    <mergeCell ref="D2972:G2972"/>
    <mergeCell ref="M2972:N2972"/>
    <mergeCell ref="D2973:G2973"/>
    <mergeCell ref="M2973:N2973"/>
    <mergeCell ref="D2976:H2976"/>
    <mergeCell ref="D2977:H2977"/>
    <mergeCell ref="D2978:H2978"/>
    <mergeCell ref="D2979:H2979"/>
    <mergeCell ref="D2982:H2982"/>
    <mergeCell ref="L2982:M2982"/>
    <mergeCell ref="D2983:H2983"/>
    <mergeCell ref="L2983:M2983"/>
    <mergeCell ref="D6:G6"/>
    <mergeCell ref="M6:N6"/>
    <mergeCell ref="D7:G7"/>
    <mergeCell ref="M7:N7"/>
    <mergeCell ref="D8:G8"/>
    <mergeCell ref="M8:N8"/>
    <mergeCell ref="B2:D2"/>
    <mergeCell ref="E2:K2"/>
    <mergeCell ref="L2:N2"/>
    <mergeCell ref="C3:N3"/>
    <mergeCell ref="C4:N4"/>
    <mergeCell ref="C5:N5"/>
    <mergeCell ref="D29:I29"/>
    <mergeCell ref="L29:M29"/>
    <mergeCell ref="D30:I30"/>
    <mergeCell ref="L30:M30"/>
    <mergeCell ref="D33:G33"/>
    <mergeCell ref="L33:M33"/>
    <mergeCell ref="D18:H18"/>
    <mergeCell ref="L18:M18"/>
    <mergeCell ref="D25:I25"/>
    <mergeCell ref="L25:M25"/>
    <mergeCell ref="D26:I26"/>
    <mergeCell ref="L26:M26"/>
    <mergeCell ref="D9:G9"/>
    <mergeCell ref="M9:N9"/>
    <mergeCell ref="D12:H12"/>
    <mergeCell ref="D13:H13"/>
    <mergeCell ref="D14:H14"/>
    <mergeCell ref="D17:H17"/>
    <mergeCell ref="L17:M17"/>
    <mergeCell ref="C49:N49"/>
    <mergeCell ref="D50:G50"/>
    <mergeCell ref="M50:N50"/>
    <mergeCell ref="D51:G51"/>
    <mergeCell ref="M51:N51"/>
    <mergeCell ref="D52:G52"/>
    <mergeCell ref="M52:N52"/>
    <mergeCell ref="B41:M41"/>
    <mergeCell ref="B46:D46"/>
    <mergeCell ref="E46:K46"/>
    <mergeCell ref="L46:N46"/>
    <mergeCell ref="C47:N47"/>
    <mergeCell ref="C48:N48"/>
    <mergeCell ref="D34:G34"/>
    <mergeCell ref="L34:M34"/>
    <mergeCell ref="D35:G35"/>
    <mergeCell ref="L35:M35"/>
    <mergeCell ref="D36:G36"/>
    <mergeCell ref="L36:M36"/>
    <mergeCell ref="D71:I71"/>
    <mergeCell ref="L71:M71"/>
    <mergeCell ref="D72:I72"/>
    <mergeCell ref="L72:M72"/>
    <mergeCell ref="D75:I75"/>
    <mergeCell ref="L75:M75"/>
    <mergeCell ref="D62:H62"/>
    <mergeCell ref="L62:M62"/>
    <mergeCell ref="D69:I69"/>
    <mergeCell ref="L69:M69"/>
    <mergeCell ref="D70:I70"/>
    <mergeCell ref="L70:M70"/>
    <mergeCell ref="D53:G53"/>
    <mergeCell ref="M53:N53"/>
    <mergeCell ref="D56:H56"/>
    <mergeCell ref="D57:H57"/>
    <mergeCell ref="D58:H58"/>
    <mergeCell ref="D61:H61"/>
    <mergeCell ref="L61:M61"/>
    <mergeCell ref="C93:N93"/>
    <mergeCell ref="C94:N94"/>
    <mergeCell ref="C95:N95"/>
    <mergeCell ref="D96:G96"/>
    <mergeCell ref="M96:N96"/>
    <mergeCell ref="D97:G97"/>
    <mergeCell ref="M97:N97"/>
    <mergeCell ref="D81:G81"/>
    <mergeCell ref="L81:M81"/>
    <mergeCell ref="D82:G82"/>
    <mergeCell ref="L82:M82"/>
    <mergeCell ref="B87:M87"/>
    <mergeCell ref="B92:D92"/>
    <mergeCell ref="E92:K92"/>
    <mergeCell ref="L92:N92"/>
    <mergeCell ref="D76:I76"/>
    <mergeCell ref="L76:M76"/>
    <mergeCell ref="D79:G79"/>
    <mergeCell ref="L79:M79"/>
    <mergeCell ref="D80:G80"/>
    <mergeCell ref="L80:M80"/>
    <mergeCell ref="D116:I116"/>
    <mergeCell ref="L116:M116"/>
    <mergeCell ref="D117:I117"/>
    <mergeCell ref="L117:M117"/>
    <mergeCell ref="D118:I118"/>
    <mergeCell ref="L118:M118"/>
    <mergeCell ref="D104:H104"/>
    <mergeCell ref="D107:H107"/>
    <mergeCell ref="L107:M107"/>
    <mergeCell ref="D108:H108"/>
    <mergeCell ref="L108:M108"/>
    <mergeCell ref="D115:I115"/>
    <mergeCell ref="L115:M115"/>
    <mergeCell ref="D98:G98"/>
    <mergeCell ref="M98:N98"/>
    <mergeCell ref="D99:G99"/>
    <mergeCell ref="M99:N99"/>
    <mergeCell ref="D102:H102"/>
    <mergeCell ref="D103:H103"/>
    <mergeCell ref="D129:G129"/>
    <mergeCell ref="L129:M129"/>
    <mergeCell ref="B134:M134"/>
    <mergeCell ref="B138:D138"/>
    <mergeCell ref="E138:K138"/>
    <mergeCell ref="L138:N138"/>
    <mergeCell ref="D126:G126"/>
    <mergeCell ref="L126:M126"/>
    <mergeCell ref="D127:G127"/>
    <mergeCell ref="L127:M127"/>
    <mergeCell ref="D128:G128"/>
    <mergeCell ref="L128:M128"/>
    <mergeCell ref="D119:I119"/>
    <mergeCell ref="L119:M119"/>
    <mergeCell ref="D122:I122"/>
    <mergeCell ref="L122:M122"/>
    <mergeCell ref="D123:I123"/>
    <mergeCell ref="L123:M123"/>
    <mergeCell ref="D150:H150"/>
    <mergeCell ref="D153:H153"/>
    <mergeCell ref="L153:M153"/>
    <mergeCell ref="D154:H154"/>
    <mergeCell ref="L154:M154"/>
    <mergeCell ref="D161:I161"/>
    <mergeCell ref="L161:M161"/>
    <mergeCell ref="D144:G144"/>
    <mergeCell ref="M144:N144"/>
    <mergeCell ref="D145:G145"/>
    <mergeCell ref="M145:N145"/>
    <mergeCell ref="D148:H148"/>
    <mergeCell ref="D149:H149"/>
    <mergeCell ref="C139:N139"/>
    <mergeCell ref="C140:N140"/>
    <mergeCell ref="C141:N141"/>
    <mergeCell ref="D142:G142"/>
    <mergeCell ref="M142:N142"/>
    <mergeCell ref="D143:G143"/>
    <mergeCell ref="M143:N143"/>
    <mergeCell ref="D172:G172"/>
    <mergeCell ref="L172:M172"/>
    <mergeCell ref="B177:M177"/>
    <mergeCell ref="B181:D181"/>
    <mergeCell ref="E181:K181"/>
    <mergeCell ref="L181:N181"/>
    <mergeCell ref="D169:G169"/>
    <mergeCell ref="L169:M169"/>
    <mergeCell ref="D170:G170"/>
    <mergeCell ref="L170:M170"/>
    <mergeCell ref="D171:G171"/>
    <mergeCell ref="L171:M171"/>
    <mergeCell ref="D162:I162"/>
    <mergeCell ref="L162:M162"/>
    <mergeCell ref="D165:I165"/>
    <mergeCell ref="L165:M165"/>
    <mergeCell ref="D166:I166"/>
    <mergeCell ref="L166:M166"/>
    <mergeCell ref="D193:H193"/>
    <mergeCell ref="D196:H196"/>
    <mergeCell ref="L196:M196"/>
    <mergeCell ref="D197:H197"/>
    <mergeCell ref="L197:M197"/>
    <mergeCell ref="D204:I204"/>
    <mergeCell ref="L204:M204"/>
    <mergeCell ref="D187:G187"/>
    <mergeCell ref="M187:N187"/>
    <mergeCell ref="D188:G188"/>
    <mergeCell ref="M188:N188"/>
    <mergeCell ref="D191:H191"/>
    <mergeCell ref="D192:H192"/>
    <mergeCell ref="C182:N182"/>
    <mergeCell ref="C183:N183"/>
    <mergeCell ref="C184:N184"/>
    <mergeCell ref="D185:G185"/>
    <mergeCell ref="M185:N185"/>
    <mergeCell ref="D186:G186"/>
    <mergeCell ref="M186:N186"/>
    <mergeCell ref="L211:M211"/>
    <mergeCell ref="D214:I214"/>
    <mergeCell ref="L214:M214"/>
    <mergeCell ref="D215:I215"/>
    <mergeCell ref="L215:M215"/>
    <mergeCell ref="D218:G218"/>
    <mergeCell ref="L218:M218"/>
    <mergeCell ref="D208:I208"/>
    <mergeCell ref="L208:M208"/>
    <mergeCell ref="D209:I209"/>
    <mergeCell ref="L209:M209"/>
    <mergeCell ref="D210:I210"/>
    <mergeCell ref="L210:M210"/>
    <mergeCell ref="D205:I205"/>
    <mergeCell ref="L205:M205"/>
    <mergeCell ref="D206:I206"/>
    <mergeCell ref="L206:M206"/>
    <mergeCell ref="D207:I207"/>
    <mergeCell ref="L207:M207"/>
    <mergeCell ref="C232:N232"/>
    <mergeCell ref="D233:G233"/>
    <mergeCell ref="D234:G234"/>
    <mergeCell ref="D237:H237"/>
    <mergeCell ref="D238:H238"/>
    <mergeCell ref="D239:H239"/>
    <mergeCell ref="B226:M226"/>
    <mergeCell ref="B229:D229"/>
    <mergeCell ref="E229:K229"/>
    <mergeCell ref="M229:N229"/>
    <mergeCell ref="C230:N230"/>
    <mergeCell ref="C231:N231"/>
    <mergeCell ref="D219:G219"/>
    <mergeCell ref="L219:M219"/>
    <mergeCell ref="D220:G220"/>
    <mergeCell ref="L220:M220"/>
    <mergeCell ref="D221:G221"/>
    <mergeCell ref="L221:M221"/>
    <mergeCell ref="D260:I260"/>
    <mergeCell ref="D261:I261"/>
    <mergeCell ref="D262:I262"/>
    <mergeCell ref="D263:I263"/>
    <mergeCell ref="D266:I266"/>
    <mergeCell ref="D267:I267"/>
    <mergeCell ref="D254:I254"/>
    <mergeCell ref="D255:I255"/>
    <mergeCell ref="D256:I256"/>
    <mergeCell ref="E257:I257"/>
    <mergeCell ref="D258:I258"/>
    <mergeCell ref="D259:I259"/>
    <mergeCell ref="D240:H240"/>
    <mergeCell ref="D241:H241"/>
    <mergeCell ref="D244:H244"/>
    <mergeCell ref="D245:H245"/>
    <mergeCell ref="D252:I252"/>
    <mergeCell ref="D253:I253"/>
    <mergeCell ref="D286:G286"/>
    <mergeCell ref="L286:M286"/>
    <mergeCell ref="D287:G287"/>
    <mergeCell ref="L287:M287"/>
    <mergeCell ref="C281:N281"/>
    <mergeCell ref="C282:N282"/>
    <mergeCell ref="C283:N283"/>
    <mergeCell ref="D284:G284"/>
    <mergeCell ref="L284:M284"/>
    <mergeCell ref="D285:G285"/>
    <mergeCell ref="L285:M285"/>
    <mergeCell ref="D270:G270"/>
    <mergeCell ref="D271:G271"/>
    <mergeCell ref="B276:M276"/>
    <mergeCell ref="B280:D280"/>
    <mergeCell ref="E280:K280"/>
    <mergeCell ref="L280:N280"/>
    <mergeCell ref="D288:G288"/>
    <mergeCell ref="L288:M288"/>
    <mergeCell ref="D289:G289"/>
    <mergeCell ref="L289:M289"/>
    <mergeCell ref="D308:I308"/>
    <mergeCell ref="L308:M308"/>
    <mergeCell ref="D310:I310"/>
    <mergeCell ref="L310:M310"/>
    <mergeCell ref="D311:I311"/>
    <mergeCell ref="L311:M311"/>
    <mergeCell ref="D307:I307"/>
    <mergeCell ref="L307:M307"/>
    <mergeCell ref="D292:H292"/>
    <mergeCell ref="D293:H293"/>
    <mergeCell ref="D294:H294"/>
    <mergeCell ref="D295:H295"/>
    <mergeCell ref="D296:H296"/>
    <mergeCell ref="D299:H299"/>
    <mergeCell ref="L299:M299"/>
    <mergeCell ref="D300:H300"/>
    <mergeCell ref="L300:M300"/>
    <mergeCell ref="D309:I309"/>
    <mergeCell ref="L309:M309"/>
    <mergeCell ref="D322:G322"/>
    <mergeCell ref="L322:M322"/>
    <mergeCell ref="D323:G323"/>
    <mergeCell ref="L323:M323"/>
    <mergeCell ref="B333:D333"/>
    <mergeCell ref="E333:K333"/>
    <mergeCell ref="L333:N333"/>
    <mergeCell ref="D312:I312"/>
    <mergeCell ref="L312:M312"/>
    <mergeCell ref="D313:I313"/>
    <mergeCell ref="L313:M313"/>
    <mergeCell ref="D314:I314"/>
    <mergeCell ref="L314:M314"/>
    <mergeCell ref="D315:I315"/>
    <mergeCell ref="L315:M315"/>
    <mergeCell ref="D318:I318"/>
    <mergeCell ref="L318:M318"/>
    <mergeCell ref="D319:I319"/>
    <mergeCell ref="L319:M319"/>
    <mergeCell ref="D324:G324"/>
    <mergeCell ref="L324:M324"/>
    <mergeCell ref="D325:G325"/>
    <mergeCell ref="L325:M325"/>
    <mergeCell ref="B330:M330"/>
    <mergeCell ref="D343:H343"/>
    <mergeCell ref="R343:V343"/>
    <mergeCell ref="D344:H344"/>
    <mergeCell ref="R344:V344"/>
    <mergeCell ref="D345:H345"/>
    <mergeCell ref="D346:H346"/>
    <mergeCell ref="D339:G339"/>
    <mergeCell ref="L339:M339"/>
    <mergeCell ref="D340:G340"/>
    <mergeCell ref="L340:M340"/>
    <mergeCell ref="R341:V341"/>
    <mergeCell ref="R342:V342"/>
    <mergeCell ref="C334:N334"/>
    <mergeCell ref="C335:N335"/>
    <mergeCell ref="C336:N336"/>
    <mergeCell ref="D337:G337"/>
    <mergeCell ref="L337:M337"/>
    <mergeCell ref="D338:G338"/>
    <mergeCell ref="L338:M338"/>
    <mergeCell ref="D362:I362"/>
    <mergeCell ref="L362:M362"/>
    <mergeCell ref="D363:I363"/>
    <mergeCell ref="L363:M363"/>
    <mergeCell ref="D364:I364"/>
    <mergeCell ref="L364:M364"/>
    <mergeCell ref="D359:I359"/>
    <mergeCell ref="L359:M359"/>
    <mergeCell ref="D360:I360"/>
    <mergeCell ref="L360:M360"/>
    <mergeCell ref="D361:I361"/>
    <mergeCell ref="L361:M361"/>
    <mergeCell ref="D347:H347"/>
    <mergeCell ref="D350:H350"/>
    <mergeCell ref="L350:M350"/>
    <mergeCell ref="D351:H351"/>
    <mergeCell ref="L351:M351"/>
    <mergeCell ref="D358:I358"/>
    <mergeCell ref="L358:M358"/>
    <mergeCell ref="D376:G376"/>
    <mergeCell ref="L376:M376"/>
    <mergeCell ref="B381:M381"/>
    <mergeCell ref="B385:D385"/>
    <mergeCell ref="E385:K385"/>
    <mergeCell ref="L385:N385"/>
    <mergeCell ref="D373:G373"/>
    <mergeCell ref="L373:M373"/>
    <mergeCell ref="D374:G374"/>
    <mergeCell ref="L374:M374"/>
    <mergeCell ref="D375:G375"/>
    <mergeCell ref="L375:M375"/>
    <mergeCell ref="D365:I365"/>
    <mergeCell ref="L365:M365"/>
    <mergeCell ref="L366:M366"/>
    <mergeCell ref="D369:I369"/>
    <mergeCell ref="L369:M369"/>
    <mergeCell ref="D370:I370"/>
    <mergeCell ref="L370:M370"/>
    <mergeCell ref="D397:H397"/>
    <mergeCell ref="D400:H400"/>
    <mergeCell ref="L400:M400"/>
    <mergeCell ref="D401:H401"/>
    <mergeCell ref="L401:M401"/>
    <mergeCell ref="D408:I408"/>
    <mergeCell ref="L408:M408"/>
    <mergeCell ref="D391:G391"/>
    <mergeCell ref="L391:M391"/>
    <mergeCell ref="D392:G392"/>
    <mergeCell ref="L392:M392"/>
    <mergeCell ref="D395:H395"/>
    <mergeCell ref="D396:H396"/>
    <mergeCell ref="C386:N386"/>
    <mergeCell ref="C387:N387"/>
    <mergeCell ref="C388:N388"/>
    <mergeCell ref="D389:G389"/>
    <mergeCell ref="L389:M389"/>
    <mergeCell ref="D390:G390"/>
    <mergeCell ref="L390:M390"/>
    <mergeCell ref="D419:G419"/>
    <mergeCell ref="L419:M419"/>
    <mergeCell ref="D420:G420"/>
    <mergeCell ref="L420:M420"/>
    <mergeCell ref="B425:M425"/>
    <mergeCell ref="B429:D429"/>
    <mergeCell ref="E429:K429"/>
    <mergeCell ref="M429:N429"/>
    <mergeCell ref="D414:I414"/>
    <mergeCell ref="L414:M414"/>
    <mergeCell ref="D417:G417"/>
    <mergeCell ref="L417:M417"/>
    <mergeCell ref="D418:G418"/>
    <mergeCell ref="L418:M418"/>
    <mergeCell ref="D409:I409"/>
    <mergeCell ref="L409:M409"/>
    <mergeCell ref="D410:I410"/>
    <mergeCell ref="L410:M410"/>
    <mergeCell ref="D413:I413"/>
    <mergeCell ref="L413:M413"/>
    <mergeCell ref="D442:H442"/>
    <mergeCell ref="D445:H445"/>
    <mergeCell ref="L445:M445"/>
    <mergeCell ref="D446:H446"/>
    <mergeCell ref="L446:M446"/>
    <mergeCell ref="D453:I453"/>
    <mergeCell ref="L453:M453"/>
    <mergeCell ref="D436:G436"/>
    <mergeCell ref="L436:M436"/>
    <mergeCell ref="D437:G437"/>
    <mergeCell ref="L437:M437"/>
    <mergeCell ref="D440:H440"/>
    <mergeCell ref="D441:H441"/>
    <mergeCell ref="C430:N430"/>
    <mergeCell ref="C431:N431"/>
    <mergeCell ref="C432:N432"/>
    <mergeCell ref="D433:G433"/>
    <mergeCell ref="L433:M433"/>
    <mergeCell ref="D434:G434"/>
    <mergeCell ref="L434:M434"/>
    <mergeCell ref="D435:G435"/>
    <mergeCell ref="L435:M435"/>
    <mergeCell ref="D462:I462"/>
    <mergeCell ref="L462:M462"/>
    <mergeCell ref="D465:G465"/>
    <mergeCell ref="L465:M465"/>
    <mergeCell ref="D466:G466"/>
    <mergeCell ref="L466:M466"/>
    <mergeCell ref="D457:I457"/>
    <mergeCell ref="L457:M457"/>
    <mergeCell ref="D458:I458"/>
    <mergeCell ref="L458:M458"/>
    <mergeCell ref="D461:I461"/>
    <mergeCell ref="L461:M461"/>
    <mergeCell ref="D454:I454"/>
    <mergeCell ref="L454:M454"/>
    <mergeCell ref="D455:I455"/>
    <mergeCell ref="L455:M455"/>
    <mergeCell ref="D456:I456"/>
    <mergeCell ref="L456:M456"/>
    <mergeCell ref="D483:G483"/>
    <mergeCell ref="L483:M483"/>
    <mergeCell ref="D484:G484"/>
    <mergeCell ref="L484:M484"/>
    <mergeCell ref="D487:H487"/>
    <mergeCell ref="D488:H488"/>
    <mergeCell ref="C478:N478"/>
    <mergeCell ref="C479:N479"/>
    <mergeCell ref="C480:N480"/>
    <mergeCell ref="D481:G481"/>
    <mergeCell ref="L481:M481"/>
    <mergeCell ref="D482:G482"/>
    <mergeCell ref="L482:M482"/>
    <mergeCell ref="D467:G467"/>
    <mergeCell ref="L467:M467"/>
    <mergeCell ref="D468:G468"/>
    <mergeCell ref="L468:M468"/>
    <mergeCell ref="B473:M473"/>
    <mergeCell ref="B477:D477"/>
    <mergeCell ref="E477:K477"/>
    <mergeCell ref="L477:N477"/>
    <mergeCell ref="D504:I504"/>
    <mergeCell ref="L504:M504"/>
    <mergeCell ref="D505:I505"/>
    <mergeCell ref="L505:M505"/>
    <mergeCell ref="D508:I508"/>
    <mergeCell ref="L508:M508"/>
    <mergeCell ref="D501:I501"/>
    <mergeCell ref="L501:M501"/>
    <mergeCell ref="D502:I502"/>
    <mergeCell ref="L502:M502"/>
    <mergeCell ref="D503:I503"/>
    <mergeCell ref="L503:M503"/>
    <mergeCell ref="D489:H489"/>
    <mergeCell ref="D492:H492"/>
    <mergeCell ref="L492:M492"/>
    <mergeCell ref="D493:H493"/>
    <mergeCell ref="L493:M493"/>
    <mergeCell ref="D500:I500"/>
    <mergeCell ref="L500:M500"/>
    <mergeCell ref="C526:N526"/>
    <mergeCell ref="C527:N527"/>
    <mergeCell ref="C528:N528"/>
    <mergeCell ref="D529:G529"/>
    <mergeCell ref="L529:M529"/>
    <mergeCell ref="D530:G530"/>
    <mergeCell ref="L530:M530"/>
    <mergeCell ref="D514:G514"/>
    <mergeCell ref="L514:M514"/>
    <mergeCell ref="D515:G515"/>
    <mergeCell ref="L515:M515"/>
    <mergeCell ref="B520:M520"/>
    <mergeCell ref="B525:D525"/>
    <mergeCell ref="E525:K525"/>
    <mergeCell ref="L525:N525"/>
    <mergeCell ref="D509:I509"/>
    <mergeCell ref="L509:M509"/>
    <mergeCell ref="D512:G512"/>
    <mergeCell ref="L512:M512"/>
    <mergeCell ref="D513:G513"/>
    <mergeCell ref="L513:M513"/>
    <mergeCell ref="D549:I549"/>
    <mergeCell ref="L549:M549"/>
    <mergeCell ref="D552:I552"/>
    <mergeCell ref="L552:M552"/>
    <mergeCell ref="D553:I553"/>
    <mergeCell ref="L553:M553"/>
    <mergeCell ref="D546:I546"/>
    <mergeCell ref="L546:M546"/>
    <mergeCell ref="D547:I547"/>
    <mergeCell ref="L547:M547"/>
    <mergeCell ref="D548:I548"/>
    <mergeCell ref="L548:M548"/>
    <mergeCell ref="D533:H533"/>
    <mergeCell ref="D534:H534"/>
    <mergeCell ref="D535:H535"/>
    <mergeCell ref="D538:H538"/>
    <mergeCell ref="L538:M538"/>
    <mergeCell ref="D539:H539"/>
    <mergeCell ref="L539:M539"/>
    <mergeCell ref="C569:N569"/>
    <mergeCell ref="C570:N570"/>
    <mergeCell ref="C571:N571"/>
    <mergeCell ref="D572:G572"/>
    <mergeCell ref="L572:M572"/>
    <mergeCell ref="D573:G573"/>
    <mergeCell ref="L573:M573"/>
    <mergeCell ref="D559:G559"/>
    <mergeCell ref="L559:M559"/>
    <mergeCell ref="B564:M564"/>
    <mergeCell ref="B568:D568"/>
    <mergeCell ref="E568:K568"/>
    <mergeCell ref="L568:N568"/>
    <mergeCell ref="D556:G556"/>
    <mergeCell ref="L556:M556"/>
    <mergeCell ref="D557:G557"/>
    <mergeCell ref="L557:M557"/>
    <mergeCell ref="D558:G558"/>
    <mergeCell ref="L558:M558"/>
    <mergeCell ref="L613:N613"/>
    <mergeCell ref="C614:N614"/>
    <mergeCell ref="C615:N615"/>
    <mergeCell ref="D592:I592"/>
    <mergeCell ref="L592:M592"/>
    <mergeCell ref="D593:I593"/>
    <mergeCell ref="L593:M593"/>
    <mergeCell ref="D596:I596"/>
    <mergeCell ref="L596:M596"/>
    <mergeCell ref="D589:I589"/>
    <mergeCell ref="L589:M589"/>
    <mergeCell ref="D590:I590"/>
    <mergeCell ref="L590:M590"/>
    <mergeCell ref="D591:I591"/>
    <mergeCell ref="L591:M591"/>
    <mergeCell ref="D576:H576"/>
    <mergeCell ref="D577:H577"/>
    <mergeCell ref="D578:H578"/>
    <mergeCell ref="D581:H581"/>
    <mergeCell ref="L581:M581"/>
    <mergeCell ref="D582:H582"/>
    <mergeCell ref="L582:M582"/>
    <mergeCell ref="D627:H627"/>
    <mergeCell ref="D628:H628"/>
    <mergeCell ref="D630:H630"/>
    <mergeCell ref="L630:M630"/>
    <mergeCell ref="D631:H631"/>
    <mergeCell ref="L631:M631"/>
    <mergeCell ref="D602:G602"/>
    <mergeCell ref="L602:M602"/>
    <mergeCell ref="D603:G603"/>
    <mergeCell ref="L603:M603"/>
    <mergeCell ref="B608:M608"/>
    <mergeCell ref="D597:I597"/>
    <mergeCell ref="L597:M597"/>
    <mergeCell ref="D600:G600"/>
    <mergeCell ref="L600:M600"/>
    <mergeCell ref="D601:G601"/>
    <mergeCell ref="L601:M601"/>
    <mergeCell ref="D620:G620"/>
    <mergeCell ref="L620:M620"/>
    <mergeCell ref="D623:H623"/>
    <mergeCell ref="D624:H624"/>
    <mergeCell ref="D625:H625"/>
    <mergeCell ref="D626:H626"/>
    <mergeCell ref="C616:N616"/>
    <mergeCell ref="D617:G617"/>
    <mergeCell ref="L617:M617"/>
    <mergeCell ref="D618:G618"/>
    <mergeCell ref="L618:M618"/>
    <mergeCell ref="D619:G619"/>
    <mergeCell ref="L619:M619"/>
    <mergeCell ref="B613:D613"/>
    <mergeCell ref="E613:K613"/>
    <mergeCell ref="D644:I644"/>
    <mergeCell ref="L644:M644"/>
    <mergeCell ref="D645:I645"/>
    <mergeCell ref="L645:M645"/>
    <mergeCell ref="D647:I647"/>
    <mergeCell ref="L647:M647"/>
    <mergeCell ref="D646:I646"/>
    <mergeCell ref="L646:M646"/>
    <mergeCell ref="D641:I641"/>
    <mergeCell ref="L641:M641"/>
    <mergeCell ref="D642:I642"/>
    <mergeCell ref="L642:M642"/>
    <mergeCell ref="D643:I643"/>
    <mergeCell ref="L643:M643"/>
    <mergeCell ref="D638:I638"/>
    <mergeCell ref="L638:M638"/>
    <mergeCell ref="D639:I639"/>
    <mergeCell ref="L639:M639"/>
    <mergeCell ref="D640:I640"/>
    <mergeCell ref="L640:M640"/>
    <mergeCell ref="B662:M662"/>
    <mergeCell ref="B666:D666"/>
    <mergeCell ref="E666:K666"/>
    <mergeCell ref="L666:N666"/>
    <mergeCell ref="C667:N667"/>
    <mergeCell ref="C668:N668"/>
    <mergeCell ref="D655:G655"/>
    <mergeCell ref="L655:M655"/>
    <mergeCell ref="D656:G656"/>
    <mergeCell ref="L656:M656"/>
    <mergeCell ref="D657:G657"/>
    <mergeCell ref="L657:M657"/>
    <mergeCell ref="D650:I650"/>
    <mergeCell ref="L650:M650"/>
    <mergeCell ref="D651:I651"/>
    <mergeCell ref="L651:M651"/>
    <mergeCell ref="D654:G654"/>
    <mergeCell ref="L654:M654"/>
    <mergeCell ref="D681:H681"/>
    <mergeCell ref="D684:H684"/>
    <mergeCell ref="L684:M684"/>
    <mergeCell ref="D685:H685"/>
    <mergeCell ref="L685:M685"/>
    <mergeCell ref="D692:I692"/>
    <mergeCell ref="L692:M692"/>
    <mergeCell ref="D675:H675"/>
    <mergeCell ref="D676:H676"/>
    <mergeCell ref="D677:H677"/>
    <mergeCell ref="D678:H678"/>
    <mergeCell ref="D679:H679"/>
    <mergeCell ref="D680:H680"/>
    <mergeCell ref="C669:N669"/>
    <mergeCell ref="D670:G670"/>
    <mergeCell ref="L670:M670"/>
    <mergeCell ref="D671:G671"/>
    <mergeCell ref="L671:M671"/>
    <mergeCell ref="D672:G672"/>
    <mergeCell ref="L672:M672"/>
    <mergeCell ref="D699:I699"/>
    <mergeCell ref="L699:M699"/>
    <mergeCell ref="D700:I700"/>
    <mergeCell ref="L700:M700"/>
    <mergeCell ref="D701:I701"/>
    <mergeCell ref="L701:M701"/>
    <mergeCell ref="D696:I696"/>
    <mergeCell ref="L696:M696"/>
    <mergeCell ref="D697:I697"/>
    <mergeCell ref="L697:M697"/>
    <mergeCell ref="D698:I698"/>
    <mergeCell ref="L698:M698"/>
    <mergeCell ref="D693:I693"/>
    <mergeCell ref="L693:M693"/>
    <mergeCell ref="D694:I694"/>
    <mergeCell ref="L694:M694"/>
    <mergeCell ref="D695:I695"/>
    <mergeCell ref="L695:M695"/>
    <mergeCell ref="D708:I708"/>
    <mergeCell ref="L708:M708"/>
    <mergeCell ref="D711:I711"/>
    <mergeCell ref="L711:M711"/>
    <mergeCell ref="D712:I712"/>
    <mergeCell ref="L712:M712"/>
    <mergeCell ref="D705:I705"/>
    <mergeCell ref="L705:M705"/>
    <mergeCell ref="D706:I706"/>
    <mergeCell ref="L706:M706"/>
    <mergeCell ref="D707:I707"/>
    <mergeCell ref="L707:M707"/>
    <mergeCell ref="D702:I702"/>
    <mergeCell ref="L702:M702"/>
    <mergeCell ref="D703:I703"/>
    <mergeCell ref="L703:M703"/>
    <mergeCell ref="D704:I704"/>
    <mergeCell ref="L704:M704"/>
    <mergeCell ref="C728:N728"/>
    <mergeCell ref="C729:N729"/>
    <mergeCell ref="C730:N730"/>
    <mergeCell ref="D731:G731"/>
    <mergeCell ref="L731:M731"/>
    <mergeCell ref="D732:G732"/>
    <mergeCell ref="L732:M732"/>
    <mergeCell ref="D718:G718"/>
    <mergeCell ref="L718:M718"/>
    <mergeCell ref="B723:M723"/>
    <mergeCell ref="B727:D727"/>
    <mergeCell ref="E727:K727"/>
    <mergeCell ref="L727:N727"/>
    <mergeCell ref="D715:G715"/>
    <mergeCell ref="L715:M715"/>
    <mergeCell ref="D716:G716"/>
    <mergeCell ref="L716:M716"/>
    <mergeCell ref="D717:G717"/>
    <mergeCell ref="L717:M717"/>
    <mergeCell ref="D753:I753"/>
    <mergeCell ref="L753:M753"/>
    <mergeCell ref="D754:I754"/>
    <mergeCell ref="L754:M754"/>
    <mergeCell ref="D757:G757"/>
    <mergeCell ref="L757:M757"/>
    <mergeCell ref="D748:I748"/>
    <mergeCell ref="L748:M748"/>
    <mergeCell ref="D749:I749"/>
    <mergeCell ref="L749:M749"/>
    <mergeCell ref="D752:I752"/>
    <mergeCell ref="L752:M752"/>
    <mergeCell ref="D735:H735"/>
    <mergeCell ref="D736:H736"/>
    <mergeCell ref="D737:H737"/>
    <mergeCell ref="D740:H740"/>
    <mergeCell ref="L740:M740"/>
    <mergeCell ref="D741:H741"/>
    <mergeCell ref="L741:M741"/>
    <mergeCell ref="C772:N772"/>
    <mergeCell ref="D773:G773"/>
    <mergeCell ref="L773:M773"/>
    <mergeCell ref="D774:G774"/>
    <mergeCell ref="L774:M774"/>
    <mergeCell ref="D777:H777"/>
    <mergeCell ref="B765:M765"/>
    <mergeCell ref="B769:D769"/>
    <mergeCell ref="E769:K769"/>
    <mergeCell ref="L769:N769"/>
    <mergeCell ref="C770:N770"/>
    <mergeCell ref="C771:N771"/>
    <mergeCell ref="D758:G758"/>
    <mergeCell ref="L758:M758"/>
    <mergeCell ref="D759:G759"/>
    <mergeCell ref="L759:M759"/>
    <mergeCell ref="D760:G760"/>
    <mergeCell ref="L760:M760"/>
    <mergeCell ref="D795:I795"/>
    <mergeCell ref="L795:M795"/>
    <mergeCell ref="D796:I796"/>
    <mergeCell ref="L796:M796"/>
    <mergeCell ref="D799:G799"/>
    <mergeCell ref="L799:M799"/>
    <mergeCell ref="D790:I790"/>
    <mergeCell ref="L790:M790"/>
    <mergeCell ref="D791:I791"/>
    <mergeCell ref="L791:M791"/>
    <mergeCell ref="D794:I794"/>
    <mergeCell ref="L794:M794"/>
    <mergeCell ref="D778:H778"/>
    <mergeCell ref="D779:H779"/>
    <mergeCell ref="D782:H782"/>
    <mergeCell ref="L782:M782"/>
    <mergeCell ref="D783:H783"/>
    <mergeCell ref="L783:M783"/>
    <mergeCell ref="C814:N814"/>
    <mergeCell ref="D815:G815"/>
    <mergeCell ref="L815:M815"/>
    <mergeCell ref="D816:G816"/>
    <mergeCell ref="L816:M816"/>
    <mergeCell ref="D819:H819"/>
    <mergeCell ref="B807:M807"/>
    <mergeCell ref="B811:D811"/>
    <mergeCell ref="E811:K811"/>
    <mergeCell ref="L811:N811"/>
    <mergeCell ref="C812:N812"/>
    <mergeCell ref="C813:N813"/>
    <mergeCell ref="D800:G800"/>
    <mergeCell ref="L800:M800"/>
    <mergeCell ref="D801:G801"/>
    <mergeCell ref="L801:M801"/>
    <mergeCell ref="D802:G802"/>
    <mergeCell ref="L802:M802"/>
    <mergeCell ref="D837:I837"/>
    <mergeCell ref="L837:M837"/>
    <mergeCell ref="D838:I838"/>
    <mergeCell ref="L838:M838"/>
    <mergeCell ref="D841:G841"/>
    <mergeCell ref="L841:M841"/>
    <mergeCell ref="D832:I832"/>
    <mergeCell ref="L832:M832"/>
    <mergeCell ref="D833:I833"/>
    <mergeCell ref="L833:M833"/>
    <mergeCell ref="D836:I836"/>
    <mergeCell ref="L836:M836"/>
    <mergeCell ref="D820:H820"/>
    <mergeCell ref="D821:H821"/>
    <mergeCell ref="D824:H824"/>
    <mergeCell ref="L824:M824"/>
    <mergeCell ref="D825:H825"/>
    <mergeCell ref="L825:M825"/>
    <mergeCell ref="C856:N856"/>
    <mergeCell ref="D857:G857"/>
    <mergeCell ref="L857:M857"/>
    <mergeCell ref="D858:G858"/>
    <mergeCell ref="L858:M858"/>
    <mergeCell ref="D861:H861"/>
    <mergeCell ref="B849:M849"/>
    <mergeCell ref="B853:D853"/>
    <mergeCell ref="E853:K853"/>
    <mergeCell ref="L853:N853"/>
    <mergeCell ref="C854:N854"/>
    <mergeCell ref="C855:N855"/>
    <mergeCell ref="D842:G842"/>
    <mergeCell ref="L842:M842"/>
    <mergeCell ref="D843:G843"/>
    <mergeCell ref="L843:M843"/>
    <mergeCell ref="D844:G844"/>
    <mergeCell ref="L844:M844"/>
    <mergeCell ref="D879:I879"/>
    <mergeCell ref="L879:M879"/>
    <mergeCell ref="D880:I880"/>
    <mergeCell ref="L880:M880"/>
    <mergeCell ref="D883:G883"/>
    <mergeCell ref="L883:M883"/>
    <mergeCell ref="D874:I874"/>
    <mergeCell ref="L874:M874"/>
    <mergeCell ref="D875:I875"/>
    <mergeCell ref="L875:M875"/>
    <mergeCell ref="D878:I878"/>
    <mergeCell ref="L878:M878"/>
    <mergeCell ref="D862:H862"/>
    <mergeCell ref="D863:H863"/>
    <mergeCell ref="D866:H866"/>
    <mergeCell ref="L866:M866"/>
    <mergeCell ref="D867:H867"/>
    <mergeCell ref="L867:M867"/>
    <mergeCell ref="C898:N898"/>
    <mergeCell ref="D899:G899"/>
    <mergeCell ref="L899:M899"/>
    <mergeCell ref="D900:G900"/>
    <mergeCell ref="L900:M900"/>
    <mergeCell ref="D904:H904"/>
    <mergeCell ref="B891:M891"/>
    <mergeCell ref="B895:D895"/>
    <mergeCell ref="E895:K895"/>
    <mergeCell ref="L895:N895"/>
    <mergeCell ref="C896:N896"/>
    <mergeCell ref="C897:N897"/>
    <mergeCell ref="D884:G884"/>
    <mergeCell ref="L884:M884"/>
    <mergeCell ref="D885:G885"/>
    <mergeCell ref="L885:M885"/>
    <mergeCell ref="D886:G886"/>
    <mergeCell ref="L886:M886"/>
    <mergeCell ref="D901:G901"/>
    <mergeCell ref="L901:M901"/>
    <mergeCell ref="D922:I922"/>
    <mergeCell ref="L922:M922"/>
    <mergeCell ref="D923:I923"/>
    <mergeCell ref="L923:M923"/>
    <mergeCell ref="D926:G926"/>
    <mergeCell ref="L926:M926"/>
    <mergeCell ref="D917:I917"/>
    <mergeCell ref="L917:M917"/>
    <mergeCell ref="D918:I918"/>
    <mergeCell ref="L918:M918"/>
    <mergeCell ref="D921:I921"/>
    <mergeCell ref="L921:M921"/>
    <mergeCell ref="D905:H905"/>
    <mergeCell ref="D908:H908"/>
    <mergeCell ref="L908:M908"/>
    <mergeCell ref="D909:H909"/>
    <mergeCell ref="L909:M909"/>
    <mergeCell ref="D916:I916"/>
    <mergeCell ref="L916:M916"/>
    <mergeCell ref="C942:N942"/>
    <mergeCell ref="D943:G943"/>
    <mergeCell ref="L943:M943"/>
    <mergeCell ref="D944:G944"/>
    <mergeCell ref="L944:M944"/>
    <mergeCell ref="D947:H947"/>
    <mergeCell ref="B934:M934"/>
    <mergeCell ref="B939:D939"/>
    <mergeCell ref="E939:K939"/>
    <mergeCell ref="L939:N939"/>
    <mergeCell ref="C940:N940"/>
    <mergeCell ref="C941:N941"/>
    <mergeCell ref="D927:G927"/>
    <mergeCell ref="L927:M927"/>
    <mergeCell ref="D928:G928"/>
    <mergeCell ref="L928:M928"/>
    <mergeCell ref="D929:G929"/>
    <mergeCell ref="L929:M929"/>
    <mergeCell ref="D963:I963"/>
    <mergeCell ref="L963:M963"/>
    <mergeCell ref="D964:I964"/>
    <mergeCell ref="L964:M964"/>
    <mergeCell ref="D967:I967"/>
    <mergeCell ref="L967:M967"/>
    <mergeCell ref="D960:I960"/>
    <mergeCell ref="L960:M960"/>
    <mergeCell ref="D961:I961"/>
    <mergeCell ref="L961:M961"/>
    <mergeCell ref="D962:I962"/>
    <mergeCell ref="L962:M962"/>
    <mergeCell ref="D948:H948"/>
    <mergeCell ref="D949:H949"/>
    <mergeCell ref="D952:H952"/>
    <mergeCell ref="L952:M952"/>
    <mergeCell ref="D953:H953"/>
    <mergeCell ref="L953:M953"/>
    <mergeCell ref="B980:M980"/>
    <mergeCell ref="B983:D983"/>
    <mergeCell ref="E983:K983"/>
    <mergeCell ref="L983:N983"/>
    <mergeCell ref="C984:N984"/>
    <mergeCell ref="C985:N985"/>
    <mergeCell ref="D973:G973"/>
    <mergeCell ref="L973:M973"/>
    <mergeCell ref="D974:G974"/>
    <mergeCell ref="L974:M974"/>
    <mergeCell ref="D975:G975"/>
    <mergeCell ref="L975:M975"/>
    <mergeCell ref="D968:I968"/>
    <mergeCell ref="L968:M968"/>
    <mergeCell ref="D969:I969"/>
    <mergeCell ref="L969:M969"/>
    <mergeCell ref="D972:G972"/>
    <mergeCell ref="L972:M972"/>
    <mergeCell ref="D1004:I1004"/>
    <mergeCell ref="L1004:M1004"/>
    <mergeCell ref="D1005:I1005"/>
    <mergeCell ref="L1005:M1005"/>
    <mergeCell ref="D1006:I1006"/>
    <mergeCell ref="L1006:M1006"/>
    <mergeCell ref="D992:H992"/>
    <mergeCell ref="D993:H993"/>
    <mergeCell ref="D996:H996"/>
    <mergeCell ref="L996:M996"/>
    <mergeCell ref="D997:H997"/>
    <mergeCell ref="L997:M997"/>
    <mergeCell ref="C986:N986"/>
    <mergeCell ref="D987:G987"/>
    <mergeCell ref="L987:M987"/>
    <mergeCell ref="D988:G988"/>
    <mergeCell ref="L988:M988"/>
    <mergeCell ref="D991:H991"/>
    <mergeCell ref="D1017:G1017"/>
    <mergeCell ref="L1017:M1017"/>
    <mergeCell ref="D1018:G1018"/>
    <mergeCell ref="L1018:M1018"/>
    <mergeCell ref="D1019:G1019"/>
    <mergeCell ref="L1019:M1019"/>
    <mergeCell ref="D1012:I1012"/>
    <mergeCell ref="L1012:M1012"/>
    <mergeCell ref="D1013:I1013"/>
    <mergeCell ref="L1013:M1013"/>
    <mergeCell ref="D1016:G1016"/>
    <mergeCell ref="L1016:M1016"/>
    <mergeCell ref="D1007:I1007"/>
    <mergeCell ref="L1007:M1007"/>
    <mergeCell ref="D1008:I1008"/>
    <mergeCell ref="L1008:M1008"/>
    <mergeCell ref="D1011:I1011"/>
    <mergeCell ref="L1011:M1011"/>
    <mergeCell ref="D1040:H1040"/>
    <mergeCell ref="D1041:H1041"/>
    <mergeCell ref="D1048:I1048"/>
    <mergeCell ref="D1049:I1049"/>
    <mergeCell ref="D1050:I1050"/>
    <mergeCell ref="D1053:I1053"/>
    <mergeCell ref="C1030:N1030"/>
    <mergeCell ref="D1031:G1031"/>
    <mergeCell ref="D1032:G1032"/>
    <mergeCell ref="D1035:H1035"/>
    <mergeCell ref="D1036:H1036"/>
    <mergeCell ref="D1037:H1037"/>
    <mergeCell ref="B1024:M1024"/>
    <mergeCell ref="B1027:D1027"/>
    <mergeCell ref="E1027:K1027"/>
    <mergeCell ref="M1027:N1027"/>
    <mergeCell ref="C1028:N1028"/>
    <mergeCell ref="C1029:N1029"/>
    <mergeCell ref="D1075:H1075"/>
    <mergeCell ref="D1076:H1076"/>
    <mergeCell ref="D1079:H1079"/>
    <mergeCell ref="D1080:H1080"/>
    <mergeCell ref="D1087:I1087"/>
    <mergeCell ref="D1088:I1088"/>
    <mergeCell ref="C1067:N1067"/>
    <mergeCell ref="C1068:N1068"/>
    <mergeCell ref="C1069:N1069"/>
    <mergeCell ref="D1070:G1070"/>
    <mergeCell ref="D1071:G1071"/>
    <mergeCell ref="D1074:H1074"/>
    <mergeCell ref="D1054:I1054"/>
    <mergeCell ref="D1057:G1057"/>
    <mergeCell ref="D1058:G1058"/>
    <mergeCell ref="B1063:M1063"/>
    <mergeCell ref="B1066:D1066"/>
    <mergeCell ref="E1066:K1066"/>
    <mergeCell ref="M1066:N1066"/>
    <mergeCell ref="D1109:G1109"/>
    <mergeCell ref="D1110:G1110"/>
    <mergeCell ref="D1113:H1113"/>
    <mergeCell ref="D1114:H1114"/>
    <mergeCell ref="D1115:H1115"/>
    <mergeCell ref="D1118:H1118"/>
    <mergeCell ref="B1105:D1105"/>
    <mergeCell ref="E1105:K1105"/>
    <mergeCell ref="M1105:N1105"/>
    <mergeCell ref="C1106:N1106"/>
    <mergeCell ref="C1107:N1107"/>
    <mergeCell ref="C1108:N1108"/>
    <mergeCell ref="D1089:I1089"/>
    <mergeCell ref="D1092:I1092"/>
    <mergeCell ref="D1093:I1093"/>
    <mergeCell ref="D1096:G1096"/>
    <mergeCell ref="D1097:G1097"/>
    <mergeCell ref="B1102:M1102"/>
    <mergeCell ref="C1145:N1145"/>
    <mergeCell ref="C1146:N1146"/>
    <mergeCell ref="C1147:N1147"/>
    <mergeCell ref="D1148:G1148"/>
    <mergeCell ref="D1149:G1149"/>
    <mergeCell ref="D1152:H1152"/>
    <mergeCell ref="D1135:G1135"/>
    <mergeCell ref="D1136:G1136"/>
    <mergeCell ref="B1141:M1141"/>
    <mergeCell ref="B1144:D1144"/>
    <mergeCell ref="E1144:K1144"/>
    <mergeCell ref="M1144:N1144"/>
    <mergeCell ref="D1119:H1119"/>
    <mergeCell ref="D1126:I1126"/>
    <mergeCell ref="D1127:I1127"/>
    <mergeCell ref="D1128:I1128"/>
    <mergeCell ref="D1131:I1131"/>
    <mergeCell ref="D1132:I1132"/>
    <mergeCell ref="B1183:D1183"/>
    <mergeCell ref="E1183:K1183"/>
    <mergeCell ref="M1183:N1183"/>
    <mergeCell ref="C1184:N1184"/>
    <mergeCell ref="C1185:N1185"/>
    <mergeCell ref="C1186:N1186"/>
    <mergeCell ref="D1167:I1167"/>
    <mergeCell ref="D1170:I1170"/>
    <mergeCell ref="D1171:I1171"/>
    <mergeCell ref="D1174:G1174"/>
    <mergeCell ref="D1175:G1175"/>
    <mergeCell ref="B1180:M1180"/>
    <mergeCell ref="D1153:H1153"/>
    <mergeCell ref="D1154:H1154"/>
    <mergeCell ref="D1157:H1157"/>
    <mergeCell ref="D1158:H1158"/>
    <mergeCell ref="D1165:I1165"/>
    <mergeCell ref="D1166:I1166"/>
    <mergeCell ref="D1213:G1213"/>
    <mergeCell ref="D1214:G1214"/>
    <mergeCell ref="B1219:M1219"/>
    <mergeCell ref="B1223:D1223"/>
    <mergeCell ref="E1223:K1223"/>
    <mergeCell ref="M1223:N1223"/>
    <mergeCell ref="D1197:H1197"/>
    <mergeCell ref="D1204:I1204"/>
    <mergeCell ref="D1205:I1205"/>
    <mergeCell ref="D1206:I1206"/>
    <mergeCell ref="D1209:I1209"/>
    <mergeCell ref="D1210:I1210"/>
    <mergeCell ref="D1187:G1187"/>
    <mergeCell ref="D1188:G1188"/>
    <mergeCell ref="D1191:H1191"/>
    <mergeCell ref="D1192:H1192"/>
    <mergeCell ref="D1193:H1193"/>
    <mergeCell ref="D1196:H1196"/>
    <mergeCell ref="D1248:I1248"/>
    <mergeCell ref="D1249:I1249"/>
    <mergeCell ref="D1252:G1252"/>
    <mergeCell ref="D1253:G1253"/>
    <mergeCell ref="B1258:M1258"/>
    <mergeCell ref="B1262:D1262"/>
    <mergeCell ref="E1262:K1262"/>
    <mergeCell ref="M1262:N1262"/>
    <mergeCell ref="D1232:H1232"/>
    <mergeCell ref="D1235:H1235"/>
    <mergeCell ref="D1236:H1236"/>
    <mergeCell ref="D1243:I1243"/>
    <mergeCell ref="D1244:I1244"/>
    <mergeCell ref="D1245:I1245"/>
    <mergeCell ref="C1224:N1224"/>
    <mergeCell ref="C1225:N1225"/>
    <mergeCell ref="C1226:N1226"/>
    <mergeCell ref="D1227:G1227"/>
    <mergeCell ref="D1228:G1228"/>
    <mergeCell ref="D1231:H1231"/>
    <mergeCell ref="D1285:I1285"/>
    <mergeCell ref="D1286:I1286"/>
    <mergeCell ref="D1287:I1287"/>
    <mergeCell ref="D1288:I1288"/>
    <mergeCell ref="D1291:I1291"/>
    <mergeCell ref="D1292:I1292"/>
    <mergeCell ref="D1271:H1271"/>
    <mergeCell ref="D1272:H1272"/>
    <mergeCell ref="D1275:H1275"/>
    <mergeCell ref="D1276:H1276"/>
    <mergeCell ref="D1283:I1283"/>
    <mergeCell ref="D1284:I1284"/>
    <mergeCell ref="C1263:N1263"/>
    <mergeCell ref="C1264:N1264"/>
    <mergeCell ref="C1265:N1265"/>
    <mergeCell ref="D1266:G1266"/>
    <mergeCell ref="D1267:G1267"/>
    <mergeCell ref="D1270:H1270"/>
    <mergeCell ref="D1313:H1313"/>
    <mergeCell ref="D1314:H1314"/>
    <mergeCell ref="D1317:H1317"/>
    <mergeCell ref="D1318:H1318"/>
    <mergeCell ref="D1325:I1325"/>
    <mergeCell ref="D1326:I1326"/>
    <mergeCell ref="C1305:N1305"/>
    <mergeCell ref="C1306:N1306"/>
    <mergeCell ref="C1307:N1307"/>
    <mergeCell ref="D1308:G1308"/>
    <mergeCell ref="D1309:G1309"/>
    <mergeCell ref="D1312:H1312"/>
    <mergeCell ref="D1295:G1295"/>
    <mergeCell ref="D1296:G1296"/>
    <mergeCell ref="B1301:M1301"/>
    <mergeCell ref="B1304:D1304"/>
    <mergeCell ref="E1304:K1304"/>
    <mergeCell ref="M1304:N1304"/>
    <mergeCell ref="C1348:N1348"/>
    <mergeCell ref="C1349:N1349"/>
    <mergeCell ref="C1350:N1350"/>
    <mergeCell ref="D1351:G1351"/>
    <mergeCell ref="D1352:G1352"/>
    <mergeCell ref="D1355:H1355"/>
    <mergeCell ref="D1335:I1335"/>
    <mergeCell ref="D1338:G1338"/>
    <mergeCell ref="D1339:G1339"/>
    <mergeCell ref="B1344:M1344"/>
    <mergeCell ref="B1347:D1347"/>
    <mergeCell ref="E1347:K1347"/>
    <mergeCell ref="M1347:N1347"/>
    <mergeCell ref="D1327:I1327"/>
    <mergeCell ref="D1328:I1328"/>
    <mergeCell ref="D1329:I1329"/>
    <mergeCell ref="D1330:I1330"/>
    <mergeCell ref="D1331:I1331"/>
    <mergeCell ref="D1334:I1334"/>
    <mergeCell ref="D1380:G1380"/>
    <mergeCell ref="B1385:M1385"/>
    <mergeCell ref="B1389:D1389"/>
    <mergeCell ref="E1389:K1389"/>
    <mergeCell ref="M1389:N1389"/>
    <mergeCell ref="C1390:N1390"/>
    <mergeCell ref="D1370:I1370"/>
    <mergeCell ref="D1371:I1371"/>
    <mergeCell ref="D1372:I1372"/>
    <mergeCell ref="D1375:I1375"/>
    <mergeCell ref="D1376:I1376"/>
    <mergeCell ref="D1379:G1379"/>
    <mergeCell ref="D1356:H1356"/>
    <mergeCell ref="D1357:H1357"/>
    <mergeCell ref="D1360:H1360"/>
    <mergeCell ref="D1361:H1361"/>
    <mergeCell ref="D1368:I1368"/>
    <mergeCell ref="D1369:I1369"/>
    <mergeCell ref="D1412:I1412"/>
    <mergeCell ref="L1412:M1412"/>
    <mergeCell ref="D1413:I1413"/>
    <mergeCell ref="L1413:M1413"/>
    <mergeCell ref="D1414:I1414"/>
    <mergeCell ref="L1414:M1414"/>
    <mergeCell ref="D1399:H1399"/>
    <mergeCell ref="D1402:H1402"/>
    <mergeCell ref="D1403:H1403"/>
    <mergeCell ref="D1410:I1410"/>
    <mergeCell ref="L1410:M1410"/>
    <mergeCell ref="D1411:I1411"/>
    <mergeCell ref="L1411:M1411"/>
    <mergeCell ref="C1391:N1391"/>
    <mergeCell ref="C1392:N1392"/>
    <mergeCell ref="D1393:G1393"/>
    <mergeCell ref="D1394:G1394"/>
    <mergeCell ref="D1397:H1397"/>
    <mergeCell ref="D1398:H1398"/>
    <mergeCell ref="D1435:G1435"/>
    <mergeCell ref="D1436:G1436"/>
    <mergeCell ref="D1439:H1439"/>
    <mergeCell ref="D1440:H1440"/>
    <mergeCell ref="D1441:H1441"/>
    <mergeCell ref="D1444:H1444"/>
    <mergeCell ref="B1431:D1431"/>
    <mergeCell ref="E1431:K1431"/>
    <mergeCell ref="M1431:N1431"/>
    <mergeCell ref="C1432:N1432"/>
    <mergeCell ref="C1433:N1433"/>
    <mergeCell ref="C1434:N1434"/>
    <mergeCell ref="D1415:I1415"/>
    <mergeCell ref="D1418:I1418"/>
    <mergeCell ref="D1419:I1419"/>
    <mergeCell ref="D1422:G1422"/>
    <mergeCell ref="D1423:G1423"/>
    <mergeCell ref="B1428:M1428"/>
    <mergeCell ref="D1461:I1461"/>
    <mergeCell ref="D1464:G1464"/>
    <mergeCell ref="D1465:G1465"/>
    <mergeCell ref="B1470:M1470"/>
    <mergeCell ref="B1472:D1472"/>
    <mergeCell ref="E1472:K1472"/>
    <mergeCell ref="M1472:N1472"/>
    <mergeCell ref="D1455:I1455"/>
    <mergeCell ref="L1455:M1455"/>
    <mergeCell ref="D1456:I1456"/>
    <mergeCell ref="L1456:M1456"/>
    <mergeCell ref="D1457:I1457"/>
    <mergeCell ref="D1460:I1460"/>
    <mergeCell ref="D1445:H1445"/>
    <mergeCell ref="D1452:I1452"/>
    <mergeCell ref="L1452:M1452"/>
    <mergeCell ref="D1453:I1453"/>
    <mergeCell ref="L1453:M1453"/>
    <mergeCell ref="D1454:I1454"/>
    <mergeCell ref="L1454:M1454"/>
    <mergeCell ref="D1494:I1494"/>
    <mergeCell ref="L1494:M1494"/>
    <mergeCell ref="D1495:I1495"/>
    <mergeCell ref="L1495:M1495"/>
    <mergeCell ref="D1496:I1496"/>
    <mergeCell ref="L1496:M1496"/>
    <mergeCell ref="D1481:H1481"/>
    <mergeCell ref="D1482:H1482"/>
    <mergeCell ref="D1485:H1485"/>
    <mergeCell ref="D1486:H1486"/>
    <mergeCell ref="D1493:I1493"/>
    <mergeCell ref="L1493:M1493"/>
    <mergeCell ref="C1473:N1473"/>
    <mergeCell ref="C1474:N1474"/>
    <mergeCell ref="C1475:N1475"/>
    <mergeCell ref="D1476:G1476"/>
    <mergeCell ref="D1477:G1477"/>
    <mergeCell ref="D1480:H1480"/>
    <mergeCell ref="C1516:N1516"/>
    <mergeCell ref="C1517:N1517"/>
    <mergeCell ref="D1518:G1518"/>
    <mergeCell ref="D1519:G1519"/>
    <mergeCell ref="D1522:H1522"/>
    <mergeCell ref="D1523:H1523"/>
    <mergeCell ref="D1506:G1506"/>
    <mergeCell ref="B1511:M1511"/>
    <mergeCell ref="B1514:D1514"/>
    <mergeCell ref="E1514:K1514"/>
    <mergeCell ref="M1514:N1514"/>
    <mergeCell ref="C1515:N1515"/>
    <mergeCell ref="D1497:I1497"/>
    <mergeCell ref="L1497:M1497"/>
    <mergeCell ref="D1498:I1498"/>
    <mergeCell ref="D1501:I1501"/>
    <mergeCell ref="D1502:I1502"/>
    <mergeCell ref="D1505:G1505"/>
    <mergeCell ref="D1540:I1540"/>
    <mergeCell ref="D1543:I1543"/>
    <mergeCell ref="D1544:I1544"/>
    <mergeCell ref="D1547:G1547"/>
    <mergeCell ref="D1548:G1548"/>
    <mergeCell ref="B1553:M1553"/>
    <mergeCell ref="D1537:I1537"/>
    <mergeCell ref="L1537:M1537"/>
    <mergeCell ref="D1538:I1538"/>
    <mergeCell ref="L1538:M1538"/>
    <mergeCell ref="D1539:I1539"/>
    <mergeCell ref="L1539:M1539"/>
    <mergeCell ref="D1524:H1524"/>
    <mergeCell ref="D1527:H1527"/>
    <mergeCell ref="D1528:H1528"/>
    <mergeCell ref="D1535:I1535"/>
    <mergeCell ref="L1535:M1535"/>
    <mergeCell ref="D1536:I1536"/>
    <mergeCell ref="L1536:M1536"/>
    <mergeCell ref="D1570:H1570"/>
    <mergeCell ref="D1577:I1577"/>
    <mergeCell ref="L1577:M1577"/>
    <mergeCell ref="D1578:I1578"/>
    <mergeCell ref="L1578:M1578"/>
    <mergeCell ref="D1579:I1579"/>
    <mergeCell ref="L1579:M1579"/>
    <mergeCell ref="D1560:G1560"/>
    <mergeCell ref="D1561:G1561"/>
    <mergeCell ref="D1564:H1564"/>
    <mergeCell ref="D1565:H1565"/>
    <mergeCell ref="D1566:H1566"/>
    <mergeCell ref="D1569:H1569"/>
    <mergeCell ref="B1556:D1556"/>
    <mergeCell ref="E1556:K1556"/>
    <mergeCell ref="M1556:N1556"/>
    <mergeCell ref="C1557:N1557"/>
    <mergeCell ref="C1558:N1558"/>
    <mergeCell ref="C1559:N1559"/>
    <mergeCell ref="C1599:N1599"/>
    <mergeCell ref="C1600:N1600"/>
    <mergeCell ref="C1601:N1601"/>
    <mergeCell ref="D1602:G1602"/>
    <mergeCell ref="D1603:G1603"/>
    <mergeCell ref="D1606:H1606"/>
    <mergeCell ref="D1586:I1586"/>
    <mergeCell ref="D1589:G1589"/>
    <mergeCell ref="D1590:G1590"/>
    <mergeCell ref="B1595:M1595"/>
    <mergeCell ref="B1598:D1598"/>
    <mergeCell ref="E1598:K1598"/>
    <mergeCell ref="M1598:N1598"/>
    <mergeCell ref="D1580:I1580"/>
    <mergeCell ref="L1580:M1580"/>
    <mergeCell ref="D1581:I1581"/>
    <mergeCell ref="L1581:M1581"/>
    <mergeCell ref="D1582:I1582"/>
    <mergeCell ref="D1585:I1585"/>
    <mergeCell ref="D1623:I1623"/>
    <mergeCell ref="L1623:M1623"/>
    <mergeCell ref="D1624:I1624"/>
    <mergeCell ref="D1627:I1627"/>
    <mergeCell ref="D1628:I1628"/>
    <mergeCell ref="D1631:G1631"/>
    <mergeCell ref="D1620:I1620"/>
    <mergeCell ref="L1620:M1620"/>
    <mergeCell ref="D1621:I1621"/>
    <mergeCell ref="L1621:M1621"/>
    <mergeCell ref="D1622:I1622"/>
    <mergeCell ref="L1622:M1622"/>
    <mergeCell ref="D1607:H1607"/>
    <mergeCell ref="D1608:H1608"/>
    <mergeCell ref="D1611:H1611"/>
    <mergeCell ref="D1612:H1612"/>
    <mergeCell ref="D1619:I1619"/>
    <mergeCell ref="L1619:M1619"/>
    <mergeCell ref="D1650:H1650"/>
    <mergeCell ref="D1653:H1653"/>
    <mergeCell ref="D1654:H1654"/>
    <mergeCell ref="D1661:I1661"/>
    <mergeCell ref="L1661:M1661"/>
    <mergeCell ref="D1662:I1662"/>
    <mergeCell ref="L1662:M1662"/>
    <mergeCell ref="C1642:N1642"/>
    <mergeCell ref="C1643:N1643"/>
    <mergeCell ref="D1644:G1644"/>
    <mergeCell ref="D1645:G1645"/>
    <mergeCell ref="D1648:H1648"/>
    <mergeCell ref="D1649:H1649"/>
    <mergeCell ref="D1632:G1632"/>
    <mergeCell ref="B1637:M1637"/>
    <mergeCell ref="B1640:D1640"/>
    <mergeCell ref="E1640:K1640"/>
    <mergeCell ref="M1640:N1640"/>
    <mergeCell ref="C1641:N1641"/>
    <mergeCell ref="B1682:D1682"/>
    <mergeCell ref="E1682:K1682"/>
    <mergeCell ref="M1682:N1682"/>
    <mergeCell ref="C1683:N1683"/>
    <mergeCell ref="C1684:N1684"/>
    <mergeCell ref="C1685:N1685"/>
    <mergeCell ref="D1666:I1666"/>
    <mergeCell ref="D1669:I1669"/>
    <mergeCell ref="D1670:I1670"/>
    <mergeCell ref="D1673:G1673"/>
    <mergeCell ref="D1674:G1674"/>
    <mergeCell ref="B1679:M1679"/>
    <mergeCell ref="D1663:I1663"/>
    <mergeCell ref="L1663:M1663"/>
    <mergeCell ref="D1664:I1664"/>
    <mergeCell ref="L1664:M1664"/>
    <mergeCell ref="D1665:I1665"/>
    <mergeCell ref="L1665:M1665"/>
    <mergeCell ref="D1706:I1706"/>
    <mergeCell ref="L1706:M1706"/>
    <mergeCell ref="D1707:I1707"/>
    <mergeCell ref="L1707:M1707"/>
    <mergeCell ref="D1708:I1708"/>
    <mergeCell ref="D1711:I1711"/>
    <mergeCell ref="D1696:H1696"/>
    <mergeCell ref="D1703:I1703"/>
    <mergeCell ref="L1703:M1703"/>
    <mergeCell ref="D1704:I1704"/>
    <mergeCell ref="L1704:M1704"/>
    <mergeCell ref="D1705:I1705"/>
    <mergeCell ref="L1705:M1705"/>
    <mergeCell ref="D1686:G1686"/>
    <mergeCell ref="D1687:G1687"/>
    <mergeCell ref="D1690:H1690"/>
    <mergeCell ref="D1691:H1691"/>
    <mergeCell ref="D1692:H1692"/>
    <mergeCell ref="D1695:H1695"/>
    <mergeCell ref="D1733:H1733"/>
    <mergeCell ref="D1734:H1734"/>
    <mergeCell ref="D1737:H1737"/>
    <mergeCell ref="D1738:H1738"/>
    <mergeCell ref="D1745:I1745"/>
    <mergeCell ref="L1745:M1745"/>
    <mergeCell ref="C1725:N1725"/>
    <mergeCell ref="C1726:N1726"/>
    <mergeCell ref="C1727:N1727"/>
    <mergeCell ref="D1728:G1728"/>
    <mergeCell ref="D1729:G1729"/>
    <mergeCell ref="D1732:H1732"/>
    <mergeCell ref="D1712:I1712"/>
    <mergeCell ref="D1715:G1715"/>
    <mergeCell ref="D1716:G1716"/>
    <mergeCell ref="B1721:M1721"/>
    <mergeCell ref="B1724:D1724"/>
    <mergeCell ref="E1724:K1724"/>
    <mergeCell ref="M1724:N1724"/>
    <mergeCell ref="D1758:G1758"/>
    <mergeCell ref="B1763:M1763"/>
    <mergeCell ref="B1766:D1766"/>
    <mergeCell ref="E1766:K1766"/>
    <mergeCell ref="M1766:N1766"/>
    <mergeCell ref="C1767:N1767"/>
    <mergeCell ref="D1749:I1749"/>
    <mergeCell ref="L1749:M1749"/>
    <mergeCell ref="D1750:I1750"/>
    <mergeCell ref="D1753:I1753"/>
    <mergeCell ref="D1754:I1754"/>
    <mergeCell ref="D1757:G1757"/>
    <mergeCell ref="D1746:I1746"/>
    <mergeCell ref="L1746:M1746"/>
    <mergeCell ref="D1747:I1747"/>
    <mergeCell ref="L1747:M1747"/>
    <mergeCell ref="D1748:I1748"/>
    <mergeCell ref="L1748:M1748"/>
    <mergeCell ref="D1789:I1789"/>
    <mergeCell ref="L1789:M1789"/>
    <mergeCell ref="D1790:I1790"/>
    <mergeCell ref="L1790:M1790"/>
    <mergeCell ref="D1791:I1791"/>
    <mergeCell ref="L1791:M1791"/>
    <mergeCell ref="D1776:H1776"/>
    <mergeCell ref="D1779:H1779"/>
    <mergeCell ref="D1780:H1780"/>
    <mergeCell ref="D1787:I1787"/>
    <mergeCell ref="L1787:M1787"/>
    <mergeCell ref="D1788:I1788"/>
    <mergeCell ref="L1788:M1788"/>
    <mergeCell ref="C1768:N1768"/>
    <mergeCell ref="C1769:N1769"/>
    <mergeCell ref="D1770:G1770"/>
    <mergeCell ref="D1771:G1771"/>
    <mergeCell ref="D1774:H1774"/>
    <mergeCell ref="D1775:H1775"/>
    <mergeCell ref="D1812:G1812"/>
    <mergeCell ref="D1813:G1813"/>
    <mergeCell ref="D1816:H1816"/>
    <mergeCell ref="D1817:H1817"/>
    <mergeCell ref="D1818:H1818"/>
    <mergeCell ref="D1821:H1821"/>
    <mergeCell ref="B1808:D1808"/>
    <mergeCell ref="E1808:K1808"/>
    <mergeCell ref="M1808:N1808"/>
    <mergeCell ref="C1809:N1809"/>
    <mergeCell ref="C1810:N1810"/>
    <mergeCell ref="C1811:N1811"/>
    <mergeCell ref="D1792:I1792"/>
    <mergeCell ref="D1795:I1795"/>
    <mergeCell ref="D1796:I1796"/>
    <mergeCell ref="D1799:G1799"/>
    <mergeCell ref="D1800:G1800"/>
    <mergeCell ref="B1805:M1805"/>
    <mergeCell ref="D1838:I1838"/>
    <mergeCell ref="D1841:G1841"/>
    <mergeCell ref="D1842:G1842"/>
    <mergeCell ref="B1847:M1847"/>
    <mergeCell ref="B1850:D1850"/>
    <mergeCell ref="E1850:K1850"/>
    <mergeCell ref="M1850:N1850"/>
    <mergeCell ref="D1832:I1832"/>
    <mergeCell ref="L1832:M1832"/>
    <mergeCell ref="D1833:I1833"/>
    <mergeCell ref="L1833:M1833"/>
    <mergeCell ref="D1834:I1834"/>
    <mergeCell ref="D1837:I1837"/>
    <mergeCell ref="D1822:H1822"/>
    <mergeCell ref="D1829:I1829"/>
    <mergeCell ref="L1829:M1829"/>
    <mergeCell ref="D1830:I1830"/>
    <mergeCell ref="L1830:M1830"/>
    <mergeCell ref="D1831:I1831"/>
    <mergeCell ref="L1831:M1831"/>
    <mergeCell ref="D1872:I1872"/>
    <mergeCell ref="L1872:M1872"/>
    <mergeCell ref="D1873:I1873"/>
    <mergeCell ref="L1873:M1873"/>
    <mergeCell ref="D1874:I1874"/>
    <mergeCell ref="L1874:M1874"/>
    <mergeCell ref="D1859:H1859"/>
    <mergeCell ref="D1860:H1860"/>
    <mergeCell ref="D1863:H1863"/>
    <mergeCell ref="D1864:H1864"/>
    <mergeCell ref="D1871:I1871"/>
    <mergeCell ref="L1871:M1871"/>
    <mergeCell ref="C1851:N1851"/>
    <mergeCell ref="C1852:N1852"/>
    <mergeCell ref="C1853:N1853"/>
    <mergeCell ref="D1854:G1854"/>
    <mergeCell ref="D1855:G1855"/>
    <mergeCell ref="D1858:H1858"/>
    <mergeCell ref="C1894:N1894"/>
    <mergeCell ref="C1895:N1895"/>
    <mergeCell ref="D1896:G1896"/>
    <mergeCell ref="D1897:G1897"/>
    <mergeCell ref="D1900:H1900"/>
    <mergeCell ref="D1901:H1901"/>
    <mergeCell ref="D1884:G1884"/>
    <mergeCell ref="B1889:M1889"/>
    <mergeCell ref="B1892:D1892"/>
    <mergeCell ref="E1892:K1892"/>
    <mergeCell ref="M1892:N1892"/>
    <mergeCell ref="C1893:N1893"/>
    <mergeCell ref="D1875:I1875"/>
    <mergeCell ref="L1875:M1875"/>
    <mergeCell ref="D1876:I1876"/>
    <mergeCell ref="D1879:I1879"/>
    <mergeCell ref="D1880:I1880"/>
    <mergeCell ref="D1883:G1883"/>
    <mergeCell ref="D1918:I1918"/>
    <mergeCell ref="D1921:I1921"/>
    <mergeCell ref="D1922:I1922"/>
    <mergeCell ref="D1925:G1925"/>
    <mergeCell ref="D1926:G1926"/>
    <mergeCell ref="B1931:M1931"/>
    <mergeCell ref="D1915:I1915"/>
    <mergeCell ref="L1915:M1915"/>
    <mergeCell ref="D1916:I1916"/>
    <mergeCell ref="L1916:M1916"/>
    <mergeCell ref="D1917:I1917"/>
    <mergeCell ref="L1917:M1917"/>
    <mergeCell ref="D1902:H1902"/>
    <mergeCell ref="D1905:H1905"/>
    <mergeCell ref="D1906:H1906"/>
    <mergeCell ref="D1913:I1913"/>
    <mergeCell ref="L1913:M1913"/>
    <mergeCell ref="D1914:I1914"/>
    <mergeCell ref="L1914:M1914"/>
    <mergeCell ref="D1948:H1948"/>
    <mergeCell ref="D1955:I1955"/>
    <mergeCell ref="L1955:M1955"/>
    <mergeCell ref="D1956:I1956"/>
    <mergeCell ref="L1956:M1956"/>
    <mergeCell ref="D1957:I1957"/>
    <mergeCell ref="L1957:M1957"/>
    <mergeCell ref="D1938:G1938"/>
    <mergeCell ref="D1939:G1939"/>
    <mergeCell ref="D1942:H1942"/>
    <mergeCell ref="D1943:H1943"/>
    <mergeCell ref="D1944:H1944"/>
    <mergeCell ref="D1947:H1947"/>
    <mergeCell ref="B1934:D1934"/>
    <mergeCell ref="E1934:K1934"/>
    <mergeCell ref="M1934:N1934"/>
    <mergeCell ref="C1935:N1935"/>
    <mergeCell ref="C1936:N1936"/>
    <mergeCell ref="C1937:N1937"/>
    <mergeCell ref="C1977:N1977"/>
    <mergeCell ref="C1978:N1978"/>
    <mergeCell ref="D1979:G1979"/>
    <mergeCell ref="D1980:G1980"/>
    <mergeCell ref="D1983:H1983"/>
    <mergeCell ref="D1984:H1984"/>
    <mergeCell ref="D1967:G1967"/>
    <mergeCell ref="B1972:M1972"/>
    <mergeCell ref="B1975:D1975"/>
    <mergeCell ref="E1975:K1975"/>
    <mergeCell ref="M1975:N1975"/>
    <mergeCell ref="C1976:N1976"/>
    <mergeCell ref="D1958:I1958"/>
    <mergeCell ref="L1958:M1958"/>
    <mergeCell ref="D1959:I1959"/>
    <mergeCell ref="D1962:I1962"/>
    <mergeCell ref="D1963:I1963"/>
    <mergeCell ref="D1966:G1966"/>
    <mergeCell ref="D2004:I2004"/>
    <mergeCell ref="D2007:G2007"/>
    <mergeCell ref="D2008:G2008"/>
    <mergeCell ref="B2013:M2013"/>
    <mergeCell ref="B2016:D2016"/>
    <mergeCell ref="E2016:K2016"/>
    <mergeCell ref="M2016:N2016"/>
    <mergeCell ref="D1998:I1998"/>
    <mergeCell ref="L1998:M1998"/>
    <mergeCell ref="D1999:I1999"/>
    <mergeCell ref="L1999:M1999"/>
    <mergeCell ref="D2000:I2000"/>
    <mergeCell ref="D2003:I2003"/>
    <mergeCell ref="D1985:H1985"/>
    <mergeCell ref="D1988:H1988"/>
    <mergeCell ref="D1989:H1989"/>
    <mergeCell ref="D1996:I1996"/>
    <mergeCell ref="L1996:M1996"/>
    <mergeCell ref="D1997:I1997"/>
    <mergeCell ref="L1997:M1997"/>
    <mergeCell ref="D2038:I2038"/>
    <mergeCell ref="L2038:M2038"/>
    <mergeCell ref="D2039:I2039"/>
    <mergeCell ref="L2039:M2039"/>
    <mergeCell ref="D2040:I2040"/>
    <mergeCell ref="L2040:M2040"/>
    <mergeCell ref="D2025:H2025"/>
    <mergeCell ref="D2026:H2026"/>
    <mergeCell ref="D2029:H2029"/>
    <mergeCell ref="D2030:H2030"/>
    <mergeCell ref="D2037:I2037"/>
    <mergeCell ref="L2037:M2037"/>
    <mergeCell ref="C2017:N2017"/>
    <mergeCell ref="C2018:N2018"/>
    <mergeCell ref="C2019:N2019"/>
    <mergeCell ref="D2020:G2020"/>
    <mergeCell ref="D2021:G2021"/>
    <mergeCell ref="D2024:H2024"/>
    <mergeCell ref="D2060:G2060"/>
    <mergeCell ref="M2060:N2060"/>
    <mergeCell ref="D2061:G2061"/>
    <mergeCell ref="M2061:N2061"/>
    <mergeCell ref="D2062:G2062"/>
    <mergeCell ref="M2062:N2062"/>
    <mergeCell ref="B2056:D2056"/>
    <mergeCell ref="E2056:K2056"/>
    <mergeCell ref="L2056:N2056"/>
    <mergeCell ref="C2057:N2057"/>
    <mergeCell ref="C2058:N2058"/>
    <mergeCell ref="C2059:N2059"/>
    <mergeCell ref="D2041:I2041"/>
    <mergeCell ref="D2044:I2044"/>
    <mergeCell ref="D2045:I2045"/>
    <mergeCell ref="D2048:G2048"/>
    <mergeCell ref="D2049:G2049"/>
    <mergeCell ref="B2054:M2054"/>
    <mergeCell ref="D2081:I2081"/>
    <mergeCell ref="L2081:M2081"/>
    <mergeCell ref="D2082:I2082"/>
    <mergeCell ref="L2082:M2082"/>
    <mergeCell ref="D2083:I2083"/>
    <mergeCell ref="L2083:M2083"/>
    <mergeCell ref="D2072:H2072"/>
    <mergeCell ref="L2072:M2072"/>
    <mergeCell ref="D2079:I2079"/>
    <mergeCell ref="L2079:M2079"/>
    <mergeCell ref="D2080:I2080"/>
    <mergeCell ref="L2080:M2080"/>
    <mergeCell ref="D2063:G2063"/>
    <mergeCell ref="M2063:N2063"/>
    <mergeCell ref="D2066:H2066"/>
    <mergeCell ref="D2067:H2067"/>
    <mergeCell ref="D2068:H2068"/>
    <mergeCell ref="D2071:H2071"/>
    <mergeCell ref="L2071:M2071"/>
    <mergeCell ref="B2098:M2098"/>
    <mergeCell ref="B2101:D2101"/>
    <mergeCell ref="E2101:K2101"/>
    <mergeCell ref="L2101:N2101"/>
    <mergeCell ref="C2102:N2102"/>
    <mergeCell ref="C2103:N2103"/>
    <mergeCell ref="D2091:G2091"/>
    <mergeCell ref="L2091:M2091"/>
    <mergeCell ref="D2092:G2092"/>
    <mergeCell ref="L2092:M2092"/>
    <mergeCell ref="D2093:G2093"/>
    <mergeCell ref="L2093:M2093"/>
    <mergeCell ref="D2086:I2086"/>
    <mergeCell ref="L2086:M2086"/>
    <mergeCell ref="D2087:I2087"/>
    <mergeCell ref="L2087:M2087"/>
    <mergeCell ref="D2090:G2090"/>
    <mergeCell ref="L2090:M2090"/>
    <mergeCell ref="D2117:H2117"/>
    <mergeCell ref="L2117:M2117"/>
    <mergeCell ref="D2124:I2124"/>
    <mergeCell ref="L2124:M2124"/>
    <mergeCell ref="D2125:I2125"/>
    <mergeCell ref="L2125:M2125"/>
    <mergeCell ref="D2108:G2108"/>
    <mergeCell ref="M2108:N2108"/>
    <mergeCell ref="D2111:H2111"/>
    <mergeCell ref="D2112:H2112"/>
    <mergeCell ref="D2113:H2113"/>
    <mergeCell ref="D2116:H2116"/>
    <mergeCell ref="L2116:M2116"/>
    <mergeCell ref="C2104:N2104"/>
    <mergeCell ref="D2105:G2105"/>
    <mergeCell ref="M2105:N2105"/>
    <mergeCell ref="D2106:G2106"/>
    <mergeCell ref="M2106:N2106"/>
    <mergeCell ref="D2107:G2107"/>
    <mergeCell ref="M2107:N2107"/>
    <mergeCell ref="D2136:G2136"/>
    <mergeCell ref="L2136:M2136"/>
    <mergeCell ref="D2137:G2137"/>
    <mergeCell ref="L2137:M2137"/>
    <mergeCell ref="B2142:M2142"/>
    <mergeCell ref="B2145:D2145"/>
    <mergeCell ref="E2145:K2145"/>
    <mergeCell ref="L2145:N2145"/>
    <mergeCell ref="D2131:I2131"/>
    <mergeCell ref="L2131:M2131"/>
    <mergeCell ref="D2134:G2134"/>
    <mergeCell ref="L2134:M2134"/>
    <mergeCell ref="D2135:G2135"/>
    <mergeCell ref="L2135:M2135"/>
    <mergeCell ref="D2126:I2126"/>
    <mergeCell ref="L2126:M2126"/>
    <mergeCell ref="D2127:I2127"/>
    <mergeCell ref="L2127:M2127"/>
    <mergeCell ref="D2130:I2130"/>
    <mergeCell ref="L2130:M2130"/>
    <mergeCell ref="D2157:H2157"/>
    <mergeCell ref="D2160:H2160"/>
    <mergeCell ref="L2160:M2160"/>
    <mergeCell ref="D2161:H2161"/>
    <mergeCell ref="L2161:M2161"/>
    <mergeCell ref="D2168:I2168"/>
    <mergeCell ref="L2168:M2168"/>
    <mergeCell ref="D2151:G2151"/>
    <mergeCell ref="M2151:N2151"/>
    <mergeCell ref="D2152:G2152"/>
    <mergeCell ref="M2152:N2152"/>
    <mergeCell ref="D2155:H2155"/>
    <mergeCell ref="D2156:H2156"/>
    <mergeCell ref="C2146:N2146"/>
    <mergeCell ref="C2147:N2147"/>
    <mergeCell ref="C2148:N2148"/>
    <mergeCell ref="D2149:G2149"/>
    <mergeCell ref="M2149:N2149"/>
    <mergeCell ref="D2150:G2150"/>
    <mergeCell ref="M2150:N2150"/>
    <mergeCell ref="D2179:G2179"/>
    <mergeCell ref="L2179:M2179"/>
    <mergeCell ref="D2180:G2180"/>
    <mergeCell ref="L2180:M2180"/>
    <mergeCell ref="D2181:G2181"/>
    <mergeCell ref="L2181:M2181"/>
    <mergeCell ref="D2174:I2174"/>
    <mergeCell ref="L2174:M2174"/>
    <mergeCell ref="D2175:I2175"/>
    <mergeCell ref="L2175:M2175"/>
    <mergeCell ref="D2178:G2178"/>
    <mergeCell ref="L2178:M2178"/>
    <mergeCell ref="D2169:I2169"/>
    <mergeCell ref="L2169:M2169"/>
    <mergeCell ref="D2170:I2170"/>
    <mergeCell ref="L2170:M2170"/>
    <mergeCell ref="D2171:I2171"/>
    <mergeCell ref="L2171:M2171"/>
    <mergeCell ref="D2196:G2196"/>
    <mergeCell ref="M2196:N2196"/>
    <mergeCell ref="D2199:H2199"/>
    <mergeCell ref="D2200:H2200"/>
    <mergeCell ref="D2201:H2201"/>
    <mergeCell ref="D2204:H2204"/>
    <mergeCell ref="L2204:M2204"/>
    <mergeCell ref="C2192:N2192"/>
    <mergeCell ref="D2193:G2193"/>
    <mergeCell ref="M2193:N2193"/>
    <mergeCell ref="D2194:G2194"/>
    <mergeCell ref="M2194:N2194"/>
    <mergeCell ref="D2195:G2195"/>
    <mergeCell ref="M2195:N2195"/>
    <mergeCell ref="B2186:M2186"/>
    <mergeCell ref="B2189:D2189"/>
    <mergeCell ref="E2189:K2189"/>
    <mergeCell ref="L2189:N2189"/>
    <mergeCell ref="C2190:N2190"/>
    <mergeCell ref="C2191:N2191"/>
    <mergeCell ref="D2219:I2219"/>
    <mergeCell ref="L2219:M2219"/>
    <mergeCell ref="D2220:I2220"/>
    <mergeCell ref="L2220:M2220"/>
    <mergeCell ref="D2223:G2223"/>
    <mergeCell ref="L2223:M2223"/>
    <mergeCell ref="D2214:I2214"/>
    <mergeCell ref="L2214:M2214"/>
    <mergeCell ref="D2215:I2215"/>
    <mergeCell ref="L2215:M2215"/>
    <mergeCell ref="D2216:I2216"/>
    <mergeCell ref="L2216:M2216"/>
    <mergeCell ref="D2205:H2205"/>
    <mergeCell ref="L2205:M2205"/>
    <mergeCell ref="D2212:I2212"/>
    <mergeCell ref="L2212:M2212"/>
    <mergeCell ref="D2213:I2213"/>
    <mergeCell ref="L2213:M2213"/>
    <mergeCell ref="C2237:N2237"/>
    <mergeCell ref="D2238:G2238"/>
    <mergeCell ref="M2238:N2238"/>
    <mergeCell ref="D2239:G2239"/>
    <mergeCell ref="M2239:N2239"/>
    <mergeCell ref="D2240:G2240"/>
    <mergeCell ref="M2240:N2240"/>
    <mergeCell ref="B2231:M2231"/>
    <mergeCell ref="B2234:D2234"/>
    <mergeCell ref="E2234:K2234"/>
    <mergeCell ref="L2234:N2234"/>
    <mergeCell ref="C2235:N2235"/>
    <mergeCell ref="C2236:N2236"/>
    <mergeCell ref="D2224:G2224"/>
    <mergeCell ref="L2224:M2224"/>
    <mergeCell ref="D2225:G2225"/>
    <mergeCell ref="L2225:M2225"/>
    <mergeCell ref="D2226:G2226"/>
    <mergeCell ref="L2226:M2226"/>
    <mergeCell ref="D2259:I2259"/>
    <mergeCell ref="L2259:M2259"/>
    <mergeCell ref="D2260:I2260"/>
    <mergeCell ref="L2260:M2260"/>
    <mergeCell ref="D2263:I2263"/>
    <mergeCell ref="L2263:M2263"/>
    <mergeCell ref="D2250:H2250"/>
    <mergeCell ref="L2250:M2250"/>
    <mergeCell ref="D2257:I2257"/>
    <mergeCell ref="L2257:M2257"/>
    <mergeCell ref="D2258:I2258"/>
    <mergeCell ref="L2258:M2258"/>
    <mergeCell ref="D2241:G2241"/>
    <mergeCell ref="M2241:N2241"/>
    <mergeCell ref="D2244:H2244"/>
    <mergeCell ref="D2245:H2245"/>
    <mergeCell ref="D2246:H2246"/>
    <mergeCell ref="D2249:H2249"/>
    <mergeCell ref="L2249:M2249"/>
    <mergeCell ref="C2279:N2279"/>
    <mergeCell ref="C2280:N2280"/>
    <mergeCell ref="C2281:N2281"/>
    <mergeCell ref="D2282:G2282"/>
    <mergeCell ref="M2282:N2282"/>
    <mergeCell ref="D2283:G2283"/>
    <mergeCell ref="M2283:N2283"/>
    <mergeCell ref="D2269:G2269"/>
    <mergeCell ref="L2269:M2269"/>
    <mergeCell ref="D2270:G2270"/>
    <mergeCell ref="L2270:M2270"/>
    <mergeCell ref="B2275:M2275"/>
    <mergeCell ref="B2278:D2278"/>
    <mergeCell ref="E2278:K2278"/>
    <mergeCell ref="L2278:N2278"/>
    <mergeCell ref="D2264:I2264"/>
    <mergeCell ref="L2264:M2264"/>
    <mergeCell ref="D2267:G2267"/>
    <mergeCell ref="L2267:M2267"/>
    <mergeCell ref="D2268:G2268"/>
    <mergeCell ref="L2268:M2268"/>
    <mergeCell ref="D2302:I2302"/>
    <mergeCell ref="L2302:M2302"/>
    <mergeCell ref="D2303:I2303"/>
    <mergeCell ref="L2303:M2303"/>
    <mergeCell ref="D2304:I2304"/>
    <mergeCell ref="L2304:M2304"/>
    <mergeCell ref="D2290:H2290"/>
    <mergeCell ref="D2293:H2293"/>
    <mergeCell ref="L2293:M2293"/>
    <mergeCell ref="D2294:H2294"/>
    <mergeCell ref="L2294:M2294"/>
    <mergeCell ref="D2301:I2301"/>
    <mergeCell ref="L2301:M2301"/>
    <mergeCell ref="D2284:G2284"/>
    <mergeCell ref="M2284:N2284"/>
    <mergeCell ref="D2285:G2285"/>
    <mergeCell ref="M2285:N2285"/>
    <mergeCell ref="D2288:H2288"/>
    <mergeCell ref="D2289:H2289"/>
    <mergeCell ref="B2319:M2319"/>
    <mergeCell ref="B2322:D2322"/>
    <mergeCell ref="E2322:K2322"/>
    <mergeCell ref="L2322:N2322"/>
    <mergeCell ref="C2323:N2323"/>
    <mergeCell ref="C2324:N2324"/>
    <mergeCell ref="D2312:G2312"/>
    <mergeCell ref="L2312:M2312"/>
    <mergeCell ref="D2313:G2313"/>
    <mergeCell ref="L2313:M2313"/>
    <mergeCell ref="D2314:G2314"/>
    <mergeCell ref="L2314:M2314"/>
    <mergeCell ref="D2307:I2307"/>
    <mergeCell ref="L2307:M2307"/>
    <mergeCell ref="D2308:I2308"/>
    <mergeCell ref="L2308:M2308"/>
    <mergeCell ref="D2311:G2311"/>
    <mergeCell ref="L2311:M2311"/>
    <mergeCell ref="D2338:H2338"/>
    <mergeCell ref="L2338:M2338"/>
    <mergeCell ref="D2345:I2345"/>
    <mergeCell ref="L2345:M2345"/>
    <mergeCell ref="D2346:I2346"/>
    <mergeCell ref="L2346:M2346"/>
    <mergeCell ref="D2329:G2329"/>
    <mergeCell ref="M2329:N2329"/>
    <mergeCell ref="D2332:H2332"/>
    <mergeCell ref="D2333:H2333"/>
    <mergeCell ref="D2334:H2334"/>
    <mergeCell ref="D2337:H2337"/>
    <mergeCell ref="L2337:M2337"/>
    <mergeCell ref="C2325:N2325"/>
    <mergeCell ref="D2326:G2326"/>
    <mergeCell ref="M2326:N2326"/>
    <mergeCell ref="D2327:G2327"/>
    <mergeCell ref="M2327:N2327"/>
    <mergeCell ref="D2328:G2328"/>
    <mergeCell ref="M2328:N2328"/>
    <mergeCell ref="D2357:G2357"/>
    <mergeCell ref="L2357:M2357"/>
    <mergeCell ref="D2358:G2358"/>
    <mergeCell ref="L2358:M2358"/>
    <mergeCell ref="B2363:M2363"/>
    <mergeCell ref="B2367:D2367"/>
    <mergeCell ref="E2367:K2367"/>
    <mergeCell ref="L2367:N2367"/>
    <mergeCell ref="D2352:I2352"/>
    <mergeCell ref="L2352:M2352"/>
    <mergeCell ref="D2355:G2355"/>
    <mergeCell ref="L2355:M2355"/>
    <mergeCell ref="D2356:G2356"/>
    <mergeCell ref="L2356:M2356"/>
    <mergeCell ref="D2347:I2347"/>
    <mergeCell ref="L2347:M2347"/>
    <mergeCell ref="D2348:I2348"/>
    <mergeCell ref="L2348:M2348"/>
    <mergeCell ref="D2351:I2351"/>
    <mergeCell ref="L2351:M2351"/>
    <mergeCell ref="D2379:H2379"/>
    <mergeCell ref="D2382:H2382"/>
    <mergeCell ref="L2382:M2382"/>
    <mergeCell ref="D2383:H2383"/>
    <mergeCell ref="L2383:M2383"/>
    <mergeCell ref="D2390:I2390"/>
    <mergeCell ref="L2390:M2390"/>
    <mergeCell ref="D2373:G2373"/>
    <mergeCell ref="M2373:N2373"/>
    <mergeCell ref="D2374:G2374"/>
    <mergeCell ref="M2374:N2374"/>
    <mergeCell ref="D2377:H2377"/>
    <mergeCell ref="D2378:H2378"/>
    <mergeCell ref="C2368:N2368"/>
    <mergeCell ref="C2369:N2369"/>
    <mergeCell ref="C2370:N2370"/>
    <mergeCell ref="D2371:G2371"/>
    <mergeCell ref="M2371:N2371"/>
    <mergeCell ref="D2372:G2372"/>
    <mergeCell ref="M2372:N2372"/>
    <mergeCell ref="D2401:G2401"/>
    <mergeCell ref="L2401:M2401"/>
    <mergeCell ref="D2402:G2402"/>
    <mergeCell ref="L2402:M2402"/>
    <mergeCell ref="D2403:G2403"/>
    <mergeCell ref="L2403:M2403"/>
    <mergeCell ref="D2396:I2396"/>
    <mergeCell ref="L2396:M2396"/>
    <mergeCell ref="D2397:I2397"/>
    <mergeCell ref="L2397:M2397"/>
    <mergeCell ref="D2400:G2400"/>
    <mergeCell ref="L2400:M2400"/>
    <mergeCell ref="D2391:I2391"/>
    <mergeCell ref="L2391:M2391"/>
    <mergeCell ref="D2392:I2392"/>
    <mergeCell ref="L2392:M2392"/>
    <mergeCell ref="D2393:I2393"/>
    <mergeCell ref="L2393:M2393"/>
    <mergeCell ref="D2418:G2418"/>
    <mergeCell ref="M2418:N2418"/>
    <mergeCell ref="D2421:H2421"/>
    <mergeCell ref="D2422:H2422"/>
    <mergeCell ref="D2423:H2423"/>
    <mergeCell ref="D2426:H2426"/>
    <mergeCell ref="L2426:M2426"/>
    <mergeCell ref="C2414:N2414"/>
    <mergeCell ref="D2415:G2415"/>
    <mergeCell ref="M2415:N2415"/>
    <mergeCell ref="D2416:G2416"/>
    <mergeCell ref="M2416:N2416"/>
    <mergeCell ref="D2417:G2417"/>
    <mergeCell ref="M2417:N2417"/>
    <mergeCell ref="B2408:M2408"/>
    <mergeCell ref="B2411:D2411"/>
    <mergeCell ref="E2411:K2411"/>
    <mergeCell ref="L2411:N2411"/>
    <mergeCell ref="C2412:N2412"/>
    <mergeCell ref="C2413:N2413"/>
    <mergeCell ref="D2441:I2441"/>
    <mergeCell ref="L2441:M2441"/>
    <mergeCell ref="D2444:G2444"/>
    <mergeCell ref="L2444:M2444"/>
    <mergeCell ref="D2445:G2445"/>
    <mergeCell ref="L2445:M2445"/>
    <mergeCell ref="D2436:I2436"/>
    <mergeCell ref="L2436:M2436"/>
    <mergeCell ref="D2437:I2437"/>
    <mergeCell ref="L2437:M2437"/>
    <mergeCell ref="D2440:I2440"/>
    <mergeCell ref="L2440:M2440"/>
    <mergeCell ref="D2427:H2427"/>
    <mergeCell ref="L2427:M2427"/>
    <mergeCell ref="D2434:I2434"/>
    <mergeCell ref="L2434:M2434"/>
    <mergeCell ref="D2435:I2435"/>
    <mergeCell ref="L2435:M2435"/>
    <mergeCell ref="D2462:G2462"/>
    <mergeCell ref="M2462:N2462"/>
    <mergeCell ref="D2463:G2463"/>
    <mergeCell ref="M2463:N2463"/>
    <mergeCell ref="D2466:H2466"/>
    <mergeCell ref="D2467:H2467"/>
    <mergeCell ref="C2457:N2457"/>
    <mergeCell ref="C2458:N2458"/>
    <mergeCell ref="C2459:N2459"/>
    <mergeCell ref="D2460:G2460"/>
    <mergeCell ref="M2460:N2460"/>
    <mergeCell ref="D2461:G2461"/>
    <mergeCell ref="M2461:N2461"/>
    <mergeCell ref="D2446:G2446"/>
    <mergeCell ref="L2446:M2446"/>
    <mergeCell ref="D2447:G2447"/>
    <mergeCell ref="L2447:M2447"/>
    <mergeCell ref="B2452:M2452"/>
    <mergeCell ref="B2456:D2456"/>
    <mergeCell ref="E2456:K2456"/>
    <mergeCell ref="L2456:N2456"/>
    <mergeCell ref="D2485:I2485"/>
    <mergeCell ref="L2485:M2485"/>
    <mergeCell ref="D2488:G2488"/>
    <mergeCell ref="L2488:M2488"/>
    <mergeCell ref="D2489:G2489"/>
    <mergeCell ref="L2489:M2489"/>
    <mergeCell ref="D2480:I2480"/>
    <mergeCell ref="L2480:M2480"/>
    <mergeCell ref="D2481:I2481"/>
    <mergeCell ref="L2481:M2481"/>
    <mergeCell ref="D2484:I2484"/>
    <mergeCell ref="L2484:M2484"/>
    <mergeCell ref="D2468:H2468"/>
    <mergeCell ref="D2471:H2471"/>
    <mergeCell ref="L2471:M2471"/>
    <mergeCell ref="D2472:H2472"/>
    <mergeCell ref="L2472:M2472"/>
    <mergeCell ref="D2479:I2479"/>
    <mergeCell ref="L2479:M2479"/>
    <mergeCell ref="D2506:G2506"/>
    <mergeCell ref="M2506:N2506"/>
    <mergeCell ref="D2507:G2507"/>
    <mergeCell ref="M2507:N2507"/>
    <mergeCell ref="D2510:H2510"/>
    <mergeCell ref="D2511:H2511"/>
    <mergeCell ref="C2501:N2501"/>
    <mergeCell ref="C2502:N2502"/>
    <mergeCell ref="C2503:N2503"/>
    <mergeCell ref="D2504:G2504"/>
    <mergeCell ref="M2504:N2504"/>
    <mergeCell ref="D2505:G2505"/>
    <mergeCell ref="M2505:N2505"/>
    <mergeCell ref="D2490:G2490"/>
    <mergeCell ref="L2490:M2490"/>
    <mergeCell ref="D2491:G2491"/>
    <mergeCell ref="L2491:M2491"/>
    <mergeCell ref="B2496:M2496"/>
    <mergeCell ref="B2500:D2500"/>
    <mergeCell ref="E2500:K2500"/>
    <mergeCell ref="L2500:N2500"/>
    <mergeCell ref="D2529:I2529"/>
    <mergeCell ref="L2529:M2529"/>
    <mergeCell ref="D2532:G2532"/>
    <mergeCell ref="L2532:M2532"/>
    <mergeCell ref="D2533:G2533"/>
    <mergeCell ref="L2533:M2533"/>
    <mergeCell ref="D2524:I2524"/>
    <mergeCell ref="L2524:M2524"/>
    <mergeCell ref="D2525:I2525"/>
    <mergeCell ref="L2525:M2525"/>
    <mergeCell ref="D2528:I2528"/>
    <mergeCell ref="L2528:M2528"/>
    <mergeCell ref="D2512:H2512"/>
    <mergeCell ref="D2515:H2515"/>
    <mergeCell ref="L2515:M2515"/>
    <mergeCell ref="D2516:H2516"/>
    <mergeCell ref="L2516:M2516"/>
    <mergeCell ref="D2523:I2523"/>
    <mergeCell ref="L2523:M2523"/>
    <mergeCell ref="D2549:G2549"/>
    <mergeCell ref="M2549:N2549"/>
    <mergeCell ref="D2550:G2550"/>
    <mergeCell ref="M2550:N2550"/>
    <mergeCell ref="D2553:H2553"/>
    <mergeCell ref="D2554:H2554"/>
    <mergeCell ref="C2544:N2544"/>
    <mergeCell ref="C2545:N2545"/>
    <mergeCell ref="C2546:N2546"/>
    <mergeCell ref="D2547:G2547"/>
    <mergeCell ref="M2547:N2547"/>
    <mergeCell ref="D2548:G2548"/>
    <mergeCell ref="M2548:N2548"/>
    <mergeCell ref="D2534:G2534"/>
    <mergeCell ref="L2534:M2534"/>
    <mergeCell ref="D2535:G2535"/>
    <mergeCell ref="L2535:M2535"/>
    <mergeCell ref="B2540:M2540"/>
    <mergeCell ref="B2543:D2543"/>
    <mergeCell ref="E2543:K2543"/>
    <mergeCell ref="L2543:N2543"/>
    <mergeCell ref="D2574:G2574"/>
    <mergeCell ref="L2574:M2574"/>
    <mergeCell ref="D2575:G2575"/>
    <mergeCell ref="L2575:M2575"/>
    <mergeCell ref="D2576:G2576"/>
    <mergeCell ref="L2576:M2576"/>
    <mergeCell ref="D2567:I2567"/>
    <mergeCell ref="L2567:M2567"/>
    <mergeCell ref="D2570:I2570"/>
    <mergeCell ref="L2570:M2570"/>
    <mergeCell ref="D2571:I2571"/>
    <mergeCell ref="L2571:M2571"/>
    <mergeCell ref="D2555:H2555"/>
    <mergeCell ref="D2558:H2558"/>
    <mergeCell ref="L2558:M2558"/>
    <mergeCell ref="D2559:H2559"/>
    <mergeCell ref="L2559:M2559"/>
    <mergeCell ref="D2566:I2566"/>
    <mergeCell ref="L2566:M2566"/>
    <mergeCell ref="D2592:G2592"/>
    <mergeCell ref="M2592:N2592"/>
    <mergeCell ref="D2593:G2593"/>
    <mergeCell ref="M2593:N2593"/>
    <mergeCell ref="D2596:H2596"/>
    <mergeCell ref="D2597:H2597"/>
    <mergeCell ref="C2587:N2587"/>
    <mergeCell ref="C2588:N2588"/>
    <mergeCell ref="C2589:N2589"/>
    <mergeCell ref="D2590:G2590"/>
    <mergeCell ref="M2590:N2590"/>
    <mergeCell ref="D2591:G2591"/>
    <mergeCell ref="M2591:N2591"/>
    <mergeCell ref="D2577:G2577"/>
    <mergeCell ref="L2577:M2577"/>
    <mergeCell ref="B2582:M2582"/>
    <mergeCell ref="B2586:D2586"/>
    <mergeCell ref="E2586:K2586"/>
    <mergeCell ref="L2586:N2586"/>
    <mergeCell ref="D2617:G2617"/>
    <mergeCell ref="L2617:M2617"/>
    <mergeCell ref="D2618:G2618"/>
    <mergeCell ref="L2618:M2618"/>
    <mergeCell ref="D2619:G2619"/>
    <mergeCell ref="L2619:M2619"/>
    <mergeCell ref="D2610:I2610"/>
    <mergeCell ref="L2610:M2610"/>
    <mergeCell ref="D2613:I2613"/>
    <mergeCell ref="L2613:M2613"/>
    <mergeCell ref="D2614:I2614"/>
    <mergeCell ref="L2614:M2614"/>
    <mergeCell ref="D2598:H2598"/>
    <mergeCell ref="D2601:H2601"/>
    <mergeCell ref="L2601:M2601"/>
    <mergeCell ref="D2602:H2602"/>
    <mergeCell ref="L2602:M2602"/>
    <mergeCell ref="D2609:I2609"/>
    <mergeCell ref="L2609:M2609"/>
    <mergeCell ref="D2635:G2635"/>
    <mergeCell ref="M2635:N2635"/>
    <mergeCell ref="D2636:G2636"/>
    <mergeCell ref="M2636:N2636"/>
    <mergeCell ref="D2639:H2639"/>
    <mergeCell ref="D2640:H2640"/>
    <mergeCell ref="C2630:N2630"/>
    <mergeCell ref="C2631:N2631"/>
    <mergeCell ref="C2632:N2632"/>
    <mergeCell ref="D2633:G2633"/>
    <mergeCell ref="M2633:N2633"/>
    <mergeCell ref="D2634:G2634"/>
    <mergeCell ref="M2634:N2634"/>
    <mergeCell ref="D2620:G2620"/>
    <mergeCell ref="L2620:M2620"/>
    <mergeCell ref="B2625:M2625"/>
    <mergeCell ref="B2629:D2629"/>
    <mergeCell ref="E2629:K2629"/>
    <mergeCell ref="L2629:N2629"/>
    <mergeCell ref="D2658:I2658"/>
    <mergeCell ref="L2658:M2658"/>
    <mergeCell ref="D2661:G2661"/>
    <mergeCell ref="L2661:M2661"/>
    <mergeCell ref="D2662:G2662"/>
    <mergeCell ref="L2662:M2662"/>
    <mergeCell ref="D2653:I2653"/>
    <mergeCell ref="L2653:M2653"/>
    <mergeCell ref="D2654:I2654"/>
    <mergeCell ref="L2654:M2654"/>
    <mergeCell ref="D2657:I2657"/>
    <mergeCell ref="L2657:M2657"/>
    <mergeCell ref="D2641:H2641"/>
    <mergeCell ref="D2644:H2644"/>
    <mergeCell ref="L2644:M2644"/>
    <mergeCell ref="D2645:H2645"/>
    <mergeCell ref="L2645:M2645"/>
    <mergeCell ref="D2652:I2652"/>
    <mergeCell ref="L2652:M2652"/>
    <mergeCell ref="D2678:G2678"/>
    <mergeCell ref="M2678:N2678"/>
    <mergeCell ref="D2679:G2679"/>
    <mergeCell ref="M2679:N2679"/>
    <mergeCell ref="D2682:H2682"/>
    <mergeCell ref="D2683:H2683"/>
    <mergeCell ref="C2673:N2673"/>
    <mergeCell ref="C2674:N2674"/>
    <mergeCell ref="C2675:N2675"/>
    <mergeCell ref="D2676:G2676"/>
    <mergeCell ref="M2676:N2676"/>
    <mergeCell ref="D2677:G2677"/>
    <mergeCell ref="M2677:N2677"/>
    <mergeCell ref="D2663:G2663"/>
    <mergeCell ref="L2663:M2663"/>
    <mergeCell ref="D2664:G2664"/>
    <mergeCell ref="L2664:M2664"/>
    <mergeCell ref="B2669:M2669"/>
    <mergeCell ref="B2672:D2672"/>
    <mergeCell ref="E2672:K2672"/>
    <mergeCell ref="L2672:N2672"/>
    <mergeCell ref="D2701:I2701"/>
    <mergeCell ref="L2701:M2701"/>
    <mergeCell ref="D2704:G2704"/>
    <mergeCell ref="L2704:M2704"/>
    <mergeCell ref="D2705:G2705"/>
    <mergeCell ref="L2705:M2705"/>
    <mergeCell ref="D2696:I2696"/>
    <mergeCell ref="L2696:M2696"/>
    <mergeCell ref="D2697:I2697"/>
    <mergeCell ref="L2697:M2697"/>
    <mergeCell ref="D2700:I2700"/>
    <mergeCell ref="L2700:M2700"/>
    <mergeCell ref="D2684:H2684"/>
    <mergeCell ref="D2687:H2687"/>
    <mergeCell ref="L2687:M2687"/>
    <mergeCell ref="D2688:H2688"/>
    <mergeCell ref="L2688:M2688"/>
    <mergeCell ref="D2695:I2695"/>
    <mergeCell ref="L2695:M2695"/>
    <mergeCell ref="D2722:G2722"/>
    <mergeCell ref="M2722:N2722"/>
    <mergeCell ref="D2723:G2723"/>
    <mergeCell ref="M2723:N2723"/>
    <mergeCell ref="D2726:H2726"/>
    <mergeCell ref="D2727:H2727"/>
    <mergeCell ref="C2717:N2717"/>
    <mergeCell ref="C2718:N2718"/>
    <mergeCell ref="C2719:N2719"/>
    <mergeCell ref="D2720:G2720"/>
    <mergeCell ref="M2720:N2720"/>
    <mergeCell ref="D2721:G2721"/>
    <mergeCell ref="M2721:N2721"/>
    <mergeCell ref="D2706:G2706"/>
    <mergeCell ref="L2706:M2706"/>
    <mergeCell ref="D2707:G2707"/>
    <mergeCell ref="L2707:M2707"/>
    <mergeCell ref="B2712:M2712"/>
    <mergeCell ref="B2716:D2716"/>
    <mergeCell ref="E2716:K2716"/>
    <mergeCell ref="L2716:N2716"/>
    <mergeCell ref="D2747:G2747"/>
    <mergeCell ref="L2747:M2747"/>
    <mergeCell ref="D2748:G2748"/>
    <mergeCell ref="L2748:M2748"/>
    <mergeCell ref="D2749:G2749"/>
    <mergeCell ref="L2749:M2749"/>
    <mergeCell ref="D2740:I2740"/>
    <mergeCell ref="L2740:M2740"/>
    <mergeCell ref="D2743:I2743"/>
    <mergeCell ref="L2743:M2743"/>
    <mergeCell ref="D2744:I2744"/>
    <mergeCell ref="L2744:M2744"/>
    <mergeCell ref="D2728:H2728"/>
    <mergeCell ref="D2731:H2731"/>
    <mergeCell ref="L2731:M2731"/>
    <mergeCell ref="D2732:H2732"/>
    <mergeCell ref="L2732:M2732"/>
    <mergeCell ref="D2739:I2739"/>
    <mergeCell ref="L2739:M2739"/>
    <mergeCell ref="D2764:G2764"/>
    <mergeCell ref="M2764:N2764"/>
    <mergeCell ref="D2765:G2765"/>
    <mergeCell ref="M2765:N2765"/>
    <mergeCell ref="D2768:H2768"/>
    <mergeCell ref="D2769:H2769"/>
    <mergeCell ref="C2759:N2759"/>
    <mergeCell ref="C2760:N2760"/>
    <mergeCell ref="C2761:N2761"/>
    <mergeCell ref="D2762:G2762"/>
    <mergeCell ref="M2762:N2762"/>
    <mergeCell ref="D2763:G2763"/>
    <mergeCell ref="M2763:N2763"/>
    <mergeCell ref="D2750:G2750"/>
    <mergeCell ref="L2750:M2750"/>
    <mergeCell ref="B2755:M2755"/>
    <mergeCell ref="B2758:D2758"/>
    <mergeCell ref="E2758:K2758"/>
    <mergeCell ref="L2758:N2758"/>
    <mergeCell ref="D2789:G2789"/>
    <mergeCell ref="L2789:M2789"/>
    <mergeCell ref="D2790:G2790"/>
    <mergeCell ref="L2790:M2790"/>
    <mergeCell ref="D2791:G2791"/>
    <mergeCell ref="L2791:M2791"/>
    <mergeCell ref="D2782:I2782"/>
    <mergeCell ref="L2782:M2782"/>
    <mergeCell ref="D2785:I2785"/>
    <mergeCell ref="L2785:M2785"/>
    <mergeCell ref="D2786:I2786"/>
    <mergeCell ref="L2786:M2786"/>
    <mergeCell ref="D2770:H2770"/>
    <mergeCell ref="D2773:H2773"/>
    <mergeCell ref="L2773:M2773"/>
    <mergeCell ref="D2774:H2774"/>
    <mergeCell ref="L2774:M2774"/>
    <mergeCell ref="D2781:I2781"/>
    <mergeCell ref="L2781:M2781"/>
    <mergeCell ref="D2806:G2806"/>
    <mergeCell ref="M2806:N2806"/>
    <mergeCell ref="D2807:G2807"/>
    <mergeCell ref="M2807:N2807"/>
    <mergeCell ref="D2810:H2810"/>
    <mergeCell ref="D2811:H2811"/>
    <mergeCell ref="C2801:N2801"/>
    <mergeCell ref="C2802:N2802"/>
    <mergeCell ref="C2803:N2803"/>
    <mergeCell ref="D2804:G2804"/>
    <mergeCell ref="M2804:N2804"/>
    <mergeCell ref="D2805:G2805"/>
    <mergeCell ref="M2805:N2805"/>
    <mergeCell ref="D2792:G2792"/>
    <mergeCell ref="L2792:M2792"/>
    <mergeCell ref="B2797:M2797"/>
    <mergeCell ref="B2800:D2800"/>
    <mergeCell ref="E2800:K2800"/>
    <mergeCell ref="L2800:N2800"/>
    <mergeCell ref="D2831:G2831"/>
    <mergeCell ref="L2831:M2831"/>
    <mergeCell ref="D2832:G2832"/>
    <mergeCell ref="L2832:M2832"/>
    <mergeCell ref="D2833:G2833"/>
    <mergeCell ref="L2833:M2833"/>
    <mergeCell ref="D2824:I2824"/>
    <mergeCell ref="L2824:M2824"/>
    <mergeCell ref="D2827:I2827"/>
    <mergeCell ref="L2827:M2827"/>
    <mergeCell ref="D2828:I2828"/>
    <mergeCell ref="L2828:M2828"/>
    <mergeCell ref="D2812:H2812"/>
    <mergeCell ref="D2815:H2815"/>
    <mergeCell ref="L2815:M2815"/>
    <mergeCell ref="D2816:H2816"/>
    <mergeCell ref="L2816:M2816"/>
    <mergeCell ref="D2823:I2823"/>
    <mergeCell ref="L2823:M2823"/>
    <mergeCell ref="D2848:G2848"/>
    <mergeCell ref="M2848:N2848"/>
    <mergeCell ref="D2849:G2849"/>
    <mergeCell ref="M2849:N2849"/>
    <mergeCell ref="D2852:H2852"/>
    <mergeCell ref="D2853:H2853"/>
    <mergeCell ref="C2843:N2843"/>
    <mergeCell ref="C2844:N2844"/>
    <mergeCell ref="C2845:N2845"/>
    <mergeCell ref="D2846:G2846"/>
    <mergeCell ref="M2846:N2846"/>
    <mergeCell ref="D2847:G2847"/>
    <mergeCell ref="M2847:N2847"/>
    <mergeCell ref="D2834:G2834"/>
    <mergeCell ref="L2834:M2834"/>
    <mergeCell ref="B2839:M2839"/>
    <mergeCell ref="B2842:D2842"/>
    <mergeCell ref="E2842:K2842"/>
    <mergeCell ref="L2842:N2842"/>
    <mergeCell ref="D2871:I2871"/>
    <mergeCell ref="L2871:M2871"/>
    <mergeCell ref="D2874:G2874"/>
    <mergeCell ref="L2874:M2874"/>
    <mergeCell ref="D2875:G2875"/>
    <mergeCell ref="L2875:M2875"/>
    <mergeCell ref="D2866:I2866"/>
    <mergeCell ref="L2866:M2866"/>
    <mergeCell ref="D2867:I2867"/>
    <mergeCell ref="L2867:M2867"/>
    <mergeCell ref="D2870:I2870"/>
    <mergeCell ref="L2870:M2870"/>
    <mergeCell ref="D2854:H2854"/>
    <mergeCell ref="D2857:H2857"/>
    <mergeCell ref="L2857:M2857"/>
    <mergeCell ref="D2858:H2858"/>
    <mergeCell ref="L2858:M2858"/>
    <mergeCell ref="D2865:I2865"/>
    <mergeCell ref="L2865:M2865"/>
    <mergeCell ref="D2892:G2892"/>
    <mergeCell ref="M2892:N2892"/>
    <mergeCell ref="D2893:G2893"/>
    <mergeCell ref="M2893:N2893"/>
    <mergeCell ref="D2896:H2896"/>
    <mergeCell ref="D2897:H2897"/>
    <mergeCell ref="C2887:N2887"/>
    <mergeCell ref="C2888:N2888"/>
    <mergeCell ref="C2889:N2889"/>
    <mergeCell ref="D2890:G2890"/>
    <mergeCell ref="M2890:N2890"/>
    <mergeCell ref="D2891:G2891"/>
    <mergeCell ref="M2891:N2891"/>
    <mergeCell ref="D2876:G2876"/>
    <mergeCell ref="L2876:M2876"/>
    <mergeCell ref="D2877:G2877"/>
    <mergeCell ref="L2877:M2877"/>
    <mergeCell ref="B2882:M2882"/>
    <mergeCell ref="B2886:D2886"/>
    <mergeCell ref="E2886:K2886"/>
    <mergeCell ref="L2886:N2886"/>
    <mergeCell ref="D2915:I2915"/>
    <mergeCell ref="L2915:M2915"/>
    <mergeCell ref="D2918:G2918"/>
    <mergeCell ref="L2918:M2918"/>
    <mergeCell ref="D2919:G2919"/>
    <mergeCell ref="L2919:M2919"/>
    <mergeCell ref="D2910:I2910"/>
    <mergeCell ref="L2910:M2910"/>
    <mergeCell ref="D2911:I2911"/>
    <mergeCell ref="L2911:M2911"/>
    <mergeCell ref="D2914:I2914"/>
    <mergeCell ref="L2914:M2914"/>
    <mergeCell ref="D2898:H2898"/>
    <mergeCell ref="D2901:H2901"/>
    <mergeCell ref="L2901:M2901"/>
    <mergeCell ref="D2902:H2902"/>
    <mergeCell ref="L2902:M2902"/>
    <mergeCell ref="D2909:I2909"/>
    <mergeCell ref="L2909:M2909"/>
    <mergeCell ref="C2931:N2931"/>
    <mergeCell ref="C2932:N2932"/>
    <mergeCell ref="C2933:N2933"/>
    <mergeCell ref="D2934:G2934"/>
    <mergeCell ref="D2935:G2935"/>
    <mergeCell ref="D2938:H2938"/>
    <mergeCell ref="D2920:G2920"/>
    <mergeCell ref="L2920:M2920"/>
    <mergeCell ref="D2921:G2921"/>
    <mergeCell ref="L2921:M2921"/>
    <mergeCell ref="B2926:M2926"/>
    <mergeCell ref="D3014:G3014"/>
    <mergeCell ref="I3014:L3014"/>
    <mergeCell ref="D3015:G3015"/>
    <mergeCell ref="I3015:L3015"/>
    <mergeCell ref="D2955:I2955"/>
    <mergeCell ref="D2956:I2956"/>
    <mergeCell ref="D2959:G2959"/>
    <mergeCell ref="D2960:G2960"/>
    <mergeCell ref="B2965:M2965"/>
    <mergeCell ref="D3013:G3013"/>
    <mergeCell ref="I3013:L3013"/>
    <mergeCell ref="D2939:H2939"/>
    <mergeCell ref="D2942:H2942"/>
    <mergeCell ref="D2943:H2943"/>
    <mergeCell ref="D2950:I2950"/>
    <mergeCell ref="D2951:I2951"/>
    <mergeCell ref="D2952:I2952"/>
    <mergeCell ref="B2930:D2930"/>
    <mergeCell ref="E2930:K2930"/>
    <mergeCell ref="M2930:N2930"/>
    <mergeCell ref="B2968:D2968"/>
  </mergeCells>
  <phoneticPr fontId="12" type="noConversion"/>
  <pageMargins left="0.511811024" right="0.511811024" top="0.78740157499999996" bottom="0.78740157499999996" header="0.31496062000000002" footer="0.31496062000000002"/>
  <pageSetup paperSize="9" scale="53" fitToHeight="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7D5D59-51D0-402B-AAA6-831743B25F02}">
  <sheetPr>
    <tabColor rgb="FF00B050"/>
    <pageSetUpPr fitToPage="1"/>
  </sheetPr>
  <dimension ref="B1:J385"/>
  <sheetViews>
    <sheetView view="pageBreakPreview" topLeftCell="A358" zoomScale="60" zoomScaleNormal="80" workbookViewId="0">
      <selection activeCell="H12" sqref="H12"/>
    </sheetView>
  </sheetViews>
  <sheetFormatPr defaultColWidth="9.140625" defaultRowHeight="15" x14ac:dyDescent="0.3"/>
  <cols>
    <col min="1" max="1" width="9.140625" style="691"/>
    <col min="2" max="2" width="50.42578125" style="691" customWidth="1"/>
    <col min="3" max="3" width="30" style="691" customWidth="1"/>
    <col min="4" max="4" width="52.42578125" style="691" customWidth="1"/>
    <col min="5" max="8" width="23.42578125" style="691" customWidth="1"/>
    <col min="9" max="9" width="13.28515625" style="691" bestFit="1" customWidth="1"/>
    <col min="10" max="10" width="12.42578125" style="691" bestFit="1" customWidth="1"/>
    <col min="11" max="16384" width="9.140625" style="691"/>
  </cols>
  <sheetData>
    <row r="1" spans="2:10" ht="15.75" thickBot="1" x14ac:dyDescent="0.35"/>
    <row r="2" spans="2:10" x14ac:dyDescent="0.3">
      <c r="B2" s="1534" t="s">
        <v>25450</v>
      </c>
      <c r="C2" s="1535"/>
      <c r="D2" s="1535"/>
      <c r="E2" s="1535"/>
      <c r="F2" s="1535"/>
      <c r="G2" s="1535"/>
      <c r="H2" s="1535"/>
      <c r="I2" s="1535"/>
      <c r="J2" s="1536"/>
    </row>
    <row r="3" spans="2:10" ht="30" x14ac:dyDescent="0.3">
      <c r="B3" s="697"/>
      <c r="C3" s="698" t="s">
        <v>24790</v>
      </c>
      <c r="D3" s="698"/>
      <c r="E3" s="699" t="s">
        <v>456</v>
      </c>
      <c r="F3" s="699"/>
      <c r="G3" s="699"/>
      <c r="H3" s="699"/>
      <c r="I3" s="700" t="s">
        <v>24791</v>
      </c>
      <c r="J3" s="702" t="s">
        <v>24792</v>
      </c>
    </row>
    <row r="4" spans="2:10" x14ac:dyDescent="0.3">
      <c r="B4" s="703" t="s">
        <v>25451</v>
      </c>
      <c r="C4" s="1297" t="s">
        <v>24793</v>
      </c>
      <c r="D4" s="1297" t="s">
        <v>25452</v>
      </c>
      <c r="E4" s="705" t="s">
        <v>77</v>
      </c>
      <c r="F4" s="705"/>
      <c r="G4" s="705"/>
      <c r="H4" s="705"/>
      <c r="I4" s="462">
        <v>3</v>
      </c>
      <c r="J4" s="706">
        <f>(H10+H9+H8)/3</f>
        <v>26.04</v>
      </c>
    </row>
    <row r="5" spans="2:10" x14ac:dyDescent="0.3">
      <c r="B5" s="707"/>
      <c r="C5" s="695"/>
      <c r="D5" s="695"/>
      <c r="E5" s="708"/>
      <c r="F5" s="708"/>
      <c r="G5" s="708"/>
      <c r="H5" s="708"/>
      <c r="I5" s="462" t="s">
        <v>24794</v>
      </c>
      <c r="J5" s="709" t="s">
        <v>24795</v>
      </c>
    </row>
    <row r="6" spans="2:10" x14ac:dyDescent="0.3">
      <c r="B6" s="707"/>
      <c r="C6" s="695"/>
      <c r="D6" s="695"/>
      <c r="E6" s="708"/>
      <c r="F6" s="708"/>
      <c r="G6" s="708"/>
      <c r="H6" s="708"/>
      <c r="I6" s="695"/>
      <c r="J6" s="710"/>
    </row>
    <row r="7" spans="2:10" x14ac:dyDescent="0.3">
      <c r="B7" s="711" t="s">
        <v>24796</v>
      </c>
      <c r="C7" s="712" t="s">
        <v>24797</v>
      </c>
      <c r="D7" s="712" t="s">
        <v>24798</v>
      </c>
      <c r="E7" s="713" t="s">
        <v>270</v>
      </c>
      <c r="F7" s="713" t="s">
        <v>25453</v>
      </c>
      <c r="G7" s="713" t="s">
        <v>25454</v>
      </c>
      <c r="H7" s="713" t="s">
        <v>25455</v>
      </c>
      <c r="I7" s="712" t="s">
        <v>24799</v>
      </c>
      <c r="J7" s="714" t="s">
        <v>4429</v>
      </c>
    </row>
    <row r="8" spans="2:10" x14ac:dyDescent="0.3">
      <c r="B8" s="734" t="s">
        <v>25456</v>
      </c>
      <c r="C8" s="716" t="s">
        <v>25457</v>
      </c>
      <c r="D8" s="716" t="s">
        <v>25458</v>
      </c>
      <c r="E8" s="717">
        <v>49.9</v>
      </c>
      <c r="F8" s="717">
        <f>E8/5</f>
        <v>9.98</v>
      </c>
      <c r="G8" s="717" t="s">
        <v>25459</v>
      </c>
      <c r="H8" s="717">
        <f>F8*2</f>
        <v>19.96</v>
      </c>
      <c r="I8" s="716" t="s">
        <v>24800</v>
      </c>
      <c r="J8" s="718"/>
    </row>
    <row r="9" spans="2:10" x14ac:dyDescent="0.3">
      <c r="B9" s="734" t="s">
        <v>24801</v>
      </c>
      <c r="C9" s="716" t="s">
        <v>24802</v>
      </c>
      <c r="D9" s="735" t="s">
        <v>24803</v>
      </c>
      <c r="E9" s="717">
        <v>55.39</v>
      </c>
      <c r="F9" s="717">
        <f t="shared" ref="F9:F10" si="0">E9/5</f>
        <v>11.08</v>
      </c>
      <c r="G9" s="717" t="s">
        <v>25459</v>
      </c>
      <c r="H9" s="717">
        <f>F9*2</f>
        <v>22.16</v>
      </c>
      <c r="I9" s="716" t="s">
        <v>24800</v>
      </c>
      <c r="J9" s="718"/>
    </row>
    <row r="10" spans="2:10" ht="15.75" thickBot="1" x14ac:dyDescent="0.35">
      <c r="B10" s="736" t="s">
        <v>25460</v>
      </c>
      <c r="C10" s="723" t="s">
        <v>25461</v>
      </c>
      <c r="D10" s="723" t="s">
        <v>25462</v>
      </c>
      <c r="E10" s="723">
        <v>89.99</v>
      </c>
      <c r="F10" s="723">
        <f t="shared" si="0"/>
        <v>18</v>
      </c>
      <c r="G10" s="723" t="s">
        <v>25459</v>
      </c>
      <c r="H10" s="723">
        <f>F10*2</f>
        <v>36</v>
      </c>
      <c r="I10" s="724" t="s">
        <v>24800</v>
      </c>
      <c r="J10" s="725"/>
    </row>
    <row r="12" spans="2:10" ht="15.75" thickBot="1" x14ac:dyDescent="0.35"/>
    <row r="13" spans="2:10" x14ac:dyDescent="0.3">
      <c r="B13" s="1534" t="s">
        <v>25463</v>
      </c>
      <c r="C13" s="1535"/>
      <c r="D13" s="1535"/>
      <c r="E13" s="1535"/>
      <c r="F13" s="1535"/>
      <c r="G13" s="1536"/>
    </row>
    <row r="14" spans="2:10" x14ac:dyDescent="0.3">
      <c r="B14" s="697"/>
      <c r="C14" s="698"/>
      <c r="D14" s="698"/>
      <c r="E14" s="699"/>
      <c r="F14" s="700"/>
      <c r="G14" s="701">
        <v>44043</v>
      </c>
    </row>
    <row r="15" spans="2:10" x14ac:dyDescent="0.3">
      <c r="B15" s="697"/>
      <c r="C15" s="698" t="s">
        <v>24790</v>
      </c>
      <c r="D15" s="698"/>
      <c r="E15" s="699" t="s">
        <v>456</v>
      </c>
      <c r="F15" s="700" t="s">
        <v>24791</v>
      </c>
      <c r="G15" s="702" t="s">
        <v>24792</v>
      </c>
    </row>
    <row r="16" spans="2:10" ht="33.75" customHeight="1" x14ac:dyDescent="0.3">
      <c r="B16" s="703" t="s">
        <v>25464</v>
      </c>
      <c r="C16" s="838" t="s">
        <v>24793</v>
      </c>
      <c r="D16" s="838" t="s">
        <v>25188</v>
      </c>
      <c r="E16" s="705" t="s">
        <v>24804</v>
      </c>
      <c r="F16" s="462">
        <v>3</v>
      </c>
      <c r="G16" s="706">
        <f>(SUM(E20:E22))/3</f>
        <v>12.41</v>
      </c>
    </row>
    <row r="17" spans="2:7" x14ac:dyDescent="0.3">
      <c r="B17" s="707"/>
      <c r="C17" s="695"/>
      <c r="D17" s="695"/>
      <c r="E17" s="708"/>
      <c r="F17" s="462" t="s">
        <v>24794</v>
      </c>
      <c r="G17" s="709" t="s">
        <v>24795</v>
      </c>
    </row>
    <row r="18" spans="2:7" x14ac:dyDescent="0.3">
      <c r="B18" s="707"/>
      <c r="C18" s="695"/>
      <c r="D18" s="695"/>
      <c r="E18" s="708"/>
      <c r="F18" s="695"/>
      <c r="G18" s="710"/>
    </row>
    <row r="19" spans="2:7" x14ac:dyDescent="0.3">
      <c r="B19" s="711" t="s">
        <v>24796</v>
      </c>
      <c r="C19" s="712" t="s">
        <v>24797</v>
      </c>
      <c r="D19" s="712" t="s">
        <v>24798</v>
      </c>
      <c r="E19" s="713" t="s">
        <v>270</v>
      </c>
      <c r="F19" s="712" t="s">
        <v>24799</v>
      </c>
      <c r="G19" s="714" t="s">
        <v>4429</v>
      </c>
    </row>
    <row r="20" spans="2:7" ht="37.5" customHeight="1" x14ac:dyDescent="0.3">
      <c r="B20" s="734" t="s">
        <v>25460</v>
      </c>
      <c r="C20" s="716" t="s">
        <v>25461</v>
      </c>
      <c r="D20" s="716" t="s">
        <v>25462</v>
      </c>
      <c r="E20" s="717">
        <v>19.59</v>
      </c>
      <c r="F20" s="716" t="s">
        <v>24800</v>
      </c>
      <c r="G20" s="718"/>
    </row>
    <row r="21" spans="2:7" ht="42.75" customHeight="1" x14ac:dyDescent="0.3">
      <c r="B21" s="734" t="s">
        <v>25456</v>
      </c>
      <c r="C21" s="716" t="s">
        <v>25457</v>
      </c>
      <c r="D21" s="716" t="s">
        <v>25458</v>
      </c>
      <c r="E21" s="717">
        <v>10.51</v>
      </c>
      <c r="F21" s="716" t="s">
        <v>24800</v>
      </c>
      <c r="G21" s="718"/>
    </row>
    <row r="22" spans="2:7" ht="50.25" customHeight="1" thickBot="1" x14ac:dyDescent="0.35">
      <c r="B22" s="1171" t="s">
        <v>25465</v>
      </c>
      <c r="C22" s="721" t="s">
        <v>25466</v>
      </c>
      <c r="D22" s="737" t="s">
        <v>25467</v>
      </c>
      <c r="E22" s="723">
        <v>7.12</v>
      </c>
      <c r="F22" s="724" t="s">
        <v>24800</v>
      </c>
      <c r="G22" s="725"/>
    </row>
    <row r="23" spans="2:7" ht="27.75" customHeight="1" thickBot="1" x14ac:dyDescent="0.35">
      <c r="B23" s="694"/>
      <c r="C23" s="461"/>
      <c r="D23" s="695"/>
      <c r="E23" s="696"/>
      <c r="F23" s="461"/>
      <c r="G23" s="461"/>
    </row>
    <row r="24" spans="2:7" ht="27.75" customHeight="1" x14ac:dyDescent="0.3">
      <c r="B24" s="1534" t="s">
        <v>25468</v>
      </c>
      <c r="C24" s="1535"/>
      <c r="D24" s="1535"/>
      <c r="E24" s="1535"/>
      <c r="F24" s="1535"/>
      <c r="G24" s="1536"/>
    </row>
    <row r="25" spans="2:7" ht="27.75" customHeight="1" x14ac:dyDescent="0.3">
      <c r="B25" s="697"/>
      <c r="C25" s="698"/>
      <c r="D25" s="698"/>
      <c r="E25" s="699"/>
      <c r="F25" s="700"/>
      <c r="G25" s="701"/>
    </row>
    <row r="26" spans="2:7" ht="27.75" customHeight="1" x14ac:dyDescent="0.3">
      <c r="B26" s="697"/>
      <c r="C26" s="698" t="s">
        <v>24790</v>
      </c>
      <c r="D26" s="698"/>
      <c r="E26" s="699" t="s">
        <v>456</v>
      </c>
      <c r="F26" s="700" t="s">
        <v>24791</v>
      </c>
      <c r="G26" s="702" t="s">
        <v>24792</v>
      </c>
    </row>
    <row r="27" spans="2:7" ht="27.75" customHeight="1" x14ac:dyDescent="0.3">
      <c r="B27" s="703" t="s">
        <v>25469</v>
      </c>
      <c r="C27" s="838" t="s">
        <v>24793</v>
      </c>
      <c r="D27" s="704" t="s">
        <v>25190</v>
      </c>
      <c r="E27" s="705" t="s">
        <v>24804</v>
      </c>
      <c r="F27" s="462">
        <v>3</v>
      </c>
      <c r="G27" s="706">
        <f>(SUM(E30:E32))/3</f>
        <v>15.47</v>
      </c>
    </row>
    <row r="28" spans="2:7" ht="27.75" customHeight="1" x14ac:dyDescent="0.3">
      <c r="B28" s="707"/>
      <c r="C28" s="695"/>
      <c r="D28" s="695"/>
      <c r="E28" s="708"/>
      <c r="F28" s="462" t="s">
        <v>24794</v>
      </c>
      <c r="G28" s="709" t="s">
        <v>24795</v>
      </c>
    </row>
    <row r="29" spans="2:7" ht="27.75" customHeight="1" x14ac:dyDescent="0.3">
      <c r="B29" s="711" t="s">
        <v>24796</v>
      </c>
      <c r="C29" s="712" t="s">
        <v>24797</v>
      </c>
      <c r="D29" s="712" t="s">
        <v>24798</v>
      </c>
      <c r="E29" s="713" t="s">
        <v>270</v>
      </c>
      <c r="F29" s="712" t="s">
        <v>24799</v>
      </c>
      <c r="G29" s="714" t="s">
        <v>4429</v>
      </c>
    </row>
    <row r="30" spans="2:7" ht="27.75" customHeight="1" x14ac:dyDescent="0.3">
      <c r="B30" s="738" t="s">
        <v>25470</v>
      </c>
      <c r="C30" s="739" t="s">
        <v>24802</v>
      </c>
      <c r="D30" s="740" t="s">
        <v>24803</v>
      </c>
      <c r="E30" s="717">
        <v>11.9</v>
      </c>
      <c r="F30" s="716" t="s">
        <v>24800</v>
      </c>
      <c r="G30" s="718"/>
    </row>
    <row r="31" spans="2:7" ht="27.75" customHeight="1" x14ac:dyDescent="0.3">
      <c r="B31" s="738" t="s">
        <v>25471</v>
      </c>
      <c r="C31" s="739" t="s">
        <v>25472</v>
      </c>
      <c r="D31" s="740" t="s">
        <v>25473</v>
      </c>
      <c r="E31" s="717">
        <v>12.62</v>
      </c>
      <c r="F31" s="716" t="s">
        <v>24800</v>
      </c>
      <c r="G31" s="718"/>
    </row>
    <row r="32" spans="2:7" ht="46.5" customHeight="1" thickBot="1" x14ac:dyDescent="0.35">
      <c r="B32" s="1172" t="s">
        <v>25474</v>
      </c>
      <c r="C32" s="724" t="s">
        <v>25475</v>
      </c>
      <c r="D32" s="722" t="s">
        <v>25476</v>
      </c>
      <c r="E32" s="723">
        <v>21.9</v>
      </c>
      <c r="F32" s="724" t="s">
        <v>24800</v>
      </c>
      <c r="G32" s="725"/>
    </row>
    <row r="33" spans="2:8" ht="27.75" customHeight="1" x14ac:dyDescent="0.3">
      <c r="B33" s="694"/>
      <c r="C33" s="461"/>
      <c r="D33" s="695"/>
      <c r="E33" s="696"/>
      <c r="F33" s="461"/>
      <c r="G33" s="461"/>
    </row>
    <row r="35" spans="2:8" ht="15.75" thickBot="1" x14ac:dyDescent="0.35"/>
    <row r="36" spans="2:8" x14ac:dyDescent="0.3">
      <c r="B36" s="1534" t="s">
        <v>25477</v>
      </c>
      <c r="C36" s="1535"/>
      <c r="D36" s="1535"/>
      <c r="E36" s="1535"/>
      <c r="F36" s="1535"/>
      <c r="G36" s="1535"/>
      <c r="H36" s="1536"/>
    </row>
    <row r="37" spans="2:8" x14ac:dyDescent="0.3">
      <c r="B37" s="697"/>
      <c r="C37" s="698"/>
      <c r="D37" s="698"/>
      <c r="E37" s="699"/>
      <c r="F37" s="699"/>
      <c r="G37" s="700"/>
      <c r="H37" s="701">
        <v>44043</v>
      </c>
    </row>
    <row r="38" spans="2:8" x14ac:dyDescent="0.3">
      <c r="B38" s="697"/>
      <c r="C38" s="698" t="s">
        <v>24790</v>
      </c>
      <c r="D38" s="698" t="s">
        <v>1</v>
      </c>
      <c r="E38" s="699" t="s">
        <v>456</v>
      </c>
      <c r="F38" s="699"/>
      <c r="G38" s="700" t="s">
        <v>24791</v>
      </c>
      <c r="H38" s="702" t="s">
        <v>24792</v>
      </c>
    </row>
    <row r="39" spans="2:8" x14ac:dyDescent="0.3">
      <c r="B39" s="703" t="s">
        <v>25478</v>
      </c>
      <c r="C39" s="838" t="s">
        <v>24793</v>
      </c>
      <c r="D39" s="704" t="s">
        <v>25194</v>
      </c>
      <c r="E39" s="705" t="s">
        <v>24804</v>
      </c>
      <c r="F39" s="705"/>
      <c r="G39" s="462">
        <v>3</v>
      </c>
      <c r="H39" s="706">
        <f>(SUM(F43:F45))/3</f>
        <v>594.82000000000005</v>
      </c>
    </row>
    <row r="40" spans="2:8" x14ac:dyDescent="0.3">
      <c r="B40" s="707"/>
      <c r="C40" s="695"/>
      <c r="D40" s="695"/>
      <c r="E40" s="708"/>
      <c r="F40" s="708"/>
      <c r="G40" s="462" t="s">
        <v>24794</v>
      </c>
      <c r="H40" s="709" t="s">
        <v>24795</v>
      </c>
    </row>
    <row r="41" spans="2:8" x14ac:dyDescent="0.3">
      <c r="B41" s="707"/>
      <c r="C41" s="695"/>
      <c r="D41" s="695"/>
      <c r="E41" s="708"/>
      <c r="F41" s="708"/>
      <c r="G41" s="695"/>
      <c r="H41" s="710"/>
    </row>
    <row r="42" spans="2:8" x14ac:dyDescent="0.3">
      <c r="B42" s="711" t="s">
        <v>24796</v>
      </c>
      <c r="C42" s="712" t="s">
        <v>24797</v>
      </c>
      <c r="D42" s="712" t="s">
        <v>24798</v>
      </c>
      <c r="E42" s="713" t="s">
        <v>270</v>
      </c>
      <c r="F42" s="713" t="s">
        <v>25479</v>
      </c>
      <c r="G42" s="712" t="s">
        <v>24799</v>
      </c>
      <c r="H42" s="714" t="s">
        <v>4429</v>
      </c>
    </row>
    <row r="43" spans="2:8" ht="40.5" customHeight="1" x14ac:dyDescent="0.3">
      <c r="B43" s="715" t="s">
        <v>25480</v>
      </c>
      <c r="C43" s="716" t="s">
        <v>25481</v>
      </c>
      <c r="D43" s="741" t="s">
        <v>25482</v>
      </c>
      <c r="E43" s="717">
        <v>4492.41</v>
      </c>
      <c r="F43" s="717">
        <v>598.99</v>
      </c>
      <c r="G43" s="716" t="s">
        <v>24800</v>
      </c>
      <c r="H43" s="718"/>
    </row>
    <row r="44" spans="2:8" ht="30" x14ac:dyDescent="0.3">
      <c r="B44" s="742" t="s">
        <v>25483</v>
      </c>
      <c r="C44" s="739" t="s">
        <v>25484</v>
      </c>
      <c r="D44" s="741" t="s">
        <v>25485</v>
      </c>
      <c r="E44" s="717">
        <v>3100</v>
      </c>
      <c r="F44" s="717">
        <v>620</v>
      </c>
      <c r="G44" s="716" t="s">
        <v>24800</v>
      </c>
      <c r="H44" s="718"/>
    </row>
    <row r="45" spans="2:8" ht="30.75" thickBot="1" x14ac:dyDescent="0.35">
      <c r="B45" s="743" t="s">
        <v>25486</v>
      </c>
      <c r="C45" s="724" t="s">
        <v>25475</v>
      </c>
      <c r="D45" s="722" t="s">
        <v>25476</v>
      </c>
      <c r="E45" s="723">
        <v>3392.9</v>
      </c>
      <c r="F45" s="723">
        <v>565.48</v>
      </c>
      <c r="G45" s="724" t="s">
        <v>24800</v>
      </c>
      <c r="H45" s="725"/>
    </row>
    <row r="48" spans="2:8" ht="15.75" thickBot="1" x14ac:dyDescent="0.35"/>
    <row r="49" spans="2:8" x14ac:dyDescent="0.3">
      <c r="B49" s="1534" t="s">
        <v>25492</v>
      </c>
      <c r="C49" s="1535"/>
      <c r="D49" s="1535"/>
      <c r="E49" s="1535"/>
      <c r="F49" s="1535"/>
      <c r="G49" s="1535"/>
      <c r="H49" s="1536"/>
    </row>
    <row r="50" spans="2:8" x14ac:dyDescent="0.3">
      <c r="B50" s="697"/>
      <c r="C50" s="698"/>
      <c r="D50" s="698"/>
      <c r="E50" s="699"/>
      <c r="F50" s="699"/>
      <c r="G50" s="700"/>
      <c r="H50" s="701">
        <v>44043</v>
      </c>
    </row>
    <row r="51" spans="2:8" x14ac:dyDescent="0.3">
      <c r="B51" s="697"/>
      <c r="C51" s="698" t="s">
        <v>24790</v>
      </c>
      <c r="D51" s="698" t="s">
        <v>1</v>
      </c>
      <c r="E51" s="699" t="s">
        <v>456</v>
      </c>
      <c r="F51" s="699"/>
      <c r="G51" s="700" t="s">
        <v>24791</v>
      </c>
      <c r="H51" s="702" t="s">
        <v>24792</v>
      </c>
    </row>
    <row r="52" spans="2:8" ht="30" x14ac:dyDescent="0.3">
      <c r="B52" s="703" t="s">
        <v>25493</v>
      </c>
      <c r="C52" s="838" t="s">
        <v>24793</v>
      </c>
      <c r="D52" s="704" t="s">
        <v>25494</v>
      </c>
      <c r="E52" s="705" t="s">
        <v>24804</v>
      </c>
      <c r="F52" s="705"/>
      <c r="G52" s="462">
        <v>3</v>
      </c>
      <c r="H52" s="706">
        <f>(SUM(F56:F58))/3</f>
        <v>791.67</v>
      </c>
    </row>
    <row r="53" spans="2:8" x14ac:dyDescent="0.3">
      <c r="B53" s="707"/>
      <c r="C53" s="695"/>
      <c r="D53" s="695"/>
      <c r="E53" s="708"/>
      <c r="F53" s="708"/>
      <c r="G53" s="462" t="s">
        <v>24794</v>
      </c>
      <c r="H53" s="709" t="s">
        <v>24795</v>
      </c>
    </row>
    <row r="54" spans="2:8" x14ac:dyDescent="0.3">
      <c r="B54" s="707"/>
      <c r="C54" s="695"/>
      <c r="D54" s="695"/>
      <c r="E54" s="708"/>
      <c r="F54" s="708"/>
      <c r="G54" s="695"/>
      <c r="H54" s="710"/>
    </row>
    <row r="55" spans="2:8" x14ac:dyDescent="0.3">
      <c r="B55" s="711" t="s">
        <v>24796</v>
      </c>
      <c r="C55" s="712" t="s">
        <v>24797</v>
      </c>
      <c r="D55" s="712" t="s">
        <v>24798</v>
      </c>
      <c r="E55" s="713" t="s">
        <v>270</v>
      </c>
      <c r="F55" s="713" t="s">
        <v>24805</v>
      </c>
      <c r="G55" s="712" t="s">
        <v>24799</v>
      </c>
      <c r="H55" s="714" t="s">
        <v>4429</v>
      </c>
    </row>
    <row r="56" spans="2:8" ht="35.25" customHeight="1" x14ac:dyDescent="0.3">
      <c r="B56" s="738" t="s">
        <v>25470</v>
      </c>
      <c r="C56" s="739" t="s">
        <v>24802</v>
      </c>
      <c r="D56" s="740" t="s">
        <v>24803</v>
      </c>
      <c r="E56" s="717">
        <v>1035</v>
      </c>
      <c r="F56" s="717">
        <f>E56/1</f>
        <v>1035</v>
      </c>
      <c r="G56" s="716" t="s">
        <v>24800</v>
      </c>
      <c r="H56" s="718"/>
    </row>
    <row r="57" spans="2:8" ht="36.75" customHeight="1" x14ac:dyDescent="0.3">
      <c r="B57" s="715" t="s">
        <v>25495</v>
      </c>
      <c r="C57" s="716" t="s">
        <v>25496</v>
      </c>
      <c r="D57" s="462" t="s">
        <v>25497</v>
      </c>
      <c r="E57" s="719">
        <v>650</v>
      </c>
      <c r="F57" s="717">
        <f t="shared" ref="F57:F58" si="1">E57/1</f>
        <v>650</v>
      </c>
      <c r="G57" s="716" t="s">
        <v>24800</v>
      </c>
      <c r="H57" s="718"/>
    </row>
    <row r="58" spans="2:8" ht="39.75" customHeight="1" thickBot="1" x14ac:dyDescent="0.35">
      <c r="B58" s="720" t="s">
        <v>25498</v>
      </c>
      <c r="C58" s="721" t="s">
        <v>25499</v>
      </c>
      <c r="D58" s="722" t="s">
        <v>25500</v>
      </c>
      <c r="E58" s="723">
        <v>690</v>
      </c>
      <c r="F58" s="723">
        <f t="shared" si="1"/>
        <v>690</v>
      </c>
      <c r="G58" s="724" t="s">
        <v>24800</v>
      </c>
      <c r="H58" s="725"/>
    </row>
    <row r="60" spans="2:8" ht="15.75" thickBot="1" x14ac:dyDescent="0.35"/>
    <row r="61" spans="2:8" x14ac:dyDescent="0.3">
      <c r="B61" s="1534" t="s">
        <v>25501</v>
      </c>
      <c r="C61" s="1535"/>
      <c r="D61" s="1535"/>
      <c r="E61" s="1535"/>
      <c r="F61" s="1535"/>
      <c r="G61" s="1536"/>
    </row>
    <row r="62" spans="2:8" x14ac:dyDescent="0.3">
      <c r="B62" s="697"/>
      <c r="C62" s="698"/>
      <c r="D62" s="698"/>
      <c r="E62" s="699"/>
      <c r="F62" s="699"/>
      <c r="G62" s="701">
        <v>44043</v>
      </c>
    </row>
    <row r="63" spans="2:8" x14ac:dyDescent="0.3">
      <c r="B63" s="697"/>
      <c r="C63" s="698" t="s">
        <v>24790</v>
      </c>
      <c r="D63" s="698" t="s">
        <v>1</v>
      </c>
      <c r="E63" s="699" t="s">
        <v>456</v>
      </c>
      <c r="F63" s="700" t="s">
        <v>24791</v>
      </c>
      <c r="G63" s="702" t="s">
        <v>24792</v>
      </c>
    </row>
    <row r="64" spans="2:8" x14ac:dyDescent="0.3">
      <c r="B64" s="703" t="s">
        <v>25502</v>
      </c>
      <c r="C64" s="838" t="s">
        <v>24793</v>
      </c>
      <c r="D64" s="704" t="s">
        <v>25244</v>
      </c>
      <c r="E64" s="705" t="s">
        <v>24804</v>
      </c>
      <c r="F64" s="462">
        <v>3</v>
      </c>
      <c r="G64" s="706">
        <f>(SUM(E68:E70))/3</f>
        <v>4.42</v>
      </c>
    </row>
    <row r="65" spans="2:7" x14ac:dyDescent="0.3">
      <c r="B65" s="707"/>
      <c r="C65" s="695"/>
      <c r="D65" s="695"/>
      <c r="E65" s="708"/>
      <c r="F65" s="462" t="s">
        <v>24794</v>
      </c>
      <c r="G65" s="709" t="s">
        <v>24795</v>
      </c>
    </row>
    <row r="66" spans="2:7" x14ac:dyDescent="0.3">
      <c r="B66" s="707"/>
      <c r="C66" s="695"/>
      <c r="D66" s="695"/>
      <c r="E66" s="708"/>
      <c r="F66" s="695"/>
      <c r="G66" s="710"/>
    </row>
    <row r="67" spans="2:7" x14ac:dyDescent="0.3">
      <c r="B67" s="711" t="s">
        <v>24796</v>
      </c>
      <c r="C67" s="712" t="s">
        <v>24797</v>
      </c>
      <c r="D67" s="712" t="s">
        <v>24798</v>
      </c>
      <c r="E67" s="713" t="s">
        <v>24805</v>
      </c>
      <c r="F67" s="712" t="s">
        <v>24799</v>
      </c>
      <c r="G67" s="714" t="s">
        <v>4429</v>
      </c>
    </row>
    <row r="68" spans="2:7" ht="34.5" customHeight="1" x14ac:dyDescent="0.3">
      <c r="B68" s="715" t="s">
        <v>25474</v>
      </c>
      <c r="C68" s="716" t="s">
        <v>25475</v>
      </c>
      <c r="D68" s="462" t="s">
        <v>25476</v>
      </c>
      <c r="E68" s="717">
        <v>5.19</v>
      </c>
      <c r="F68" s="716" t="s">
        <v>24800</v>
      </c>
      <c r="G68" s="718"/>
    </row>
    <row r="69" spans="2:7" ht="34.5" customHeight="1" x14ac:dyDescent="0.3">
      <c r="B69" s="734" t="s">
        <v>25456</v>
      </c>
      <c r="C69" s="716" t="s">
        <v>25457</v>
      </c>
      <c r="D69" s="716" t="s">
        <v>25458</v>
      </c>
      <c r="E69" s="719">
        <v>2.86</v>
      </c>
      <c r="F69" s="716" t="s">
        <v>24800</v>
      </c>
      <c r="G69" s="718"/>
    </row>
    <row r="70" spans="2:7" ht="36.75" customHeight="1" thickBot="1" x14ac:dyDescent="0.35">
      <c r="B70" s="736" t="s">
        <v>25460</v>
      </c>
      <c r="C70" s="723" t="s">
        <v>25461</v>
      </c>
      <c r="D70" s="723" t="s">
        <v>25462</v>
      </c>
      <c r="E70" s="723">
        <v>5.2</v>
      </c>
      <c r="F70" s="724" t="s">
        <v>24800</v>
      </c>
      <c r="G70" s="725"/>
    </row>
    <row r="73" spans="2:7" ht="15.75" thickBot="1" x14ac:dyDescent="0.35"/>
    <row r="74" spans="2:7" x14ac:dyDescent="0.3">
      <c r="B74" s="1534" t="s">
        <v>25487</v>
      </c>
      <c r="C74" s="1535"/>
      <c r="D74" s="1535"/>
      <c r="E74" s="1535"/>
      <c r="F74" s="1535"/>
      <c r="G74" s="1536"/>
    </row>
    <row r="75" spans="2:7" x14ac:dyDescent="0.3">
      <c r="B75" s="697"/>
      <c r="C75" s="698"/>
      <c r="D75" s="698"/>
      <c r="E75" s="699"/>
      <c r="F75" s="699"/>
      <c r="G75" s="701">
        <v>44043</v>
      </c>
    </row>
    <row r="76" spans="2:7" x14ac:dyDescent="0.3">
      <c r="B76" s="697"/>
      <c r="C76" s="698" t="s">
        <v>24790</v>
      </c>
      <c r="D76" s="698" t="s">
        <v>1</v>
      </c>
      <c r="E76" s="699" t="s">
        <v>456</v>
      </c>
      <c r="F76" s="700" t="s">
        <v>24791</v>
      </c>
      <c r="G76" s="702" t="s">
        <v>24792</v>
      </c>
    </row>
    <row r="77" spans="2:7" x14ac:dyDescent="0.3">
      <c r="B77" s="703" t="s">
        <v>25488</v>
      </c>
      <c r="C77" s="838" t="s">
        <v>24793</v>
      </c>
      <c r="D77" s="704" t="s">
        <v>25261</v>
      </c>
      <c r="E77" s="705" t="s">
        <v>2884</v>
      </c>
      <c r="F77" s="462">
        <v>3</v>
      </c>
      <c r="G77" s="706">
        <f>(SUM(E81:E83))/3</f>
        <v>84.32</v>
      </c>
    </row>
    <row r="78" spans="2:7" x14ac:dyDescent="0.3">
      <c r="B78" s="707"/>
      <c r="C78" s="695"/>
      <c r="D78" s="695"/>
      <c r="E78" s="708"/>
      <c r="F78" s="462" t="s">
        <v>24794</v>
      </c>
      <c r="G78" s="709" t="s">
        <v>24795</v>
      </c>
    </row>
    <row r="79" spans="2:7" x14ac:dyDescent="0.3">
      <c r="B79" s="707"/>
      <c r="C79" s="695"/>
      <c r="D79" s="695"/>
      <c r="E79" s="708"/>
      <c r="F79" s="695"/>
      <c r="G79" s="710"/>
    </row>
    <row r="80" spans="2:7" x14ac:dyDescent="0.3">
      <c r="B80" s="711" t="s">
        <v>24796</v>
      </c>
      <c r="C80" s="712" t="s">
        <v>24797</v>
      </c>
      <c r="D80" s="712" t="s">
        <v>24798</v>
      </c>
      <c r="E80" s="713" t="s">
        <v>25479</v>
      </c>
      <c r="F80" s="712" t="s">
        <v>24799</v>
      </c>
      <c r="G80" s="714" t="s">
        <v>4429</v>
      </c>
    </row>
    <row r="81" spans="2:7" ht="30" x14ac:dyDescent="0.3">
      <c r="B81" s="715" t="s">
        <v>25503</v>
      </c>
      <c r="C81" s="716" t="s">
        <v>25504</v>
      </c>
      <c r="D81" s="462" t="s">
        <v>25505</v>
      </c>
      <c r="E81" s="717">
        <f>127.8/2</f>
        <v>63.9</v>
      </c>
      <c r="F81" s="716" t="s">
        <v>24800</v>
      </c>
      <c r="G81" s="718"/>
    </row>
    <row r="82" spans="2:7" ht="30" x14ac:dyDescent="0.3">
      <c r="B82" s="734" t="s">
        <v>25506</v>
      </c>
      <c r="C82" s="462" t="s">
        <v>25507</v>
      </c>
      <c r="D82" s="462" t="s">
        <v>25508</v>
      </c>
      <c r="E82" s="719">
        <f>104.5/2</f>
        <v>52.25</v>
      </c>
      <c r="F82" s="716" t="s">
        <v>24800</v>
      </c>
      <c r="G82" s="718"/>
    </row>
    <row r="83" spans="2:7" ht="30.75" thickBot="1" x14ac:dyDescent="0.35">
      <c r="B83" s="736" t="s">
        <v>25509</v>
      </c>
      <c r="C83" s="723" t="s">
        <v>25510</v>
      </c>
      <c r="D83" s="1173" t="s">
        <v>25511</v>
      </c>
      <c r="E83" s="723">
        <f>3420/25</f>
        <v>136.80000000000001</v>
      </c>
      <c r="F83" s="724" t="s">
        <v>24800</v>
      </c>
      <c r="G83" s="725"/>
    </row>
    <row r="85" spans="2:7" ht="15.75" thickBot="1" x14ac:dyDescent="0.35"/>
    <row r="86" spans="2:7" x14ac:dyDescent="0.3">
      <c r="B86" s="1534" t="s">
        <v>25487</v>
      </c>
      <c r="C86" s="1535"/>
      <c r="D86" s="1535"/>
      <c r="E86" s="1535"/>
      <c r="F86" s="1535"/>
      <c r="G86" s="1536"/>
    </row>
    <row r="87" spans="2:7" x14ac:dyDescent="0.3">
      <c r="B87" s="697"/>
      <c r="C87" s="698"/>
      <c r="D87" s="698"/>
      <c r="E87" s="699"/>
      <c r="F87" s="699"/>
      <c r="G87" s="701">
        <v>44043</v>
      </c>
    </row>
    <row r="88" spans="2:7" x14ac:dyDescent="0.3">
      <c r="B88" s="697"/>
      <c r="C88" s="698" t="s">
        <v>24790</v>
      </c>
      <c r="D88" s="698" t="s">
        <v>1</v>
      </c>
      <c r="E88" s="699" t="s">
        <v>456</v>
      </c>
      <c r="F88" s="700" t="s">
        <v>24791</v>
      </c>
      <c r="G88" s="702" t="s">
        <v>24792</v>
      </c>
    </row>
    <row r="89" spans="2:7" x14ac:dyDescent="0.3">
      <c r="B89" s="703" t="s">
        <v>25488</v>
      </c>
      <c r="C89" s="1263" t="s">
        <v>24793</v>
      </c>
      <c r="D89" s="704" t="s">
        <v>25743</v>
      </c>
      <c r="E89" s="705" t="s">
        <v>456</v>
      </c>
      <c r="F89" s="462">
        <v>3</v>
      </c>
      <c r="G89" s="706">
        <f>(SUM(E93:E95))/3</f>
        <v>91.58</v>
      </c>
    </row>
    <row r="90" spans="2:7" x14ac:dyDescent="0.3">
      <c r="B90" s="707"/>
      <c r="C90" s="695"/>
      <c r="D90" s="695"/>
      <c r="E90" s="708"/>
      <c r="F90" s="462" t="s">
        <v>24794</v>
      </c>
      <c r="G90" s="709" t="s">
        <v>24795</v>
      </c>
    </row>
    <row r="91" spans="2:7" x14ac:dyDescent="0.3">
      <c r="B91" s="707"/>
      <c r="C91" s="695"/>
      <c r="D91" s="695"/>
      <c r="E91" s="708"/>
      <c r="F91" s="695"/>
      <c r="G91" s="710"/>
    </row>
    <row r="92" spans="2:7" x14ac:dyDescent="0.3">
      <c r="B92" s="711" t="s">
        <v>24796</v>
      </c>
      <c r="C92" s="712" t="s">
        <v>24797</v>
      </c>
      <c r="D92" s="712" t="s">
        <v>24798</v>
      </c>
      <c r="E92" s="713" t="s">
        <v>24805</v>
      </c>
      <c r="F92" s="712" t="s">
        <v>24799</v>
      </c>
      <c r="G92" s="714" t="s">
        <v>4429</v>
      </c>
    </row>
    <row r="93" spans="2:7" x14ac:dyDescent="0.3">
      <c r="B93" s="715" t="s">
        <v>25733</v>
      </c>
      <c r="C93" s="716" t="s">
        <v>25734</v>
      </c>
      <c r="D93" s="462" t="s">
        <v>25735</v>
      </c>
      <c r="E93" s="717">
        <v>84.92</v>
      </c>
      <c r="F93" s="716" t="s">
        <v>24800</v>
      </c>
      <c r="G93" s="718"/>
    </row>
    <row r="94" spans="2:7" x14ac:dyDescent="0.3">
      <c r="B94" s="734" t="s">
        <v>25736</v>
      </c>
      <c r="C94" s="462" t="s">
        <v>25737</v>
      </c>
      <c r="D94" s="462" t="s">
        <v>25738</v>
      </c>
      <c r="E94" s="719">
        <v>89.91</v>
      </c>
      <c r="F94" s="716" t="s">
        <v>24800</v>
      </c>
      <c r="G94" s="718"/>
    </row>
    <row r="95" spans="2:7" ht="15.75" thickBot="1" x14ac:dyDescent="0.35">
      <c r="B95" s="736" t="s">
        <v>25739</v>
      </c>
      <c r="C95" s="723" t="s">
        <v>25740</v>
      </c>
      <c r="D95" s="1173" t="s">
        <v>25741</v>
      </c>
      <c r="E95" s="723">
        <v>99.9</v>
      </c>
      <c r="F95" s="724" t="s">
        <v>24800</v>
      </c>
      <c r="G95" s="725"/>
    </row>
    <row r="96" spans="2:7" x14ac:dyDescent="0.3">
      <c r="B96" s="1267"/>
      <c r="C96" s="693"/>
      <c r="D96" s="1268"/>
      <c r="E96" s="693"/>
      <c r="F96" s="692"/>
      <c r="G96" s="692"/>
    </row>
    <row r="97" spans="2:7" ht="15.75" thickBot="1" x14ac:dyDescent="0.35"/>
    <row r="98" spans="2:7" x14ac:dyDescent="0.3">
      <c r="B98" s="1534" t="s">
        <v>25512</v>
      </c>
      <c r="C98" s="1535"/>
      <c r="D98" s="1535"/>
      <c r="E98" s="1535"/>
      <c r="F98" s="1535"/>
      <c r="G98" s="1536"/>
    </row>
    <row r="99" spans="2:7" x14ac:dyDescent="0.3">
      <c r="B99" s="697"/>
      <c r="C99" s="698"/>
      <c r="D99" s="698"/>
      <c r="E99" s="699"/>
      <c r="F99" s="699"/>
      <c r="G99" s="701">
        <v>44043</v>
      </c>
    </row>
    <row r="100" spans="2:7" x14ac:dyDescent="0.3">
      <c r="B100" s="697"/>
      <c r="C100" s="698" t="s">
        <v>24790</v>
      </c>
      <c r="D100" s="698" t="s">
        <v>1</v>
      </c>
      <c r="E100" s="699" t="s">
        <v>456</v>
      </c>
      <c r="F100" s="700" t="s">
        <v>24791</v>
      </c>
      <c r="G100" s="702" t="s">
        <v>24792</v>
      </c>
    </row>
    <row r="101" spans="2:7" x14ac:dyDescent="0.3">
      <c r="B101" s="703" t="s">
        <v>25493</v>
      </c>
      <c r="C101" s="838" t="s">
        <v>24793</v>
      </c>
      <c r="D101" s="704" t="s">
        <v>25252</v>
      </c>
      <c r="E101" s="705" t="s">
        <v>24804</v>
      </c>
      <c r="F101" s="462">
        <v>3</v>
      </c>
      <c r="G101" s="706">
        <f>(SUM(E105:E107))/3</f>
        <v>31.69</v>
      </c>
    </row>
    <row r="102" spans="2:7" x14ac:dyDescent="0.3">
      <c r="B102" s="707"/>
      <c r="C102" s="695"/>
      <c r="D102" s="695"/>
      <c r="E102" s="708"/>
      <c r="F102" s="462" t="s">
        <v>24794</v>
      </c>
      <c r="G102" s="709" t="s">
        <v>24795</v>
      </c>
    </row>
    <row r="103" spans="2:7" x14ac:dyDescent="0.3">
      <c r="B103" s="707"/>
      <c r="C103" s="695"/>
      <c r="D103" s="695"/>
      <c r="E103" s="708"/>
      <c r="F103" s="695"/>
      <c r="G103" s="710"/>
    </row>
    <row r="104" spans="2:7" x14ac:dyDescent="0.3">
      <c r="B104" s="711" t="s">
        <v>24796</v>
      </c>
      <c r="C104" s="712" t="s">
        <v>24797</v>
      </c>
      <c r="D104" s="712" t="s">
        <v>24798</v>
      </c>
      <c r="E104" s="713" t="s">
        <v>24805</v>
      </c>
      <c r="F104" s="712" t="s">
        <v>24799</v>
      </c>
      <c r="G104" s="714" t="s">
        <v>4429</v>
      </c>
    </row>
    <row r="105" spans="2:7" ht="39" customHeight="1" x14ac:dyDescent="0.3">
      <c r="B105" s="715" t="s">
        <v>25513</v>
      </c>
      <c r="C105" s="716" t="s">
        <v>25514</v>
      </c>
      <c r="D105" s="462" t="s">
        <v>25515</v>
      </c>
      <c r="E105" s="717">
        <v>22.9</v>
      </c>
      <c r="F105" s="716" t="s">
        <v>24800</v>
      </c>
      <c r="G105" s="718"/>
    </row>
    <row r="106" spans="2:7" ht="43.5" customHeight="1" x14ac:dyDescent="0.3">
      <c r="B106" s="734" t="s">
        <v>25516</v>
      </c>
      <c r="C106" s="462" t="s">
        <v>25517</v>
      </c>
      <c r="D106" s="462" t="s">
        <v>25518</v>
      </c>
      <c r="E106" s="719">
        <v>22.9</v>
      </c>
      <c r="F106" s="716" t="s">
        <v>24800</v>
      </c>
      <c r="G106" s="718"/>
    </row>
    <row r="107" spans="2:7" ht="41.25" customHeight="1" thickBot="1" x14ac:dyDescent="0.35">
      <c r="B107" s="736" t="s">
        <v>25519</v>
      </c>
      <c r="C107" s="1173" t="s">
        <v>25520</v>
      </c>
      <c r="D107" s="1173" t="s">
        <v>25521</v>
      </c>
      <c r="E107" s="723">
        <v>49.27</v>
      </c>
      <c r="F107" s="724" t="s">
        <v>24800</v>
      </c>
      <c r="G107" s="725"/>
    </row>
    <row r="109" spans="2:7" ht="15.75" thickBot="1" x14ac:dyDescent="0.35"/>
    <row r="110" spans="2:7" x14ac:dyDescent="0.3">
      <c r="B110" s="1534" t="s">
        <v>25522</v>
      </c>
      <c r="C110" s="1535"/>
      <c r="D110" s="1535"/>
      <c r="E110" s="1535"/>
      <c r="F110" s="1535"/>
      <c r="G110" s="1536"/>
    </row>
    <row r="111" spans="2:7" x14ac:dyDescent="0.3">
      <c r="B111" s="697"/>
      <c r="C111" s="698"/>
      <c r="D111" s="698"/>
      <c r="E111" s="699"/>
      <c r="F111" s="699"/>
      <c r="G111" s="701">
        <v>44043</v>
      </c>
    </row>
    <row r="112" spans="2:7" x14ac:dyDescent="0.3">
      <c r="B112" s="697"/>
      <c r="C112" s="698" t="s">
        <v>24790</v>
      </c>
      <c r="D112" s="698" t="s">
        <v>1</v>
      </c>
      <c r="E112" s="699" t="s">
        <v>456</v>
      </c>
      <c r="F112" s="700" t="s">
        <v>24791</v>
      </c>
      <c r="G112" s="702" t="s">
        <v>24792</v>
      </c>
    </row>
    <row r="113" spans="2:7" x14ac:dyDescent="0.3">
      <c r="B113" s="703" t="s">
        <v>25523</v>
      </c>
      <c r="C113" s="838" t="s">
        <v>24793</v>
      </c>
      <c r="D113" s="704" t="s">
        <v>25524</v>
      </c>
      <c r="E113" s="705" t="s">
        <v>82</v>
      </c>
      <c r="F113" s="462">
        <v>3</v>
      </c>
      <c r="G113" s="706">
        <f>(SUM(E117:E119))/3</f>
        <v>14.31</v>
      </c>
    </row>
    <row r="114" spans="2:7" x14ac:dyDescent="0.3">
      <c r="B114" s="707"/>
      <c r="C114" s="695"/>
      <c r="D114" s="695"/>
      <c r="E114" s="708"/>
      <c r="F114" s="462" t="s">
        <v>24794</v>
      </c>
      <c r="G114" s="709" t="s">
        <v>24795</v>
      </c>
    </row>
    <row r="115" spans="2:7" x14ac:dyDescent="0.3">
      <c r="B115" s="707"/>
      <c r="C115" s="695"/>
      <c r="D115" s="695"/>
      <c r="E115" s="708"/>
      <c r="F115" s="695"/>
      <c r="G115" s="710"/>
    </row>
    <row r="116" spans="2:7" x14ac:dyDescent="0.3">
      <c r="B116" s="711" t="s">
        <v>24796</v>
      </c>
      <c r="C116" s="712" t="s">
        <v>24797</v>
      </c>
      <c r="D116" s="712" t="s">
        <v>24798</v>
      </c>
      <c r="E116" s="713" t="s">
        <v>25525</v>
      </c>
      <c r="F116" s="712" t="s">
        <v>24799</v>
      </c>
      <c r="G116" s="714" t="s">
        <v>4429</v>
      </c>
    </row>
    <row r="117" spans="2:7" ht="42.75" customHeight="1" x14ac:dyDescent="0.3">
      <c r="B117" s="715" t="s">
        <v>25526</v>
      </c>
      <c r="C117" s="716" t="s">
        <v>25527</v>
      </c>
      <c r="D117" s="462" t="s">
        <v>25528</v>
      </c>
      <c r="E117" s="717">
        <f>84.75/6</f>
        <v>14.13</v>
      </c>
      <c r="F117" s="716" t="s">
        <v>24800</v>
      </c>
      <c r="G117" s="718"/>
    </row>
    <row r="118" spans="2:7" ht="39" customHeight="1" x14ac:dyDescent="0.3">
      <c r="B118" s="734" t="s">
        <v>25529</v>
      </c>
      <c r="C118" s="462" t="s">
        <v>25507</v>
      </c>
      <c r="D118" s="462" t="s">
        <v>25508</v>
      </c>
      <c r="E118" s="719">
        <f>105/6</f>
        <v>17.5</v>
      </c>
      <c r="F118" s="716" t="s">
        <v>24800</v>
      </c>
      <c r="G118" s="718"/>
    </row>
    <row r="119" spans="2:7" ht="45" customHeight="1" thickBot="1" x14ac:dyDescent="0.35">
      <c r="B119" s="736" t="s">
        <v>25530</v>
      </c>
      <c r="C119" s="1173" t="s">
        <v>25531</v>
      </c>
      <c r="D119" s="722" t="s">
        <v>25532</v>
      </c>
      <c r="E119" s="723">
        <f>67.8/6</f>
        <v>11.3</v>
      </c>
      <c r="F119" s="724" t="s">
        <v>24800</v>
      </c>
      <c r="G119" s="725"/>
    </row>
    <row r="121" spans="2:7" ht="15.75" thickBot="1" x14ac:dyDescent="0.35"/>
    <row r="122" spans="2:7" x14ac:dyDescent="0.3">
      <c r="B122" s="1534" t="s">
        <v>25533</v>
      </c>
      <c r="C122" s="1535"/>
      <c r="D122" s="1535"/>
      <c r="E122" s="1535"/>
      <c r="F122" s="1535"/>
      <c r="G122" s="1536"/>
    </row>
    <row r="123" spans="2:7" x14ac:dyDescent="0.3">
      <c r="B123" s="697"/>
      <c r="C123" s="698"/>
      <c r="D123" s="698"/>
      <c r="E123" s="699"/>
      <c r="F123" s="699"/>
      <c r="G123" s="701">
        <v>44043</v>
      </c>
    </row>
    <row r="124" spans="2:7" x14ac:dyDescent="0.3">
      <c r="B124" s="697"/>
      <c r="C124" s="698" t="s">
        <v>24790</v>
      </c>
      <c r="D124" s="698" t="s">
        <v>1</v>
      </c>
      <c r="E124" s="699" t="s">
        <v>456</v>
      </c>
      <c r="F124" s="700" t="s">
        <v>24791</v>
      </c>
      <c r="G124" s="702" t="s">
        <v>24792</v>
      </c>
    </row>
    <row r="125" spans="2:7" x14ac:dyDescent="0.3">
      <c r="B125" s="703" t="s">
        <v>25534</v>
      </c>
      <c r="C125" s="838" t="s">
        <v>24793</v>
      </c>
      <c r="D125" s="704" t="s">
        <v>25535</v>
      </c>
      <c r="E125" s="705"/>
      <c r="F125" s="462">
        <v>3</v>
      </c>
      <c r="G125" s="706">
        <f>(SUM(E129:E131))/3</f>
        <v>55.55</v>
      </c>
    </row>
    <row r="126" spans="2:7" x14ac:dyDescent="0.3">
      <c r="B126" s="707"/>
      <c r="C126" s="695"/>
      <c r="D126" s="695"/>
      <c r="E126" s="708"/>
      <c r="F126" s="462" t="s">
        <v>24794</v>
      </c>
      <c r="G126" s="709" t="s">
        <v>24795</v>
      </c>
    </row>
    <row r="127" spans="2:7" x14ac:dyDescent="0.3">
      <c r="B127" s="707"/>
      <c r="C127" s="695"/>
      <c r="D127" s="695"/>
      <c r="E127" s="708"/>
      <c r="F127" s="695"/>
      <c r="G127" s="710"/>
    </row>
    <row r="128" spans="2:7" x14ac:dyDescent="0.3">
      <c r="B128" s="711" t="s">
        <v>24796</v>
      </c>
      <c r="C128" s="712" t="s">
        <v>24797</v>
      </c>
      <c r="D128" s="712" t="s">
        <v>24798</v>
      </c>
      <c r="E128" s="713" t="s">
        <v>25525</v>
      </c>
      <c r="F128" s="712" t="s">
        <v>24799</v>
      </c>
      <c r="G128" s="714" t="s">
        <v>4429</v>
      </c>
    </row>
    <row r="129" spans="2:7" ht="31.5" customHeight="1" x14ac:dyDescent="0.3">
      <c r="B129" s="738" t="s">
        <v>25470</v>
      </c>
      <c r="C129" s="739" t="s">
        <v>24802</v>
      </c>
      <c r="D129" s="740" t="s">
        <v>24803</v>
      </c>
      <c r="E129" s="717">
        <v>43.65</v>
      </c>
      <c r="F129" s="716" t="s">
        <v>24800</v>
      </c>
      <c r="G129" s="718"/>
    </row>
    <row r="130" spans="2:7" ht="39" customHeight="1" x14ac:dyDescent="0.3">
      <c r="B130" s="738" t="s">
        <v>25489</v>
      </c>
      <c r="C130" s="739" t="s">
        <v>25490</v>
      </c>
      <c r="D130" s="741" t="s">
        <v>25491</v>
      </c>
      <c r="E130" s="719">
        <v>77.989999999999995</v>
      </c>
      <c r="F130" s="716" t="s">
        <v>24800</v>
      </c>
      <c r="G130" s="718"/>
    </row>
    <row r="131" spans="2:7" ht="30.75" thickBot="1" x14ac:dyDescent="0.35">
      <c r="B131" s="736" t="s">
        <v>25536</v>
      </c>
      <c r="C131" s="1173" t="s">
        <v>24825</v>
      </c>
      <c r="D131" s="722" t="s">
        <v>25537</v>
      </c>
      <c r="E131" s="723">
        <v>45</v>
      </c>
      <c r="F131" s="724" t="s">
        <v>24800</v>
      </c>
      <c r="G131" s="725"/>
    </row>
    <row r="133" spans="2:7" ht="15.75" thickBot="1" x14ac:dyDescent="0.35"/>
    <row r="134" spans="2:7" x14ac:dyDescent="0.3">
      <c r="B134" s="1534" t="s">
        <v>25533</v>
      </c>
      <c r="C134" s="1535"/>
      <c r="D134" s="1535"/>
      <c r="E134" s="1535"/>
      <c r="F134" s="1535"/>
      <c r="G134" s="1536"/>
    </row>
    <row r="135" spans="2:7" x14ac:dyDescent="0.3">
      <c r="B135" s="697"/>
      <c r="C135" s="698"/>
      <c r="D135" s="698"/>
      <c r="E135" s="699"/>
      <c r="F135" s="699"/>
      <c r="G135" s="701">
        <v>44043</v>
      </c>
    </row>
    <row r="136" spans="2:7" x14ac:dyDescent="0.3">
      <c r="B136" s="697"/>
      <c r="C136" s="698" t="s">
        <v>24790</v>
      </c>
      <c r="D136" s="698" t="s">
        <v>1</v>
      </c>
      <c r="E136" s="699" t="s">
        <v>456</v>
      </c>
      <c r="F136" s="700" t="s">
        <v>24791</v>
      </c>
      <c r="G136" s="702" t="s">
        <v>24792</v>
      </c>
    </row>
    <row r="137" spans="2:7" x14ac:dyDescent="0.3">
      <c r="B137" s="703" t="s">
        <v>25534</v>
      </c>
      <c r="C137" s="838" t="s">
        <v>24793</v>
      </c>
      <c r="D137" s="704" t="s">
        <v>25538</v>
      </c>
      <c r="E137" s="705"/>
      <c r="F137" s="462">
        <v>3</v>
      </c>
      <c r="G137" s="706">
        <f>(SUM(E141:E143))/3</f>
        <v>193.3</v>
      </c>
    </row>
    <row r="138" spans="2:7" x14ac:dyDescent="0.3">
      <c r="B138" s="707"/>
      <c r="C138" s="695"/>
      <c r="D138" s="695"/>
      <c r="E138" s="708"/>
      <c r="F138" s="462" t="s">
        <v>24794</v>
      </c>
      <c r="G138" s="709" t="s">
        <v>24795</v>
      </c>
    </row>
    <row r="139" spans="2:7" x14ac:dyDescent="0.3">
      <c r="B139" s="707"/>
      <c r="C139" s="695"/>
      <c r="D139" s="695"/>
      <c r="E139" s="708"/>
      <c r="F139" s="695"/>
      <c r="G139" s="710"/>
    </row>
    <row r="140" spans="2:7" x14ac:dyDescent="0.3">
      <c r="B140" s="711" t="s">
        <v>24796</v>
      </c>
      <c r="C140" s="712" t="s">
        <v>24797</v>
      </c>
      <c r="D140" s="712" t="s">
        <v>24798</v>
      </c>
      <c r="E140" s="713" t="s">
        <v>25525</v>
      </c>
      <c r="F140" s="712" t="s">
        <v>24799</v>
      </c>
      <c r="G140" s="714" t="s">
        <v>4429</v>
      </c>
    </row>
    <row r="141" spans="2:7" ht="46.5" customHeight="1" x14ac:dyDescent="0.3">
      <c r="B141" s="738" t="s">
        <v>25539</v>
      </c>
      <c r="C141" s="739" t="s">
        <v>25499</v>
      </c>
      <c r="D141" s="741" t="s">
        <v>25500</v>
      </c>
      <c r="E141" s="717">
        <v>120</v>
      </c>
      <c r="F141" s="716" t="s">
        <v>24800</v>
      </c>
      <c r="G141" s="718"/>
    </row>
    <row r="142" spans="2:7" ht="39" customHeight="1" x14ac:dyDescent="0.3">
      <c r="B142" s="738" t="s">
        <v>25540</v>
      </c>
      <c r="C142" s="739" t="s">
        <v>25541</v>
      </c>
      <c r="D142" s="741" t="s">
        <v>25542</v>
      </c>
      <c r="E142" s="719">
        <v>270</v>
      </c>
      <c r="F142" s="716" t="s">
        <v>24800</v>
      </c>
      <c r="G142" s="718"/>
    </row>
    <row r="143" spans="2:7" ht="42.75" customHeight="1" thickBot="1" x14ac:dyDescent="0.35">
      <c r="B143" s="1172" t="s">
        <v>25474</v>
      </c>
      <c r="C143" s="1174" t="s">
        <v>25475</v>
      </c>
      <c r="D143" s="1173" t="s">
        <v>25476</v>
      </c>
      <c r="E143" s="723">
        <v>189.9</v>
      </c>
      <c r="F143" s="724" t="s">
        <v>24800</v>
      </c>
      <c r="G143" s="725"/>
    </row>
    <row r="145" spans="2:7" ht="15.75" thickBot="1" x14ac:dyDescent="0.35"/>
    <row r="146" spans="2:7" x14ac:dyDescent="0.3">
      <c r="B146" s="1534" t="s">
        <v>25543</v>
      </c>
      <c r="C146" s="1535"/>
      <c r="D146" s="1535"/>
      <c r="E146" s="1535"/>
      <c r="F146" s="1535"/>
      <c r="G146" s="1536"/>
    </row>
    <row r="147" spans="2:7" x14ac:dyDescent="0.3">
      <c r="B147" s="697"/>
      <c r="C147" s="698"/>
      <c r="D147" s="698"/>
      <c r="E147" s="699"/>
      <c r="F147" s="699"/>
      <c r="G147" s="701">
        <v>44043</v>
      </c>
    </row>
    <row r="148" spans="2:7" x14ac:dyDescent="0.3">
      <c r="B148" s="697"/>
      <c r="C148" s="698" t="s">
        <v>24790</v>
      </c>
      <c r="D148" s="698" t="s">
        <v>1</v>
      </c>
      <c r="E148" s="699" t="s">
        <v>456</v>
      </c>
      <c r="F148" s="700" t="s">
        <v>24791</v>
      </c>
      <c r="G148" s="702" t="s">
        <v>24792</v>
      </c>
    </row>
    <row r="149" spans="2:7" x14ac:dyDescent="0.3">
      <c r="B149" s="703" t="s">
        <v>25544</v>
      </c>
      <c r="C149" s="838" t="s">
        <v>24793</v>
      </c>
      <c r="D149" s="704" t="s">
        <v>25545</v>
      </c>
      <c r="E149" s="705"/>
      <c r="F149" s="462">
        <v>3</v>
      </c>
      <c r="G149" s="706">
        <f>(SUM(E153:E155))/3</f>
        <v>72.23</v>
      </c>
    </row>
    <row r="150" spans="2:7" x14ac:dyDescent="0.3">
      <c r="B150" s="707"/>
      <c r="C150" s="695"/>
      <c r="D150" s="695"/>
      <c r="E150" s="708"/>
      <c r="F150" s="462" t="s">
        <v>24794</v>
      </c>
      <c r="G150" s="709" t="s">
        <v>24795</v>
      </c>
    </row>
    <row r="151" spans="2:7" x14ac:dyDescent="0.3">
      <c r="B151" s="707"/>
      <c r="C151" s="695"/>
      <c r="D151" s="695"/>
      <c r="E151" s="708"/>
      <c r="F151" s="695"/>
      <c r="G151" s="710"/>
    </row>
    <row r="152" spans="2:7" x14ac:dyDescent="0.3">
      <c r="B152" s="711" t="s">
        <v>24796</v>
      </c>
      <c r="C152" s="712" t="s">
        <v>24797</v>
      </c>
      <c r="D152" s="712" t="s">
        <v>24798</v>
      </c>
      <c r="E152" s="713" t="s">
        <v>25525</v>
      </c>
      <c r="F152" s="712" t="s">
        <v>24799</v>
      </c>
      <c r="G152" s="714" t="s">
        <v>4429</v>
      </c>
    </row>
    <row r="153" spans="2:7" ht="36.75" customHeight="1" x14ac:dyDescent="0.3">
      <c r="B153" s="738" t="s">
        <v>25470</v>
      </c>
      <c r="C153" s="739" t="s">
        <v>24802</v>
      </c>
      <c r="D153" s="740" t="s">
        <v>24803</v>
      </c>
      <c r="E153" s="717">
        <v>69.900000000000006</v>
      </c>
      <c r="F153" s="716" t="s">
        <v>24800</v>
      </c>
      <c r="G153" s="718"/>
    </row>
    <row r="154" spans="2:7" ht="37.5" customHeight="1" x14ac:dyDescent="0.3">
      <c r="B154" s="738" t="s">
        <v>25546</v>
      </c>
      <c r="C154" s="739" t="s">
        <v>24908</v>
      </c>
      <c r="D154" s="740" t="s">
        <v>25547</v>
      </c>
      <c r="E154" s="719">
        <v>76.900000000000006</v>
      </c>
      <c r="F154" s="716" t="s">
        <v>24800</v>
      </c>
      <c r="G154" s="718"/>
    </row>
    <row r="155" spans="2:7" ht="39.75" customHeight="1" thickBot="1" x14ac:dyDescent="0.35">
      <c r="B155" s="1172" t="s">
        <v>25474</v>
      </c>
      <c r="C155" s="1174" t="s">
        <v>25475</v>
      </c>
      <c r="D155" s="1173" t="s">
        <v>25476</v>
      </c>
      <c r="E155" s="723">
        <v>69.900000000000006</v>
      </c>
      <c r="F155" s="724" t="s">
        <v>24800</v>
      </c>
      <c r="G155" s="725"/>
    </row>
    <row r="157" spans="2:7" ht="15.75" thickBot="1" x14ac:dyDescent="0.35"/>
    <row r="158" spans="2:7" x14ac:dyDescent="0.3">
      <c r="B158" s="1534" t="s">
        <v>25548</v>
      </c>
      <c r="C158" s="1535"/>
      <c r="D158" s="1535"/>
      <c r="E158" s="1535"/>
      <c r="F158" s="1535"/>
      <c r="G158" s="1536"/>
    </row>
    <row r="159" spans="2:7" x14ac:dyDescent="0.3">
      <c r="B159" s="697"/>
      <c r="C159" s="698"/>
      <c r="D159" s="698"/>
      <c r="E159" s="699"/>
      <c r="F159" s="699"/>
      <c r="G159" s="701"/>
    </row>
    <row r="160" spans="2:7" x14ac:dyDescent="0.3">
      <c r="B160" s="697"/>
      <c r="C160" s="698" t="s">
        <v>24790</v>
      </c>
      <c r="D160" s="698" t="s">
        <v>1</v>
      </c>
      <c r="E160" s="699" t="s">
        <v>456</v>
      </c>
      <c r="F160" s="700" t="s">
        <v>24791</v>
      </c>
      <c r="G160" s="702" t="s">
        <v>24792</v>
      </c>
    </row>
    <row r="161" spans="2:7" x14ac:dyDescent="0.3">
      <c r="B161" s="703" t="s">
        <v>25549</v>
      </c>
      <c r="C161" s="838" t="s">
        <v>24793</v>
      </c>
      <c r="D161" s="704" t="s">
        <v>25550</v>
      </c>
      <c r="E161" s="705"/>
      <c r="F161" s="462">
        <v>3</v>
      </c>
      <c r="G161" s="706">
        <f>(SUM(E165:E167))/3</f>
        <v>47.63</v>
      </c>
    </row>
    <row r="162" spans="2:7" x14ac:dyDescent="0.3">
      <c r="B162" s="707"/>
      <c r="C162" s="695"/>
      <c r="D162" s="695"/>
      <c r="E162" s="708"/>
      <c r="F162" s="462" t="s">
        <v>24794</v>
      </c>
      <c r="G162" s="709" t="s">
        <v>24795</v>
      </c>
    </row>
    <row r="163" spans="2:7" x14ac:dyDescent="0.3">
      <c r="B163" s="707"/>
      <c r="C163" s="695"/>
      <c r="D163" s="695"/>
      <c r="E163" s="708"/>
      <c r="F163" s="695"/>
      <c r="G163" s="710"/>
    </row>
    <row r="164" spans="2:7" x14ac:dyDescent="0.3">
      <c r="B164" s="711" t="s">
        <v>24796</v>
      </c>
      <c r="C164" s="712" t="s">
        <v>24797</v>
      </c>
      <c r="D164" s="712" t="s">
        <v>24798</v>
      </c>
      <c r="E164" s="713" t="s">
        <v>25525</v>
      </c>
      <c r="F164" s="712" t="s">
        <v>24799</v>
      </c>
      <c r="G164" s="714" t="s">
        <v>4429</v>
      </c>
    </row>
    <row r="165" spans="2:7" ht="33" customHeight="1" x14ac:dyDescent="0.3">
      <c r="B165" s="738" t="s">
        <v>25470</v>
      </c>
      <c r="C165" s="739" t="s">
        <v>24802</v>
      </c>
      <c r="D165" s="740" t="s">
        <v>24803</v>
      </c>
      <c r="E165" s="717">
        <v>44.9</v>
      </c>
      <c r="F165" s="716" t="s">
        <v>24800</v>
      </c>
      <c r="G165" s="718"/>
    </row>
    <row r="166" spans="2:7" ht="38.25" customHeight="1" x14ac:dyDescent="0.3">
      <c r="B166" s="738" t="s">
        <v>25546</v>
      </c>
      <c r="C166" s="739" t="s">
        <v>24908</v>
      </c>
      <c r="D166" s="740" t="s">
        <v>25547</v>
      </c>
      <c r="E166" s="719">
        <v>48</v>
      </c>
      <c r="F166" s="716" t="s">
        <v>24800</v>
      </c>
      <c r="G166" s="718"/>
    </row>
    <row r="167" spans="2:7" ht="45" customHeight="1" thickBot="1" x14ac:dyDescent="0.35">
      <c r="B167" s="1172" t="s">
        <v>25551</v>
      </c>
      <c r="C167" s="1174" t="s">
        <v>25552</v>
      </c>
      <c r="D167" s="1173" t="s">
        <v>25553</v>
      </c>
      <c r="E167" s="723">
        <v>49.99</v>
      </c>
      <c r="F167" s="724" t="s">
        <v>24800</v>
      </c>
      <c r="G167" s="725"/>
    </row>
    <row r="169" spans="2:7" ht="15.75" thickBot="1" x14ac:dyDescent="0.35"/>
    <row r="170" spans="2:7" x14ac:dyDescent="0.3">
      <c r="B170" s="1534" t="s">
        <v>25554</v>
      </c>
      <c r="C170" s="1535"/>
      <c r="D170" s="1535"/>
      <c r="E170" s="1535"/>
      <c r="F170" s="1535"/>
      <c r="G170" s="1536"/>
    </row>
    <row r="171" spans="2:7" x14ac:dyDescent="0.3">
      <c r="B171" s="697"/>
      <c r="C171" s="698"/>
      <c r="D171" s="698"/>
      <c r="E171" s="699"/>
      <c r="F171" s="699"/>
      <c r="G171" s="701"/>
    </row>
    <row r="172" spans="2:7" ht="18.75" customHeight="1" x14ac:dyDescent="0.3">
      <c r="B172" s="697"/>
      <c r="C172" s="698" t="s">
        <v>24790</v>
      </c>
      <c r="D172" s="698" t="s">
        <v>1</v>
      </c>
      <c r="E172" s="699" t="s">
        <v>456</v>
      </c>
      <c r="F172" s="700" t="s">
        <v>24791</v>
      </c>
      <c r="G172" s="702" t="s">
        <v>24792</v>
      </c>
    </row>
    <row r="173" spans="2:7" ht="18.75" customHeight="1" x14ac:dyDescent="0.3">
      <c r="B173" s="703" t="s">
        <v>25555</v>
      </c>
      <c r="C173" s="838" t="s">
        <v>24793</v>
      </c>
      <c r="D173" s="704" t="s">
        <v>25556</v>
      </c>
      <c r="E173" s="705"/>
      <c r="F173" s="462">
        <v>3</v>
      </c>
      <c r="G173" s="706">
        <f>(SUM(E177:E179))/3</f>
        <v>190.29</v>
      </c>
    </row>
    <row r="174" spans="2:7" ht="20.25" customHeight="1" x14ac:dyDescent="0.3">
      <c r="B174" s="707"/>
      <c r="C174" s="695"/>
      <c r="D174" s="695"/>
      <c r="E174" s="708"/>
      <c r="F174" s="462" t="s">
        <v>24794</v>
      </c>
      <c r="G174" s="709" t="s">
        <v>24795</v>
      </c>
    </row>
    <row r="175" spans="2:7" x14ac:dyDescent="0.3">
      <c r="B175" s="707"/>
      <c r="C175" s="695"/>
      <c r="D175" s="695"/>
      <c r="E175" s="708"/>
      <c r="F175" s="695"/>
      <c r="G175" s="710"/>
    </row>
    <row r="176" spans="2:7" ht="21" customHeight="1" x14ac:dyDescent="0.3">
      <c r="B176" s="711" t="s">
        <v>24796</v>
      </c>
      <c r="C176" s="712" t="s">
        <v>24797</v>
      </c>
      <c r="D176" s="712" t="s">
        <v>24798</v>
      </c>
      <c r="E176" s="713" t="s">
        <v>25525</v>
      </c>
      <c r="F176" s="712" t="s">
        <v>24799</v>
      </c>
      <c r="G176" s="714" t="s">
        <v>4429</v>
      </c>
    </row>
    <row r="177" spans="2:7" ht="39.75" customHeight="1" x14ac:dyDescent="0.3">
      <c r="B177" s="738" t="s">
        <v>25470</v>
      </c>
      <c r="C177" s="739" t="s">
        <v>24802</v>
      </c>
      <c r="D177" s="740" t="s">
        <v>24803</v>
      </c>
      <c r="E177" s="717">
        <v>165.92</v>
      </c>
      <c r="F177" s="716" t="s">
        <v>24800</v>
      </c>
      <c r="G177" s="718"/>
    </row>
    <row r="178" spans="2:7" ht="42.75" customHeight="1" x14ac:dyDescent="0.3">
      <c r="B178" s="738" t="s">
        <v>25546</v>
      </c>
      <c r="C178" s="739" t="s">
        <v>24908</v>
      </c>
      <c r="D178" s="740" t="s">
        <v>25547</v>
      </c>
      <c r="E178" s="719">
        <v>204.24</v>
      </c>
      <c r="F178" s="716" t="s">
        <v>24800</v>
      </c>
      <c r="G178" s="718"/>
    </row>
    <row r="179" spans="2:7" ht="43.5" customHeight="1" thickBot="1" x14ac:dyDescent="0.35">
      <c r="B179" s="1172" t="s">
        <v>24821</v>
      </c>
      <c r="C179" s="1174" t="s">
        <v>24820</v>
      </c>
      <c r="D179" s="1173" t="s">
        <v>25557</v>
      </c>
      <c r="E179" s="723">
        <v>200.7</v>
      </c>
      <c r="F179" s="724" t="s">
        <v>24800</v>
      </c>
      <c r="G179" s="725"/>
    </row>
    <row r="184" spans="2:7" x14ac:dyDescent="0.3">
      <c r="B184" s="1534" t="s">
        <v>25558</v>
      </c>
      <c r="C184" s="1535"/>
      <c r="D184" s="1535"/>
      <c r="E184" s="1535"/>
      <c r="F184" s="1535"/>
      <c r="G184" s="1536"/>
    </row>
    <row r="185" spans="2:7" x14ac:dyDescent="0.3">
      <c r="B185" s="697"/>
      <c r="C185" s="698"/>
      <c r="D185" s="698"/>
      <c r="E185" s="699"/>
      <c r="F185" s="699"/>
      <c r="G185" s="701"/>
    </row>
    <row r="186" spans="2:7" x14ac:dyDescent="0.3">
      <c r="B186" s="697"/>
      <c r="C186" s="698" t="s">
        <v>24790</v>
      </c>
      <c r="D186" s="698" t="s">
        <v>1</v>
      </c>
      <c r="E186" s="699" t="s">
        <v>456</v>
      </c>
      <c r="F186" s="700" t="s">
        <v>24791</v>
      </c>
      <c r="G186" s="702" t="s">
        <v>24792</v>
      </c>
    </row>
    <row r="187" spans="2:7" x14ac:dyDescent="0.3">
      <c r="B187" s="703" t="s">
        <v>25559</v>
      </c>
      <c r="C187" s="838" t="s">
        <v>24793</v>
      </c>
      <c r="D187" s="704" t="s">
        <v>25560</v>
      </c>
      <c r="E187" s="705"/>
      <c r="F187" s="462">
        <v>3</v>
      </c>
      <c r="G187" s="706">
        <f>(SUM(E191:E193))/3</f>
        <v>9.41</v>
      </c>
    </row>
    <row r="188" spans="2:7" x14ac:dyDescent="0.3">
      <c r="B188" s="707"/>
      <c r="C188" s="695"/>
      <c r="D188" s="695"/>
      <c r="E188" s="708"/>
      <c r="F188" s="462" t="s">
        <v>24794</v>
      </c>
      <c r="G188" s="709" t="s">
        <v>24795</v>
      </c>
    </row>
    <row r="189" spans="2:7" x14ac:dyDescent="0.3">
      <c r="B189" s="707"/>
      <c r="C189" s="695"/>
      <c r="D189" s="695"/>
      <c r="E189" s="708"/>
      <c r="F189" s="695"/>
      <c r="G189" s="710"/>
    </row>
    <row r="190" spans="2:7" x14ac:dyDescent="0.3">
      <c r="B190" s="711" t="s">
        <v>24796</v>
      </c>
      <c r="C190" s="712" t="s">
        <v>24797</v>
      </c>
      <c r="D190" s="712" t="s">
        <v>24798</v>
      </c>
      <c r="E190" s="713" t="s">
        <v>25561</v>
      </c>
      <c r="F190" s="712" t="s">
        <v>24799</v>
      </c>
      <c r="G190" s="714" t="s">
        <v>4429</v>
      </c>
    </row>
    <row r="191" spans="2:7" ht="48" customHeight="1" x14ac:dyDescent="0.3">
      <c r="B191" s="734" t="s">
        <v>25562</v>
      </c>
      <c r="C191" s="462" t="s">
        <v>25507</v>
      </c>
      <c r="D191" s="462" t="s">
        <v>25508</v>
      </c>
      <c r="E191" s="717">
        <v>9.67</v>
      </c>
      <c r="F191" s="716" t="s">
        <v>24800</v>
      </c>
      <c r="G191" s="718"/>
    </row>
    <row r="192" spans="2:7" ht="32.25" customHeight="1" x14ac:dyDescent="0.3">
      <c r="B192" s="738" t="s">
        <v>25563</v>
      </c>
      <c r="C192" s="1175" t="s">
        <v>25564</v>
      </c>
      <c r="D192" s="1176" t="s">
        <v>25565</v>
      </c>
      <c r="E192" s="719">
        <f>17.67/2</f>
        <v>8.84</v>
      </c>
      <c r="F192" s="716" t="s">
        <v>24800</v>
      </c>
      <c r="G192" s="718"/>
    </row>
    <row r="193" spans="2:8" ht="45" customHeight="1" thickBot="1" x14ac:dyDescent="0.35">
      <c r="B193" s="1172" t="s">
        <v>25566</v>
      </c>
      <c r="C193" s="1174" t="s">
        <v>25567</v>
      </c>
      <c r="D193" s="1173" t="s">
        <v>25568</v>
      </c>
      <c r="E193" s="723">
        <f>29.14/3</f>
        <v>9.7100000000000009</v>
      </c>
      <c r="F193" s="724" t="s">
        <v>24800</v>
      </c>
      <c r="G193" s="725"/>
    </row>
    <row r="195" spans="2:8" ht="15.75" thickBot="1" x14ac:dyDescent="0.35"/>
    <row r="196" spans="2:8" x14ac:dyDescent="0.3">
      <c r="B196" s="1534" t="s">
        <v>25569</v>
      </c>
      <c r="C196" s="1535"/>
      <c r="D196" s="1535"/>
      <c r="E196" s="1535"/>
      <c r="F196" s="1535"/>
      <c r="G196" s="1535"/>
      <c r="H196" s="1536"/>
    </row>
    <row r="197" spans="2:8" x14ac:dyDescent="0.3">
      <c r="B197" s="697"/>
      <c r="C197" s="698"/>
      <c r="D197" s="698"/>
      <c r="E197" s="699"/>
      <c r="F197" s="699"/>
      <c r="G197" s="700"/>
      <c r="H197" s="701">
        <v>44043</v>
      </c>
    </row>
    <row r="198" spans="2:8" x14ac:dyDescent="0.3">
      <c r="B198" s="697"/>
      <c r="C198" s="698" t="s">
        <v>24790</v>
      </c>
      <c r="D198" s="698" t="s">
        <v>1</v>
      </c>
      <c r="E198" s="699" t="s">
        <v>456</v>
      </c>
      <c r="F198" s="699"/>
      <c r="G198" s="700" t="s">
        <v>24791</v>
      </c>
      <c r="H198" s="702" t="s">
        <v>24792</v>
      </c>
    </row>
    <row r="199" spans="2:8" x14ac:dyDescent="0.3">
      <c r="B199" s="703" t="s">
        <v>25570</v>
      </c>
      <c r="C199" s="838" t="s">
        <v>24793</v>
      </c>
      <c r="D199" s="704" t="s">
        <v>24789</v>
      </c>
      <c r="E199" s="705" t="s">
        <v>24804</v>
      </c>
      <c r="F199" s="705"/>
      <c r="G199" s="462">
        <v>3</v>
      </c>
      <c r="H199" s="706">
        <f>(SUM(F203:F205))/3</f>
        <v>12.1</v>
      </c>
    </row>
    <row r="200" spans="2:8" x14ac:dyDescent="0.3">
      <c r="B200" s="707"/>
      <c r="C200" s="695"/>
      <c r="D200" s="695"/>
      <c r="E200" s="708"/>
      <c r="F200" s="708"/>
      <c r="G200" s="462" t="s">
        <v>24794</v>
      </c>
      <c r="H200" s="709" t="s">
        <v>24795</v>
      </c>
    </row>
    <row r="201" spans="2:8" x14ac:dyDescent="0.3">
      <c r="B201" s="707"/>
      <c r="C201" s="695"/>
      <c r="D201" s="695"/>
      <c r="E201" s="708"/>
      <c r="F201" s="708"/>
      <c r="G201" s="695"/>
      <c r="H201" s="710"/>
    </row>
    <row r="202" spans="2:8" x14ac:dyDescent="0.3">
      <c r="B202" s="711" t="s">
        <v>24796</v>
      </c>
      <c r="C202" s="712" t="s">
        <v>24797</v>
      </c>
      <c r="D202" s="712" t="s">
        <v>24798</v>
      </c>
      <c r="E202" s="713" t="s">
        <v>270</v>
      </c>
      <c r="F202" s="713" t="s">
        <v>24805</v>
      </c>
      <c r="G202" s="712" t="s">
        <v>24799</v>
      </c>
      <c r="H202" s="714" t="s">
        <v>4429</v>
      </c>
    </row>
    <row r="203" spans="2:8" ht="30" x14ac:dyDescent="0.3">
      <c r="B203" s="715" t="s">
        <v>24814</v>
      </c>
      <c r="C203" s="739" t="s">
        <v>24815</v>
      </c>
      <c r="D203" s="741" t="s">
        <v>24816</v>
      </c>
      <c r="E203" s="717">
        <v>12.9</v>
      </c>
      <c r="F203" s="717">
        <f>E203</f>
        <v>12.9</v>
      </c>
      <c r="G203" s="716" t="s">
        <v>24800</v>
      </c>
      <c r="H203" s="718"/>
    </row>
    <row r="204" spans="2:8" ht="30" x14ac:dyDescent="0.3">
      <c r="B204" s="742" t="s">
        <v>24817</v>
      </c>
      <c r="C204" s="739" t="s">
        <v>24818</v>
      </c>
      <c r="D204" s="741" t="s">
        <v>24819</v>
      </c>
      <c r="E204" s="717">
        <v>11.3</v>
      </c>
      <c r="F204" s="717">
        <f t="shared" ref="F204:F205" si="2">E204</f>
        <v>11.3</v>
      </c>
      <c r="G204" s="716" t="s">
        <v>24800</v>
      </c>
      <c r="H204" s="718"/>
    </row>
    <row r="205" spans="2:8" ht="15.75" thickBot="1" x14ac:dyDescent="0.35">
      <c r="B205" s="743" t="s">
        <v>24821</v>
      </c>
      <c r="C205" s="724" t="s">
        <v>24820</v>
      </c>
      <c r="D205" s="722" t="s">
        <v>24822</v>
      </c>
      <c r="E205" s="723">
        <v>12.1</v>
      </c>
      <c r="F205" s="723">
        <f t="shared" si="2"/>
        <v>12.1</v>
      </c>
      <c r="G205" s="724" t="s">
        <v>24800</v>
      </c>
      <c r="H205" s="725"/>
    </row>
    <row r="208" spans="2:8" ht="15.75" thickBot="1" x14ac:dyDescent="0.35"/>
    <row r="209" spans="2:8" x14ac:dyDescent="0.3">
      <c r="B209" s="1534" t="s">
        <v>25571</v>
      </c>
      <c r="C209" s="1535"/>
      <c r="D209" s="1535"/>
      <c r="E209" s="1535"/>
      <c r="F209" s="1535"/>
      <c r="G209" s="1535"/>
      <c r="H209" s="1536"/>
    </row>
    <row r="210" spans="2:8" x14ac:dyDescent="0.3">
      <c r="B210" s="697"/>
      <c r="C210" s="698"/>
      <c r="D210" s="698"/>
      <c r="E210" s="699"/>
      <c r="F210" s="699"/>
      <c r="G210" s="700"/>
      <c r="H210" s="701">
        <v>44043</v>
      </c>
    </row>
    <row r="211" spans="2:8" x14ac:dyDescent="0.3">
      <c r="B211" s="697"/>
      <c r="C211" s="698" t="s">
        <v>24790</v>
      </c>
      <c r="D211" s="698" t="s">
        <v>1</v>
      </c>
      <c r="E211" s="699" t="s">
        <v>456</v>
      </c>
      <c r="F211" s="699"/>
      <c r="G211" s="700" t="s">
        <v>24791</v>
      </c>
      <c r="H211" s="702" t="s">
        <v>24792</v>
      </c>
    </row>
    <row r="212" spans="2:8" x14ac:dyDescent="0.3">
      <c r="B212" s="703" t="s">
        <v>25572</v>
      </c>
      <c r="C212" s="838" t="s">
        <v>24793</v>
      </c>
      <c r="D212" s="704" t="s">
        <v>24823</v>
      </c>
      <c r="E212" s="705" t="s">
        <v>24804</v>
      </c>
      <c r="F212" s="705"/>
      <c r="G212" s="462">
        <v>3</v>
      </c>
      <c r="H212" s="706">
        <f>(SUM(F216:F218))/3</f>
        <v>12.63</v>
      </c>
    </row>
    <row r="213" spans="2:8" x14ac:dyDescent="0.3">
      <c r="B213" s="707"/>
      <c r="C213" s="695"/>
      <c r="D213" s="695"/>
      <c r="E213" s="708"/>
      <c r="F213" s="708"/>
      <c r="G213" s="462" t="s">
        <v>24794</v>
      </c>
      <c r="H213" s="709" t="s">
        <v>24795</v>
      </c>
    </row>
    <row r="214" spans="2:8" x14ac:dyDescent="0.3">
      <c r="B214" s="707"/>
      <c r="C214" s="695"/>
      <c r="D214" s="695"/>
      <c r="E214" s="708"/>
      <c r="F214" s="708"/>
      <c r="G214" s="695"/>
      <c r="H214" s="710"/>
    </row>
    <row r="215" spans="2:8" x14ac:dyDescent="0.3">
      <c r="B215" s="711" t="s">
        <v>24796</v>
      </c>
      <c r="C215" s="712" t="s">
        <v>24797</v>
      </c>
      <c r="D215" s="712" t="s">
        <v>24798</v>
      </c>
      <c r="E215" s="713" t="s">
        <v>270</v>
      </c>
      <c r="F215" s="713" t="s">
        <v>24805</v>
      </c>
      <c r="G215" s="712" t="s">
        <v>24799</v>
      </c>
      <c r="H215" s="714" t="s">
        <v>4429</v>
      </c>
    </row>
    <row r="216" spans="2:8" x14ac:dyDescent="0.3">
      <c r="B216" s="738" t="s">
        <v>24824</v>
      </c>
      <c r="C216" s="716" t="s">
        <v>24825</v>
      </c>
      <c r="D216" s="740" t="s">
        <v>24826</v>
      </c>
      <c r="E216" s="717">
        <v>13.9</v>
      </c>
      <c r="F216" s="717">
        <f>E216</f>
        <v>13.9</v>
      </c>
      <c r="G216" s="716" t="s">
        <v>24800</v>
      </c>
      <c r="H216" s="718"/>
    </row>
    <row r="217" spans="2:8" x14ac:dyDescent="0.3">
      <c r="B217" s="715" t="s">
        <v>24821</v>
      </c>
      <c r="C217" s="716" t="s">
        <v>24820</v>
      </c>
      <c r="D217" s="462" t="s">
        <v>24822</v>
      </c>
      <c r="E217" s="719">
        <v>12.1</v>
      </c>
      <c r="F217" s="717">
        <f t="shared" ref="F217:F218" si="3">E217</f>
        <v>12.1</v>
      </c>
      <c r="G217" s="716" t="s">
        <v>24800</v>
      </c>
      <c r="H217" s="718"/>
    </row>
    <row r="218" spans="2:8" ht="30.75" thickBot="1" x14ac:dyDescent="0.35">
      <c r="B218" s="720" t="s">
        <v>24827</v>
      </c>
      <c r="C218" s="721" t="s">
        <v>24828</v>
      </c>
      <c r="D218" s="737" t="s">
        <v>24829</v>
      </c>
      <c r="E218" s="723">
        <v>11.9</v>
      </c>
      <c r="F218" s="723">
        <f t="shared" si="3"/>
        <v>11.9</v>
      </c>
      <c r="G218" s="724" t="s">
        <v>24800</v>
      </c>
      <c r="H218" s="725"/>
    </row>
    <row r="221" spans="2:8" ht="15.75" thickBot="1" x14ac:dyDescent="0.35"/>
    <row r="222" spans="2:8" x14ac:dyDescent="0.3">
      <c r="B222" s="1534" t="s">
        <v>25573</v>
      </c>
      <c r="C222" s="1535"/>
      <c r="D222" s="1535"/>
      <c r="E222" s="1535"/>
      <c r="F222" s="1535"/>
      <c r="G222" s="1535"/>
      <c r="H222" s="1536"/>
    </row>
    <row r="223" spans="2:8" x14ac:dyDescent="0.3">
      <c r="B223" s="697"/>
      <c r="C223" s="698"/>
      <c r="D223" s="698"/>
      <c r="E223" s="699"/>
      <c r="F223" s="699"/>
      <c r="G223" s="700"/>
      <c r="H223" s="701">
        <v>44043</v>
      </c>
    </row>
    <row r="224" spans="2:8" x14ac:dyDescent="0.3">
      <c r="B224" s="697"/>
      <c r="C224" s="698" t="s">
        <v>24790</v>
      </c>
      <c r="D224" s="698" t="s">
        <v>1</v>
      </c>
      <c r="E224" s="699" t="s">
        <v>456</v>
      </c>
      <c r="F224" s="699"/>
      <c r="G224" s="700" t="s">
        <v>24791</v>
      </c>
      <c r="H224" s="702" t="s">
        <v>24792</v>
      </c>
    </row>
    <row r="225" spans="2:8" x14ac:dyDescent="0.3">
      <c r="B225" s="703" t="s">
        <v>25574</v>
      </c>
      <c r="C225" s="838" t="s">
        <v>24793</v>
      </c>
      <c r="D225" s="704" t="s">
        <v>24830</v>
      </c>
      <c r="E225" s="705" t="s">
        <v>24804</v>
      </c>
      <c r="F225" s="705"/>
      <c r="G225" s="462">
        <v>3</v>
      </c>
      <c r="H225" s="706">
        <f>(SUM(F229:F231))/3</f>
        <v>9.76</v>
      </c>
    </row>
    <row r="226" spans="2:8" x14ac:dyDescent="0.3">
      <c r="B226" s="707"/>
      <c r="C226" s="695"/>
      <c r="D226" s="695"/>
      <c r="E226" s="708"/>
      <c r="F226" s="708"/>
      <c r="G226" s="462" t="s">
        <v>24794</v>
      </c>
      <c r="H226" s="709" t="s">
        <v>24795</v>
      </c>
    </row>
    <row r="227" spans="2:8" x14ac:dyDescent="0.3">
      <c r="B227" s="707"/>
      <c r="C227" s="695"/>
      <c r="D227" s="695"/>
      <c r="E227" s="708"/>
      <c r="F227" s="708"/>
      <c r="G227" s="695"/>
      <c r="H227" s="710"/>
    </row>
    <row r="228" spans="2:8" x14ac:dyDescent="0.3">
      <c r="B228" s="711" t="s">
        <v>24796</v>
      </c>
      <c r="C228" s="712" t="s">
        <v>24797</v>
      </c>
      <c r="D228" s="712" t="s">
        <v>24798</v>
      </c>
      <c r="E228" s="713" t="s">
        <v>270</v>
      </c>
      <c r="F228" s="713" t="s">
        <v>24805</v>
      </c>
      <c r="G228" s="712" t="s">
        <v>24799</v>
      </c>
      <c r="H228" s="714" t="s">
        <v>4429</v>
      </c>
    </row>
    <row r="229" spans="2:8" ht="30" x14ac:dyDescent="0.3">
      <c r="B229" s="738" t="s">
        <v>24831</v>
      </c>
      <c r="C229" s="716" t="s">
        <v>24832</v>
      </c>
      <c r="D229" s="741" t="s">
        <v>24833</v>
      </c>
      <c r="E229" s="717">
        <v>9.7799999999999994</v>
      </c>
      <c r="F229" s="717">
        <f>E229/1</f>
        <v>9.7799999999999994</v>
      </c>
      <c r="G229" s="716" t="s">
        <v>24800</v>
      </c>
      <c r="H229" s="718"/>
    </row>
    <row r="230" spans="2:8" x14ac:dyDescent="0.3">
      <c r="B230" s="715" t="s">
        <v>24834</v>
      </c>
      <c r="C230" s="716" t="s">
        <v>24802</v>
      </c>
      <c r="D230" s="735" t="s">
        <v>24803</v>
      </c>
      <c r="E230" s="719">
        <v>9.6</v>
      </c>
      <c r="F230" s="717">
        <f t="shared" ref="F230:F231" si="4">E230/1</f>
        <v>9.6</v>
      </c>
      <c r="G230" s="716" t="s">
        <v>24800</v>
      </c>
      <c r="H230" s="718"/>
    </row>
    <row r="231" spans="2:8" ht="15.75" thickBot="1" x14ac:dyDescent="0.35">
      <c r="B231" s="720" t="s">
        <v>24835</v>
      </c>
      <c r="C231" s="721" t="s">
        <v>24825</v>
      </c>
      <c r="D231" s="737" t="s">
        <v>24826</v>
      </c>
      <c r="E231" s="723">
        <v>9.9</v>
      </c>
      <c r="F231" s="723">
        <f t="shared" si="4"/>
        <v>9.9</v>
      </c>
      <c r="G231" s="724" t="s">
        <v>24800</v>
      </c>
      <c r="H231" s="725"/>
    </row>
    <row r="235" spans="2:8" ht="15.75" thickBot="1" x14ac:dyDescent="0.35"/>
    <row r="236" spans="2:8" x14ac:dyDescent="0.3">
      <c r="B236" s="1534" t="s">
        <v>25575</v>
      </c>
      <c r="C236" s="1535"/>
      <c r="D236" s="1535"/>
      <c r="E236" s="1535"/>
      <c r="F236" s="1535"/>
      <c r="G236" s="1535"/>
      <c r="H236" s="1536"/>
    </row>
    <row r="237" spans="2:8" x14ac:dyDescent="0.3">
      <c r="B237" s="697"/>
      <c r="C237" s="698"/>
      <c r="D237" s="698"/>
      <c r="E237" s="699"/>
      <c r="F237" s="699"/>
      <c r="G237" s="700"/>
      <c r="H237" s="701">
        <v>44043</v>
      </c>
    </row>
    <row r="238" spans="2:8" x14ac:dyDescent="0.3">
      <c r="B238" s="697"/>
      <c r="C238" s="698" t="s">
        <v>24790</v>
      </c>
      <c r="D238" s="698" t="s">
        <v>1</v>
      </c>
      <c r="E238" s="699" t="s">
        <v>456</v>
      </c>
      <c r="F238" s="699"/>
      <c r="G238" s="700" t="s">
        <v>24791</v>
      </c>
      <c r="H238" s="702" t="s">
        <v>24792</v>
      </c>
    </row>
    <row r="239" spans="2:8" x14ac:dyDescent="0.3">
      <c r="B239" s="703" t="s">
        <v>25576</v>
      </c>
      <c r="C239" s="838" t="s">
        <v>24793</v>
      </c>
      <c r="D239" s="704" t="s">
        <v>24844</v>
      </c>
      <c r="E239" s="705" t="s">
        <v>24804</v>
      </c>
      <c r="F239" s="705"/>
      <c r="G239" s="462">
        <v>3</v>
      </c>
      <c r="H239" s="706">
        <f>(SUM(F243:F245))/3</f>
        <v>21.02</v>
      </c>
    </row>
    <row r="240" spans="2:8" x14ac:dyDescent="0.3">
      <c r="B240" s="707"/>
      <c r="C240" s="695"/>
      <c r="D240" s="695"/>
      <c r="E240" s="708"/>
      <c r="F240" s="708"/>
      <c r="G240" s="462" t="s">
        <v>24794</v>
      </c>
      <c r="H240" s="709" t="s">
        <v>24795</v>
      </c>
    </row>
    <row r="241" spans="2:8" x14ac:dyDescent="0.3">
      <c r="B241" s="707"/>
      <c r="C241" s="695"/>
      <c r="D241" s="695"/>
      <c r="E241" s="708"/>
      <c r="F241" s="708"/>
      <c r="G241" s="695"/>
      <c r="H241" s="710"/>
    </row>
    <row r="242" spans="2:8" x14ac:dyDescent="0.3">
      <c r="B242" s="711" t="s">
        <v>24796</v>
      </c>
      <c r="C242" s="712" t="s">
        <v>24797</v>
      </c>
      <c r="D242" s="712" t="s">
        <v>24798</v>
      </c>
      <c r="E242" s="713" t="s">
        <v>270</v>
      </c>
      <c r="F242" s="713" t="s">
        <v>24805</v>
      </c>
      <c r="G242" s="712" t="s">
        <v>24799</v>
      </c>
      <c r="H242" s="714" t="s">
        <v>4429</v>
      </c>
    </row>
    <row r="243" spans="2:8" ht="30" x14ac:dyDescent="0.3">
      <c r="B243" s="715" t="s">
        <v>24845</v>
      </c>
      <c r="C243" s="716" t="s">
        <v>24846</v>
      </c>
      <c r="D243" s="462" t="s">
        <v>24847</v>
      </c>
      <c r="E243" s="717">
        <v>22.01</v>
      </c>
      <c r="F243" s="717">
        <f>E243/1</f>
        <v>22.01</v>
      </c>
      <c r="G243" s="716" t="s">
        <v>24800</v>
      </c>
      <c r="H243" s="718"/>
    </row>
    <row r="244" spans="2:8" x14ac:dyDescent="0.3">
      <c r="B244" s="715" t="s">
        <v>24848</v>
      </c>
      <c r="C244" s="716" t="s">
        <v>24849</v>
      </c>
      <c r="D244" s="462" t="s">
        <v>24850</v>
      </c>
      <c r="E244" s="719">
        <v>21.99</v>
      </c>
      <c r="F244" s="717">
        <f t="shared" ref="F244:F245" si="5">E244/1</f>
        <v>21.99</v>
      </c>
      <c r="G244" s="716" t="s">
        <v>24800</v>
      </c>
      <c r="H244" s="718"/>
    </row>
    <row r="245" spans="2:8" ht="15.75" thickBot="1" x14ac:dyDescent="0.35">
      <c r="B245" s="720" t="s">
        <v>24851</v>
      </c>
      <c r="C245" s="721" t="s">
        <v>24852</v>
      </c>
      <c r="D245" s="737" t="s">
        <v>24853</v>
      </c>
      <c r="E245" s="723">
        <v>19.07</v>
      </c>
      <c r="F245" s="723">
        <f t="shared" si="5"/>
        <v>19.07</v>
      </c>
      <c r="G245" s="724" t="s">
        <v>24800</v>
      </c>
      <c r="H245" s="725"/>
    </row>
    <row r="248" spans="2:8" x14ac:dyDescent="0.3">
      <c r="B248" s="1534" t="s">
        <v>25577</v>
      </c>
      <c r="C248" s="1535"/>
      <c r="D248" s="1535"/>
      <c r="E248" s="1535"/>
      <c r="F248" s="1535"/>
      <c r="G248" s="1535"/>
      <c r="H248" s="1536"/>
    </row>
    <row r="249" spans="2:8" x14ac:dyDescent="0.3">
      <c r="B249" s="697"/>
      <c r="C249" s="698"/>
      <c r="D249" s="698"/>
      <c r="E249" s="699"/>
      <c r="F249" s="699"/>
      <c r="G249" s="700"/>
      <c r="H249" s="701">
        <v>44043</v>
      </c>
    </row>
    <row r="250" spans="2:8" x14ac:dyDescent="0.3">
      <c r="B250" s="697"/>
      <c r="C250" s="698" t="s">
        <v>24790</v>
      </c>
      <c r="D250" s="698" t="s">
        <v>1</v>
      </c>
      <c r="E250" s="699" t="s">
        <v>456</v>
      </c>
      <c r="F250" s="699"/>
      <c r="G250" s="700" t="s">
        <v>24791</v>
      </c>
      <c r="H250" s="702" t="s">
        <v>24792</v>
      </c>
    </row>
    <row r="251" spans="2:8" x14ac:dyDescent="0.3">
      <c r="B251" s="703" t="s">
        <v>25578</v>
      </c>
      <c r="C251" s="838" t="s">
        <v>24793</v>
      </c>
      <c r="D251" s="704" t="s">
        <v>25315</v>
      </c>
      <c r="E251" s="705" t="s">
        <v>24804</v>
      </c>
      <c r="F251" s="705"/>
      <c r="G251" s="462">
        <v>3</v>
      </c>
      <c r="H251" s="706">
        <f>(SUM(F255:F257))/3</f>
        <v>11.89</v>
      </c>
    </row>
    <row r="252" spans="2:8" x14ac:dyDescent="0.3">
      <c r="B252" s="707"/>
      <c r="C252" s="695"/>
      <c r="D252" s="695"/>
      <c r="E252" s="708"/>
      <c r="F252" s="708"/>
      <c r="G252" s="462" t="s">
        <v>24794</v>
      </c>
      <c r="H252" s="709" t="s">
        <v>24795</v>
      </c>
    </row>
    <row r="253" spans="2:8" x14ac:dyDescent="0.3">
      <c r="B253" s="707"/>
      <c r="C253" s="695"/>
      <c r="D253" s="695"/>
      <c r="E253" s="708"/>
      <c r="F253" s="708"/>
      <c r="G253" s="695"/>
      <c r="H253" s="710"/>
    </row>
    <row r="254" spans="2:8" x14ac:dyDescent="0.3">
      <c r="B254" s="711" t="s">
        <v>24796</v>
      </c>
      <c r="C254" s="712" t="s">
        <v>24797</v>
      </c>
      <c r="D254" s="712" t="s">
        <v>24798</v>
      </c>
      <c r="E254" s="713" t="s">
        <v>270</v>
      </c>
      <c r="F254" s="713" t="s">
        <v>24805</v>
      </c>
      <c r="G254" s="712" t="s">
        <v>24799</v>
      </c>
      <c r="H254" s="714" t="s">
        <v>4429</v>
      </c>
    </row>
    <row r="255" spans="2:8" ht="45" x14ac:dyDescent="0.3">
      <c r="B255" s="715" t="s">
        <v>25579</v>
      </c>
      <c r="C255" s="716" t="s">
        <v>25580</v>
      </c>
      <c r="D255" s="462" t="s">
        <v>25581</v>
      </c>
      <c r="E255" s="717">
        <v>11.23</v>
      </c>
      <c r="F255" s="717">
        <f>E255/1</f>
        <v>11.23</v>
      </c>
      <c r="G255" s="716" t="s">
        <v>24800</v>
      </c>
      <c r="H255" s="718"/>
    </row>
    <row r="256" spans="2:8" ht="30" x14ac:dyDescent="0.3">
      <c r="B256" s="715" t="s">
        <v>25582</v>
      </c>
      <c r="C256" s="716" t="s">
        <v>25583</v>
      </c>
      <c r="D256" s="462" t="s">
        <v>25584</v>
      </c>
      <c r="E256" s="719">
        <v>14.11</v>
      </c>
      <c r="F256" s="717">
        <f t="shared" ref="F256:F257" si="6">E256/1</f>
        <v>14.11</v>
      </c>
      <c r="G256" s="716" t="s">
        <v>24800</v>
      </c>
      <c r="H256" s="718"/>
    </row>
    <row r="257" spans="2:8" ht="15.75" thickBot="1" x14ac:dyDescent="0.35">
      <c r="B257" s="720" t="s">
        <v>25585</v>
      </c>
      <c r="C257" s="721" t="s">
        <v>25586</v>
      </c>
      <c r="D257" s="737" t="s">
        <v>25587</v>
      </c>
      <c r="E257" s="723">
        <v>10.34</v>
      </c>
      <c r="F257" s="723">
        <f t="shared" si="6"/>
        <v>10.34</v>
      </c>
      <c r="G257" s="724" t="s">
        <v>24800</v>
      </c>
      <c r="H257" s="725"/>
    </row>
    <row r="259" spans="2:8" ht="15.75" thickBot="1" x14ac:dyDescent="0.35"/>
    <row r="260" spans="2:8" x14ac:dyDescent="0.3">
      <c r="B260" s="1534" t="s">
        <v>25588</v>
      </c>
      <c r="C260" s="1535"/>
      <c r="D260" s="1535"/>
      <c r="E260" s="1535"/>
      <c r="F260" s="1535"/>
      <c r="G260" s="1535"/>
      <c r="H260" s="1536"/>
    </row>
    <row r="261" spans="2:8" x14ac:dyDescent="0.3">
      <c r="B261" s="697"/>
      <c r="C261" s="698"/>
      <c r="D261" s="698"/>
      <c r="E261" s="699"/>
      <c r="F261" s="699"/>
      <c r="G261" s="700"/>
      <c r="H261" s="701">
        <v>44043</v>
      </c>
    </row>
    <row r="262" spans="2:8" x14ac:dyDescent="0.3">
      <c r="B262" s="697"/>
      <c r="C262" s="698" t="s">
        <v>24790</v>
      </c>
      <c r="D262" s="698" t="s">
        <v>1</v>
      </c>
      <c r="E262" s="699" t="s">
        <v>456</v>
      </c>
      <c r="F262" s="699"/>
      <c r="G262" s="700" t="s">
        <v>24791</v>
      </c>
      <c r="H262" s="702" t="s">
        <v>24792</v>
      </c>
    </row>
    <row r="263" spans="2:8" x14ac:dyDescent="0.3">
      <c r="B263" s="703" t="s">
        <v>25589</v>
      </c>
      <c r="C263" s="838" t="s">
        <v>24793</v>
      </c>
      <c r="D263" s="704" t="s">
        <v>25590</v>
      </c>
      <c r="E263" s="705" t="s">
        <v>8</v>
      </c>
      <c r="F263" s="705"/>
      <c r="G263" s="462">
        <v>3</v>
      </c>
      <c r="H263" s="706">
        <f>(SUM(F267:F269))/3</f>
        <v>11.68</v>
      </c>
    </row>
    <row r="264" spans="2:8" x14ac:dyDescent="0.3">
      <c r="B264" s="707"/>
      <c r="C264" s="695"/>
      <c r="D264" s="695"/>
      <c r="E264" s="708"/>
      <c r="F264" s="708"/>
      <c r="G264" s="462" t="s">
        <v>24794</v>
      </c>
      <c r="H264" s="709" t="s">
        <v>24795</v>
      </c>
    </row>
    <row r="265" spans="2:8" x14ac:dyDescent="0.3">
      <c r="B265" s="707"/>
      <c r="C265" s="695"/>
      <c r="D265" s="695"/>
      <c r="E265" s="708"/>
      <c r="F265" s="708"/>
      <c r="G265" s="695"/>
      <c r="H265" s="710"/>
    </row>
    <row r="266" spans="2:8" x14ac:dyDescent="0.3">
      <c r="B266" s="711" t="s">
        <v>24796</v>
      </c>
      <c r="C266" s="712" t="s">
        <v>24797</v>
      </c>
      <c r="D266" s="712" t="s">
        <v>24798</v>
      </c>
      <c r="E266" s="713" t="s">
        <v>270</v>
      </c>
      <c r="F266" s="713" t="s">
        <v>24805</v>
      </c>
      <c r="G266" s="712" t="s">
        <v>24799</v>
      </c>
      <c r="H266" s="714" t="s">
        <v>4429</v>
      </c>
    </row>
    <row r="267" spans="2:8" ht="30" x14ac:dyDescent="0.3">
      <c r="B267" s="715" t="s">
        <v>25591</v>
      </c>
      <c r="C267" s="716" t="s">
        <v>25592</v>
      </c>
      <c r="D267" s="462" t="s">
        <v>25593</v>
      </c>
      <c r="E267" s="717">
        <v>9</v>
      </c>
      <c r="F267" s="717">
        <f>E267/1</f>
        <v>9</v>
      </c>
      <c r="G267" s="716" t="s">
        <v>24800</v>
      </c>
      <c r="H267" s="718"/>
    </row>
    <row r="268" spans="2:8" x14ac:dyDescent="0.3">
      <c r="B268" s="715" t="s">
        <v>25594</v>
      </c>
      <c r="C268" s="716" t="s">
        <v>25595</v>
      </c>
      <c r="D268" s="462" t="s">
        <v>25596</v>
      </c>
      <c r="E268" s="719">
        <v>6.98</v>
      </c>
      <c r="F268" s="717">
        <f t="shared" ref="F268:F269" si="7">E268/1</f>
        <v>6.98</v>
      </c>
      <c r="G268" s="716" t="s">
        <v>24800</v>
      </c>
      <c r="H268" s="718"/>
    </row>
    <row r="269" spans="2:8" ht="15.75" thickBot="1" x14ac:dyDescent="0.35">
      <c r="B269" s="720" t="s">
        <v>25597</v>
      </c>
      <c r="C269" s="721" t="s">
        <v>24908</v>
      </c>
      <c r="D269" s="722" t="s">
        <v>25598</v>
      </c>
      <c r="E269" s="723">
        <v>19.05</v>
      </c>
      <c r="F269" s="723">
        <f t="shared" si="7"/>
        <v>19.05</v>
      </c>
      <c r="G269" s="724" t="s">
        <v>24800</v>
      </c>
      <c r="H269" s="725"/>
    </row>
    <row r="271" spans="2:8" ht="15.75" thickBot="1" x14ac:dyDescent="0.35"/>
    <row r="272" spans="2:8" x14ac:dyDescent="0.3">
      <c r="B272" s="1534" t="s">
        <v>25588</v>
      </c>
      <c r="C272" s="1535"/>
      <c r="D272" s="1535"/>
      <c r="E272" s="1535"/>
      <c r="F272" s="1535"/>
      <c r="G272" s="1535"/>
      <c r="H272" s="1536"/>
    </row>
    <row r="273" spans="2:8" x14ac:dyDescent="0.3">
      <c r="B273" s="697"/>
      <c r="C273" s="698"/>
      <c r="D273" s="698"/>
      <c r="E273" s="699"/>
      <c r="F273" s="699"/>
      <c r="G273" s="700"/>
      <c r="H273" s="701">
        <v>44043</v>
      </c>
    </row>
    <row r="274" spans="2:8" x14ac:dyDescent="0.3">
      <c r="B274" s="697"/>
      <c r="C274" s="698" t="s">
        <v>24790</v>
      </c>
      <c r="D274" s="698" t="s">
        <v>1</v>
      </c>
      <c r="E274" s="699" t="s">
        <v>456</v>
      </c>
      <c r="F274" s="699"/>
      <c r="G274" s="700" t="s">
        <v>24791</v>
      </c>
      <c r="H274" s="702" t="s">
        <v>24792</v>
      </c>
    </row>
    <row r="275" spans="2:8" x14ac:dyDescent="0.3">
      <c r="B275" s="703" t="s">
        <v>25589</v>
      </c>
      <c r="C275" s="838" t="s">
        <v>24793</v>
      </c>
      <c r="D275" s="704" t="s">
        <v>25213</v>
      </c>
      <c r="E275" s="705" t="s">
        <v>7</v>
      </c>
      <c r="F275" s="705"/>
      <c r="G275" s="462">
        <v>3</v>
      </c>
      <c r="H275" s="706">
        <f>(SUM(F279:F281))/3</f>
        <v>9.0399999999999991</v>
      </c>
    </row>
    <row r="276" spans="2:8" x14ac:dyDescent="0.3">
      <c r="B276" s="707"/>
      <c r="C276" s="695"/>
      <c r="D276" s="695"/>
      <c r="E276" s="708"/>
      <c r="F276" s="708"/>
      <c r="G276" s="462" t="s">
        <v>24794</v>
      </c>
      <c r="H276" s="709" t="s">
        <v>24795</v>
      </c>
    </row>
    <row r="277" spans="2:8" x14ac:dyDescent="0.3">
      <c r="B277" s="707"/>
      <c r="C277" s="695"/>
      <c r="D277" s="695"/>
      <c r="E277" s="708"/>
      <c r="F277" s="708"/>
      <c r="G277" s="695"/>
      <c r="H277" s="710"/>
    </row>
    <row r="278" spans="2:8" x14ac:dyDescent="0.3">
      <c r="B278" s="711" t="s">
        <v>24796</v>
      </c>
      <c r="C278" s="712" t="s">
        <v>24797</v>
      </c>
      <c r="D278" s="712" t="s">
        <v>24798</v>
      </c>
      <c r="E278" s="713" t="s">
        <v>270</v>
      </c>
      <c r="F278" s="713" t="s">
        <v>24805</v>
      </c>
      <c r="G278" s="712" t="s">
        <v>24799</v>
      </c>
      <c r="H278" s="714" t="s">
        <v>4429</v>
      </c>
    </row>
    <row r="279" spans="2:8" x14ac:dyDescent="0.3">
      <c r="B279" s="715" t="s">
        <v>25599</v>
      </c>
      <c r="C279" s="716" t="s">
        <v>25600</v>
      </c>
      <c r="D279" s="462" t="s">
        <v>25601</v>
      </c>
      <c r="E279" s="717">
        <f>36.46/3</f>
        <v>12.15</v>
      </c>
      <c r="F279" s="717">
        <f>E279/1</f>
        <v>12.15</v>
      </c>
      <c r="G279" s="716" t="s">
        <v>24800</v>
      </c>
      <c r="H279" s="718"/>
    </row>
    <row r="280" spans="2:8" x14ac:dyDescent="0.3">
      <c r="B280" s="715" t="s">
        <v>25602</v>
      </c>
      <c r="C280" s="716" t="s">
        <v>25603</v>
      </c>
      <c r="D280" s="462" t="s">
        <v>25604</v>
      </c>
      <c r="E280" s="719">
        <v>6.98</v>
      </c>
      <c r="F280" s="717">
        <f t="shared" ref="F280:F281" si="8">E280/1</f>
        <v>6.98</v>
      </c>
      <c r="G280" s="716" t="s">
        <v>24800</v>
      </c>
      <c r="H280" s="718"/>
    </row>
    <row r="281" spans="2:8" ht="15.75" thickBot="1" x14ac:dyDescent="0.35">
      <c r="B281" s="720" t="s">
        <v>24834</v>
      </c>
      <c r="C281" s="721" t="s">
        <v>24802</v>
      </c>
      <c r="D281" s="722" t="s">
        <v>24936</v>
      </c>
      <c r="E281" s="723">
        <v>8</v>
      </c>
      <c r="F281" s="723">
        <f t="shared" si="8"/>
        <v>8</v>
      </c>
      <c r="G281" s="724" t="s">
        <v>24800</v>
      </c>
      <c r="H281" s="725"/>
    </row>
    <row r="283" spans="2:8" ht="15.75" thickBot="1" x14ac:dyDescent="0.35"/>
    <row r="284" spans="2:8" x14ac:dyDescent="0.3">
      <c r="B284" s="1534" t="s">
        <v>25588</v>
      </c>
      <c r="C284" s="1535"/>
      <c r="D284" s="1535"/>
      <c r="E284" s="1535"/>
      <c r="F284" s="1535"/>
      <c r="G284" s="1535"/>
      <c r="H284" s="1536"/>
    </row>
    <row r="285" spans="2:8" x14ac:dyDescent="0.3">
      <c r="B285" s="697"/>
      <c r="C285" s="698"/>
      <c r="D285" s="698"/>
      <c r="E285" s="699"/>
      <c r="F285" s="699"/>
      <c r="G285" s="700"/>
      <c r="H285" s="701">
        <v>44043</v>
      </c>
    </row>
    <row r="286" spans="2:8" x14ac:dyDescent="0.3">
      <c r="B286" s="697"/>
      <c r="C286" s="698" t="s">
        <v>24790</v>
      </c>
      <c r="D286" s="698" t="s">
        <v>1</v>
      </c>
      <c r="E286" s="699" t="s">
        <v>456</v>
      </c>
      <c r="F286" s="699"/>
      <c r="G286" s="700" t="s">
        <v>24791</v>
      </c>
      <c r="H286" s="702" t="s">
        <v>24792</v>
      </c>
    </row>
    <row r="287" spans="2:8" x14ac:dyDescent="0.3">
      <c r="B287" s="703" t="s">
        <v>25589</v>
      </c>
      <c r="C287" s="838" t="s">
        <v>24793</v>
      </c>
      <c r="D287" s="704" t="s">
        <v>25214</v>
      </c>
      <c r="E287" s="705" t="s">
        <v>8</v>
      </c>
      <c r="F287" s="705"/>
      <c r="G287" s="462">
        <v>3</v>
      </c>
      <c r="H287" s="706">
        <f>(SUM(F291:F293))/3</f>
        <v>12.22</v>
      </c>
    </row>
    <row r="288" spans="2:8" x14ac:dyDescent="0.3">
      <c r="B288" s="707"/>
      <c r="C288" s="695"/>
      <c r="D288" s="695"/>
      <c r="E288" s="708"/>
      <c r="F288" s="708"/>
      <c r="G288" s="462" t="s">
        <v>24794</v>
      </c>
      <c r="H288" s="709" t="s">
        <v>24795</v>
      </c>
    </row>
    <row r="289" spans="2:8" x14ac:dyDescent="0.3">
      <c r="B289" s="707"/>
      <c r="C289" s="695"/>
      <c r="D289" s="695"/>
      <c r="E289" s="708"/>
      <c r="F289" s="708"/>
      <c r="G289" s="695"/>
      <c r="H289" s="710"/>
    </row>
    <row r="290" spans="2:8" x14ac:dyDescent="0.3">
      <c r="B290" s="711" t="s">
        <v>24796</v>
      </c>
      <c r="C290" s="712" t="s">
        <v>24797</v>
      </c>
      <c r="D290" s="712" t="s">
        <v>24798</v>
      </c>
      <c r="E290" s="713" t="s">
        <v>270</v>
      </c>
      <c r="F290" s="713" t="s">
        <v>24805</v>
      </c>
      <c r="G290" s="712" t="s">
        <v>24799</v>
      </c>
      <c r="H290" s="714" t="s">
        <v>4429</v>
      </c>
    </row>
    <row r="291" spans="2:8" x14ac:dyDescent="0.3">
      <c r="B291" s="715" t="s">
        <v>24836</v>
      </c>
      <c r="C291" s="716" t="s">
        <v>24837</v>
      </c>
      <c r="D291" s="462" t="s">
        <v>24838</v>
      </c>
      <c r="E291" s="717">
        <v>13.79</v>
      </c>
      <c r="F291" s="717">
        <f>E291/1</f>
        <v>13.79</v>
      </c>
      <c r="G291" s="716" t="s">
        <v>24800</v>
      </c>
      <c r="H291" s="718"/>
    </row>
    <row r="292" spans="2:8" x14ac:dyDescent="0.3">
      <c r="B292" s="715" t="s">
        <v>25597</v>
      </c>
      <c r="C292" s="716" t="s">
        <v>25605</v>
      </c>
      <c r="D292" s="462" t="s">
        <v>25606</v>
      </c>
      <c r="E292" s="719">
        <f>36.29/4</f>
        <v>9.07</v>
      </c>
      <c r="F292" s="717">
        <f t="shared" ref="F292:F293" si="9">E292/1</f>
        <v>9.07</v>
      </c>
      <c r="G292" s="716" t="s">
        <v>24800</v>
      </c>
      <c r="H292" s="718"/>
    </row>
    <row r="293" spans="2:8" ht="30.75" thickBot="1" x14ac:dyDescent="0.35">
      <c r="B293" s="720" t="s">
        <v>25607</v>
      </c>
      <c r="C293" s="721" t="s">
        <v>25461</v>
      </c>
      <c r="D293" s="722" t="s">
        <v>25608</v>
      </c>
      <c r="E293" s="723">
        <v>13.79</v>
      </c>
      <c r="F293" s="723">
        <f t="shared" si="9"/>
        <v>13.79</v>
      </c>
      <c r="G293" s="724" t="s">
        <v>24800</v>
      </c>
      <c r="H293" s="725"/>
    </row>
    <row r="294" spans="2:8" x14ac:dyDescent="0.3">
      <c r="B294" s="1180"/>
      <c r="C294" s="692"/>
      <c r="D294" s="1181"/>
      <c r="E294" s="693"/>
      <c r="F294" s="693"/>
      <c r="G294" s="692"/>
      <c r="H294" s="692"/>
    </row>
    <row r="295" spans="2:8" ht="15.75" thickBot="1" x14ac:dyDescent="0.35">
      <c r="B295" s="1180"/>
      <c r="C295" s="692"/>
      <c r="D295" s="1181"/>
      <c r="E295" s="693"/>
      <c r="F295" s="693"/>
      <c r="G295" s="692"/>
      <c r="H295" s="692"/>
    </row>
    <row r="296" spans="2:8" x14ac:dyDescent="0.3">
      <c r="B296" s="1534" t="s">
        <v>25588</v>
      </c>
      <c r="C296" s="1535"/>
      <c r="D296" s="1535"/>
      <c r="E296" s="1535"/>
      <c r="F296" s="1535"/>
      <c r="G296" s="1535"/>
      <c r="H296" s="1536"/>
    </row>
    <row r="297" spans="2:8" x14ac:dyDescent="0.3">
      <c r="B297" s="697"/>
      <c r="C297" s="698"/>
      <c r="D297" s="698"/>
      <c r="E297" s="699"/>
      <c r="F297" s="699"/>
      <c r="G297" s="700"/>
      <c r="H297" s="701">
        <v>44043</v>
      </c>
    </row>
    <row r="298" spans="2:8" x14ac:dyDescent="0.3">
      <c r="B298" s="697"/>
      <c r="C298" s="698" t="s">
        <v>24790</v>
      </c>
      <c r="D298" s="698" t="s">
        <v>1</v>
      </c>
      <c r="E298" s="699" t="s">
        <v>456</v>
      </c>
      <c r="F298" s="699"/>
      <c r="G298" s="700" t="s">
        <v>24791</v>
      </c>
      <c r="H298" s="702" t="s">
        <v>24792</v>
      </c>
    </row>
    <row r="299" spans="2:8" x14ac:dyDescent="0.3">
      <c r="B299" s="703" t="s">
        <v>25589</v>
      </c>
      <c r="C299" s="1129" t="s">
        <v>24793</v>
      </c>
      <c r="D299" s="704" t="s">
        <v>25638</v>
      </c>
      <c r="E299" s="705" t="s">
        <v>7</v>
      </c>
      <c r="F299" s="705"/>
      <c r="G299" s="462">
        <v>3</v>
      </c>
      <c r="H299" s="706">
        <f>(SUM(F303:F305))/3</f>
        <v>17.3</v>
      </c>
    </row>
    <row r="300" spans="2:8" x14ac:dyDescent="0.3">
      <c r="B300" s="707"/>
      <c r="C300" s="695"/>
      <c r="D300" s="695"/>
      <c r="E300" s="708"/>
      <c r="F300" s="708"/>
      <c r="G300" s="462" t="s">
        <v>24794</v>
      </c>
      <c r="H300" s="709" t="s">
        <v>24795</v>
      </c>
    </row>
    <row r="301" spans="2:8" x14ac:dyDescent="0.3">
      <c r="B301" s="707"/>
      <c r="C301" s="695"/>
      <c r="D301" s="695"/>
      <c r="E301" s="708"/>
      <c r="F301" s="708"/>
      <c r="G301" s="695"/>
      <c r="H301" s="710"/>
    </row>
    <row r="302" spans="2:8" x14ac:dyDescent="0.3">
      <c r="B302" s="711" t="s">
        <v>24796</v>
      </c>
      <c r="C302" s="712" t="s">
        <v>24797</v>
      </c>
      <c r="D302" s="712" t="s">
        <v>24798</v>
      </c>
      <c r="E302" s="713" t="s">
        <v>270</v>
      </c>
      <c r="F302" s="713" t="s">
        <v>25561</v>
      </c>
      <c r="G302" s="712" t="s">
        <v>24799</v>
      </c>
      <c r="H302" s="714" t="s">
        <v>4429</v>
      </c>
    </row>
    <row r="303" spans="2:8" x14ac:dyDescent="0.3">
      <c r="B303" s="715" t="s">
        <v>25639</v>
      </c>
      <c r="C303" s="716" t="s">
        <v>25614</v>
      </c>
      <c r="D303" s="462" t="s">
        <v>25615</v>
      </c>
      <c r="E303" s="717">
        <v>86.41</v>
      </c>
      <c r="F303" s="717">
        <f>E303/6</f>
        <v>14.4</v>
      </c>
      <c r="G303" s="716" t="s">
        <v>24800</v>
      </c>
      <c r="H303" s="718"/>
    </row>
    <row r="304" spans="2:8" ht="30" x14ac:dyDescent="0.3">
      <c r="B304" s="734" t="s">
        <v>25640</v>
      </c>
      <c r="C304" s="462" t="s">
        <v>25507</v>
      </c>
      <c r="D304" s="462" t="s">
        <v>25508</v>
      </c>
      <c r="E304" s="719">
        <v>122</v>
      </c>
      <c r="F304" s="717">
        <f>E304/6</f>
        <v>20.329999999999998</v>
      </c>
      <c r="G304" s="716" t="s">
        <v>24800</v>
      </c>
      <c r="H304" s="718"/>
    </row>
    <row r="305" spans="2:8" ht="30.75" thickBot="1" x14ac:dyDescent="0.35">
      <c r="B305" s="720" t="s">
        <v>25641</v>
      </c>
      <c r="C305" s="721" t="s">
        <v>25643</v>
      </c>
      <c r="D305" s="722" t="s">
        <v>25642</v>
      </c>
      <c r="E305" s="723">
        <v>103.08</v>
      </c>
      <c r="F305" s="717">
        <f>E305/6</f>
        <v>17.18</v>
      </c>
      <c r="G305" s="724" t="s">
        <v>24800</v>
      </c>
      <c r="H305" s="725"/>
    </row>
    <row r="306" spans="2:8" x14ac:dyDescent="0.3">
      <c r="B306" s="1180"/>
      <c r="C306" s="692"/>
      <c r="D306" s="1181"/>
      <c r="E306" s="693"/>
      <c r="F306" s="693"/>
      <c r="G306" s="692"/>
      <c r="H306" s="692"/>
    </row>
    <row r="307" spans="2:8" ht="15.75" thickBot="1" x14ac:dyDescent="0.35">
      <c r="B307" s="1180"/>
      <c r="C307" s="692"/>
      <c r="D307" s="1181"/>
      <c r="E307" s="693"/>
      <c r="F307" s="693"/>
      <c r="G307" s="692"/>
      <c r="H307" s="692"/>
    </row>
    <row r="308" spans="2:8" x14ac:dyDescent="0.3">
      <c r="B308" s="1534" t="s">
        <v>25588</v>
      </c>
      <c r="C308" s="1535"/>
      <c r="D308" s="1535"/>
      <c r="E308" s="1535"/>
      <c r="F308" s="1535"/>
      <c r="G308" s="1535"/>
      <c r="H308" s="1536"/>
    </row>
    <row r="309" spans="2:8" x14ac:dyDescent="0.3">
      <c r="B309" s="697"/>
      <c r="C309" s="698"/>
      <c r="D309" s="698"/>
      <c r="E309" s="699"/>
      <c r="F309" s="699"/>
      <c r="G309" s="700"/>
      <c r="H309" s="701">
        <v>44043</v>
      </c>
    </row>
    <row r="310" spans="2:8" x14ac:dyDescent="0.3">
      <c r="B310" s="697"/>
      <c r="C310" s="698" t="s">
        <v>24790</v>
      </c>
      <c r="D310" s="698" t="s">
        <v>1</v>
      </c>
      <c r="E310" s="699" t="s">
        <v>456</v>
      </c>
      <c r="F310" s="699"/>
      <c r="G310" s="700" t="s">
        <v>24791</v>
      </c>
      <c r="H310" s="702" t="s">
        <v>24792</v>
      </c>
    </row>
    <row r="311" spans="2:8" x14ac:dyDescent="0.3">
      <c r="B311" s="703" t="s">
        <v>25589</v>
      </c>
      <c r="C311" s="1129" t="s">
        <v>24793</v>
      </c>
      <c r="D311" s="704" t="s">
        <v>25644</v>
      </c>
      <c r="E311" s="705" t="s">
        <v>5</v>
      </c>
      <c r="F311" s="705"/>
      <c r="G311" s="462">
        <v>3</v>
      </c>
      <c r="H311" s="706">
        <f>(SUM(F315:F317))/3</f>
        <v>98.73</v>
      </c>
    </row>
    <row r="312" spans="2:8" x14ac:dyDescent="0.3">
      <c r="B312" s="707"/>
      <c r="C312" s="1181"/>
      <c r="D312" s="1181"/>
      <c r="E312" s="1182"/>
      <c r="F312" s="1182"/>
      <c r="G312" s="462" t="s">
        <v>24794</v>
      </c>
      <c r="H312" s="709" t="s">
        <v>24795</v>
      </c>
    </row>
    <row r="313" spans="2:8" x14ac:dyDescent="0.3">
      <c r="B313" s="707"/>
      <c r="C313" s="1181"/>
      <c r="D313" s="1181"/>
      <c r="E313" s="1182"/>
      <c r="F313" s="1182"/>
      <c r="G313" s="1181"/>
      <c r="H313" s="710"/>
    </row>
    <row r="314" spans="2:8" x14ac:dyDescent="0.3">
      <c r="B314" s="711" t="s">
        <v>24796</v>
      </c>
      <c r="C314" s="712" t="s">
        <v>24797</v>
      </c>
      <c r="D314" s="712" t="s">
        <v>24798</v>
      </c>
      <c r="E314" s="713" t="s">
        <v>270</v>
      </c>
      <c r="F314" s="713" t="s">
        <v>25479</v>
      </c>
      <c r="G314" s="712" t="s">
        <v>24799</v>
      </c>
      <c r="H314" s="714" t="s">
        <v>4429</v>
      </c>
    </row>
    <row r="315" spans="2:8" x14ac:dyDescent="0.3">
      <c r="B315" s="715" t="s">
        <v>25645</v>
      </c>
      <c r="C315" s="716" t="s">
        <v>25605</v>
      </c>
      <c r="D315" s="462" t="s">
        <v>25606</v>
      </c>
      <c r="E315" s="717">
        <v>154</v>
      </c>
      <c r="F315" s="717">
        <f>E315/2</f>
        <v>77</v>
      </c>
      <c r="G315" s="716" t="s">
        <v>24800</v>
      </c>
      <c r="H315" s="718"/>
    </row>
    <row r="316" spans="2:8" x14ac:dyDescent="0.3">
      <c r="B316" s="715" t="s">
        <v>25646</v>
      </c>
      <c r="C316" s="716" t="s">
        <v>24825</v>
      </c>
      <c r="D316" s="462" t="s">
        <v>24904</v>
      </c>
      <c r="E316" s="717">
        <v>62.21</v>
      </c>
      <c r="F316" s="717">
        <f>E316/0.5</f>
        <v>124.42</v>
      </c>
      <c r="G316" s="716" t="s">
        <v>24800</v>
      </c>
      <c r="H316" s="718"/>
    </row>
    <row r="317" spans="2:8" ht="15.75" thickBot="1" x14ac:dyDescent="0.35">
      <c r="B317" s="1172" t="s">
        <v>25647</v>
      </c>
      <c r="C317" s="724" t="s">
        <v>24825</v>
      </c>
      <c r="D317" s="724" t="s">
        <v>24826</v>
      </c>
      <c r="E317" s="723">
        <v>47.38</v>
      </c>
      <c r="F317" s="723">
        <f>E317/0.5</f>
        <v>94.76</v>
      </c>
      <c r="G317" s="724" t="s">
        <v>24800</v>
      </c>
      <c r="H317" s="725"/>
    </row>
    <row r="318" spans="2:8" x14ac:dyDescent="0.3">
      <c r="B318" s="1180"/>
      <c r="C318" s="692"/>
      <c r="D318" s="1181"/>
      <c r="E318" s="693"/>
      <c r="F318" s="693"/>
      <c r="G318" s="692"/>
      <c r="H318" s="692"/>
    </row>
    <row r="319" spans="2:8" x14ac:dyDescent="0.3">
      <c r="B319" s="1180"/>
      <c r="C319" s="692"/>
      <c r="D319" s="1181"/>
      <c r="E319" s="693"/>
      <c r="F319" s="693"/>
      <c r="G319" s="692"/>
      <c r="H319" s="692"/>
    </row>
    <row r="320" spans="2:8" ht="15.75" thickBot="1" x14ac:dyDescent="0.35"/>
    <row r="321" spans="2:8" x14ac:dyDescent="0.3">
      <c r="B321" s="1534" t="s">
        <v>25522</v>
      </c>
      <c r="C321" s="1535"/>
      <c r="D321" s="1535"/>
      <c r="E321" s="1535"/>
      <c r="F321" s="1535"/>
      <c r="G321" s="1535"/>
      <c r="H321" s="1536"/>
    </row>
    <row r="322" spans="2:8" x14ac:dyDescent="0.3">
      <c r="B322" s="697"/>
      <c r="C322" s="698"/>
      <c r="D322" s="698"/>
      <c r="E322" s="699"/>
      <c r="F322" s="699"/>
      <c r="G322" s="700"/>
      <c r="H322" s="701">
        <v>44043</v>
      </c>
    </row>
    <row r="323" spans="2:8" x14ac:dyDescent="0.3">
      <c r="B323" s="697"/>
      <c r="C323" s="698" t="s">
        <v>24790</v>
      </c>
      <c r="D323" s="698" t="s">
        <v>1</v>
      </c>
      <c r="E323" s="699" t="s">
        <v>456</v>
      </c>
      <c r="F323" s="699"/>
      <c r="G323" s="700" t="s">
        <v>24791</v>
      </c>
      <c r="H323" s="702" t="s">
        <v>24792</v>
      </c>
    </row>
    <row r="324" spans="2:8" x14ac:dyDescent="0.3">
      <c r="B324" s="703" t="s">
        <v>25523</v>
      </c>
      <c r="C324" s="838" t="s">
        <v>24793</v>
      </c>
      <c r="D324" s="704" t="s">
        <v>25609</v>
      </c>
      <c r="E324" s="705" t="s">
        <v>7</v>
      </c>
      <c r="F324" s="705"/>
      <c r="G324" s="462">
        <v>3</v>
      </c>
      <c r="H324" s="706">
        <f>(SUM(F328:F330))/3</f>
        <v>65.22</v>
      </c>
    </row>
    <row r="325" spans="2:8" x14ac:dyDescent="0.3">
      <c r="B325" s="707"/>
      <c r="C325" s="695"/>
      <c r="D325" s="695"/>
      <c r="E325" s="708"/>
      <c r="F325" s="708"/>
      <c r="G325" s="462" t="s">
        <v>24794</v>
      </c>
      <c r="H325" s="709" t="s">
        <v>24795</v>
      </c>
    </row>
    <row r="326" spans="2:8" x14ac:dyDescent="0.3">
      <c r="B326" s="707"/>
      <c r="C326" s="695"/>
      <c r="D326" s="695"/>
      <c r="E326" s="708"/>
      <c r="F326" s="708"/>
      <c r="G326" s="695"/>
      <c r="H326" s="710"/>
    </row>
    <row r="327" spans="2:8" x14ac:dyDescent="0.3">
      <c r="B327" s="711" t="s">
        <v>24796</v>
      </c>
      <c r="C327" s="712" t="s">
        <v>24797</v>
      </c>
      <c r="D327" s="712" t="s">
        <v>24798</v>
      </c>
      <c r="E327" s="713" t="s">
        <v>270</v>
      </c>
      <c r="F327" s="713" t="s">
        <v>25561</v>
      </c>
      <c r="G327" s="712" t="s">
        <v>24799</v>
      </c>
      <c r="H327" s="714" t="s">
        <v>4429</v>
      </c>
    </row>
    <row r="328" spans="2:8" x14ac:dyDescent="0.3">
      <c r="B328" s="715" t="s">
        <v>25610</v>
      </c>
      <c r="C328" s="716" t="s">
        <v>25611</v>
      </c>
      <c r="D328" s="462" t="s">
        <v>25612</v>
      </c>
      <c r="E328" s="717">
        <f>376.76/6</f>
        <v>62.79</v>
      </c>
      <c r="F328" s="717">
        <f>E328/1</f>
        <v>62.79</v>
      </c>
      <c r="G328" s="716" t="s">
        <v>24800</v>
      </c>
      <c r="H328" s="718"/>
    </row>
    <row r="329" spans="2:8" x14ac:dyDescent="0.3">
      <c r="B329" s="715" t="s">
        <v>25613</v>
      </c>
      <c r="C329" s="716" t="s">
        <v>25614</v>
      </c>
      <c r="D329" s="462" t="s">
        <v>25615</v>
      </c>
      <c r="E329" s="719">
        <f>418.83/6</f>
        <v>69.81</v>
      </c>
      <c r="F329" s="717">
        <f t="shared" ref="F329:F330" si="10">E329/1</f>
        <v>69.81</v>
      </c>
      <c r="G329" s="716" t="s">
        <v>24800</v>
      </c>
      <c r="H329" s="718"/>
    </row>
    <row r="330" spans="2:8" ht="30.75" thickBot="1" x14ac:dyDescent="0.35">
      <c r="B330" s="720" t="s">
        <v>25616</v>
      </c>
      <c r="C330" s="721" t="s">
        <v>25617</v>
      </c>
      <c r="D330" s="722" t="s">
        <v>25618</v>
      </c>
      <c r="E330" s="723">
        <f>378.42/6</f>
        <v>63.07</v>
      </c>
      <c r="F330" s="723">
        <f t="shared" si="10"/>
        <v>63.07</v>
      </c>
      <c r="G330" s="724" t="s">
        <v>24800</v>
      </c>
      <c r="H330" s="725"/>
    </row>
    <row r="332" spans="2:8" ht="15.75" thickBot="1" x14ac:dyDescent="0.35"/>
    <row r="333" spans="2:8" x14ac:dyDescent="0.3">
      <c r="B333" s="1534" t="s">
        <v>25533</v>
      </c>
      <c r="C333" s="1535"/>
      <c r="D333" s="1535"/>
      <c r="E333" s="1535"/>
      <c r="F333" s="1535"/>
      <c r="G333" s="1535"/>
      <c r="H333" s="1536"/>
    </row>
    <row r="334" spans="2:8" x14ac:dyDescent="0.3">
      <c r="B334" s="697"/>
      <c r="C334" s="698"/>
      <c r="D334" s="698"/>
      <c r="E334" s="699"/>
      <c r="F334" s="699"/>
      <c r="G334" s="700"/>
      <c r="H334" s="701">
        <v>44043</v>
      </c>
    </row>
    <row r="335" spans="2:8" x14ac:dyDescent="0.3">
      <c r="B335" s="697"/>
      <c r="C335" s="698" t="s">
        <v>24790</v>
      </c>
      <c r="D335" s="698" t="s">
        <v>1</v>
      </c>
      <c r="E335" s="699" t="s">
        <v>456</v>
      </c>
      <c r="F335" s="699"/>
      <c r="G335" s="700" t="s">
        <v>24791</v>
      </c>
      <c r="H335" s="702" t="s">
        <v>24792</v>
      </c>
    </row>
    <row r="336" spans="2:8" x14ac:dyDescent="0.3">
      <c r="B336" s="703" t="s">
        <v>25534</v>
      </c>
      <c r="C336" s="838" t="s">
        <v>24793</v>
      </c>
      <c r="D336" s="704" t="s">
        <v>25619</v>
      </c>
      <c r="E336" s="705" t="s">
        <v>8</v>
      </c>
      <c r="F336" s="705"/>
      <c r="G336" s="462">
        <v>3</v>
      </c>
      <c r="H336" s="706">
        <f>(SUM(F340:F342))/3</f>
        <v>30.57</v>
      </c>
    </row>
    <row r="337" spans="2:8" x14ac:dyDescent="0.3">
      <c r="B337" s="707"/>
      <c r="C337" s="695"/>
      <c r="D337" s="695"/>
      <c r="E337" s="708"/>
      <c r="F337" s="708"/>
      <c r="G337" s="462" t="s">
        <v>24794</v>
      </c>
      <c r="H337" s="709" t="s">
        <v>24795</v>
      </c>
    </row>
    <row r="338" spans="2:8" x14ac:dyDescent="0.3">
      <c r="B338" s="707"/>
      <c r="C338" s="695"/>
      <c r="D338" s="695"/>
      <c r="E338" s="708"/>
      <c r="F338" s="708"/>
      <c r="G338" s="695"/>
      <c r="H338" s="710"/>
    </row>
    <row r="339" spans="2:8" x14ac:dyDescent="0.3">
      <c r="B339" s="711" t="s">
        <v>24796</v>
      </c>
      <c r="C339" s="712" t="s">
        <v>24797</v>
      </c>
      <c r="D339" s="712" t="s">
        <v>24798</v>
      </c>
      <c r="E339" s="713" t="s">
        <v>270</v>
      </c>
      <c r="F339" s="713" t="s">
        <v>24805</v>
      </c>
      <c r="G339" s="712" t="s">
        <v>24799</v>
      </c>
      <c r="H339" s="714" t="s">
        <v>4429</v>
      </c>
    </row>
    <row r="340" spans="2:8" ht="30" x14ac:dyDescent="0.3">
      <c r="B340" s="715" t="s">
        <v>25620</v>
      </c>
      <c r="C340" s="716" t="s">
        <v>25621</v>
      </c>
      <c r="D340" s="462" t="s">
        <v>25622</v>
      </c>
      <c r="E340" s="717">
        <v>26.9</v>
      </c>
      <c r="F340" s="717">
        <f>E340/1</f>
        <v>26.9</v>
      </c>
      <c r="G340" s="716" t="s">
        <v>24800</v>
      </c>
      <c r="H340" s="718"/>
    </row>
    <row r="341" spans="2:8" x14ac:dyDescent="0.3">
      <c r="B341" s="715" t="s">
        <v>25623</v>
      </c>
      <c r="C341" s="716" t="s">
        <v>25624</v>
      </c>
      <c r="D341" s="462" t="s">
        <v>25625</v>
      </c>
      <c r="E341" s="719">
        <v>29.9</v>
      </c>
      <c r="F341" s="717">
        <f t="shared" ref="F341:F342" si="11">E341/1</f>
        <v>29.9</v>
      </c>
      <c r="G341" s="716" t="s">
        <v>24800</v>
      </c>
      <c r="H341" s="718"/>
    </row>
    <row r="342" spans="2:8" ht="15.75" thickBot="1" x14ac:dyDescent="0.35">
      <c r="B342" s="720" t="s">
        <v>25597</v>
      </c>
      <c r="C342" s="721" t="s">
        <v>25605</v>
      </c>
      <c r="D342" s="722" t="s">
        <v>25606</v>
      </c>
      <c r="E342" s="723">
        <v>34.9</v>
      </c>
      <c r="F342" s="723">
        <f t="shared" si="11"/>
        <v>34.9</v>
      </c>
      <c r="G342" s="724" t="s">
        <v>24800</v>
      </c>
      <c r="H342" s="725"/>
    </row>
    <row r="344" spans="2:8" ht="15.75" thickBot="1" x14ac:dyDescent="0.35"/>
    <row r="345" spans="2:8" x14ac:dyDescent="0.3">
      <c r="B345" s="1534" t="s">
        <v>25626</v>
      </c>
      <c r="C345" s="1535"/>
      <c r="D345" s="1535"/>
      <c r="E345" s="1535"/>
      <c r="F345" s="1535"/>
      <c r="G345" s="1535"/>
      <c r="H345" s="1536"/>
    </row>
    <row r="346" spans="2:8" x14ac:dyDescent="0.3">
      <c r="B346" s="697"/>
      <c r="C346" s="698"/>
      <c r="D346" s="698"/>
      <c r="E346" s="699"/>
      <c r="F346" s="699"/>
      <c r="G346" s="700"/>
      <c r="H346" s="701">
        <v>44043</v>
      </c>
    </row>
    <row r="347" spans="2:8" x14ac:dyDescent="0.3">
      <c r="B347" s="697"/>
      <c r="C347" s="698" t="s">
        <v>24790</v>
      </c>
      <c r="D347" s="698" t="s">
        <v>1</v>
      </c>
      <c r="E347" s="699" t="s">
        <v>456</v>
      </c>
      <c r="F347" s="699"/>
      <c r="G347" s="700" t="s">
        <v>24791</v>
      </c>
      <c r="H347" s="702" t="s">
        <v>24792</v>
      </c>
    </row>
    <row r="348" spans="2:8" x14ac:dyDescent="0.3">
      <c r="B348" s="703" t="s">
        <v>25627</v>
      </c>
      <c r="C348" s="838" t="s">
        <v>24793</v>
      </c>
      <c r="D348" s="704" t="s">
        <v>25628</v>
      </c>
      <c r="E348" s="705" t="s">
        <v>8</v>
      </c>
      <c r="F348" s="705"/>
      <c r="G348" s="462">
        <v>3</v>
      </c>
      <c r="H348" s="706">
        <f>(SUM(F352:F354))/3</f>
        <v>655.95</v>
      </c>
    </row>
    <row r="349" spans="2:8" x14ac:dyDescent="0.3">
      <c r="B349" s="707"/>
      <c r="C349" s="695"/>
      <c r="D349" s="695"/>
      <c r="E349" s="708"/>
      <c r="F349" s="708"/>
      <c r="G349" s="462" t="s">
        <v>24794</v>
      </c>
      <c r="H349" s="709" t="s">
        <v>24795</v>
      </c>
    </row>
    <row r="350" spans="2:8" x14ac:dyDescent="0.3">
      <c r="B350" s="707"/>
      <c r="C350" s="695"/>
      <c r="D350" s="695"/>
      <c r="E350" s="708"/>
      <c r="F350" s="708"/>
      <c r="G350" s="695"/>
      <c r="H350" s="710"/>
    </row>
    <row r="351" spans="2:8" x14ac:dyDescent="0.3">
      <c r="B351" s="711" t="s">
        <v>24796</v>
      </c>
      <c r="C351" s="712" t="s">
        <v>24797</v>
      </c>
      <c r="D351" s="712" t="s">
        <v>24798</v>
      </c>
      <c r="E351" s="713" t="s">
        <v>270</v>
      </c>
      <c r="F351" s="713" t="s">
        <v>24805</v>
      </c>
      <c r="G351" s="712" t="s">
        <v>24799</v>
      </c>
      <c r="H351" s="714" t="s">
        <v>4429</v>
      </c>
    </row>
    <row r="352" spans="2:8" x14ac:dyDescent="0.3">
      <c r="B352" s="715" t="s">
        <v>24848</v>
      </c>
      <c r="C352" s="716" t="s">
        <v>24908</v>
      </c>
      <c r="D352" s="462" t="s">
        <v>24850</v>
      </c>
      <c r="E352" s="717">
        <v>619.41999999999996</v>
      </c>
      <c r="F352" s="717">
        <f>E352/1</f>
        <v>619.41999999999996</v>
      </c>
      <c r="G352" s="716" t="s">
        <v>24800</v>
      </c>
      <c r="H352" s="718"/>
    </row>
    <row r="353" spans="2:8" x14ac:dyDescent="0.3">
      <c r="B353" s="715" t="s">
        <v>24835</v>
      </c>
      <c r="C353" s="716" t="s">
        <v>25472</v>
      </c>
      <c r="D353" s="462" t="s">
        <v>24826</v>
      </c>
      <c r="E353" s="719">
        <v>749</v>
      </c>
      <c r="F353" s="717">
        <f t="shared" ref="F353:F354" si="12">E353/1</f>
        <v>749</v>
      </c>
      <c r="G353" s="716" t="s">
        <v>24800</v>
      </c>
      <c r="H353" s="718"/>
    </row>
    <row r="354" spans="2:8" ht="15.75" thickBot="1" x14ac:dyDescent="0.35">
      <c r="B354" s="720" t="s">
        <v>25597</v>
      </c>
      <c r="C354" s="721" t="s">
        <v>25605</v>
      </c>
      <c r="D354" s="722" t="s">
        <v>25606</v>
      </c>
      <c r="E354" s="723">
        <v>599.44000000000005</v>
      </c>
      <c r="F354" s="723">
        <f t="shared" si="12"/>
        <v>599.44000000000005</v>
      </c>
      <c r="G354" s="724" t="s">
        <v>24800</v>
      </c>
      <c r="H354" s="725"/>
    </row>
    <row r="356" spans="2:8" ht="15.75" thickBot="1" x14ac:dyDescent="0.35"/>
    <row r="357" spans="2:8" x14ac:dyDescent="0.3">
      <c r="B357" s="1534" t="s">
        <v>25629</v>
      </c>
      <c r="C357" s="1535"/>
      <c r="D357" s="1535"/>
      <c r="E357" s="1535"/>
      <c r="F357" s="1535"/>
      <c r="G357" s="1535"/>
      <c r="H357" s="1536"/>
    </row>
    <row r="358" spans="2:8" x14ac:dyDescent="0.3">
      <c r="B358" s="697"/>
      <c r="C358" s="698"/>
      <c r="D358" s="698"/>
      <c r="E358" s="699"/>
      <c r="F358" s="699"/>
      <c r="G358" s="700"/>
      <c r="H358" s="701">
        <v>44043</v>
      </c>
    </row>
    <row r="359" spans="2:8" x14ac:dyDescent="0.3">
      <c r="B359" s="697"/>
      <c r="C359" s="698" t="s">
        <v>24790</v>
      </c>
      <c r="D359" s="698" t="s">
        <v>1</v>
      </c>
      <c r="E359" s="699" t="s">
        <v>456</v>
      </c>
      <c r="F359" s="699"/>
      <c r="G359" s="700" t="s">
        <v>24791</v>
      </c>
      <c r="H359" s="702" t="s">
        <v>24792</v>
      </c>
    </row>
    <row r="360" spans="2:8" x14ac:dyDescent="0.3">
      <c r="B360" s="703" t="s">
        <v>25630</v>
      </c>
      <c r="C360" s="838" t="s">
        <v>24793</v>
      </c>
      <c r="D360" s="704" t="s">
        <v>25204</v>
      </c>
      <c r="E360" s="705" t="s">
        <v>8</v>
      </c>
      <c r="F360" s="705"/>
      <c r="G360" s="462">
        <v>3</v>
      </c>
      <c r="H360" s="706">
        <f>(SUM(F364:F366))/3</f>
        <v>7.0000000000000007E-2</v>
      </c>
    </row>
    <row r="361" spans="2:8" x14ac:dyDescent="0.3">
      <c r="B361" s="707"/>
      <c r="C361" s="695"/>
      <c r="D361" s="695"/>
      <c r="E361" s="708"/>
      <c r="F361" s="708"/>
      <c r="G361" s="462" t="s">
        <v>24794</v>
      </c>
      <c r="H361" s="709" t="s">
        <v>24795</v>
      </c>
    </row>
    <row r="362" spans="2:8" x14ac:dyDescent="0.3">
      <c r="B362" s="707"/>
      <c r="C362" s="695"/>
      <c r="D362" s="695"/>
      <c r="E362" s="708"/>
      <c r="F362" s="708"/>
      <c r="G362" s="695"/>
      <c r="H362" s="710"/>
    </row>
    <row r="363" spans="2:8" x14ac:dyDescent="0.3">
      <c r="B363" s="711" t="s">
        <v>24796</v>
      </c>
      <c r="C363" s="712" t="s">
        <v>24797</v>
      </c>
      <c r="D363" s="712" t="s">
        <v>24798</v>
      </c>
      <c r="E363" s="713" t="s">
        <v>270</v>
      </c>
      <c r="F363" s="713" t="s">
        <v>24805</v>
      </c>
      <c r="G363" s="712" t="s">
        <v>24799</v>
      </c>
      <c r="H363" s="714" t="s">
        <v>4429</v>
      </c>
    </row>
    <row r="364" spans="2:8" x14ac:dyDescent="0.3">
      <c r="B364" s="715" t="s">
        <v>24902</v>
      </c>
      <c r="C364" s="716" t="s">
        <v>24825</v>
      </c>
      <c r="D364" s="462" t="s">
        <v>24904</v>
      </c>
      <c r="E364" s="717">
        <f>4.58/50</f>
        <v>0.09</v>
      </c>
      <c r="F364" s="717">
        <f>E364/1</f>
        <v>0.09</v>
      </c>
      <c r="G364" s="716" t="s">
        <v>24800</v>
      </c>
      <c r="H364" s="718"/>
    </row>
    <row r="365" spans="2:8" x14ac:dyDescent="0.3">
      <c r="B365" s="715" t="s">
        <v>25631</v>
      </c>
      <c r="C365" s="716" t="s">
        <v>25632</v>
      </c>
      <c r="D365" s="462" t="s">
        <v>25633</v>
      </c>
      <c r="E365" s="719">
        <f>58.69/1000</f>
        <v>0.06</v>
      </c>
      <c r="F365" s="717">
        <f t="shared" ref="F365:F366" si="13">E365/1</f>
        <v>0.06</v>
      </c>
      <c r="G365" s="716" t="s">
        <v>24800</v>
      </c>
      <c r="H365" s="718"/>
    </row>
    <row r="366" spans="2:8" ht="15.75" thickBot="1" x14ac:dyDescent="0.35">
      <c r="B366" s="720" t="s">
        <v>25634</v>
      </c>
      <c r="C366" s="721" t="s">
        <v>25635</v>
      </c>
      <c r="D366" s="722" t="s">
        <v>25636</v>
      </c>
      <c r="E366" s="723">
        <f>2.32/50</f>
        <v>0.05</v>
      </c>
      <c r="F366" s="723">
        <f t="shared" si="13"/>
        <v>0.05</v>
      </c>
      <c r="G366" s="724" t="s">
        <v>24800</v>
      </c>
      <c r="H366" s="725"/>
    </row>
    <row r="368" spans="2:8" ht="15.75" thickBot="1" x14ac:dyDescent="0.35"/>
    <row r="369" spans="2:8" x14ac:dyDescent="0.3">
      <c r="B369" s="1534" t="s">
        <v>25789</v>
      </c>
      <c r="C369" s="1535"/>
      <c r="D369" s="1535"/>
      <c r="E369" s="1535"/>
      <c r="F369" s="1535"/>
      <c r="G369" s="1535"/>
      <c r="H369" s="1536"/>
    </row>
    <row r="370" spans="2:8" x14ac:dyDescent="0.3">
      <c r="B370" s="697"/>
      <c r="C370" s="698"/>
      <c r="D370" s="698"/>
      <c r="E370" s="699"/>
      <c r="F370" s="699"/>
      <c r="G370" s="700"/>
      <c r="H370" s="701">
        <v>44043</v>
      </c>
    </row>
    <row r="371" spans="2:8" x14ac:dyDescent="0.3">
      <c r="B371" s="697"/>
      <c r="C371" s="698" t="s">
        <v>24790</v>
      </c>
      <c r="D371" s="698" t="s">
        <v>1</v>
      </c>
      <c r="E371" s="699" t="s">
        <v>456</v>
      </c>
      <c r="F371" s="699"/>
      <c r="G371" s="700" t="s">
        <v>24791</v>
      </c>
      <c r="H371" s="702" t="s">
        <v>24792</v>
      </c>
    </row>
    <row r="372" spans="2:8" x14ac:dyDescent="0.3">
      <c r="B372" s="703" t="s">
        <v>25790</v>
      </c>
      <c r="C372" s="1284" t="s">
        <v>24793</v>
      </c>
      <c r="D372" s="704" t="s">
        <v>25791</v>
      </c>
      <c r="E372" s="705" t="s">
        <v>8</v>
      </c>
      <c r="F372" s="705"/>
      <c r="G372" s="462">
        <v>3</v>
      </c>
      <c r="H372" s="706">
        <f>(SUM(F376:F378))/3</f>
        <v>2633.02</v>
      </c>
    </row>
    <row r="373" spans="2:8" x14ac:dyDescent="0.3">
      <c r="B373" s="707"/>
      <c r="C373" s="695"/>
      <c r="D373" s="695"/>
      <c r="E373" s="708"/>
      <c r="F373" s="708"/>
      <c r="G373" s="462" t="s">
        <v>24794</v>
      </c>
      <c r="H373" s="709" t="s">
        <v>24795</v>
      </c>
    </row>
    <row r="374" spans="2:8" x14ac:dyDescent="0.3">
      <c r="B374" s="707"/>
      <c r="C374" s="695"/>
      <c r="D374" s="695"/>
      <c r="E374" s="708"/>
      <c r="F374" s="708"/>
      <c r="G374" s="695"/>
      <c r="H374" s="710"/>
    </row>
    <row r="375" spans="2:8" x14ac:dyDescent="0.3">
      <c r="B375" s="711" t="s">
        <v>24796</v>
      </c>
      <c r="C375" s="712" t="s">
        <v>24797</v>
      </c>
      <c r="D375" s="712" t="s">
        <v>24798</v>
      </c>
      <c r="E375" s="713" t="s">
        <v>270</v>
      </c>
      <c r="F375" s="713" t="s">
        <v>24805</v>
      </c>
      <c r="G375" s="712" t="s">
        <v>24799</v>
      </c>
      <c r="H375" s="714" t="s">
        <v>4429</v>
      </c>
    </row>
    <row r="376" spans="2:8" x14ac:dyDescent="0.3">
      <c r="B376" s="715" t="s">
        <v>25792</v>
      </c>
      <c r="C376" s="716" t="s">
        <v>25793</v>
      </c>
      <c r="D376" s="462" t="s">
        <v>25794</v>
      </c>
      <c r="E376" s="717">
        <v>2527.56</v>
      </c>
      <c r="F376" s="717">
        <f>E376/1</f>
        <v>2527.56</v>
      </c>
      <c r="G376" s="716" t="s">
        <v>24800</v>
      </c>
      <c r="H376" s="718"/>
    </row>
    <row r="377" spans="2:8" ht="30" x14ac:dyDescent="0.3">
      <c r="B377" s="715" t="s">
        <v>25795</v>
      </c>
      <c r="C377" s="716" t="s">
        <v>25796</v>
      </c>
      <c r="D377" s="462" t="s">
        <v>25797</v>
      </c>
      <c r="E377" s="719">
        <v>2945.5</v>
      </c>
      <c r="F377" s="717">
        <f t="shared" ref="F377:F378" si="14">E377/1</f>
        <v>2945.5</v>
      </c>
      <c r="G377" s="716" t="s">
        <v>24800</v>
      </c>
      <c r="H377" s="718"/>
    </row>
    <row r="378" spans="2:8" ht="15.75" thickBot="1" x14ac:dyDescent="0.35">
      <c r="B378" s="720" t="s">
        <v>25736</v>
      </c>
      <c r="C378" s="721" t="s">
        <v>25737</v>
      </c>
      <c r="D378" s="722" t="s">
        <v>25738</v>
      </c>
      <c r="E378" s="723">
        <v>2426</v>
      </c>
      <c r="F378" s="723">
        <f t="shared" si="14"/>
        <v>2426</v>
      </c>
      <c r="G378" s="724" t="s">
        <v>24800</v>
      </c>
      <c r="H378" s="725"/>
    </row>
    <row r="379" spans="2:8" x14ac:dyDescent="0.3">
      <c r="B379" s="1226"/>
      <c r="C379" s="1227"/>
      <c r="D379" s="1227"/>
      <c r="E379" s="1227"/>
      <c r="F379" s="1227"/>
      <c r="G379" s="1227"/>
      <c r="H379" s="1228"/>
    </row>
    <row r="380" spans="2:8" x14ac:dyDescent="0.3">
      <c r="B380" s="1068"/>
      <c r="C380" s="1229"/>
      <c r="D380" s="1229"/>
      <c r="E380" s="1229"/>
      <c r="F380" s="1229"/>
      <c r="G380" s="1229"/>
      <c r="H380" s="1074"/>
    </row>
    <row r="381" spans="2:8" x14ac:dyDescent="0.3">
      <c r="B381" s="1068"/>
      <c r="C381" s="1229"/>
      <c r="D381" s="1229"/>
      <c r="E381" s="1229"/>
      <c r="F381" s="1229"/>
      <c r="G381" s="1229"/>
      <c r="H381" s="1074"/>
    </row>
    <row r="382" spans="2:8" x14ac:dyDescent="0.3">
      <c r="B382" s="1068"/>
      <c r="C382" s="1229"/>
      <c r="D382" s="1229"/>
      <c r="E382" s="1229"/>
      <c r="F382" s="1229"/>
      <c r="G382" s="1229"/>
      <c r="H382" s="1074"/>
    </row>
    <row r="383" spans="2:8" x14ac:dyDescent="0.3">
      <c r="B383" s="1168"/>
      <c r="C383" s="1344"/>
      <c r="D383" s="1345" t="s">
        <v>25173</v>
      </c>
      <c r="E383" s="1345"/>
      <c r="F383" s="1345"/>
      <c r="G383" s="1345"/>
      <c r="H383" s="1169"/>
    </row>
    <row r="384" spans="2:8" x14ac:dyDescent="0.3">
      <c r="B384" s="1068"/>
      <c r="C384" s="1229"/>
      <c r="D384" s="1346" t="s">
        <v>24941</v>
      </c>
      <c r="E384" s="1346"/>
      <c r="F384" s="1346"/>
      <c r="G384" s="1346"/>
      <c r="H384" s="1074"/>
    </row>
    <row r="385" spans="2:8" ht="15.75" thickBot="1" x14ac:dyDescent="0.35">
      <c r="B385" s="1077"/>
      <c r="C385" s="1170"/>
      <c r="D385" s="1343" t="s">
        <v>25449</v>
      </c>
      <c r="E385" s="1343"/>
      <c r="F385" s="1343"/>
      <c r="G385" s="1343"/>
      <c r="H385" s="1082"/>
    </row>
  </sheetData>
  <mergeCells count="31">
    <mergeCell ref="B2:J2"/>
    <mergeCell ref="B369:H369"/>
    <mergeCell ref="B98:G98"/>
    <mergeCell ref="B13:G13"/>
    <mergeCell ref="B24:G24"/>
    <mergeCell ref="B36:H36"/>
    <mergeCell ref="B49:H49"/>
    <mergeCell ref="B61:G61"/>
    <mergeCell ref="B74:G74"/>
    <mergeCell ref="B86:G86"/>
    <mergeCell ref="B248:H248"/>
    <mergeCell ref="B110:G110"/>
    <mergeCell ref="B122:G122"/>
    <mergeCell ref="B134:G134"/>
    <mergeCell ref="B146:G146"/>
    <mergeCell ref="B158:G158"/>
    <mergeCell ref="B170:G170"/>
    <mergeCell ref="B184:G184"/>
    <mergeCell ref="B196:H196"/>
    <mergeCell ref="B209:H209"/>
    <mergeCell ref="B222:H222"/>
    <mergeCell ref="B236:H236"/>
    <mergeCell ref="B357:H357"/>
    <mergeCell ref="B260:H260"/>
    <mergeCell ref="B272:H272"/>
    <mergeCell ref="B284:H284"/>
    <mergeCell ref="B321:H321"/>
    <mergeCell ref="B333:H333"/>
    <mergeCell ref="B345:H345"/>
    <mergeCell ref="B296:H296"/>
    <mergeCell ref="B308:H308"/>
  </mergeCells>
  <pageMargins left="0.511811024" right="0.511811024" top="0.78740157499999996" bottom="0.78740157499999996" header="0.31496062000000002" footer="0.31496062000000002"/>
  <pageSetup paperSize="9" scale="54" fitToHeight="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09E8B8-80F9-4079-96E5-12CD267E9C4B}">
  <sheetPr>
    <pageSetUpPr fitToPage="1"/>
  </sheetPr>
  <dimension ref="B1:F36"/>
  <sheetViews>
    <sheetView topLeftCell="A13" workbookViewId="0"/>
  </sheetViews>
  <sheetFormatPr defaultRowHeight="12.75" x14ac:dyDescent="0.2"/>
  <cols>
    <col min="1" max="1" width="11" style="372" bestFit="1" customWidth="1"/>
    <col min="2" max="2" width="40.42578125" style="372" customWidth="1"/>
    <col min="3" max="3" width="11.7109375" style="373" customWidth="1"/>
    <col min="4" max="4" width="3" style="372" customWidth="1"/>
    <col min="5" max="5" width="11" style="372" bestFit="1" customWidth="1"/>
    <col min="6" max="6" width="34.42578125" style="372" customWidth="1"/>
    <col min="7" max="256" width="9.140625" style="372"/>
    <col min="257" max="257" width="11" style="372" bestFit="1" customWidth="1"/>
    <col min="258" max="258" width="40.42578125" style="372" customWidth="1"/>
    <col min="259" max="259" width="11.7109375" style="372" customWidth="1"/>
    <col min="260" max="260" width="3.140625" style="372" bestFit="1" customWidth="1"/>
    <col min="261" max="261" width="11" style="372" bestFit="1" customWidth="1"/>
    <col min="262" max="262" width="34.42578125" style="372" customWidth="1"/>
    <col min="263" max="512" width="9.140625" style="372"/>
    <col min="513" max="513" width="11" style="372" bestFit="1" customWidth="1"/>
    <col min="514" max="514" width="40.42578125" style="372" customWidth="1"/>
    <col min="515" max="515" width="11.7109375" style="372" customWidth="1"/>
    <col min="516" max="516" width="3.140625" style="372" bestFit="1" customWidth="1"/>
    <col min="517" max="517" width="11" style="372" bestFit="1" customWidth="1"/>
    <col min="518" max="518" width="34.42578125" style="372" customWidth="1"/>
    <col min="519" max="768" width="9.140625" style="372"/>
    <col min="769" max="769" width="11" style="372" bestFit="1" customWidth="1"/>
    <col min="770" max="770" width="40.42578125" style="372" customWidth="1"/>
    <col min="771" max="771" width="11.7109375" style="372" customWidth="1"/>
    <col min="772" max="772" width="3.140625" style="372" bestFit="1" customWidth="1"/>
    <col min="773" max="773" width="11" style="372" bestFit="1" customWidth="1"/>
    <col min="774" max="774" width="34.42578125" style="372" customWidth="1"/>
    <col min="775" max="1024" width="9.140625" style="372"/>
    <col min="1025" max="1025" width="11" style="372" bestFit="1" customWidth="1"/>
    <col min="1026" max="1026" width="40.42578125" style="372" customWidth="1"/>
    <col min="1027" max="1027" width="11.7109375" style="372" customWidth="1"/>
    <col min="1028" max="1028" width="3.140625" style="372" bestFit="1" customWidth="1"/>
    <col min="1029" max="1029" width="11" style="372" bestFit="1" customWidth="1"/>
    <col min="1030" max="1030" width="34.42578125" style="372" customWidth="1"/>
    <col min="1031" max="1280" width="9.140625" style="372"/>
    <col min="1281" max="1281" width="11" style="372" bestFit="1" customWidth="1"/>
    <col min="1282" max="1282" width="40.42578125" style="372" customWidth="1"/>
    <col min="1283" max="1283" width="11.7109375" style="372" customWidth="1"/>
    <col min="1284" max="1284" width="3.140625" style="372" bestFit="1" customWidth="1"/>
    <col min="1285" max="1285" width="11" style="372" bestFit="1" customWidth="1"/>
    <col min="1286" max="1286" width="34.42578125" style="372" customWidth="1"/>
    <col min="1287" max="1536" width="9.140625" style="372"/>
    <col min="1537" max="1537" width="11" style="372" bestFit="1" customWidth="1"/>
    <col min="1538" max="1538" width="40.42578125" style="372" customWidth="1"/>
    <col min="1539" max="1539" width="11.7109375" style="372" customWidth="1"/>
    <col min="1540" max="1540" width="3.140625" style="372" bestFit="1" customWidth="1"/>
    <col min="1541" max="1541" width="11" style="372" bestFit="1" customWidth="1"/>
    <col min="1542" max="1542" width="34.42578125" style="372" customWidth="1"/>
    <col min="1543" max="1792" width="9.140625" style="372"/>
    <col min="1793" max="1793" width="11" style="372" bestFit="1" customWidth="1"/>
    <col min="1794" max="1794" width="40.42578125" style="372" customWidth="1"/>
    <col min="1795" max="1795" width="11.7109375" style="372" customWidth="1"/>
    <col min="1796" max="1796" width="3.140625" style="372" bestFit="1" customWidth="1"/>
    <col min="1797" max="1797" width="11" style="372" bestFit="1" customWidth="1"/>
    <col min="1798" max="1798" width="34.42578125" style="372" customWidth="1"/>
    <col min="1799" max="2048" width="9.140625" style="372"/>
    <col min="2049" max="2049" width="11" style="372" bestFit="1" customWidth="1"/>
    <col min="2050" max="2050" width="40.42578125" style="372" customWidth="1"/>
    <col min="2051" max="2051" width="11.7109375" style="372" customWidth="1"/>
    <col min="2052" max="2052" width="3.140625" style="372" bestFit="1" customWidth="1"/>
    <col min="2053" max="2053" width="11" style="372" bestFit="1" customWidth="1"/>
    <col min="2054" max="2054" width="34.42578125" style="372" customWidth="1"/>
    <col min="2055" max="2304" width="9.140625" style="372"/>
    <col min="2305" max="2305" width="11" style="372" bestFit="1" customWidth="1"/>
    <col min="2306" max="2306" width="40.42578125" style="372" customWidth="1"/>
    <col min="2307" max="2307" width="11.7109375" style="372" customWidth="1"/>
    <col min="2308" max="2308" width="3.140625" style="372" bestFit="1" customWidth="1"/>
    <col min="2309" max="2309" width="11" style="372" bestFit="1" customWidth="1"/>
    <col min="2310" max="2310" width="34.42578125" style="372" customWidth="1"/>
    <col min="2311" max="2560" width="9.140625" style="372"/>
    <col min="2561" max="2561" width="11" style="372" bestFit="1" customWidth="1"/>
    <col min="2562" max="2562" width="40.42578125" style="372" customWidth="1"/>
    <col min="2563" max="2563" width="11.7109375" style="372" customWidth="1"/>
    <col min="2564" max="2564" width="3.140625" style="372" bestFit="1" customWidth="1"/>
    <col min="2565" max="2565" width="11" style="372" bestFit="1" customWidth="1"/>
    <col min="2566" max="2566" width="34.42578125" style="372" customWidth="1"/>
    <col min="2567" max="2816" width="9.140625" style="372"/>
    <col min="2817" max="2817" width="11" style="372" bestFit="1" customWidth="1"/>
    <col min="2818" max="2818" width="40.42578125" style="372" customWidth="1"/>
    <col min="2819" max="2819" width="11.7109375" style="372" customWidth="1"/>
    <col min="2820" max="2820" width="3.140625" style="372" bestFit="1" customWidth="1"/>
    <col min="2821" max="2821" width="11" style="372" bestFit="1" customWidth="1"/>
    <col min="2822" max="2822" width="34.42578125" style="372" customWidth="1"/>
    <col min="2823" max="3072" width="9.140625" style="372"/>
    <col min="3073" max="3073" width="11" style="372" bestFit="1" customWidth="1"/>
    <col min="3074" max="3074" width="40.42578125" style="372" customWidth="1"/>
    <col min="3075" max="3075" width="11.7109375" style="372" customWidth="1"/>
    <col min="3076" max="3076" width="3.140625" style="372" bestFit="1" customWidth="1"/>
    <col min="3077" max="3077" width="11" style="372" bestFit="1" customWidth="1"/>
    <col min="3078" max="3078" width="34.42578125" style="372" customWidth="1"/>
    <col min="3079" max="3328" width="9.140625" style="372"/>
    <col min="3329" max="3329" width="11" style="372" bestFit="1" customWidth="1"/>
    <col min="3330" max="3330" width="40.42578125" style="372" customWidth="1"/>
    <col min="3331" max="3331" width="11.7109375" style="372" customWidth="1"/>
    <col min="3332" max="3332" width="3.140625" style="372" bestFit="1" customWidth="1"/>
    <col min="3333" max="3333" width="11" style="372" bestFit="1" customWidth="1"/>
    <col min="3334" max="3334" width="34.42578125" style="372" customWidth="1"/>
    <col min="3335" max="3584" width="9.140625" style="372"/>
    <col min="3585" max="3585" width="11" style="372" bestFit="1" customWidth="1"/>
    <col min="3586" max="3586" width="40.42578125" style="372" customWidth="1"/>
    <col min="3587" max="3587" width="11.7109375" style="372" customWidth="1"/>
    <col min="3588" max="3588" width="3.140625" style="372" bestFit="1" customWidth="1"/>
    <col min="3589" max="3589" width="11" style="372" bestFit="1" customWidth="1"/>
    <col min="3590" max="3590" width="34.42578125" style="372" customWidth="1"/>
    <col min="3591" max="3840" width="9.140625" style="372"/>
    <col min="3841" max="3841" width="11" style="372" bestFit="1" customWidth="1"/>
    <col min="3842" max="3842" width="40.42578125" style="372" customWidth="1"/>
    <col min="3843" max="3843" width="11.7109375" style="372" customWidth="1"/>
    <col min="3844" max="3844" width="3.140625" style="372" bestFit="1" customWidth="1"/>
    <col min="3845" max="3845" width="11" style="372" bestFit="1" customWidth="1"/>
    <col min="3846" max="3846" width="34.42578125" style="372" customWidth="1"/>
    <col min="3847" max="4096" width="9.140625" style="372"/>
    <col min="4097" max="4097" width="11" style="372" bestFit="1" customWidth="1"/>
    <col min="4098" max="4098" width="40.42578125" style="372" customWidth="1"/>
    <col min="4099" max="4099" width="11.7109375" style="372" customWidth="1"/>
    <col min="4100" max="4100" width="3.140625" style="372" bestFit="1" customWidth="1"/>
    <col min="4101" max="4101" width="11" style="372" bestFit="1" customWidth="1"/>
    <col min="4102" max="4102" width="34.42578125" style="372" customWidth="1"/>
    <col min="4103" max="4352" width="9.140625" style="372"/>
    <col min="4353" max="4353" width="11" style="372" bestFit="1" customWidth="1"/>
    <col min="4354" max="4354" width="40.42578125" style="372" customWidth="1"/>
    <col min="4355" max="4355" width="11.7109375" style="372" customWidth="1"/>
    <col min="4356" max="4356" width="3.140625" style="372" bestFit="1" customWidth="1"/>
    <col min="4357" max="4357" width="11" style="372" bestFit="1" customWidth="1"/>
    <col min="4358" max="4358" width="34.42578125" style="372" customWidth="1"/>
    <col min="4359" max="4608" width="9.140625" style="372"/>
    <col min="4609" max="4609" width="11" style="372" bestFit="1" customWidth="1"/>
    <col min="4610" max="4610" width="40.42578125" style="372" customWidth="1"/>
    <col min="4611" max="4611" width="11.7109375" style="372" customWidth="1"/>
    <col min="4612" max="4612" width="3.140625" style="372" bestFit="1" customWidth="1"/>
    <col min="4613" max="4613" width="11" style="372" bestFit="1" customWidth="1"/>
    <col min="4614" max="4614" width="34.42578125" style="372" customWidth="1"/>
    <col min="4615" max="4864" width="9.140625" style="372"/>
    <col min="4865" max="4865" width="11" style="372" bestFit="1" customWidth="1"/>
    <col min="4866" max="4866" width="40.42578125" style="372" customWidth="1"/>
    <col min="4867" max="4867" width="11.7109375" style="372" customWidth="1"/>
    <col min="4868" max="4868" width="3.140625" style="372" bestFit="1" customWidth="1"/>
    <col min="4869" max="4869" width="11" style="372" bestFit="1" customWidth="1"/>
    <col min="4870" max="4870" width="34.42578125" style="372" customWidth="1"/>
    <col min="4871" max="5120" width="9.140625" style="372"/>
    <col min="5121" max="5121" width="11" style="372" bestFit="1" customWidth="1"/>
    <col min="5122" max="5122" width="40.42578125" style="372" customWidth="1"/>
    <col min="5123" max="5123" width="11.7109375" style="372" customWidth="1"/>
    <col min="5124" max="5124" width="3.140625" style="372" bestFit="1" customWidth="1"/>
    <col min="5125" max="5125" width="11" style="372" bestFit="1" customWidth="1"/>
    <col min="5126" max="5126" width="34.42578125" style="372" customWidth="1"/>
    <col min="5127" max="5376" width="9.140625" style="372"/>
    <col min="5377" max="5377" width="11" style="372" bestFit="1" customWidth="1"/>
    <col min="5378" max="5378" width="40.42578125" style="372" customWidth="1"/>
    <col min="5379" max="5379" width="11.7109375" style="372" customWidth="1"/>
    <col min="5380" max="5380" width="3.140625" style="372" bestFit="1" customWidth="1"/>
    <col min="5381" max="5381" width="11" style="372" bestFit="1" customWidth="1"/>
    <col min="5382" max="5382" width="34.42578125" style="372" customWidth="1"/>
    <col min="5383" max="5632" width="9.140625" style="372"/>
    <col min="5633" max="5633" width="11" style="372" bestFit="1" customWidth="1"/>
    <col min="5634" max="5634" width="40.42578125" style="372" customWidth="1"/>
    <col min="5635" max="5635" width="11.7109375" style="372" customWidth="1"/>
    <col min="5636" max="5636" width="3.140625" style="372" bestFit="1" customWidth="1"/>
    <col min="5637" max="5637" width="11" style="372" bestFit="1" customWidth="1"/>
    <col min="5638" max="5638" width="34.42578125" style="372" customWidth="1"/>
    <col min="5639" max="5888" width="9.140625" style="372"/>
    <col min="5889" max="5889" width="11" style="372" bestFit="1" customWidth="1"/>
    <col min="5890" max="5890" width="40.42578125" style="372" customWidth="1"/>
    <col min="5891" max="5891" width="11.7109375" style="372" customWidth="1"/>
    <col min="5892" max="5892" width="3.140625" style="372" bestFit="1" customWidth="1"/>
    <col min="5893" max="5893" width="11" style="372" bestFit="1" customWidth="1"/>
    <col min="5894" max="5894" width="34.42578125" style="372" customWidth="1"/>
    <col min="5895" max="6144" width="9.140625" style="372"/>
    <col min="6145" max="6145" width="11" style="372" bestFit="1" customWidth="1"/>
    <col min="6146" max="6146" width="40.42578125" style="372" customWidth="1"/>
    <col min="6147" max="6147" width="11.7109375" style="372" customWidth="1"/>
    <col min="6148" max="6148" width="3.140625" style="372" bestFit="1" customWidth="1"/>
    <col min="6149" max="6149" width="11" style="372" bestFit="1" customWidth="1"/>
    <col min="6150" max="6150" width="34.42578125" style="372" customWidth="1"/>
    <col min="6151" max="6400" width="9.140625" style="372"/>
    <col min="6401" max="6401" width="11" style="372" bestFit="1" customWidth="1"/>
    <col min="6402" max="6402" width="40.42578125" style="372" customWidth="1"/>
    <col min="6403" max="6403" width="11.7109375" style="372" customWidth="1"/>
    <col min="6404" max="6404" width="3.140625" style="372" bestFit="1" customWidth="1"/>
    <col min="6405" max="6405" width="11" style="372" bestFit="1" customWidth="1"/>
    <col min="6406" max="6406" width="34.42578125" style="372" customWidth="1"/>
    <col min="6407" max="6656" width="9.140625" style="372"/>
    <col min="6657" max="6657" width="11" style="372" bestFit="1" customWidth="1"/>
    <col min="6658" max="6658" width="40.42578125" style="372" customWidth="1"/>
    <col min="6659" max="6659" width="11.7109375" style="372" customWidth="1"/>
    <col min="6660" max="6660" width="3.140625" style="372" bestFit="1" customWidth="1"/>
    <col min="6661" max="6661" width="11" style="372" bestFit="1" customWidth="1"/>
    <col min="6662" max="6662" width="34.42578125" style="372" customWidth="1"/>
    <col min="6663" max="6912" width="9.140625" style="372"/>
    <col min="6913" max="6913" width="11" style="372" bestFit="1" customWidth="1"/>
    <col min="6914" max="6914" width="40.42578125" style="372" customWidth="1"/>
    <col min="6915" max="6915" width="11.7109375" style="372" customWidth="1"/>
    <col min="6916" max="6916" width="3.140625" style="372" bestFit="1" customWidth="1"/>
    <col min="6917" max="6917" width="11" style="372" bestFit="1" customWidth="1"/>
    <col min="6918" max="6918" width="34.42578125" style="372" customWidth="1"/>
    <col min="6919" max="7168" width="9.140625" style="372"/>
    <col min="7169" max="7169" width="11" style="372" bestFit="1" customWidth="1"/>
    <col min="7170" max="7170" width="40.42578125" style="372" customWidth="1"/>
    <col min="7171" max="7171" width="11.7109375" style="372" customWidth="1"/>
    <col min="7172" max="7172" width="3.140625" style="372" bestFit="1" customWidth="1"/>
    <col min="7173" max="7173" width="11" style="372" bestFit="1" customWidth="1"/>
    <col min="7174" max="7174" width="34.42578125" style="372" customWidth="1"/>
    <col min="7175" max="7424" width="9.140625" style="372"/>
    <col min="7425" max="7425" width="11" style="372" bestFit="1" customWidth="1"/>
    <col min="7426" max="7426" width="40.42578125" style="372" customWidth="1"/>
    <col min="7427" max="7427" width="11.7109375" style="372" customWidth="1"/>
    <col min="7428" max="7428" width="3.140625" style="372" bestFit="1" customWidth="1"/>
    <col min="7429" max="7429" width="11" style="372" bestFit="1" customWidth="1"/>
    <col min="7430" max="7430" width="34.42578125" style="372" customWidth="1"/>
    <col min="7431" max="7680" width="9.140625" style="372"/>
    <col min="7681" max="7681" width="11" style="372" bestFit="1" customWidth="1"/>
    <col min="7682" max="7682" width="40.42578125" style="372" customWidth="1"/>
    <col min="7683" max="7683" width="11.7109375" style="372" customWidth="1"/>
    <col min="7684" max="7684" width="3.140625" style="372" bestFit="1" customWidth="1"/>
    <col min="7685" max="7685" width="11" style="372" bestFit="1" customWidth="1"/>
    <col min="7686" max="7686" width="34.42578125" style="372" customWidth="1"/>
    <col min="7687" max="7936" width="9.140625" style="372"/>
    <col min="7937" max="7937" width="11" style="372" bestFit="1" customWidth="1"/>
    <col min="7938" max="7938" width="40.42578125" style="372" customWidth="1"/>
    <col min="7939" max="7939" width="11.7109375" style="372" customWidth="1"/>
    <col min="7940" max="7940" width="3.140625" style="372" bestFit="1" customWidth="1"/>
    <col min="7941" max="7941" width="11" style="372" bestFit="1" customWidth="1"/>
    <col min="7942" max="7942" width="34.42578125" style="372" customWidth="1"/>
    <col min="7943" max="8192" width="9.140625" style="372"/>
    <col min="8193" max="8193" width="11" style="372" bestFit="1" customWidth="1"/>
    <col min="8194" max="8194" width="40.42578125" style="372" customWidth="1"/>
    <col min="8195" max="8195" width="11.7109375" style="372" customWidth="1"/>
    <col min="8196" max="8196" width="3.140625" style="372" bestFit="1" customWidth="1"/>
    <col min="8197" max="8197" width="11" style="372" bestFit="1" customWidth="1"/>
    <col min="8198" max="8198" width="34.42578125" style="372" customWidth="1"/>
    <col min="8199" max="8448" width="9.140625" style="372"/>
    <col min="8449" max="8449" width="11" style="372" bestFit="1" customWidth="1"/>
    <col min="8450" max="8450" width="40.42578125" style="372" customWidth="1"/>
    <col min="8451" max="8451" width="11.7109375" style="372" customWidth="1"/>
    <col min="8452" max="8452" width="3.140625" style="372" bestFit="1" customWidth="1"/>
    <col min="8453" max="8453" width="11" style="372" bestFit="1" customWidth="1"/>
    <col min="8454" max="8454" width="34.42578125" style="372" customWidth="1"/>
    <col min="8455" max="8704" width="9.140625" style="372"/>
    <col min="8705" max="8705" width="11" style="372" bestFit="1" customWidth="1"/>
    <col min="8706" max="8706" width="40.42578125" style="372" customWidth="1"/>
    <col min="8707" max="8707" width="11.7109375" style="372" customWidth="1"/>
    <col min="8708" max="8708" width="3.140625" style="372" bestFit="1" customWidth="1"/>
    <col min="8709" max="8709" width="11" style="372" bestFit="1" customWidth="1"/>
    <col min="8710" max="8710" width="34.42578125" style="372" customWidth="1"/>
    <col min="8711" max="8960" width="9.140625" style="372"/>
    <col min="8961" max="8961" width="11" style="372" bestFit="1" customWidth="1"/>
    <col min="8962" max="8962" width="40.42578125" style="372" customWidth="1"/>
    <col min="8963" max="8963" width="11.7109375" style="372" customWidth="1"/>
    <col min="8964" max="8964" width="3.140625" style="372" bestFit="1" customWidth="1"/>
    <col min="8965" max="8965" width="11" style="372" bestFit="1" customWidth="1"/>
    <col min="8966" max="8966" width="34.42578125" style="372" customWidth="1"/>
    <col min="8967" max="9216" width="9.140625" style="372"/>
    <col min="9217" max="9217" width="11" style="372" bestFit="1" customWidth="1"/>
    <col min="9218" max="9218" width="40.42578125" style="372" customWidth="1"/>
    <col min="9219" max="9219" width="11.7109375" style="372" customWidth="1"/>
    <col min="9220" max="9220" width="3.140625" style="372" bestFit="1" customWidth="1"/>
    <col min="9221" max="9221" width="11" style="372" bestFit="1" customWidth="1"/>
    <col min="9222" max="9222" width="34.42578125" style="372" customWidth="1"/>
    <col min="9223" max="9472" width="9.140625" style="372"/>
    <col min="9473" max="9473" width="11" style="372" bestFit="1" customWidth="1"/>
    <col min="9474" max="9474" width="40.42578125" style="372" customWidth="1"/>
    <col min="9475" max="9475" width="11.7109375" style="372" customWidth="1"/>
    <col min="9476" max="9476" width="3.140625" style="372" bestFit="1" customWidth="1"/>
    <col min="9477" max="9477" width="11" style="372" bestFit="1" customWidth="1"/>
    <col min="9478" max="9478" width="34.42578125" style="372" customWidth="1"/>
    <col min="9479" max="9728" width="9.140625" style="372"/>
    <col min="9729" max="9729" width="11" style="372" bestFit="1" customWidth="1"/>
    <col min="9730" max="9730" width="40.42578125" style="372" customWidth="1"/>
    <col min="9731" max="9731" width="11.7109375" style="372" customWidth="1"/>
    <col min="9732" max="9732" width="3.140625" style="372" bestFit="1" customWidth="1"/>
    <col min="9733" max="9733" width="11" style="372" bestFit="1" customWidth="1"/>
    <col min="9734" max="9734" width="34.42578125" style="372" customWidth="1"/>
    <col min="9735" max="9984" width="9.140625" style="372"/>
    <col min="9985" max="9985" width="11" style="372" bestFit="1" customWidth="1"/>
    <col min="9986" max="9986" width="40.42578125" style="372" customWidth="1"/>
    <col min="9987" max="9987" width="11.7109375" style="372" customWidth="1"/>
    <col min="9988" max="9988" width="3.140625" style="372" bestFit="1" customWidth="1"/>
    <col min="9989" max="9989" width="11" style="372" bestFit="1" customWidth="1"/>
    <col min="9990" max="9990" width="34.42578125" style="372" customWidth="1"/>
    <col min="9991" max="10240" width="9.140625" style="372"/>
    <col min="10241" max="10241" width="11" style="372" bestFit="1" customWidth="1"/>
    <col min="10242" max="10242" width="40.42578125" style="372" customWidth="1"/>
    <col min="10243" max="10243" width="11.7109375" style="372" customWidth="1"/>
    <col min="10244" max="10244" width="3.140625" style="372" bestFit="1" customWidth="1"/>
    <col min="10245" max="10245" width="11" style="372" bestFit="1" customWidth="1"/>
    <col min="10246" max="10246" width="34.42578125" style="372" customWidth="1"/>
    <col min="10247" max="10496" width="9.140625" style="372"/>
    <col min="10497" max="10497" width="11" style="372" bestFit="1" customWidth="1"/>
    <col min="10498" max="10498" width="40.42578125" style="372" customWidth="1"/>
    <col min="10499" max="10499" width="11.7109375" style="372" customWidth="1"/>
    <col min="10500" max="10500" width="3.140625" style="372" bestFit="1" customWidth="1"/>
    <col min="10501" max="10501" width="11" style="372" bestFit="1" customWidth="1"/>
    <col min="10502" max="10502" width="34.42578125" style="372" customWidth="1"/>
    <col min="10503" max="10752" width="9.140625" style="372"/>
    <col min="10753" max="10753" width="11" style="372" bestFit="1" customWidth="1"/>
    <col min="10754" max="10754" width="40.42578125" style="372" customWidth="1"/>
    <col min="10755" max="10755" width="11.7109375" style="372" customWidth="1"/>
    <col min="10756" max="10756" width="3.140625" style="372" bestFit="1" customWidth="1"/>
    <col min="10757" max="10757" width="11" style="372" bestFit="1" customWidth="1"/>
    <col min="10758" max="10758" width="34.42578125" style="372" customWidth="1"/>
    <col min="10759" max="11008" width="9.140625" style="372"/>
    <col min="11009" max="11009" width="11" style="372" bestFit="1" customWidth="1"/>
    <col min="11010" max="11010" width="40.42578125" style="372" customWidth="1"/>
    <col min="11011" max="11011" width="11.7109375" style="372" customWidth="1"/>
    <col min="11012" max="11012" width="3.140625" style="372" bestFit="1" customWidth="1"/>
    <col min="11013" max="11013" width="11" style="372" bestFit="1" customWidth="1"/>
    <col min="11014" max="11014" width="34.42578125" style="372" customWidth="1"/>
    <col min="11015" max="11264" width="9.140625" style="372"/>
    <col min="11265" max="11265" width="11" style="372" bestFit="1" customWidth="1"/>
    <col min="11266" max="11266" width="40.42578125" style="372" customWidth="1"/>
    <col min="11267" max="11267" width="11.7109375" style="372" customWidth="1"/>
    <col min="11268" max="11268" width="3.140625" style="372" bestFit="1" customWidth="1"/>
    <col min="11269" max="11269" width="11" style="372" bestFit="1" customWidth="1"/>
    <col min="11270" max="11270" width="34.42578125" style="372" customWidth="1"/>
    <col min="11271" max="11520" width="9.140625" style="372"/>
    <col min="11521" max="11521" width="11" style="372" bestFit="1" customWidth="1"/>
    <col min="11522" max="11522" width="40.42578125" style="372" customWidth="1"/>
    <col min="11523" max="11523" width="11.7109375" style="372" customWidth="1"/>
    <col min="11524" max="11524" width="3.140625" style="372" bestFit="1" customWidth="1"/>
    <col min="11525" max="11525" width="11" style="372" bestFit="1" customWidth="1"/>
    <col min="11526" max="11526" width="34.42578125" style="372" customWidth="1"/>
    <col min="11527" max="11776" width="9.140625" style="372"/>
    <col min="11777" max="11777" width="11" style="372" bestFit="1" customWidth="1"/>
    <col min="11778" max="11778" width="40.42578125" style="372" customWidth="1"/>
    <col min="11779" max="11779" width="11.7109375" style="372" customWidth="1"/>
    <col min="11780" max="11780" width="3.140625" style="372" bestFit="1" customWidth="1"/>
    <col min="11781" max="11781" width="11" style="372" bestFit="1" customWidth="1"/>
    <col min="11782" max="11782" width="34.42578125" style="372" customWidth="1"/>
    <col min="11783" max="12032" width="9.140625" style="372"/>
    <col min="12033" max="12033" width="11" style="372" bestFit="1" customWidth="1"/>
    <col min="12034" max="12034" width="40.42578125" style="372" customWidth="1"/>
    <col min="12035" max="12035" width="11.7109375" style="372" customWidth="1"/>
    <col min="12036" max="12036" width="3.140625" style="372" bestFit="1" customWidth="1"/>
    <col min="12037" max="12037" width="11" style="372" bestFit="1" customWidth="1"/>
    <col min="12038" max="12038" width="34.42578125" style="372" customWidth="1"/>
    <col min="12039" max="12288" width="9.140625" style="372"/>
    <col min="12289" max="12289" width="11" style="372" bestFit="1" customWidth="1"/>
    <col min="12290" max="12290" width="40.42578125" style="372" customWidth="1"/>
    <col min="12291" max="12291" width="11.7109375" style="372" customWidth="1"/>
    <col min="12292" max="12292" width="3.140625" style="372" bestFit="1" customWidth="1"/>
    <col min="12293" max="12293" width="11" style="372" bestFit="1" customWidth="1"/>
    <col min="12294" max="12294" width="34.42578125" style="372" customWidth="1"/>
    <col min="12295" max="12544" width="9.140625" style="372"/>
    <col min="12545" max="12545" width="11" style="372" bestFit="1" customWidth="1"/>
    <col min="12546" max="12546" width="40.42578125" style="372" customWidth="1"/>
    <col min="12547" max="12547" width="11.7109375" style="372" customWidth="1"/>
    <col min="12548" max="12548" width="3.140625" style="372" bestFit="1" customWidth="1"/>
    <col min="12549" max="12549" width="11" style="372" bestFit="1" customWidth="1"/>
    <col min="12550" max="12550" width="34.42578125" style="372" customWidth="1"/>
    <col min="12551" max="12800" width="9.140625" style="372"/>
    <col min="12801" max="12801" width="11" style="372" bestFit="1" customWidth="1"/>
    <col min="12802" max="12802" width="40.42578125" style="372" customWidth="1"/>
    <col min="12803" max="12803" width="11.7109375" style="372" customWidth="1"/>
    <col min="12804" max="12804" width="3.140625" style="372" bestFit="1" customWidth="1"/>
    <col min="12805" max="12805" width="11" style="372" bestFit="1" customWidth="1"/>
    <col min="12806" max="12806" width="34.42578125" style="372" customWidth="1"/>
    <col min="12807" max="13056" width="9.140625" style="372"/>
    <col min="13057" max="13057" width="11" style="372" bestFit="1" customWidth="1"/>
    <col min="13058" max="13058" width="40.42578125" style="372" customWidth="1"/>
    <col min="13059" max="13059" width="11.7109375" style="372" customWidth="1"/>
    <col min="13060" max="13060" width="3.140625" style="372" bestFit="1" customWidth="1"/>
    <col min="13061" max="13061" width="11" style="372" bestFit="1" customWidth="1"/>
    <col min="13062" max="13062" width="34.42578125" style="372" customWidth="1"/>
    <col min="13063" max="13312" width="9.140625" style="372"/>
    <col min="13313" max="13313" width="11" style="372" bestFit="1" customWidth="1"/>
    <col min="13314" max="13314" width="40.42578125" style="372" customWidth="1"/>
    <col min="13315" max="13315" width="11.7109375" style="372" customWidth="1"/>
    <col min="13316" max="13316" width="3.140625" style="372" bestFit="1" customWidth="1"/>
    <col min="13317" max="13317" width="11" style="372" bestFit="1" customWidth="1"/>
    <col min="13318" max="13318" width="34.42578125" style="372" customWidth="1"/>
    <col min="13319" max="13568" width="9.140625" style="372"/>
    <col min="13569" max="13569" width="11" style="372" bestFit="1" customWidth="1"/>
    <col min="13570" max="13570" width="40.42578125" style="372" customWidth="1"/>
    <col min="13571" max="13571" width="11.7109375" style="372" customWidth="1"/>
    <col min="13572" max="13572" width="3.140625" style="372" bestFit="1" customWidth="1"/>
    <col min="13573" max="13573" width="11" style="372" bestFit="1" customWidth="1"/>
    <col min="13574" max="13574" width="34.42578125" style="372" customWidth="1"/>
    <col min="13575" max="13824" width="9.140625" style="372"/>
    <col min="13825" max="13825" width="11" style="372" bestFit="1" customWidth="1"/>
    <col min="13826" max="13826" width="40.42578125" style="372" customWidth="1"/>
    <col min="13827" max="13827" width="11.7109375" style="372" customWidth="1"/>
    <col min="13828" max="13828" width="3.140625" style="372" bestFit="1" customWidth="1"/>
    <col min="13829" max="13829" width="11" style="372" bestFit="1" customWidth="1"/>
    <col min="13830" max="13830" width="34.42578125" style="372" customWidth="1"/>
    <col min="13831" max="14080" width="9.140625" style="372"/>
    <col min="14081" max="14081" width="11" style="372" bestFit="1" customWidth="1"/>
    <col min="14082" max="14082" width="40.42578125" style="372" customWidth="1"/>
    <col min="14083" max="14083" width="11.7109375" style="372" customWidth="1"/>
    <col min="14084" max="14084" width="3.140625" style="372" bestFit="1" customWidth="1"/>
    <col min="14085" max="14085" width="11" style="372" bestFit="1" customWidth="1"/>
    <col min="14086" max="14086" width="34.42578125" style="372" customWidth="1"/>
    <col min="14087" max="14336" width="9.140625" style="372"/>
    <col min="14337" max="14337" width="11" style="372" bestFit="1" customWidth="1"/>
    <col min="14338" max="14338" width="40.42578125" style="372" customWidth="1"/>
    <col min="14339" max="14339" width="11.7109375" style="372" customWidth="1"/>
    <col min="14340" max="14340" width="3.140625" style="372" bestFit="1" customWidth="1"/>
    <col min="14341" max="14341" width="11" style="372" bestFit="1" customWidth="1"/>
    <col min="14342" max="14342" width="34.42578125" style="372" customWidth="1"/>
    <col min="14343" max="14592" width="9.140625" style="372"/>
    <col min="14593" max="14593" width="11" style="372" bestFit="1" customWidth="1"/>
    <col min="14594" max="14594" width="40.42578125" style="372" customWidth="1"/>
    <col min="14595" max="14595" width="11.7109375" style="372" customWidth="1"/>
    <col min="14596" max="14596" width="3.140625" style="372" bestFit="1" customWidth="1"/>
    <col min="14597" max="14597" width="11" style="372" bestFit="1" customWidth="1"/>
    <col min="14598" max="14598" width="34.42578125" style="372" customWidth="1"/>
    <col min="14599" max="14848" width="9.140625" style="372"/>
    <col min="14849" max="14849" width="11" style="372" bestFit="1" customWidth="1"/>
    <col min="14850" max="14850" width="40.42578125" style="372" customWidth="1"/>
    <col min="14851" max="14851" width="11.7109375" style="372" customWidth="1"/>
    <col min="14852" max="14852" width="3.140625" style="372" bestFit="1" customWidth="1"/>
    <col min="14853" max="14853" width="11" style="372" bestFit="1" customWidth="1"/>
    <col min="14854" max="14854" width="34.42578125" style="372" customWidth="1"/>
    <col min="14855" max="15104" width="9.140625" style="372"/>
    <col min="15105" max="15105" width="11" style="372" bestFit="1" customWidth="1"/>
    <col min="15106" max="15106" width="40.42578125" style="372" customWidth="1"/>
    <col min="15107" max="15107" width="11.7109375" style="372" customWidth="1"/>
    <col min="15108" max="15108" width="3.140625" style="372" bestFit="1" customWidth="1"/>
    <col min="15109" max="15109" width="11" style="372" bestFit="1" customWidth="1"/>
    <col min="15110" max="15110" width="34.42578125" style="372" customWidth="1"/>
    <col min="15111" max="15360" width="9.140625" style="372"/>
    <col min="15361" max="15361" width="11" style="372" bestFit="1" customWidth="1"/>
    <col min="15362" max="15362" width="40.42578125" style="372" customWidth="1"/>
    <col min="15363" max="15363" width="11.7109375" style="372" customWidth="1"/>
    <col min="15364" max="15364" width="3.140625" style="372" bestFit="1" customWidth="1"/>
    <col min="15365" max="15365" width="11" style="372" bestFit="1" customWidth="1"/>
    <col min="15366" max="15366" width="34.42578125" style="372" customWidth="1"/>
    <col min="15367" max="15616" width="9.140625" style="372"/>
    <col min="15617" max="15617" width="11" style="372" bestFit="1" customWidth="1"/>
    <col min="15618" max="15618" width="40.42578125" style="372" customWidth="1"/>
    <col min="15619" max="15619" width="11.7109375" style="372" customWidth="1"/>
    <col min="15620" max="15620" width="3.140625" style="372" bestFit="1" customWidth="1"/>
    <col min="15621" max="15621" width="11" style="372" bestFit="1" customWidth="1"/>
    <col min="15622" max="15622" width="34.42578125" style="372" customWidth="1"/>
    <col min="15623" max="15872" width="9.140625" style="372"/>
    <col min="15873" max="15873" width="11" style="372" bestFit="1" customWidth="1"/>
    <col min="15874" max="15874" width="40.42578125" style="372" customWidth="1"/>
    <col min="15875" max="15875" width="11.7109375" style="372" customWidth="1"/>
    <col min="15876" max="15876" width="3.140625" style="372" bestFit="1" customWidth="1"/>
    <col min="15877" max="15877" width="11" style="372" bestFit="1" customWidth="1"/>
    <col min="15878" max="15878" width="34.42578125" style="372" customWidth="1"/>
    <col min="15879" max="16128" width="9.140625" style="372"/>
    <col min="16129" max="16129" width="11" style="372" bestFit="1" customWidth="1"/>
    <col min="16130" max="16130" width="40.42578125" style="372" customWidth="1"/>
    <col min="16131" max="16131" width="11.7109375" style="372" customWidth="1"/>
    <col min="16132" max="16132" width="3.140625" style="372" bestFit="1" customWidth="1"/>
    <col min="16133" max="16133" width="11" style="372" bestFit="1" customWidth="1"/>
    <col min="16134" max="16134" width="34.42578125" style="372" customWidth="1"/>
    <col min="16135" max="16384" width="9.140625" style="372"/>
  </cols>
  <sheetData>
    <row r="1" spans="2:6" x14ac:dyDescent="0.2">
      <c r="C1" s="372"/>
    </row>
    <row r="2" spans="2:6" ht="13.5" thickBot="1" x14ac:dyDescent="0.25">
      <c r="C2" s="372"/>
    </row>
    <row r="3" spans="2:6" ht="15" customHeight="1" thickBot="1" x14ac:dyDescent="0.25">
      <c r="B3" s="1647" t="s">
        <v>24942</v>
      </c>
      <c r="C3" s="1648"/>
      <c r="D3" s="1648"/>
      <c r="E3" s="1648"/>
      <c r="F3" s="1649"/>
    </row>
    <row r="4" spans="2:6" x14ac:dyDescent="0.2">
      <c r="B4" s="744"/>
      <c r="C4" s="745"/>
      <c r="D4" s="745"/>
      <c r="E4" s="745"/>
      <c r="F4" s="746"/>
    </row>
    <row r="5" spans="2:6" x14ac:dyDescent="0.2">
      <c r="B5" s="744"/>
      <c r="C5" s="745"/>
      <c r="D5" s="745"/>
      <c r="E5" s="745"/>
      <c r="F5" s="746"/>
    </row>
    <row r="6" spans="2:6" x14ac:dyDescent="0.2">
      <c r="B6" s="744"/>
      <c r="C6" s="745"/>
      <c r="D6" s="745"/>
      <c r="E6" s="745"/>
      <c r="F6" s="746"/>
    </row>
    <row r="7" spans="2:6" x14ac:dyDescent="0.2">
      <c r="B7" s="744"/>
      <c r="C7" s="745"/>
      <c r="D7" s="745"/>
      <c r="E7" s="745"/>
      <c r="F7" s="746"/>
    </row>
    <row r="8" spans="2:6" x14ac:dyDescent="0.2">
      <c r="B8" s="744"/>
      <c r="C8" s="747"/>
      <c r="D8" s="745"/>
      <c r="E8" s="745"/>
      <c r="F8" s="746"/>
    </row>
    <row r="9" spans="2:6" x14ac:dyDescent="0.2">
      <c r="B9" s="744"/>
      <c r="C9" s="747"/>
      <c r="D9" s="745"/>
      <c r="E9" s="745"/>
      <c r="F9" s="746"/>
    </row>
    <row r="10" spans="2:6" x14ac:dyDescent="0.2">
      <c r="B10" s="744"/>
      <c r="C10" s="747"/>
      <c r="D10" s="745"/>
      <c r="E10" s="745"/>
      <c r="F10" s="746"/>
    </row>
    <row r="11" spans="2:6" x14ac:dyDescent="0.2">
      <c r="B11" s="744"/>
      <c r="C11" s="747"/>
      <c r="D11" s="745"/>
      <c r="E11" s="745"/>
      <c r="F11" s="746"/>
    </row>
    <row r="12" spans="2:6" x14ac:dyDescent="0.2">
      <c r="B12" s="744"/>
      <c r="C12" s="747"/>
      <c r="D12" s="745"/>
      <c r="E12" s="745"/>
      <c r="F12" s="746"/>
    </row>
    <row r="13" spans="2:6" x14ac:dyDescent="0.2">
      <c r="B13" s="744"/>
      <c r="C13" s="747"/>
      <c r="D13" s="745"/>
      <c r="E13" s="745"/>
      <c r="F13" s="746"/>
    </row>
    <row r="14" spans="2:6" x14ac:dyDescent="0.2">
      <c r="B14" s="744"/>
      <c r="C14" s="747"/>
      <c r="D14" s="745"/>
      <c r="E14" s="745"/>
      <c r="F14" s="746"/>
    </row>
    <row r="15" spans="2:6" x14ac:dyDescent="0.2">
      <c r="B15" s="744"/>
      <c r="C15" s="747"/>
      <c r="D15" s="745"/>
      <c r="E15" s="745"/>
      <c r="F15" s="746"/>
    </row>
    <row r="16" spans="2:6" x14ac:dyDescent="0.2">
      <c r="B16" s="744"/>
      <c r="C16" s="747"/>
      <c r="D16" s="745"/>
      <c r="E16" s="745"/>
      <c r="F16" s="746"/>
    </row>
    <row r="17" spans="2:6" x14ac:dyDescent="0.2">
      <c r="B17" s="744"/>
      <c r="C17" s="747"/>
      <c r="D17" s="745"/>
      <c r="E17" s="745"/>
      <c r="F17" s="746"/>
    </row>
    <row r="18" spans="2:6" x14ac:dyDescent="0.2">
      <c r="B18" s="744"/>
      <c r="C18" s="747"/>
      <c r="D18" s="745"/>
      <c r="E18" s="745"/>
      <c r="F18" s="746"/>
    </row>
    <row r="19" spans="2:6" x14ac:dyDescent="0.2">
      <c r="B19" s="744"/>
      <c r="C19" s="747"/>
      <c r="D19" s="745"/>
      <c r="E19" s="745"/>
      <c r="F19" s="746"/>
    </row>
    <row r="20" spans="2:6" x14ac:dyDescent="0.2">
      <c r="B20" s="744"/>
      <c r="C20" s="747"/>
      <c r="D20" s="745"/>
      <c r="E20" s="745"/>
      <c r="F20" s="746"/>
    </row>
    <row r="21" spans="2:6" x14ac:dyDescent="0.2">
      <c r="B21" s="744"/>
      <c r="C21" s="747"/>
      <c r="D21" s="745"/>
      <c r="E21" s="745"/>
      <c r="F21" s="746"/>
    </row>
    <row r="22" spans="2:6" x14ac:dyDescent="0.2">
      <c r="B22" s="744"/>
      <c r="C22" s="747"/>
      <c r="D22" s="745"/>
      <c r="E22" s="745"/>
      <c r="F22" s="746"/>
    </row>
    <row r="23" spans="2:6" x14ac:dyDescent="0.2">
      <c r="B23" s="744"/>
      <c r="C23" s="747"/>
      <c r="D23" s="745"/>
      <c r="E23" s="745"/>
      <c r="F23" s="746"/>
    </row>
    <row r="24" spans="2:6" x14ac:dyDescent="0.2">
      <c r="B24" s="744"/>
      <c r="C24" s="747"/>
      <c r="D24" s="745"/>
      <c r="E24" s="745"/>
      <c r="F24" s="746"/>
    </row>
    <row r="25" spans="2:6" x14ac:dyDescent="0.2">
      <c r="B25" s="744"/>
      <c r="C25" s="747"/>
      <c r="D25" s="745"/>
      <c r="E25" s="745"/>
      <c r="F25" s="746"/>
    </row>
    <row r="26" spans="2:6" x14ac:dyDescent="0.2">
      <c r="B26" s="744"/>
      <c r="C26" s="747"/>
      <c r="D26" s="745"/>
      <c r="E26" s="745"/>
      <c r="F26" s="746"/>
    </row>
    <row r="27" spans="2:6" x14ac:dyDescent="0.2">
      <c r="B27" s="744"/>
      <c r="C27" s="747"/>
      <c r="D27" s="745"/>
      <c r="E27" s="745"/>
      <c r="F27" s="746"/>
    </row>
    <row r="28" spans="2:6" x14ac:dyDescent="0.2">
      <c r="B28" s="744"/>
      <c r="C28" s="747"/>
      <c r="D28" s="745"/>
      <c r="E28" s="745"/>
      <c r="F28" s="746"/>
    </row>
    <row r="29" spans="2:6" x14ac:dyDescent="0.2">
      <c r="B29" s="744"/>
      <c r="C29" s="747"/>
      <c r="D29" s="745"/>
      <c r="E29" s="745"/>
      <c r="F29" s="746"/>
    </row>
    <row r="30" spans="2:6" x14ac:dyDescent="0.2">
      <c r="B30" s="744"/>
      <c r="C30" s="747"/>
      <c r="D30" s="745"/>
      <c r="E30" s="745"/>
      <c r="F30" s="746"/>
    </row>
    <row r="31" spans="2:6" x14ac:dyDescent="0.2">
      <c r="B31" s="744"/>
      <c r="C31" s="747"/>
      <c r="D31" s="745"/>
      <c r="E31" s="745"/>
      <c r="F31" s="746"/>
    </row>
    <row r="32" spans="2:6" x14ac:dyDescent="0.2">
      <c r="B32" s="744"/>
      <c r="C32" s="747"/>
      <c r="D32" s="745"/>
      <c r="E32" s="745"/>
      <c r="F32" s="746"/>
    </row>
    <row r="33" spans="2:6" x14ac:dyDescent="0.2">
      <c r="B33" s="744"/>
      <c r="C33" s="747"/>
      <c r="D33" s="745"/>
      <c r="E33" s="745"/>
      <c r="F33" s="746"/>
    </row>
    <row r="34" spans="2:6" x14ac:dyDescent="0.2">
      <c r="B34" s="744"/>
      <c r="C34" s="747"/>
      <c r="D34" s="745"/>
      <c r="E34" s="745"/>
      <c r="F34" s="746"/>
    </row>
    <row r="35" spans="2:6" x14ac:dyDescent="0.2">
      <c r="B35" s="744"/>
      <c r="C35" s="747"/>
      <c r="D35" s="745"/>
      <c r="E35" s="745"/>
      <c r="F35" s="746"/>
    </row>
    <row r="36" spans="2:6" ht="13.5" thickBot="1" x14ac:dyDescent="0.25">
      <c r="B36" s="748"/>
      <c r="C36" s="749"/>
      <c r="D36" s="750"/>
      <c r="E36" s="750"/>
      <c r="F36" s="751"/>
    </row>
  </sheetData>
  <mergeCells count="1">
    <mergeCell ref="B3:F3"/>
  </mergeCells>
  <dataValidations disablePrompts="1" count="4">
    <dataValidation type="list" allowBlank="1" showInputMessage="1" showErrorMessage="1" sqref="B65496 IX65496 ST65496 ACP65496 AML65496 AWH65496 BGD65496 BPZ65496 BZV65496 CJR65496 CTN65496 DDJ65496 DNF65496 DXB65496 EGX65496 EQT65496 FAP65496 FKL65496 FUH65496 GED65496 GNZ65496 GXV65496 HHR65496 HRN65496 IBJ65496 ILF65496 IVB65496 JEX65496 JOT65496 JYP65496 KIL65496 KSH65496 LCD65496 LLZ65496 LVV65496 MFR65496 MPN65496 MZJ65496 NJF65496 NTB65496 OCX65496 OMT65496 OWP65496 PGL65496 PQH65496 QAD65496 QJZ65496 QTV65496 RDR65496 RNN65496 RXJ65496 SHF65496 SRB65496 TAX65496 TKT65496 TUP65496 UEL65496 UOH65496 UYD65496 VHZ65496 VRV65496 WBR65496 WLN65496 WVJ65496 B131032 IX131032 ST131032 ACP131032 AML131032 AWH131032 BGD131032 BPZ131032 BZV131032 CJR131032 CTN131032 DDJ131032 DNF131032 DXB131032 EGX131032 EQT131032 FAP131032 FKL131032 FUH131032 GED131032 GNZ131032 GXV131032 HHR131032 HRN131032 IBJ131032 ILF131032 IVB131032 JEX131032 JOT131032 JYP131032 KIL131032 KSH131032 LCD131032 LLZ131032 LVV131032 MFR131032 MPN131032 MZJ131032 NJF131032 NTB131032 OCX131032 OMT131032 OWP131032 PGL131032 PQH131032 QAD131032 QJZ131032 QTV131032 RDR131032 RNN131032 RXJ131032 SHF131032 SRB131032 TAX131032 TKT131032 TUP131032 UEL131032 UOH131032 UYD131032 VHZ131032 VRV131032 WBR131032 WLN131032 WVJ131032 B196568 IX196568 ST196568 ACP196568 AML196568 AWH196568 BGD196568 BPZ196568 BZV196568 CJR196568 CTN196568 DDJ196568 DNF196568 DXB196568 EGX196568 EQT196568 FAP196568 FKL196568 FUH196568 GED196568 GNZ196568 GXV196568 HHR196568 HRN196568 IBJ196568 ILF196568 IVB196568 JEX196568 JOT196568 JYP196568 KIL196568 KSH196568 LCD196568 LLZ196568 LVV196568 MFR196568 MPN196568 MZJ196568 NJF196568 NTB196568 OCX196568 OMT196568 OWP196568 PGL196568 PQH196568 QAD196568 QJZ196568 QTV196568 RDR196568 RNN196568 RXJ196568 SHF196568 SRB196568 TAX196568 TKT196568 TUP196568 UEL196568 UOH196568 UYD196568 VHZ196568 VRV196568 WBR196568 WLN196568 WVJ196568 B262104 IX262104 ST262104 ACP262104 AML262104 AWH262104 BGD262104 BPZ262104 BZV262104 CJR262104 CTN262104 DDJ262104 DNF262104 DXB262104 EGX262104 EQT262104 FAP262104 FKL262104 FUH262104 GED262104 GNZ262104 GXV262104 HHR262104 HRN262104 IBJ262104 ILF262104 IVB262104 JEX262104 JOT262104 JYP262104 KIL262104 KSH262104 LCD262104 LLZ262104 LVV262104 MFR262104 MPN262104 MZJ262104 NJF262104 NTB262104 OCX262104 OMT262104 OWP262104 PGL262104 PQH262104 QAD262104 QJZ262104 QTV262104 RDR262104 RNN262104 RXJ262104 SHF262104 SRB262104 TAX262104 TKT262104 TUP262104 UEL262104 UOH262104 UYD262104 VHZ262104 VRV262104 WBR262104 WLN262104 WVJ262104 B327640 IX327640 ST327640 ACP327640 AML327640 AWH327640 BGD327640 BPZ327640 BZV327640 CJR327640 CTN327640 DDJ327640 DNF327640 DXB327640 EGX327640 EQT327640 FAP327640 FKL327640 FUH327640 GED327640 GNZ327640 GXV327640 HHR327640 HRN327640 IBJ327640 ILF327640 IVB327640 JEX327640 JOT327640 JYP327640 KIL327640 KSH327640 LCD327640 LLZ327640 LVV327640 MFR327640 MPN327640 MZJ327640 NJF327640 NTB327640 OCX327640 OMT327640 OWP327640 PGL327640 PQH327640 QAD327640 QJZ327640 QTV327640 RDR327640 RNN327640 RXJ327640 SHF327640 SRB327640 TAX327640 TKT327640 TUP327640 UEL327640 UOH327640 UYD327640 VHZ327640 VRV327640 WBR327640 WLN327640 WVJ327640 B393176 IX393176 ST393176 ACP393176 AML393176 AWH393176 BGD393176 BPZ393176 BZV393176 CJR393176 CTN393176 DDJ393176 DNF393176 DXB393176 EGX393176 EQT393176 FAP393176 FKL393176 FUH393176 GED393176 GNZ393176 GXV393176 HHR393176 HRN393176 IBJ393176 ILF393176 IVB393176 JEX393176 JOT393176 JYP393176 KIL393176 KSH393176 LCD393176 LLZ393176 LVV393176 MFR393176 MPN393176 MZJ393176 NJF393176 NTB393176 OCX393176 OMT393176 OWP393176 PGL393176 PQH393176 QAD393176 QJZ393176 QTV393176 RDR393176 RNN393176 RXJ393176 SHF393176 SRB393176 TAX393176 TKT393176 TUP393176 UEL393176 UOH393176 UYD393176 VHZ393176 VRV393176 WBR393176 WLN393176 WVJ393176 B458712 IX458712 ST458712 ACP458712 AML458712 AWH458712 BGD458712 BPZ458712 BZV458712 CJR458712 CTN458712 DDJ458712 DNF458712 DXB458712 EGX458712 EQT458712 FAP458712 FKL458712 FUH458712 GED458712 GNZ458712 GXV458712 HHR458712 HRN458712 IBJ458712 ILF458712 IVB458712 JEX458712 JOT458712 JYP458712 KIL458712 KSH458712 LCD458712 LLZ458712 LVV458712 MFR458712 MPN458712 MZJ458712 NJF458712 NTB458712 OCX458712 OMT458712 OWP458712 PGL458712 PQH458712 QAD458712 QJZ458712 QTV458712 RDR458712 RNN458712 RXJ458712 SHF458712 SRB458712 TAX458712 TKT458712 TUP458712 UEL458712 UOH458712 UYD458712 VHZ458712 VRV458712 WBR458712 WLN458712 WVJ458712 B524248 IX524248 ST524248 ACP524248 AML524248 AWH524248 BGD524248 BPZ524248 BZV524248 CJR524248 CTN524248 DDJ524248 DNF524248 DXB524248 EGX524248 EQT524248 FAP524248 FKL524248 FUH524248 GED524248 GNZ524248 GXV524248 HHR524248 HRN524248 IBJ524248 ILF524248 IVB524248 JEX524248 JOT524248 JYP524248 KIL524248 KSH524248 LCD524248 LLZ524248 LVV524248 MFR524248 MPN524248 MZJ524248 NJF524248 NTB524248 OCX524248 OMT524248 OWP524248 PGL524248 PQH524248 QAD524248 QJZ524248 QTV524248 RDR524248 RNN524248 RXJ524248 SHF524248 SRB524248 TAX524248 TKT524248 TUP524248 UEL524248 UOH524248 UYD524248 VHZ524248 VRV524248 WBR524248 WLN524248 WVJ524248 B589784 IX589784 ST589784 ACP589784 AML589784 AWH589784 BGD589784 BPZ589784 BZV589784 CJR589784 CTN589784 DDJ589784 DNF589784 DXB589784 EGX589784 EQT589784 FAP589784 FKL589784 FUH589784 GED589784 GNZ589784 GXV589784 HHR589784 HRN589784 IBJ589784 ILF589784 IVB589784 JEX589784 JOT589784 JYP589784 KIL589784 KSH589784 LCD589784 LLZ589784 LVV589784 MFR589784 MPN589784 MZJ589784 NJF589784 NTB589784 OCX589784 OMT589784 OWP589784 PGL589784 PQH589784 QAD589784 QJZ589784 QTV589784 RDR589784 RNN589784 RXJ589784 SHF589784 SRB589784 TAX589784 TKT589784 TUP589784 UEL589784 UOH589784 UYD589784 VHZ589784 VRV589784 WBR589784 WLN589784 WVJ589784 B655320 IX655320 ST655320 ACP655320 AML655320 AWH655320 BGD655320 BPZ655320 BZV655320 CJR655320 CTN655320 DDJ655320 DNF655320 DXB655320 EGX655320 EQT655320 FAP655320 FKL655320 FUH655320 GED655320 GNZ655320 GXV655320 HHR655320 HRN655320 IBJ655320 ILF655320 IVB655320 JEX655320 JOT655320 JYP655320 KIL655320 KSH655320 LCD655320 LLZ655320 LVV655320 MFR655320 MPN655320 MZJ655320 NJF655320 NTB655320 OCX655320 OMT655320 OWP655320 PGL655320 PQH655320 QAD655320 QJZ655320 QTV655320 RDR655320 RNN655320 RXJ655320 SHF655320 SRB655320 TAX655320 TKT655320 TUP655320 UEL655320 UOH655320 UYD655320 VHZ655320 VRV655320 WBR655320 WLN655320 WVJ655320 B720856 IX720856 ST720856 ACP720856 AML720856 AWH720856 BGD720856 BPZ720856 BZV720856 CJR720856 CTN720856 DDJ720856 DNF720856 DXB720856 EGX720856 EQT720856 FAP720856 FKL720856 FUH720856 GED720856 GNZ720856 GXV720856 HHR720856 HRN720856 IBJ720856 ILF720856 IVB720856 JEX720856 JOT720856 JYP720856 KIL720856 KSH720856 LCD720856 LLZ720856 LVV720856 MFR720856 MPN720856 MZJ720856 NJF720856 NTB720856 OCX720856 OMT720856 OWP720856 PGL720856 PQH720856 QAD720856 QJZ720856 QTV720856 RDR720856 RNN720856 RXJ720856 SHF720856 SRB720856 TAX720856 TKT720856 TUP720856 UEL720856 UOH720856 UYD720856 VHZ720856 VRV720856 WBR720856 WLN720856 WVJ720856 B786392 IX786392 ST786392 ACP786392 AML786392 AWH786392 BGD786392 BPZ786392 BZV786392 CJR786392 CTN786392 DDJ786392 DNF786392 DXB786392 EGX786392 EQT786392 FAP786392 FKL786392 FUH786392 GED786392 GNZ786392 GXV786392 HHR786392 HRN786392 IBJ786392 ILF786392 IVB786392 JEX786392 JOT786392 JYP786392 KIL786392 KSH786392 LCD786392 LLZ786392 LVV786392 MFR786392 MPN786392 MZJ786392 NJF786392 NTB786392 OCX786392 OMT786392 OWP786392 PGL786392 PQH786392 QAD786392 QJZ786392 QTV786392 RDR786392 RNN786392 RXJ786392 SHF786392 SRB786392 TAX786392 TKT786392 TUP786392 UEL786392 UOH786392 UYD786392 VHZ786392 VRV786392 WBR786392 WLN786392 WVJ786392 B851928 IX851928 ST851928 ACP851928 AML851928 AWH851928 BGD851928 BPZ851928 BZV851928 CJR851928 CTN851928 DDJ851928 DNF851928 DXB851928 EGX851928 EQT851928 FAP851928 FKL851928 FUH851928 GED851928 GNZ851928 GXV851928 HHR851928 HRN851928 IBJ851928 ILF851928 IVB851928 JEX851928 JOT851928 JYP851928 KIL851928 KSH851928 LCD851928 LLZ851928 LVV851928 MFR851928 MPN851928 MZJ851928 NJF851928 NTB851928 OCX851928 OMT851928 OWP851928 PGL851928 PQH851928 QAD851928 QJZ851928 QTV851928 RDR851928 RNN851928 RXJ851928 SHF851928 SRB851928 TAX851928 TKT851928 TUP851928 UEL851928 UOH851928 UYD851928 VHZ851928 VRV851928 WBR851928 WLN851928 WVJ851928 B917464 IX917464 ST917464 ACP917464 AML917464 AWH917464 BGD917464 BPZ917464 BZV917464 CJR917464 CTN917464 DDJ917464 DNF917464 DXB917464 EGX917464 EQT917464 FAP917464 FKL917464 FUH917464 GED917464 GNZ917464 GXV917464 HHR917464 HRN917464 IBJ917464 ILF917464 IVB917464 JEX917464 JOT917464 JYP917464 KIL917464 KSH917464 LCD917464 LLZ917464 LVV917464 MFR917464 MPN917464 MZJ917464 NJF917464 NTB917464 OCX917464 OMT917464 OWP917464 PGL917464 PQH917464 QAD917464 QJZ917464 QTV917464 RDR917464 RNN917464 RXJ917464 SHF917464 SRB917464 TAX917464 TKT917464 TUP917464 UEL917464 UOH917464 UYD917464 VHZ917464 VRV917464 WBR917464 WLN917464 WVJ917464 B983000 IX983000 ST983000 ACP983000 AML983000 AWH983000 BGD983000 BPZ983000 BZV983000 CJR983000 CTN983000 DDJ983000 DNF983000 DXB983000 EGX983000 EQT983000 FAP983000 FKL983000 FUH983000 GED983000 GNZ983000 GXV983000 HHR983000 HRN983000 IBJ983000 ILF983000 IVB983000 JEX983000 JOT983000 JYP983000 KIL983000 KSH983000 LCD983000 LLZ983000 LVV983000 MFR983000 MPN983000 MZJ983000 NJF983000 NTB983000 OCX983000 OMT983000 OWP983000 PGL983000 PQH983000 QAD983000 QJZ983000 QTV983000 RDR983000 RNN983000 RXJ983000 SHF983000 SRB983000 TAX983000 TKT983000 TUP983000 UEL983000 UOH983000 UYD983000 VHZ983000 VRV983000 WBR983000 WLN983000 WVJ983000" xr:uid="{CECE60E4-A783-48F3-821F-CCA4933F6B43}">
      <formula1>"Edificações, Fornecimento de Materiais e Equipamentos, Redes de Água, Esgoto ou Correlatas, Rodovias e Ferrovias, Portuárias, Marítimas e Fluviais,"</formula1>
    </dataValidation>
    <dataValidation type="list" allowBlank="1" showInputMessage="1" showErrorMessage="1" sqref="B65492 IX65492 ST65492 ACP65492 AML65492 AWH65492 BGD65492 BPZ65492 BZV65492 CJR65492 CTN65492 DDJ65492 DNF65492 DXB65492 EGX65492 EQT65492 FAP65492 FKL65492 FUH65492 GED65492 GNZ65492 GXV65492 HHR65492 HRN65492 IBJ65492 ILF65492 IVB65492 JEX65492 JOT65492 JYP65492 KIL65492 KSH65492 LCD65492 LLZ65492 LVV65492 MFR65492 MPN65492 MZJ65492 NJF65492 NTB65492 OCX65492 OMT65492 OWP65492 PGL65492 PQH65492 QAD65492 QJZ65492 QTV65492 RDR65492 RNN65492 RXJ65492 SHF65492 SRB65492 TAX65492 TKT65492 TUP65492 UEL65492 UOH65492 UYD65492 VHZ65492 VRV65492 WBR65492 WLN65492 WVJ65492 B131028 IX131028 ST131028 ACP131028 AML131028 AWH131028 BGD131028 BPZ131028 BZV131028 CJR131028 CTN131028 DDJ131028 DNF131028 DXB131028 EGX131028 EQT131028 FAP131028 FKL131028 FUH131028 GED131028 GNZ131028 GXV131028 HHR131028 HRN131028 IBJ131028 ILF131028 IVB131028 JEX131028 JOT131028 JYP131028 KIL131028 KSH131028 LCD131028 LLZ131028 LVV131028 MFR131028 MPN131028 MZJ131028 NJF131028 NTB131028 OCX131028 OMT131028 OWP131028 PGL131028 PQH131028 QAD131028 QJZ131028 QTV131028 RDR131028 RNN131028 RXJ131028 SHF131028 SRB131028 TAX131028 TKT131028 TUP131028 UEL131028 UOH131028 UYD131028 VHZ131028 VRV131028 WBR131028 WLN131028 WVJ131028 B196564 IX196564 ST196564 ACP196564 AML196564 AWH196564 BGD196564 BPZ196564 BZV196564 CJR196564 CTN196564 DDJ196564 DNF196564 DXB196564 EGX196564 EQT196564 FAP196564 FKL196564 FUH196564 GED196564 GNZ196564 GXV196564 HHR196564 HRN196564 IBJ196564 ILF196564 IVB196564 JEX196564 JOT196564 JYP196564 KIL196564 KSH196564 LCD196564 LLZ196564 LVV196564 MFR196564 MPN196564 MZJ196564 NJF196564 NTB196564 OCX196564 OMT196564 OWP196564 PGL196564 PQH196564 QAD196564 QJZ196564 QTV196564 RDR196564 RNN196564 RXJ196564 SHF196564 SRB196564 TAX196564 TKT196564 TUP196564 UEL196564 UOH196564 UYD196564 VHZ196564 VRV196564 WBR196564 WLN196564 WVJ196564 B262100 IX262100 ST262100 ACP262100 AML262100 AWH262100 BGD262100 BPZ262100 BZV262100 CJR262100 CTN262100 DDJ262100 DNF262100 DXB262100 EGX262100 EQT262100 FAP262100 FKL262100 FUH262100 GED262100 GNZ262100 GXV262100 HHR262100 HRN262100 IBJ262100 ILF262100 IVB262100 JEX262100 JOT262100 JYP262100 KIL262100 KSH262100 LCD262100 LLZ262100 LVV262100 MFR262100 MPN262100 MZJ262100 NJF262100 NTB262100 OCX262100 OMT262100 OWP262100 PGL262100 PQH262100 QAD262100 QJZ262100 QTV262100 RDR262100 RNN262100 RXJ262100 SHF262100 SRB262100 TAX262100 TKT262100 TUP262100 UEL262100 UOH262100 UYD262100 VHZ262100 VRV262100 WBR262100 WLN262100 WVJ262100 B327636 IX327636 ST327636 ACP327636 AML327636 AWH327636 BGD327636 BPZ327636 BZV327636 CJR327636 CTN327636 DDJ327636 DNF327636 DXB327636 EGX327636 EQT327636 FAP327636 FKL327636 FUH327636 GED327636 GNZ327636 GXV327636 HHR327636 HRN327636 IBJ327636 ILF327636 IVB327636 JEX327636 JOT327636 JYP327636 KIL327636 KSH327636 LCD327636 LLZ327636 LVV327636 MFR327636 MPN327636 MZJ327636 NJF327636 NTB327636 OCX327636 OMT327636 OWP327636 PGL327636 PQH327636 QAD327636 QJZ327636 QTV327636 RDR327636 RNN327636 RXJ327636 SHF327636 SRB327636 TAX327636 TKT327636 TUP327636 UEL327636 UOH327636 UYD327636 VHZ327636 VRV327636 WBR327636 WLN327636 WVJ327636 B393172 IX393172 ST393172 ACP393172 AML393172 AWH393172 BGD393172 BPZ393172 BZV393172 CJR393172 CTN393172 DDJ393172 DNF393172 DXB393172 EGX393172 EQT393172 FAP393172 FKL393172 FUH393172 GED393172 GNZ393172 GXV393172 HHR393172 HRN393172 IBJ393172 ILF393172 IVB393172 JEX393172 JOT393172 JYP393172 KIL393172 KSH393172 LCD393172 LLZ393172 LVV393172 MFR393172 MPN393172 MZJ393172 NJF393172 NTB393172 OCX393172 OMT393172 OWP393172 PGL393172 PQH393172 QAD393172 QJZ393172 QTV393172 RDR393172 RNN393172 RXJ393172 SHF393172 SRB393172 TAX393172 TKT393172 TUP393172 UEL393172 UOH393172 UYD393172 VHZ393172 VRV393172 WBR393172 WLN393172 WVJ393172 B458708 IX458708 ST458708 ACP458708 AML458708 AWH458708 BGD458708 BPZ458708 BZV458708 CJR458708 CTN458708 DDJ458708 DNF458708 DXB458708 EGX458708 EQT458708 FAP458708 FKL458708 FUH458708 GED458708 GNZ458708 GXV458708 HHR458708 HRN458708 IBJ458708 ILF458708 IVB458708 JEX458708 JOT458708 JYP458708 KIL458708 KSH458708 LCD458708 LLZ458708 LVV458708 MFR458708 MPN458708 MZJ458708 NJF458708 NTB458708 OCX458708 OMT458708 OWP458708 PGL458708 PQH458708 QAD458708 QJZ458708 QTV458708 RDR458708 RNN458708 RXJ458708 SHF458708 SRB458708 TAX458708 TKT458708 TUP458708 UEL458708 UOH458708 UYD458708 VHZ458708 VRV458708 WBR458708 WLN458708 WVJ458708 B524244 IX524244 ST524244 ACP524244 AML524244 AWH524244 BGD524244 BPZ524244 BZV524244 CJR524244 CTN524244 DDJ524244 DNF524244 DXB524244 EGX524244 EQT524244 FAP524244 FKL524244 FUH524244 GED524244 GNZ524244 GXV524244 HHR524244 HRN524244 IBJ524244 ILF524244 IVB524244 JEX524244 JOT524244 JYP524244 KIL524244 KSH524244 LCD524244 LLZ524244 LVV524244 MFR524244 MPN524244 MZJ524244 NJF524244 NTB524244 OCX524244 OMT524244 OWP524244 PGL524244 PQH524244 QAD524244 QJZ524244 QTV524244 RDR524244 RNN524244 RXJ524244 SHF524244 SRB524244 TAX524244 TKT524244 TUP524244 UEL524244 UOH524244 UYD524244 VHZ524244 VRV524244 WBR524244 WLN524244 WVJ524244 B589780 IX589780 ST589780 ACP589780 AML589780 AWH589780 BGD589780 BPZ589780 BZV589780 CJR589780 CTN589780 DDJ589780 DNF589780 DXB589780 EGX589780 EQT589780 FAP589780 FKL589780 FUH589780 GED589780 GNZ589780 GXV589780 HHR589780 HRN589780 IBJ589780 ILF589780 IVB589780 JEX589780 JOT589780 JYP589780 KIL589780 KSH589780 LCD589780 LLZ589780 LVV589780 MFR589780 MPN589780 MZJ589780 NJF589780 NTB589780 OCX589780 OMT589780 OWP589780 PGL589780 PQH589780 QAD589780 QJZ589780 QTV589780 RDR589780 RNN589780 RXJ589780 SHF589780 SRB589780 TAX589780 TKT589780 TUP589780 UEL589780 UOH589780 UYD589780 VHZ589780 VRV589780 WBR589780 WLN589780 WVJ589780 B655316 IX655316 ST655316 ACP655316 AML655316 AWH655316 BGD655316 BPZ655316 BZV655316 CJR655316 CTN655316 DDJ655316 DNF655316 DXB655316 EGX655316 EQT655316 FAP655316 FKL655316 FUH655316 GED655316 GNZ655316 GXV655316 HHR655316 HRN655316 IBJ655316 ILF655316 IVB655316 JEX655316 JOT655316 JYP655316 KIL655316 KSH655316 LCD655316 LLZ655316 LVV655316 MFR655316 MPN655316 MZJ655316 NJF655316 NTB655316 OCX655316 OMT655316 OWP655316 PGL655316 PQH655316 QAD655316 QJZ655316 QTV655316 RDR655316 RNN655316 RXJ655316 SHF655316 SRB655316 TAX655316 TKT655316 TUP655316 UEL655316 UOH655316 UYD655316 VHZ655316 VRV655316 WBR655316 WLN655316 WVJ655316 B720852 IX720852 ST720852 ACP720852 AML720852 AWH720852 BGD720852 BPZ720852 BZV720852 CJR720852 CTN720852 DDJ720852 DNF720852 DXB720852 EGX720852 EQT720852 FAP720852 FKL720852 FUH720852 GED720852 GNZ720852 GXV720852 HHR720852 HRN720852 IBJ720852 ILF720852 IVB720852 JEX720852 JOT720852 JYP720852 KIL720852 KSH720852 LCD720852 LLZ720852 LVV720852 MFR720852 MPN720852 MZJ720852 NJF720852 NTB720852 OCX720852 OMT720852 OWP720852 PGL720852 PQH720852 QAD720852 QJZ720852 QTV720852 RDR720852 RNN720852 RXJ720852 SHF720852 SRB720852 TAX720852 TKT720852 TUP720852 UEL720852 UOH720852 UYD720852 VHZ720852 VRV720852 WBR720852 WLN720852 WVJ720852 B786388 IX786388 ST786388 ACP786388 AML786388 AWH786388 BGD786388 BPZ786388 BZV786388 CJR786388 CTN786388 DDJ786388 DNF786388 DXB786388 EGX786388 EQT786388 FAP786388 FKL786388 FUH786388 GED786388 GNZ786388 GXV786388 HHR786388 HRN786388 IBJ786388 ILF786388 IVB786388 JEX786388 JOT786388 JYP786388 KIL786388 KSH786388 LCD786388 LLZ786388 LVV786388 MFR786388 MPN786388 MZJ786388 NJF786388 NTB786388 OCX786388 OMT786388 OWP786388 PGL786388 PQH786388 QAD786388 QJZ786388 QTV786388 RDR786388 RNN786388 RXJ786388 SHF786388 SRB786388 TAX786388 TKT786388 TUP786388 UEL786388 UOH786388 UYD786388 VHZ786388 VRV786388 WBR786388 WLN786388 WVJ786388 B851924 IX851924 ST851924 ACP851924 AML851924 AWH851924 BGD851924 BPZ851924 BZV851924 CJR851924 CTN851924 DDJ851924 DNF851924 DXB851924 EGX851924 EQT851924 FAP851924 FKL851924 FUH851924 GED851924 GNZ851924 GXV851924 HHR851924 HRN851924 IBJ851924 ILF851924 IVB851924 JEX851924 JOT851924 JYP851924 KIL851924 KSH851924 LCD851924 LLZ851924 LVV851924 MFR851924 MPN851924 MZJ851924 NJF851924 NTB851924 OCX851924 OMT851924 OWP851924 PGL851924 PQH851924 QAD851924 QJZ851924 QTV851924 RDR851924 RNN851924 RXJ851924 SHF851924 SRB851924 TAX851924 TKT851924 TUP851924 UEL851924 UOH851924 UYD851924 VHZ851924 VRV851924 WBR851924 WLN851924 WVJ851924 B917460 IX917460 ST917460 ACP917460 AML917460 AWH917460 BGD917460 BPZ917460 BZV917460 CJR917460 CTN917460 DDJ917460 DNF917460 DXB917460 EGX917460 EQT917460 FAP917460 FKL917460 FUH917460 GED917460 GNZ917460 GXV917460 HHR917460 HRN917460 IBJ917460 ILF917460 IVB917460 JEX917460 JOT917460 JYP917460 KIL917460 KSH917460 LCD917460 LLZ917460 LVV917460 MFR917460 MPN917460 MZJ917460 NJF917460 NTB917460 OCX917460 OMT917460 OWP917460 PGL917460 PQH917460 QAD917460 QJZ917460 QTV917460 RDR917460 RNN917460 RXJ917460 SHF917460 SRB917460 TAX917460 TKT917460 TUP917460 UEL917460 UOH917460 UYD917460 VHZ917460 VRV917460 WBR917460 WLN917460 WVJ917460 B982996 IX982996 ST982996 ACP982996 AML982996 AWH982996 BGD982996 BPZ982996 BZV982996 CJR982996 CTN982996 DDJ982996 DNF982996 DXB982996 EGX982996 EQT982996 FAP982996 FKL982996 FUH982996 GED982996 GNZ982996 GXV982996 HHR982996 HRN982996 IBJ982996 ILF982996 IVB982996 JEX982996 JOT982996 JYP982996 KIL982996 KSH982996 LCD982996 LLZ982996 LVV982996 MFR982996 MPN982996 MZJ982996 NJF982996 NTB982996 OCX982996 OMT982996 OWP982996 PGL982996 PQH982996 QAD982996 QJZ982996 QTV982996 RDR982996 RNN982996 RXJ982996 SHF982996 SRB982996 TAX982996 TKT982996 TUP982996 UEL982996 UOH982996 UYD982996 VHZ982996 VRV982996 WBR982996 WLN982996 WVJ982996" xr:uid="{CBA69439-7735-4E30-949E-E7DDB4C31C1F}">
      <formula1>"Com Desoneração, Sem Desoneração"</formula1>
    </dataValidation>
    <dataValidation type="decimal" allowBlank="1" showInputMessage="1" showErrorMessage="1" errorTitle="Atenção" error="O valor deve estar entre 2%  e  5%" sqref="C65512:C65513 IY65512:IY65513 SU65512:SU65513 ACQ65512:ACQ65513 AMM65512:AMM65513 AWI65512:AWI65513 BGE65512:BGE65513 BQA65512:BQA65513 BZW65512:BZW65513 CJS65512:CJS65513 CTO65512:CTO65513 DDK65512:DDK65513 DNG65512:DNG65513 DXC65512:DXC65513 EGY65512:EGY65513 EQU65512:EQU65513 FAQ65512:FAQ65513 FKM65512:FKM65513 FUI65512:FUI65513 GEE65512:GEE65513 GOA65512:GOA65513 GXW65512:GXW65513 HHS65512:HHS65513 HRO65512:HRO65513 IBK65512:IBK65513 ILG65512:ILG65513 IVC65512:IVC65513 JEY65512:JEY65513 JOU65512:JOU65513 JYQ65512:JYQ65513 KIM65512:KIM65513 KSI65512:KSI65513 LCE65512:LCE65513 LMA65512:LMA65513 LVW65512:LVW65513 MFS65512:MFS65513 MPO65512:MPO65513 MZK65512:MZK65513 NJG65512:NJG65513 NTC65512:NTC65513 OCY65512:OCY65513 OMU65512:OMU65513 OWQ65512:OWQ65513 PGM65512:PGM65513 PQI65512:PQI65513 QAE65512:QAE65513 QKA65512:QKA65513 QTW65512:QTW65513 RDS65512:RDS65513 RNO65512:RNO65513 RXK65512:RXK65513 SHG65512:SHG65513 SRC65512:SRC65513 TAY65512:TAY65513 TKU65512:TKU65513 TUQ65512:TUQ65513 UEM65512:UEM65513 UOI65512:UOI65513 UYE65512:UYE65513 VIA65512:VIA65513 VRW65512:VRW65513 WBS65512:WBS65513 WLO65512:WLO65513 WVK65512:WVK65513 C131048:C131049 IY131048:IY131049 SU131048:SU131049 ACQ131048:ACQ131049 AMM131048:AMM131049 AWI131048:AWI131049 BGE131048:BGE131049 BQA131048:BQA131049 BZW131048:BZW131049 CJS131048:CJS131049 CTO131048:CTO131049 DDK131048:DDK131049 DNG131048:DNG131049 DXC131048:DXC131049 EGY131048:EGY131049 EQU131048:EQU131049 FAQ131048:FAQ131049 FKM131048:FKM131049 FUI131048:FUI131049 GEE131048:GEE131049 GOA131048:GOA131049 GXW131048:GXW131049 HHS131048:HHS131049 HRO131048:HRO131049 IBK131048:IBK131049 ILG131048:ILG131049 IVC131048:IVC131049 JEY131048:JEY131049 JOU131048:JOU131049 JYQ131048:JYQ131049 KIM131048:KIM131049 KSI131048:KSI131049 LCE131048:LCE131049 LMA131048:LMA131049 LVW131048:LVW131049 MFS131048:MFS131049 MPO131048:MPO131049 MZK131048:MZK131049 NJG131048:NJG131049 NTC131048:NTC131049 OCY131048:OCY131049 OMU131048:OMU131049 OWQ131048:OWQ131049 PGM131048:PGM131049 PQI131048:PQI131049 QAE131048:QAE131049 QKA131048:QKA131049 QTW131048:QTW131049 RDS131048:RDS131049 RNO131048:RNO131049 RXK131048:RXK131049 SHG131048:SHG131049 SRC131048:SRC131049 TAY131048:TAY131049 TKU131048:TKU131049 TUQ131048:TUQ131049 UEM131048:UEM131049 UOI131048:UOI131049 UYE131048:UYE131049 VIA131048:VIA131049 VRW131048:VRW131049 WBS131048:WBS131049 WLO131048:WLO131049 WVK131048:WVK131049 C196584:C196585 IY196584:IY196585 SU196584:SU196585 ACQ196584:ACQ196585 AMM196584:AMM196585 AWI196584:AWI196585 BGE196584:BGE196585 BQA196584:BQA196585 BZW196584:BZW196585 CJS196584:CJS196585 CTO196584:CTO196585 DDK196584:DDK196585 DNG196584:DNG196585 DXC196584:DXC196585 EGY196584:EGY196585 EQU196584:EQU196585 FAQ196584:FAQ196585 FKM196584:FKM196585 FUI196584:FUI196585 GEE196584:GEE196585 GOA196584:GOA196585 GXW196584:GXW196585 HHS196584:HHS196585 HRO196584:HRO196585 IBK196584:IBK196585 ILG196584:ILG196585 IVC196584:IVC196585 JEY196584:JEY196585 JOU196584:JOU196585 JYQ196584:JYQ196585 KIM196584:KIM196585 KSI196584:KSI196585 LCE196584:LCE196585 LMA196584:LMA196585 LVW196584:LVW196585 MFS196584:MFS196585 MPO196584:MPO196585 MZK196584:MZK196585 NJG196584:NJG196585 NTC196584:NTC196585 OCY196584:OCY196585 OMU196584:OMU196585 OWQ196584:OWQ196585 PGM196584:PGM196585 PQI196584:PQI196585 QAE196584:QAE196585 QKA196584:QKA196585 QTW196584:QTW196585 RDS196584:RDS196585 RNO196584:RNO196585 RXK196584:RXK196585 SHG196584:SHG196585 SRC196584:SRC196585 TAY196584:TAY196585 TKU196584:TKU196585 TUQ196584:TUQ196585 UEM196584:UEM196585 UOI196584:UOI196585 UYE196584:UYE196585 VIA196584:VIA196585 VRW196584:VRW196585 WBS196584:WBS196585 WLO196584:WLO196585 WVK196584:WVK196585 C262120:C262121 IY262120:IY262121 SU262120:SU262121 ACQ262120:ACQ262121 AMM262120:AMM262121 AWI262120:AWI262121 BGE262120:BGE262121 BQA262120:BQA262121 BZW262120:BZW262121 CJS262120:CJS262121 CTO262120:CTO262121 DDK262120:DDK262121 DNG262120:DNG262121 DXC262120:DXC262121 EGY262120:EGY262121 EQU262120:EQU262121 FAQ262120:FAQ262121 FKM262120:FKM262121 FUI262120:FUI262121 GEE262120:GEE262121 GOA262120:GOA262121 GXW262120:GXW262121 HHS262120:HHS262121 HRO262120:HRO262121 IBK262120:IBK262121 ILG262120:ILG262121 IVC262120:IVC262121 JEY262120:JEY262121 JOU262120:JOU262121 JYQ262120:JYQ262121 KIM262120:KIM262121 KSI262120:KSI262121 LCE262120:LCE262121 LMA262120:LMA262121 LVW262120:LVW262121 MFS262120:MFS262121 MPO262120:MPO262121 MZK262120:MZK262121 NJG262120:NJG262121 NTC262120:NTC262121 OCY262120:OCY262121 OMU262120:OMU262121 OWQ262120:OWQ262121 PGM262120:PGM262121 PQI262120:PQI262121 QAE262120:QAE262121 QKA262120:QKA262121 QTW262120:QTW262121 RDS262120:RDS262121 RNO262120:RNO262121 RXK262120:RXK262121 SHG262120:SHG262121 SRC262120:SRC262121 TAY262120:TAY262121 TKU262120:TKU262121 TUQ262120:TUQ262121 UEM262120:UEM262121 UOI262120:UOI262121 UYE262120:UYE262121 VIA262120:VIA262121 VRW262120:VRW262121 WBS262120:WBS262121 WLO262120:WLO262121 WVK262120:WVK262121 C327656:C327657 IY327656:IY327657 SU327656:SU327657 ACQ327656:ACQ327657 AMM327656:AMM327657 AWI327656:AWI327657 BGE327656:BGE327657 BQA327656:BQA327657 BZW327656:BZW327657 CJS327656:CJS327657 CTO327656:CTO327657 DDK327656:DDK327657 DNG327656:DNG327657 DXC327656:DXC327657 EGY327656:EGY327657 EQU327656:EQU327657 FAQ327656:FAQ327657 FKM327656:FKM327657 FUI327656:FUI327657 GEE327656:GEE327657 GOA327656:GOA327657 GXW327656:GXW327657 HHS327656:HHS327657 HRO327656:HRO327657 IBK327656:IBK327657 ILG327656:ILG327657 IVC327656:IVC327657 JEY327656:JEY327657 JOU327656:JOU327657 JYQ327656:JYQ327657 KIM327656:KIM327657 KSI327656:KSI327657 LCE327656:LCE327657 LMA327656:LMA327657 LVW327656:LVW327657 MFS327656:MFS327657 MPO327656:MPO327657 MZK327656:MZK327657 NJG327656:NJG327657 NTC327656:NTC327657 OCY327656:OCY327657 OMU327656:OMU327657 OWQ327656:OWQ327657 PGM327656:PGM327657 PQI327656:PQI327657 QAE327656:QAE327657 QKA327656:QKA327657 QTW327656:QTW327657 RDS327656:RDS327657 RNO327656:RNO327657 RXK327656:RXK327657 SHG327656:SHG327657 SRC327656:SRC327657 TAY327656:TAY327657 TKU327656:TKU327657 TUQ327656:TUQ327657 UEM327656:UEM327657 UOI327656:UOI327657 UYE327656:UYE327657 VIA327656:VIA327657 VRW327656:VRW327657 WBS327656:WBS327657 WLO327656:WLO327657 WVK327656:WVK327657 C393192:C393193 IY393192:IY393193 SU393192:SU393193 ACQ393192:ACQ393193 AMM393192:AMM393193 AWI393192:AWI393193 BGE393192:BGE393193 BQA393192:BQA393193 BZW393192:BZW393193 CJS393192:CJS393193 CTO393192:CTO393193 DDK393192:DDK393193 DNG393192:DNG393193 DXC393192:DXC393193 EGY393192:EGY393193 EQU393192:EQU393193 FAQ393192:FAQ393193 FKM393192:FKM393193 FUI393192:FUI393193 GEE393192:GEE393193 GOA393192:GOA393193 GXW393192:GXW393193 HHS393192:HHS393193 HRO393192:HRO393193 IBK393192:IBK393193 ILG393192:ILG393193 IVC393192:IVC393193 JEY393192:JEY393193 JOU393192:JOU393193 JYQ393192:JYQ393193 KIM393192:KIM393193 KSI393192:KSI393193 LCE393192:LCE393193 LMA393192:LMA393193 LVW393192:LVW393193 MFS393192:MFS393193 MPO393192:MPO393193 MZK393192:MZK393193 NJG393192:NJG393193 NTC393192:NTC393193 OCY393192:OCY393193 OMU393192:OMU393193 OWQ393192:OWQ393193 PGM393192:PGM393193 PQI393192:PQI393193 QAE393192:QAE393193 QKA393192:QKA393193 QTW393192:QTW393193 RDS393192:RDS393193 RNO393192:RNO393193 RXK393192:RXK393193 SHG393192:SHG393193 SRC393192:SRC393193 TAY393192:TAY393193 TKU393192:TKU393193 TUQ393192:TUQ393193 UEM393192:UEM393193 UOI393192:UOI393193 UYE393192:UYE393193 VIA393192:VIA393193 VRW393192:VRW393193 WBS393192:WBS393193 WLO393192:WLO393193 WVK393192:WVK393193 C458728:C458729 IY458728:IY458729 SU458728:SU458729 ACQ458728:ACQ458729 AMM458728:AMM458729 AWI458728:AWI458729 BGE458728:BGE458729 BQA458728:BQA458729 BZW458728:BZW458729 CJS458728:CJS458729 CTO458728:CTO458729 DDK458728:DDK458729 DNG458728:DNG458729 DXC458728:DXC458729 EGY458728:EGY458729 EQU458728:EQU458729 FAQ458728:FAQ458729 FKM458728:FKM458729 FUI458728:FUI458729 GEE458728:GEE458729 GOA458728:GOA458729 GXW458728:GXW458729 HHS458728:HHS458729 HRO458728:HRO458729 IBK458728:IBK458729 ILG458728:ILG458729 IVC458728:IVC458729 JEY458728:JEY458729 JOU458728:JOU458729 JYQ458728:JYQ458729 KIM458728:KIM458729 KSI458728:KSI458729 LCE458728:LCE458729 LMA458728:LMA458729 LVW458728:LVW458729 MFS458728:MFS458729 MPO458728:MPO458729 MZK458728:MZK458729 NJG458728:NJG458729 NTC458728:NTC458729 OCY458728:OCY458729 OMU458728:OMU458729 OWQ458728:OWQ458729 PGM458728:PGM458729 PQI458728:PQI458729 QAE458728:QAE458729 QKA458728:QKA458729 QTW458728:QTW458729 RDS458728:RDS458729 RNO458728:RNO458729 RXK458728:RXK458729 SHG458728:SHG458729 SRC458728:SRC458729 TAY458728:TAY458729 TKU458728:TKU458729 TUQ458728:TUQ458729 UEM458728:UEM458729 UOI458728:UOI458729 UYE458728:UYE458729 VIA458728:VIA458729 VRW458728:VRW458729 WBS458728:WBS458729 WLO458728:WLO458729 WVK458728:WVK458729 C524264:C524265 IY524264:IY524265 SU524264:SU524265 ACQ524264:ACQ524265 AMM524264:AMM524265 AWI524264:AWI524265 BGE524264:BGE524265 BQA524264:BQA524265 BZW524264:BZW524265 CJS524264:CJS524265 CTO524264:CTO524265 DDK524264:DDK524265 DNG524264:DNG524265 DXC524264:DXC524265 EGY524264:EGY524265 EQU524264:EQU524265 FAQ524264:FAQ524265 FKM524264:FKM524265 FUI524264:FUI524265 GEE524264:GEE524265 GOA524264:GOA524265 GXW524264:GXW524265 HHS524264:HHS524265 HRO524264:HRO524265 IBK524264:IBK524265 ILG524264:ILG524265 IVC524264:IVC524265 JEY524264:JEY524265 JOU524264:JOU524265 JYQ524264:JYQ524265 KIM524264:KIM524265 KSI524264:KSI524265 LCE524264:LCE524265 LMA524264:LMA524265 LVW524264:LVW524265 MFS524264:MFS524265 MPO524264:MPO524265 MZK524264:MZK524265 NJG524264:NJG524265 NTC524264:NTC524265 OCY524264:OCY524265 OMU524264:OMU524265 OWQ524264:OWQ524265 PGM524264:PGM524265 PQI524264:PQI524265 QAE524264:QAE524265 QKA524264:QKA524265 QTW524264:QTW524265 RDS524264:RDS524265 RNO524264:RNO524265 RXK524264:RXK524265 SHG524264:SHG524265 SRC524264:SRC524265 TAY524264:TAY524265 TKU524264:TKU524265 TUQ524264:TUQ524265 UEM524264:UEM524265 UOI524264:UOI524265 UYE524264:UYE524265 VIA524264:VIA524265 VRW524264:VRW524265 WBS524264:WBS524265 WLO524264:WLO524265 WVK524264:WVK524265 C589800:C589801 IY589800:IY589801 SU589800:SU589801 ACQ589800:ACQ589801 AMM589800:AMM589801 AWI589800:AWI589801 BGE589800:BGE589801 BQA589800:BQA589801 BZW589800:BZW589801 CJS589800:CJS589801 CTO589800:CTO589801 DDK589800:DDK589801 DNG589800:DNG589801 DXC589800:DXC589801 EGY589800:EGY589801 EQU589800:EQU589801 FAQ589800:FAQ589801 FKM589800:FKM589801 FUI589800:FUI589801 GEE589800:GEE589801 GOA589800:GOA589801 GXW589800:GXW589801 HHS589800:HHS589801 HRO589800:HRO589801 IBK589800:IBK589801 ILG589800:ILG589801 IVC589800:IVC589801 JEY589800:JEY589801 JOU589800:JOU589801 JYQ589800:JYQ589801 KIM589800:KIM589801 KSI589800:KSI589801 LCE589800:LCE589801 LMA589800:LMA589801 LVW589800:LVW589801 MFS589800:MFS589801 MPO589800:MPO589801 MZK589800:MZK589801 NJG589800:NJG589801 NTC589800:NTC589801 OCY589800:OCY589801 OMU589800:OMU589801 OWQ589800:OWQ589801 PGM589800:PGM589801 PQI589800:PQI589801 QAE589800:QAE589801 QKA589800:QKA589801 QTW589800:QTW589801 RDS589800:RDS589801 RNO589800:RNO589801 RXK589800:RXK589801 SHG589800:SHG589801 SRC589800:SRC589801 TAY589800:TAY589801 TKU589800:TKU589801 TUQ589800:TUQ589801 UEM589800:UEM589801 UOI589800:UOI589801 UYE589800:UYE589801 VIA589800:VIA589801 VRW589800:VRW589801 WBS589800:WBS589801 WLO589800:WLO589801 WVK589800:WVK589801 C655336:C655337 IY655336:IY655337 SU655336:SU655337 ACQ655336:ACQ655337 AMM655336:AMM655337 AWI655336:AWI655337 BGE655336:BGE655337 BQA655336:BQA655337 BZW655336:BZW655337 CJS655336:CJS655337 CTO655336:CTO655337 DDK655336:DDK655337 DNG655336:DNG655337 DXC655336:DXC655337 EGY655336:EGY655337 EQU655336:EQU655337 FAQ655336:FAQ655337 FKM655336:FKM655337 FUI655336:FUI655337 GEE655336:GEE655337 GOA655336:GOA655337 GXW655336:GXW655337 HHS655336:HHS655337 HRO655336:HRO655337 IBK655336:IBK655337 ILG655336:ILG655337 IVC655336:IVC655337 JEY655336:JEY655337 JOU655336:JOU655337 JYQ655336:JYQ655337 KIM655336:KIM655337 KSI655336:KSI655337 LCE655336:LCE655337 LMA655336:LMA655337 LVW655336:LVW655337 MFS655336:MFS655337 MPO655336:MPO655337 MZK655336:MZK655337 NJG655336:NJG655337 NTC655336:NTC655337 OCY655336:OCY655337 OMU655336:OMU655337 OWQ655336:OWQ655337 PGM655336:PGM655337 PQI655336:PQI655337 QAE655336:QAE655337 QKA655336:QKA655337 QTW655336:QTW655337 RDS655336:RDS655337 RNO655336:RNO655337 RXK655336:RXK655337 SHG655336:SHG655337 SRC655336:SRC655337 TAY655336:TAY655337 TKU655336:TKU655337 TUQ655336:TUQ655337 UEM655336:UEM655337 UOI655336:UOI655337 UYE655336:UYE655337 VIA655336:VIA655337 VRW655336:VRW655337 WBS655336:WBS655337 WLO655336:WLO655337 WVK655336:WVK655337 C720872:C720873 IY720872:IY720873 SU720872:SU720873 ACQ720872:ACQ720873 AMM720872:AMM720873 AWI720872:AWI720873 BGE720872:BGE720873 BQA720872:BQA720873 BZW720872:BZW720873 CJS720872:CJS720873 CTO720872:CTO720873 DDK720872:DDK720873 DNG720872:DNG720873 DXC720872:DXC720873 EGY720872:EGY720873 EQU720872:EQU720873 FAQ720872:FAQ720873 FKM720872:FKM720873 FUI720872:FUI720873 GEE720872:GEE720873 GOA720872:GOA720873 GXW720872:GXW720873 HHS720872:HHS720873 HRO720872:HRO720873 IBK720872:IBK720873 ILG720872:ILG720873 IVC720872:IVC720873 JEY720872:JEY720873 JOU720872:JOU720873 JYQ720872:JYQ720873 KIM720872:KIM720873 KSI720872:KSI720873 LCE720872:LCE720873 LMA720872:LMA720873 LVW720872:LVW720873 MFS720872:MFS720873 MPO720872:MPO720873 MZK720872:MZK720873 NJG720872:NJG720873 NTC720872:NTC720873 OCY720872:OCY720873 OMU720872:OMU720873 OWQ720872:OWQ720873 PGM720872:PGM720873 PQI720872:PQI720873 QAE720872:QAE720873 QKA720872:QKA720873 QTW720872:QTW720873 RDS720872:RDS720873 RNO720872:RNO720873 RXK720872:RXK720873 SHG720872:SHG720873 SRC720872:SRC720873 TAY720872:TAY720873 TKU720872:TKU720873 TUQ720872:TUQ720873 UEM720872:UEM720873 UOI720872:UOI720873 UYE720872:UYE720873 VIA720872:VIA720873 VRW720872:VRW720873 WBS720872:WBS720873 WLO720872:WLO720873 WVK720872:WVK720873 C786408:C786409 IY786408:IY786409 SU786408:SU786409 ACQ786408:ACQ786409 AMM786408:AMM786409 AWI786408:AWI786409 BGE786408:BGE786409 BQA786408:BQA786409 BZW786408:BZW786409 CJS786408:CJS786409 CTO786408:CTO786409 DDK786408:DDK786409 DNG786408:DNG786409 DXC786408:DXC786409 EGY786408:EGY786409 EQU786408:EQU786409 FAQ786408:FAQ786409 FKM786408:FKM786409 FUI786408:FUI786409 GEE786408:GEE786409 GOA786408:GOA786409 GXW786408:GXW786409 HHS786408:HHS786409 HRO786408:HRO786409 IBK786408:IBK786409 ILG786408:ILG786409 IVC786408:IVC786409 JEY786408:JEY786409 JOU786408:JOU786409 JYQ786408:JYQ786409 KIM786408:KIM786409 KSI786408:KSI786409 LCE786408:LCE786409 LMA786408:LMA786409 LVW786408:LVW786409 MFS786408:MFS786409 MPO786408:MPO786409 MZK786408:MZK786409 NJG786408:NJG786409 NTC786408:NTC786409 OCY786408:OCY786409 OMU786408:OMU786409 OWQ786408:OWQ786409 PGM786408:PGM786409 PQI786408:PQI786409 QAE786408:QAE786409 QKA786408:QKA786409 QTW786408:QTW786409 RDS786408:RDS786409 RNO786408:RNO786409 RXK786408:RXK786409 SHG786408:SHG786409 SRC786408:SRC786409 TAY786408:TAY786409 TKU786408:TKU786409 TUQ786408:TUQ786409 UEM786408:UEM786409 UOI786408:UOI786409 UYE786408:UYE786409 VIA786408:VIA786409 VRW786408:VRW786409 WBS786408:WBS786409 WLO786408:WLO786409 WVK786408:WVK786409 C851944:C851945 IY851944:IY851945 SU851944:SU851945 ACQ851944:ACQ851945 AMM851944:AMM851945 AWI851944:AWI851945 BGE851944:BGE851945 BQA851944:BQA851945 BZW851944:BZW851945 CJS851944:CJS851945 CTO851944:CTO851945 DDK851944:DDK851945 DNG851944:DNG851945 DXC851944:DXC851945 EGY851944:EGY851945 EQU851944:EQU851945 FAQ851944:FAQ851945 FKM851944:FKM851945 FUI851944:FUI851945 GEE851944:GEE851945 GOA851944:GOA851945 GXW851944:GXW851945 HHS851944:HHS851945 HRO851944:HRO851945 IBK851944:IBK851945 ILG851944:ILG851945 IVC851944:IVC851945 JEY851944:JEY851945 JOU851944:JOU851945 JYQ851944:JYQ851945 KIM851944:KIM851945 KSI851944:KSI851945 LCE851944:LCE851945 LMA851944:LMA851945 LVW851944:LVW851945 MFS851944:MFS851945 MPO851944:MPO851945 MZK851944:MZK851945 NJG851944:NJG851945 NTC851944:NTC851945 OCY851944:OCY851945 OMU851944:OMU851945 OWQ851944:OWQ851945 PGM851944:PGM851945 PQI851944:PQI851945 QAE851944:QAE851945 QKA851944:QKA851945 QTW851944:QTW851945 RDS851944:RDS851945 RNO851944:RNO851945 RXK851944:RXK851945 SHG851944:SHG851945 SRC851944:SRC851945 TAY851944:TAY851945 TKU851944:TKU851945 TUQ851944:TUQ851945 UEM851944:UEM851945 UOI851944:UOI851945 UYE851944:UYE851945 VIA851944:VIA851945 VRW851944:VRW851945 WBS851944:WBS851945 WLO851944:WLO851945 WVK851944:WVK851945 C917480:C917481 IY917480:IY917481 SU917480:SU917481 ACQ917480:ACQ917481 AMM917480:AMM917481 AWI917480:AWI917481 BGE917480:BGE917481 BQA917480:BQA917481 BZW917480:BZW917481 CJS917480:CJS917481 CTO917480:CTO917481 DDK917480:DDK917481 DNG917480:DNG917481 DXC917480:DXC917481 EGY917480:EGY917481 EQU917480:EQU917481 FAQ917480:FAQ917481 FKM917480:FKM917481 FUI917480:FUI917481 GEE917480:GEE917481 GOA917480:GOA917481 GXW917480:GXW917481 HHS917480:HHS917481 HRO917480:HRO917481 IBK917480:IBK917481 ILG917480:ILG917481 IVC917480:IVC917481 JEY917480:JEY917481 JOU917480:JOU917481 JYQ917480:JYQ917481 KIM917480:KIM917481 KSI917480:KSI917481 LCE917480:LCE917481 LMA917480:LMA917481 LVW917480:LVW917481 MFS917480:MFS917481 MPO917480:MPO917481 MZK917480:MZK917481 NJG917480:NJG917481 NTC917480:NTC917481 OCY917480:OCY917481 OMU917480:OMU917481 OWQ917480:OWQ917481 PGM917480:PGM917481 PQI917480:PQI917481 QAE917480:QAE917481 QKA917480:QKA917481 QTW917480:QTW917481 RDS917480:RDS917481 RNO917480:RNO917481 RXK917480:RXK917481 SHG917480:SHG917481 SRC917480:SRC917481 TAY917480:TAY917481 TKU917480:TKU917481 TUQ917480:TUQ917481 UEM917480:UEM917481 UOI917480:UOI917481 UYE917480:UYE917481 VIA917480:VIA917481 VRW917480:VRW917481 WBS917480:WBS917481 WLO917480:WLO917481 WVK917480:WVK917481 C983016:C983017 IY983016:IY983017 SU983016:SU983017 ACQ983016:ACQ983017 AMM983016:AMM983017 AWI983016:AWI983017 BGE983016:BGE983017 BQA983016:BQA983017 BZW983016:BZW983017 CJS983016:CJS983017 CTO983016:CTO983017 DDK983016:DDK983017 DNG983016:DNG983017 DXC983016:DXC983017 EGY983016:EGY983017 EQU983016:EQU983017 FAQ983016:FAQ983017 FKM983016:FKM983017 FUI983016:FUI983017 GEE983016:GEE983017 GOA983016:GOA983017 GXW983016:GXW983017 HHS983016:HHS983017 HRO983016:HRO983017 IBK983016:IBK983017 ILG983016:ILG983017 IVC983016:IVC983017 JEY983016:JEY983017 JOU983016:JOU983017 JYQ983016:JYQ983017 KIM983016:KIM983017 KSI983016:KSI983017 LCE983016:LCE983017 LMA983016:LMA983017 LVW983016:LVW983017 MFS983016:MFS983017 MPO983016:MPO983017 MZK983016:MZK983017 NJG983016:NJG983017 NTC983016:NTC983017 OCY983016:OCY983017 OMU983016:OMU983017 OWQ983016:OWQ983017 PGM983016:PGM983017 PQI983016:PQI983017 QAE983016:QAE983017 QKA983016:QKA983017 QTW983016:QTW983017 RDS983016:RDS983017 RNO983016:RNO983017 RXK983016:RXK983017 SHG983016:SHG983017 SRC983016:SRC983017 TAY983016:TAY983017 TKU983016:TKU983017 TUQ983016:TUQ983017 UEM983016:UEM983017 UOI983016:UOI983017 UYE983016:UYE983017 VIA983016:VIA983017 VRW983016:VRW983017 WBS983016:WBS983017 WLO983016:WLO983017 WVK983016:WVK983017" xr:uid="{5DF76108-73D2-474B-AFF1-60CA1A33210E}">
      <formula1>2</formula1>
      <formula2>5</formula2>
    </dataValidation>
    <dataValidation type="decimal" allowBlank="1" showInputMessage="1" showErrorMessage="1" errorTitle="Atenção" error="O valor deve estar entre 0 e 100" sqref="C65511 IY65511 SU65511 ACQ65511 AMM65511 AWI65511 BGE65511 BQA65511 BZW65511 CJS65511 CTO65511 DDK65511 DNG65511 DXC65511 EGY65511 EQU65511 FAQ65511 FKM65511 FUI65511 GEE65511 GOA65511 GXW65511 HHS65511 HRO65511 IBK65511 ILG65511 IVC65511 JEY65511 JOU65511 JYQ65511 KIM65511 KSI65511 LCE65511 LMA65511 LVW65511 MFS65511 MPO65511 MZK65511 NJG65511 NTC65511 OCY65511 OMU65511 OWQ65511 PGM65511 PQI65511 QAE65511 QKA65511 QTW65511 RDS65511 RNO65511 RXK65511 SHG65511 SRC65511 TAY65511 TKU65511 TUQ65511 UEM65511 UOI65511 UYE65511 VIA65511 VRW65511 WBS65511 WLO65511 WVK65511 C131047 IY131047 SU131047 ACQ131047 AMM131047 AWI131047 BGE131047 BQA131047 BZW131047 CJS131047 CTO131047 DDK131047 DNG131047 DXC131047 EGY131047 EQU131047 FAQ131047 FKM131047 FUI131047 GEE131047 GOA131047 GXW131047 HHS131047 HRO131047 IBK131047 ILG131047 IVC131047 JEY131047 JOU131047 JYQ131047 KIM131047 KSI131047 LCE131047 LMA131047 LVW131047 MFS131047 MPO131047 MZK131047 NJG131047 NTC131047 OCY131047 OMU131047 OWQ131047 PGM131047 PQI131047 QAE131047 QKA131047 QTW131047 RDS131047 RNO131047 RXK131047 SHG131047 SRC131047 TAY131047 TKU131047 TUQ131047 UEM131047 UOI131047 UYE131047 VIA131047 VRW131047 WBS131047 WLO131047 WVK131047 C196583 IY196583 SU196583 ACQ196583 AMM196583 AWI196583 BGE196583 BQA196583 BZW196583 CJS196583 CTO196583 DDK196583 DNG196583 DXC196583 EGY196583 EQU196583 FAQ196583 FKM196583 FUI196583 GEE196583 GOA196583 GXW196583 HHS196583 HRO196583 IBK196583 ILG196583 IVC196583 JEY196583 JOU196583 JYQ196583 KIM196583 KSI196583 LCE196583 LMA196583 LVW196583 MFS196583 MPO196583 MZK196583 NJG196583 NTC196583 OCY196583 OMU196583 OWQ196583 PGM196583 PQI196583 QAE196583 QKA196583 QTW196583 RDS196583 RNO196583 RXK196583 SHG196583 SRC196583 TAY196583 TKU196583 TUQ196583 UEM196583 UOI196583 UYE196583 VIA196583 VRW196583 WBS196583 WLO196583 WVK196583 C262119 IY262119 SU262119 ACQ262119 AMM262119 AWI262119 BGE262119 BQA262119 BZW262119 CJS262119 CTO262119 DDK262119 DNG262119 DXC262119 EGY262119 EQU262119 FAQ262119 FKM262119 FUI262119 GEE262119 GOA262119 GXW262119 HHS262119 HRO262119 IBK262119 ILG262119 IVC262119 JEY262119 JOU262119 JYQ262119 KIM262119 KSI262119 LCE262119 LMA262119 LVW262119 MFS262119 MPO262119 MZK262119 NJG262119 NTC262119 OCY262119 OMU262119 OWQ262119 PGM262119 PQI262119 QAE262119 QKA262119 QTW262119 RDS262119 RNO262119 RXK262119 SHG262119 SRC262119 TAY262119 TKU262119 TUQ262119 UEM262119 UOI262119 UYE262119 VIA262119 VRW262119 WBS262119 WLO262119 WVK262119 C327655 IY327655 SU327655 ACQ327655 AMM327655 AWI327655 BGE327655 BQA327655 BZW327655 CJS327655 CTO327655 DDK327655 DNG327655 DXC327655 EGY327655 EQU327655 FAQ327655 FKM327655 FUI327655 GEE327655 GOA327655 GXW327655 HHS327655 HRO327655 IBK327655 ILG327655 IVC327655 JEY327655 JOU327655 JYQ327655 KIM327655 KSI327655 LCE327655 LMA327655 LVW327655 MFS327655 MPO327655 MZK327655 NJG327655 NTC327655 OCY327655 OMU327655 OWQ327655 PGM327655 PQI327655 QAE327655 QKA327655 QTW327655 RDS327655 RNO327655 RXK327655 SHG327655 SRC327655 TAY327655 TKU327655 TUQ327655 UEM327655 UOI327655 UYE327655 VIA327655 VRW327655 WBS327655 WLO327655 WVK327655 C393191 IY393191 SU393191 ACQ393191 AMM393191 AWI393191 BGE393191 BQA393191 BZW393191 CJS393191 CTO393191 DDK393191 DNG393191 DXC393191 EGY393191 EQU393191 FAQ393191 FKM393191 FUI393191 GEE393191 GOA393191 GXW393191 HHS393191 HRO393191 IBK393191 ILG393191 IVC393191 JEY393191 JOU393191 JYQ393191 KIM393191 KSI393191 LCE393191 LMA393191 LVW393191 MFS393191 MPO393191 MZK393191 NJG393191 NTC393191 OCY393191 OMU393191 OWQ393191 PGM393191 PQI393191 QAE393191 QKA393191 QTW393191 RDS393191 RNO393191 RXK393191 SHG393191 SRC393191 TAY393191 TKU393191 TUQ393191 UEM393191 UOI393191 UYE393191 VIA393191 VRW393191 WBS393191 WLO393191 WVK393191 C458727 IY458727 SU458727 ACQ458727 AMM458727 AWI458727 BGE458727 BQA458727 BZW458727 CJS458727 CTO458727 DDK458727 DNG458727 DXC458727 EGY458727 EQU458727 FAQ458727 FKM458727 FUI458727 GEE458727 GOA458727 GXW458727 HHS458727 HRO458727 IBK458727 ILG458727 IVC458727 JEY458727 JOU458727 JYQ458727 KIM458727 KSI458727 LCE458727 LMA458727 LVW458727 MFS458727 MPO458727 MZK458727 NJG458727 NTC458727 OCY458727 OMU458727 OWQ458727 PGM458727 PQI458727 QAE458727 QKA458727 QTW458727 RDS458727 RNO458727 RXK458727 SHG458727 SRC458727 TAY458727 TKU458727 TUQ458727 UEM458727 UOI458727 UYE458727 VIA458727 VRW458727 WBS458727 WLO458727 WVK458727 C524263 IY524263 SU524263 ACQ524263 AMM524263 AWI524263 BGE524263 BQA524263 BZW524263 CJS524263 CTO524263 DDK524263 DNG524263 DXC524263 EGY524263 EQU524263 FAQ524263 FKM524263 FUI524263 GEE524263 GOA524263 GXW524263 HHS524263 HRO524263 IBK524263 ILG524263 IVC524263 JEY524263 JOU524263 JYQ524263 KIM524263 KSI524263 LCE524263 LMA524263 LVW524263 MFS524263 MPO524263 MZK524263 NJG524263 NTC524263 OCY524263 OMU524263 OWQ524263 PGM524263 PQI524263 QAE524263 QKA524263 QTW524263 RDS524263 RNO524263 RXK524263 SHG524263 SRC524263 TAY524263 TKU524263 TUQ524263 UEM524263 UOI524263 UYE524263 VIA524263 VRW524263 WBS524263 WLO524263 WVK524263 C589799 IY589799 SU589799 ACQ589799 AMM589799 AWI589799 BGE589799 BQA589799 BZW589799 CJS589799 CTO589799 DDK589799 DNG589799 DXC589799 EGY589799 EQU589799 FAQ589799 FKM589799 FUI589799 GEE589799 GOA589799 GXW589799 HHS589799 HRO589799 IBK589799 ILG589799 IVC589799 JEY589799 JOU589799 JYQ589799 KIM589799 KSI589799 LCE589799 LMA589799 LVW589799 MFS589799 MPO589799 MZK589799 NJG589799 NTC589799 OCY589799 OMU589799 OWQ589799 PGM589799 PQI589799 QAE589799 QKA589799 QTW589799 RDS589799 RNO589799 RXK589799 SHG589799 SRC589799 TAY589799 TKU589799 TUQ589799 UEM589799 UOI589799 UYE589799 VIA589799 VRW589799 WBS589799 WLO589799 WVK589799 C655335 IY655335 SU655335 ACQ655335 AMM655335 AWI655335 BGE655335 BQA655335 BZW655335 CJS655335 CTO655335 DDK655335 DNG655335 DXC655335 EGY655335 EQU655335 FAQ655335 FKM655335 FUI655335 GEE655335 GOA655335 GXW655335 HHS655335 HRO655335 IBK655335 ILG655335 IVC655335 JEY655335 JOU655335 JYQ655335 KIM655335 KSI655335 LCE655335 LMA655335 LVW655335 MFS655335 MPO655335 MZK655335 NJG655335 NTC655335 OCY655335 OMU655335 OWQ655335 PGM655335 PQI655335 QAE655335 QKA655335 QTW655335 RDS655335 RNO655335 RXK655335 SHG655335 SRC655335 TAY655335 TKU655335 TUQ655335 UEM655335 UOI655335 UYE655335 VIA655335 VRW655335 WBS655335 WLO655335 WVK655335 C720871 IY720871 SU720871 ACQ720871 AMM720871 AWI720871 BGE720871 BQA720871 BZW720871 CJS720871 CTO720871 DDK720871 DNG720871 DXC720871 EGY720871 EQU720871 FAQ720871 FKM720871 FUI720871 GEE720871 GOA720871 GXW720871 HHS720871 HRO720871 IBK720871 ILG720871 IVC720871 JEY720871 JOU720871 JYQ720871 KIM720871 KSI720871 LCE720871 LMA720871 LVW720871 MFS720871 MPO720871 MZK720871 NJG720871 NTC720871 OCY720871 OMU720871 OWQ720871 PGM720871 PQI720871 QAE720871 QKA720871 QTW720871 RDS720871 RNO720871 RXK720871 SHG720871 SRC720871 TAY720871 TKU720871 TUQ720871 UEM720871 UOI720871 UYE720871 VIA720871 VRW720871 WBS720871 WLO720871 WVK720871 C786407 IY786407 SU786407 ACQ786407 AMM786407 AWI786407 BGE786407 BQA786407 BZW786407 CJS786407 CTO786407 DDK786407 DNG786407 DXC786407 EGY786407 EQU786407 FAQ786407 FKM786407 FUI786407 GEE786407 GOA786407 GXW786407 HHS786407 HRO786407 IBK786407 ILG786407 IVC786407 JEY786407 JOU786407 JYQ786407 KIM786407 KSI786407 LCE786407 LMA786407 LVW786407 MFS786407 MPO786407 MZK786407 NJG786407 NTC786407 OCY786407 OMU786407 OWQ786407 PGM786407 PQI786407 QAE786407 QKA786407 QTW786407 RDS786407 RNO786407 RXK786407 SHG786407 SRC786407 TAY786407 TKU786407 TUQ786407 UEM786407 UOI786407 UYE786407 VIA786407 VRW786407 WBS786407 WLO786407 WVK786407 C851943 IY851943 SU851943 ACQ851943 AMM851943 AWI851943 BGE851943 BQA851943 BZW851943 CJS851943 CTO851943 DDK851943 DNG851943 DXC851943 EGY851943 EQU851943 FAQ851943 FKM851943 FUI851943 GEE851943 GOA851943 GXW851943 HHS851943 HRO851943 IBK851943 ILG851943 IVC851943 JEY851943 JOU851943 JYQ851943 KIM851943 KSI851943 LCE851943 LMA851943 LVW851943 MFS851943 MPO851943 MZK851943 NJG851943 NTC851943 OCY851943 OMU851943 OWQ851943 PGM851943 PQI851943 QAE851943 QKA851943 QTW851943 RDS851943 RNO851943 RXK851943 SHG851943 SRC851943 TAY851943 TKU851943 TUQ851943 UEM851943 UOI851943 UYE851943 VIA851943 VRW851943 WBS851943 WLO851943 WVK851943 C917479 IY917479 SU917479 ACQ917479 AMM917479 AWI917479 BGE917479 BQA917479 BZW917479 CJS917479 CTO917479 DDK917479 DNG917479 DXC917479 EGY917479 EQU917479 FAQ917479 FKM917479 FUI917479 GEE917479 GOA917479 GXW917479 HHS917479 HRO917479 IBK917479 ILG917479 IVC917479 JEY917479 JOU917479 JYQ917479 KIM917479 KSI917479 LCE917479 LMA917479 LVW917479 MFS917479 MPO917479 MZK917479 NJG917479 NTC917479 OCY917479 OMU917479 OWQ917479 PGM917479 PQI917479 QAE917479 QKA917479 QTW917479 RDS917479 RNO917479 RXK917479 SHG917479 SRC917479 TAY917479 TKU917479 TUQ917479 UEM917479 UOI917479 UYE917479 VIA917479 VRW917479 WBS917479 WLO917479 WVK917479 C983015 IY983015 SU983015 ACQ983015 AMM983015 AWI983015 BGE983015 BQA983015 BZW983015 CJS983015 CTO983015 DDK983015 DNG983015 DXC983015 EGY983015 EQU983015 FAQ983015 FKM983015 FUI983015 GEE983015 GOA983015 GXW983015 HHS983015 HRO983015 IBK983015 ILG983015 IVC983015 JEY983015 JOU983015 JYQ983015 KIM983015 KSI983015 LCE983015 LMA983015 LVW983015 MFS983015 MPO983015 MZK983015 NJG983015 NTC983015 OCY983015 OMU983015 OWQ983015 PGM983015 PQI983015 QAE983015 QKA983015 QTW983015 RDS983015 RNO983015 RXK983015 SHG983015 SRC983015 TAY983015 TKU983015 TUQ983015 UEM983015 UOI983015 UYE983015 VIA983015 VRW983015 WBS983015 WLO983015 WVK983015" xr:uid="{8BBBA516-84DC-4D31-B57F-005A9D4086FD}">
      <formula1>0</formula1>
      <formula2>100</formula2>
    </dataValidation>
  </dataValidations>
  <printOptions horizontalCentered="1"/>
  <pageMargins left="0.51181102362204722" right="0.51181102362204722" top="0.78740157480314965" bottom="0.78740157480314965" header="0.31496062992125984" footer="0.31496062992125984"/>
  <pageSetup paperSize="9" scale="91"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EBD28-DA4E-4048-A7EF-1EFC8F291DA3}">
  <dimension ref="A1:F1318"/>
  <sheetViews>
    <sheetView workbookViewId="0">
      <selection sqref="A1:F1"/>
    </sheetView>
  </sheetViews>
  <sheetFormatPr defaultColWidth="9.140625" defaultRowHeight="15" x14ac:dyDescent="0.25"/>
  <cols>
    <col min="1" max="1" width="10.140625" style="220" customWidth="1"/>
    <col min="2" max="2" width="36.5703125" style="220" bestFit="1" customWidth="1"/>
    <col min="3" max="3" width="7.140625" style="220" customWidth="1"/>
    <col min="4" max="4" width="9.5703125" style="220" customWidth="1"/>
    <col min="5" max="5" width="14" style="220" customWidth="1"/>
    <col min="6" max="6" width="11" style="220" customWidth="1"/>
    <col min="7" max="16384" width="9.140625" style="220"/>
  </cols>
  <sheetData>
    <row r="1" spans="1:6" ht="15" customHeight="1" x14ac:dyDescent="0.25">
      <c r="A1" s="1358" t="s">
        <v>388</v>
      </c>
      <c r="B1" s="1358"/>
      <c r="C1" s="1358"/>
      <c r="D1" s="1358"/>
      <c r="E1" s="1358"/>
      <c r="F1" s="1358"/>
    </row>
    <row r="2" spans="1:6" ht="15" customHeight="1" x14ac:dyDescent="0.25">
      <c r="A2" s="1358" t="s">
        <v>389</v>
      </c>
      <c r="B2" s="1358"/>
      <c r="C2" s="1358"/>
      <c r="D2" s="1358"/>
      <c r="E2" s="1358"/>
      <c r="F2" s="1358"/>
    </row>
    <row r="3" spans="1:6" ht="15" customHeight="1" x14ac:dyDescent="0.25">
      <c r="A3" s="1358" t="s">
        <v>390</v>
      </c>
      <c r="B3" s="1358"/>
      <c r="C3" s="1358"/>
      <c r="D3" s="1358"/>
      <c r="E3" s="1358"/>
      <c r="F3" s="1358"/>
    </row>
    <row r="4" spans="1:6" ht="15" customHeight="1" x14ac:dyDescent="0.25">
      <c r="A4" s="1358" t="s">
        <v>543</v>
      </c>
      <c r="B4" s="1358"/>
      <c r="C4" s="1358"/>
      <c r="D4" s="1358"/>
      <c r="E4" s="1358"/>
      <c r="F4" s="1358"/>
    </row>
    <row r="5" spans="1:6" x14ac:dyDescent="0.25">
      <c r="A5" s="1359"/>
      <c r="B5" s="1359"/>
      <c r="C5" s="1359"/>
      <c r="D5" s="1359"/>
      <c r="E5" s="1359"/>
      <c r="F5" s="1359"/>
    </row>
    <row r="6" spans="1:6" ht="30" customHeight="1" x14ac:dyDescent="0.25">
      <c r="A6" s="1358" t="s">
        <v>4278</v>
      </c>
      <c r="B6" s="1358"/>
      <c r="C6" s="1358"/>
      <c r="D6" s="1358"/>
      <c r="E6" s="1358" t="s">
        <v>544</v>
      </c>
      <c r="F6" s="1358"/>
    </row>
    <row r="7" spans="1:6" ht="15" customHeight="1" x14ac:dyDescent="0.25">
      <c r="A7" s="1358" t="s">
        <v>545</v>
      </c>
      <c r="B7" s="1358"/>
      <c r="C7" s="1358"/>
      <c r="D7" s="1358"/>
      <c r="E7" s="1358" t="s">
        <v>546</v>
      </c>
      <c r="F7" s="1358"/>
    </row>
    <row r="8" spans="1:6" x14ac:dyDescent="0.25">
      <c r="A8" s="1359"/>
      <c r="B8" s="1359"/>
      <c r="C8" s="1359"/>
      <c r="D8" s="1359"/>
      <c r="E8" s="1359"/>
      <c r="F8" s="1359"/>
    </row>
    <row r="9" spans="1:6" ht="15" customHeight="1" x14ac:dyDescent="0.25">
      <c r="A9" s="1358" t="s">
        <v>4279</v>
      </c>
      <c r="B9" s="1358"/>
      <c r="C9" s="1358"/>
      <c r="D9" s="1358"/>
      <c r="E9" s="1358" t="s">
        <v>4280</v>
      </c>
      <c r="F9" s="1358"/>
    </row>
    <row r="10" spans="1:6" ht="15" customHeight="1" x14ac:dyDescent="0.25">
      <c r="A10" s="1358" t="s">
        <v>547</v>
      </c>
      <c r="B10" s="1358"/>
      <c r="C10" s="1358"/>
      <c r="D10" s="1358"/>
      <c r="E10" s="1358"/>
      <c r="F10" s="1358"/>
    </row>
    <row r="11" spans="1:6" x14ac:dyDescent="0.25">
      <c r="A11" s="1359"/>
      <c r="B11" s="1359"/>
      <c r="C11" s="1359"/>
      <c r="D11" s="1359"/>
      <c r="E11" s="1359"/>
      <c r="F11" s="1359"/>
    </row>
    <row r="12" spans="1:6" x14ac:dyDescent="0.25">
      <c r="A12" s="168" t="s">
        <v>533</v>
      </c>
      <c r="B12" s="168" t="s">
        <v>548</v>
      </c>
      <c r="C12" s="169" t="s">
        <v>2</v>
      </c>
      <c r="D12" s="169" t="s">
        <v>111</v>
      </c>
      <c r="E12" s="284" t="s">
        <v>549</v>
      </c>
      <c r="F12" s="284" t="s">
        <v>550</v>
      </c>
    </row>
    <row r="13" spans="1:6" x14ac:dyDescent="0.25">
      <c r="A13" s="285" t="s">
        <v>551</v>
      </c>
      <c r="B13" s="285" t="s">
        <v>4</v>
      </c>
      <c r="C13" s="164"/>
      <c r="D13" s="164"/>
      <c r="E13" s="165"/>
      <c r="F13" s="165"/>
    </row>
    <row r="14" spans="1:6" x14ac:dyDescent="0.25">
      <c r="A14" s="285" t="s">
        <v>552</v>
      </c>
      <c r="B14" s="285" t="s">
        <v>173</v>
      </c>
      <c r="C14" s="164"/>
      <c r="D14" s="164"/>
      <c r="E14" s="165"/>
      <c r="F14" s="165"/>
    </row>
    <row r="15" spans="1:6" ht="30" x14ac:dyDescent="0.25">
      <c r="A15" s="286" t="s">
        <v>553</v>
      </c>
      <c r="B15" s="287" t="s">
        <v>554</v>
      </c>
      <c r="C15" s="164" t="s">
        <v>5</v>
      </c>
      <c r="D15" s="164">
        <v>1</v>
      </c>
      <c r="E15" s="165">
        <v>20.75</v>
      </c>
      <c r="F15" s="165">
        <v>20.75</v>
      </c>
    </row>
    <row r="16" spans="1:6" ht="30" x14ac:dyDescent="0.25">
      <c r="A16" s="286" t="s">
        <v>555</v>
      </c>
      <c r="B16" s="287" t="s">
        <v>556</v>
      </c>
      <c r="C16" s="164" t="s">
        <v>5</v>
      </c>
      <c r="D16" s="164">
        <v>1</v>
      </c>
      <c r="E16" s="165">
        <v>11.17</v>
      </c>
      <c r="F16" s="165">
        <v>11.17</v>
      </c>
    </row>
    <row r="17" spans="1:6" ht="30" x14ac:dyDescent="0.25">
      <c r="A17" s="286" t="s">
        <v>557</v>
      </c>
      <c r="B17" s="287" t="s">
        <v>558</v>
      </c>
      <c r="C17" s="164" t="s">
        <v>5</v>
      </c>
      <c r="D17" s="164">
        <v>1</v>
      </c>
      <c r="E17" s="165">
        <v>22.35</v>
      </c>
      <c r="F17" s="165">
        <v>22.35</v>
      </c>
    </row>
    <row r="18" spans="1:6" ht="30" x14ac:dyDescent="0.25">
      <c r="A18" s="286" t="s">
        <v>559</v>
      </c>
      <c r="B18" s="287" t="s">
        <v>560</v>
      </c>
      <c r="C18" s="164" t="s">
        <v>5</v>
      </c>
      <c r="D18" s="164">
        <v>1</v>
      </c>
      <c r="E18" s="165">
        <v>15.96</v>
      </c>
      <c r="F18" s="165">
        <v>15.96</v>
      </c>
    </row>
    <row r="19" spans="1:6" x14ac:dyDescent="0.25">
      <c r="A19" s="286" t="s">
        <v>561</v>
      </c>
      <c r="B19" s="287" t="s">
        <v>562</v>
      </c>
      <c r="C19" s="164" t="s">
        <v>5</v>
      </c>
      <c r="D19" s="164">
        <v>1</v>
      </c>
      <c r="E19" s="165">
        <v>14.37</v>
      </c>
      <c r="F19" s="165">
        <v>14.37</v>
      </c>
    </row>
    <row r="20" spans="1:6" ht="30" x14ac:dyDescent="0.25">
      <c r="A20" s="286" t="s">
        <v>563</v>
      </c>
      <c r="B20" s="287" t="s">
        <v>564</v>
      </c>
      <c r="C20" s="164" t="s">
        <v>5</v>
      </c>
      <c r="D20" s="164">
        <v>1</v>
      </c>
      <c r="E20" s="165">
        <v>39.909999999999997</v>
      </c>
      <c r="F20" s="165">
        <v>39.909999999999997</v>
      </c>
    </row>
    <row r="21" spans="1:6" ht="30" x14ac:dyDescent="0.25">
      <c r="A21" s="286" t="s">
        <v>565</v>
      </c>
      <c r="B21" s="287" t="s">
        <v>566</v>
      </c>
      <c r="C21" s="164" t="s">
        <v>5</v>
      </c>
      <c r="D21" s="164">
        <v>1</v>
      </c>
      <c r="E21" s="165">
        <v>39.909999999999997</v>
      </c>
      <c r="F21" s="165">
        <v>39.909999999999997</v>
      </c>
    </row>
    <row r="22" spans="1:6" ht="30" x14ac:dyDescent="0.25">
      <c r="A22" s="286" t="s">
        <v>567</v>
      </c>
      <c r="B22" s="287" t="s">
        <v>568</v>
      </c>
      <c r="C22" s="164" t="s">
        <v>5</v>
      </c>
      <c r="D22" s="164">
        <v>1</v>
      </c>
      <c r="E22" s="165">
        <v>7.98</v>
      </c>
      <c r="F22" s="165">
        <v>7.98</v>
      </c>
    </row>
    <row r="23" spans="1:6" x14ac:dyDescent="0.25">
      <c r="A23" s="286" t="s">
        <v>569</v>
      </c>
      <c r="B23" s="287" t="s">
        <v>570</v>
      </c>
      <c r="C23" s="164" t="s">
        <v>6</v>
      </c>
      <c r="D23" s="164">
        <v>1</v>
      </c>
      <c r="E23" s="165">
        <v>47.89</v>
      </c>
      <c r="F23" s="165">
        <v>47.89</v>
      </c>
    </row>
    <row r="24" spans="1:6" ht="30" x14ac:dyDescent="0.25">
      <c r="A24" s="286" t="s">
        <v>571</v>
      </c>
      <c r="B24" s="287" t="s">
        <v>572</v>
      </c>
      <c r="C24" s="164" t="s">
        <v>6</v>
      </c>
      <c r="D24" s="164">
        <v>1</v>
      </c>
      <c r="E24" s="165">
        <v>224.8</v>
      </c>
      <c r="F24" s="165">
        <v>224.8</v>
      </c>
    </row>
    <row r="25" spans="1:6" ht="45" x14ac:dyDescent="0.25">
      <c r="A25" s="286" t="s">
        <v>573</v>
      </c>
      <c r="B25" s="287" t="s">
        <v>574</v>
      </c>
      <c r="C25" s="164" t="s">
        <v>5</v>
      </c>
      <c r="D25" s="164">
        <v>1</v>
      </c>
      <c r="E25" s="165">
        <v>9.58</v>
      </c>
      <c r="F25" s="165">
        <v>9.58</v>
      </c>
    </row>
    <row r="26" spans="1:6" ht="60" x14ac:dyDescent="0.25">
      <c r="A26" s="286" t="s">
        <v>575</v>
      </c>
      <c r="B26" s="287" t="s">
        <v>576</v>
      </c>
      <c r="C26" s="164" t="s">
        <v>5</v>
      </c>
      <c r="D26" s="164">
        <v>1</v>
      </c>
      <c r="E26" s="165">
        <v>11.17</v>
      </c>
      <c r="F26" s="165">
        <v>11.17</v>
      </c>
    </row>
    <row r="27" spans="1:6" ht="30" x14ac:dyDescent="0.25">
      <c r="A27" s="286" t="s">
        <v>577</v>
      </c>
      <c r="B27" s="287" t="s">
        <v>578</v>
      </c>
      <c r="C27" s="164" t="s">
        <v>5</v>
      </c>
      <c r="D27" s="164">
        <v>1</v>
      </c>
      <c r="E27" s="165">
        <v>12.77</v>
      </c>
      <c r="F27" s="165">
        <v>12.77</v>
      </c>
    </row>
    <row r="28" spans="1:6" x14ac:dyDescent="0.25">
      <c r="A28" s="286" t="s">
        <v>579</v>
      </c>
      <c r="B28" s="287" t="s">
        <v>580</v>
      </c>
      <c r="C28" s="164" t="s">
        <v>5</v>
      </c>
      <c r="D28" s="164">
        <v>1</v>
      </c>
      <c r="E28" s="165">
        <v>7.98</v>
      </c>
      <c r="F28" s="165">
        <v>7.98</v>
      </c>
    </row>
    <row r="29" spans="1:6" x14ac:dyDescent="0.25">
      <c r="A29" s="286" t="s">
        <v>581</v>
      </c>
      <c r="B29" s="287" t="s">
        <v>171</v>
      </c>
      <c r="C29" s="164" t="s">
        <v>7</v>
      </c>
      <c r="D29" s="164">
        <v>1</v>
      </c>
      <c r="E29" s="165">
        <v>7.98</v>
      </c>
      <c r="F29" s="165">
        <v>7.98</v>
      </c>
    </row>
    <row r="30" spans="1:6" ht="30" x14ac:dyDescent="0.25">
      <c r="A30" s="286" t="s">
        <v>582</v>
      </c>
      <c r="B30" s="287" t="s">
        <v>583</v>
      </c>
      <c r="C30" s="164" t="s">
        <v>5</v>
      </c>
      <c r="D30" s="164">
        <v>1</v>
      </c>
      <c r="E30" s="165">
        <v>10.73</v>
      </c>
      <c r="F30" s="165">
        <v>10.73</v>
      </c>
    </row>
    <row r="31" spans="1:6" ht="30" x14ac:dyDescent="0.25">
      <c r="A31" s="286" t="s">
        <v>584</v>
      </c>
      <c r="B31" s="287" t="s">
        <v>585</v>
      </c>
      <c r="C31" s="164" t="s">
        <v>6</v>
      </c>
      <c r="D31" s="164">
        <v>1</v>
      </c>
      <c r="E31" s="165">
        <v>264.43</v>
      </c>
      <c r="F31" s="165">
        <v>264.43</v>
      </c>
    </row>
    <row r="32" spans="1:6" ht="30" x14ac:dyDescent="0.25">
      <c r="A32" s="286" t="s">
        <v>586</v>
      </c>
      <c r="B32" s="287" t="s">
        <v>587</v>
      </c>
      <c r="C32" s="164" t="s">
        <v>5</v>
      </c>
      <c r="D32" s="164">
        <v>1</v>
      </c>
      <c r="E32" s="165">
        <v>9.84</v>
      </c>
      <c r="F32" s="165">
        <v>9.84</v>
      </c>
    </row>
    <row r="33" spans="1:6" x14ac:dyDescent="0.25">
      <c r="A33" s="286" t="s">
        <v>588</v>
      </c>
      <c r="B33" s="287" t="s">
        <v>589</v>
      </c>
      <c r="C33" s="164" t="s">
        <v>8</v>
      </c>
      <c r="D33" s="164">
        <v>1</v>
      </c>
      <c r="E33" s="165">
        <v>24.38</v>
      </c>
      <c r="F33" s="165">
        <v>24.38</v>
      </c>
    </row>
    <row r="34" spans="1:6" ht="30" x14ac:dyDescent="0.25">
      <c r="A34" s="286" t="s">
        <v>590</v>
      </c>
      <c r="B34" s="287" t="s">
        <v>591</v>
      </c>
      <c r="C34" s="164" t="s">
        <v>5</v>
      </c>
      <c r="D34" s="164">
        <v>1</v>
      </c>
      <c r="E34" s="165">
        <v>17.68</v>
      </c>
      <c r="F34" s="165">
        <v>17.68</v>
      </c>
    </row>
    <row r="35" spans="1:6" x14ac:dyDescent="0.25">
      <c r="A35" s="286" t="s">
        <v>592</v>
      </c>
      <c r="B35" s="287" t="s">
        <v>593</v>
      </c>
      <c r="C35" s="164" t="s">
        <v>8</v>
      </c>
      <c r="D35" s="164">
        <v>1</v>
      </c>
      <c r="E35" s="165">
        <v>16.59</v>
      </c>
      <c r="F35" s="165">
        <v>16.59</v>
      </c>
    </row>
    <row r="36" spans="1:6" ht="30" x14ac:dyDescent="0.25">
      <c r="A36" s="286" t="s">
        <v>594</v>
      </c>
      <c r="B36" s="287" t="s">
        <v>595</v>
      </c>
      <c r="C36" s="164" t="s">
        <v>5</v>
      </c>
      <c r="D36" s="164">
        <v>1</v>
      </c>
      <c r="E36" s="165">
        <v>14.05</v>
      </c>
      <c r="F36" s="165">
        <v>14.05</v>
      </c>
    </row>
    <row r="37" spans="1:6" x14ac:dyDescent="0.25">
      <c r="A37" s="286" t="s">
        <v>596</v>
      </c>
      <c r="B37" s="287" t="s">
        <v>597</v>
      </c>
      <c r="C37" s="164" t="s">
        <v>5</v>
      </c>
      <c r="D37" s="164">
        <v>1</v>
      </c>
      <c r="E37" s="165">
        <v>19.899999999999999</v>
      </c>
      <c r="F37" s="165">
        <v>19.899999999999999</v>
      </c>
    </row>
    <row r="38" spans="1:6" x14ac:dyDescent="0.25">
      <c r="A38" s="286" t="s">
        <v>598</v>
      </c>
      <c r="B38" s="287" t="s">
        <v>599</v>
      </c>
      <c r="C38" s="164" t="s">
        <v>8</v>
      </c>
      <c r="D38" s="164">
        <v>1</v>
      </c>
      <c r="E38" s="165">
        <v>19.899999999999999</v>
      </c>
      <c r="F38" s="165">
        <v>19.899999999999999</v>
      </c>
    </row>
    <row r="39" spans="1:6" ht="45" x14ac:dyDescent="0.25">
      <c r="A39" s="286" t="s">
        <v>600</v>
      </c>
      <c r="B39" s="287" t="s">
        <v>601</v>
      </c>
      <c r="C39" s="164" t="s">
        <v>8</v>
      </c>
      <c r="D39" s="164">
        <v>1</v>
      </c>
      <c r="E39" s="165">
        <v>33.17</v>
      </c>
      <c r="F39" s="165">
        <v>33.17</v>
      </c>
    </row>
    <row r="40" spans="1:6" ht="30" x14ac:dyDescent="0.25">
      <c r="A40" s="286" t="s">
        <v>602</v>
      </c>
      <c r="B40" s="287" t="s">
        <v>603</v>
      </c>
      <c r="C40" s="164" t="s">
        <v>5</v>
      </c>
      <c r="D40" s="164">
        <v>1</v>
      </c>
      <c r="E40" s="165">
        <v>5.41</v>
      </c>
      <c r="F40" s="165">
        <v>5.41</v>
      </c>
    </row>
    <row r="41" spans="1:6" x14ac:dyDescent="0.25">
      <c r="A41" s="286" t="s">
        <v>604</v>
      </c>
      <c r="B41" s="287" t="s">
        <v>605</v>
      </c>
      <c r="C41" s="164" t="s">
        <v>8</v>
      </c>
      <c r="D41" s="164">
        <v>1</v>
      </c>
      <c r="E41" s="165">
        <v>31.92</v>
      </c>
      <c r="F41" s="165">
        <v>31.92</v>
      </c>
    </row>
    <row r="42" spans="1:6" ht="30" x14ac:dyDescent="0.25">
      <c r="A42" s="286" t="s">
        <v>606</v>
      </c>
      <c r="B42" s="287" t="s">
        <v>607</v>
      </c>
      <c r="C42" s="164" t="s">
        <v>5</v>
      </c>
      <c r="D42" s="164">
        <v>1</v>
      </c>
      <c r="E42" s="165">
        <v>5.13</v>
      </c>
      <c r="F42" s="165">
        <v>5.13</v>
      </c>
    </row>
    <row r="43" spans="1:6" ht="30" x14ac:dyDescent="0.25">
      <c r="A43" s="286" t="s">
        <v>608</v>
      </c>
      <c r="B43" s="287" t="s">
        <v>609</v>
      </c>
      <c r="C43" s="164" t="s">
        <v>5</v>
      </c>
      <c r="D43" s="164">
        <v>1</v>
      </c>
      <c r="E43" s="165">
        <v>20.75</v>
      </c>
      <c r="F43" s="165">
        <v>20.75</v>
      </c>
    </row>
    <row r="44" spans="1:6" ht="30" x14ac:dyDescent="0.25">
      <c r="A44" s="286" t="s">
        <v>610</v>
      </c>
      <c r="B44" s="287" t="s">
        <v>611</v>
      </c>
      <c r="C44" s="164" t="s">
        <v>5</v>
      </c>
      <c r="D44" s="164">
        <v>1</v>
      </c>
      <c r="E44" s="165">
        <v>7.98</v>
      </c>
      <c r="F44" s="165">
        <v>7.98</v>
      </c>
    </row>
    <row r="45" spans="1:6" ht="30" x14ac:dyDescent="0.25">
      <c r="A45" s="286" t="s">
        <v>612</v>
      </c>
      <c r="B45" s="287" t="s">
        <v>613</v>
      </c>
      <c r="C45" s="164" t="s">
        <v>5</v>
      </c>
      <c r="D45" s="164">
        <v>1</v>
      </c>
      <c r="E45" s="165">
        <v>31.1</v>
      </c>
      <c r="F45" s="165">
        <v>31.1</v>
      </c>
    </row>
    <row r="46" spans="1:6" ht="30" x14ac:dyDescent="0.25">
      <c r="A46" s="286" t="s">
        <v>614</v>
      </c>
      <c r="B46" s="287" t="s">
        <v>615</v>
      </c>
      <c r="C46" s="164" t="s">
        <v>8</v>
      </c>
      <c r="D46" s="164">
        <v>1</v>
      </c>
      <c r="E46" s="165">
        <v>8.81</v>
      </c>
      <c r="F46" s="165">
        <v>8.81</v>
      </c>
    </row>
    <row r="47" spans="1:6" x14ac:dyDescent="0.25">
      <c r="A47" s="286" t="s">
        <v>616</v>
      </c>
      <c r="B47" s="287" t="s">
        <v>617</v>
      </c>
      <c r="C47" s="164" t="s">
        <v>5</v>
      </c>
      <c r="D47" s="164">
        <v>1</v>
      </c>
      <c r="E47" s="165">
        <v>2.81</v>
      </c>
      <c r="F47" s="165">
        <v>2.81</v>
      </c>
    </row>
    <row r="48" spans="1:6" ht="30" x14ac:dyDescent="0.25">
      <c r="A48" s="286" t="s">
        <v>618</v>
      </c>
      <c r="B48" s="287" t="s">
        <v>619</v>
      </c>
      <c r="C48" s="164" t="s">
        <v>7</v>
      </c>
      <c r="D48" s="164">
        <v>1</v>
      </c>
      <c r="E48" s="165">
        <v>11.49</v>
      </c>
      <c r="F48" s="165">
        <v>11.49</v>
      </c>
    </row>
    <row r="49" spans="1:6" ht="45" x14ac:dyDescent="0.25">
      <c r="A49" s="286" t="s">
        <v>620</v>
      </c>
      <c r="B49" s="287" t="s">
        <v>621</v>
      </c>
      <c r="C49" s="164" t="s">
        <v>5</v>
      </c>
      <c r="D49" s="164">
        <v>1</v>
      </c>
      <c r="E49" s="165">
        <v>3.02</v>
      </c>
      <c r="F49" s="165">
        <v>3.02</v>
      </c>
    </row>
    <row r="50" spans="1:6" ht="30" x14ac:dyDescent="0.25">
      <c r="A50" s="286" t="s">
        <v>622</v>
      </c>
      <c r="B50" s="287" t="s">
        <v>623</v>
      </c>
      <c r="C50" s="164" t="s">
        <v>5</v>
      </c>
      <c r="D50" s="164">
        <v>1</v>
      </c>
      <c r="E50" s="165">
        <v>23.46</v>
      </c>
      <c r="F50" s="165">
        <v>23.46</v>
      </c>
    </row>
    <row r="51" spans="1:6" ht="30" x14ac:dyDescent="0.25">
      <c r="A51" s="286" t="s">
        <v>624</v>
      </c>
      <c r="B51" s="287" t="s">
        <v>625</v>
      </c>
      <c r="C51" s="164" t="s">
        <v>5</v>
      </c>
      <c r="D51" s="164">
        <v>1</v>
      </c>
      <c r="E51" s="165">
        <v>7.77</v>
      </c>
      <c r="F51" s="165">
        <v>7.77</v>
      </c>
    </row>
    <row r="52" spans="1:6" ht="30" x14ac:dyDescent="0.25">
      <c r="A52" s="286" t="s">
        <v>626</v>
      </c>
      <c r="B52" s="287" t="s">
        <v>627</v>
      </c>
      <c r="C52" s="164" t="s">
        <v>5</v>
      </c>
      <c r="D52" s="164">
        <v>1</v>
      </c>
      <c r="E52" s="165">
        <v>19.190000000000001</v>
      </c>
      <c r="F52" s="165">
        <v>19.190000000000001</v>
      </c>
    </row>
    <row r="53" spans="1:6" ht="30" x14ac:dyDescent="0.25">
      <c r="A53" s="286" t="s">
        <v>628</v>
      </c>
      <c r="B53" s="287" t="s">
        <v>629</v>
      </c>
      <c r="C53" s="164" t="s">
        <v>5</v>
      </c>
      <c r="D53" s="164">
        <v>1</v>
      </c>
      <c r="E53" s="165">
        <v>6.11</v>
      </c>
      <c r="F53" s="165">
        <v>6.11</v>
      </c>
    </row>
    <row r="54" spans="1:6" ht="30" x14ac:dyDescent="0.25">
      <c r="A54" s="286" t="s">
        <v>630</v>
      </c>
      <c r="B54" s="287" t="s">
        <v>631</v>
      </c>
      <c r="C54" s="164" t="s">
        <v>7</v>
      </c>
      <c r="D54" s="164">
        <v>1</v>
      </c>
      <c r="E54" s="165">
        <v>1.86</v>
      </c>
      <c r="F54" s="165">
        <v>1.86</v>
      </c>
    </row>
    <row r="55" spans="1:6" x14ac:dyDescent="0.25">
      <c r="A55" s="286" t="s">
        <v>632</v>
      </c>
      <c r="B55" s="287" t="s">
        <v>633</v>
      </c>
      <c r="C55" s="164" t="s">
        <v>5</v>
      </c>
      <c r="D55" s="164">
        <v>1</v>
      </c>
      <c r="E55" s="165">
        <v>22.13</v>
      </c>
      <c r="F55" s="165">
        <v>22.13</v>
      </c>
    </row>
    <row r="56" spans="1:6" x14ac:dyDescent="0.25">
      <c r="A56" s="286" t="s">
        <v>634</v>
      </c>
      <c r="B56" s="287" t="s">
        <v>635</v>
      </c>
      <c r="C56" s="164" t="s">
        <v>8</v>
      </c>
      <c r="D56" s="164">
        <v>1</v>
      </c>
      <c r="E56" s="165">
        <v>11.88</v>
      </c>
      <c r="F56" s="165">
        <v>11.88</v>
      </c>
    </row>
    <row r="57" spans="1:6" ht="30" x14ac:dyDescent="0.25">
      <c r="A57" s="286" t="s">
        <v>636</v>
      </c>
      <c r="B57" s="287" t="s">
        <v>637</v>
      </c>
      <c r="C57" s="164" t="s">
        <v>8</v>
      </c>
      <c r="D57" s="164">
        <v>1</v>
      </c>
      <c r="E57" s="165">
        <v>18.55</v>
      </c>
      <c r="F57" s="165">
        <v>18.55</v>
      </c>
    </row>
    <row r="58" spans="1:6" ht="30" x14ac:dyDescent="0.25">
      <c r="A58" s="286" t="s">
        <v>638</v>
      </c>
      <c r="B58" s="287" t="s">
        <v>639</v>
      </c>
      <c r="C58" s="164" t="s">
        <v>5</v>
      </c>
      <c r="D58" s="164">
        <v>1</v>
      </c>
      <c r="E58" s="165">
        <v>6.97</v>
      </c>
      <c r="F58" s="165">
        <v>6.97</v>
      </c>
    </row>
    <row r="59" spans="1:6" x14ac:dyDescent="0.25">
      <c r="A59" s="286" t="s">
        <v>640</v>
      </c>
      <c r="B59" s="287" t="s">
        <v>641</v>
      </c>
      <c r="C59" s="164" t="s">
        <v>5</v>
      </c>
      <c r="D59" s="164">
        <v>1</v>
      </c>
      <c r="E59" s="165">
        <v>11.8</v>
      </c>
      <c r="F59" s="165">
        <v>11.8</v>
      </c>
    </row>
    <row r="60" spans="1:6" x14ac:dyDescent="0.25">
      <c r="A60" s="286" t="s">
        <v>642</v>
      </c>
      <c r="B60" s="287" t="s">
        <v>643</v>
      </c>
      <c r="C60" s="164" t="s">
        <v>7</v>
      </c>
      <c r="D60" s="164">
        <v>1</v>
      </c>
      <c r="E60" s="165">
        <v>0.49</v>
      </c>
      <c r="F60" s="165">
        <v>0.49</v>
      </c>
    </row>
    <row r="61" spans="1:6" x14ac:dyDescent="0.25">
      <c r="A61" s="288" t="s">
        <v>644</v>
      </c>
      <c r="B61" s="285" t="s">
        <v>173</v>
      </c>
      <c r="C61" s="164"/>
      <c r="D61" s="164"/>
      <c r="E61" s="165"/>
      <c r="F61" s="165"/>
    </row>
    <row r="62" spans="1:6" ht="30" x14ac:dyDescent="0.25">
      <c r="A62" s="286" t="s">
        <v>645</v>
      </c>
      <c r="B62" s="287" t="s">
        <v>646</v>
      </c>
      <c r="C62" s="164" t="s">
        <v>5</v>
      </c>
      <c r="D62" s="164">
        <v>1</v>
      </c>
      <c r="E62" s="165">
        <v>9.15</v>
      </c>
      <c r="F62" s="165">
        <v>9.15</v>
      </c>
    </row>
    <row r="63" spans="1:6" ht="30" x14ac:dyDescent="0.25">
      <c r="A63" s="286" t="s">
        <v>647</v>
      </c>
      <c r="B63" s="287" t="s">
        <v>648</v>
      </c>
      <c r="C63" s="164" t="s">
        <v>5</v>
      </c>
      <c r="D63" s="164">
        <v>1</v>
      </c>
      <c r="E63" s="165">
        <v>95.77</v>
      </c>
      <c r="F63" s="165">
        <v>95.77</v>
      </c>
    </row>
    <row r="64" spans="1:6" ht="30" x14ac:dyDescent="0.25">
      <c r="A64" s="286" t="s">
        <v>649</v>
      </c>
      <c r="B64" s="287" t="s">
        <v>650</v>
      </c>
      <c r="C64" s="164" t="s">
        <v>5</v>
      </c>
      <c r="D64" s="164">
        <v>1</v>
      </c>
      <c r="E64" s="165">
        <v>11.29</v>
      </c>
      <c r="F64" s="165">
        <v>11.29</v>
      </c>
    </row>
    <row r="65" spans="1:6" ht="30" x14ac:dyDescent="0.25">
      <c r="A65" s="286" t="s">
        <v>651</v>
      </c>
      <c r="B65" s="287" t="s">
        <v>652</v>
      </c>
      <c r="C65" s="164" t="s">
        <v>5</v>
      </c>
      <c r="D65" s="164">
        <v>1</v>
      </c>
      <c r="E65" s="165">
        <v>15.64</v>
      </c>
      <c r="F65" s="165">
        <v>15.64</v>
      </c>
    </row>
    <row r="66" spans="1:6" ht="30" x14ac:dyDescent="0.25">
      <c r="A66" s="286" t="s">
        <v>653</v>
      </c>
      <c r="B66" s="287" t="s">
        <v>654</v>
      </c>
      <c r="C66" s="164" t="s">
        <v>5</v>
      </c>
      <c r="D66" s="164">
        <v>1</v>
      </c>
      <c r="E66" s="165">
        <v>1.6</v>
      </c>
      <c r="F66" s="165">
        <v>1.6</v>
      </c>
    </row>
    <row r="67" spans="1:6" x14ac:dyDescent="0.25">
      <c r="A67" s="286" t="s">
        <v>655</v>
      </c>
      <c r="B67" s="287" t="s">
        <v>656</v>
      </c>
      <c r="C67" s="164" t="s">
        <v>8</v>
      </c>
      <c r="D67" s="164">
        <v>1</v>
      </c>
      <c r="E67" s="165">
        <v>8.81</v>
      </c>
      <c r="F67" s="165">
        <v>8.81</v>
      </c>
    </row>
    <row r="68" spans="1:6" ht="30" x14ac:dyDescent="0.25">
      <c r="A68" s="286" t="s">
        <v>657</v>
      </c>
      <c r="B68" s="287" t="s">
        <v>658</v>
      </c>
      <c r="C68" s="164" t="s">
        <v>5</v>
      </c>
      <c r="D68" s="164">
        <v>1</v>
      </c>
      <c r="E68" s="165">
        <v>7.04</v>
      </c>
      <c r="F68" s="165">
        <v>7.04</v>
      </c>
    </row>
    <row r="69" spans="1:6" ht="30" x14ac:dyDescent="0.25">
      <c r="A69" s="286" t="s">
        <v>659</v>
      </c>
      <c r="B69" s="287" t="s">
        <v>660</v>
      </c>
      <c r="C69" s="164" t="s">
        <v>5</v>
      </c>
      <c r="D69" s="164">
        <v>1</v>
      </c>
      <c r="E69" s="165">
        <v>23.46</v>
      </c>
      <c r="F69" s="165">
        <v>23.46</v>
      </c>
    </row>
    <row r="70" spans="1:6" ht="30" x14ac:dyDescent="0.25">
      <c r="A70" s="286" t="s">
        <v>661</v>
      </c>
      <c r="B70" s="287" t="s">
        <v>662</v>
      </c>
      <c r="C70" s="164" t="s">
        <v>5</v>
      </c>
      <c r="D70" s="164">
        <v>1</v>
      </c>
      <c r="E70" s="165">
        <v>23.46</v>
      </c>
      <c r="F70" s="165">
        <v>23.46</v>
      </c>
    </row>
    <row r="71" spans="1:6" x14ac:dyDescent="0.25">
      <c r="A71" s="286" t="s">
        <v>663</v>
      </c>
      <c r="B71" s="287" t="s">
        <v>664</v>
      </c>
      <c r="C71" s="164" t="s">
        <v>7</v>
      </c>
      <c r="D71" s="164">
        <v>1</v>
      </c>
      <c r="E71" s="165">
        <v>1.99</v>
      </c>
      <c r="F71" s="165">
        <v>1.99</v>
      </c>
    </row>
    <row r="72" spans="1:6" x14ac:dyDescent="0.25">
      <c r="A72" s="286" t="s">
        <v>665</v>
      </c>
      <c r="B72" s="287" t="s">
        <v>666</v>
      </c>
      <c r="C72" s="164" t="s">
        <v>8</v>
      </c>
      <c r="D72" s="164">
        <v>1</v>
      </c>
      <c r="E72" s="165">
        <v>16.45</v>
      </c>
      <c r="F72" s="165">
        <v>16.45</v>
      </c>
    </row>
    <row r="73" spans="1:6" ht="45" x14ac:dyDescent="0.25">
      <c r="A73" s="286" t="s">
        <v>667</v>
      </c>
      <c r="B73" s="287" t="s">
        <v>668</v>
      </c>
      <c r="C73" s="164" t="s">
        <v>5</v>
      </c>
      <c r="D73" s="164">
        <v>1</v>
      </c>
      <c r="E73" s="165">
        <v>8.56</v>
      </c>
      <c r="F73" s="165">
        <v>8.56</v>
      </c>
    </row>
    <row r="74" spans="1:6" x14ac:dyDescent="0.25">
      <c r="A74" s="286" t="s">
        <v>669</v>
      </c>
      <c r="B74" s="287" t="s">
        <v>670</v>
      </c>
      <c r="C74" s="164" t="s">
        <v>7</v>
      </c>
      <c r="D74" s="164">
        <v>1</v>
      </c>
      <c r="E74" s="165">
        <v>2.97</v>
      </c>
      <c r="F74" s="165">
        <v>2.97</v>
      </c>
    </row>
    <row r="75" spans="1:6" x14ac:dyDescent="0.25">
      <c r="A75" s="286" t="s">
        <v>671</v>
      </c>
      <c r="B75" s="287" t="s">
        <v>672</v>
      </c>
      <c r="C75" s="164" t="s">
        <v>5</v>
      </c>
      <c r="D75" s="164">
        <v>1</v>
      </c>
      <c r="E75" s="165">
        <v>6.69</v>
      </c>
      <c r="F75" s="165">
        <v>6.69</v>
      </c>
    </row>
    <row r="76" spans="1:6" x14ac:dyDescent="0.25">
      <c r="A76" s="288" t="s">
        <v>673</v>
      </c>
      <c r="B76" s="285" t="s">
        <v>674</v>
      </c>
      <c r="C76" s="164"/>
      <c r="D76" s="164"/>
      <c r="E76" s="165"/>
      <c r="F76" s="165"/>
    </row>
    <row r="77" spans="1:6" x14ac:dyDescent="0.25">
      <c r="A77" s="286" t="s">
        <v>675</v>
      </c>
      <c r="B77" s="287" t="s">
        <v>676</v>
      </c>
      <c r="C77" s="164" t="s">
        <v>5</v>
      </c>
      <c r="D77" s="164">
        <v>1</v>
      </c>
      <c r="E77" s="165">
        <v>1.0900000000000001</v>
      </c>
      <c r="F77" s="165">
        <v>1.0900000000000001</v>
      </c>
    </row>
    <row r="78" spans="1:6" ht="30" x14ac:dyDescent="0.25">
      <c r="A78" s="286" t="s">
        <v>677</v>
      </c>
      <c r="B78" s="287" t="s">
        <v>678</v>
      </c>
      <c r="C78" s="164" t="s">
        <v>5</v>
      </c>
      <c r="D78" s="164">
        <v>1</v>
      </c>
      <c r="E78" s="165">
        <v>3.51</v>
      </c>
      <c r="F78" s="165">
        <v>3.51</v>
      </c>
    </row>
    <row r="79" spans="1:6" ht="30" x14ac:dyDescent="0.25">
      <c r="A79" s="286" t="s">
        <v>679</v>
      </c>
      <c r="B79" s="287" t="s">
        <v>680</v>
      </c>
      <c r="C79" s="164" t="s">
        <v>8</v>
      </c>
      <c r="D79" s="164">
        <v>1</v>
      </c>
      <c r="E79" s="165">
        <v>42.15</v>
      </c>
      <c r="F79" s="165">
        <v>42.15</v>
      </c>
    </row>
    <row r="80" spans="1:6" ht="30" x14ac:dyDescent="0.25">
      <c r="A80" s="286" t="s">
        <v>681</v>
      </c>
      <c r="B80" s="287" t="s">
        <v>682</v>
      </c>
      <c r="C80" s="164" t="s">
        <v>8</v>
      </c>
      <c r="D80" s="164">
        <v>1</v>
      </c>
      <c r="E80" s="165">
        <v>104.81</v>
      </c>
      <c r="F80" s="165">
        <v>104.81</v>
      </c>
    </row>
    <row r="81" spans="1:6" x14ac:dyDescent="0.25">
      <c r="A81" s="288" t="s">
        <v>683</v>
      </c>
      <c r="B81" s="285" t="s">
        <v>9</v>
      </c>
      <c r="C81" s="164"/>
      <c r="D81" s="164"/>
      <c r="E81" s="165"/>
      <c r="F81" s="165"/>
    </row>
    <row r="82" spans="1:6" ht="30" x14ac:dyDescent="0.25">
      <c r="A82" s="286" t="s">
        <v>684</v>
      </c>
      <c r="B82" s="287" t="s">
        <v>10</v>
      </c>
      <c r="C82" s="164" t="s">
        <v>5</v>
      </c>
      <c r="D82" s="164">
        <v>1</v>
      </c>
      <c r="E82" s="165">
        <v>10.25</v>
      </c>
      <c r="F82" s="165">
        <v>10.25</v>
      </c>
    </row>
    <row r="83" spans="1:6" ht="60" x14ac:dyDescent="0.25">
      <c r="A83" s="286" t="s">
        <v>685</v>
      </c>
      <c r="B83" s="287" t="s">
        <v>686</v>
      </c>
      <c r="C83" s="164" t="s">
        <v>687</v>
      </c>
      <c r="D83" s="164">
        <v>1</v>
      </c>
      <c r="E83" s="289">
        <v>17193.48</v>
      </c>
      <c r="F83" s="289">
        <v>17193.48</v>
      </c>
    </row>
    <row r="84" spans="1:6" x14ac:dyDescent="0.25">
      <c r="A84" s="288" t="s">
        <v>688</v>
      </c>
      <c r="B84" s="285" t="s">
        <v>689</v>
      </c>
      <c r="C84" s="164"/>
      <c r="D84" s="164"/>
      <c r="E84" s="165"/>
      <c r="F84" s="165"/>
    </row>
    <row r="85" spans="1:6" x14ac:dyDescent="0.25">
      <c r="A85" s="288" t="s">
        <v>690</v>
      </c>
      <c r="B85" s="285" t="s">
        <v>691</v>
      </c>
      <c r="C85" s="164"/>
      <c r="D85" s="164"/>
      <c r="E85" s="165"/>
      <c r="F85" s="165"/>
    </row>
    <row r="86" spans="1:6" ht="30" x14ac:dyDescent="0.25">
      <c r="A86" s="286" t="s">
        <v>692</v>
      </c>
      <c r="B86" s="287" t="s">
        <v>4281</v>
      </c>
      <c r="C86" s="164" t="s">
        <v>5</v>
      </c>
      <c r="D86" s="164">
        <v>1</v>
      </c>
      <c r="E86" s="165">
        <v>269.31</v>
      </c>
      <c r="F86" s="165">
        <v>269.31</v>
      </c>
    </row>
    <row r="87" spans="1:6" ht="60" x14ac:dyDescent="0.25">
      <c r="A87" s="286" t="s">
        <v>693</v>
      </c>
      <c r="B87" s="287" t="s">
        <v>694</v>
      </c>
      <c r="C87" s="164" t="s">
        <v>5</v>
      </c>
      <c r="D87" s="164">
        <v>1</v>
      </c>
      <c r="E87" s="165">
        <v>14.88</v>
      </c>
      <c r="F87" s="165">
        <v>14.88</v>
      </c>
    </row>
    <row r="88" spans="1:6" ht="120" x14ac:dyDescent="0.25">
      <c r="A88" s="286" t="s">
        <v>695</v>
      </c>
      <c r="B88" s="287" t="s">
        <v>696</v>
      </c>
      <c r="C88" s="164" t="s">
        <v>687</v>
      </c>
      <c r="D88" s="164">
        <v>1</v>
      </c>
      <c r="E88" s="165">
        <v>978.33</v>
      </c>
      <c r="F88" s="165">
        <v>978.33</v>
      </c>
    </row>
    <row r="89" spans="1:6" ht="30" x14ac:dyDescent="0.25">
      <c r="A89" s="286" t="s">
        <v>697</v>
      </c>
      <c r="B89" s="287" t="s">
        <v>698</v>
      </c>
      <c r="C89" s="164" t="s">
        <v>8</v>
      </c>
      <c r="D89" s="164">
        <v>1</v>
      </c>
      <c r="E89" s="289">
        <v>1400</v>
      </c>
      <c r="F89" s="289">
        <v>1400</v>
      </c>
    </row>
    <row r="90" spans="1:6" ht="30" x14ac:dyDescent="0.25">
      <c r="A90" s="286" t="s">
        <v>699</v>
      </c>
      <c r="B90" s="287" t="s">
        <v>700</v>
      </c>
      <c r="C90" s="164" t="s">
        <v>7</v>
      </c>
      <c r="D90" s="164">
        <v>1</v>
      </c>
      <c r="E90" s="165">
        <v>14.81</v>
      </c>
      <c r="F90" s="165">
        <v>14.81</v>
      </c>
    </row>
    <row r="91" spans="1:6" ht="90" x14ac:dyDescent="0.25">
      <c r="A91" s="286" t="s">
        <v>701</v>
      </c>
      <c r="B91" s="287" t="s">
        <v>702</v>
      </c>
      <c r="C91" s="164" t="s">
        <v>5</v>
      </c>
      <c r="D91" s="164">
        <v>1</v>
      </c>
      <c r="E91" s="165">
        <v>24.01</v>
      </c>
      <c r="F91" s="165">
        <v>24.01</v>
      </c>
    </row>
    <row r="92" spans="1:6" ht="105" x14ac:dyDescent="0.25">
      <c r="A92" s="286" t="s">
        <v>703</v>
      </c>
      <c r="B92" s="287" t="s">
        <v>704</v>
      </c>
      <c r="C92" s="164" t="s">
        <v>7</v>
      </c>
      <c r="D92" s="164">
        <v>1</v>
      </c>
      <c r="E92" s="165">
        <v>207.79</v>
      </c>
      <c r="F92" s="165">
        <v>207.79</v>
      </c>
    </row>
    <row r="93" spans="1:6" ht="105" x14ac:dyDescent="0.25">
      <c r="A93" s="286" t="s">
        <v>705</v>
      </c>
      <c r="B93" s="287" t="s">
        <v>706</v>
      </c>
      <c r="C93" s="164" t="s">
        <v>7</v>
      </c>
      <c r="D93" s="164">
        <v>1</v>
      </c>
      <c r="E93" s="165">
        <v>278.45999999999998</v>
      </c>
      <c r="F93" s="165">
        <v>278.45999999999998</v>
      </c>
    </row>
    <row r="94" spans="1:6" ht="120" x14ac:dyDescent="0.25">
      <c r="A94" s="286" t="s">
        <v>707</v>
      </c>
      <c r="B94" s="287" t="s">
        <v>708</v>
      </c>
      <c r="C94" s="164" t="s">
        <v>167</v>
      </c>
      <c r="D94" s="164">
        <v>1</v>
      </c>
      <c r="E94" s="289">
        <v>1050</v>
      </c>
      <c r="F94" s="289">
        <v>1050</v>
      </c>
    </row>
    <row r="95" spans="1:6" ht="105" x14ac:dyDescent="0.25">
      <c r="A95" s="286" t="s">
        <v>709</v>
      </c>
      <c r="B95" s="287" t="s">
        <v>710</v>
      </c>
      <c r="C95" s="164" t="s">
        <v>167</v>
      </c>
      <c r="D95" s="164">
        <v>1</v>
      </c>
      <c r="E95" s="289">
        <v>1000</v>
      </c>
      <c r="F95" s="289">
        <v>1000</v>
      </c>
    </row>
    <row r="96" spans="1:6" ht="90" x14ac:dyDescent="0.25">
      <c r="A96" s="286" t="s">
        <v>711</v>
      </c>
      <c r="B96" s="287" t="s">
        <v>712</v>
      </c>
      <c r="C96" s="164" t="s">
        <v>167</v>
      </c>
      <c r="D96" s="164">
        <v>1</v>
      </c>
      <c r="E96" s="165">
        <v>710</v>
      </c>
      <c r="F96" s="165">
        <v>710</v>
      </c>
    </row>
    <row r="97" spans="1:6" ht="105" x14ac:dyDescent="0.25">
      <c r="A97" s="286" t="s">
        <v>713</v>
      </c>
      <c r="B97" s="287" t="s">
        <v>714</v>
      </c>
      <c r="C97" s="164" t="s">
        <v>167</v>
      </c>
      <c r="D97" s="164">
        <v>1</v>
      </c>
      <c r="E97" s="289">
        <v>1033.33</v>
      </c>
      <c r="F97" s="289">
        <v>1033.33</v>
      </c>
    </row>
    <row r="98" spans="1:6" ht="75" x14ac:dyDescent="0.25">
      <c r="A98" s="286" t="s">
        <v>715</v>
      </c>
      <c r="B98" s="287" t="s">
        <v>716</v>
      </c>
      <c r="C98" s="164" t="s">
        <v>167</v>
      </c>
      <c r="D98" s="164">
        <v>1</v>
      </c>
      <c r="E98" s="165">
        <v>710</v>
      </c>
      <c r="F98" s="165">
        <v>710</v>
      </c>
    </row>
    <row r="99" spans="1:6" ht="60" x14ac:dyDescent="0.25">
      <c r="A99" s="288" t="s">
        <v>717</v>
      </c>
      <c r="B99" s="285" t="s">
        <v>718</v>
      </c>
      <c r="C99" s="164"/>
      <c r="D99" s="164"/>
      <c r="E99" s="165"/>
      <c r="F99" s="165"/>
    </row>
    <row r="100" spans="1:6" ht="90" x14ac:dyDescent="0.25">
      <c r="A100" s="286" t="s">
        <v>719</v>
      </c>
      <c r="B100" s="287" t="s">
        <v>121</v>
      </c>
      <c r="C100" s="164" t="s">
        <v>5</v>
      </c>
      <c r="D100" s="164">
        <v>1</v>
      </c>
      <c r="E100" s="165">
        <v>857.02</v>
      </c>
      <c r="F100" s="165">
        <v>857.02</v>
      </c>
    </row>
    <row r="101" spans="1:6" ht="90" x14ac:dyDescent="0.25">
      <c r="A101" s="286" t="s">
        <v>720</v>
      </c>
      <c r="B101" s="287" t="s">
        <v>122</v>
      </c>
      <c r="C101" s="164" t="s">
        <v>5</v>
      </c>
      <c r="D101" s="164">
        <v>1</v>
      </c>
      <c r="E101" s="165">
        <v>653.87</v>
      </c>
      <c r="F101" s="165">
        <v>653.87</v>
      </c>
    </row>
    <row r="102" spans="1:6" ht="105" x14ac:dyDescent="0.25">
      <c r="A102" s="286" t="s">
        <v>721</v>
      </c>
      <c r="B102" s="287" t="s">
        <v>123</v>
      </c>
      <c r="C102" s="164" t="s">
        <v>5</v>
      </c>
      <c r="D102" s="164">
        <v>1</v>
      </c>
      <c r="E102" s="165">
        <v>574.61</v>
      </c>
      <c r="F102" s="165">
        <v>574.61</v>
      </c>
    </row>
    <row r="103" spans="1:6" ht="90" x14ac:dyDescent="0.25">
      <c r="A103" s="286" t="s">
        <v>722</v>
      </c>
      <c r="B103" s="287" t="s">
        <v>124</v>
      </c>
      <c r="C103" s="164" t="s">
        <v>5</v>
      </c>
      <c r="D103" s="164">
        <v>1</v>
      </c>
      <c r="E103" s="165">
        <v>502.75</v>
      </c>
      <c r="F103" s="165">
        <v>502.75</v>
      </c>
    </row>
    <row r="104" spans="1:6" ht="90" x14ac:dyDescent="0.25">
      <c r="A104" s="286" t="s">
        <v>723</v>
      </c>
      <c r="B104" s="287" t="s">
        <v>125</v>
      </c>
      <c r="C104" s="164" t="s">
        <v>8</v>
      </c>
      <c r="D104" s="164">
        <v>1</v>
      </c>
      <c r="E104" s="289">
        <v>16624.77</v>
      </c>
      <c r="F104" s="289">
        <v>16624.77</v>
      </c>
    </row>
    <row r="105" spans="1:6" ht="90" x14ac:dyDescent="0.25">
      <c r="A105" s="286" t="s">
        <v>724</v>
      </c>
      <c r="B105" s="287" t="s">
        <v>725</v>
      </c>
      <c r="C105" s="164" t="s">
        <v>8</v>
      </c>
      <c r="D105" s="164">
        <v>1</v>
      </c>
      <c r="E105" s="289">
        <v>24852.69</v>
      </c>
      <c r="F105" s="289">
        <v>24852.69</v>
      </c>
    </row>
    <row r="106" spans="1:6" ht="90" x14ac:dyDescent="0.25">
      <c r="A106" s="286" t="s">
        <v>726</v>
      </c>
      <c r="B106" s="287" t="s">
        <v>727</v>
      </c>
      <c r="C106" s="164" t="s">
        <v>8</v>
      </c>
      <c r="D106" s="164">
        <v>1</v>
      </c>
      <c r="E106" s="289">
        <v>30487.47</v>
      </c>
      <c r="F106" s="289">
        <v>30487.47</v>
      </c>
    </row>
    <row r="107" spans="1:6" ht="90" x14ac:dyDescent="0.25">
      <c r="A107" s="286" t="s">
        <v>728</v>
      </c>
      <c r="B107" s="287" t="s">
        <v>729</v>
      </c>
      <c r="C107" s="164" t="s">
        <v>5</v>
      </c>
      <c r="D107" s="164">
        <v>1</v>
      </c>
      <c r="E107" s="165">
        <v>233</v>
      </c>
      <c r="F107" s="165">
        <v>233</v>
      </c>
    </row>
    <row r="108" spans="1:6" ht="90" x14ac:dyDescent="0.25">
      <c r="A108" s="286" t="s">
        <v>730</v>
      </c>
      <c r="B108" s="287" t="s">
        <v>731</v>
      </c>
      <c r="C108" s="164" t="s">
        <v>5</v>
      </c>
      <c r="D108" s="164">
        <v>1</v>
      </c>
      <c r="E108" s="165">
        <v>305.75</v>
      </c>
      <c r="F108" s="165">
        <v>305.75</v>
      </c>
    </row>
    <row r="109" spans="1:6" ht="60" x14ac:dyDescent="0.25">
      <c r="A109" s="286" t="s">
        <v>732</v>
      </c>
      <c r="B109" s="287" t="s">
        <v>733</v>
      </c>
      <c r="C109" s="164" t="s">
        <v>8</v>
      </c>
      <c r="D109" s="164">
        <v>1</v>
      </c>
      <c r="E109" s="289">
        <v>2719.43</v>
      </c>
      <c r="F109" s="289">
        <v>2719.43</v>
      </c>
    </row>
    <row r="110" spans="1:6" ht="60" x14ac:dyDescent="0.25">
      <c r="A110" s="286" t="s">
        <v>734</v>
      </c>
      <c r="B110" s="287" t="s">
        <v>735</v>
      </c>
      <c r="C110" s="164" t="s">
        <v>8</v>
      </c>
      <c r="D110" s="164">
        <v>1</v>
      </c>
      <c r="E110" s="289">
        <v>3172.72</v>
      </c>
      <c r="F110" s="289">
        <v>3172.72</v>
      </c>
    </row>
    <row r="111" spans="1:6" ht="90" x14ac:dyDescent="0.25">
      <c r="A111" s="286" t="s">
        <v>736</v>
      </c>
      <c r="B111" s="287" t="s">
        <v>126</v>
      </c>
      <c r="C111" s="164" t="s">
        <v>7</v>
      </c>
      <c r="D111" s="164">
        <v>1</v>
      </c>
      <c r="E111" s="165">
        <v>47.52</v>
      </c>
      <c r="F111" s="165">
        <v>47.52</v>
      </c>
    </row>
    <row r="112" spans="1:6" ht="90" x14ac:dyDescent="0.25">
      <c r="A112" s="286" t="s">
        <v>737</v>
      </c>
      <c r="B112" s="287" t="s">
        <v>127</v>
      </c>
      <c r="C112" s="164" t="s">
        <v>7</v>
      </c>
      <c r="D112" s="164">
        <v>1</v>
      </c>
      <c r="E112" s="165">
        <v>649.57000000000005</v>
      </c>
      <c r="F112" s="165">
        <v>649.57000000000005</v>
      </c>
    </row>
    <row r="113" spans="1:6" ht="75" x14ac:dyDescent="0.25">
      <c r="A113" s="286" t="s">
        <v>738</v>
      </c>
      <c r="B113" s="287" t="s">
        <v>128</v>
      </c>
      <c r="C113" s="164" t="s">
        <v>7</v>
      </c>
      <c r="D113" s="164">
        <v>1</v>
      </c>
      <c r="E113" s="165">
        <v>348.57</v>
      </c>
      <c r="F113" s="165">
        <v>348.57</v>
      </c>
    </row>
    <row r="114" spans="1:6" ht="60" x14ac:dyDescent="0.25">
      <c r="A114" s="288" t="s">
        <v>739</v>
      </c>
      <c r="B114" s="285" t="s">
        <v>740</v>
      </c>
      <c r="C114" s="164"/>
      <c r="D114" s="164"/>
      <c r="E114" s="165"/>
      <c r="F114" s="165"/>
    </row>
    <row r="115" spans="1:6" ht="90" x14ac:dyDescent="0.25">
      <c r="A115" s="286" t="s">
        <v>741</v>
      </c>
      <c r="B115" s="287" t="s">
        <v>742</v>
      </c>
      <c r="C115" s="164" t="s">
        <v>5</v>
      </c>
      <c r="D115" s="164">
        <v>1</v>
      </c>
      <c r="E115" s="165">
        <v>617.94000000000005</v>
      </c>
      <c r="F115" s="165">
        <v>617.94000000000005</v>
      </c>
    </row>
    <row r="116" spans="1:6" ht="90" x14ac:dyDescent="0.25">
      <c r="A116" s="286" t="s">
        <v>743</v>
      </c>
      <c r="B116" s="287" t="s">
        <v>744</v>
      </c>
      <c r="C116" s="164" t="s">
        <v>5</v>
      </c>
      <c r="D116" s="164">
        <v>1</v>
      </c>
      <c r="E116" s="165">
        <v>472.56</v>
      </c>
      <c r="F116" s="165">
        <v>472.56</v>
      </c>
    </row>
    <row r="117" spans="1:6" ht="105" x14ac:dyDescent="0.25">
      <c r="A117" s="286" t="s">
        <v>745</v>
      </c>
      <c r="B117" s="287" t="s">
        <v>746</v>
      </c>
      <c r="C117" s="164" t="s">
        <v>5</v>
      </c>
      <c r="D117" s="164">
        <v>1</v>
      </c>
      <c r="E117" s="165">
        <v>416.76</v>
      </c>
      <c r="F117" s="165">
        <v>416.76</v>
      </c>
    </row>
    <row r="118" spans="1:6" ht="90" x14ac:dyDescent="0.25">
      <c r="A118" s="286" t="s">
        <v>747</v>
      </c>
      <c r="B118" s="287" t="s">
        <v>748</v>
      </c>
      <c r="C118" s="164" t="s">
        <v>5</v>
      </c>
      <c r="D118" s="164">
        <v>1</v>
      </c>
      <c r="E118" s="165">
        <v>406.19</v>
      </c>
      <c r="F118" s="165">
        <v>406.19</v>
      </c>
    </row>
    <row r="119" spans="1:6" ht="90" x14ac:dyDescent="0.25">
      <c r="A119" s="286" t="s">
        <v>749</v>
      </c>
      <c r="B119" s="287" t="s">
        <v>750</v>
      </c>
      <c r="C119" s="164" t="s">
        <v>8</v>
      </c>
      <c r="D119" s="164">
        <v>1</v>
      </c>
      <c r="E119" s="289">
        <v>12410.12</v>
      </c>
      <c r="F119" s="289">
        <v>12410.12</v>
      </c>
    </row>
    <row r="120" spans="1:6" ht="90" x14ac:dyDescent="0.25">
      <c r="A120" s="286" t="s">
        <v>751</v>
      </c>
      <c r="B120" s="287" t="s">
        <v>752</v>
      </c>
      <c r="C120" s="164" t="s">
        <v>8</v>
      </c>
      <c r="D120" s="164">
        <v>1</v>
      </c>
      <c r="E120" s="289">
        <v>18642.61</v>
      </c>
      <c r="F120" s="289">
        <v>18642.61</v>
      </c>
    </row>
    <row r="121" spans="1:6" ht="90" x14ac:dyDescent="0.25">
      <c r="A121" s="286" t="s">
        <v>753</v>
      </c>
      <c r="B121" s="287" t="s">
        <v>754</v>
      </c>
      <c r="C121" s="164" t="s">
        <v>8</v>
      </c>
      <c r="D121" s="164">
        <v>1</v>
      </c>
      <c r="E121" s="289">
        <v>23138.82</v>
      </c>
      <c r="F121" s="289">
        <v>23138.82</v>
      </c>
    </row>
    <row r="122" spans="1:6" ht="90" x14ac:dyDescent="0.25">
      <c r="A122" s="286" t="s">
        <v>755</v>
      </c>
      <c r="B122" s="287" t="s">
        <v>756</v>
      </c>
      <c r="C122" s="164" t="s">
        <v>5</v>
      </c>
      <c r="D122" s="164">
        <v>1</v>
      </c>
      <c r="E122" s="165">
        <v>154.72999999999999</v>
      </c>
      <c r="F122" s="165">
        <v>154.72999999999999</v>
      </c>
    </row>
    <row r="123" spans="1:6" ht="105" x14ac:dyDescent="0.25">
      <c r="A123" s="286" t="s">
        <v>757</v>
      </c>
      <c r="B123" s="287" t="s">
        <v>758</v>
      </c>
      <c r="C123" s="164" t="s">
        <v>5</v>
      </c>
      <c r="D123" s="164">
        <v>1</v>
      </c>
      <c r="E123" s="165">
        <v>207.29</v>
      </c>
      <c r="F123" s="165">
        <v>207.29</v>
      </c>
    </row>
    <row r="124" spans="1:6" ht="60" x14ac:dyDescent="0.25">
      <c r="A124" s="286" t="s">
        <v>759</v>
      </c>
      <c r="B124" s="287" t="s">
        <v>760</v>
      </c>
      <c r="C124" s="164" t="s">
        <v>8</v>
      </c>
      <c r="D124" s="164">
        <v>1</v>
      </c>
      <c r="E124" s="289">
        <v>1671.64</v>
      </c>
      <c r="F124" s="289">
        <v>1671.64</v>
      </c>
    </row>
    <row r="125" spans="1:6" ht="60" x14ac:dyDescent="0.25">
      <c r="A125" s="286" t="s">
        <v>761</v>
      </c>
      <c r="B125" s="287" t="s">
        <v>762</v>
      </c>
      <c r="C125" s="164" t="s">
        <v>8</v>
      </c>
      <c r="D125" s="164">
        <v>1</v>
      </c>
      <c r="E125" s="289">
        <v>1930.05</v>
      </c>
      <c r="F125" s="289">
        <v>1930.05</v>
      </c>
    </row>
    <row r="126" spans="1:6" ht="90" x14ac:dyDescent="0.25">
      <c r="A126" s="286" t="s">
        <v>763</v>
      </c>
      <c r="B126" s="287" t="s">
        <v>764</v>
      </c>
      <c r="C126" s="164" t="s">
        <v>7</v>
      </c>
      <c r="D126" s="164">
        <v>1</v>
      </c>
      <c r="E126" s="165">
        <v>32.03</v>
      </c>
      <c r="F126" s="165">
        <v>32.03</v>
      </c>
    </row>
    <row r="127" spans="1:6" x14ac:dyDescent="0.25">
      <c r="A127" s="288" t="s">
        <v>765</v>
      </c>
      <c r="B127" s="285" t="s">
        <v>11</v>
      </c>
      <c r="C127" s="164"/>
      <c r="D127" s="164"/>
      <c r="E127" s="165"/>
      <c r="F127" s="165"/>
    </row>
    <row r="128" spans="1:6" x14ac:dyDescent="0.25">
      <c r="A128" s="288" t="s">
        <v>766</v>
      </c>
      <c r="B128" s="285" t="s">
        <v>767</v>
      </c>
      <c r="C128" s="164"/>
      <c r="D128" s="164"/>
      <c r="E128" s="165"/>
      <c r="F128" s="165"/>
    </row>
    <row r="129" spans="1:6" ht="30" x14ac:dyDescent="0.25">
      <c r="A129" s="286" t="s">
        <v>768</v>
      </c>
      <c r="B129" s="287" t="s">
        <v>12</v>
      </c>
      <c r="C129" s="164" t="s">
        <v>6</v>
      </c>
      <c r="D129" s="164">
        <v>1</v>
      </c>
      <c r="E129" s="165">
        <v>45.66</v>
      </c>
      <c r="F129" s="165">
        <v>45.66</v>
      </c>
    </row>
    <row r="130" spans="1:6" ht="30" x14ac:dyDescent="0.25">
      <c r="A130" s="286" t="s">
        <v>769</v>
      </c>
      <c r="B130" s="287" t="s">
        <v>770</v>
      </c>
      <c r="C130" s="164" t="s">
        <v>6</v>
      </c>
      <c r="D130" s="164">
        <v>1</v>
      </c>
      <c r="E130" s="165">
        <v>77.28</v>
      </c>
      <c r="F130" s="165">
        <v>77.28</v>
      </c>
    </row>
    <row r="131" spans="1:6" ht="30" x14ac:dyDescent="0.25">
      <c r="A131" s="286" t="s">
        <v>771</v>
      </c>
      <c r="B131" s="287" t="s">
        <v>772</v>
      </c>
      <c r="C131" s="164" t="s">
        <v>6</v>
      </c>
      <c r="D131" s="164">
        <v>1</v>
      </c>
      <c r="E131" s="165">
        <v>10.72</v>
      </c>
      <c r="F131" s="165">
        <v>10.72</v>
      </c>
    </row>
    <row r="132" spans="1:6" ht="30" x14ac:dyDescent="0.25">
      <c r="A132" s="286" t="s">
        <v>773</v>
      </c>
      <c r="B132" s="287" t="s">
        <v>774</v>
      </c>
      <c r="C132" s="164" t="s">
        <v>6</v>
      </c>
      <c r="D132" s="164">
        <v>1</v>
      </c>
      <c r="E132" s="165">
        <v>14.98</v>
      </c>
      <c r="F132" s="165">
        <v>14.98</v>
      </c>
    </row>
    <row r="133" spans="1:6" ht="30" x14ac:dyDescent="0.25">
      <c r="A133" s="286" t="s">
        <v>775</v>
      </c>
      <c r="B133" s="287" t="s">
        <v>13</v>
      </c>
      <c r="C133" s="164" t="s">
        <v>5</v>
      </c>
      <c r="D133" s="164">
        <v>1</v>
      </c>
      <c r="E133" s="165">
        <v>23.89</v>
      </c>
      <c r="F133" s="165">
        <v>23.89</v>
      </c>
    </row>
    <row r="134" spans="1:6" x14ac:dyDescent="0.25">
      <c r="A134" s="288" t="s">
        <v>776</v>
      </c>
      <c r="B134" s="285" t="s">
        <v>777</v>
      </c>
      <c r="C134" s="164"/>
      <c r="D134" s="164"/>
      <c r="E134" s="165"/>
      <c r="F134" s="165"/>
    </row>
    <row r="135" spans="1:6" ht="30" x14ac:dyDescent="0.25">
      <c r="A135" s="286" t="s">
        <v>778</v>
      </c>
      <c r="B135" s="287" t="s">
        <v>14</v>
      </c>
      <c r="C135" s="164" t="s">
        <v>6</v>
      </c>
      <c r="D135" s="164">
        <v>1</v>
      </c>
      <c r="E135" s="165">
        <v>49.18</v>
      </c>
      <c r="F135" s="165">
        <v>49.18</v>
      </c>
    </row>
    <row r="136" spans="1:6" ht="45" x14ac:dyDescent="0.25">
      <c r="A136" s="286" t="s">
        <v>779</v>
      </c>
      <c r="B136" s="287" t="s">
        <v>780</v>
      </c>
      <c r="C136" s="164" t="s">
        <v>6</v>
      </c>
      <c r="D136" s="164">
        <v>1</v>
      </c>
      <c r="E136" s="165">
        <v>103.5</v>
      </c>
      <c r="F136" s="165">
        <v>103.5</v>
      </c>
    </row>
    <row r="137" spans="1:6" ht="30" x14ac:dyDescent="0.25">
      <c r="A137" s="286" t="s">
        <v>781</v>
      </c>
      <c r="B137" s="287" t="s">
        <v>782</v>
      </c>
      <c r="C137" s="164" t="s">
        <v>6</v>
      </c>
      <c r="D137" s="164">
        <v>1</v>
      </c>
      <c r="E137" s="165">
        <v>167.66</v>
      </c>
      <c r="F137" s="165">
        <v>167.66</v>
      </c>
    </row>
    <row r="138" spans="1:6" x14ac:dyDescent="0.25">
      <c r="A138" s="286" t="s">
        <v>783</v>
      </c>
      <c r="B138" s="287" t="s">
        <v>784</v>
      </c>
      <c r="C138" s="164" t="s">
        <v>6</v>
      </c>
      <c r="D138" s="164">
        <v>1</v>
      </c>
      <c r="E138" s="165">
        <v>152.68</v>
      </c>
      <c r="F138" s="165">
        <v>152.68</v>
      </c>
    </row>
    <row r="139" spans="1:6" ht="75" x14ac:dyDescent="0.25">
      <c r="A139" s="286" t="s">
        <v>785</v>
      </c>
      <c r="B139" s="287" t="s">
        <v>786</v>
      </c>
      <c r="C139" s="164" t="s">
        <v>6</v>
      </c>
      <c r="D139" s="164">
        <v>1</v>
      </c>
      <c r="E139" s="165">
        <v>139.9</v>
      </c>
      <c r="F139" s="165">
        <v>139.9</v>
      </c>
    </row>
    <row r="140" spans="1:6" ht="60" x14ac:dyDescent="0.25">
      <c r="A140" s="286" t="s">
        <v>787</v>
      </c>
      <c r="B140" s="287" t="s">
        <v>788</v>
      </c>
      <c r="C140" s="164" t="s">
        <v>6</v>
      </c>
      <c r="D140" s="164">
        <v>1</v>
      </c>
      <c r="E140" s="165">
        <v>139.06</v>
      </c>
      <c r="F140" s="165">
        <v>139.06</v>
      </c>
    </row>
    <row r="141" spans="1:6" ht="30" x14ac:dyDescent="0.25">
      <c r="A141" s="286" t="s">
        <v>789</v>
      </c>
      <c r="B141" s="287" t="s">
        <v>790</v>
      </c>
      <c r="C141" s="164" t="s">
        <v>6</v>
      </c>
      <c r="D141" s="164">
        <v>1</v>
      </c>
      <c r="E141" s="165">
        <v>118.83</v>
      </c>
      <c r="F141" s="165">
        <v>118.83</v>
      </c>
    </row>
    <row r="142" spans="1:6" ht="45" x14ac:dyDescent="0.25">
      <c r="A142" s="286" t="s">
        <v>791</v>
      </c>
      <c r="B142" s="287" t="s">
        <v>792</v>
      </c>
      <c r="C142" s="164" t="s">
        <v>6</v>
      </c>
      <c r="D142" s="164">
        <v>1</v>
      </c>
      <c r="E142" s="165">
        <v>24.72</v>
      </c>
      <c r="F142" s="165">
        <v>24.72</v>
      </c>
    </row>
    <row r="143" spans="1:6" ht="30" x14ac:dyDescent="0.25">
      <c r="A143" s="286" t="s">
        <v>793</v>
      </c>
      <c r="B143" s="287" t="s">
        <v>794</v>
      </c>
      <c r="C143" s="164" t="s">
        <v>6</v>
      </c>
      <c r="D143" s="164">
        <v>1</v>
      </c>
      <c r="E143" s="165">
        <v>6.32</v>
      </c>
      <c r="F143" s="165">
        <v>6.32</v>
      </c>
    </row>
    <row r="144" spans="1:6" x14ac:dyDescent="0.25">
      <c r="A144" s="288" t="s">
        <v>795</v>
      </c>
      <c r="B144" s="285" t="s">
        <v>796</v>
      </c>
      <c r="C144" s="164"/>
      <c r="D144" s="164"/>
      <c r="E144" s="165"/>
      <c r="F144" s="165"/>
    </row>
    <row r="145" spans="1:6" ht="90" x14ac:dyDescent="0.25">
      <c r="A145" s="286" t="s">
        <v>797</v>
      </c>
      <c r="B145" s="287" t="s">
        <v>798</v>
      </c>
      <c r="C145" s="164" t="s">
        <v>6</v>
      </c>
      <c r="D145" s="164">
        <v>1</v>
      </c>
      <c r="E145" s="165">
        <v>60.85</v>
      </c>
      <c r="F145" s="165">
        <v>60.85</v>
      </c>
    </row>
    <row r="146" spans="1:6" ht="75" x14ac:dyDescent="0.25">
      <c r="A146" s="286" t="s">
        <v>799</v>
      </c>
      <c r="B146" s="287" t="s">
        <v>800</v>
      </c>
      <c r="C146" s="164" t="s">
        <v>8</v>
      </c>
      <c r="D146" s="164">
        <v>1</v>
      </c>
      <c r="E146" s="165">
        <v>21.08</v>
      </c>
      <c r="F146" s="165">
        <v>21.08</v>
      </c>
    </row>
    <row r="147" spans="1:6" ht="75" x14ac:dyDescent="0.25">
      <c r="A147" s="286" t="s">
        <v>801</v>
      </c>
      <c r="B147" s="287" t="s">
        <v>802</v>
      </c>
      <c r="C147" s="164" t="s">
        <v>8</v>
      </c>
      <c r="D147" s="164">
        <v>1</v>
      </c>
      <c r="E147" s="165">
        <v>14.05</v>
      </c>
      <c r="F147" s="165">
        <v>14.05</v>
      </c>
    </row>
    <row r="148" spans="1:6" x14ac:dyDescent="0.25">
      <c r="A148" s="288" t="s">
        <v>803</v>
      </c>
      <c r="B148" s="285" t="s">
        <v>804</v>
      </c>
      <c r="C148" s="164"/>
      <c r="D148" s="164"/>
      <c r="E148" s="165"/>
      <c r="F148" s="165"/>
    </row>
    <row r="149" spans="1:6" x14ac:dyDescent="0.25">
      <c r="A149" s="288" t="s">
        <v>805</v>
      </c>
      <c r="B149" s="285" t="s">
        <v>15</v>
      </c>
      <c r="C149" s="164"/>
      <c r="D149" s="164"/>
      <c r="E149" s="165"/>
      <c r="F149" s="165"/>
    </row>
    <row r="150" spans="1:6" ht="45" x14ac:dyDescent="0.25">
      <c r="A150" s="286" t="s">
        <v>806</v>
      </c>
      <c r="B150" s="287" t="s">
        <v>807</v>
      </c>
      <c r="C150" s="164" t="s">
        <v>6</v>
      </c>
      <c r="D150" s="164">
        <v>1</v>
      </c>
      <c r="E150" s="165">
        <v>525.27</v>
      </c>
      <c r="F150" s="165">
        <v>525.27</v>
      </c>
    </row>
    <row r="151" spans="1:6" ht="75" x14ac:dyDescent="0.25">
      <c r="A151" s="286" t="s">
        <v>808</v>
      </c>
      <c r="B151" s="287" t="s">
        <v>16</v>
      </c>
      <c r="C151" s="164" t="s">
        <v>5</v>
      </c>
      <c r="D151" s="164">
        <v>1</v>
      </c>
      <c r="E151" s="165">
        <v>73.25</v>
      </c>
      <c r="F151" s="165">
        <v>73.25</v>
      </c>
    </row>
    <row r="152" spans="1:6" ht="45" x14ac:dyDescent="0.25">
      <c r="A152" s="286" t="s">
        <v>809</v>
      </c>
      <c r="B152" s="287" t="s">
        <v>810</v>
      </c>
      <c r="C152" s="164" t="s">
        <v>6</v>
      </c>
      <c r="D152" s="164">
        <v>1</v>
      </c>
      <c r="E152" s="165">
        <v>601.77</v>
      </c>
      <c r="F152" s="165">
        <v>601.77</v>
      </c>
    </row>
    <row r="153" spans="1:6" ht="60" x14ac:dyDescent="0.25">
      <c r="A153" s="286" t="s">
        <v>811</v>
      </c>
      <c r="B153" s="287" t="s">
        <v>17</v>
      </c>
      <c r="C153" s="164" t="s">
        <v>6</v>
      </c>
      <c r="D153" s="164">
        <v>1</v>
      </c>
      <c r="E153" s="165">
        <v>527.91</v>
      </c>
      <c r="F153" s="165">
        <v>527.91</v>
      </c>
    </row>
    <row r="154" spans="1:6" ht="45" x14ac:dyDescent="0.25">
      <c r="A154" s="286" t="s">
        <v>812</v>
      </c>
      <c r="B154" s="287" t="s">
        <v>340</v>
      </c>
      <c r="C154" s="164" t="s">
        <v>6</v>
      </c>
      <c r="D154" s="164">
        <v>1</v>
      </c>
      <c r="E154" s="165">
        <v>546.41999999999996</v>
      </c>
      <c r="F154" s="165">
        <v>546.41999999999996</v>
      </c>
    </row>
    <row r="155" spans="1:6" ht="45" x14ac:dyDescent="0.25">
      <c r="A155" s="286" t="s">
        <v>813</v>
      </c>
      <c r="B155" s="287" t="s">
        <v>259</v>
      </c>
      <c r="C155" s="164" t="s">
        <v>6</v>
      </c>
      <c r="D155" s="164">
        <v>1</v>
      </c>
      <c r="E155" s="165">
        <v>564.41999999999996</v>
      </c>
      <c r="F155" s="165">
        <v>564.41999999999996</v>
      </c>
    </row>
    <row r="156" spans="1:6" ht="45" x14ac:dyDescent="0.25">
      <c r="A156" s="286" t="s">
        <v>814</v>
      </c>
      <c r="B156" s="287" t="s">
        <v>18</v>
      </c>
      <c r="C156" s="164" t="s">
        <v>6</v>
      </c>
      <c r="D156" s="164">
        <v>1</v>
      </c>
      <c r="E156" s="165">
        <v>584.16</v>
      </c>
      <c r="F156" s="165">
        <v>584.16</v>
      </c>
    </row>
    <row r="157" spans="1:6" ht="75" x14ac:dyDescent="0.25">
      <c r="A157" s="286" t="s">
        <v>815</v>
      </c>
      <c r="B157" s="287" t="s">
        <v>260</v>
      </c>
      <c r="C157" s="164" t="s">
        <v>5</v>
      </c>
      <c r="D157" s="164">
        <v>1</v>
      </c>
      <c r="E157" s="165">
        <v>88.63</v>
      </c>
      <c r="F157" s="165">
        <v>88.63</v>
      </c>
    </row>
    <row r="158" spans="1:6" ht="75" x14ac:dyDescent="0.25">
      <c r="A158" s="286" t="s">
        <v>816</v>
      </c>
      <c r="B158" s="287" t="s">
        <v>279</v>
      </c>
      <c r="C158" s="164" t="s">
        <v>6</v>
      </c>
      <c r="D158" s="164">
        <v>1</v>
      </c>
      <c r="E158" s="165">
        <v>498.44</v>
      </c>
      <c r="F158" s="165">
        <v>498.44</v>
      </c>
    </row>
    <row r="159" spans="1:6" ht="75" x14ac:dyDescent="0.25">
      <c r="A159" s="286" t="s">
        <v>817</v>
      </c>
      <c r="B159" s="287" t="s">
        <v>818</v>
      </c>
      <c r="C159" s="164" t="s">
        <v>6</v>
      </c>
      <c r="D159" s="164">
        <v>1</v>
      </c>
      <c r="E159" s="165">
        <v>518.74</v>
      </c>
      <c r="F159" s="165">
        <v>518.74</v>
      </c>
    </row>
    <row r="160" spans="1:6" ht="45" x14ac:dyDescent="0.25">
      <c r="A160" s="286" t="s">
        <v>819</v>
      </c>
      <c r="B160" s="287" t="s">
        <v>19</v>
      </c>
      <c r="C160" s="164" t="s">
        <v>20</v>
      </c>
      <c r="D160" s="164">
        <v>1</v>
      </c>
      <c r="E160" s="165">
        <v>12.94</v>
      </c>
      <c r="F160" s="165">
        <v>12.94</v>
      </c>
    </row>
    <row r="161" spans="1:6" ht="45" x14ac:dyDescent="0.25">
      <c r="A161" s="286" t="s">
        <v>820</v>
      </c>
      <c r="B161" s="287" t="s">
        <v>821</v>
      </c>
      <c r="C161" s="164" t="s">
        <v>20</v>
      </c>
      <c r="D161" s="164">
        <v>1</v>
      </c>
      <c r="E161" s="165">
        <v>13.04</v>
      </c>
      <c r="F161" s="165">
        <v>13.04</v>
      </c>
    </row>
    <row r="162" spans="1:6" ht="45" x14ac:dyDescent="0.25">
      <c r="A162" s="286" t="s">
        <v>822</v>
      </c>
      <c r="B162" s="287" t="s">
        <v>21</v>
      </c>
      <c r="C162" s="164" t="s">
        <v>20</v>
      </c>
      <c r="D162" s="164">
        <v>1</v>
      </c>
      <c r="E162" s="165">
        <v>15.75</v>
      </c>
      <c r="F162" s="165">
        <v>15.75</v>
      </c>
    </row>
    <row r="163" spans="1:6" ht="75" x14ac:dyDescent="0.25">
      <c r="A163" s="286" t="s">
        <v>823</v>
      </c>
      <c r="B163" s="287" t="s">
        <v>824</v>
      </c>
      <c r="C163" s="164" t="s">
        <v>5</v>
      </c>
      <c r="D163" s="164">
        <v>1</v>
      </c>
      <c r="E163" s="165">
        <v>127.4</v>
      </c>
      <c r="F163" s="165">
        <v>127.4</v>
      </c>
    </row>
    <row r="164" spans="1:6" ht="75" x14ac:dyDescent="0.25">
      <c r="A164" s="286" t="s">
        <v>825</v>
      </c>
      <c r="B164" s="287" t="s">
        <v>826</v>
      </c>
      <c r="C164" s="164" t="s">
        <v>5</v>
      </c>
      <c r="D164" s="164">
        <v>1</v>
      </c>
      <c r="E164" s="165">
        <v>90.46</v>
      </c>
      <c r="F164" s="165">
        <v>90.46</v>
      </c>
    </row>
    <row r="165" spans="1:6" ht="75" x14ac:dyDescent="0.25">
      <c r="A165" s="286" t="s">
        <v>827</v>
      </c>
      <c r="B165" s="287" t="s">
        <v>828</v>
      </c>
      <c r="C165" s="164" t="s">
        <v>6</v>
      </c>
      <c r="D165" s="164">
        <v>1</v>
      </c>
      <c r="E165" s="165">
        <v>539.04</v>
      </c>
      <c r="F165" s="165">
        <v>539.04</v>
      </c>
    </row>
    <row r="166" spans="1:6" x14ac:dyDescent="0.25">
      <c r="A166" s="288" t="s">
        <v>829</v>
      </c>
      <c r="B166" s="285" t="s">
        <v>22</v>
      </c>
      <c r="C166" s="164"/>
      <c r="D166" s="164"/>
      <c r="E166" s="165"/>
      <c r="F166" s="165"/>
    </row>
    <row r="167" spans="1:6" ht="45" x14ac:dyDescent="0.25">
      <c r="A167" s="286" t="s">
        <v>830</v>
      </c>
      <c r="B167" s="287" t="s">
        <v>810</v>
      </c>
      <c r="C167" s="164" t="s">
        <v>6</v>
      </c>
      <c r="D167" s="164">
        <v>1</v>
      </c>
      <c r="E167" s="165">
        <v>691.51</v>
      </c>
      <c r="F167" s="165">
        <v>691.51</v>
      </c>
    </row>
    <row r="168" spans="1:6" ht="45" x14ac:dyDescent="0.25">
      <c r="A168" s="286" t="s">
        <v>831</v>
      </c>
      <c r="B168" s="287" t="s">
        <v>340</v>
      </c>
      <c r="C168" s="164" t="s">
        <v>6</v>
      </c>
      <c r="D168" s="164">
        <v>1</v>
      </c>
      <c r="E168" s="165">
        <v>636.16</v>
      </c>
      <c r="F168" s="165">
        <v>636.16</v>
      </c>
    </row>
    <row r="169" spans="1:6" ht="45" x14ac:dyDescent="0.25">
      <c r="A169" s="286" t="s">
        <v>832</v>
      </c>
      <c r="B169" s="287" t="s">
        <v>259</v>
      </c>
      <c r="C169" s="164" t="s">
        <v>6</v>
      </c>
      <c r="D169" s="164">
        <v>1</v>
      </c>
      <c r="E169" s="165">
        <v>654.16</v>
      </c>
      <c r="F169" s="165">
        <v>654.16</v>
      </c>
    </row>
    <row r="170" spans="1:6" ht="45" x14ac:dyDescent="0.25">
      <c r="A170" s="286" t="s">
        <v>833</v>
      </c>
      <c r="B170" s="287" t="s">
        <v>18</v>
      </c>
      <c r="C170" s="164" t="s">
        <v>6</v>
      </c>
      <c r="D170" s="164">
        <v>1</v>
      </c>
      <c r="E170" s="165">
        <v>673.9</v>
      </c>
      <c r="F170" s="165">
        <v>673.9</v>
      </c>
    </row>
    <row r="171" spans="1:6" ht="45" x14ac:dyDescent="0.25">
      <c r="A171" s="286" t="s">
        <v>834</v>
      </c>
      <c r="B171" s="287" t="s">
        <v>19</v>
      </c>
      <c r="C171" s="164" t="s">
        <v>20</v>
      </c>
      <c r="D171" s="164">
        <v>1</v>
      </c>
      <c r="E171" s="165">
        <v>12.94</v>
      </c>
      <c r="F171" s="165">
        <v>12.94</v>
      </c>
    </row>
    <row r="172" spans="1:6" ht="75" x14ac:dyDescent="0.25">
      <c r="A172" s="286" t="s">
        <v>835</v>
      </c>
      <c r="B172" s="287" t="s">
        <v>836</v>
      </c>
      <c r="C172" s="164" t="s">
        <v>6</v>
      </c>
      <c r="D172" s="164">
        <v>1</v>
      </c>
      <c r="E172" s="165">
        <v>436.58</v>
      </c>
      <c r="F172" s="165">
        <v>436.58</v>
      </c>
    </row>
    <row r="173" spans="1:6" ht="75" x14ac:dyDescent="0.25">
      <c r="A173" s="286" t="s">
        <v>837</v>
      </c>
      <c r="B173" s="287" t="s">
        <v>838</v>
      </c>
      <c r="C173" s="164" t="s">
        <v>6</v>
      </c>
      <c r="D173" s="164">
        <v>1</v>
      </c>
      <c r="E173" s="165">
        <v>458.04</v>
      </c>
      <c r="F173" s="165">
        <v>458.04</v>
      </c>
    </row>
    <row r="174" spans="1:6" ht="75" x14ac:dyDescent="0.25">
      <c r="A174" s="286" t="s">
        <v>839</v>
      </c>
      <c r="B174" s="287" t="s">
        <v>840</v>
      </c>
      <c r="C174" s="164" t="s">
        <v>6</v>
      </c>
      <c r="D174" s="164">
        <v>1</v>
      </c>
      <c r="E174" s="165">
        <v>479.51</v>
      </c>
      <c r="F174" s="165">
        <v>479.51</v>
      </c>
    </row>
    <row r="175" spans="1:6" ht="45" x14ac:dyDescent="0.25">
      <c r="A175" s="286" t="s">
        <v>841</v>
      </c>
      <c r="B175" s="287" t="s">
        <v>280</v>
      </c>
      <c r="C175" s="164" t="s">
        <v>20</v>
      </c>
      <c r="D175" s="164">
        <v>1</v>
      </c>
      <c r="E175" s="165">
        <v>13.04</v>
      </c>
      <c r="F175" s="165">
        <v>13.04</v>
      </c>
    </row>
    <row r="176" spans="1:6" ht="45" x14ac:dyDescent="0.25">
      <c r="A176" s="286" t="s">
        <v>842</v>
      </c>
      <c r="B176" s="287" t="s">
        <v>21</v>
      </c>
      <c r="C176" s="164" t="s">
        <v>20</v>
      </c>
      <c r="D176" s="164">
        <v>1</v>
      </c>
      <c r="E176" s="165">
        <v>15.75</v>
      </c>
      <c r="F176" s="165">
        <v>15.75</v>
      </c>
    </row>
    <row r="177" spans="1:6" ht="105" x14ac:dyDescent="0.25">
      <c r="A177" s="286" t="s">
        <v>843</v>
      </c>
      <c r="B177" s="287" t="s">
        <v>844</v>
      </c>
      <c r="C177" s="164" t="s">
        <v>5</v>
      </c>
      <c r="D177" s="164">
        <v>1</v>
      </c>
      <c r="E177" s="165">
        <v>104.2</v>
      </c>
      <c r="F177" s="165">
        <v>104.2</v>
      </c>
    </row>
    <row r="178" spans="1:6" ht="105" x14ac:dyDescent="0.25">
      <c r="A178" s="286" t="s">
        <v>845</v>
      </c>
      <c r="B178" s="287" t="s">
        <v>23</v>
      </c>
      <c r="C178" s="164" t="s">
        <v>5</v>
      </c>
      <c r="D178" s="164">
        <v>1</v>
      </c>
      <c r="E178" s="165">
        <v>124.84</v>
      </c>
      <c r="F178" s="165">
        <v>124.84</v>
      </c>
    </row>
    <row r="179" spans="1:6" x14ac:dyDescent="0.25">
      <c r="A179" s="288" t="s">
        <v>846</v>
      </c>
      <c r="B179" s="285" t="s">
        <v>847</v>
      </c>
      <c r="C179" s="164"/>
      <c r="D179" s="164"/>
      <c r="E179" s="165"/>
      <c r="F179" s="165"/>
    </row>
    <row r="180" spans="1:6" ht="45" x14ac:dyDescent="0.25">
      <c r="A180" s="286" t="s">
        <v>848</v>
      </c>
      <c r="B180" s="287" t="s">
        <v>849</v>
      </c>
      <c r="C180" s="164" t="s">
        <v>5</v>
      </c>
      <c r="D180" s="164">
        <v>1</v>
      </c>
      <c r="E180" s="165">
        <v>121.16</v>
      </c>
      <c r="F180" s="165">
        <v>121.16</v>
      </c>
    </row>
    <row r="181" spans="1:6" x14ac:dyDescent="0.25">
      <c r="A181" s="288" t="s">
        <v>850</v>
      </c>
      <c r="B181" s="285" t="s">
        <v>851</v>
      </c>
      <c r="C181" s="164"/>
      <c r="D181" s="164"/>
      <c r="E181" s="165"/>
      <c r="F181" s="165"/>
    </row>
    <row r="182" spans="1:6" ht="60" x14ac:dyDescent="0.25">
      <c r="A182" s="286" t="s">
        <v>852</v>
      </c>
      <c r="B182" s="287" t="s">
        <v>853</v>
      </c>
      <c r="C182" s="164" t="s">
        <v>5</v>
      </c>
      <c r="D182" s="164">
        <v>1</v>
      </c>
      <c r="E182" s="165">
        <v>112.44</v>
      </c>
      <c r="F182" s="165">
        <v>112.44</v>
      </c>
    </row>
    <row r="183" spans="1:6" ht="60" x14ac:dyDescent="0.25">
      <c r="A183" s="286" t="s">
        <v>854</v>
      </c>
      <c r="B183" s="287" t="s">
        <v>855</v>
      </c>
      <c r="C183" s="164" t="s">
        <v>5</v>
      </c>
      <c r="D183" s="164">
        <v>1</v>
      </c>
      <c r="E183" s="165">
        <v>124.22</v>
      </c>
      <c r="F183" s="165">
        <v>124.22</v>
      </c>
    </row>
    <row r="184" spans="1:6" x14ac:dyDescent="0.25">
      <c r="A184" s="288" t="s">
        <v>856</v>
      </c>
      <c r="B184" s="285" t="s">
        <v>24</v>
      </c>
      <c r="C184" s="164"/>
      <c r="D184" s="164"/>
      <c r="E184" s="165"/>
      <c r="F184" s="165"/>
    </row>
    <row r="185" spans="1:6" ht="75" x14ac:dyDescent="0.25">
      <c r="A185" s="286" t="s">
        <v>857</v>
      </c>
      <c r="B185" s="287" t="s">
        <v>858</v>
      </c>
      <c r="C185" s="164" t="s">
        <v>7</v>
      </c>
      <c r="D185" s="164">
        <v>1</v>
      </c>
      <c r="E185" s="165">
        <v>73.78</v>
      </c>
      <c r="F185" s="165">
        <v>73.78</v>
      </c>
    </row>
    <row r="186" spans="1:6" x14ac:dyDescent="0.25">
      <c r="A186" s="288" t="s">
        <v>859</v>
      </c>
      <c r="B186" s="285" t="s">
        <v>860</v>
      </c>
      <c r="C186" s="164"/>
      <c r="D186" s="164"/>
      <c r="E186" s="165"/>
      <c r="F186" s="165"/>
    </row>
    <row r="187" spans="1:6" ht="30" x14ac:dyDescent="0.25">
      <c r="A187" s="286" t="s">
        <v>861</v>
      </c>
      <c r="B187" s="287" t="s">
        <v>862</v>
      </c>
      <c r="C187" s="164" t="s">
        <v>6</v>
      </c>
      <c r="D187" s="164">
        <v>1</v>
      </c>
      <c r="E187" s="289">
        <v>2379.89</v>
      </c>
      <c r="F187" s="289">
        <v>2379.89</v>
      </c>
    </row>
    <row r="188" spans="1:6" ht="60" x14ac:dyDescent="0.25">
      <c r="A188" s="286" t="s">
        <v>863</v>
      </c>
      <c r="B188" s="287" t="s">
        <v>864</v>
      </c>
      <c r="C188" s="164" t="s">
        <v>5</v>
      </c>
      <c r="D188" s="164">
        <v>1</v>
      </c>
      <c r="E188" s="165">
        <v>118.99</v>
      </c>
      <c r="F188" s="165">
        <v>118.99</v>
      </c>
    </row>
    <row r="189" spans="1:6" ht="45" x14ac:dyDescent="0.25">
      <c r="A189" s="286" t="s">
        <v>865</v>
      </c>
      <c r="B189" s="287" t="s">
        <v>866</v>
      </c>
      <c r="C189" s="164" t="s">
        <v>5</v>
      </c>
      <c r="D189" s="164">
        <v>1</v>
      </c>
      <c r="E189" s="165">
        <v>70.25</v>
      </c>
      <c r="F189" s="165">
        <v>70.25</v>
      </c>
    </row>
    <row r="190" spans="1:6" ht="60" x14ac:dyDescent="0.25">
      <c r="A190" s="286" t="s">
        <v>867</v>
      </c>
      <c r="B190" s="287" t="s">
        <v>868</v>
      </c>
      <c r="C190" s="164" t="s">
        <v>5</v>
      </c>
      <c r="D190" s="164">
        <v>1</v>
      </c>
      <c r="E190" s="165">
        <v>21.08</v>
      </c>
      <c r="F190" s="165">
        <v>21.08</v>
      </c>
    </row>
    <row r="191" spans="1:6" ht="45" x14ac:dyDescent="0.25">
      <c r="A191" s="286" t="s">
        <v>869</v>
      </c>
      <c r="B191" s="287" t="s">
        <v>870</v>
      </c>
      <c r="C191" s="164" t="s">
        <v>5</v>
      </c>
      <c r="D191" s="164">
        <v>1</v>
      </c>
      <c r="E191" s="165">
        <v>64.33</v>
      </c>
      <c r="F191" s="165">
        <v>64.33</v>
      </c>
    </row>
    <row r="192" spans="1:6" x14ac:dyDescent="0.25">
      <c r="A192" s="286" t="s">
        <v>871</v>
      </c>
      <c r="B192" s="287" t="s">
        <v>872</v>
      </c>
      <c r="C192" s="164" t="s">
        <v>20</v>
      </c>
      <c r="D192" s="164">
        <v>1</v>
      </c>
      <c r="E192" s="165">
        <v>4.2300000000000004</v>
      </c>
      <c r="F192" s="165">
        <v>4.2300000000000004</v>
      </c>
    </row>
    <row r="193" spans="1:6" ht="60" x14ac:dyDescent="0.25">
      <c r="A193" s="286" t="s">
        <v>873</v>
      </c>
      <c r="B193" s="287" t="s">
        <v>874</v>
      </c>
      <c r="C193" s="164" t="s">
        <v>5</v>
      </c>
      <c r="D193" s="164">
        <v>1</v>
      </c>
      <c r="E193" s="165">
        <v>373.44</v>
      </c>
      <c r="F193" s="165">
        <v>373.44</v>
      </c>
    </row>
    <row r="194" spans="1:6" ht="45" x14ac:dyDescent="0.25">
      <c r="A194" s="286" t="s">
        <v>875</v>
      </c>
      <c r="B194" s="287" t="s">
        <v>876</v>
      </c>
      <c r="C194" s="164" t="s">
        <v>6</v>
      </c>
      <c r="D194" s="164">
        <v>1</v>
      </c>
      <c r="E194" s="289">
        <v>6881.68</v>
      </c>
      <c r="F194" s="289">
        <v>6881.68</v>
      </c>
    </row>
    <row r="195" spans="1:6" ht="30" x14ac:dyDescent="0.25">
      <c r="A195" s="286" t="s">
        <v>877</v>
      </c>
      <c r="B195" s="287" t="s">
        <v>878</v>
      </c>
      <c r="C195" s="164" t="s">
        <v>5</v>
      </c>
      <c r="D195" s="164">
        <v>1</v>
      </c>
      <c r="E195" s="165">
        <v>71.290000000000006</v>
      </c>
      <c r="F195" s="165">
        <v>71.290000000000006</v>
      </c>
    </row>
    <row r="196" spans="1:6" ht="45" x14ac:dyDescent="0.25">
      <c r="A196" s="286" t="s">
        <v>879</v>
      </c>
      <c r="B196" s="287" t="s">
        <v>880</v>
      </c>
      <c r="C196" s="164" t="s">
        <v>5</v>
      </c>
      <c r="D196" s="164">
        <v>1</v>
      </c>
      <c r="E196" s="165">
        <v>13.87</v>
      </c>
      <c r="F196" s="165">
        <v>13.87</v>
      </c>
    </row>
    <row r="197" spans="1:6" ht="75" x14ac:dyDescent="0.25">
      <c r="A197" s="286" t="s">
        <v>881</v>
      </c>
      <c r="B197" s="287" t="s">
        <v>882</v>
      </c>
      <c r="C197" s="164" t="s">
        <v>6</v>
      </c>
      <c r="D197" s="164">
        <v>1</v>
      </c>
      <c r="E197" s="289">
        <v>2812.31</v>
      </c>
      <c r="F197" s="289">
        <v>2812.31</v>
      </c>
    </row>
    <row r="198" spans="1:6" ht="45" x14ac:dyDescent="0.25">
      <c r="A198" s="286" t="s">
        <v>883</v>
      </c>
      <c r="B198" s="287" t="s">
        <v>884</v>
      </c>
      <c r="C198" s="164" t="s">
        <v>5</v>
      </c>
      <c r="D198" s="164">
        <v>1</v>
      </c>
      <c r="E198" s="165">
        <v>88.28</v>
      </c>
      <c r="F198" s="165">
        <v>88.28</v>
      </c>
    </row>
    <row r="199" spans="1:6" ht="90" x14ac:dyDescent="0.25">
      <c r="A199" s="288" t="s">
        <v>885</v>
      </c>
      <c r="B199" s="285" t="s">
        <v>886</v>
      </c>
      <c r="C199" s="164"/>
      <c r="D199" s="164"/>
      <c r="E199" s="165"/>
      <c r="F199" s="165"/>
    </row>
    <row r="200" spans="1:6" ht="105" x14ac:dyDescent="0.25">
      <c r="A200" s="286" t="s">
        <v>887</v>
      </c>
      <c r="B200" s="287" t="s">
        <v>888</v>
      </c>
      <c r="C200" s="164" t="s">
        <v>7</v>
      </c>
      <c r="D200" s="164">
        <v>1</v>
      </c>
      <c r="E200" s="165">
        <v>577.9</v>
      </c>
      <c r="F200" s="165">
        <v>577.9</v>
      </c>
    </row>
    <row r="201" spans="1:6" ht="105" x14ac:dyDescent="0.25">
      <c r="A201" s="286" t="s">
        <v>889</v>
      </c>
      <c r="B201" s="287" t="s">
        <v>890</v>
      </c>
      <c r="C201" s="164" t="s">
        <v>7</v>
      </c>
      <c r="D201" s="164">
        <v>1</v>
      </c>
      <c r="E201" s="165">
        <v>915.51</v>
      </c>
      <c r="F201" s="165">
        <v>915.51</v>
      </c>
    </row>
    <row r="202" spans="1:6" ht="105" x14ac:dyDescent="0.25">
      <c r="A202" s="286" t="s">
        <v>891</v>
      </c>
      <c r="B202" s="287" t="s">
        <v>892</v>
      </c>
      <c r="C202" s="164" t="s">
        <v>7</v>
      </c>
      <c r="D202" s="164">
        <v>1</v>
      </c>
      <c r="E202" s="289">
        <v>1294.6500000000001</v>
      </c>
      <c r="F202" s="289">
        <v>1294.6500000000001</v>
      </c>
    </row>
    <row r="203" spans="1:6" ht="105" x14ac:dyDescent="0.25">
      <c r="A203" s="286" t="s">
        <v>893</v>
      </c>
      <c r="B203" s="287" t="s">
        <v>894</v>
      </c>
      <c r="C203" s="164" t="s">
        <v>7</v>
      </c>
      <c r="D203" s="164">
        <v>1</v>
      </c>
      <c r="E203" s="289">
        <v>1697.72</v>
      </c>
      <c r="F203" s="289">
        <v>1697.72</v>
      </c>
    </row>
    <row r="204" spans="1:6" x14ac:dyDescent="0.25">
      <c r="A204" s="288" t="s">
        <v>895</v>
      </c>
      <c r="B204" s="285" t="s">
        <v>25</v>
      </c>
      <c r="C204" s="164"/>
      <c r="D204" s="164"/>
      <c r="E204" s="165"/>
      <c r="F204" s="165"/>
    </row>
    <row r="205" spans="1:6" x14ac:dyDescent="0.25">
      <c r="A205" s="288" t="s">
        <v>896</v>
      </c>
      <c r="B205" s="285" t="s">
        <v>897</v>
      </c>
      <c r="C205" s="164"/>
      <c r="D205" s="164"/>
      <c r="E205" s="165"/>
      <c r="F205" s="165"/>
    </row>
    <row r="206" spans="1:6" ht="60" x14ac:dyDescent="0.25">
      <c r="A206" s="286" t="s">
        <v>898</v>
      </c>
      <c r="B206" s="287" t="s">
        <v>899</v>
      </c>
      <c r="C206" s="164" t="s">
        <v>5</v>
      </c>
      <c r="D206" s="164">
        <v>1</v>
      </c>
      <c r="E206" s="165">
        <v>128.46</v>
      </c>
      <c r="F206" s="165">
        <v>128.46</v>
      </c>
    </row>
    <row r="207" spans="1:6" ht="45" x14ac:dyDescent="0.25">
      <c r="A207" s="286" t="s">
        <v>900</v>
      </c>
      <c r="B207" s="287" t="s">
        <v>901</v>
      </c>
      <c r="C207" s="164" t="s">
        <v>6</v>
      </c>
      <c r="D207" s="164">
        <v>1</v>
      </c>
      <c r="E207" s="165">
        <v>439.31</v>
      </c>
      <c r="F207" s="165">
        <v>439.31</v>
      </c>
    </row>
    <row r="208" spans="1:6" ht="75" x14ac:dyDescent="0.25">
      <c r="A208" s="286" t="s">
        <v>902</v>
      </c>
      <c r="B208" s="287" t="s">
        <v>903</v>
      </c>
      <c r="C208" s="164" t="s">
        <v>5</v>
      </c>
      <c r="D208" s="164">
        <v>1</v>
      </c>
      <c r="E208" s="165">
        <v>158.22999999999999</v>
      </c>
      <c r="F208" s="165">
        <v>158.22999999999999</v>
      </c>
    </row>
    <row r="209" spans="1:6" x14ac:dyDescent="0.25">
      <c r="A209" s="288" t="s">
        <v>904</v>
      </c>
      <c r="B209" s="285" t="s">
        <v>905</v>
      </c>
      <c r="C209" s="164"/>
      <c r="D209" s="164"/>
      <c r="E209" s="165"/>
      <c r="F209" s="165"/>
    </row>
    <row r="210" spans="1:6" ht="90" x14ac:dyDescent="0.25">
      <c r="A210" s="286" t="s">
        <v>906</v>
      </c>
      <c r="B210" s="287" t="s">
        <v>907</v>
      </c>
      <c r="C210" s="164" t="s">
        <v>5</v>
      </c>
      <c r="D210" s="164">
        <v>1</v>
      </c>
      <c r="E210" s="165">
        <v>118.22</v>
      </c>
      <c r="F210" s="165">
        <v>118.22</v>
      </c>
    </row>
    <row r="211" spans="1:6" ht="45" x14ac:dyDescent="0.25">
      <c r="A211" s="286" t="s">
        <v>908</v>
      </c>
      <c r="B211" s="287" t="s">
        <v>909</v>
      </c>
      <c r="C211" s="164" t="s">
        <v>8</v>
      </c>
      <c r="D211" s="164">
        <v>1</v>
      </c>
      <c r="E211" s="165">
        <v>390.67</v>
      </c>
      <c r="F211" s="165">
        <v>390.67</v>
      </c>
    </row>
    <row r="212" spans="1:6" ht="60" x14ac:dyDescent="0.25">
      <c r="A212" s="286" t="s">
        <v>910</v>
      </c>
      <c r="B212" s="287" t="s">
        <v>911</v>
      </c>
      <c r="C212" s="164" t="s">
        <v>5</v>
      </c>
      <c r="D212" s="164">
        <v>1</v>
      </c>
      <c r="E212" s="165">
        <v>413.05</v>
      </c>
      <c r="F212" s="165">
        <v>413.05</v>
      </c>
    </row>
    <row r="213" spans="1:6" ht="45" x14ac:dyDescent="0.25">
      <c r="A213" s="286" t="s">
        <v>912</v>
      </c>
      <c r="B213" s="287" t="s">
        <v>913</v>
      </c>
      <c r="C213" s="164" t="s">
        <v>5</v>
      </c>
      <c r="D213" s="164">
        <v>1</v>
      </c>
      <c r="E213" s="165">
        <v>412.18</v>
      </c>
      <c r="F213" s="165">
        <v>412.18</v>
      </c>
    </row>
    <row r="214" spans="1:6" ht="75" x14ac:dyDescent="0.25">
      <c r="A214" s="286" t="s">
        <v>914</v>
      </c>
      <c r="B214" s="287" t="s">
        <v>915</v>
      </c>
      <c r="C214" s="164" t="s">
        <v>5</v>
      </c>
      <c r="D214" s="164">
        <v>1</v>
      </c>
      <c r="E214" s="165">
        <v>117.28</v>
      </c>
      <c r="F214" s="165">
        <v>117.28</v>
      </c>
    </row>
    <row r="215" spans="1:6" x14ac:dyDescent="0.25">
      <c r="A215" s="288" t="s">
        <v>916</v>
      </c>
      <c r="B215" s="285" t="s">
        <v>917</v>
      </c>
      <c r="C215" s="164"/>
      <c r="D215" s="164"/>
      <c r="E215" s="165"/>
      <c r="F215" s="165"/>
    </row>
    <row r="216" spans="1:6" ht="45" x14ac:dyDescent="0.25">
      <c r="A216" s="286" t="s">
        <v>918</v>
      </c>
      <c r="B216" s="287" t="s">
        <v>26</v>
      </c>
      <c r="C216" s="164" t="s">
        <v>7</v>
      </c>
      <c r="D216" s="164">
        <v>1</v>
      </c>
      <c r="E216" s="165">
        <v>9.24</v>
      </c>
      <c r="F216" s="165">
        <v>9.24</v>
      </c>
    </row>
    <row r="217" spans="1:6" ht="45" x14ac:dyDescent="0.25">
      <c r="A217" s="286" t="s">
        <v>919</v>
      </c>
      <c r="B217" s="287" t="s">
        <v>920</v>
      </c>
      <c r="C217" s="164" t="s">
        <v>7</v>
      </c>
      <c r="D217" s="164">
        <v>1</v>
      </c>
      <c r="E217" s="165">
        <v>82.24</v>
      </c>
      <c r="F217" s="165">
        <v>82.24</v>
      </c>
    </row>
    <row r="218" spans="1:6" x14ac:dyDescent="0.25">
      <c r="A218" s="288" t="s">
        <v>921</v>
      </c>
      <c r="B218" s="285" t="s">
        <v>922</v>
      </c>
      <c r="C218" s="164"/>
      <c r="D218" s="164"/>
      <c r="E218" s="165"/>
      <c r="F218" s="165"/>
    </row>
    <row r="219" spans="1:6" ht="90" x14ac:dyDescent="0.25">
      <c r="A219" s="286" t="s">
        <v>923</v>
      </c>
      <c r="B219" s="287" t="s">
        <v>924</v>
      </c>
      <c r="C219" s="164" t="s">
        <v>5</v>
      </c>
      <c r="D219" s="164">
        <v>1</v>
      </c>
      <c r="E219" s="165">
        <v>102.91</v>
      </c>
      <c r="F219" s="165">
        <v>102.91</v>
      </c>
    </row>
    <row r="220" spans="1:6" ht="90" x14ac:dyDescent="0.25">
      <c r="A220" s="286" t="s">
        <v>925</v>
      </c>
      <c r="B220" s="287" t="s">
        <v>926</v>
      </c>
      <c r="C220" s="164" t="s">
        <v>5</v>
      </c>
      <c r="D220" s="164">
        <v>1</v>
      </c>
      <c r="E220" s="165">
        <v>191.82</v>
      </c>
      <c r="F220" s="165">
        <v>191.82</v>
      </c>
    </row>
    <row r="221" spans="1:6" ht="90" x14ac:dyDescent="0.25">
      <c r="A221" s="286" t="s">
        <v>927</v>
      </c>
      <c r="B221" s="287" t="s">
        <v>928</v>
      </c>
      <c r="C221" s="164" t="s">
        <v>5</v>
      </c>
      <c r="D221" s="164">
        <v>1</v>
      </c>
      <c r="E221" s="165">
        <v>72.33</v>
      </c>
      <c r="F221" s="165">
        <v>72.33</v>
      </c>
    </row>
    <row r="222" spans="1:6" ht="45" x14ac:dyDescent="0.25">
      <c r="A222" s="288" t="s">
        <v>929</v>
      </c>
      <c r="B222" s="285" t="s">
        <v>930</v>
      </c>
      <c r="C222" s="164"/>
      <c r="D222" s="164"/>
      <c r="E222" s="165"/>
      <c r="F222" s="165"/>
    </row>
    <row r="223" spans="1:6" ht="90" x14ac:dyDescent="0.25">
      <c r="A223" s="286" t="s">
        <v>931</v>
      </c>
      <c r="B223" s="287" t="s">
        <v>27</v>
      </c>
      <c r="C223" s="164" t="s">
        <v>5</v>
      </c>
      <c r="D223" s="164">
        <v>1</v>
      </c>
      <c r="E223" s="165">
        <v>54.08</v>
      </c>
      <c r="F223" s="165">
        <v>54.08</v>
      </c>
    </row>
    <row r="224" spans="1:6" ht="90" x14ac:dyDescent="0.25">
      <c r="A224" s="286" t="s">
        <v>932</v>
      </c>
      <c r="B224" s="287" t="s">
        <v>28</v>
      </c>
      <c r="C224" s="164" t="s">
        <v>5</v>
      </c>
      <c r="D224" s="164">
        <v>1</v>
      </c>
      <c r="E224" s="165">
        <v>66.83</v>
      </c>
      <c r="F224" s="165">
        <v>66.83</v>
      </c>
    </row>
    <row r="225" spans="1:6" ht="90" x14ac:dyDescent="0.25">
      <c r="A225" s="286" t="s">
        <v>933</v>
      </c>
      <c r="B225" s="287" t="s">
        <v>934</v>
      </c>
      <c r="C225" s="164" t="s">
        <v>5</v>
      </c>
      <c r="D225" s="164">
        <v>1</v>
      </c>
      <c r="E225" s="165">
        <v>79.83</v>
      </c>
      <c r="F225" s="165">
        <v>79.83</v>
      </c>
    </row>
    <row r="226" spans="1:6" ht="105" x14ac:dyDescent="0.25">
      <c r="A226" s="286" t="s">
        <v>935</v>
      </c>
      <c r="B226" s="287" t="s">
        <v>936</v>
      </c>
      <c r="C226" s="164" t="s">
        <v>5</v>
      </c>
      <c r="D226" s="164">
        <v>1</v>
      </c>
      <c r="E226" s="165">
        <v>70.73</v>
      </c>
      <c r="F226" s="165">
        <v>70.73</v>
      </c>
    </row>
    <row r="227" spans="1:6" ht="105" x14ac:dyDescent="0.25">
      <c r="A227" s="286" t="s">
        <v>937</v>
      </c>
      <c r="B227" s="287" t="s">
        <v>938</v>
      </c>
      <c r="C227" s="164" t="s">
        <v>5</v>
      </c>
      <c r="D227" s="164">
        <v>1</v>
      </c>
      <c r="E227" s="165">
        <v>58.98</v>
      </c>
      <c r="F227" s="165">
        <v>58.98</v>
      </c>
    </row>
    <row r="228" spans="1:6" ht="105" x14ac:dyDescent="0.25">
      <c r="A228" s="286" t="s">
        <v>939</v>
      </c>
      <c r="B228" s="287" t="s">
        <v>940</v>
      </c>
      <c r="C228" s="164" t="s">
        <v>5</v>
      </c>
      <c r="D228" s="164">
        <v>1</v>
      </c>
      <c r="E228" s="165">
        <v>124.48</v>
      </c>
      <c r="F228" s="165">
        <v>124.48</v>
      </c>
    </row>
    <row r="229" spans="1:6" ht="90" x14ac:dyDescent="0.25">
      <c r="A229" s="286" t="s">
        <v>941</v>
      </c>
      <c r="B229" s="287" t="s">
        <v>942</v>
      </c>
      <c r="C229" s="164" t="s">
        <v>5</v>
      </c>
      <c r="D229" s="164">
        <v>1</v>
      </c>
      <c r="E229" s="165">
        <v>102.39</v>
      </c>
      <c r="F229" s="165">
        <v>102.39</v>
      </c>
    </row>
    <row r="230" spans="1:6" x14ac:dyDescent="0.25">
      <c r="A230" s="288" t="s">
        <v>943</v>
      </c>
      <c r="B230" s="285" t="s">
        <v>944</v>
      </c>
      <c r="C230" s="164"/>
      <c r="D230" s="164"/>
      <c r="E230" s="165"/>
      <c r="F230" s="165"/>
    </row>
    <row r="231" spans="1:6" x14ac:dyDescent="0.25">
      <c r="A231" s="288" t="s">
        <v>945</v>
      </c>
      <c r="B231" s="285" t="s">
        <v>946</v>
      </c>
      <c r="C231" s="164"/>
      <c r="D231" s="164"/>
      <c r="E231" s="165"/>
      <c r="F231" s="165"/>
    </row>
    <row r="232" spans="1:6" ht="60" x14ac:dyDescent="0.25">
      <c r="A232" s="286" t="s">
        <v>947</v>
      </c>
      <c r="B232" s="287" t="s">
        <v>948</v>
      </c>
      <c r="C232" s="164" t="s">
        <v>8</v>
      </c>
      <c r="D232" s="164">
        <v>1</v>
      </c>
      <c r="E232" s="165">
        <v>350.87</v>
      </c>
      <c r="F232" s="165">
        <v>350.87</v>
      </c>
    </row>
    <row r="233" spans="1:6" ht="60" x14ac:dyDescent="0.25">
      <c r="A233" s="286" t="s">
        <v>949</v>
      </c>
      <c r="B233" s="287" t="s">
        <v>950</v>
      </c>
      <c r="C233" s="164" t="s">
        <v>8</v>
      </c>
      <c r="D233" s="164">
        <v>1</v>
      </c>
      <c r="E233" s="165">
        <v>350.87</v>
      </c>
      <c r="F233" s="165">
        <v>350.87</v>
      </c>
    </row>
    <row r="234" spans="1:6" ht="60" x14ac:dyDescent="0.25">
      <c r="A234" s="286" t="s">
        <v>951</v>
      </c>
      <c r="B234" s="287" t="s">
        <v>952</v>
      </c>
      <c r="C234" s="164" t="s">
        <v>8</v>
      </c>
      <c r="D234" s="164">
        <v>1</v>
      </c>
      <c r="E234" s="165">
        <v>350.87</v>
      </c>
      <c r="F234" s="165">
        <v>350.87</v>
      </c>
    </row>
    <row r="235" spans="1:6" ht="45" x14ac:dyDescent="0.25">
      <c r="A235" s="286" t="s">
        <v>953</v>
      </c>
      <c r="B235" s="287" t="s">
        <v>954</v>
      </c>
      <c r="C235" s="164" t="s">
        <v>7</v>
      </c>
      <c r="D235" s="164">
        <v>1</v>
      </c>
      <c r="E235" s="165">
        <v>16.600000000000001</v>
      </c>
      <c r="F235" s="165">
        <v>16.600000000000001</v>
      </c>
    </row>
    <row r="236" spans="1:6" ht="60" x14ac:dyDescent="0.25">
      <c r="A236" s="286" t="s">
        <v>955</v>
      </c>
      <c r="B236" s="287" t="s">
        <v>956</v>
      </c>
      <c r="C236" s="164" t="s">
        <v>8</v>
      </c>
      <c r="D236" s="164">
        <v>1</v>
      </c>
      <c r="E236" s="165">
        <v>350.87</v>
      </c>
      <c r="F236" s="165">
        <v>350.87</v>
      </c>
    </row>
    <row r="237" spans="1:6" ht="45" x14ac:dyDescent="0.25">
      <c r="A237" s="286" t="s">
        <v>957</v>
      </c>
      <c r="B237" s="287" t="s">
        <v>958</v>
      </c>
      <c r="C237" s="164" t="s">
        <v>7</v>
      </c>
      <c r="D237" s="164">
        <v>1</v>
      </c>
      <c r="E237" s="165">
        <v>84.27</v>
      </c>
      <c r="F237" s="165">
        <v>84.27</v>
      </c>
    </row>
    <row r="238" spans="1:6" ht="45" x14ac:dyDescent="0.25">
      <c r="A238" s="286" t="s">
        <v>959</v>
      </c>
      <c r="B238" s="287" t="s">
        <v>960</v>
      </c>
      <c r="C238" s="164" t="s">
        <v>7</v>
      </c>
      <c r="D238" s="164">
        <v>1</v>
      </c>
      <c r="E238" s="165">
        <v>63.09</v>
      </c>
      <c r="F238" s="165">
        <v>63.09</v>
      </c>
    </row>
    <row r="239" spans="1:6" ht="45" x14ac:dyDescent="0.25">
      <c r="A239" s="286" t="s">
        <v>961</v>
      </c>
      <c r="B239" s="287" t="s">
        <v>962</v>
      </c>
      <c r="C239" s="164" t="s">
        <v>7</v>
      </c>
      <c r="D239" s="164">
        <v>1</v>
      </c>
      <c r="E239" s="165">
        <v>22.33</v>
      </c>
      <c r="F239" s="165">
        <v>22.33</v>
      </c>
    </row>
    <row r="240" spans="1:6" x14ac:dyDescent="0.25">
      <c r="A240" s="288" t="s">
        <v>963</v>
      </c>
      <c r="B240" s="285" t="s">
        <v>964</v>
      </c>
      <c r="C240" s="164"/>
      <c r="D240" s="164"/>
      <c r="E240" s="165"/>
      <c r="F240" s="165"/>
    </row>
    <row r="241" spans="1:6" ht="45" x14ac:dyDescent="0.25">
      <c r="A241" s="286" t="s">
        <v>965</v>
      </c>
      <c r="B241" s="287" t="s">
        <v>966</v>
      </c>
      <c r="C241" s="164" t="s">
        <v>8</v>
      </c>
      <c r="D241" s="164">
        <v>1</v>
      </c>
      <c r="E241" s="165">
        <v>9.52</v>
      </c>
      <c r="F241" s="165">
        <v>9.52</v>
      </c>
    </row>
    <row r="242" spans="1:6" ht="45" x14ac:dyDescent="0.25">
      <c r="A242" s="286" t="s">
        <v>967</v>
      </c>
      <c r="B242" s="287" t="s">
        <v>968</v>
      </c>
      <c r="C242" s="164" t="s">
        <v>8</v>
      </c>
      <c r="D242" s="164">
        <v>1</v>
      </c>
      <c r="E242" s="165">
        <v>100.02</v>
      </c>
      <c r="F242" s="165">
        <v>100.02</v>
      </c>
    </row>
    <row r="243" spans="1:6" ht="45" x14ac:dyDescent="0.25">
      <c r="A243" s="286" t="s">
        <v>969</v>
      </c>
      <c r="B243" s="287" t="s">
        <v>970</v>
      </c>
      <c r="C243" s="164" t="s">
        <v>8</v>
      </c>
      <c r="D243" s="164">
        <v>1</v>
      </c>
      <c r="E243" s="165">
        <v>254.11</v>
      </c>
      <c r="F243" s="165">
        <v>254.11</v>
      </c>
    </row>
    <row r="244" spans="1:6" ht="30" x14ac:dyDescent="0.25">
      <c r="A244" s="286" t="s">
        <v>971</v>
      </c>
      <c r="B244" s="287" t="s">
        <v>972</v>
      </c>
      <c r="C244" s="164" t="s">
        <v>8</v>
      </c>
      <c r="D244" s="164">
        <v>1</v>
      </c>
      <c r="E244" s="165">
        <v>68.14</v>
      </c>
      <c r="F244" s="165">
        <v>68.14</v>
      </c>
    </row>
    <row r="245" spans="1:6" ht="45" x14ac:dyDescent="0.25">
      <c r="A245" s="286" t="s">
        <v>973</v>
      </c>
      <c r="B245" s="287" t="s">
        <v>974</v>
      </c>
      <c r="C245" s="164" t="s">
        <v>8</v>
      </c>
      <c r="D245" s="164">
        <v>1</v>
      </c>
      <c r="E245" s="165">
        <v>177.32</v>
      </c>
      <c r="F245" s="165">
        <v>177.32</v>
      </c>
    </row>
    <row r="246" spans="1:6" ht="45" x14ac:dyDescent="0.25">
      <c r="A246" s="286" t="s">
        <v>975</v>
      </c>
      <c r="B246" s="287" t="s">
        <v>976</v>
      </c>
      <c r="C246" s="164" t="s">
        <v>8</v>
      </c>
      <c r="D246" s="164">
        <v>1</v>
      </c>
      <c r="E246" s="165">
        <v>102.69</v>
      </c>
      <c r="F246" s="165">
        <v>102.69</v>
      </c>
    </row>
    <row r="247" spans="1:6" ht="45" x14ac:dyDescent="0.25">
      <c r="A247" s="286" t="s">
        <v>977</v>
      </c>
      <c r="B247" s="287" t="s">
        <v>978</v>
      </c>
      <c r="C247" s="164" t="s">
        <v>8</v>
      </c>
      <c r="D247" s="164">
        <v>1</v>
      </c>
      <c r="E247" s="165">
        <v>89.37</v>
      </c>
      <c r="F247" s="165">
        <v>89.37</v>
      </c>
    </row>
    <row r="248" spans="1:6" ht="45" x14ac:dyDescent="0.25">
      <c r="A248" s="286" t="s">
        <v>979</v>
      </c>
      <c r="B248" s="287" t="s">
        <v>980</v>
      </c>
      <c r="C248" s="164" t="s">
        <v>8</v>
      </c>
      <c r="D248" s="164">
        <v>1</v>
      </c>
      <c r="E248" s="165">
        <v>58.06</v>
      </c>
      <c r="F248" s="165">
        <v>58.06</v>
      </c>
    </row>
    <row r="249" spans="1:6" ht="105" x14ac:dyDescent="0.25">
      <c r="A249" s="288" t="s">
        <v>981</v>
      </c>
      <c r="B249" s="285" t="s">
        <v>982</v>
      </c>
      <c r="C249" s="164"/>
      <c r="D249" s="164"/>
      <c r="E249" s="165"/>
      <c r="F249" s="165"/>
    </row>
    <row r="250" spans="1:6" ht="105" x14ac:dyDescent="0.25">
      <c r="A250" s="286" t="s">
        <v>983</v>
      </c>
      <c r="B250" s="287" t="s">
        <v>984</v>
      </c>
      <c r="C250" s="164" t="s">
        <v>8</v>
      </c>
      <c r="D250" s="164">
        <v>1</v>
      </c>
      <c r="E250" s="165">
        <v>888.25</v>
      </c>
      <c r="F250" s="165">
        <v>888.25</v>
      </c>
    </row>
    <row r="251" spans="1:6" ht="105" x14ac:dyDescent="0.25">
      <c r="A251" s="286" t="s">
        <v>985</v>
      </c>
      <c r="B251" s="287" t="s">
        <v>986</v>
      </c>
      <c r="C251" s="164" t="s">
        <v>8</v>
      </c>
      <c r="D251" s="164">
        <v>1</v>
      </c>
      <c r="E251" s="165">
        <v>896.17</v>
      </c>
      <c r="F251" s="165">
        <v>896.17</v>
      </c>
    </row>
    <row r="252" spans="1:6" ht="105" x14ac:dyDescent="0.25">
      <c r="A252" s="286" t="s">
        <v>987</v>
      </c>
      <c r="B252" s="287" t="s">
        <v>988</v>
      </c>
      <c r="C252" s="164" t="s">
        <v>8</v>
      </c>
      <c r="D252" s="164">
        <v>1</v>
      </c>
      <c r="E252" s="165">
        <v>904.42</v>
      </c>
      <c r="F252" s="165">
        <v>904.42</v>
      </c>
    </row>
    <row r="253" spans="1:6" ht="105" x14ac:dyDescent="0.25">
      <c r="A253" s="286" t="s">
        <v>989</v>
      </c>
      <c r="B253" s="287" t="s">
        <v>990</v>
      </c>
      <c r="C253" s="164" t="s">
        <v>8</v>
      </c>
      <c r="D253" s="164">
        <v>1</v>
      </c>
      <c r="E253" s="165">
        <v>942.22</v>
      </c>
      <c r="F253" s="165">
        <v>942.22</v>
      </c>
    </row>
    <row r="254" spans="1:6" ht="90" x14ac:dyDescent="0.25">
      <c r="A254" s="288" t="s">
        <v>991</v>
      </c>
      <c r="B254" s="285" t="s">
        <v>992</v>
      </c>
      <c r="C254" s="164"/>
      <c r="D254" s="164"/>
      <c r="E254" s="165"/>
      <c r="F254" s="165"/>
    </row>
    <row r="255" spans="1:6" ht="120" x14ac:dyDescent="0.25">
      <c r="A255" s="286" t="s">
        <v>993</v>
      </c>
      <c r="B255" s="287" t="s">
        <v>994</v>
      </c>
      <c r="C255" s="164" t="s">
        <v>8</v>
      </c>
      <c r="D255" s="164">
        <v>1</v>
      </c>
      <c r="E255" s="165">
        <v>762.6</v>
      </c>
      <c r="F255" s="165">
        <v>762.6</v>
      </c>
    </row>
    <row r="256" spans="1:6" ht="120" x14ac:dyDescent="0.25">
      <c r="A256" s="286" t="s">
        <v>995</v>
      </c>
      <c r="B256" s="287" t="s">
        <v>996</v>
      </c>
      <c r="C256" s="164" t="s">
        <v>8</v>
      </c>
      <c r="D256" s="164">
        <v>1</v>
      </c>
      <c r="E256" s="165">
        <v>789.25</v>
      </c>
      <c r="F256" s="165">
        <v>789.25</v>
      </c>
    </row>
    <row r="257" spans="1:6" ht="120" x14ac:dyDescent="0.25">
      <c r="A257" s="286" t="s">
        <v>997</v>
      </c>
      <c r="B257" s="287" t="s">
        <v>998</v>
      </c>
      <c r="C257" s="164" t="s">
        <v>8</v>
      </c>
      <c r="D257" s="164">
        <v>1</v>
      </c>
      <c r="E257" s="165">
        <v>762.6</v>
      </c>
      <c r="F257" s="165">
        <v>762.6</v>
      </c>
    </row>
    <row r="258" spans="1:6" ht="120" x14ac:dyDescent="0.25">
      <c r="A258" s="286" t="s">
        <v>999</v>
      </c>
      <c r="B258" s="287" t="s">
        <v>1000</v>
      </c>
      <c r="C258" s="164" t="s">
        <v>8</v>
      </c>
      <c r="D258" s="164">
        <v>1</v>
      </c>
      <c r="E258" s="165">
        <v>789.25</v>
      </c>
      <c r="F258" s="165">
        <v>789.25</v>
      </c>
    </row>
    <row r="259" spans="1:6" ht="60" x14ac:dyDescent="0.25">
      <c r="A259" s="288" t="s">
        <v>1001</v>
      </c>
      <c r="B259" s="285" t="s">
        <v>1002</v>
      </c>
      <c r="C259" s="164"/>
      <c r="D259" s="164"/>
      <c r="E259" s="165"/>
      <c r="F259" s="165"/>
    </row>
    <row r="260" spans="1:6" ht="60" x14ac:dyDescent="0.25">
      <c r="A260" s="286" t="s">
        <v>1003</v>
      </c>
      <c r="B260" s="287" t="s">
        <v>1004</v>
      </c>
      <c r="C260" s="164" t="s">
        <v>8</v>
      </c>
      <c r="D260" s="164">
        <v>1</v>
      </c>
      <c r="E260" s="165">
        <v>943.07</v>
      </c>
      <c r="F260" s="165">
        <v>943.07</v>
      </c>
    </row>
    <row r="261" spans="1:6" ht="60" x14ac:dyDescent="0.25">
      <c r="A261" s="286" t="s">
        <v>1005</v>
      </c>
      <c r="B261" s="287" t="s">
        <v>1006</v>
      </c>
      <c r="C261" s="164" t="s">
        <v>8</v>
      </c>
      <c r="D261" s="164">
        <v>1</v>
      </c>
      <c r="E261" s="289">
        <v>1068.5</v>
      </c>
      <c r="F261" s="289">
        <v>1068.5</v>
      </c>
    </row>
    <row r="262" spans="1:6" ht="60" x14ac:dyDescent="0.25">
      <c r="A262" s="286" t="s">
        <v>1007</v>
      </c>
      <c r="B262" s="287" t="s">
        <v>1008</v>
      </c>
      <c r="C262" s="164" t="s">
        <v>8</v>
      </c>
      <c r="D262" s="164">
        <v>1</v>
      </c>
      <c r="E262" s="289">
        <v>1160.4000000000001</v>
      </c>
      <c r="F262" s="289">
        <v>1160.4000000000001</v>
      </c>
    </row>
    <row r="263" spans="1:6" ht="120" x14ac:dyDescent="0.25">
      <c r="A263" s="288" t="s">
        <v>1009</v>
      </c>
      <c r="B263" s="285" t="s">
        <v>1010</v>
      </c>
      <c r="C263" s="164"/>
      <c r="D263" s="164"/>
      <c r="E263" s="165"/>
      <c r="F263" s="165"/>
    </row>
    <row r="264" spans="1:6" ht="120" x14ac:dyDescent="0.25">
      <c r="A264" s="286" t="s">
        <v>1011</v>
      </c>
      <c r="B264" s="287" t="s">
        <v>1012</v>
      </c>
      <c r="C264" s="164" t="s">
        <v>8</v>
      </c>
      <c r="D264" s="164">
        <v>1</v>
      </c>
      <c r="E264" s="289">
        <v>1237.92</v>
      </c>
      <c r="F264" s="289">
        <v>1237.92</v>
      </c>
    </row>
    <row r="265" spans="1:6" ht="120" x14ac:dyDescent="0.25">
      <c r="A265" s="286" t="s">
        <v>1013</v>
      </c>
      <c r="B265" s="287" t="s">
        <v>1014</v>
      </c>
      <c r="C265" s="164" t="s">
        <v>8</v>
      </c>
      <c r="D265" s="164">
        <v>1</v>
      </c>
      <c r="E265" s="289">
        <v>1295.17</v>
      </c>
      <c r="F265" s="289">
        <v>1295.17</v>
      </c>
    </row>
    <row r="266" spans="1:6" ht="120" x14ac:dyDescent="0.25">
      <c r="A266" s="286" t="s">
        <v>1015</v>
      </c>
      <c r="B266" s="287" t="s">
        <v>1016</v>
      </c>
      <c r="C266" s="164" t="s">
        <v>8</v>
      </c>
      <c r="D266" s="164">
        <v>1</v>
      </c>
      <c r="E266" s="289">
        <v>1365.84</v>
      </c>
      <c r="F266" s="289">
        <v>1365.84</v>
      </c>
    </row>
    <row r="267" spans="1:6" x14ac:dyDescent="0.25">
      <c r="A267" s="288" t="s">
        <v>1017</v>
      </c>
      <c r="B267" s="285" t="s">
        <v>1018</v>
      </c>
      <c r="C267" s="164"/>
      <c r="D267" s="164"/>
      <c r="E267" s="165"/>
      <c r="F267" s="165"/>
    </row>
    <row r="268" spans="1:6" ht="30" x14ac:dyDescent="0.25">
      <c r="A268" s="286" t="s">
        <v>1019</v>
      </c>
      <c r="B268" s="287" t="s">
        <v>1020</v>
      </c>
      <c r="C268" s="164" t="s">
        <v>8</v>
      </c>
      <c r="D268" s="164">
        <v>1</v>
      </c>
      <c r="E268" s="165">
        <v>76.5</v>
      </c>
      <c r="F268" s="165">
        <v>76.5</v>
      </c>
    </row>
    <row r="269" spans="1:6" ht="45" x14ac:dyDescent="0.25">
      <c r="A269" s="286" t="s">
        <v>1021</v>
      </c>
      <c r="B269" s="287" t="s">
        <v>1022</v>
      </c>
      <c r="C269" s="164" t="s">
        <v>8</v>
      </c>
      <c r="D269" s="164">
        <v>1</v>
      </c>
      <c r="E269" s="165">
        <v>230.59</v>
      </c>
      <c r="F269" s="165">
        <v>230.59</v>
      </c>
    </row>
    <row r="270" spans="1:6" ht="30" x14ac:dyDescent="0.25">
      <c r="A270" s="286" t="s">
        <v>1023</v>
      </c>
      <c r="B270" s="287" t="s">
        <v>1024</v>
      </c>
      <c r="C270" s="164" t="s">
        <v>8</v>
      </c>
      <c r="D270" s="164">
        <v>1</v>
      </c>
      <c r="E270" s="165">
        <v>153.80000000000001</v>
      </c>
      <c r="F270" s="165">
        <v>153.80000000000001</v>
      </c>
    </row>
    <row r="271" spans="1:6" ht="45" x14ac:dyDescent="0.25">
      <c r="A271" s="286" t="s">
        <v>1025</v>
      </c>
      <c r="B271" s="287" t="s">
        <v>1026</v>
      </c>
      <c r="C271" s="164" t="s">
        <v>8</v>
      </c>
      <c r="D271" s="164">
        <v>1</v>
      </c>
      <c r="E271" s="165">
        <v>66.55</v>
      </c>
      <c r="F271" s="165">
        <v>66.55</v>
      </c>
    </row>
    <row r="272" spans="1:6" ht="30" x14ac:dyDescent="0.25">
      <c r="A272" s="286" t="s">
        <v>1027</v>
      </c>
      <c r="B272" s="287" t="s">
        <v>1028</v>
      </c>
      <c r="C272" s="164" t="s">
        <v>8</v>
      </c>
      <c r="D272" s="164">
        <v>1</v>
      </c>
      <c r="E272" s="165">
        <v>56.45</v>
      </c>
      <c r="F272" s="165">
        <v>56.45</v>
      </c>
    </row>
    <row r="273" spans="1:6" ht="30" x14ac:dyDescent="0.25">
      <c r="A273" s="286" t="s">
        <v>1029</v>
      </c>
      <c r="B273" s="287" t="s">
        <v>1030</v>
      </c>
      <c r="C273" s="164" t="s">
        <v>8</v>
      </c>
      <c r="D273" s="164">
        <v>1</v>
      </c>
      <c r="E273" s="165">
        <v>8.32</v>
      </c>
      <c r="F273" s="165">
        <v>8.32</v>
      </c>
    </row>
    <row r="274" spans="1:6" x14ac:dyDescent="0.25">
      <c r="A274" s="286" t="s">
        <v>1031</v>
      </c>
      <c r="B274" s="287" t="s">
        <v>1032</v>
      </c>
      <c r="C274" s="164" t="s">
        <v>8</v>
      </c>
      <c r="D274" s="164">
        <v>1</v>
      </c>
      <c r="E274" s="165">
        <v>53.22</v>
      </c>
      <c r="F274" s="165">
        <v>53.22</v>
      </c>
    </row>
    <row r="275" spans="1:6" ht="45" x14ac:dyDescent="0.25">
      <c r="A275" s="286" t="s">
        <v>1033</v>
      </c>
      <c r="B275" s="287" t="s">
        <v>1034</v>
      </c>
      <c r="C275" s="164" t="s">
        <v>8</v>
      </c>
      <c r="D275" s="164">
        <v>1</v>
      </c>
      <c r="E275" s="165">
        <v>60.67</v>
      </c>
      <c r="F275" s="165">
        <v>60.67</v>
      </c>
    </row>
    <row r="276" spans="1:6" ht="30" x14ac:dyDescent="0.25">
      <c r="A276" s="286" t="s">
        <v>1035</v>
      </c>
      <c r="B276" s="287" t="s">
        <v>1036</v>
      </c>
      <c r="C276" s="164" t="s">
        <v>7</v>
      </c>
      <c r="D276" s="164">
        <v>1</v>
      </c>
      <c r="E276" s="165">
        <v>2.59</v>
      </c>
      <c r="F276" s="165">
        <v>2.59</v>
      </c>
    </row>
    <row r="277" spans="1:6" ht="30" x14ac:dyDescent="0.25">
      <c r="A277" s="286" t="s">
        <v>1037</v>
      </c>
      <c r="B277" s="287" t="s">
        <v>1038</v>
      </c>
      <c r="C277" s="164" t="s">
        <v>7</v>
      </c>
      <c r="D277" s="164">
        <v>1</v>
      </c>
      <c r="E277" s="165">
        <v>12.46</v>
      </c>
      <c r="F277" s="165">
        <v>12.46</v>
      </c>
    </row>
    <row r="278" spans="1:6" ht="90" x14ac:dyDescent="0.25">
      <c r="A278" s="288" t="s">
        <v>1039</v>
      </c>
      <c r="B278" s="285" t="s">
        <v>1040</v>
      </c>
      <c r="C278" s="164"/>
      <c r="D278" s="164"/>
      <c r="E278" s="165"/>
      <c r="F278" s="165"/>
    </row>
    <row r="279" spans="1:6" ht="105" x14ac:dyDescent="0.25">
      <c r="A279" s="286" t="s">
        <v>1041</v>
      </c>
      <c r="B279" s="287" t="s">
        <v>1042</v>
      </c>
      <c r="C279" s="164" t="s">
        <v>8</v>
      </c>
      <c r="D279" s="164">
        <v>1</v>
      </c>
      <c r="E279" s="165">
        <v>632.44000000000005</v>
      </c>
      <c r="F279" s="165">
        <v>632.44000000000005</v>
      </c>
    </row>
    <row r="280" spans="1:6" ht="105" x14ac:dyDescent="0.25">
      <c r="A280" s="286" t="s">
        <v>1043</v>
      </c>
      <c r="B280" s="287" t="s">
        <v>1044</v>
      </c>
      <c r="C280" s="164" t="s">
        <v>8</v>
      </c>
      <c r="D280" s="164">
        <v>1</v>
      </c>
      <c r="E280" s="165">
        <v>659.09</v>
      </c>
      <c r="F280" s="165">
        <v>659.09</v>
      </c>
    </row>
    <row r="281" spans="1:6" ht="90" x14ac:dyDescent="0.25">
      <c r="A281" s="288" t="s">
        <v>1045</v>
      </c>
      <c r="B281" s="285" t="s">
        <v>1046</v>
      </c>
      <c r="C281" s="164"/>
      <c r="D281" s="164"/>
      <c r="E281" s="165"/>
      <c r="F281" s="165"/>
    </row>
    <row r="282" spans="1:6" ht="105" x14ac:dyDescent="0.25">
      <c r="A282" s="286" t="s">
        <v>1047</v>
      </c>
      <c r="B282" s="287" t="s">
        <v>1048</v>
      </c>
      <c r="C282" s="164" t="s">
        <v>8</v>
      </c>
      <c r="D282" s="164">
        <v>1</v>
      </c>
      <c r="E282" s="289">
        <v>1332.65</v>
      </c>
      <c r="F282" s="289">
        <v>1332.65</v>
      </c>
    </row>
    <row r="283" spans="1:6" ht="105" x14ac:dyDescent="0.25">
      <c r="A283" s="286" t="s">
        <v>1049</v>
      </c>
      <c r="B283" s="287" t="s">
        <v>1050</v>
      </c>
      <c r="C283" s="164" t="s">
        <v>8</v>
      </c>
      <c r="D283" s="164">
        <v>1</v>
      </c>
      <c r="E283" s="289">
        <v>1410.29</v>
      </c>
      <c r="F283" s="289">
        <v>1410.29</v>
      </c>
    </row>
    <row r="284" spans="1:6" ht="105" x14ac:dyDescent="0.25">
      <c r="A284" s="286" t="s">
        <v>1051</v>
      </c>
      <c r="B284" s="287" t="s">
        <v>1052</v>
      </c>
      <c r="C284" s="164" t="s">
        <v>8</v>
      </c>
      <c r="D284" s="164">
        <v>1</v>
      </c>
      <c r="E284" s="289">
        <v>1524.32</v>
      </c>
      <c r="F284" s="289">
        <v>1524.32</v>
      </c>
    </row>
    <row r="285" spans="1:6" ht="105" x14ac:dyDescent="0.25">
      <c r="A285" s="286" t="s">
        <v>1053</v>
      </c>
      <c r="B285" s="287" t="s">
        <v>1054</v>
      </c>
      <c r="C285" s="164" t="s">
        <v>8</v>
      </c>
      <c r="D285" s="164">
        <v>1</v>
      </c>
      <c r="E285" s="289">
        <v>1585.62</v>
      </c>
      <c r="F285" s="289">
        <v>1585.62</v>
      </c>
    </row>
    <row r="286" spans="1:6" ht="120" x14ac:dyDescent="0.25">
      <c r="A286" s="286" t="s">
        <v>1055</v>
      </c>
      <c r="B286" s="287" t="s">
        <v>1056</v>
      </c>
      <c r="C286" s="164" t="s">
        <v>8</v>
      </c>
      <c r="D286" s="164">
        <v>1</v>
      </c>
      <c r="E286" s="289">
        <v>2719.51</v>
      </c>
      <c r="F286" s="289">
        <v>2719.51</v>
      </c>
    </row>
    <row r="287" spans="1:6" x14ac:dyDescent="0.25">
      <c r="A287" s="288" t="s">
        <v>1057</v>
      </c>
      <c r="B287" s="285" t="s">
        <v>29</v>
      </c>
      <c r="C287" s="164"/>
      <c r="D287" s="164"/>
      <c r="E287" s="165"/>
      <c r="F287" s="165"/>
    </row>
    <row r="288" spans="1:6" x14ac:dyDescent="0.25">
      <c r="A288" s="288" t="s">
        <v>1058</v>
      </c>
      <c r="B288" s="285" t="s">
        <v>1059</v>
      </c>
      <c r="C288" s="164"/>
      <c r="D288" s="164"/>
      <c r="E288" s="165"/>
      <c r="F288" s="165"/>
    </row>
    <row r="289" spans="1:6" ht="75" x14ac:dyDescent="0.25">
      <c r="A289" s="286" t="s">
        <v>1060</v>
      </c>
      <c r="B289" s="287" t="s">
        <v>1061</v>
      </c>
      <c r="C289" s="164" t="s">
        <v>5</v>
      </c>
      <c r="D289" s="164">
        <v>1</v>
      </c>
      <c r="E289" s="165">
        <v>738.45</v>
      </c>
      <c r="F289" s="165">
        <v>738.45</v>
      </c>
    </row>
    <row r="290" spans="1:6" ht="60" x14ac:dyDescent="0.25">
      <c r="A290" s="286" t="s">
        <v>1062</v>
      </c>
      <c r="B290" s="287" t="s">
        <v>1063</v>
      </c>
      <c r="C290" s="164" t="s">
        <v>5</v>
      </c>
      <c r="D290" s="164">
        <v>1</v>
      </c>
      <c r="E290" s="165">
        <v>139</v>
      </c>
      <c r="F290" s="165">
        <v>139</v>
      </c>
    </row>
    <row r="291" spans="1:6" ht="30" x14ac:dyDescent="0.25">
      <c r="A291" s="286" t="s">
        <v>1064</v>
      </c>
      <c r="B291" s="287" t="s">
        <v>1065</v>
      </c>
      <c r="C291" s="164" t="s">
        <v>5</v>
      </c>
      <c r="D291" s="164">
        <v>1</v>
      </c>
      <c r="E291" s="165">
        <v>692.97</v>
      </c>
      <c r="F291" s="165">
        <v>692.97</v>
      </c>
    </row>
    <row r="292" spans="1:6" ht="30" x14ac:dyDescent="0.25">
      <c r="A292" s="286" t="s">
        <v>1066</v>
      </c>
      <c r="B292" s="287" t="s">
        <v>1067</v>
      </c>
      <c r="C292" s="164" t="s">
        <v>5</v>
      </c>
      <c r="D292" s="164">
        <v>1</v>
      </c>
      <c r="E292" s="165">
        <v>406.5</v>
      </c>
      <c r="F292" s="165">
        <v>406.5</v>
      </c>
    </row>
    <row r="293" spans="1:6" ht="30" x14ac:dyDescent="0.25">
      <c r="A293" s="286" t="s">
        <v>1068</v>
      </c>
      <c r="B293" s="287" t="s">
        <v>1069</v>
      </c>
      <c r="C293" s="164" t="s">
        <v>5</v>
      </c>
      <c r="D293" s="164">
        <v>1</v>
      </c>
      <c r="E293" s="165">
        <v>859.08</v>
      </c>
      <c r="F293" s="165">
        <v>859.08</v>
      </c>
    </row>
    <row r="294" spans="1:6" ht="30" x14ac:dyDescent="0.25">
      <c r="A294" s="286" t="s">
        <v>1070</v>
      </c>
      <c r="B294" s="287" t="s">
        <v>452</v>
      </c>
      <c r="C294" s="164" t="s">
        <v>5</v>
      </c>
      <c r="D294" s="164">
        <v>1</v>
      </c>
      <c r="E294" s="289">
        <v>1011.4</v>
      </c>
      <c r="F294" s="289">
        <v>1011.4</v>
      </c>
    </row>
    <row r="295" spans="1:6" x14ac:dyDescent="0.25">
      <c r="A295" s="288" t="s">
        <v>1071</v>
      </c>
      <c r="B295" s="285" t="s">
        <v>1072</v>
      </c>
      <c r="C295" s="164"/>
      <c r="D295" s="164"/>
      <c r="E295" s="165"/>
      <c r="F295" s="165"/>
    </row>
    <row r="296" spans="1:6" ht="75" x14ac:dyDescent="0.25">
      <c r="A296" s="286" t="s">
        <v>1073</v>
      </c>
      <c r="B296" s="287" t="s">
        <v>1074</v>
      </c>
      <c r="C296" s="164" t="s">
        <v>5</v>
      </c>
      <c r="D296" s="164">
        <v>1</v>
      </c>
      <c r="E296" s="165">
        <v>574.22</v>
      </c>
      <c r="F296" s="165">
        <v>574.22</v>
      </c>
    </row>
    <row r="297" spans="1:6" ht="60" x14ac:dyDescent="0.25">
      <c r="A297" s="286" t="s">
        <v>1075</v>
      </c>
      <c r="B297" s="287" t="s">
        <v>1076</v>
      </c>
      <c r="C297" s="164" t="s">
        <v>5</v>
      </c>
      <c r="D297" s="164">
        <v>1</v>
      </c>
      <c r="E297" s="165">
        <v>672.56</v>
      </c>
      <c r="F297" s="165">
        <v>672.56</v>
      </c>
    </row>
    <row r="298" spans="1:6" ht="75" x14ac:dyDescent="0.25">
      <c r="A298" s="286" t="s">
        <v>1077</v>
      </c>
      <c r="B298" s="287" t="s">
        <v>30</v>
      </c>
      <c r="C298" s="164" t="s">
        <v>5</v>
      </c>
      <c r="D298" s="164">
        <v>1</v>
      </c>
      <c r="E298" s="165">
        <v>479.52</v>
      </c>
      <c r="F298" s="165">
        <v>479.52</v>
      </c>
    </row>
    <row r="299" spans="1:6" ht="60" x14ac:dyDescent="0.25">
      <c r="A299" s="286" t="s">
        <v>1078</v>
      </c>
      <c r="B299" s="287" t="s">
        <v>31</v>
      </c>
      <c r="C299" s="164" t="s">
        <v>5</v>
      </c>
      <c r="D299" s="164">
        <v>1</v>
      </c>
      <c r="E299" s="289">
        <v>1047.1300000000001</v>
      </c>
      <c r="F299" s="289">
        <v>1047.1300000000001</v>
      </c>
    </row>
    <row r="300" spans="1:6" ht="60" x14ac:dyDescent="0.25">
      <c r="A300" s="286" t="s">
        <v>1079</v>
      </c>
      <c r="B300" s="287" t="s">
        <v>1080</v>
      </c>
      <c r="C300" s="164" t="s">
        <v>5</v>
      </c>
      <c r="D300" s="164">
        <v>1</v>
      </c>
      <c r="E300" s="165">
        <v>311.95</v>
      </c>
      <c r="F300" s="165">
        <v>311.95</v>
      </c>
    </row>
    <row r="301" spans="1:6" x14ac:dyDescent="0.25">
      <c r="A301" s="288" t="s">
        <v>1081</v>
      </c>
      <c r="B301" s="285" t="s">
        <v>1018</v>
      </c>
      <c r="C301" s="164"/>
      <c r="D301" s="164"/>
      <c r="E301" s="165"/>
      <c r="F301" s="165"/>
    </row>
    <row r="302" spans="1:6" ht="30" x14ac:dyDescent="0.25">
      <c r="A302" s="286" t="s">
        <v>1082</v>
      </c>
      <c r="B302" s="287" t="s">
        <v>1083</v>
      </c>
      <c r="C302" s="164" t="s">
        <v>5</v>
      </c>
      <c r="D302" s="164">
        <v>1</v>
      </c>
      <c r="E302" s="165">
        <v>21.08</v>
      </c>
      <c r="F302" s="165">
        <v>21.08</v>
      </c>
    </row>
    <row r="303" spans="1:6" x14ac:dyDescent="0.25">
      <c r="A303" s="288" t="s">
        <v>1084</v>
      </c>
      <c r="B303" s="285" t="s">
        <v>32</v>
      </c>
      <c r="C303" s="164"/>
      <c r="D303" s="164"/>
      <c r="E303" s="165"/>
      <c r="F303" s="165"/>
    </row>
    <row r="304" spans="1:6" x14ac:dyDescent="0.25">
      <c r="A304" s="288" t="s">
        <v>1085</v>
      </c>
      <c r="B304" s="285" t="s">
        <v>1086</v>
      </c>
      <c r="C304" s="164"/>
      <c r="D304" s="164"/>
      <c r="E304" s="165"/>
      <c r="F304" s="165"/>
    </row>
    <row r="305" spans="1:6" ht="30" x14ac:dyDescent="0.25">
      <c r="A305" s="286" t="s">
        <v>1087</v>
      </c>
      <c r="B305" s="287" t="s">
        <v>33</v>
      </c>
      <c r="C305" s="164" t="s">
        <v>5</v>
      </c>
      <c r="D305" s="164">
        <v>1</v>
      </c>
      <c r="E305" s="165">
        <v>284.5</v>
      </c>
      <c r="F305" s="165">
        <v>284.5</v>
      </c>
    </row>
    <row r="306" spans="1:6" ht="30" x14ac:dyDescent="0.25">
      <c r="A306" s="286" t="s">
        <v>1088</v>
      </c>
      <c r="B306" s="287" t="s">
        <v>1089</v>
      </c>
      <c r="C306" s="164" t="s">
        <v>5</v>
      </c>
      <c r="D306" s="164">
        <v>1</v>
      </c>
      <c r="E306" s="165">
        <v>321</v>
      </c>
      <c r="F306" s="165">
        <v>321</v>
      </c>
    </row>
    <row r="307" spans="1:6" x14ac:dyDescent="0.25">
      <c r="A307" s="286" t="s">
        <v>1090</v>
      </c>
      <c r="B307" s="287" t="s">
        <v>1091</v>
      </c>
      <c r="C307" s="164" t="s">
        <v>5</v>
      </c>
      <c r="D307" s="164">
        <v>1</v>
      </c>
      <c r="E307" s="289">
        <v>1084.5</v>
      </c>
      <c r="F307" s="289">
        <v>1084.5</v>
      </c>
    </row>
    <row r="308" spans="1:6" x14ac:dyDescent="0.25">
      <c r="A308" s="288" t="s">
        <v>1092</v>
      </c>
      <c r="B308" s="285" t="s">
        <v>1093</v>
      </c>
      <c r="C308" s="164"/>
      <c r="D308" s="164"/>
      <c r="E308" s="165"/>
      <c r="F308" s="165"/>
    </row>
    <row r="309" spans="1:6" ht="60" x14ac:dyDescent="0.25">
      <c r="A309" s="286" t="s">
        <v>1094</v>
      </c>
      <c r="B309" s="287" t="s">
        <v>101</v>
      </c>
      <c r="C309" s="164" t="s">
        <v>5</v>
      </c>
      <c r="D309" s="164">
        <v>1</v>
      </c>
      <c r="E309" s="165">
        <v>667.41</v>
      </c>
      <c r="F309" s="165">
        <v>667.41</v>
      </c>
    </row>
    <row r="310" spans="1:6" ht="75" x14ac:dyDescent="0.25">
      <c r="A310" s="286" t="s">
        <v>1095</v>
      </c>
      <c r="B310" s="287" t="s">
        <v>1096</v>
      </c>
      <c r="C310" s="164" t="s">
        <v>5</v>
      </c>
      <c r="D310" s="164">
        <v>1</v>
      </c>
      <c r="E310" s="165">
        <v>855.52</v>
      </c>
      <c r="F310" s="165">
        <v>855.52</v>
      </c>
    </row>
    <row r="311" spans="1:6" ht="75" x14ac:dyDescent="0.25">
      <c r="A311" s="286" t="s">
        <v>1097</v>
      </c>
      <c r="B311" s="287" t="s">
        <v>1098</v>
      </c>
      <c r="C311" s="164" t="s">
        <v>5</v>
      </c>
      <c r="D311" s="164">
        <v>1</v>
      </c>
      <c r="E311" s="165">
        <v>676.36</v>
      </c>
      <c r="F311" s="165">
        <v>676.36</v>
      </c>
    </row>
    <row r="312" spans="1:6" x14ac:dyDescent="0.25">
      <c r="A312" s="288" t="s">
        <v>1099</v>
      </c>
      <c r="B312" s="285" t="s">
        <v>34</v>
      </c>
      <c r="C312" s="164"/>
      <c r="D312" s="164"/>
      <c r="E312" s="165"/>
      <c r="F312" s="165"/>
    </row>
    <row r="313" spans="1:6" x14ac:dyDescent="0.25">
      <c r="A313" s="288" t="s">
        <v>1100</v>
      </c>
      <c r="B313" s="285" t="s">
        <v>1101</v>
      </c>
      <c r="C313" s="164"/>
      <c r="D313" s="164"/>
      <c r="E313" s="165"/>
      <c r="F313" s="165"/>
    </row>
    <row r="314" spans="1:6" ht="105" x14ac:dyDescent="0.25">
      <c r="A314" s="286" t="s">
        <v>1102</v>
      </c>
      <c r="B314" s="287" t="s">
        <v>1103</v>
      </c>
      <c r="C314" s="164" t="s">
        <v>5</v>
      </c>
      <c r="D314" s="164">
        <v>1</v>
      </c>
      <c r="E314" s="165">
        <v>219.21</v>
      </c>
      <c r="F314" s="165">
        <v>219.21</v>
      </c>
    </row>
    <row r="315" spans="1:6" ht="105" x14ac:dyDescent="0.25">
      <c r="A315" s="286" t="s">
        <v>1104</v>
      </c>
      <c r="B315" s="287" t="s">
        <v>1105</v>
      </c>
      <c r="C315" s="164" t="s">
        <v>5</v>
      </c>
      <c r="D315" s="164">
        <v>1</v>
      </c>
      <c r="E315" s="165">
        <v>113.68</v>
      </c>
      <c r="F315" s="165">
        <v>113.68</v>
      </c>
    </row>
    <row r="316" spans="1:6" ht="75" x14ac:dyDescent="0.25">
      <c r="A316" s="286" t="s">
        <v>1106</v>
      </c>
      <c r="B316" s="287" t="s">
        <v>1107</v>
      </c>
      <c r="C316" s="164" t="s">
        <v>5</v>
      </c>
      <c r="D316" s="164">
        <v>1</v>
      </c>
      <c r="E316" s="165">
        <v>105.27</v>
      </c>
      <c r="F316" s="165">
        <v>105.27</v>
      </c>
    </row>
    <row r="317" spans="1:6" ht="90" x14ac:dyDescent="0.25">
      <c r="A317" s="286" t="s">
        <v>1108</v>
      </c>
      <c r="B317" s="287" t="s">
        <v>1109</v>
      </c>
      <c r="C317" s="164" t="s">
        <v>5</v>
      </c>
      <c r="D317" s="164">
        <v>1</v>
      </c>
      <c r="E317" s="165">
        <v>475.1</v>
      </c>
      <c r="F317" s="165">
        <v>475.1</v>
      </c>
    </row>
    <row r="318" spans="1:6" ht="105" x14ac:dyDescent="0.25">
      <c r="A318" s="286" t="s">
        <v>1110</v>
      </c>
      <c r="B318" s="287" t="s">
        <v>1111</v>
      </c>
      <c r="C318" s="164" t="s">
        <v>5</v>
      </c>
      <c r="D318" s="164">
        <v>1</v>
      </c>
      <c r="E318" s="165">
        <v>263.27</v>
      </c>
      <c r="F318" s="165">
        <v>263.27</v>
      </c>
    </row>
    <row r="319" spans="1:6" x14ac:dyDescent="0.25">
      <c r="A319" s="288" t="s">
        <v>1112</v>
      </c>
      <c r="B319" s="285" t="s">
        <v>1113</v>
      </c>
      <c r="C319" s="164"/>
      <c r="D319" s="164"/>
      <c r="E319" s="165"/>
      <c r="F319" s="165"/>
    </row>
    <row r="320" spans="1:6" ht="45" x14ac:dyDescent="0.25">
      <c r="A320" s="286" t="s">
        <v>1114</v>
      </c>
      <c r="B320" s="287" t="s">
        <v>1115</v>
      </c>
      <c r="C320" s="164" t="s">
        <v>5</v>
      </c>
      <c r="D320" s="164">
        <v>1</v>
      </c>
      <c r="E320" s="165">
        <v>56.61</v>
      </c>
      <c r="F320" s="165">
        <v>56.61</v>
      </c>
    </row>
    <row r="321" spans="1:6" ht="45" x14ac:dyDescent="0.25">
      <c r="A321" s="286" t="s">
        <v>1116</v>
      </c>
      <c r="B321" s="287" t="s">
        <v>1117</v>
      </c>
      <c r="C321" s="164" t="s">
        <v>5</v>
      </c>
      <c r="D321" s="164">
        <v>1</v>
      </c>
      <c r="E321" s="165">
        <v>73.23</v>
      </c>
      <c r="F321" s="165">
        <v>73.23</v>
      </c>
    </row>
    <row r="322" spans="1:6" ht="45" x14ac:dyDescent="0.25">
      <c r="A322" s="286" t="s">
        <v>1118</v>
      </c>
      <c r="B322" s="287" t="s">
        <v>1119</v>
      </c>
      <c r="C322" s="164" t="s">
        <v>5</v>
      </c>
      <c r="D322" s="164">
        <v>1</v>
      </c>
      <c r="E322" s="165">
        <v>89.67</v>
      </c>
      <c r="F322" s="165">
        <v>89.67</v>
      </c>
    </row>
    <row r="323" spans="1:6" ht="75" x14ac:dyDescent="0.25">
      <c r="A323" s="286" t="s">
        <v>1120</v>
      </c>
      <c r="B323" s="287" t="s">
        <v>1121</v>
      </c>
      <c r="C323" s="164" t="s">
        <v>5</v>
      </c>
      <c r="D323" s="164">
        <v>1</v>
      </c>
      <c r="E323" s="165">
        <v>151.72999999999999</v>
      </c>
      <c r="F323" s="165">
        <v>151.72999999999999</v>
      </c>
    </row>
    <row r="324" spans="1:6" ht="60" x14ac:dyDescent="0.25">
      <c r="A324" s="286" t="s">
        <v>1122</v>
      </c>
      <c r="B324" s="287" t="s">
        <v>1123</v>
      </c>
      <c r="C324" s="164" t="s">
        <v>5</v>
      </c>
      <c r="D324" s="164">
        <v>1</v>
      </c>
      <c r="E324" s="165">
        <v>119.57</v>
      </c>
      <c r="F324" s="165">
        <v>119.57</v>
      </c>
    </row>
    <row r="325" spans="1:6" ht="30" x14ac:dyDescent="0.25">
      <c r="A325" s="286" t="s">
        <v>1124</v>
      </c>
      <c r="B325" s="287" t="s">
        <v>1125</v>
      </c>
      <c r="C325" s="164" t="s">
        <v>7</v>
      </c>
      <c r="D325" s="164">
        <v>1</v>
      </c>
      <c r="E325" s="165">
        <v>32.380000000000003</v>
      </c>
      <c r="F325" s="165">
        <v>32.380000000000003</v>
      </c>
    </row>
    <row r="326" spans="1:6" ht="30" x14ac:dyDescent="0.25">
      <c r="A326" s="286" t="s">
        <v>1126</v>
      </c>
      <c r="B326" s="287" t="s">
        <v>1127</v>
      </c>
      <c r="C326" s="164" t="s">
        <v>7</v>
      </c>
      <c r="D326" s="164">
        <v>1</v>
      </c>
      <c r="E326" s="165">
        <v>70.209999999999994</v>
      </c>
      <c r="F326" s="165">
        <v>70.209999999999994</v>
      </c>
    </row>
    <row r="327" spans="1:6" ht="45" x14ac:dyDescent="0.25">
      <c r="A327" s="286" t="s">
        <v>1128</v>
      </c>
      <c r="B327" s="287" t="s">
        <v>1129</v>
      </c>
      <c r="C327" s="164" t="s">
        <v>5</v>
      </c>
      <c r="D327" s="164">
        <v>1</v>
      </c>
      <c r="E327" s="165">
        <v>93.7</v>
      </c>
      <c r="F327" s="165">
        <v>93.7</v>
      </c>
    </row>
    <row r="328" spans="1:6" ht="75" x14ac:dyDescent="0.25">
      <c r="A328" s="286" t="s">
        <v>1130</v>
      </c>
      <c r="B328" s="287" t="s">
        <v>1131</v>
      </c>
      <c r="C328" s="164" t="s">
        <v>5</v>
      </c>
      <c r="D328" s="164">
        <v>1</v>
      </c>
      <c r="E328" s="165">
        <v>101.18</v>
      </c>
      <c r="F328" s="165">
        <v>101.18</v>
      </c>
    </row>
    <row r="329" spans="1:6" x14ac:dyDescent="0.25">
      <c r="A329" s="288" t="s">
        <v>1132</v>
      </c>
      <c r="B329" s="285" t="s">
        <v>1133</v>
      </c>
      <c r="C329" s="164"/>
      <c r="D329" s="164"/>
      <c r="E329" s="165"/>
      <c r="F329" s="165"/>
    </row>
    <row r="330" spans="1:6" ht="45" x14ac:dyDescent="0.25">
      <c r="A330" s="286" t="s">
        <v>1134</v>
      </c>
      <c r="B330" s="287" t="s">
        <v>1135</v>
      </c>
      <c r="C330" s="164" t="s">
        <v>7</v>
      </c>
      <c r="D330" s="164">
        <v>1</v>
      </c>
      <c r="E330" s="165">
        <v>113.07</v>
      </c>
      <c r="F330" s="165">
        <v>113.07</v>
      </c>
    </row>
    <row r="331" spans="1:6" ht="30" x14ac:dyDescent="0.25">
      <c r="A331" s="286" t="s">
        <v>1136</v>
      </c>
      <c r="B331" s="287" t="s">
        <v>1137</v>
      </c>
      <c r="C331" s="164" t="s">
        <v>7</v>
      </c>
      <c r="D331" s="164">
        <v>1</v>
      </c>
      <c r="E331" s="165">
        <v>45.34</v>
      </c>
      <c r="F331" s="165">
        <v>45.34</v>
      </c>
    </row>
    <row r="332" spans="1:6" ht="45" x14ac:dyDescent="0.25">
      <c r="A332" s="286" t="s">
        <v>1138</v>
      </c>
      <c r="B332" s="287" t="s">
        <v>1139</v>
      </c>
      <c r="C332" s="164" t="s">
        <v>7</v>
      </c>
      <c r="D332" s="164">
        <v>1</v>
      </c>
      <c r="E332" s="165">
        <v>272.47000000000003</v>
      </c>
      <c r="F332" s="165">
        <v>272.47000000000003</v>
      </c>
    </row>
    <row r="333" spans="1:6" ht="30" x14ac:dyDescent="0.25">
      <c r="A333" s="286" t="s">
        <v>1140</v>
      </c>
      <c r="B333" s="287" t="s">
        <v>1141</v>
      </c>
      <c r="C333" s="164" t="s">
        <v>7</v>
      </c>
      <c r="D333" s="164">
        <v>1</v>
      </c>
      <c r="E333" s="165">
        <v>129.46</v>
      </c>
      <c r="F333" s="165">
        <v>129.46</v>
      </c>
    </row>
    <row r="334" spans="1:6" ht="30" x14ac:dyDescent="0.25">
      <c r="A334" s="286" t="s">
        <v>1142</v>
      </c>
      <c r="B334" s="287" t="s">
        <v>1143</v>
      </c>
      <c r="C334" s="164" t="s">
        <v>7</v>
      </c>
      <c r="D334" s="164">
        <v>1</v>
      </c>
      <c r="E334" s="165">
        <v>47.21</v>
      </c>
      <c r="F334" s="165">
        <v>47.21</v>
      </c>
    </row>
    <row r="335" spans="1:6" x14ac:dyDescent="0.25">
      <c r="A335" s="288" t="s">
        <v>1144</v>
      </c>
      <c r="B335" s="285" t="s">
        <v>1145</v>
      </c>
      <c r="C335" s="164"/>
      <c r="D335" s="164"/>
      <c r="E335" s="165"/>
      <c r="F335" s="165"/>
    </row>
    <row r="336" spans="1:6" ht="90" x14ac:dyDescent="0.25">
      <c r="A336" s="286" t="s">
        <v>1146</v>
      </c>
      <c r="B336" s="287" t="s">
        <v>1147</v>
      </c>
      <c r="C336" s="164" t="s">
        <v>7</v>
      </c>
      <c r="D336" s="164">
        <v>1</v>
      </c>
      <c r="E336" s="165">
        <v>116.23</v>
      </c>
      <c r="F336" s="165">
        <v>116.23</v>
      </c>
    </row>
    <row r="337" spans="1:6" x14ac:dyDescent="0.25">
      <c r="A337" s="288" t="s">
        <v>1148</v>
      </c>
      <c r="B337" s="285" t="s">
        <v>1018</v>
      </c>
      <c r="C337" s="164"/>
      <c r="D337" s="164"/>
      <c r="E337" s="165"/>
      <c r="F337" s="165"/>
    </row>
    <row r="338" spans="1:6" ht="60" x14ac:dyDescent="0.25">
      <c r="A338" s="286" t="s">
        <v>1149</v>
      </c>
      <c r="B338" s="287" t="s">
        <v>1150</v>
      </c>
      <c r="C338" s="164" t="s">
        <v>5</v>
      </c>
      <c r="D338" s="164">
        <v>1</v>
      </c>
      <c r="E338" s="165">
        <v>54.04</v>
      </c>
      <c r="F338" s="165">
        <v>54.04</v>
      </c>
    </row>
    <row r="339" spans="1:6" ht="75" x14ac:dyDescent="0.25">
      <c r="A339" s="286" t="s">
        <v>1151</v>
      </c>
      <c r="B339" s="287" t="s">
        <v>1152</v>
      </c>
      <c r="C339" s="164" t="s">
        <v>5</v>
      </c>
      <c r="D339" s="164">
        <v>1</v>
      </c>
      <c r="E339" s="165">
        <v>18.5</v>
      </c>
      <c r="F339" s="165">
        <v>18.5</v>
      </c>
    </row>
    <row r="340" spans="1:6" ht="30" x14ac:dyDescent="0.25">
      <c r="A340" s="286" t="s">
        <v>1153</v>
      </c>
      <c r="B340" s="287" t="s">
        <v>1154</v>
      </c>
      <c r="C340" s="164" t="s">
        <v>5</v>
      </c>
      <c r="D340" s="164">
        <v>1</v>
      </c>
      <c r="E340" s="165">
        <v>16.02</v>
      </c>
      <c r="F340" s="165">
        <v>16.02</v>
      </c>
    </row>
    <row r="341" spans="1:6" ht="30" x14ac:dyDescent="0.25">
      <c r="A341" s="286" t="s">
        <v>1155</v>
      </c>
      <c r="B341" s="287" t="s">
        <v>1156</v>
      </c>
      <c r="C341" s="164" t="s">
        <v>5</v>
      </c>
      <c r="D341" s="164">
        <v>1</v>
      </c>
      <c r="E341" s="165">
        <v>75.94</v>
      </c>
      <c r="F341" s="165">
        <v>75.94</v>
      </c>
    </row>
    <row r="342" spans="1:6" ht="30" x14ac:dyDescent="0.25">
      <c r="A342" s="286" t="s">
        <v>1157</v>
      </c>
      <c r="B342" s="287" t="s">
        <v>1158</v>
      </c>
      <c r="C342" s="164" t="s">
        <v>5</v>
      </c>
      <c r="D342" s="164">
        <v>1</v>
      </c>
      <c r="E342" s="165">
        <v>41.32</v>
      </c>
      <c r="F342" s="165">
        <v>41.32</v>
      </c>
    </row>
    <row r="343" spans="1:6" ht="30" x14ac:dyDescent="0.25">
      <c r="A343" s="286" t="s">
        <v>1159</v>
      </c>
      <c r="B343" s="287" t="s">
        <v>1160</v>
      </c>
      <c r="C343" s="164" t="s">
        <v>6</v>
      </c>
      <c r="D343" s="164">
        <v>1</v>
      </c>
      <c r="E343" s="165">
        <v>19.32</v>
      </c>
      <c r="F343" s="165">
        <v>19.32</v>
      </c>
    </row>
    <row r="344" spans="1:6" x14ac:dyDescent="0.25">
      <c r="A344" s="288" t="s">
        <v>1161</v>
      </c>
      <c r="B344" s="285" t="s">
        <v>35</v>
      </c>
      <c r="C344" s="164"/>
      <c r="D344" s="164"/>
      <c r="E344" s="165"/>
      <c r="F344" s="165"/>
    </row>
    <row r="345" spans="1:6" ht="30" x14ac:dyDescent="0.25">
      <c r="A345" s="288" t="s">
        <v>1162</v>
      </c>
      <c r="B345" s="285" t="s">
        <v>1163</v>
      </c>
      <c r="C345" s="164"/>
      <c r="D345" s="164"/>
      <c r="E345" s="165"/>
      <c r="F345" s="165"/>
    </row>
    <row r="346" spans="1:6" ht="90" x14ac:dyDescent="0.25">
      <c r="A346" s="286" t="s">
        <v>1164</v>
      </c>
      <c r="B346" s="287" t="s">
        <v>1165</v>
      </c>
      <c r="C346" s="164" t="s">
        <v>5</v>
      </c>
      <c r="D346" s="164">
        <v>1</v>
      </c>
      <c r="E346" s="165">
        <v>68.8</v>
      </c>
      <c r="F346" s="165">
        <v>68.8</v>
      </c>
    </row>
    <row r="347" spans="1:6" ht="90" x14ac:dyDescent="0.25">
      <c r="A347" s="286" t="s">
        <v>1166</v>
      </c>
      <c r="B347" s="287" t="s">
        <v>1167</v>
      </c>
      <c r="C347" s="164" t="s">
        <v>5</v>
      </c>
      <c r="D347" s="164">
        <v>1</v>
      </c>
      <c r="E347" s="165">
        <v>246.2</v>
      </c>
      <c r="F347" s="165">
        <v>246.2</v>
      </c>
    </row>
    <row r="348" spans="1:6" ht="45" x14ac:dyDescent="0.25">
      <c r="A348" s="288" t="s">
        <v>1168</v>
      </c>
      <c r="B348" s="285" t="s">
        <v>1169</v>
      </c>
      <c r="C348" s="164"/>
      <c r="D348" s="164"/>
      <c r="E348" s="165"/>
      <c r="F348" s="165"/>
    </row>
    <row r="349" spans="1:6" ht="30" x14ac:dyDescent="0.25">
      <c r="A349" s="286" t="s">
        <v>1170</v>
      </c>
      <c r="B349" s="287" t="s">
        <v>1171</v>
      </c>
      <c r="C349" s="164" t="s">
        <v>5</v>
      </c>
      <c r="D349" s="164">
        <v>1</v>
      </c>
      <c r="E349" s="165">
        <v>50.09</v>
      </c>
      <c r="F349" s="165">
        <v>50.09</v>
      </c>
    </row>
    <row r="350" spans="1:6" ht="30" x14ac:dyDescent="0.25">
      <c r="A350" s="286" t="s">
        <v>1172</v>
      </c>
      <c r="B350" s="287" t="s">
        <v>36</v>
      </c>
      <c r="C350" s="164" t="s">
        <v>5</v>
      </c>
      <c r="D350" s="164">
        <v>1</v>
      </c>
      <c r="E350" s="165">
        <v>41.96</v>
      </c>
      <c r="F350" s="165">
        <v>41.96</v>
      </c>
    </row>
    <row r="351" spans="1:6" ht="75" x14ac:dyDescent="0.25">
      <c r="A351" s="286" t="s">
        <v>1173</v>
      </c>
      <c r="B351" s="287" t="s">
        <v>1174</v>
      </c>
      <c r="C351" s="164" t="s">
        <v>5</v>
      </c>
      <c r="D351" s="164">
        <v>1</v>
      </c>
      <c r="E351" s="165">
        <v>37.659999999999997</v>
      </c>
      <c r="F351" s="165">
        <v>37.659999999999997</v>
      </c>
    </row>
    <row r="352" spans="1:6" ht="90" x14ac:dyDescent="0.25">
      <c r="A352" s="286" t="s">
        <v>1175</v>
      </c>
      <c r="B352" s="287" t="s">
        <v>37</v>
      </c>
      <c r="C352" s="164" t="s">
        <v>5</v>
      </c>
      <c r="D352" s="164">
        <v>1</v>
      </c>
      <c r="E352" s="165">
        <v>232.27</v>
      </c>
      <c r="F352" s="165">
        <v>232.27</v>
      </c>
    </row>
    <row r="353" spans="1:6" ht="30" x14ac:dyDescent="0.25">
      <c r="A353" s="288" t="s">
        <v>1176</v>
      </c>
      <c r="B353" s="285" t="s">
        <v>1177</v>
      </c>
      <c r="C353" s="164"/>
      <c r="D353" s="164"/>
      <c r="E353" s="165"/>
      <c r="F353" s="165"/>
    </row>
    <row r="354" spans="1:6" ht="90" x14ac:dyDescent="0.25">
      <c r="A354" s="286" t="s">
        <v>1178</v>
      </c>
      <c r="B354" s="287" t="s">
        <v>1179</v>
      </c>
      <c r="C354" s="164" t="s">
        <v>5</v>
      </c>
      <c r="D354" s="164">
        <v>1</v>
      </c>
      <c r="E354" s="165">
        <v>78.73</v>
      </c>
      <c r="F354" s="165">
        <v>78.73</v>
      </c>
    </row>
    <row r="355" spans="1:6" x14ac:dyDescent="0.25">
      <c r="A355" s="288" t="s">
        <v>1180</v>
      </c>
      <c r="B355" s="285" t="s">
        <v>38</v>
      </c>
      <c r="C355" s="164"/>
      <c r="D355" s="164"/>
      <c r="E355" s="165"/>
      <c r="F355" s="165"/>
    </row>
    <row r="356" spans="1:6" x14ac:dyDescent="0.25">
      <c r="A356" s="288" t="s">
        <v>1181</v>
      </c>
      <c r="B356" s="285" t="s">
        <v>1182</v>
      </c>
      <c r="C356" s="164"/>
      <c r="D356" s="164"/>
      <c r="E356" s="165"/>
      <c r="F356" s="165"/>
    </row>
    <row r="357" spans="1:6" ht="45" x14ac:dyDescent="0.25">
      <c r="A357" s="286" t="s">
        <v>1183</v>
      </c>
      <c r="B357" s="287" t="s">
        <v>102</v>
      </c>
      <c r="C357" s="164" t="s">
        <v>5</v>
      </c>
      <c r="D357" s="164">
        <v>1</v>
      </c>
      <c r="E357" s="165">
        <v>11.13</v>
      </c>
      <c r="F357" s="165">
        <v>11.13</v>
      </c>
    </row>
    <row r="358" spans="1:6" x14ac:dyDescent="0.25">
      <c r="A358" s="288" t="s">
        <v>1184</v>
      </c>
      <c r="B358" s="285" t="s">
        <v>1185</v>
      </c>
      <c r="C358" s="164"/>
      <c r="D358" s="164"/>
      <c r="E358" s="165"/>
      <c r="F358" s="165"/>
    </row>
    <row r="359" spans="1:6" x14ac:dyDescent="0.25">
      <c r="A359" s="286" t="s">
        <v>1186</v>
      </c>
      <c r="B359" s="287" t="s">
        <v>39</v>
      </c>
      <c r="C359" s="164" t="s">
        <v>5</v>
      </c>
      <c r="D359" s="164">
        <v>1</v>
      </c>
      <c r="E359" s="165">
        <v>41.67</v>
      </c>
      <c r="F359" s="165">
        <v>41.67</v>
      </c>
    </row>
    <row r="360" spans="1:6" ht="30" x14ac:dyDescent="0.25">
      <c r="A360" s="286" t="s">
        <v>1187</v>
      </c>
      <c r="B360" s="287" t="s">
        <v>1188</v>
      </c>
      <c r="C360" s="164" t="s">
        <v>5</v>
      </c>
      <c r="D360" s="164">
        <v>1</v>
      </c>
      <c r="E360" s="165">
        <v>91.18</v>
      </c>
      <c r="F360" s="165">
        <v>91.18</v>
      </c>
    </row>
    <row r="361" spans="1:6" ht="30" x14ac:dyDescent="0.25">
      <c r="A361" s="288" t="s">
        <v>1189</v>
      </c>
      <c r="B361" s="285" t="s">
        <v>1190</v>
      </c>
      <c r="C361" s="164"/>
      <c r="D361" s="164"/>
      <c r="E361" s="165"/>
      <c r="F361" s="165"/>
    </row>
    <row r="362" spans="1:6" ht="45" x14ac:dyDescent="0.25">
      <c r="A362" s="286" t="s">
        <v>1191</v>
      </c>
      <c r="B362" s="287" t="s">
        <v>1192</v>
      </c>
      <c r="C362" s="164" t="s">
        <v>5</v>
      </c>
      <c r="D362" s="164">
        <v>1</v>
      </c>
      <c r="E362" s="165">
        <v>31.08</v>
      </c>
      <c r="F362" s="165">
        <v>31.08</v>
      </c>
    </row>
    <row r="363" spans="1:6" ht="45" x14ac:dyDescent="0.25">
      <c r="A363" s="286" t="s">
        <v>1193</v>
      </c>
      <c r="B363" s="287" t="s">
        <v>103</v>
      </c>
      <c r="C363" s="164" t="s">
        <v>5</v>
      </c>
      <c r="D363" s="164">
        <v>1</v>
      </c>
      <c r="E363" s="165">
        <v>53.64</v>
      </c>
      <c r="F363" s="165">
        <v>53.64</v>
      </c>
    </row>
    <row r="364" spans="1:6" x14ac:dyDescent="0.25">
      <c r="A364" s="288" t="s">
        <v>1194</v>
      </c>
      <c r="B364" s="285" t="s">
        <v>1018</v>
      </c>
      <c r="C364" s="164"/>
      <c r="D364" s="164"/>
      <c r="E364" s="165"/>
      <c r="F364" s="165"/>
    </row>
    <row r="365" spans="1:6" ht="30" x14ac:dyDescent="0.25">
      <c r="A365" s="286" t="s">
        <v>1195</v>
      </c>
      <c r="B365" s="287" t="s">
        <v>1196</v>
      </c>
      <c r="C365" s="164" t="s">
        <v>5</v>
      </c>
      <c r="D365" s="164">
        <v>1</v>
      </c>
      <c r="E365" s="165">
        <v>48.93</v>
      </c>
      <c r="F365" s="165">
        <v>48.93</v>
      </c>
    </row>
    <row r="366" spans="1:6" x14ac:dyDescent="0.25">
      <c r="A366" s="288" t="s">
        <v>1197</v>
      </c>
      <c r="B366" s="285" t="s">
        <v>40</v>
      </c>
      <c r="C366" s="164"/>
      <c r="D366" s="164"/>
      <c r="E366" s="165"/>
      <c r="F366" s="165"/>
    </row>
    <row r="367" spans="1:6" x14ac:dyDescent="0.25">
      <c r="A367" s="288" t="s">
        <v>1198</v>
      </c>
      <c r="B367" s="285" t="s">
        <v>1182</v>
      </c>
      <c r="C367" s="164"/>
      <c r="D367" s="164"/>
      <c r="E367" s="165"/>
      <c r="F367" s="165"/>
    </row>
    <row r="368" spans="1:6" ht="45" x14ac:dyDescent="0.25">
      <c r="A368" s="286" t="s">
        <v>1199</v>
      </c>
      <c r="B368" s="287" t="s">
        <v>41</v>
      </c>
      <c r="C368" s="164" t="s">
        <v>5</v>
      </c>
      <c r="D368" s="164">
        <v>1</v>
      </c>
      <c r="E368" s="165">
        <v>5.69</v>
      </c>
      <c r="F368" s="165">
        <v>5.69</v>
      </c>
    </row>
    <row r="369" spans="1:6" x14ac:dyDescent="0.25">
      <c r="A369" s="288" t="s">
        <v>1200</v>
      </c>
      <c r="B369" s="285" t="s">
        <v>1201</v>
      </c>
      <c r="C369" s="164"/>
      <c r="D369" s="164"/>
      <c r="E369" s="165"/>
      <c r="F369" s="165"/>
    </row>
    <row r="370" spans="1:6" ht="90" x14ac:dyDescent="0.25">
      <c r="A370" s="286" t="s">
        <v>1202</v>
      </c>
      <c r="B370" s="287" t="s">
        <v>1203</v>
      </c>
      <c r="C370" s="164" t="s">
        <v>5</v>
      </c>
      <c r="D370" s="164">
        <v>1</v>
      </c>
      <c r="E370" s="165">
        <v>88.45</v>
      </c>
      <c r="F370" s="165">
        <v>88.45</v>
      </c>
    </row>
    <row r="371" spans="1:6" ht="60" x14ac:dyDescent="0.25">
      <c r="A371" s="286" t="s">
        <v>1204</v>
      </c>
      <c r="B371" s="287" t="s">
        <v>1205</v>
      </c>
      <c r="C371" s="164" t="s">
        <v>7</v>
      </c>
      <c r="D371" s="164">
        <v>1</v>
      </c>
      <c r="E371" s="165">
        <v>46.56</v>
      </c>
      <c r="F371" s="165">
        <v>46.56</v>
      </c>
    </row>
    <row r="372" spans="1:6" ht="60" x14ac:dyDescent="0.25">
      <c r="A372" s="286" t="s">
        <v>1206</v>
      </c>
      <c r="B372" s="287" t="s">
        <v>1207</v>
      </c>
      <c r="C372" s="164" t="s">
        <v>7</v>
      </c>
      <c r="D372" s="164">
        <v>1</v>
      </c>
      <c r="E372" s="165">
        <v>64.97</v>
      </c>
      <c r="F372" s="165">
        <v>64.97</v>
      </c>
    </row>
    <row r="373" spans="1:6" ht="30" x14ac:dyDescent="0.25">
      <c r="A373" s="286" t="s">
        <v>1208</v>
      </c>
      <c r="B373" s="287" t="s">
        <v>1209</v>
      </c>
      <c r="C373" s="164" t="s">
        <v>7</v>
      </c>
      <c r="D373" s="164">
        <v>1</v>
      </c>
      <c r="E373" s="165">
        <v>15.72</v>
      </c>
      <c r="F373" s="165">
        <v>15.72</v>
      </c>
    </row>
    <row r="374" spans="1:6" ht="30" x14ac:dyDescent="0.25">
      <c r="A374" s="286" t="s">
        <v>1210</v>
      </c>
      <c r="B374" s="287" t="s">
        <v>1211</v>
      </c>
      <c r="C374" s="164" t="s">
        <v>7</v>
      </c>
      <c r="D374" s="164">
        <v>1</v>
      </c>
      <c r="E374" s="165">
        <v>15.73</v>
      </c>
      <c r="F374" s="165">
        <v>15.73</v>
      </c>
    </row>
    <row r="375" spans="1:6" ht="75" x14ac:dyDescent="0.25">
      <c r="A375" s="286" t="s">
        <v>1212</v>
      </c>
      <c r="B375" s="287" t="s">
        <v>1213</v>
      </c>
      <c r="C375" s="164" t="s">
        <v>5</v>
      </c>
      <c r="D375" s="164">
        <v>1</v>
      </c>
      <c r="E375" s="165">
        <v>73.44</v>
      </c>
      <c r="F375" s="165">
        <v>73.44</v>
      </c>
    </row>
    <row r="376" spans="1:6" ht="75" x14ac:dyDescent="0.25">
      <c r="A376" s="286" t="s">
        <v>1214</v>
      </c>
      <c r="B376" s="287" t="s">
        <v>1215</v>
      </c>
      <c r="C376" s="164" t="s">
        <v>5</v>
      </c>
      <c r="D376" s="164">
        <v>1</v>
      </c>
      <c r="E376" s="165">
        <v>165.48</v>
      </c>
      <c r="F376" s="165">
        <v>165.48</v>
      </c>
    </row>
    <row r="377" spans="1:6" ht="45" x14ac:dyDescent="0.25">
      <c r="A377" s="286" t="s">
        <v>1216</v>
      </c>
      <c r="B377" s="287" t="s">
        <v>1217</v>
      </c>
      <c r="C377" s="164" t="s">
        <v>5</v>
      </c>
      <c r="D377" s="164">
        <v>1</v>
      </c>
      <c r="E377" s="165">
        <v>13.91</v>
      </c>
      <c r="F377" s="165">
        <v>13.91</v>
      </c>
    </row>
    <row r="378" spans="1:6" ht="45" x14ac:dyDescent="0.25">
      <c r="A378" s="286" t="s">
        <v>1218</v>
      </c>
      <c r="B378" s="287" t="s">
        <v>1219</v>
      </c>
      <c r="C378" s="164" t="s">
        <v>7</v>
      </c>
      <c r="D378" s="164">
        <v>1</v>
      </c>
      <c r="E378" s="165">
        <v>51.15</v>
      </c>
      <c r="F378" s="165">
        <v>51.15</v>
      </c>
    </row>
    <row r="379" spans="1:6" ht="75" x14ac:dyDescent="0.25">
      <c r="A379" s="286" t="s">
        <v>1220</v>
      </c>
      <c r="B379" s="287" t="s">
        <v>1221</v>
      </c>
      <c r="C379" s="164" t="s">
        <v>5</v>
      </c>
      <c r="D379" s="164">
        <v>1</v>
      </c>
      <c r="E379" s="165">
        <v>79.08</v>
      </c>
      <c r="F379" s="165">
        <v>79.08</v>
      </c>
    </row>
    <row r="380" spans="1:6" ht="30" x14ac:dyDescent="0.25">
      <c r="A380" s="288" t="s">
        <v>1222</v>
      </c>
      <c r="B380" s="285" t="s">
        <v>1190</v>
      </c>
      <c r="C380" s="164"/>
      <c r="D380" s="164"/>
      <c r="E380" s="165"/>
      <c r="F380" s="165"/>
    </row>
    <row r="381" spans="1:6" ht="60" x14ac:dyDescent="0.25">
      <c r="A381" s="286" t="s">
        <v>1223</v>
      </c>
      <c r="B381" s="287" t="s">
        <v>42</v>
      </c>
      <c r="C381" s="164" t="s">
        <v>5</v>
      </c>
      <c r="D381" s="164">
        <v>1</v>
      </c>
      <c r="E381" s="165">
        <v>27.76</v>
      </c>
      <c r="F381" s="165">
        <v>27.76</v>
      </c>
    </row>
    <row r="382" spans="1:6" ht="45" x14ac:dyDescent="0.25">
      <c r="A382" s="286" t="s">
        <v>1224</v>
      </c>
      <c r="B382" s="287" t="s">
        <v>1225</v>
      </c>
      <c r="C382" s="164" t="s">
        <v>5</v>
      </c>
      <c r="D382" s="164">
        <v>1</v>
      </c>
      <c r="E382" s="165">
        <v>19.670000000000002</v>
      </c>
      <c r="F382" s="165">
        <v>19.670000000000002</v>
      </c>
    </row>
    <row r="383" spans="1:6" ht="60" x14ac:dyDescent="0.25">
      <c r="A383" s="286" t="s">
        <v>1226</v>
      </c>
      <c r="B383" s="287" t="s">
        <v>1227</v>
      </c>
      <c r="C383" s="164" t="s">
        <v>5</v>
      </c>
      <c r="D383" s="164">
        <v>1</v>
      </c>
      <c r="E383" s="165">
        <v>47.53</v>
      </c>
      <c r="F383" s="165">
        <v>47.53</v>
      </c>
    </row>
    <row r="384" spans="1:6" ht="75" x14ac:dyDescent="0.25">
      <c r="A384" s="286" t="s">
        <v>1228</v>
      </c>
      <c r="B384" s="287" t="s">
        <v>1229</v>
      </c>
      <c r="C384" s="164" t="s">
        <v>5</v>
      </c>
      <c r="D384" s="164">
        <v>1</v>
      </c>
      <c r="E384" s="165">
        <v>53.33</v>
      </c>
      <c r="F384" s="165">
        <v>53.33</v>
      </c>
    </row>
    <row r="385" spans="1:6" ht="60" x14ac:dyDescent="0.25">
      <c r="A385" s="286" t="s">
        <v>1230</v>
      </c>
      <c r="B385" s="287" t="s">
        <v>1231</v>
      </c>
      <c r="C385" s="164" t="s">
        <v>5</v>
      </c>
      <c r="D385" s="164">
        <v>1</v>
      </c>
      <c r="E385" s="165">
        <v>6.59</v>
      </c>
      <c r="F385" s="165">
        <v>6.59</v>
      </c>
    </row>
    <row r="386" spans="1:6" x14ac:dyDescent="0.25">
      <c r="A386" s="288" t="s">
        <v>1232</v>
      </c>
      <c r="B386" s="285" t="s">
        <v>43</v>
      </c>
      <c r="C386" s="164"/>
      <c r="D386" s="164"/>
      <c r="E386" s="165"/>
      <c r="F386" s="165"/>
    </row>
    <row r="387" spans="1:6" x14ac:dyDescent="0.25">
      <c r="A387" s="288" t="s">
        <v>1233</v>
      </c>
      <c r="B387" s="285" t="s">
        <v>1234</v>
      </c>
      <c r="C387" s="164"/>
      <c r="D387" s="164"/>
      <c r="E387" s="165"/>
      <c r="F387" s="165"/>
    </row>
    <row r="388" spans="1:6" ht="45" x14ac:dyDescent="0.25">
      <c r="A388" s="286" t="s">
        <v>1235</v>
      </c>
      <c r="B388" s="287" t="s">
        <v>100</v>
      </c>
      <c r="C388" s="164" t="s">
        <v>5</v>
      </c>
      <c r="D388" s="164">
        <v>1</v>
      </c>
      <c r="E388" s="165">
        <v>19.829999999999998</v>
      </c>
      <c r="F388" s="165">
        <v>19.829999999999998</v>
      </c>
    </row>
    <row r="389" spans="1:6" ht="45" x14ac:dyDescent="0.25">
      <c r="A389" s="286" t="s">
        <v>1236</v>
      </c>
      <c r="B389" s="287" t="s">
        <v>1237</v>
      </c>
      <c r="C389" s="164" t="s">
        <v>5</v>
      </c>
      <c r="D389" s="164">
        <v>1</v>
      </c>
      <c r="E389" s="165">
        <v>30.83</v>
      </c>
      <c r="F389" s="165">
        <v>30.83</v>
      </c>
    </row>
    <row r="390" spans="1:6" ht="45" x14ac:dyDescent="0.25">
      <c r="A390" s="286" t="s">
        <v>1238</v>
      </c>
      <c r="B390" s="287" t="s">
        <v>1239</v>
      </c>
      <c r="C390" s="164" t="s">
        <v>5</v>
      </c>
      <c r="D390" s="164">
        <v>1</v>
      </c>
      <c r="E390" s="165">
        <v>66.37</v>
      </c>
      <c r="F390" s="165">
        <v>66.37</v>
      </c>
    </row>
    <row r="391" spans="1:6" ht="30" x14ac:dyDescent="0.25">
      <c r="A391" s="286" t="s">
        <v>1240</v>
      </c>
      <c r="B391" s="287" t="s">
        <v>345</v>
      </c>
      <c r="C391" s="164" t="s">
        <v>5</v>
      </c>
      <c r="D391" s="164">
        <v>1</v>
      </c>
      <c r="E391" s="165">
        <v>53.1</v>
      </c>
      <c r="F391" s="165">
        <v>53.1</v>
      </c>
    </row>
    <row r="392" spans="1:6" ht="30" x14ac:dyDescent="0.25">
      <c r="A392" s="286" t="s">
        <v>1241</v>
      </c>
      <c r="B392" s="287" t="s">
        <v>1242</v>
      </c>
      <c r="C392" s="164" t="s">
        <v>5</v>
      </c>
      <c r="D392" s="164">
        <v>1</v>
      </c>
      <c r="E392" s="165">
        <v>50.25</v>
      </c>
      <c r="F392" s="165">
        <v>50.25</v>
      </c>
    </row>
    <row r="393" spans="1:6" ht="30" x14ac:dyDescent="0.25">
      <c r="A393" s="286" t="s">
        <v>1243</v>
      </c>
      <c r="B393" s="287" t="s">
        <v>1244</v>
      </c>
      <c r="C393" s="164" t="s">
        <v>5</v>
      </c>
      <c r="D393" s="164">
        <v>1</v>
      </c>
      <c r="E393" s="165">
        <v>40.31</v>
      </c>
      <c r="F393" s="165">
        <v>40.31</v>
      </c>
    </row>
    <row r="394" spans="1:6" ht="30" x14ac:dyDescent="0.25">
      <c r="A394" s="286" t="s">
        <v>1245</v>
      </c>
      <c r="B394" s="287" t="s">
        <v>1246</v>
      </c>
      <c r="C394" s="164" t="s">
        <v>5</v>
      </c>
      <c r="D394" s="164">
        <v>1</v>
      </c>
      <c r="E394" s="165">
        <v>66.84</v>
      </c>
      <c r="F394" s="165">
        <v>66.84</v>
      </c>
    </row>
    <row r="395" spans="1:6" x14ac:dyDescent="0.25">
      <c r="A395" s="288" t="s">
        <v>1247</v>
      </c>
      <c r="B395" s="285" t="s">
        <v>1201</v>
      </c>
      <c r="C395" s="164"/>
      <c r="D395" s="164"/>
      <c r="E395" s="165"/>
      <c r="F395" s="165"/>
    </row>
    <row r="396" spans="1:6" ht="60" x14ac:dyDescent="0.25">
      <c r="A396" s="286" t="s">
        <v>1248</v>
      </c>
      <c r="B396" s="287" t="s">
        <v>1249</v>
      </c>
      <c r="C396" s="164" t="s">
        <v>5</v>
      </c>
      <c r="D396" s="164">
        <v>1</v>
      </c>
      <c r="E396" s="165">
        <v>47.17</v>
      </c>
      <c r="F396" s="165">
        <v>47.17</v>
      </c>
    </row>
    <row r="397" spans="1:6" ht="75" x14ac:dyDescent="0.25">
      <c r="A397" s="286" t="s">
        <v>1250</v>
      </c>
      <c r="B397" s="287" t="s">
        <v>1251</v>
      </c>
      <c r="C397" s="164" t="s">
        <v>5</v>
      </c>
      <c r="D397" s="164">
        <v>1</v>
      </c>
      <c r="E397" s="165">
        <v>415.12</v>
      </c>
      <c r="F397" s="165">
        <v>415.12</v>
      </c>
    </row>
    <row r="398" spans="1:6" ht="45" x14ac:dyDescent="0.25">
      <c r="A398" s="286" t="s">
        <v>1252</v>
      </c>
      <c r="B398" s="287" t="s">
        <v>1253</v>
      </c>
      <c r="C398" s="164" t="s">
        <v>7</v>
      </c>
      <c r="D398" s="164">
        <v>1</v>
      </c>
      <c r="E398" s="165">
        <v>9.4600000000000009</v>
      </c>
      <c r="F398" s="165">
        <v>9.4600000000000009</v>
      </c>
    </row>
    <row r="399" spans="1:6" ht="45" x14ac:dyDescent="0.25">
      <c r="A399" s="286" t="s">
        <v>1254</v>
      </c>
      <c r="B399" s="287" t="s">
        <v>1255</v>
      </c>
      <c r="C399" s="164" t="s">
        <v>5</v>
      </c>
      <c r="D399" s="164">
        <v>1</v>
      </c>
      <c r="E399" s="165">
        <v>85.42</v>
      </c>
      <c r="F399" s="165">
        <v>85.42</v>
      </c>
    </row>
    <row r="400" spans="1:6" ht="75" x14ac:dyDescent="0.25">
      <c r="A400" s="286" t="s">
        <v>1256</v>
      </c>
      <c r="B400" s="287" t="s">
        <v>1257</v>
      </c>
      <c r="C400" s="164" t="s">
        <v>5</v>
      </c>
      <c r="D400" s="164">
        <v>1</v>
      </c>
      <c r="E400" s="165">
        <v>54.66</v>
      </c>
      <c r="F400" s="165">
        <v>54.66</v>
      </c>
    </row>
    <row r="401" spans="1:6" ht="60" x14ac:dyDescent="0.25">
      <c r="A401" s="286" t="s">
        <v>1258</v>
      </c>
      <c r="B401" s="287" t="s">
        <v>1259</v>
      </c>
      <c r="C401" s="164" t="s">
        <v>5</v>
      </c>
      <c r="D401" s="164">
        <v>1</v>
      </c>
      <c r="E401" s="165">
        <v>143.25</v>
      </c>
      <c r="F401" s="165">
        <v>143.25</v>
      </c>
    </row>
    <row r="402" spans="1:6" ht="75" x14ac:dyDescent="0.25">
      <c r="A402" s="286" t="s">
        <v>1260</v>
      </c>
      <c r="B402" s="287" t="s">
        <v>1261</v>
      </c>
      <c r="C402" s="164" t="s">
        <v>5</v>
      </c>
      <c r="D402" s="164">
        <v>1</v>
      </c>
      <c r="E402" s="165">
        <v>71.17</v>
      </c>
      <c r="F402" s="165">
        <v>71.17</v>
      </c>
    </row>
    <row r="403" spans="1:6" ht="45" x14ac:dyDescent="0.25">
      <c r="A403" s="286" t="s">
        <v>1262</v>
      </c>
      <c r="B403" s="287" t="s">
        <v>1263</v>
      </c>
      <c r="C403" s="164" t="s">
        <v>5</v>
      </c>
      <c r="D403" s="164">
        <v>1</v>
      </c>
      <c r="E403" s="165">
        <v>107.22</v>
      </c>
      <c r="F403" s="165">
        <v>107.22</v>
      </c>
    </row>
    <row r="404" spans="1:6" ht="45" x14ac:dyDescent="0.25">
      <c r="A404" s="286" t="s">
        <v>1264</v>
      </c>
      <c r="B404" s="287" t="s">
        <v>1265</v>
      </c>
      <c r="C404" s="164" t="s">
        <v>5</v>
      </c>
      <c r="D404" s="164">
        <v>1</v>
      </c>
      <c r="E404" s="165">
        <v>12.48</v>
      </c>
      <c r="F404" s="165">
        <v>12.48</v>
      </c>
    </row>
    <row r="405" spans="1:6" ht="45" x14ac:dyDescent="0.25">
      <c r="A405" s="286" t="s">
        <v>1266</v>
      </c>
      <c r="B405" s="287" t="s">
        <v>1267</v>
      </c>
      <c r="C405" s="164" t="s">
        <v>5</v>
      </c>
      <c r="D405" s="164">
        <v>1</v>
      </c>
      <c r="E405" s="165">
        <v>8.61</v>
      </c>
      <c r="F405" s="165">
        <v>8.61</v>
      </c>
    </row>
    <row r="406" spans="1:6" ht="30" x14ac:dyDescent="0.25">
      <c r="A406" s="286" t="s">
        <v>1268</v>
      </c>
      <c r="B406" s="287" t="s">
        <v>1269</v>
      </c>
      <c r="C406" s="164" t="s">
        <v>5</v>
      </c>
      <c r="D406" s="164">
        <v>1</v>
      </c>
      <c r="E406" s="165">
        <v>12.5</v>
      </c>
      <c r="F406" s="165">
        <v>12.5</v>
      </c>
    </row>
    <row r="407" spans="1:6" ht="90" x14ac:dyDescent="0.25">
      <c r="A407" s="286" t="s">
        <v>1270</v>
      </c>
      <c r="B407" s="287" t="s">
        <v>1271</v>
      </c>
      <c r="C407" s="164" t="s">
        <v>5</v>
      </c>
      <c r="D407" s="164">
        <v>1</v>
      </c>
      <c r="E407" s="165">
        <v>45.45</v>
      </c>
      <c r="F407" s="165">
        <v>45.45</v>
      </c>
    </row>
    <row r="408" spans="1:6" ht="105" x14ac:dyDescent="0.25">
      <c r="A408" s="286" t="s">
        <v>1272</v>
      </c>
      <c r="B408" s="287" t="s">
        <v>1273</v>
      </c>
      <c r="C408" s="164" t="s">
        <v>5</v>
      </c>
      <c r="D408" s="164">
        <v>1</v>
      </c>
      <c r="E408" s="165">
        <v>103.87</v>
      </c>
      <c r="F408" s="165">
        <v>103.87</v>
      </c>
    </row>
    <row r="409" spans="1:6" ht="105" x14ac:dyDescent="0.25">
      <c r="A409" s="286" t="s">
        <v>1274</v>
      </c>
      <c r="B409" s="287" t="s">
        <v>1275</v>
      </c>
      <c r="C409" s="164" t="s">
        <v>5</v>
      </c>
      <c r="D409" s="164">
        <v>1</v>
      </c>
      <c r="E409" s="165">
        <v>114.99</v>
      </c>
      <c r="F409" s="165">
        <v>114.99</v>
      </c>
    </row>
    <row r="410" spans="1:6" ht="90" x14ac:dyDescent="0.25">
      <c r="A410" s="286" t="s">
        <v>1276</v>
      </c>
      <c r="B410" s="287" t="s">
        <v>1277</v>
      </c>
      <c r="C410" s="164" t="s">
        <v>5</v>
      </c>
      <c r="D410" s="164">
        <v>1</v>
      </c>
      <c r="E410" s="165">
        <v>150.94</v>
      </c>
      <c r="F410" s="165">
        <v>150.94</v>
      </c>
    </row>
    <row r="411" spans="1:6" ht="105" x14ac:dyDescent="0.25">
      <c r="A411" s="286" t="s">
        <v>1278</v>
      </c>
      <c r="B411" s="287" t="s">
        <v>1279</v>
      </c>
      <c r="C411" s="164" t="s">
        <v>5</v>
      </c>
      <c r="D411" s="164">
        <v>1</v>
      </c>
      <c r="E411" s="165">
        <v>101.08</v>
      </c>
      <c r="F411" s="165">
        <v>101.08</v>
      </c>
    </row>
    <row r="412" spans="1:6" ht="90" x14ac:dyDescent="0.25">
      <c r="A412" s="286" t="s">
        <v>1280</v>
      </c>
      <c r="B412" s="287" t="s">
        <v>1281</v>
      </c>
      <c r="C412" s="164" t="s">
        <v>5</v>
      </c>
      <c r="D412" s="164">
        <v>1</v>
      </c>
      <c r="E412" s="165">
        <v>143.81</v>
      </c>
      <c r="F412" s="165">
        <v>143.81</v>
      </c>
    </row>
    <row r="413" spans="1:6" ht="90" x14ac:dyDescent="0.25">
      <c r="A413" s="286" t="s">
        <v>1282</v>
      </c>
      <c r="B413" s="287" t="s">
        <v>1283</v>
      </c>
      <c r="C413" s="164" t="s">
        <v>5</v>
      </c>
      <c r="D413" s="164">
        <v>1</v>
      </c>
      <c r="E413" s="165">
        <v>68.400000000000006</v>
      </c>
      <c r="F413" s="165">
        <v>68.400000000000006</v>
      </c>
    </row>
    <row r="414" spans="1:6" ht="90" x14ac:dyDescent="0.25">
      <c r="A414" s="286" t="s">
        <v>1284</v>
      </c>
      <c r="B414" s="287" t="s">
        <v>1285</v>
      </c>
      <c r="C414" s="164" t="s">
        <v>5</v>
      </c>
      <c r="D414" s="164">
        <v>1</v>
      </c>
      <c r="E414" s="165">
        <v>45.45</v>
      </c>
      <c r="F414" s="165">
        <v>45.45</v>
      </c>
    </row>
    <row r="415" spans="1:6" ht="30" x14ac:dyDescent="0.25">
      <c r="A415" s="288" t="s">
        <v>1286</v>
      </c>
      <c r="B415" s="285" t="s">
        <v>1287</v>
      </c>
      <c r="C415" s="164"/>
      <c r="D415" s="164"/>
      <c r="E415" s="165"/>
      <c r="F415" s="165"/>
    </row>
    <row r="416" spans="1:6" ht="45" x14ac:dyDescent="0.25">
      <c r="A416" s="286" t="s">
        <v>1288</v>
      </c>
      <c r="B416" s="287" t="s">
        <v>1289</v>
      </c>
      <c r="C416" s="164" t="s">
        <v>7</v>
      </c>
      <c r="D416" s="164">
        <v>1</v>
      </c>
      <c r="E416" s="165">
        <v>11.8</v>
      </c>
      <c r="F416" s="165">
        <v>11.8</v>
      </c>
    </row>
    <row r="417" spans="1:6" ht="60" x14ac:dyDescent="0.25">
      <c r="A417" s="286" t="s">
        <v>1290</v>
      </c>
      <c r="B417" s="287" t="s">
        <v>1291</v>
      </c>
      <c r="C417" s="164" t="s">
        <v>7</v>
      </c>
      <c r="D417" s="164">
        <v>1</v>
      </c>
      <c r="E417" s="165">
        <v>14.39</v>
      </c>
      <c r="F417" s="165">
        <v>14.39</v>
      </c>
    </row>
    <row r="418" spans="1:6" ht="45" x14ac:dyDescent="0.25">
      <c r="A418" s="286" t="s">
        <v>1292</v>
      </c>
      <c r="B418" s="287" t="s">
        <v>1293</v>
      </c>
      <c r="C418" s="164" t="s">
        <v>7</v>
      </c>
      <c r="D418" s="164">
        <v>1</v>
      </c>
      <c r="E418" s="165">
        <v>28.03</v>
      </c>
      <c r="F418" s="165">
        <v>28.03</v>
      </c>
    </row>
    <row r="419" spans="1:6" ht="30" x14ac:dyDescent="0.25">
      <c r="A419" s="286" t="s">
        <v>1294</v>
      </c>
      <c r="B419" s="287" t="s">
        <v>1295</v>
      </c>
      <c r="C419" s="164" t="s">
        <v>7</v>
      </c>
      <c r="D419" s="164">
        <v>1</v>
      </c>
      <c r="E419" s="165">
        <v>134.41999999999999</v>
      </c>
      <c r="F419" s="165">
        <v>134.41999999999999</v>
      </c>
    </row>
    <row r="420" spans="1:6" ht="30" x14ac:dyDescent="0.25">
      <c r="A420" s="286" t="s">
        <v>1296</v>
      </c>
      <c r="B420" s="287" t="s">
        <v>1297</v>
      </c>
      <c r="C420" s="164" t="s">
        <v>7</v>
      </c>
      <c r="D420" s="164">
        <v>1</v>
      </c>
      <c r="E420" s="165">
        <v>46.5</v>
      </c>
      <c r="F420" s="165">
        <v>46.5</v>
      </c>
    </row>
    <row r="421" spans="1:6" ht="45" x14ac:dyDescent="0.25">
      <c r="A421" s="286" t="s">
        <v>1298</v>
      </c>
      <c r="B421" s="287" t="s">
        <v>1299</v>
      </c>
      <c r="C421" s="164" t="s">
        <v>7</v>
      </c>
      <c r="D421" s="164">
        <v>1</v>
      </c>
      <c r="E421" s="165">
        <v>24.44</v>
      </c>
      <c r="F421" s="165">
        <v>24.44</v>
      </c>
    </row>
    <row r="422" spans="1:6" ht="75" x14ac:dyDescent="0.25">
      <c r="A422" s="286" t="s">
        <v>1300</v>
      </c>
      <c r="B422" s="287" t="s">
        <v>1301</v>
      </c>
      <c r="C422" s="164" t="s">
        <v>7</v>
      </c>
      <c r="D422" s="164">
        <v>1</v>
      </c>
      <c r="E422" s="165">
        <v>40.94</v>
      </c>
      <c r="F422" s="165">
        <v>40.94</v>
      </c>
    </row>
    <row r="423" spans="1:6" ht="30" x14ac:dyDescent="0.25">
      <c r="A423" s="286" t="s">
        <v>1302</v>
      </c>
      <c r="B423" s="287" t="s">
        <v>1303</v>
      </c>
      <c r="C423" s="164" t="s">
        <v>7</v>
      </c>
      <c r="D423" s="164">
        <v>1</v>
      </c>
      <c r="E423" s="165">
        <v>75.41</v>
      </c>
      <c r="F423" s="165">
        <v>75.41</v>
      </c>
    </row>
    <row r="424" spans="1:6" ht="60" x14ac:dyDescent="0.25">
      <c r="A424" s="286" t="s">
        <v>1304</v>
      </c>
      <c r="B424" s="287" t="s">
        <v>1305</v>
      </c>
      <c r="C424" s="164" t="s">
        <v>7</v>
      </c>
      <c r="D424" s="164">
        <v>1</v>
      </c>
      <c r="E424" s="165">
        <v>28.44</v>
      </c>
      <c r="F424" s="165">
        <v>28.44</v>
      </c>
    </row>
    <row r="425" spans="1:6" ht="75" x14ac:dyDescent="0.25">
      <c r="A425" s="286" t="s">
        <v>1306</v>
      </c>
      <c r="B425" s="287" t="s">
        <v>1307</v>
      </c>
      <c r="C425" s="164" t="s">
        <v>7</v>
      </c>
      <c r="D425" s="164">
        <v>1</v>
      </c>
      <c r="E425" s="165">
        <v>42.69</v>
      </c>
      <c r="F425" s="165">
        <v>42.69</v>
      </c>
    </row>
    <row r="426" spans="1:6" ht="105" x14ac:dyDescent="0.25">
      <c r="A426" s="286" t="s">
        <v>1308</v>
      </c>
      <c r="B426" s="287" t="s">
        <v>1309</v>
      </c>
      <c r="C426" s="164" t="s">
        <v>7</v>
      </c>
      <c r="D426" s="164">
        <v>1</v>
      </c>
      <c r="E426" s="165">
        <v>23.37</v>
      </c>
      <c r="F426" s="165">
        <v>23.37</v>
      </c>
    </row>
    <row r="427" spans="1:6" ht="75" x14ac:dyDescent="0.25">
      <c r="A427" s="286" t="s">
        <v>1310</v>
      </c>
      <c r="B427" s="287" t="s">
        <v>1311</v>
      </c>
      <c r="C427" s="164" t="s">
        <v>7</v>
      </c>
      <c r="D427" s="164">
        <v>1</v>
      </c>
      <c r="E427" s="165">
        <v>40.53</v>
      </c>
      <c r="F427" s="165">
        <v>40.53</v>
      </c>
    </row>
    <row r="428" spans="1:6" x14ac:dyDescent="0.25">
      <c r="A428" s="288" t="s">
        <v>1312</v>
      </c>
      <c r="B428" s="285" t="s">
        <v>1018</v>
      </c>
      <c r="C428" s="164"/>
      <c r="D428" s="164"/>
      <c r="E428" s="165"/>
      <c r="F428" s="165"/>
    </row>
    <row r="429" spans="1:6" ht="45" x14ac:dyDescent="0.25">
      <c r="A429" s="286" t="s">
        <v>1313</v>
      </c>
      <c r="B429" s="287" t="s">
        <v>1314</v>
      </c>
      <c r="C429" s="164" t="s">
        <v>5</v>
      </c>
      <c r="D429" s="164">
        <v>1</v>
      </c>
      <c r="E429" s="165">
        <v>105.35</v>
      </c>
      <c r="F429" s="165">
        <v>105.35</v>
      </c>
    </row>
    <row r="430" spans="1:6" x14ac:dyDescent="0.25">
      <c r="A430" s="288" t="s">
        <v>1315</v>
      </c>
      <c r="B430" s="285" t="s">
        <v>44</v>
      </c>
      <c r="C430" s="164"/>
      <c r="D430" s="164"/>
      <c r="E430" s="165"/>
      <c r="F430" s="165"/>
    </row>
    <row r="431" spans="1:6" ht="30" x14ac:dyDescent="0.25">
      <c r="A431" s="288" t="s">
        <v>1316</v>
      </c>
      <c r="B431" s="285" t="s">
        <v>1317</v>
      </c>
      <c r="C431" s="164"/>
      <c r="D431" s="164"/>
      <c r="E431" s="165"/>
      <c r="F431" s="165"/>
    </row>
    <row r="432" spans="1:6" ht="90" x14ac:dyDescent="0.25">
      <c r="A432" s="286" t="s">
        <v>1318</v>
      </c>
      <c r="B432" s="287" t="s">
        <v>1319</v>
      </c>
      <c r="C432" s="164" t="s">
        <v>8</v>
      </c>
      <c r="D432" s="164">
        <v>1</v>
      </c>
      <c r="E432" s="289">
        <v>1941.53</v>
      </c>
      <c r="F432" s="289">
        <v>1941.53</v>
      </c>
    </row>
    <row r="433" spans="1:6" ht="90" x14ac:dyDescent="0.25">
      <c r="A433" s="286" t="s">
        <v>1320</v>
      </c>
      <c r="B433" s="287" t="s">
        <v>1321</v>
      </c>
      <c r="C433" s="164" t="s">
        <v>8</v>
      </c>
      <c r="D433" s="164">
        <v>1</v>
      </c>
      <c r="E433" s="289">
        <v>2503.86</v>
      </c>
      <c r="F433" s="289">
        <v>2503.86</v>
      </c>
    </row>
    <row r="434" spans="1:6" ht="90" x14ac:dyDescent="0.25">
      <c r="A434" s="286" t="s">
        <v>1322</v>
      </c>
      <c r="B434" s="287" t="s">
        <v>1323</v>
      </c>
      <c r="C434" s="164" t="s">
        <v>8</v>
      </c>
      <c r="D434" s="164">
        <v>1</v>
      </c>
      <c r="E434" s="289">
        <v>5956.69</v>
      </c>
      <c r="F434" s="289">
        <v>5956.69</v>
      </c>
    </row>
    <row r="435" spans="1:6" ht="90" x14ac:dyDescent="0.25">
      <c r="A435" s="286" t="s">
        <v>1324</v>
      </c>
      <c r="B435" s="287" t="s">
        <v>1325</v>
      </c>
      <c r="C435" s="164" t="s">
        <v>8</v>
      </c>
      <c r="D435" s="164">
        <v>1</v>
      </c>
      <c r="E435" s="289">
        <v>5487.23</v>
      </c>
      <c r="F435" s="289">
        <v>5487.23</v>
      </c>
    </row>
    <row r="436" spans="1:6" x14ac:dyDescent="0.25">
      <c r="A436" s="288" t="s">
        <v>1326</v>
      </c>
      <c r="B436" s="285" t="s">
        <v>45</v>
      </c>
      <c r="C436" s="164"/>
      <c r="D436" s="164"/>
      <c r="E436" s="165"/>
      <c r="F436" s="165"/>
    </row>
    <row r="437" spans="1:6" ht="105" x14ac:dyDescent="0.25">
      <c r="A437" s="286" t="s">
        <v>1327</v>
      </c>
      <c r="B437" s="287" t="s">
        <v>344</v>
      </c>
      <c r="C437" s="164" t="s">
        <v>8</v>
      </c>
      <c r="D437" s="164">
        <v>1</v>
      </c>
      <c r="E437" s="165">
        <v>360.21</v>
      </c>
      <c r="F437" s="165">
        <v>360.21</v>
      </c>
    </row>
    <row r="438" spans="1:6" ht="105" x14ac:dyDescent="0.25">
      <c r="A438" s="286" t="s">
        <v>1328</v>
      </c>
      <c r="B438" s="287" t="s">
        <v>1329</v>
      </c>
      <c r="C438" s="164" t="s">
        <v>8</v>
      </c>
      <c r="D438" s="164">
        <v>1</v>
      </c>
      <c r="E438" s="165">
        <v>447.18</v>
      </c>
      <c r="F438" s="165">
        <v>447.18</v>
      </c>
    </row>
    <row r="439" spans="1:6" ht="105" x14ac:dyDescent="0.25">
      <c r="A439" s="286" t="s">
        <v>1330</v>
      </c>
      <c r="B439" s="287" t="s">
        <v>1331</v>
      </c>
      <c r="C439" s="164" t="s">
        <v>8</v>
      </c>
      <c r="D439" s="164">
        <v>1</v>
      </c>
      <c r="E439" s="165">
        <v>639.98</v>
      </c>
      <c r="F439" s="165">
        <v>639.98</v>
      </c>
    </row>
    <row r="440" spans="1:6" ht="90" x14ac:dyDescent="0.25">
      <c r="A440" s="286" t="s">
        <v>1332</v>
      </c>
      <c r="B440" s="287" t="s">
        <v>1333</v>
      </c>
      <c r="C440" s="164" t="s">
        <v>8</v>
      </c>
      <c r="D440" s="164">
        <v>1</v>
      </c>
      <c r="E440" s="165">
        <v>236.69</v>
      </c>
      <c r="F440" s="165">
        <v>236.69</v>
      </c>
    </row>
    <row r="441" spans="1:6" x14ac:dyDescent="0.25">
      <c r="A441" s="288" t="s">
        <v>1334</v>
      </c>
      <c r="B441" s="285" t="s">
        <v>369</v>
      </c>
      <c r="C441" s="164"/>
      <c r="D441" s="164"/>
      <c r="E441" s="165"/>
      <c r="F441" s="165"/>
    </row>
    <row r="442" spans="1:6" ht="30" x14ac:dyDescent="0.25">
      <c r="A442" s="286" t="s">
        <v>1335</v>
      </c>
      <c r="B442" s="287" t="s">
        <v>370</v>
      </c>
      <c r="C442" s="164" t="s">
        <v>361</v>
      </c>
      <c r="D442" s="164">
        <v>1</v>
      </c>
      <c r="E442" s="165">
        <v>94.74</v>
      </c>
      <c r="F442" s="165">
        <v>94.74</v>
      </c>
    </row>
    <row r="443" spans="1:6" ht="30" x14ac:dyDescent="0.25">
      <c r="A443" s="286" t="s">
        <v>1336</v>
      </c>
      <c r="B443" s="287" t="s">
        <v>371</v>
      </c>
      <c r="C443" s="164" t="s">
        <v>361</v>
      </c>
      <c r="D443" s="164">
        <v>1</v>
      </c>
      <c r="E443" s="165">
        <v>211.09</v>
      </c>
      <c r="F443" s="165">
        <v>211.09</v>
      </c>
    </row>
    <row r="444" spans="1:6" ht="30" x14ac:dyDescent="0.25">
      <c r="A444" s="286" t="s">
        <v>1337</v>
      </c>
      <c r="B444" s="287" t="s">
        <v>1338</v>
      </c>
      <c r="C444" s="164" t="s">
        <v>361</v>
      </c>
      <c r="D444" s="164">
        <v>1</v>
      </c>
      <c r="E444" s="165">
        <v>385.76</v>
      </c>
      <c r="F444" s="165">
        <v>385.76</v>
      </c>
    </row>
    <row r="445" spans="1:6" ht="30" x14ac:dyDescent="0.25">
      <c r="A445" s="286" t="s">
        <v>1339</v>
      </c>
      <c r="B445" s="287" t="s">
        <v>1340</v>
      </c>
      <c r="C445" s="164" t="s">
        <v>361</v>
      </c>
      <c r="D445" s="164">
        <v>1</v>
      </c>
      <c r="E445" s="165">
        <v>380.8</v>
      </c>
      <c r="F445" s="165">
        <v>380.8</v>
      </c>
    </row>
    <row r="446" spans="1:6" ht="30" x14ac:dyDescent="0.25">
      <c r="A446" s="286" t="s">
        <v>1341</v>
      </c>
      <c r="B446" s="287" t="s">
        <v>372</v>
      </c>
      <c r="C446" s="164" t="s">
        <v>361</v>
      </c>
      <c r="D446" s="164">
        <v>1</v>
      </c>
      <c r="E446" s="165">
        <v>111.23</v>
      </c>
      <c r="F446" s="165">
        <v>111.23</v>
      </c>
    </row>
    <row r="447" spans="1:6" ht="30" x14ac:dyDescent="0.25">
      <c r="A447" s="286" t="s">
        <v>1342</v>
      </c>
      <c r="B447" s="287" t="s">
        <v>373</v>
      </c>
      <c r="C447" s="164" t="s">
        <v>361</v>
      </c>
      <c r="D447" s="164">
        <v>1</v>
      </c>
      <c r="E447" s="165">
        <v>86.3</v>
      </c>
      <c r="F447" s="165">
        <v>86.3</v>
      </c>
    </row>
    <row r="448" spans="1:6" ht="45" x14ac:dyDescent="0.25">
      <c r="A448" s="286" t="s">
        <v>1343</v>
      </c>
      <c r="B448" s="287" t="s">
        <v>1344</v>
      </c>
      <c r="C448" s="164" t="s">
        <v>361</v>
      </c>
      <c r="D448" s="164">
        <v>1</v>
      </c>
      <c r="E448" s="165">
        <v>159.07</v>
      </c>
      <c r="F448" s="165">
        <v>159.07</v>
      </c>
    </row>
    <row r="449" spans="1:6" ht="30" x14ac:dyDescent="0.25">
      <c r="A449" s="286" t="s">
        <v>1345</v>
      </c>
      <c r="B449" s="287" t="s">
        <v>1346</v>
      </c>
      <c r="C449" s="164" t="s">
        <v>361</v>
      </c>
      <c r="D449" s="164">
        <v>1</v>
      </c>
      <c r="E449" s="165">
        <v>79.16</v>
      </c>
      <c r="F449" s="165">
        <v>79.16</v>
      </c>
    </row>
    <row r="450" spans="1:6" ht="30" x14ac:dyDescent="0.25">
      <c r="A450" s="286" t="s">
        <v>1347</v>
      </c>
      <c r="B450" s="287" t="s">
        <v>1348</v>
      </c>
      <c r="C450" s="164" t="s">
        <v>361</v>
      </c>
      <c r="D450" s="164">
        <v>1</v>
      </c>
      <c r="E450" s="165">
        <v>81.66</v>
      </c>
      <c r="F450" s="165">
        <v>81.66</v>
      </c>
    </row>
    <row r="451" spans="1:6" ht="45" x14ac:dyDescent="0.25">
      <c r="A451" s="286" t="s">
        <v>1349</v>
      </c>
      <c r="B451" s="287" t="s">
        <v>374</v>
      </c>
      <c r="C451" s="164" t="s">
        <v>8</v>
      </c>
      <c r="D451" s="164">
        <v>1</v>
      </c>
      <c r="E451" s="165">
        <v>202.13</v>
      </c>
      <c r="F451" s="165">
        <v>202.13</v>
      </c>
    </row>
    <row r="452" spans="1:6" ht="45" x14ac:dyDescent="0.25">
      <c r="A452" s="286" t="s">
        <v>1350</v>
      </c>
      <c r="B452" s="287" t="s">
        <v>1351</v>
      </c>
      <c r="C452" s="164" t="s">
        <v>8</v>
      </c>
      <c r="D452" s="164">
        <v>1</v>
      </c>
      <c r="E452" s="165">
        <v>91.23</v>
      </c>
      <c r="F452" s="165">
        <v>91.23</v>
      </c>
    </row>
    <row r="453" spans="1:6" ht="60" x14ac:dyDescent="0.25">
      <c r="A453" s="286" t="s">
        <v>1352</v>
      </c>
      <c r="B453" s="287" t="s">
        <v>1353</v>
      </c>
      <c r="C453" s="164" t="s">
        <v>8</v>
      </c>
      <c r="D453" s="164">
        <v>1</v>
      </c>
      <c r="E453" s="165">
        <v>710.37</v>
      </c>
      <c r="F453" s="165">
        <v>710.37</v>
      </c>
    </row>
    <row r="454" spans="1:6" ht="75" x14ac:dyDescent="0.25">
      <c r="A454" s="286" t="s">
        <v>1354</v>
      </c>
      <c r="B454" s="287" t="s">
        <v>1355</v>
      </c>
      <c r="C454" s="164" t="s">
        <v>8</v>
      </c>
      <c r="D454" s="164">
        <v>1</v>
      </c>
      <c r="E454" s="289">
        <v>1199.33</v>
      </c>
      <c r="F454" s="289">
        <v>1199.33</v>
      </c>
    </row>
    <row r="455" spans="1:6" ht="105" x14ac:dyDescent="0.25">
      <c r="A455" s="286" t="s">
        <v>1356</v>
      </c>
      <c r="B455" s="287" t="s">
        <v>1357</v>
      </c>
      <c r="C455" s="164" t="s">
        <v>8</v>
      </c>
      <c r="D455" s="164">
        <v>1</v>
      </c>
      <c r="E455" s="289">
        <v>1208.58</v>
      </c>
      <c r="F455" s="289">
        <v>1208.58</v>
      </c>
    </row>
    <row r="456" spans="1:6" x14ac:dyDescent="0.25">
      <c r="A456" s="288" t="s">
        <v>1358</v>
      </c>
      <c r="B456" s="285" t="s">
        <v>46</v>
      </c>
      <c r="C456" s="164"/>
      <c r="D456" s="164"/>
      <c r="E456" s="165"/>
      <c r="F456" s="165"/>
    </row>
    <row r="457" spans="1:6" ht="90" x14ac:dyDescent="0.25">
      <c r="A457" s="286" t="s">
        <v>1359</v>
      </c>
      <c r="B457" s="287" t="s">
        <v>1360</v>
      </c>
      <c r="C457" s="164" t="s">
        <v>7</v>
      </c>
      <c r="D457" s="164">
        <v>1</v>
      </c>
      <c r="E457" s="165">
        <v>102.88</v>
      </c>
      <c r="F457" s="165">
        <v>102.88</v>
      </c>
    </row>
    <row r="458" spans="1:6" ht="90" x14ac:dyDescent="0.25">
      <c r="A458" s="286" t="s">
        <v>1361</v>
      </c>
      <c r="B458" s="287" t="s">
        <v>1362</v>
      </c>
      <c r="C458" s="164" t="s">
        <v>7</v>
      </c>
      <c r="D458" s="164">
        <v>1</v>
      </c>
      <c r="E458" s="165">
        <v>129.71</v>
      </c>
      <c r="F458" s="165">
        <v>129.71</v>
      </c>
    </row>
    <row r="459" spans="1:6" ht="45" x14ac:dyDescent="0.25">
      <c r="A459" s="286" t="s">
        <v>1363</v>
      </c>
      <c r="B459" s="287" t="s">
        <v>47</v>
      </c>
      <c r="C459" s="164" t="s">
        <v>7</v>
      </c>
      <c r="D459" s="164">
        <v>1</v>
      </c>
      <c r="E459" s="165">
        <v>56.39</v>
      </c>
      <c r="F459" s="165">
        <v>56.39</v>
      </c>
    </row>
    <row r="460" spans="1:6" ht="45" x14ac:dyDescent="0.25">
      <c r="A460" s="286" t="s">
        <v>1364</v>
      </c>
      <c r="B460" s="287" t="s">
        <v>1365</v>
      </c>
      <c r="C460" s="164" t="s">
        <v>7</v>
      </c>
      <c r="D460" s="164">
        <v>1</v>
      </c>
      <c r="E460" s="165">
        <v>93</v>
      </c>
      <c r="F460" s="165">
        <v>93</v>
      </c>
    </row>
    <row r="461" spans="1:6" ht="45" x14ac:dyDescent="0.25">
      <c r="A461" s="286" t="s">
        <v>1366</v>
      </c>
      <c r="B461" s="287" t="s">
        <v>1367</v>
      </c>
      <c r="C461" s="164" t="s">
        <v>7</v>
      </c>
      <c r="D461" s="164">
        <v>1</v>
      </c>
      <c r="E461" s="165">
        <v>153</v>
      </c>
      <c r="F461" s="165">
        <v>153</v>
      </c>
    </row>
    <row r="462" spans="1:6" ht="45" x14ac:dyDescent="0.25">
      <c r="A462" s="286" t="s">
        <v>1368</v>
      </c>
      <c r="B462" s="287" t="s">
        <v>1369</v>
      </c>
      <c r="C462" s="164" t="s">
        <v>7</v>
      </c>
      <c r="D462" s="164">
        <v>1</v>
      </c>
      <c r="E462" s="165">
        <v>52.68</v>
      </c>
      <c r="F462" s="165">
        <v>52.68</v>
      </c>
    </row>
    <row r="463" spans="1:6" ht="30" x14ac:dyDescent="0.25">
      <c r="A463" s="288" t="s">
        <v>1370</v>
      </c>
      <c r="B463" s="285" t="s">
        <v>48</v>
      </c>
      <c r="C463" s="164"/>
      <c r="D463" s="164"/>
      <c r="E463" s="165"/>
      <c r="F463" s="165"/>
    </row>
    <row r="464" spans="1:6" ht="105" x14ac:dyDescent="0.25">
      <c r="A464" s="286" t="s">
        <v>4331</v>
      </c>
      <c r="B464" s="287" t="s">
        <v>1371</v>
      </c>
      <c r="C464" s="164" t="s">
        <v>8</v>
      </c>
      <c r="D464" s="164">
        <v>1</v>
      </c>
      <c r="E464" s="165">
        <v>476.23</v>
      </c>
      <c r="F464" s="165">
        <v>476.23</v>
      </c>
    </row>
    <row r="465" spans="1:6" ht="105" x14ac:dyDescent="0.25">
      <c r="A465" s="286" t="s">
        <v>1372</v>
      </c>
      <c r="B465" s="287" t="s">
        <v>1373</v>
      </c>
      <c r="C465" s="164" t="s">
        <v>8</v>
      </c>
      <c r="D465" s="164">
        <v>1</v>
      </c>
      <c r="E465" s="165">
        <v>469.76</v>
      </c>
      <c r="F465" s="165">
        <v>469.76</v>
      </c>
    </row>
    <row r="466" spans="1:6" ht="105" x14ac:dyDescent="0.25">
      <c r="A466" s="286" t="s">
        <v>1374</v>
      </c>
      <c r="B466" s="287" t="s">
        <v>1375</v>
      </c>
      <c r="C466" s="164" t="s">
        <v>8</v>
      </c>
      <c r="D466" s="164">
        <v>1</v>
      </c>
      <c r="E466" s="165">
        <v>549.21</v>
      </c>
      <c r="F466" s="165">
        <v>549.21</v>
      </c>
    </row>
    <row r="467" spans="1:6" ht="105" x14ac:dyDescent="0.25">
      <c r="A467" s="286" t="s">
        <v>1376</v>
      </c>
      <c r="B467" s="287" t="s">
        <v>1377</v>
      </c>
      <c r="C467" s="164" t="s">
        <v>8</v>
      </c>
      <c r="D467" s="164">
        <v>1</v>
      </c>
      <c r="E467" s="165">
        <v>515.5</v>
      </c>
      <c r="F467" s="165">
        <v>515.5</v>
      </c>
    </row>
    <row r="468" spans="1:6" ht="105" x14ac:dyDescent="0.25">
      <c r="A468" s="286" t="s">
        <v>1378</v>
      </c>
      <c r="B468" s="287" t="s">
        <v>1379</v>
      </c>
      <c r="C468" s="164" t="s">
        <v>8</v>
      </c>
      <c r="D468" s="164">
        <v>1</v>
      </c>
      <c r="E468" s="165">
        <v>507.64</v>
      </c>
      <c r="F468" s="165">
        <v>507.64</v>
      </c>
    </row>
    <row r="469" spans="1:6" ht="105" x14ac:dyDescent="0.25">
      <c r="A469" s="286" t="s">
        <v>1380</v>
      </c>
      <c r="B469" s="287" t="s">
        <v>1381</v>
      </c>
      <c r="C469" s="164" t="s">
        <v>8</v>
      </c>
      <c r="D469" s="164">
        <v>1</v>
      </c>
      <c r="E469" s="165">
        <v>686</v>
      </c>
      <c r="F469" s="165">
        <v>686</v>
      </c>
    </row>
    <row r="470" spans="1:6" ht="105" x14ac:dyDescent="0.25">
      <c r="A470" s="286" t="s">
        <v>1382</v>
      </c>
      <c r="B470" s="287" t="s">
        <v>1383</v>
      </c>
      <c r="C470" s="164" t="s">
        <v>8</v>
      </c>
      <c r="D470" s="164">
        <v>1</v>
      </c>
      <c r="E470" s="165">
        <v>681.79</v>
      </c>
      <c r="F470" s="165">
        <v>681.79</v>
      </c>
    </row>
    <row r="471" spans="1:6" ht="105" x14ac:dyDescent="0.25">
      <c r="A471" s="286" t="s">
        <v>1384</v>
      </c>
      <c r="B471" s="287" t="s">
        <v>1385</v>
      </c>
      <c r="C471" s="164" t="s">
        <v>8</v>
      </c>
      <c r="D471" s="164">
        <v>1</v>
      </c>
      <c r="E471" s="165">
        <v>985.25</v>
      </c>
      <c r="F471" s="165">
        <v>985.25</v>
      </c>
    </row>
    <row r="472" spans="1:6" ht="60" x14ac:dyDescent="0.25">
      <c r="A472" s="286" t="s">
        <v>1386</v>
      </c>
      <c r="B472" s="287" t="s">
        <v>1387</v>
      </c>
      <c r="C472" s="164" t="s">
        <v>7</v>
      </c>
      <c r="D472" s="164">
        <v>1</v>
      </c>
      <c r="E472" s="165">
        <v>238.41</v>
      </c>
      <c r="F472" s="165">
        <v>238.41</v>
      </c>
    </row>
    <row r="473" spans="1:6" ht="105" x14ac:dyDescent="0.25">
      <c r="A473" s="286" t="s">
        <v>1388</v>
      </c>
      <c r="B473" s="287" t="s">
        <v>49</v>
      </c>
      <c r="C473" s="164" t="s">
        <v>8</v>
      </c>
      <c r="D473" s="164">
        <v>1</v>
      </c>
      <c r="E473" s="165">
        <v>636.17999999999995</v>
      </c>
      <c r="F473" s="165">
        <v>636.17999999999995</v>
      </c>
    </row>
    <row r="474" spans="1:6" ht="105" x14ac:dyDescent="0.25">
      <c r="A474" s="286" t="s">
        <v>1389</v>
      </c>
      <c r="B474" s="287" t="s">
        <v>50</v>
      </c>
      <c r="C474" s="164" t="s">
        <v>8</v>
      </c>
      <c r="D474" s="164">
        <v>1</v>
      </c>
      <c r="E474" s="165">
        <v>629.72</v>
      </c>
      <c r="F474" s="165">
        <v>629.72</v>
      </c>
    </row>
    <row r="475" spans="1:6" ht="105" x14ac:dyDescent="0.25">
      <c r="A475" s="286" t="s">
        <v>1390</v>
      </c>
      <c r="B475" s="287" t="s">
        <v>1391</v>
      </c>
      <c r="C475" s="164" t="s">
        <v>8</v>
      </c>
      <c r="D475" s="164">
        <v>1</v>
      </c>
      <c r="E475" s="165">
        <v>709.15</v>
      </c>
      <c r="F475" s="165">
        <v>709.15</v>
      </c>
    </row>
    <row r="476" spans="1:6" ht="105" x14ac:dyDescent="0.25">
      <c r="A476" s="286" t="s">
        <v>1392</v>
      </c>
      <c r="B476" s="287" t="s">
        <v>51</v>
      </c>
      <c r="C476" s="164" t="s">
        <v>8</v>
      </c>
      <c r="D476" s="164">
        <v>1</v>
      </c>
      <c r="E476" s="165">
        <v>675.46</v>
      </c>
      <c r="F476" s="165">
        <v>675.46</v>
      </c>
    </row>
    <row r="477" spans="1:6" ht="90" x14ac:dyDescent="0.25">
      <c r="A477" s="286" t="s">
        <v>1393</v>
      </c>
      <c r="B477" s="287" t="s">
        <v>1394</v>
      </c>
      <c r="C477" s="164" t="s">
        <v>8</v>
      </c>
      <c r="D477" s="164">
        <v>1</v>
      </c>
      <c r="E477" s="165">
        <v>652.47</v>
      </c>
      <c r="F477" s="165">
        <v>652.47</v>
      </c>
    </row>
    <row r="478" spans="1:6" ht="30" x14ac:dyDescent="0.25">
      <c r="A478" s="288" t="s">
        <v>1395</v>
      </c>
      <c r="B478" s="285" t="s">
        <v>1396</v>
      </c>
      <c r="C478" s="164"/>
      <c r="D478" s="164"/>
      <c r="E478" s="165"/>
      <c r="F478" s="165"/>
    </row>
    <row r="479" spans="1:6" ht="30" x14ac:dyDescent="0.25">
      <c r="A479" s="286" t="s">
        <v>1397</v>
      </c>
      <c r="B479" s="287" t="s">
        <v>1398</v>
      </c>
      <c r="C479" s="164" t="s">
        <v>7</v>
      </c>
      <c r="D479" s="164">
        <v>1</v>
      </c>
      <c r="E479" s="165">
        <v>62.95</v>
      </c>
      <c r="F479" s="165">
        <v>62.95</v>
      </c>
    </row>
    <row r="480" spans="1:6" ht="30" x14ac:dyDescent="0.25">
      <c r="A480" s="286" t="s">
        <v>1399</v>
      </c>
      <c r="B480" s="287" t="s">
        <v>1400</v>
      </c>
      <c r="C480" s="164" t="s">
        <v>7</v>
      </c>
      <c r="D480" s="164">
        <v>1</v>
      </c>
      <c r="E480" s="165">
        <v>74.16</v>
      </c>
      <c r="F480" s="165">
        <v>74.16</v>
      </c>
    </row>
    <row r="481" spans="1:6" ht="30" x14ac:dyDescent="0.25">
      <c r="A481" s="286" t="s">
        <v>1401</v>
      </c>
      <c r="B481" s="287" t="s">
        <v>1402</v>
      </c>
      <c r="C481" s="164" t="s">
        <v>7</v>
      </c>
      <c r="D481" s="164">
        <v>1</v>
      </c>
      <c r="E481" s="165">
        <v>100.49</v>
      </c>
      <c r="F481" s="165">
        <v>100.49</v>
      </c>
    </row>
    <row r="482" spans="1:6" ht="30" x14ac:dyDescent="0.25">
      <c r="A482" s="286" t="s">
        <v>1403</v>
      </c>
      <c r="B482" s="287" t="s">
        <v>1404</v>
      </c>
      <c r="C482" s="164" t="s">
        <v>7</v>
      </c>
      <c r="D482" s="164">
        <v>1</v>
      </c>
      <c r="E482" s="165">
        <v>121.71</v>
      </c>
      <c r="F482" s="165">
        <v>121.71</v>
      </c>
    </row>
    <row r="483" spans="1:6" ht="30" x14ac:dyDescent="0.25">
      <c r="A483" s="286" t="s">
        <v>1405</v>
      </c>
      <c r="B483" s="287" t="s">
        <v>1406</v>
      </c>
      <c r="C483" s="164" t="s">
        <v>7</v>
      </c>
      <c r="D483" s="164">
        <v>1</v>
      </c>
      <c r="E483" s="165">
        <v>143</v>
      </c>
      <c r="F483" s="165">
        <v>143</v>
      </c>
    </row>
    <row r="484" spans="1:6" ht="30" x14ac:dyDescent="0.25">
      <c r="A484" s="286" t="s">
        <v>1407</v>
      </c>
      <c r="B484" s="287" t="s">
        <v>1408</v>
      </c>
      <c r="C484" s="164" t="s">
        <v>7</v>
      </c>
      <c r="D484" s="164">
        <v>1</v>
      </c>
      <c r="E484" s="165">
        <v>175.65</v>
      </c>
      <c r="F484" s="165">
        <v>175.65</v>
      </c>
    </row>
    <row r="485" spans="1:6" ht="30" x14ac:dyDescent="0.25">
      <c r="A485" s="286" t="s">
        <v>1409</v>
      </c>
      <c r="B485" s="287" t="s">
        <v>1410</v>
      </c>
      <c r="C485" s="164" t="s">
        <v>7</v>
      </c>
      <c r="D485" s="164">
        <v>1</v>
      </c>
      <c r="E485" s="165">
        <v>239.23</v>
      </c>
      <c r="F485" s="165">
        <v>239.23</v>
      </c>
    </row>
    <row r="486" spans="1:6" ht="30" x14ac:dyDescent="0.25">
      <c r="A486" s="286" t="s">
        <v>1411</v>
      </c>
      <c r="B486" s="287" t="s">
        <v>1412</v>
      </c>
      <c r="C486" s="164" t="s">
        <v>7</v>
      </c>
      <c r="D486" s="164">
        <v>1</v>
      </c>
      <c r="E486" s="165">
        <v>255.43</v>
      </c>
      <c r="F486" s="165">
        <v>255.43</v>
      </c>
    </row>
    <row r="487" spans="1:6" ht="30" x14ac:dyDescent="0.25">
      <c r="A487" s="286" t="s">
        <v>1413</v>
      </c>
      <c r="B487" s="287" t="s">
        <v>1414</v>
      </c>
      <c r="C487" s="164" t="s">
        <v>7</v>
      </c>
      <c r="D487" s="164">
        <v>1</v>
      </c>
      <c r="E487" s="165">
        <v>358.62</v>
      </c>
      <c r="F487" s="165">
        <v>358.62</v>
      </c>
    </row>
    <row r="488" spans="1:6" ht="30" x14ac:dyDescent="0.25">
      <c r="A488" s="288" t="s">
        <v>1415</v>
      </c>
      <c r="B488" s="285" t="s">
        <v>1416</v>
      </c>
      <c r="C488" s="164"/>
      <c r="D488" s="164"/>
      <c r="E488" s="165"/>
      <c r="F488" s="165"/>
    </row>
    <row r="489" spans="1:6" ht="30" x14ac:dyDescent="0.25">
      <c r="A489" s="286" t="s">
        <v>1417</v>
      </c>
      <c r="B489" s="287" t="s">
        <v>1418</v>
      </c>
      <c r="C489" s="164" t="s">
        <v>7</v>
      </c>
      <c r="D489" s="164">
        <v>1</v>
      </c>
      <c r="E489" s="165">
        <v>19.510000000000002</v>
      </c>
      <c r="F489" s="165">
        <v>19.510000000000002</v>
      </c>
    </row>
    <row r="490" spans="1:6" ht="30" x14ac:dyDescent="0.25">
      <c r="A490" s="286" t="s">
        <v>1419</v>
      </c>
      <c r="B490" s="287" t="s">
        <v>1420</v>
      </c>
      <c r="C490" s="164" t="s">
        <v>7</v>
      </c>
      <c r="D490" s="164">
        <v>1</v>
      </c>
      <c r="E490" s="165">
        <v>23.5</v>
      </c>
      <c r="F490" s="165">
        <v>23.5</v>
      </c>
    </row>
    <row r="491" spans="1:6" ht="30" x14ac:dyDescent="0.25">
      <c r="A491" s="286" t="s">
        <v>1421</v>
      </c>
      <c r="B491" s="287" t="s">
        <v>1422</v>
      </c>
      <c r="C491" s="164" t="s">
        <v>7</v>
      </c>
      <c r="D491" s="164">
        <v>1</v>
      </c>
      <c r="E491" s="165">
        <v>33.51</v>
      </c>
      <c r="F491" s="165">
        <v>33.51</v>
      </c>
    </row>
    <row r="492" spans="1:6" ht="45" x14ac:dyDescent="0.25">
      <c r="A492" s="286" t="s">
        <v>1423</v>
      </c>
      <c r="B492" s="287" t="s">
        <v>1424</v>
      </c>
      <c r="C492" s="164" t="s">
        <v>7</v>
      </c>
      <c r="D492" s="164">
        <v>1</v>
      </c>
      <c r="E492" s="165">
        <v>46.37</v>
      </c>
      <c r="F492" s="165">
        <v>46.37</v>
      </c>
    </row>
    <row r="493" spans="1:6" ht="45" x14ac:dyDescent="0.25">
      <c r="A493" s="286" t="s">
        <v>1425</v>
      </c>
      <c r="B493" s="287" t="s">
        <v>1426</v>
      </c>
      <c r="C493" s="164" t="s">
        <v>7</v>
      </c>
      <c r="D493" s="164">
        <v>1</v>
      </c>
      <c r="E493" s="165">
        <v>53.03</v>
      </c>
      <c r="F493" s="165">
        <v>53.03</v>
      </c>
    </row>
    <row r="494" spans="1:6" ht="30" x14ac:dyDescent="0.25">
      <c r="A494" s="286" t="s">
        <v>1427</v>
      </c>
      <c r="B494" s="287" t="s">
        <v>1428</v>
      </c>
      <c r="C494" s="164" t="s">
        <v>7</v>
      </c>
      <c r="D494" s="164">
        <v>1</v>
      </c>
      <c r="E494" s="165">
        <v>77.650000000000006</v>
      </c>
      <c r="F494" s="165">
        <v>77.650000000000006</v>
      </c>
    </row>
    <row r="495" spans="1:6" ht="45" x14ac:dyDescent="0.25">
      <c r="A495" s="286" t="s">
        <v>1429</v>
      </c>
      <c r="B495" s="287" t="s">
        <v>1430</v>
      </c>
      <c r="C495" s="164" t="s">
        <v>7</v>
      </c>
      <c r="D495" s="164">
        <v>1</v>
      </c>
      <c r="E495" s="165">
        <v>111.1</v>
      </c>
      <c r="F495" s="165">
        <v>111.1</v>
      </c>
    </row>
    <row r="496" spans="1:6" ht="30" x14ac:dyDescent="0.25">
      <c r="A496" s="286" t="s">
        <v>1431</v>
      </c>
      <c r="B496" s="287" t="s">
        <v>1432</v>
      </c>
      <c r="C496" s="164" t="s">
        <v>7</v>
      </c>
      <c r="D496" s="164">
        <v>1</v>
      </c>
      <c r="E496" s="165">
        <v>134.52000000000001</v>
      </c>
      <c r="F496" s="165">
        <v>134.52000000000001</v>
      </c>
    </row>
    <row r="497" spans="1:6" ht="30" x14ac:dyDescent="0.25">
      <c r="A497" s="288" t="s">
        <v>1433</v>
      </c>
      <c r="B497" s="285" t="s">
        <v>1434</v>
      </c>
      <c r="C497" s="164"/>
      <c r="D497" s="164"/>
      <c r="E497" s="165"/>
      <c r="F497" s="165"/>
    </row>
    <row r="498" spans="1:6" ht="45" x14ac:dyDescent="0.25">
      <c r="A498" s="286" t="s">
        <v>1435</v>
      </c>
      <c r="B498" s="287" t="s">
        <v>1436</v>
      </c>
      <c r="C498" s="164" t="s">
        <v>8</v>
      </c>
      <c r="D498" s="164">
        <v>1</v>
      </c>
      <c r="E498" s="165">
        <v>18.78</v>
      </c>
      <c r="F498" s="165">
        <v>18.78</v>
      </c>
    </row>
    <row r="499" spans="1:6" ht="45" x14ac:dyDescent="0.25">
      <c r="A499" s="286" t="s">
        <v>1437</v>
      </c>
      <c r="B499" s="287" t="s">
        <v>1438</v>
      </c>
      <c r="C499" s="164" t="s">
        <v>8</v>
      </c>
      <c r="D499" s="164">
        <v>1</v>
      </c>
      <c r="E499" s="165">
        <v>32.26</v>
      </c>
      <c r="F499" s="165">
        <v>32.26</v>
      </c>
    </row>
    <row r="500" spans="1:6" ht="45" x14ac:dyDescent="0.25">
      <c r="A500" s="286" t="s">
        <v>1439</v>
      </c>
      <c r="B500" s="287" t="s">
        <v>1440</v>
      </c>
      <c r="C500" s="164" t="s">
        <v>8</v>
      </c>
      <c r="D500" s="164">
        <v>1</v>
      </c>
      <c r="E500" s="165">
        <v>38.83</v>
      </c>
      <c r="F500" s="165">
        <v>38.83</v>
      </c>
    </row>
    <row r="501" spans="1:6" ht="45" x14ac:dyDescent="0.25">
      <c r="A501" s="286" t="s">
        <v>1441</v>
      </c>
      <c r="B501" s="287" t="s">
        <v>1442</v>
      </c>
      <c r="C501" s="164" t="s">
        <v>8</v>
      </c>
      <c r="D501" s="164">
        <v>1</v>
      </c>
      <c r="E501" s="165">
        <v>60.91</v>
      </c>
      <c r="F501" s="165">
        <v>60.91</v>
      </c>
    </row>
    <row r="502" spans="1:6" ht="45" x14ac:dyDescent="0.25">
      <c r="A502" s="286" t="s">
        <v>1443</v>
      </c>
      <c r="B502" s="287" t="s">
        <v>1444</v>
      </c>
      <c r="C502" s="164" t="s">
        <v>8</v>
      </c>
      <c r="D502" s="164">
        <v>1</v>
      </c>
      <c r="E502" s="165">
        <v>258.92</v>
      </c>
      <c r="F502" s="165">
        <v>258.92</v>
      </c>
    </row>
    <row r="503" spans="1:6" ht="30" x14ac:dyDescent="0.25">
      <c r="A503" s="286" t="s">
        <v>1445</v>
      </c>
      <c r="B503" s="287" t="s">
        <v>1446</v>
      </c>
      <c r="C503" s="164" t="s">
        <v>8</v>
      </c>
      <c r="D503" s="164">
        <v>1</v>
      </c>
      <c r="E503" s="165">
        <v>8.16</v>
      </c>
      <c r="F503" s="165">
        <v>8.16</v>
      </c>
    </row>
    <row r="504" spans="1:6" x14ac:dyDescent="0.25">
      <c r="A504" s="288" t="s">
        <v>1447</v>
      </c>
      <c r="B504" s="285" t="s">
        <v>1448</v>
      </c>
      <c r="C504" s="164"/>
      <c r="D504" s="164"/>
      <c r="E504" s="165"/>
      <c r="F504" s="165"/>
    </row>
    <row r="505" spans="1:6" ht="45" x14ac:dyDescent="0.25">
      <c r="A505" s="286" t="s">
        <v>1449</v>
      </c>
      <c r="B505" s="287" t="s">
        <v>1450</v>
      </c>
      <c r="C505" s="164" t="s">
        <v>7</v>
      </c>
      <c r="D505" s="164">
        <v>1</v>
      </c>
      <c r="E505" s="165">
        <v>32.979999999999997</v>
      </c>
      <c r="F505" s="165">
        <v>32.979999999999997</v>
      </c>
    </row>
    <row r="506" spans="1:6" ht="45" x14ac:dyDescent="0.25">
      <c r="A506" s="286" t="s">
        <v>1451</v>
      </c>
      <c r="B506" s="287" t="s">
        <v>1452</v>
      </c>
      <c r="C506" s="164" t="s">
        <v>7</v>
      </c>
      <c r="D506" s="164">
        <v>1</v>
      </c>
      <c r="E506" s="165">
        <v>43.39</v>
      </c>
      <c r="F506" s="165">
        <v>43.39</v>
      </c>
    </row>
    <row r="507" spans="1:6" ht="45" x14ac:dyDescent="0.25">
      <c r="A507" s="286" t="s">
        <v>1453</v>
      </c>
      <c r="B507" s="287" t="s">
        <v>1454</v>
      </c>
      <c r="C507" s="164" t="s">
        <v>7</v>
      </c>
      <c r="D507" s="164">
        <v>1</v>
      </c>
      <c r="E507" s="165">
        <v>62.83</v>
      </c>
      <c r="F507" s="165">
        <v>62.83</v>
      </c>
    </row>
    <row r="508" spans="1:6" ht="45" x14ac:dyDescent="0.25">
      <c r="A508" s="286" t="s">
        <v>1455</v>
      </c>
      <c r="B508" s="287" t="s">
        <v>1456</v>
      </c>
      <c r="C508" s="164" t="s">
        <v>7</v>
      </c>
      <c r="D508" s="164">
        <v>1</v>
      </c>
      <c r="E508" s="165">
        <v>69.3</v>
      </c>
      <c r="F508" s="165">
        <v>69.3</v>
      </c>
    </row>
    <row r="509" spans="1:6" ht="45" x14ac:dyDescent="0.25">
      <c r="A509" s="286" t="s">
        <v>1457</v>
      </c>
      <c r="B509" s="287" t="s">
        <v>1458</v>
      </c>
      <c r="C509" s="164" t="s">
        <v>7</v>
      </c>
      <c r="D509" s="164">
        <v>1</v>
      </c>
      <c r="E509" s="165">
        <v>106.54</v>
      </c>
      <c r="F509" s="165">
        <v>106.54</v>
      </c>
    </row>
    <row r="510" spans="1:6" x14ac:dyDescent="0.25">
      <c r="A510" s="288" t="s">
        <v>1459</v>
      </c>
      <c r="B510" s="285" t="s">
        <v>1460</v>
      </c>
      <c r="C510" s="164"/>
      <c r="D510" s="164"/>
      <c r="E510" s="165"/>
      <c r="F510" s="165"/>
    </row>
    <row r="511" spans="1:6" ht="30" x14ac:dyDescent="0.25">
      <c r="A511" s="286" t="s">
        <v>1461</v>
      </c>
      <c r="B511" s="287" t="s">
        <v>1462</v>
      </c>
      <c r="C511" s="164" t="s">
        <v>8</v>
      </c>
      <c r="D511" s="164">
        <v>1</v>
      </c>
      <c r="E511" s="165">
        <v>71.7</v>
      </c>
      <c r="F511" s="165">
        <v>71.7</v>
      </c>
    </row>
    <row r="512" spans="1:6" ht="30" x14ac:dyDescent="0.25">
      <c r="A512" s="286" t="s">
        <v>1463</v>
      </c>
      <c r="B512" s="287" t="s">
        <v>1464</v>
      </c>
      <c r="C512" s="164" t="s">
        <v>8</v>
      </c>
      <c r="D512" s="164">
        <v>1</v>
      </c>
      <c r="E512" s="165">
        <v>33.159999999999997</v>
      </c>
      <c r="F512" s="165">
        <v>33.159999999999997</v>
      </c>
    </row>
    <row r="513" spans="1:6" x14ac:dyDescent="0.25">
      <c r="A513" s="286" t="s">
        <v>1465</v>
      </c>
      <c r="B513" s="287" t="s">
        <v>1466</v>
      </c>
      <c r="C513" s="164" t="s">
        <v>8</v>
      </c>
      <c r="D513" s="164">
        <v>1</v>
      </c>
      <c r="E513" s="165">
        <v>33.28</v>
      </c>
      <c r="F513" s="165">
        <v>33.28</v>
      </c>
    </row>
    <row r="514" spans="1:6" ht="30" x14ac:dyDescent="0.25">
      <c r="A514" s="286" t="s">
        <v>1467</v>
      </c>
      <c r="B514" s="287" t="s">
        <v>1468</v>
      </c>
      <c r="C514" s="164" t="s">
        <v>8</v>
      </c>
      <c r="D514" s="164">
        <v>1</v>
      </c>
      <c r="E514" s="165">
        <v>54.37</v>
      </c>
      <c r="F514" s="165">
        <v>54.37</v>
      </c>
    </row>
    <row r="515" spans="1:6" ht="30" x14ac:dyDescent="0.25">
      <c r="A515" s="286" t="s">
        <v>1469</v>
      </c>
      <c r="B515" s="287" t="s">
        <v>1470</v>
      </c>
      <c r="C515" s="164" t="s">
        <v>8</v>
      </c>
      <c r="D515" s="164">
        <v>1</v>
      </c>
      <c r="E515" s="165">
        <v>51.77</v>
      </c>
      <c r="F515" s="165">
        <v>51.77</v>
      </c>
    </row>
    <row r="516" spans="1:6" ht="45" x14ac:dyDescent="0.25">
      <c r="A516" s="286" t="s">
        <v>1471</v>
      </c>
      <c r="B516" s="287" t="s">
        <v>1472</v>
      </c>
      <c r="C516" s="164" t="s">
        <v>8</v>
      </c>
      <c r="D516" s="164">
        <v>1</v>
      </c>
      <c r="E516" s="165">
        <v>122.24</v>
      </c>
      <c r="F516" s="165">
        <v>122.24</v>
      </c>
    </row>
    <row r="517" spans="1:6" ht="45" x14ac:dyDescent="0.25">
      <c r="A517" s="286" t="s">
        <v>1473</v>
      </c>
      <c r="B517" s="287" t="s">
        <v>1474</v>
      </c>
      <c r="C517" s="164" t="s">
        <v>8</v>
      </c>
      <c r="D517" s="164">
        <v>1</v>
      </c>
      <c r="E517" s="165">
        <v>62.51</v>
      </c>
      <c r="F517" s="165">
        <v>62.51</v>
      </c>
    </row>
    <row r="518" spans="1:6" ht="30" x14ac:dyDescent="0.25">
      <c r="A518" s="286" t="s">
        <v>1475</v>
      </c>
      <c r="B518" s="287" t="s">
        <v>1476</v>
      </c>
      <c r="C518" s="164" t="s">
        <v>8</v>
      </c>
      <c r="D518" s="164">
        <v>1</v>
      </c>
      <c r="E518" s="165">
        <v>14.68</v>
      </c>
      <c r="F518" s="165">
        <v>14.68</v>
      </c>
    </row>
    <row r="519" spans="1:6" ht="30" x14ac:dyDescent="0.25">
      <c r="A519" s="286" t="s">
        <v>1477</v>
      </c>
      <c r="B519" s="287" t="s">
        <v>1478</v>
      </c>
      <c r="C519" s="164" t="s">
        <v>8</v>
      </c>
      <c r="D519" s="164">
        <v>1</v>
      </c>
      <c r="E519" s="165">
        <v>46.12</v>
      </c>
      <c r="F519" s="165">
        <v>46.12</v>
      </c>
    </row>
    <row r="520" spans="1:6" ht="30" x14ac:dyDescent="0.25">
      <c r="A520" s="286" t="s">
        <v>1479</v>
      </c>
      <c r="B520" s="287" t="s">
        <v>1480</v>
      </c>
      <c r="C520" s="164" t="s">
        <v>8</v>
      </c>
      <c r="D520" s="164">
        <v>1</v>
      </c>
      <c r="E520" s="165">
        <v>9.1999999999999993</v>
      </c>
      <c r="F520" s="165">
        <v>9.1999999999999993</v>
      </c>
    </row>
    <row r="521" spans="1:6" ht="30" x14ac:dyDescent="0.25">
      <c r="A521" s="286" t="s">
        <v>1481</v>
      </c>
      <c r="B521" s="287" t="s">
        <v>1482</v>
      </c>
      <c r="C521" s="164" t="s">
        <v>8</v>
      </c>
      <c r="D521" s="164">
        <v>1</v>
      </c>
      <c r="E521" s="165">
        <v>29.85</v>
      </c>
      <c r="F521" s="165">
        <v>29.85</v>
      </c>
    </row>
    <row r="522" spans="1:6" x14ac:dyDescent="0.25">
      <c r="A522" s="286" t="s">
        <v>1483</v>
      </c>
      <c r="B522" s="287" t="s">
        <v>1484</v>
      </c>
      <c r="C522" s="164" t="s">
        <v>8</v>
      </c>
      <c r="D522" s="164">
        <v>1</v>
      </c>
      <c r="E522" s="165">
        <v>15.07</v>
      </c>
      <c r="F522" s="165">
        <v>15.07</v>
      </c>
    </row>
    <row r="523" spans="1:6" ht="30" x14ac:dyDescent="0.25">
      <c r="A523" s="286" t="s">
        <v>1485</v>
      </c>
      <c r="B523" s="287" t="s">
        <v>52</v>
      </c>
      <c r="C523" s="164" t="s">
        <v>8</v>
      </c>
      <c r="D523" s="164">
        <v>1</v>
      </c>
      <c r="E523" s="165">
        <v>83.49</v>
      </c>
      <c r="F523" s="165">
        <v>83.49</v>
      </c>
    </row>
    <row r="524" spans="1:6" ht="30" x14ac:dyDescent="0.25">
      <c r="A524" s="286" t="s">
        <v>1486</v>
      </c>
      <c r="B524" s="287" t="s">
        <v>1487</v>
      </c>
      <c r="C524" s="164" t="s">
        <v>8</v>
      </c>
      <c r="D524" s="164">
        <v>1</v>
      </c>
      <c r="E524" s="165">
        <v>103.54</v>
      </c>
      <c r="F524" s="165">
        <v>103.54</v>
      </c>
    </row>
    <row r="525" spans="1:6" ht="30" x14ac:dyDescent="0.25">
      <c r="A525" s="286" t="s">
        <v>1488</v>
      </c>
      <c r="B525" s="287" t="s">
        <v>1489</v>
      </c>
      <c r="C525" s="164" t="s">
        <v>8</v>
      </c>
      <c r="D525" s="164">
        <v>1</v>
      </c>
      <c r="E525" s="165">
        <v>197.4</v>
      </c>
      <c r="F525" s="165">
        <v>197.4</v>
      </c>
    </row>
    <row r="526" spans="1:6" x14ac:dyDescent="0.25">
      <c r="A526" s="286" t="s">
        <v>1490</v>
      </c>
      <c r="B526" s="287" t="s">
        <v>1491</v>
      </c>
      <c r="C526" s="164" t="s">
        <v>8</v>
      </c>
      <c r="D526" s="164">
        <v>1</v>
      </c>
      <c r="E526" s="165">
        <v>95.03</v>
      </c>
      <c r="F526" s="165">
        <v>95.03</v>
      </c>
    </row>
    <row r="527" spans="1:6" ht="30" x14ac:dyDescent="0.25">
      <c r="A527" s="286" t="s">
        <v>1492</v>
      </c>
      <c r="B527" s="287" t="s">
        <v>1493</v>
      </c>
      <c r="C527" s="164" t="s">
        <v>8</v>
      </c>
      <c r="D527" s="164">
        <v>1</v>
      </c>
      <c r="E527" s="165">
        <v>17.170000000000002</v>
      </c>
      <c r="F527" s="165">
        <v>17.170000000000002</v>
      </c>
    </row>
    <row r="528" spans="1:6" ht="30" x14ac:dyDescent="0.25">
      <c r="A528" s="286" t="s">
        <v>1494</v>
      </c>
      <c r="B528" s="287" t="s">
        <v>1495</v>
      </c>
      <c r="C528" s="164" t="s">
        <v>8</v>
      </c>
      <c r="D528" s="164">
        <v>1</v>
      </c>
      <c r="E528" s="165">
        <v>18.78</v>
      </c>
      <c r="F528" s="165">
        <v>18.78</v>
      </c>
    </row>
    <row r="529" spans="1:6" ht="30" x14ac:dyDescent="0.25">
      <c r="A529" s="286" t="s">
        <v>1496</v>
      </c>
      <c r="B529" s="287" t="s">
        <v>1497</v>
      </c>
      <c r="C529" s="164" t="s">
        <v>8</v>
      </c>
      <c r="D529" s="164">
        <v>1</v>
      </c>
      <c r="E529" s="165">
        <v>24.9</v>
      </c>
      <c r="F529" s="165">
        <v>24.9</v>
      </c>
    </row>
    <row r="530" spans="1:6" ht="45" x14ac:dyDescent="0.25">
      <c r="A530" s="288" t="s">
        <v>1498</v>
      </c>
      <c r="B530" s="285" t="s">
        <v>1499</v>
      </c>
      <c r="C530" s="164"/>
      <c r="D530" s="164"/>
      <c r="E530" s="165"/>
      <c r="F530" s="165"/>
    </row>
    <row r="531" spans="1:6" ht="45" x14ac:dyDescent="0.25">
      <c r="A531" s="286" t="s">
        <v>1500</v>
      </c>
      <c r="B531" s="287" t="s">
        <v>1501</v>
      </c>
      <c r="C531" s="164" t="s">
        <v>7</v>
      </c>
      <c r="D531" s="164">
        <v>1</v>
      </c>
      <c r="E531" s="165">
        <v>10.27</v>
      </c>
      <c r="F531" s="165">
        <v>10.27</v>
      </c>
    </row>
    <row r="532" spans="1:6" ht="45" x14ac:dyDescent="0.25">
      <c r="A532" s="286" t="s">
        <v>1502</v>
      </c>
      <c r="B532" s="287" t="s">
        <v>1503</v>
      </c>
      <c r="C532" s="164" t="s">
        <v>7</v>
      </c>
      <c r="D532" s="164">
        <v>1</v>
      </c>
      <c r="E532" s="165">
        <v>15.38</v>
      </c>
      <c r="F532" s="165">
        <v>15.38</v>
      </c>
    </row>
    <row r="533" spans="1:6" ht="45" x14ac:dyDescent="0.25">
      <c r="A533" s="286" t="s">
        <v>1504</v>
      </c>
      <c r="B533" s="287" t="s">
        <v>1505</v>
      </c>
      <c r="C533" s="164" t="s">
        <v>7</v>
      </c>
      <c r="D533" s="164">
        <v>1</v>
      </c>
      <c r="E533" s="165">
        <v>23.15</v>
      </c>
      <c r="F533" s="165">
        <v>23.15</v>
      </c>
    </row>
    <row r="534" spans="1:6" ht="45" x14ac:dyDescent="0.25">
      <c r="A534" s="286" t="s">
        <v>1506</v>
      </c>
      <c r="B534" s="287" t="s">
        <v>1507</v>
      </c>
      <c r="C534" s="164" t="s">
        <v>7</v>
      </c>
      <c r="D534" s="164">
        <v>1</v>
      </c>
      <c r="E534" s="165">
        <v>19.59</v>
      </c>
      <c r="F534" s="165">
        <v>19.59</v>
      </c>
    </row>
    <row r="535" spans="1:6" ht="45" x14ac:dyDescent="0.25">
      <c r="A535" s="286" t="s">
        <v>1508</v>
      </c>
      <c r="B535" s="287" t="s">
        <v>1509</v>
      </c>
      <c r="C535" s="164" t="s">
        <v>7</v>
      </c>
      <c r="D535" s="164">
        <v>1</v>
      </c>
      <c r="E535" s="165">
        <v>29.84</v>
      </c>
      <c r="F535" s="165">
        <v>29.84</v>
      </c>
    </row>
    <row r="536" spans="1:6" ht="45" x14ac:dyDescent="0.25">
      <c r="A536" s="286" t="s">
        <v>1510</v>
      </c>
      <c r="B536" s="287" t="s">
        <v>1511</v>
      </c>
      <c r="C536" s="164" t="s">
        <v>7</v>
      </c>
      <c r="D536" s="164">
        <v>1</v>
      </c>
      <c r="E536" s="165">
        <v>43.41</v>
      </c>
      <c r="F536" s="165">
        <v>43.41</v>
      </c>
    </row>
    <row r="537" spans="1:6" x14ac:dyDescent="0.25">
      <c r="A537" s="288" t="s">
        <v>1512</v>
      </c>
      <c r="B537" s="285" t="s">
        <v>1018</v>
      </c>
      <c r="C537" s="164"/>
      <c r="D537" s="164"/>
      <c r="E537" s="165"/>
      <c r="F537" s="165"/>
    </row>
    <row r="538" spans="1:6" ht="30" x14ac:dyDescent="0.25">
      <c r="A538" s="286" t="s">
        <v>1513</v>
      </c>
      <c r="B538" s="287" t="s">
        <v>1514</v>
      </c>
      <c r="C538" s="164" t="s">
        <v>8</v>
      </c>
      <c r="D538" s="164">
        <v>1</v>
      </c>
      <c r="E538" s="165">
        <v>17.63</v>
      </c>
      <c r="F538" s="165">
        <v>17.63</v>
      </c>
    </row>
    <row r="539" spans="1:6" ht="30" x14ac:dyDescent="0.25">
      <c r="A539" s="286" t="s">
        <v>1515</v>
      </c>
      <c r="B539" s="287" t="s">
        <v>1516</v>
      </c>
      <c r="C539" s="164" t="s">
        <v>8</v>
      </c>
      <c r="D539" s="164">
        <v>1</v>
      </c>
      <c r="E539" s="165">
        <v>24.68</v>
      </c>
      <c r="F539" s="165">
        <v>24.68</v>
      </c>
    </row>
    <row r="540" spans="1:6" ht="30" x14ac:dyDescent="0.25">
      <c r="A540" s="286" t="s">
        <v>1517</v>
      </c>
      <c r="B540" s="287" t="s">
        <v>1518</v>
      </c>
      <c r="C540" s="164" t="s">
        <v>8</v>
      </c>
      <c r="D540" s="164">
        <v>1</v>
      </c>
      <c r="E540" s="165">
        <v>17.63</v>
      </c>
      <c r="F540" s="165">
        <v>17.63</v>
      </c>
    </row>
    <row r="541" spans="1:6" ht="30" x14ac:dyDescent="0.25">
      <c r="A541" s="286" t="s">
        <v>1519</v>
      </c>
      <c r="B541" s="287" t="s">
        <v>1520</v>
      </c>
      <c r="C541" s="164" t="s">
        <v>8</v>
      </c>
      <c r="D541" s="164">
        <v>1</v>
      </c>
      <c r="E541" s="165">
        <v>20.75</v>
      </c>
      <c r="F541" s="165">
        <v>20.75</v>
      </c>
    </row>
    <row r="542" spans="1:6" x14ac:dyDescent="0.25">
      <c r="A542" s="288" t="s">
        <v>1521</v>
      </c>
      <c r="B542" s="285" t="s">
        <v>1522</v>
      </c>
      <c r="C542" s="164"/>
      <c r="D542" s="164"/>
      <c r="E542" s="165"/>
      <c r="F542" s="165"/>
    </row>
    <row r="543" spans="1:6" x14ac:dyDescent="0.25">
      <c r="A543" s="288" t="s">
        <v>1523</v>
      </c>
      <c r="B543" s="285" t="s">
        <v>1524</v>
      </c>
      <c r="C543" s="164"/>
      <c r="D543" s="164"/>
      <c r="E543" s="165"/>
      <c r="F543" s="165"/>
    </row>
    <row r="544" spans="1:6" ht="105" x14ac:dyDescent="0.25">
      <c r="A544" s="286" t="s">
        <v>1525</v>
      </c>
      <c r="B544" s="287" t="s">
        <v>1526</v>
      </c>
      <c r="C544" s="164" t="s">
        <v>8</v>
      </c>
      <c r="D544" s="164">
        <v>1</v>
      </c>
      <c r="E544" s="289">
        <v>1310.5999999999999</v>
      </c>
      <c r="F544" s="289">
        <v>1310.5999999999999</v>
      </c>
    </row>
    <row r="545" spans="1:6" ht="90" x14ac:dyDescent="0.25">
      <c r="A545" s="286" t="s">
        <v>1527</v>
      </c>
      <c r="B545" s="287" t="s">
        <v>336</v>
      </c>
      <c r="C545" s="164" t="s">
        <v>8</v>
      </c>
      <c r="D545" s="164">
        <v>1</v>
      </c>
      <c r="E545" s="289">
        <v>2365.62</v>
      </c>
      <c r="F545" s="289">
        <v>2365.62</v>
      </c>
    </row>
    <row r="546" spans="1:6" x14ac:dyDescent="0.25">
      <c r="A546" s="288" t="s">
        <v>1528</v>
      </c>
      <c r="B546" s="285" t="s">
        <v>1529</v>
      </c>
      <c r="C546" s="164"/>
      <c r="D546" s="164"/>
      <c r="E546" s="165"/>
      <c r="F546" s="165"/>
    </row>
    <row r="547" spans="1:6" ht="45" x14ac:dyDescent="0.25">
      <c r="A547" s="286" t="s">
        <v>1530</v>
      </c>
      <c r="B547" s="287" t="s">
        <v>1531</v>
      </c>
      <c r="C547" s="164" t="s">
        <v>8</v>
      </c>
      <c r="D547" s="164">
        <v>1</v>
      </c>
      <c r="E547" s="165">
        <v>377.08</v>
      </c>
      <c r="F547" s="165">
        <v>377.08</v>
      </c>
    </row>
    <row r="548" spans="1:6" ht="45" x14ac:dyDescent="0.25">
      <c r="A548" s="286" t="s">
        <v>1532</v>
      </c>
      <c r="B548" s="287" t="s">
        <v>1533</v>
      </c>
      <c r="C548" s="164" t="s">
        <v>8</v>
      </c>
      <c r="D548" s="164">
        <v>1</v>
      </c>
      <c r="E548" s="165">
        <v>338.51</v>
      </c>
      <c r="F548" s="165">
        <v>338.51</v>
      </c>
    </row>
    <row r="549" spans="1:6" ht="45" x14ac:dyDescent="0.25">
      <c r="A549" s="286" t="s">
        <v>1534</v>
      </c>
      <c r="B549" s="287" t="s">
        <v>1535</v>
      </c>
      <c r="C549" s="164" t="s">
        <v>8</v>
      </c>
      <c r="D549" s="164">
        <v>1</v>
      </c>
      <c r="E549" s="165">
        <v>627.26</v>
      </c>
      <c r="F549" s="165">
        <v>627.26</v>
      </c>
    </row>
    <row r="550" spans="1:6" ht="45" x14ac:dyDescent="0.25">
      <c r="A550" s="286" t="s">
        <v>1536</v>
      </c>
      <c r="B550" s="287" t="s">
        <v>1537</v>
      </c>
      <c r="C550" s="164" t="s">
        <v>8</v>
      </c>
      <c r="D550" s="164">
        <v>1</v>
      </c>
      <c r="E550" s="165">
        <v>675.2</v>
      </c>
      <c r="F550" s="165">
        <v>675.2</v>
      </c>
    </row>
    <row r="551" spans="1:6" ht="45" x14ac:dyDescent="0.25">
      <c r="A551" s="286" t="s">
        <v>1538</v>
      </c>
      <c r="B551" s="287" t="s">
        <v>1539</v>
      </c>
      <c r="C551" s="164" t="s">
        <v>8</v>
      </c>
      <c r="D551" s="164">
        <v>1</v>
      </c>
      <c r="E551" s="165">
        <v>805.83</v>
      </c>
      <c r="F551" s="165">
        <v>805.83</v>
      </c>
    </row>
    <row r="552" spans="1:6" x14ac:dyDescent="0.25">
      <c r="A552" s="286" t="s">
        <v>1540</v>
      </c>
      <c r="B552" s="287" t="s">
        <v>1541</v>
      </c>
      <c r="C552" s="164" t="s">
        <v>8</v>
      </c>
      <c r="D552" s="164">
        <v>1</v>
      </c>
      <c r="E552" s="165">
        <v>75.47</v>
      </c>
      <c r="F552" s="165">
        <v>75.47</v>
      </c>
    </row>
    <row r="553" spans="1:6" ht="45" x14ac:dyDescent="0.25">
      <c r="A553" s="286" t="s">
        <v>1542</v>
      </c>
      <c r="B553" s="287" t="s">
        <v>1543</v>
      </c>
      <c r="C553" s="164" t="s">
        <v>8</v>
      </c>
      <c r="D553" s="164">
        <v>1</v>
      </c>
      <c r="E553" s="165">
        <v>142.53</v>
      </c>
      <c r="F553" s="165">
        <v>142.53</v>
      </c>
    </row>
    <row r="554" spans="1:6" ht="45" x14ac:dyDescent="0.25">
      <c r="A554" s="286" t="s">
        <v>1544</v>
      </c>
      <c r="B554" s="287" t="s">
        <v>1545</v>
      </c>
      <c r="C554" s="164" t="s">
        <v>8</v>
      </c>
      <c r="D554" s="164">
        <v>1</v>
      </c>
      <c r="E554" s="165">
        <v>98.09</v>
      </c>
      <c r="F554" s="165">
        <v>98.09</v>
      </c>
    </row>
    <row r="555" spans="1:6" ht="45" x14ac:dyDescent="0.25">
      <c r="A555" s="286" t="s">
        <v>1546</v>
      </c>
      <c r="B555" s="287" t="s">
        <v>1547</v>
      </c>
      <c r="C555" s="164" t="s">
        <v>8</v>
      </c>
      <c r="D555" s="164">
        <v>1</v>
      </c>
      <c r="E555" s="165">
        <v>188.66</v>
      </c>
      <c r="F555" s="165">
        <v>188.66</v>
      </c>
    </row>
    <row r="556" spans="1:6" ht="105" x14ac:dyDescent="0.25">
      <c r="A556" s="286" t="s">
        <v>1548</v>
      </c>
      <c r="B556" s="287" t="s">
        <v>1549</v>
      </c>
      <c r="C556" s="164" t="s">
        <v>8</v>
      </c>
      <c r="D556" s="164">
        <v>1</v>
      </c>
      <c r="E556" s="289">
        <v>1226.7</v>
      </c>
      <c r="F556" s="289">
        <v>1226.7</v>
      </c>
    </row>
    <row r="557" spans="1:6" ht="105" x14ac:dyDescent="0.25">
      <c r="A557" s="286" t="s">
        <v>1550</v>
      </c>
      <c r="B557" s="287" t="s">
        <v>1551</v>
      </c>
      <c r="C557" s="164" t="s">
        <v>8</v>
      </c>
      <c r="D557" s="164">
        <v>1</v>
      </c>
      <c r="E557" s="289">
        <v>1727.75</v>
      </c>
      <c r="F557" s="289">
        <v>1727.75</v>
      </c>
    </row>
    <row r="558" spans="1:6" ht="75" x14ac:dyDescent="0.25">
      <c r="A558" s="286" t="s">
        <v>1552</v>
      </c>
      <c r="B558" s="287" t="s">
        <v>1553</v>
      </c>
      <c r="C558" s="164" t="s">
        <v>8</v>
      </c>
      <c r="D558" s="164">
        <v>1</v>
      </c>
      <c r="E558" s="289">
        <v>1926.07</v>
      </c>
      <c r="F558" s="289">
        <v>1926.07</v>
      </c>
    </row>
    <row r="559" spans="1:6" x14ac:dyDescent="0.25">
      <c r="A559" s="288" t="s">
        <v>1554</v>
      </c>
      <c r="B559" s="285" t="s">
        <v>1555</v>
      </c>
      <c r="C559" s="164"/>
      <c r="D559" s="164"/>
      <c r="E559" s="165"/>
      <c r="F559" s="165"/>
    </row>
    <row r="560" spans="1:6" ht="45" x14ac:dyDescent="0.25">
      <c r="A560" s="286" t="s">
        <v>1556</v>
      </c>
      <c r="B560" s="287" t="s">
        <v>1557</v>
      </c>
      <c r="C560" s="164" t="s">
        <v>8</v>
      </c>
      <c r="D560" s="164">
        <v>1</v>
      </c>
      <c r="E560" s="165">
        <v>220.3</v>
      </c>
      <c r="F560" s="165">
        <v>220.3</v>
      </c>
    </row>
    <row r="561" spans="1:6" ht="90" x14ac:dyDescent="0.25">
      <c r="A561" s="286" t="s">
        <v>1558</v>
      </c>
      <c r="B561" s="287" t="s">
        <v>342</v>
      </c>
      <c r="C561" s="164" t="s">
        <v>8</v>
      </c>
      <c r="D561" s="164">
        <v>1</v>
      </c>
      <c r="E561" s="165">
        <v>314.29000000000002</v>
      </c>
      <c r="F561" s="165">
        <v>314.29000000000002</v>
      </c>
    </row>
    <row r="562" spans="1:6" ht="30" x14ac:dyDescent="0.25">
      <c r="A562" s="286" t="s">
        <v>1559</v>
      </c>
      <c r="B562" s="287" t="s">
        <v>1560</v>
      </c>
      <c r="C562" s="164" t="s">
        <v>8</v>
      </c>
      <c r="D562" s="164">
        <v>1</v>
      </c>
      <c r="E562" s="165">
        <v>52.14</v>
      </c>
      <c r="F562" s="165">
        <v>52.14</v>
      </c>
    </row>
    <row r="563" spans="1:6" ht="90" x14ac:dyDescent="0.25">
      <c r="A563" s="286" t="s">
        <v>1561</v>
      </c>
      <c r="B563" s="287" t="s">
        <v>1562</v>
      </c>
      <c r="C563" s="164" t="s">
        <v>8</v>
      </c>
      <c r="D563" s="164">
        <v>1</v>
      </c>
      <c r="E563" s="165">
        <v>120.17</v>
      </c>
      <c r="F563" s="165">
        <v>120.17</v>
      </c>
    </row>
    <row r="564" spans="1:6" ht="90" x14ac:dyDescent="0.25">
      <c r="A564" s="286" t="s">
        <v>1563</v>
      </c>
      <c r="B564" s="287" t="s">
        <v>1564</v>
      </c>
      <c r="C564" s="164" t="s">
        <v>8</v>
      </c>
      <c r="D564" s="164">
        <v>1</v>
      </c>
      <c r="E564" s="165">
        <v>154.4</v>
      </c>
      <c r="F564" s="165">
        <v>154.4</v>
      </c>
    </row>
    <row r="565" spans="1:6" ht="90" x14ac:dyDescent="0.25">
      <c r="A565" s="286" t="s">
        <v>1565</v>
      </c>
      <c r="B565" s="287" t="s">
        <v>351</v>
      </c>
      <c r="C565" s="164" t="s">
        <v>8</v>
      </c>
      <c r="D565" s="164">
        <v>1</v>
      </c>
      <c r="E565" s="165">
        <v>215.07</v>
      </c>
      <c r="F565" s="165">
        <v>215.07</v>
      </c>
    </row>
    <row r="566" spans="1:6" ht="90" x14ac:dyDescent="0.25">
      <c r="A566" s="286" t="s">
        <v>1566</v>
      </c>
      <c r="B566" s="287" t="s">
        <v>53</v>
      </c>
      <c r="C566" s="164" t="s">
        <v>8</v>
      </c>
      <c r="D566" s="164">
        <v>1</v>
      </c>
      <c r="E566" s="165">
        <v>119.55</v>
      </c>
      <c r="F566" s="165">
        <v>119.55</v>
      </c>
    </row>
    <row r="567" spans="1:6" ht="30" x14ac:dyDescent="0.25">
      <c r="A567" s="286" t="s">
        <v>1567</v>
      </c>
      <c r="B567" s="287" t="s">
        <v>1568</v>
      </c>
      <c r="C567" s="164" t="s">
        <v>8</v>
      </c>
      <c r="D567" s="164">
        <v>1</v>
      </c>
      <c r="E567" s="165">
        <v>8.61</v>
      </c>
      <c r="F567" s="165">
        <v>8.61</v>
      </c>
    </row>
    <row r="568" spans="1:6" ht="30" x14ac:dyDescent="0.25">
      <c r="A568" s="286" t="s">
        <v>1569</v>
      </c>
      <c r="B568" s="287" t="s">
        <v>1570</v>
      </c>
      <c r="C568" s="164" t="s">
        <v>8</v>
      </c>
      <c r="D568" s="164">
        <v>1</v>
      </c>
      <c r="E568" s="165">
        <v>12.68</v>
      </c>
      <c r="F568" s="165">
        <v>12.68</v>
      </c>
    </row>
    <row r="569" spans="1:6" ht="30" x14ac:dyDescent="0.25">
      <c r="A569" s="286" t="s">
        <v>1571</v>
      </c>
      <c r="B569" s="287" t="s">
        <v>1572</v>
      </c>
      <c r="C569" s="164" t="s">
        <v>8</v>
      </c>
      <c r="D569" s="164">
        <v>1</v>
      </c>
      <c r="E569" s="165">
        <v>70.98</v>
      </c>
      <c r="F569" s="165">
        <v>70.98</v>
      </c>
    </row>
    <row r="570" spans="1:6" ht="30" x14ac:dyDescent="0.25">
      <c r="A570" s="286" t="s">
        <v>1573</v>
      </c>
      <c r="B570" s="287" t="s">
        <v>363</v>
      </c>
      <c r="C570" s="164" t="s">
        <v>8</v>
      </c>
      <c r="D570" s="164">
        <v>1</v>
      </c>
      <c r="E570" s="165">
        <v>101.13</v>
      </c>
      <c r="F570" s="165">
        <v>101.13</v>
      </c>
    </row>
    <row r="571" spans="1:6" ht="30" x14ac:dyDescent="0.25">
      <c r="A571" s="286" t="s">
        <v>1574</v>
      </c>
      <c r="B571" s="287" t="s">
        <v>352</v>
      </c>
      <c r="C571" s="164" t="s">
        <v>8</v>
      </c>
      <c r="D571" s="164">
        <v>1</v>
      </c>
      <c r="E571" s="165">
        <v>155.41</v>
      </c>
      <c r="F571" s="165">
        <v>155.41</v>
      </c>
    </row>
    <row r="572" spans="1:6" ht="30" x14ac:dyDescent="0.25">
      <c r="A572" s="286" t="s">
        <v>1575</v>
      </c>
      <c r="B572" s="287" t="s">
        <v>1576</v>
      </c>
      <c r="C572" s="164" t="s">
        <v>8</v>
      </c>
      <c r="D572" s="164">
        <v>1</v>
      </c>
      <c r="E572" s="165">
        <v>185.01</v>
      </c>
      <c r="F572" s="165">
        <v>185.01</v>
      </c>
    </row>
    <row r="573" spans="1:6" ht="30" x14ac:dyDescent="0.25">
      <c r="A573" s="286" t="s">
        <v>1577</v>
      </c>
      <c r="B573" s="287" t="s">
        <v>1578</v>
      </c>
      <c r="C573" s="164" t="s">
        <v>8</v>
      </c>
      <c r="D573" s="164">
        <v>1</v>
      </c>
      <c r="E573" s="165">
        <v>10.1</v>
      </c>
      <c r="F573" s="165">
        <v>10.1</v>
      </c>
    </row>
    <row r="574" spans="1:6" x14ac:dyDescent="0.25">
      <c r="A574" s="288" t="s">
        <v>1579</v>
      </c>
      <c r="B574" s="285" t="s">
        <v>1580</v>
      </c>
      <c r="C574" s="164"/>
      <c r="D574" s="164"/>
      <c r="E574" s="165"/>
      <c r="F574" s="165"/>
    </row>
    <row r="575" spans="1:6" ht="75" x14ac:dyDescent="0.25">
      <c r="A575" s="286" t="s">
        <v>1581</v>
      </c>
      <c r="B575" s="287" t="s">
        <v>1582</v>
      </c>
      <c r="C575" s="164" t="s">
        <v>7</v>
      </c>
      <c r="D575" s="164">
        <v>1</v>
      </c>
      <c r="E575" s="165">
        <v>46.42</v>
      </c>
      <c r="F575" s="165">
        <v>46.42</v>
      </c>
    </row>
    <row r="576" spans="1:6" ht="75" x14ac:dyDescent="0.25">
      <c r="A576" s="286" t="s">
        <v>1583</v>
      </c>
      <c r="B576" s="287" t="s">
        <v>1584</v>
      </c>
      <c r="C576" s="164" t="s">
        <v>7</v>
      </c>
      <c r="D576" s="164">
        <v>1</v>
      </c>
      <c r="E576" s="165">
        <v>55.69</v>
      </c>
      <c r="F576" s="165">
        <v>55.69</v>
      </c>
    </row>
    <row r="577" spans="1:6" ht="75" x14ac:dyDescent="0.25">
      <c r="A577" s="286" t="s">
        <v>1585</v>
      </c>
      <c r="B577" s="287" t="s">
        <v>445</v>
      </c>
      <c r="C577" s="164" t="s">
        <v>7</v>
      </c>
      <c r="D577" s="164">
        <v>1</v>
      </c>
      <c r="E577" s="165">
        <v>145.15</v>
      </c>
      <c r="F577" s="165">
        <v>145.15</v>
      </c>
    </row>
    <row r="578" spans="1:6" ht="75" x14ac:dyDescent="0.25">
      <c r="A578" s="286" t="s">
        <v>1586</v>
      </c>
      <c r="B578" s="287" t="s">
        <v>1587</v>
      </c>
      <c r="C578" s="164" t="s">
        <v>7</v>
      </c>
      <c r="D578" s="164">
        <v>1</v>
      </c>
      <c r="E578" s="165">
        <v>155.76</v>
      </c>
      <c r="F578" s="165">
        <v>155.76</v>
      </c>
    </row>
    <row r="579" spans="1:6" x14ac:dyDescent="0.25">
      <c r="A579" s="288" t="s">
        <v>1588</v>
      </c>
      <c r="B579" s="285" t="s">
        <v>1589</v>
      </c>
      <c r="C579" s="164"/>
      <c r="D579" s="164"/>
      <c r="E579" s="165"/>
      <c r="F579" s="165"/>
    </row>
    <row r="580" spans="1:6" ht="45" x14ac:dyDescent="0.25">
      <c r="A580" s="286" t="s">
        <v>1590</v>
      </c>
      <c r="B580" s="287" t="s">
        <v>1591</v>
      </c>
      <c r="C580" s="164" t="s">
        <v>7</v>
      </c>
      <c r="D580" s="164">
        <v>1</v>
      </c>
      <c r="E580" s="165">
        <v>16.29</v>
      </c>
      <c r="F580" s="165">
        <v>16.29</v>
      </c>
    </row>
    <row r="581" spans="1:6" ht="60" x14ac:dyDescent="0.25">
      <c r="A581" s="286" t="s">
        <v>1592</v>
      </c>
      <c r="B581" s="287" t="s">
        <v>1593</v>
      </c>
      <c r="C581" s="164" t="s">
        <v>8</v>
      </c>
      <c r="D581" s="164">
        <v>1</v>
      </c>
      <c r="E581" s="165">
        <v>21.61</v>
      </c>
      <c r="F581" s="165">
        <v>21.61</v>
      </c>
    </row>
    <row r="582" spans="1:6" ht="60" x14ac:dyDescent="0.25">
      <c r="A582" s="286" t="s">
        <v>1594</v>
      </c>
      <c r="B582" s="287" t="s">
        <v>1595</v>
      </c>
      <c r="C582" s="164" t="s">
        <v>8</v>
      </c>
      <c r="D582" s="164">
        <v>1</v>
      </c>
      <c r="E582" s="165">
        <v>25.25</v>
      </c>
      <c r="F582" s="165">
        <v>25.25</v>
      </c>
    </row>
    <row r="583" spans="1:6" ht="60" x14ac:dyDescent="0.25">
      <c r="A583" s="286" t="s">
        <v>1596</v>
      </c>
      <c r="B583" s="287" t="s">
        <v>1597</v>
      </c>
      <c r="C583" s="164" t="s">
        <v>8</v>
      </c>
      <c r="D583" s="164">
        <v>1</v>
      </c>
      <c r="E583" s="165">
        <v>23.28</v>
      </c>
      <c r="F583" s="165">
        <v>23.28</v>
      </c>
    </row>
    <row r="584" spans="1:6" ht="60" x14ac:dyDescent="0.25">
      <c r="A584" s="286" t="s">
        <v>1598</v>
      </c>
      <c r="B584" s="287" t="s">
        <v>1599</v>
      </c>
      <c r="C584" s="164" t="s">
        <v>8</v>
      </c>
      <c r="D584" s="164">
        <v>1</v>
      </c>
      <c r="E584" s="165">
        <v>25.22</v>
      </c>
      <c r="F584" s="165">
        <v>25.22</v>
      </c>
    </row>
    <row r="585" spans="1:6" ht="45" x14ac:dyDescent="0.25">
      <c r="A585" s="286" t="s">
        <v>1600</v>
      </c>
      <c r="B585" s="287" t="s">
        <v>1601</v>
      </c>
      <c r="C585" s="164" t="s">
        <v>7</v>
      </c>
      <c r="D585" s="164">
        <v>1</v>
      </c>
      <c r="E585" s="165">
        <v>26.27</v>
      </c>
      <c r="F585" s="165">
        <v>26.27</v>
      </c>
    </row>
    <row r="586" spans="1:6" ht="30" x14ac:dyDescent="0.25">
      <c r="A586" s="286" t="s">
        <v>1602</v>
      </c>
      <c r="B586" s="287" t="s">
        <v>1603</v>
      </c>
      <c r="C586" s="164" t="s">
        <v>7</v>
      </c>
      <c r="D586" s="164">
        <v>1</v>
      </c>
      <c r="E586" s="165">
        <v>13.24</v>
      </c>
      <c r="F586" s="165">
        <v>13.24</v>
      </c>
    </row>
    <row r="587" spans="1:6" ht="45" x14ac:dyDescent="0.25">
      <c r="A587" s="286" t="s">
        <v>1604</v>
      </c>
      <c r="B587" s="287" t="s">
        <v>1605</v>
      </c>
      <c r="C587" s="164" t="s">
        <v>7</v>
      </c>
      <c r="D587" s="164">
        <v>1</v>
      </c>
      <c r="E587" s="165">
        <v>91.55</v>
      </c>
      <c r="F587" s="165">
        <v>91.55</v>
      </c>
    </row>
    <row r="588" spans="1:6" ht="45" x14ac:dyDescent="0.25">
      <c r="A588" s="286" t="s">
        <v>1606</v>
      </c>
      <c r="B588" s="287" t="s">
        <v>1607</v>
      </c>
      <c r="C588" s="164" t="s">
        <v>7</v>
      </c>
      <c r="D588" s="164">
        <v>1</v>
      </c>
      <c r="E588" s="165">
        <v>136.11000000000001</v>
      </c>
      <c r="F588" s="165">
        <v>136.11000000000001</v>
      </c>
    </row>
    <row r="589" spans="1:6" ht="45" x14ac:dyDescent="0.25">
      <c r="A589" s="286" t="s">
        <v>1608</v>
      </c>
      <c r="B589" s="287" t="s">
        <v>1609</v>
      </c>
      <c r="C589" s="164" t="s">
        <v>7</v>
      </c>
      <c r="D589" s="164">
        <v>1</v>
      </c>
      <c r="E589" s="165">
        <v>176.92</v>
      </c>
      <c r="F589" s="165">
        <v>176.92</v>
      </c>
    </row>
    <row r="590" spans="1:6" ht="45" x14ac:dyDescent="0.25">
      <c r="A590" s="286" t="s">
        <v>1610</v>
      </c>
      <c r="B590" s="287" t="s">
        <v>1611</v>
      </c>
      <c r="C590" s="164" t="s">
        <v>7</v>
      </c>
      <c r="D590" s="164">
        <v>1</v>
      </c>
      <c r="E590" s="165">
        <v>207.92</v>
      </c>
      <c r="F590" s="165">
        <v>207.92</v>
      </c>
    </row>
    <row r="591" spans="1:6" ht="45" x14ac:dyDescent="0.25">
      <c r="A591" s="286" t="s">
        <v>1612</v>
      </c>
      <c r="B591" s="287" t="s">
        <v>1613</v>
      </c>
      <c r="C591" s="164" t="s">
        <v>8</v>
      </c>
      <c r="D591" s="164">
        <v>1</v>
      </c>
      <c r="E591" s="165">
        <v>78.599999999999994</v>
      </c>
      <c r="F591" s="165">
        <v>78.599999999999994</v>
      </c>
    </row>
    <row r="592" spans="1:6" ht="45" x14ac:dyDescent="0.25">
      <c r="A592" s="286" t="s">
        <v>1614</v>
      </c>
      <c r="B592" s="287" t="s">
        <v>1615</v>
      </c>
      <c r="C592" s="164" t="s">
        <v>8</v>
      </c>
      <c r="D592" s="164">
        <v>1</v>
      </c>
      <c r="E592" s="165">
        <v>100.48</v>
      </c>
      <c r="F592" s="165">
        <v>100.48</v>
      </c>
    </row>
    <row r="593" spans="1:6" ht="45" x14ac:dyDescent="0.25">
      <c r="A593" s="286" t="s">
        <v>1616</v>
      </c>
      <c r="B593" s="287" t="s">
        <v>1617</v>
      </c>
      <c r="C593" s="164" t="s">
        <v>8</v>
      </c>
      <c r="D593" s="164">
        <v>1</v>
      </c>
      <c r="E593" s="165">
        <v>121.44</v>
      </c>
      <c r="F593" s="165">
        <v>121.44</v>
      </c>
    </row>
    <row r="594" spans="1:6" ht="30" x14ac:dyDescent="0.25">
      <c r="A594" s="286" t="s">
        <v>1618</v>
      </c>
      <c r="B594" s="287" t="s">
        <v>1619</v>
      </c>
      <c r="C594" s="164" t="s">
        <v>8</v>
      </c>
      <c r="D594" s="164">
        <v>1</v>
      </c>
      <c r="E594" s="165">
        <v>10.06</v>
      </c>
      <c r="F594" s="165">
        <v>10.06</v>
      </c>
    </row>
    <row r="595" spans="1:6" x14ac:dyDescent="0.25">
      <c r="A595" s="286" t="s">
        <v>1620</v>
      </c>
      <c r="B595" s="287" t="s">
        <v>1621</v>
      </c>
      <c r="C595" s="164" t="s">
        <v>8</v>
      </c>
      <c r="D595" s="164">
        <v>1</v>
      </c>
      <c r="E595" s="165">
        <v>10.47</v>
      </c>
      <c r="F595" s="165">
        <v>10.47</v>
      </c>
    </row>
    <row r="596" spans="1:6" x14ac:dyDescent="0.25">
      <c r="A596" s="286" t="s">
        <v>1622</v>
      </c>
      <c r="B596" s="287" t="s">
        <v>1623</v>
      </c>
      <c r="C596" s="164" t="s">
        <v>8</v>
      </c>
      <c r="D596" s="164">
        <v>1</v>
      </c>
      <c r="E596" s="165">
        <v>12.63</v>
      </c>
      <c r="F596" s="165">
        <v>12.63</v>
      </c>
    </row>
    <row r="597" spans="1:6" ht="45" x14ac:dyDescent="0.25">
      <c r="A597" s="286" t="s">
        <v>1624</v>
      </c>
      <c r="B597" s="287" t="s">
        <v>1625</v>
      </c>
      <c r="C597" s="164" t="s">
        <v>8</v>
      </c>
      <c r="D597" s="164">
        <v>1</v>
      </c>
      <c r="E597" s="165">
        <v>47.8</v>
      </c>
      <c r="F597" s="165">
        <v>47.8</v>
      </c>
    </row>
    <row r="598" spans="1:6" ht="45" x14ac:dyDescent="0.25">
      <c r="A598" s="286" t="s">
        <v>1626</v>
      </c>
      <c r="B598" s="287" t="s">
        <v>1627</v>
      </c>
      <c r="C598" s="164" t="s">
        <v>8</v>
      </c>
      <c r="D598" s="164">
        <v>1</v>
      </c>
      <c r="E598" s="165">
        <v>60.79</v>
      </c>
      <c r="F598" s="165">
        <v>60.79</v>
      </c>
    </row>
    <row r="599" spans="1:6" ht="45" x14ac:dyDescent="0.25">
      <c r="A599" s="286" t="s">
        <v>1628</v>
      </c>
      <c r="B599" s="287" t="s">
        <v>1629</v>
      </c>
      <c r="C599" s="164" t="s">
        <v>8</v>
      </c>
      <c r="D599" s="164">
        <v>1</v>
      </c>
      <c r="E599" s="165">
        <v>84.32</v>
      </c>
      <c r="F599" s="165">
        <v>84.32</v>
      </c>
    </row>
    <row r="600" spans="1:6" ht="45" x14ac:dyDescent="0.25">
      <c r="A600" s="286" t="s">
        <v>1630</v>
      </c>
      <c r="B600" s="287" t="s">
        <v>1631</v>
      </c>
      <c r="C600" s="164" t="s">
        <v>8</v>
      </c>
      <c r="D600" s="164">
        <v>1</v>
      </c>
      <c r="E600" s="165">
        <v>108.29</v>
      </c>
      <c r="F600" s="165">
        <v>108.29</v>
      </c>
    </row>
    <row r="601" spans="1:6" ht="45" x14ac:dyDescent="0.25">
      <c r="A601" s="286" t="s">
        <v>1632</v>
      </c>
      <c r="B601" s="287" t="s">
        <v>1633</v>
      </c>
      <c r="C601" s="164" t="s">
        <v>8</v>
      </c>
      <c r="D601" s="164">
        <v>1</v>
      </c>
      <c r="E601" s="165">
        <v>14.41</v>
      </c>
      <c r="F601" s="165">
        <v>14.41</v>
      </c>
    </row>
    <row r="602" spans="1:6" ht="45" x14ac:dyDescent="0.25">
      <c r="A602" s="286" t="s">
        <v>1634</v>
      </c>
      <c r="B602" s="287" t="s">
        <v>1635</v>
      </c>
      <c r="C602" s="164" t="s">
        <v>8</v>
      </c>
      <c r="D602" s="164">
        <v>1</v>
      </c>
      <c r="E602" s="165">
        <v>17.309999999999999</v>
      </c>
      <c r="F602" s="165">
        <v>17.309999999999999</v>
      </c>
    </row>
    <row r="603" spans="1:6" ht="45" x14ac:dyDescent="0.25">
      <c r="A603" s="286" t="s">
        <v>1636</v>
      </c>
      <c r="B603" s="287" t="s">
        <v>1637</v>
      </c>
      <c r="C603" s="164" t="s">
        <v>8</v>
      </c>
      <c r="D603" s="164">
        <v>1</v>
      </c>
      <c r="E603" s="165">
        <v>146.32</v>
      </c>
      <c r="F603" s="165">
        <v>146.32</v>
      </c>
    </row>
    <row r="604" spans="1:6" ht="45" x14ac:dyDescent="0.25">
      <c r="A604" s="286" t="s">
        <v>1638</v>
      </c>
      <c r="B604" s="287" t="s">
        <v>1639</v>
      </c>
      <c r="C604" s="164" t="s">
        <v>8</v>
      </c>
      <c r="D604" s="164">
        <v>1</v>
      </c>
      <c r="E604" s="165">
        <v>193.75</v>
      </c>
      <c r="F604" s="165">
        <v>193.75</v>
      </c>
    </row>
    <row r="605" spans="1:6" ht="45" x14ac:dyDescent="0.25">
      <c r="A605" s="286" t="s">
        <v>1640</v>
      </c>
      <c r="B605" s="287" t="s">
        <v>1641</v>
      </c>
      <c r="C605" s="164" t="s">
        <v>8</v>
      </c>
      <c r="D605" s="164">
        <v>1</v>
      </c>
      <c r="E605" s="165">
        <v>116.23</v>
      </c>
      <c r="F605" s="165">
        <v>116.23</v>
      </c>
    </row>
    <row r="606" spans="1:6" ht="45" x14ac:dyDescent="0.25">
      <c r="A606" s="286" t="s">
        <v>1642</v>
      </c>
      <c r="B606" s="287" t="s">
        <v>1643</v>
      </c>
      <c r="C606" s="164" t="s">
        <v>8</v>
      </c>
      <c r="D606" s="164">
        <v>1</v>
      </c>
      <c r="E606" s="165">
        <v>168.46</v>
      </c>
      <c r="F606" s="165">
        <v>168.46</v>
      </c>
    </row>
    <row r="607" spans="1:6" ht="75" x14ac:dyDescent="0.25">
      <c r="A607" s="286" t="s">
        <v>1644</v>
      </c>
      <c r="B607" s="287" t="s">
        <v>1645</v>
      </c>
      <c r="C607" s="164" t="s">
        <v>8</v>
      </c>
      <c r="D607" s="164">
        <v>1</v>
      </c>
      <c r="E607" s="165">
        <v>22.54</v>
      </c>
      <c r="F607" s="165">
        <v>22.54</v>
      </c>
    </row>
    <row r="608" spans="1:6" ht="60" x14ac:dyDescent="0.25">
      <c r="A608" s="286" t="s">
        <v>1646</v>
      </c>
      <c r="B608" s="287" t="s">
        <v>1647</v>
      </c>
      <c r="C608" s="164" t="s">
        <v>8</v>
      </c>
      <c r="D608" s="164">
        <v>1</v>
      </c>
      <c r="E608" s="165">
        <v>30.69</v>
      </c>
      <c r="F608" s="165">
        <v>30.69</v>
      </c>
    </row>
    <row r="609" spans="1:6" ht="60" x14ac:dyDescent="0.25">
      <c r="A609" s="286" t="s">
        <v>1648</v>
      </c>
      <c r="B609" s="287" t="s">
        <v>1649</v>
      </c>
      <c r="C609" s="164" t="s">
        <v>8</v>
      </c>
      <c r="D609" s="164">
        <v>1</v>
      </c>
      <c r="E609" s="165">
        <v>67.41</v>
      </c>
      <c r="F609" s="165">
        <v>67.41</v>
      </c>
    </row>
    <row r="610" spans="1:6" ht="60" x14ac:dyDescent="0.25">
      <c r="A610" s="286" t="s">
        <v>1650</v>
      </c>
      <c r="B610" s="287" t="s">
        <v>1651</v>
      </c>
      <c r="C610" s="164" t="s">
        <v>8</v>
      </c>
      <c r="D610" s="164">
        <v>1</v>
      </c>
      <c r="E610" s="165">
        <v>76.88</v>
      </c>
      <c r="F610" s="165">
        <v>76.88</v>
      </c>
    </row>
    <row r="611" spans="1:6" ht="90" x14ac:dyDescent="0.25">
      <c r="A611" s="286" t="s">
        <v>1652</v>
      </c>
      <c r="B611" s="287" t="s">
        <v>1653</v>
      </c>
      <c r="C611" s="164" t="s">
        <v>8</v>
      </c>
      <c r="D611" s="164">
        <v>1</v>
      </c>
      <c r="E611" s="165">
        <v>41.44</v>
      </c>
      <c r="F611" s="165">
        <v>41.44</v>
      </c>
    </row>
    <row r="612" spans="1:6" ht="105" x14ac:dyDescent="0.25">
      <c r="A612" s="286" t="s">
        <v>1654</v>
      </c>
      <c r="B612" s="287" t="s">
        <v>1655</v>
      </c>
      <c r="C612" s="164" t="s">
        <v>8</v>
      </c>
      <c r="D612" s="164">
        <v>1</v>
      </c>
      <c r="E612" s="165">
        <v>56.19</v>
      </c>
      <c r="F612" s="165">
        <v>56.19</v>
      </c>
    </row>
    <row r="613" spans="1:6" ht="105" x14ac:dyDescent="0.25">
      <c r="A613" s="286" t="s">
        <v>1656</v>
      </c>
      <c r="B613" s="287" t="s">
        <v>1657</v>
      </c>
      <c r="C613" s="164" t="s">
        <v>8</v>
      </c>
      <c r="D613" s="164">
        <v>1</v>
      </c>
      <c r="E613" s="165">
        <v>60.77</v>
      </c>
      <c r="F613" s="165">
        <v>60.77</v>
      </c>
    </row>
    <row r="614" spans="1:6" ht="30" x14ac:dyDescent="0.25">
      <c r="A614" s="288" t="s">
        <v>1658</v>
      </c>
      <c r="B614" s="285" t="s">
        <v>1659</v>
      </c>
      <c r="C614" s="164"/>
      <c r="D614" s="164"/>
      <c r="E614" s="165"/>
      <c r="F614" s="165"/>
    </row>
    <row r="615" spans="1:6" ht="30" x14ac:dyDescent="0.25">
      <c r="A615" s="286" t="s">
        <v>1660</v>
      </c>
      <c r="B615" s="287" t="s">
        <v>1661</v>
      </c>
      <c r="C615" s="164" t="s">
        <v>7</v>
      </c>
      <c r="D615" s="164">
        <v>1</v>
      </c>
      <c r="E615" s="165">
        <v>1.87</v>
      </c>
      <c r="F615" s="165">
        <v>1.87</v>
      </c>
    </row>
    <row r="616" spans="1:6" x14ac:dyDescent="0.25">
      <c r="A616" s="286" t="s">
        <v>1662</v>
      </c>
      <c r="B616" s="287" t="s">
        <v>1663</v>
      </c>
      <c r="C616" s="164" t="s">
        <v>8</v>
      </c>
      <c r="D616" s="164">
        <v>1</v>
      </c>
      <c r="E616" s="165">
        <v>10.81</v>
      </c>
      <c r="F616" s="165">
        <v>10.81</v>
      </c>
    </row>
    <row r="617" spans="1:6" ht="45" x14ac:dyDescent="0.25">
      <c r="A617" s="286" t="s">
        <v>1664</v>
      </c>
      <c r="B617" s="287" t="s">
        <v>1665</v>
      </c>
      <c r="C617" s="164" t="s">
        <v>8</v>
      </c>
      <c r="D617" s="164">
        <v>1</v>
      </c>
      <c r="E617" s="165">
        <v>30.15</v>
      </c>
      <c r="F617" s="165">
        <v>30.15</v>
      </c>
    </row>
    <row r="618" spans="1:6" ht="30" x14ac:dyDescent="0.25">
      <c r="A618" s="286" t="s">
        <v>1666</v>
      </c>
      <c r="B618" s="287" t="s">
        <v>444</v>
      </c>
      <c r="C618" s="164" t="s">
        <v>8</v>
      </c>
      <c r="D618" s="164">
        <v>1</v>
      </c>
      <c r="E618" s="165">
        <v>28.43</v>
      </c>
      <c r="F618" s="165">
        <v>28.43</v>
      </c>
    </row>
    <row r="619" spans="1:6" ht="30" x14ac:dyDescent="0.25">
      <c r="A619" s="286" t="s">
        <v>1667</v>
      </c>
      <c r="B619" s="287" t="s">
        <v>1668</v>
      </c>
      <c r="C619" s="164" t="s">
        <v>8</v>
      </c>
      <c r="D619" s="164">
        <v>1</v>
      </c>
      <c r="E619" s="165">
        <v>7.41</v>
      </c>
      <c r="F619" s="165">
        <v>7.41</v>
      </c>
    </row>
    <row r="620" spans="1:6" x14ac:dyDescent="0.25">
      <c r="A620" s="286" t="s">
        <v>1669</v>
      </c>
      <c r="B620" s="287" t="s">
        <v>1670</v>
      </c>
      <c r="C620" s="164" t="s">
        <v>8</v>
      </c>
      <c r="D620" s="164">
        <v>1</v>
      </c>
      <c r="E620" s="165">
        <v>19.489999999999998</v>
      </c>
      <c r="F620" s="165">
        <v>19.489999999999998</v>
      </c>
    </row>
    <row r="621" spans="1:6" x14ac:dyDescent="0.25">
      <c r="A621" s="286" t="s">
        <v>1671</v>
      </c>
      <c r="B621" s="287" t="s">
        <v>1672</v>
      </c>
      <c r="C621" s="164" t="s">
        <v>7</v>
      </c>
      <c r="D621" s="164">
        <v>1</v>
      </c>
      <c r="E621" s="165">
        <v>4.04</v>
      </c>
      <c r="F621" s="165">
        <v>4.04</v>
      </c>
    </row>
    <row r="622" spans="1:6" x14ac:dyDescent="0.25">
      <c r="A622" s="286" t="s">
        <v>1673</v>
      </c>
      <c r="B622" s="287" t="s">
        <v>1674</v>
      </c>
      <c r="C622" s="164" t="s">
        <v>8</v>
      </c>
      <c r="D622" s="164">
        <v>1</v>
      </c>
      <c r="E622" s="165">
        <v>19.489999999999998</v>
      </c>
      <c r="F622" s="165">
        <v>19.489999999999998</v>
      </c>
    </row>
    <row r="623" spans="1:6" x14ac:dyDescent="0.25">
      <c r="A623" s="286" t="s">
        <v>1675</v>
      </c>
      <c r="B623" s="287" t="s">
        <v>1676</v>
      </c>
      <c r="C623" s="164" t="s">
        <v>8</v>
      </c>
      <c r="D623" s="164">
        <v>1</v>
      </c>
      <c r="E623" s="165">
        <v>6.95</v>
      </c>
      <c r="F623" s="165">
        <v>6.95</v>
      </c>
    </row>
    <row r="624" spans="1:6" ht="30" x14ac:dyDescent="0.25">
      <c r="A624" s="288" t="s">
        <v>1677</v>
      </c>
      <c r="B624" s="285" t="s">
        <v>1678</v>
      </c>
      <c r="C624" s="164"/>
      <c r="D624" s="164"/>
      <c r="E624" s="165"/>
      <c r="F624" s="165"/>
    </row>
    <row r="625" spans="1:6" ht="90" x14ac:dyDescent="0.25">
      <c r="A625" s="286" t="s">
        <v>1679</v>
      </c>
      <c r="B625" s="287" t="s">
        <v>1680</v>
      </c>
      <c r="C625" s="164" t="s">
        <v>8</v>
      </c>
      <c r="D625" s="164">
        <v>1</v>
      </c>
      <c r="E625" s="165">
        <v>114.17</v>
      </c>
      <c r="F625" s="165">
        <v>114.17</v>
      </c>
    </row>
    <row r="626" spans="1:6" ht="90" x14ac:dyDescent="0.25">
      <c r="A626" s="286" t="s">
        <v>1681</v>
      </c>
      <c r="B626" s="287" t="s">
        <v>1682</v>
      </c>
      <c r="C626" s="164" t="s">
        <v>8</v>
      </c>
      <c r="D626" s="164">
        <v>1</v>
      </c>
      <c r="E626" s="165">
        <v>259.45999999999998</v>
      </c>
      <c r="F626" s="165">
        <v>259.45999999999998</v>
      </c>
    </row>
    <row r="627" spans="1:6" ht="90" x14ac:dyDescent="0.25">
      <c r="A627" s="286" t="s">
        <v>1683</v>
      </c>
      <c r="B627" s="287" t="s">
        <v>1684</v>
      </c>
      <c r="C627" s="164" t="s">
        <v>8</v>
      </c>
      <c r="D627" s="164">
        <v>1</v>
      </c>
      <c r="E627" s="165">
        <v>113.14</v>
      </c>
      <c r="F627" s="165">
        <v>113.14</v>
      </c>
    </row>
    <row r="628" spans="1:6" ht="105" x14ac:dyDescent="0.25">
      <c r="A628" s="286" t="s">
        <v>1685</v>
      </c>
      <c r="B628" s="287" t="s">
        <v>1686</v>
      </c>
      <c r="C628" s="164" t="s">
        <v>8</v>
      </c>
      <c r="D628" s="164">
        <v>1</v>
      </c>
      <c r="E628" s="165">
        <v>251.59</v>
      </c>
      <c r="F628" s="165">
        <v>251.59</v>
      </c>
    </row>
    <row r="629" spans="1:6" ht="90" x14ac:dyDescent="0.25">
      <c r="A629" s="286" t="s">
        <v>1687</v>
      </c>
      <c r="B629" s="287" t="s">
        <v>1688</v>
      </c>
      <c r="C629" s="164" t="s">
        <v>8</v>
      </c>
      <c r="D629" s="164">
        <v>1</v>
      </c>
      <c r="E629" s="165">
        <v>196.91</v>
      </c>
      <c r="F629" s="165">
        <v>196.91</v>
      </c>
    </row>
    <row r="630" spans="1:6" ht="90" x14ac:dyDescent="0.25">
      <c r="A630" s="286" t="s">
        <v>1689</v>
      </c>
      <c r="B630" s="287" t="s">
        <v>1690</v>
      </c>
      <c r="C630" s="164" t="s">
        <v>8</v>
      </c>
      <c r="D630" s="164">
        <v>1</v>
      </c>
      <c r="E630" s="165">
        <v>576.16999999999996</v>
      </c>
      <c r="F630" s="165">
        <v>576.16999999999996</v>
      </c>
    </row>
    <row r="631" spans="1:6" ht="90" x14ac:dyDescent="0.25">
      <c r="A631" s="286" t="s">
        <v>1691</v>
      </c>
      <c r="B631" s="287" t="s">
        <v>1692</v>
      </c>
      <c r="C631" s="164" t="s">
        <v>8</v>
      </c>
      <c r="D631" s="164">
        <v>1</v>
      </c>
      <c r="E631" s="165">
        <v>873.49</v>
      </c>
      <c r="F631" s="165">
        <v>873.49</v>
      </c>
    </row>
    <row r="632" spans="1:6" x14ac:dyDescent="0.25">
      <c r="A632" s="288" t="s">
        <v>1693</v>
      </c>
      <c r="B632" s="285" t="s">
        <v>1694</v>
      </c>
      <c r="C632" s="164"/>
      <c r="D632" s="164"/>
      <c r="E632" s="165"/>
      <c r="F632" s="165"/>
    </row>
    <row r="633" spans="1:6" ht="30" x14ac:dyDescent="0.25">
      <c r="A633" s="286" t="s">
        <v>1695</v>
      </c>
      <c r="B633" s="287" t="s">
        <v>1696</v>
      </c>
      <c r="C633" s="164" t="s">
        <v>7</v>
      </c>
      <c r="D633" s="164">
        <v>1</v>
      </c>
      <c r="E633" s="165">
        <v>14.82</v>
      </c>
      <c r="F633" s="165">
        <v>14.82</v>
      </c>
    </row>
    <row r="634" spans="1:6" ht="30" x14ac:dyDescent="0.25">
      <c r="A634" s="286" t="s">
        <v>1697</v>
      </c>
      <c r="B634" s="287" t="s">
        <v>357</v>
      </c>
      <c r="C634" s="164" t="s">
        <v>7</v>
      </c>
      <c r="D634" s="164">
        <v>1</v>
      </c>
      <c r="E634" s="165">
        <v>16.149999999999999</v>
      </c>
      <c r="F634" s="165">
        <v>16.149999999999999</v>
      </c>
    </row>
    <row r="635" spans="1:6" ht="30" x14ac:dyDescent="0.25">
      <c r="A635" s="286" t="s">
        <v>1698</v>
      </c>
      <c r="B635" s="287" t="s">
        <v>356</v>
      </c>
      <c r="C635" s="164" t="s">
        <v>7</v>
      </c>
      <c r="D635" s="164">
        <v>1</v>
      </c>
      <c r="E635" s="165">
        <v>24.24</v>
      </c>
      <c r="F635" s="165">
        <v>24.24</v>
      </c>
    </row>
    <row r="636" spans="1:6" ht="45" x14ac:dyDescent="0.25">
      <c r="A636" s="286" t="s">
        <v>1699</v>
      </c>
      <c r="B636" s="287" t="s">
        <v>1700</v>
      </c>
      <c r="C636" s="164" t="s">
        <v>7</v>
      </c>
      <c r="D636" s="164">
        <v>1</v>
      </c>
      <c r="E636" s="165">
        <v>29.95</v>
      </c>
      <c r="F636" s="165">
        <v>29.95</v>
      </c>
    </row>
    <row r="637" spans="1:6" ht="45" x14ac:dyDescent="0.25">
      <c r="A637" s="286" t="s">
        <v>1701</v>
      </c>
      <c r="B637" s="287" t="s">
        <v>1702</v>
      </c>
      <c r="C637" s="164" t="s">
        <v>7</v>
      </c>
      <c r="D637" s="164">
        <v>1</v>
      </c>
      <c r="E637" s="165">
        <v>35.74</v>
      </c>
      <c r="F637" s="165">
        <v>35.74</v>
      </c>
    </row>
    <row r="638" spans="1:6" ht="30" x14ac:dyDescent="0.25">
      <c r="A638" s="286" t="s">
        <v>1703</v>
      </c>
      <c r="B638" s="287" t="s">
        <v>54</v>
      </c>
      <c r="C638" s="164" t="s">
        <v>7</v>
      </c>
      <c r="D638" s="164">
        <v>1</v>
      </c>
      <c r="E638" s="165">
        <v>44.88</v>
      </c>
      <c r="F638" s="165">
        <v>44.88</v>
      </c>
    </row>
    <row r="639" spans="1:6" ht="30" x14ac:dyDescent="0.25">
      <c r="A639" s="286" t="s">
        <v>1704</v>
      </c>
      <c r="B639" s="287" t="s">
        <v>1705</v>
      </c>
      <c r="C639" s="164" t="s">
        <v>7</v>
      </c>
      <c r="D639" s="164">
        <v>1</v>
      </c>
      <c r="E639" s="165">
        <v>80.67</v>
      </c>
      <c r="F639" s="165">
        <v>80.67</v>
      </c>
    </row>
    <row r="640" spans="1:6" ht="30" x14ac:dyDescent="0.25">
      <c r="A640" s="286" t="s">
        <v>1706</v>
      </c>
      <c r="B640" s="287" t="s">
        <v>1707</v>
      </c>
      <c r="C640" s="164" t="s">
        <v>7</v>
      </c>
      <c r="D640" s="164">
        <v>1</v>
      </c>
      <c r="E640" s="165">
        <v>8.23</v>
      </c>
      <c r="F640" s="165">
        <v>8.23</v>
      </c>
    </row>
    <row r="641" spans="1:6" ht="30" x14ac:dyDescent="0.25">
      <c r="A641" s="286" t="s">
        <v>1708</v>
      </c>
      <c r="B641" s="287" t="s">
        <v>1709</v>
      </c>
      <c r="C641" s="164" t="s">
        <v>7</v>
      </c>
      <c r="D641" s="164">
        <v>1</v>
      </c>
      <c r="E641" s="165">
        <v>9.68</v>
      </c>
      <c r="F641" s="165">
        <v>9.68</v>
      </c>
    </row>
    <row r="642" spans="1:6" ht="30" x14ac:dyDescent="0.25">
      <c r="A642" s="286" t="s">
        <v>1710</v>
      </c>
      <c r="B642" s="287" t="s">
        <v>1711</v>
      </c>
      <c r="C642" s="164" t="s">
        <v>7</v>
      </c>
      <c r="D642" s="164">
        <v>1</v>
      </c>
      <c r="E642" s="165">
        <v>120.73</v>
      </c>
      <c r="F642" s="165">
        <v>120.73</v>
      </c>
    </row>
    <row r="643" spans="1:6" ht="30" x14ac:dyDescent="0.25">
      <c r="A643" s="286" t="s">
        <v>1712</v>
      </c>
      <c r="B643" s="287" t="s">
        <v>1713</v>
      </c>
      <c r="C643" s="164" t="s">
        <v>7</v>
      </c>
      <c r="D643" s="164">
        <v>1</v>
      </c>
      <c r="E643" s="165">
        <v>269.22000000000003</v>
      </c>
      <c r="F643" s="165">
        <v>269.22000000000003</v>
      </c>
    </row>
    <row r="644" spans="1:6" ht="45" x14ac:dyDescent="0.25">
      <c r="A644" s="286" t="s">
        <v>1714</v>
      </c>
      <c r="B644" s="287" t="s">
        <v>1715</v>
      </c>
      <c r="C644" s="164" t="s">
        <v>7</v>
      </c>
      <c r="D644" s="164">
        <v>1</v>
      </c>
      <c r="E644" s="165">
        <v>21.93</v>
      </c>
      <c r="F644" s="165">
        <v>21.93</v>
      </c>
    </row>
    <row r="645" spans="1:6" ht="45" x14ac:dyDescent="0.25">
      <c r="A645" s="286" t="s">
        <v>1716</v>
      </c>
      <c r="B645" s="287" t="s">
        <v>1717</v>
      </c>
      <c r="C645" s="164" t="s">
        <v>7</v>
      </c>
      <c r="D645" s="164">
        <v>1</v>
      </c>
      <c r="E645" s="165">
        <v>18.95</v>
      </c>
      <c r="F645" s="165">
        <v>18.95</v>
      </c>
    </row>
    <row r="646" spans="1:6" ht="30" x14ac:dyDescent="0.25">
      <c r="A646" s="286" t="s">
        <v>1718</v>
      </c>
      <c r="B646" s="287" t="s">
        <v>55</v>
      </c>
      <c r="C646" s="164" t="s">
        <v>7</v>
      </c>
      <c r="D646" s="164">
        <v>1</v>
      </c>
      <c r="E646" s="165">
        <v>22.68</v>
      </c>
      <c r="F646" s="165">
        <v>22.68</v>
      </c>
    </row>
    <row r="647" spans="1:6" ht="30" x14ac:dyDescent="0.25">
      <c r="A647" s="286" t="s">
        <v>1719</v>
      </c>
      <c r="B647" s="287" t="s">
        <v>1720</v>
      </c>
      <c r="C647" s="164" t="s">
        <v>7</v>
      </c>
      <c r="D647" s="164">
        <v>1</v>
      </c>
      <c r="E647" s="165">
        <v>37.14</v>
      </c>
      <c r="F647" s="165">
        <v>37.14</v>
      </c>
    </row>
    <row r="648" spans="1:6" ht="30" x14ac:dyDescent="0.25">
      <c r="A648" s="286" t="s">
        <v>1721</v>
      </c>
      <c r="B648" s="287" t="s">
        <v>1722</v>
      </c>
      <c r="C648" s="164" t="s">
        <v>7</v>
      </c>
      <c r="D648" s="164">
        <v>1</v>
      </c>
      <c r="E648" s="165">
        <v>50.72</v>
      </c>
      <c r="F648" s="165">
        <v>50.72</v>
      </c>
    </row>
    <row r="649" spans="1:6" ht="30" x14ac:dyDescent="0.25">
      <c r="A649" s="286" t="s">
        <v>1723</v>
      </c>
      <c r="B649" s="287" t="s">
        <v>1724</v>
      </c>
      <c r="C649" s="164" t="s">
        <v>7</v>
      </c>
      <c r="D649" s="164">
        <v>1</v>
      </c>
      <c r="E649" s="165">
        <v>89.44</v>
      </c>
      <c r="F649" s="165">
        <v>89.44</v>
      </c>
    </row>
    <row r="650" spans="1:6" x14ac:dyDescent="0.25">
      <c r="A650" s="288" t="s">
        <v>1725</v>
      </c>
      <c r="B650" s="285" t="s">
        <v>1726</v>
      </c>
      <c r="C650" s="164"/>
      <c r="D650" s="164"/>
      <c r="E650" s="165"/>
      <c r="F650" s="165"/>
    </row>
    <row r="651" spans="1:6" ht="60" x14ac:dyDescent="0.25">
      <c r="A651" s="286" t="s">
        <v>1727</v>
      </c>
      <c r="B651" s="287" t="s">
        <v>1728</v>
      </c>
      <c r="C651" s="164" t="s">
        <v>8</v>
      </c>
      <c r="D651" s="164">
        <v>1</v>
      </c>
      <c r="E651" s="165">
        <v>21.2</v>
      </c>
      <c r="F651" s="165">
        <v>21.2</v>
      </c>
    </row>
    <row r="652" spans="1:6" ht="60" x14ac:dyDescent="0.25">
      <c r="A652" s="286" t="s">
        <v>1729</v>
      </c>
      <c r="B652" s="287" t="s">
        <v>1730</v>
      </c>
      <c r="C652" s="164" t="s">
        <v>8</v>
      </c>
      <c r="D652" s="164">
        <v>1</v>
      </c>
      <c r="E652" s="165">
        <v>21.2</v>
      </c>
      <c r="F652" s="165">
        <v>21.2</v>
      </c>
    </row>
    <row r="653" spans="1:6" ht="60" x14ac:dyDescent="0.25">
      <c r="A653" s="286" t="s">
        <v>1731</v>
      </c>
      <c r="B653" s="287" t="s">
        <v>471</v>
      </c>
      <c r="C653" s="164" t="s">
        <v>8</v>
      </c>
      <c r="D653" s="164">
        <v>1</v>
      </c>
      <c r="E653" s="165">
        <v>21.2</v>
      </c>
      <c r="F653" s="165">
        <v>21.2</v>
      </c>
    </row>
    <row r="654" spans="1:6" ht="60" x14ac:dyDescent="0.25">
      <c r="A654" s="286" t="s">
        <v>1732</v>
      </c>
      <c r="B654" s="287" t="s">
        <v>1733</v>
      </c>
      <c r="C654" s="164" t="s">
        <v>8</v>
      </c>
      <c r="D654" s="164">
        <v>1</v>
      </c>
      <c r="E654" s="165">
        <v>21.2</v>
      </c>
      <c r="F654" s="165">
        <v>21.2</v>
      </c>
    </row>
    <row r="655" spans="1:6" ht="60" x14ac:dyDescent="0.25">
      <c r="A655" s="286" t="s">
        <v>1734</v>
      </c>
      <c r="B655" s="287" t="s">
        <v>1735</v>
      </c>
      <c r="C655" s="164" t="s">
        <v>8</v>
      </c>
      <c r="D655" s="164">
        <v>1</v>
      </c>
      <c r="E655" s="165">
        <v>23.62</v>
      </c>
      <c r="F655" s="165">
        <v>23.62</v>
      </c>
    </row>
    <row r="656" spans="1:6" ht="60" x14ac:dyDescent="0.25">
      <c r="A656" s="286" t="s">
        <v>1736</v>
      </c>
      <c r="B656" s="287" t="s">
        <v>1737</v>
      </c>
      <c r="C656" s="164" t="s">
        <v>8</v>
      </c>
      <c r="D656" s="164">
        <v>1</v>
      </c>
      <c r="E656" s="165">
        <v>58.12</v>
      </c>
      <c r="F656" s="165">
        <v>58.12</v>
      </c>
    </row>
    <row r="657" spans="1:6" ht="60" x14ac:dyDescent="0.25">
      <c r="A657" s="286" t="s">
        <v>1738</v>
      </c>
      <c r="B657" s="287" t="s">
        <v>1739</v>
      </c>
      <c r="C657" s="164" t="s">
        <v>8</v>
      </c>
      <c r="D657" s="164">
        <v>1</v>
      </c>
      <c r="E657" s="165">
        <v>58.12</v>
      </c>
      <c r="F657" s="165">
        <v>58.12</v>
      </c>
    </row>
    <row r="658" spans="1:6" ht="60" x14ac:dyDescent="0.25">
      <c r="A658" s="286" t="s">
        <v>1740</v>
      </c>
      <c r="B658" s="287" t="s">
        <v>441</v>
      </c>
      <c r="C658" s="164" t="s">
        <v>8</v>
      </c>
      <c r="D658" s="164">
        <v>1</v>
      </c>
      <c r="E658" s="165">
        <v>70.37</v>
      </c>
      <c r="F658" s="165">
        <v>70.37</v>
      </c>
    </row>
    <row r="659" spans="1:6" ht="60" x14ac:dyDescent="0.25">
      <c r="A659" s="286" t="s">
        <v>1741</v>
      </c>
      <c r="B659" s="287" t="s">
        <v>1742</v>
      </c>
      <c r="C659" s="164" t="s">
        <v>8</v>
      </c>
      <c r="D659" s="164">
        <v>1</v>
      </c>
      <c r="E659" s="165">
        <v>80.62</v>
      </c>
      <c r="F659" s="165">
        <v>80.62</v>
      </c>
    </row>
    <row r="660" spans="1:6" ht="60" x14ac:dyDescent="0.25">
      <c r="A660" s="286" t="s">
        <v>1743</v>
      </c>
      <c r="B660" s="287" t="s">
        <v>1744</v>
      </c>
      <c r="C660" s="164" t="s">
        <v>8</v>
      </c>
      <c r="D660" s="164">
        <v>1</v>
      </c>
      <c r="E660" s="165">
        <v>89.8</v>
      </c>
      <c r="F660" s="165">
        <v>89.8</v>
      </c>
    </row>
    <row r="661" spans="1:6" ht="60" x14ac:dyDescent="0.25">
      <c r="A661" s="286" t="s">
        <v>1745</v>
      </c>
      <c r="B661" s="287" t="s">
        <v>1746</v>
      </c>
      <c r="C661" s="164" t="s">
        <v>8</v>
      </c>
      <c r="D661" s="164">
        <v>1</v>
      </c>
      <c r="E661" s="165">
        <v>90.09</v>
      </c>
      <c r="F661" s="165">
        <v>90.09</v>
      </c>
    </row>
    <row r="662" spans="1:6" ht="60" x14ac:dyDescent="0.25">
      <c r="A662" s="286" t="s">
        <v>1747</v>
      </c>
      <c r="B662" s="287" t="s">
        <v>1748</v>
      </c>
      <c r="C662" s="164" t="s">
        <v>8</v>
      </c>
      <c r="D662" s="164">
        <v>1</v>
      </c>
      <c r="E662" s="165">
        <v>172.13</v>
      </c>
      <c r="F662" s="165">
        <v>172.13</v>
      </c>
    </row>
    <row r="663" spans="1:6" ht="60" x14ac:dyDescent="0.25">
      <c r="A663" s="286" t="s">
        <v>1749</v>
      </c>
      <c r="B663" s="287" t="s">
        <v>1750</v>
      </c>
      <c r="C663" s="164" t="s">
        <v>8</v>
      </c>
      <c r="D663" s="164">
        <v>1</v>
      </c>
      <c r="E663" s="165">
        <v>416.56</v>
      </c>
      <c r="F663" s="165">
        <v>416.56</v>
      </c>
    </row>
    <row r="664" spans="1:6" ht="30" x14ac:dyDescent="0.25">
      <c r="A664" s="286" t="s">
        <v>1751</v>
      </c>
      <c r="B664" s="287" t="s">
        <v>1752</v>
      </c>
      <c r="C664" s="164" t="s">
        <v>8</v>
      </c>
      <c r="D664" s="164">
        <v>1</v>
      </c>
      <c r="E664" s="289">
        <v>3634.54</v>
      </c>
      <c r="F664" s="289">
        <v>3634.54</v>
      </c>
    </row>
    <row r="665" spans="1:6" ht="60" x14ac:dyDescent="0.25">
      <c r="A665" s="286" t="s">
        <v>1753</v>
      </c>
      <c r="B665" s="287" t="s">
        <v>1754</v>
      </c>
      <c r="C665" s="164" t="s">
        <v>8</v>
      </c>
      <c r="D665" s="164">
        <v>1</v>
      </c>
      <c r="E665" s="165">
        <v>148.07</v>
      </c>
      <c r="F665" s="165">
        <v>148.07</v>
      </c>
    </row>
    <row r="666" spans="1:6" ht="60" x14ac:dyDescent="0.25">
      <c r="A666" s="286" t="s">
        <v>1755</v>
      </c>
      <c r="B666" s="287" t="s">
        <v>472</v>
      </c>
      <c r="C666" s="164" t="s">
        <v>8</v>
      </c>
      <c r="D666" s="164">
        <v>1</v>
      </c>
      <c r="E666" s="165">
        <v>23.84</v>
      </c>
      <c r="F666" s="165">
        <v>23.84</v>
      </c>
    </row>
    <row r="667" spans="1:6" ht="60" x14ac:dyDescent="0.25">
      <c r="A667" s="286" t="s">
        <v>1756</v>
      </c>
      <c r="B667" s="287" t="s">
        <v>1757</v>
      </c>
      <c r="C667" s="164" t="s">
        <v>8</v>
      </c>
      <c r="D667" s="164">
        <v>1</v>
      </c>
      <c r="E667" s="165">
        <v>27.15</v>
      </c>
      <c r="F667" s="165">
        <v>27.15</v>
      </c>
    </row>
    <row r="668" spans="1:6" ht="60" x14ac:dyDescent="0.25">
      <c r="A668" s="286" t="s">
        <v>1758</v>
      </c>
      <c r="B668" s="287" t="s">
        <v>1759</v>
      </c>
      <c r="C668" s="164" t="s">
        <v>8</v>
      </c>
      <c r="D668" s="164">
        <v>1</v>
      </c>
      <c r="E668" s="165">
        <v>27.15</v>
      </c>
      <c r="F668" s="165">
        <v>27.15</v>
      </c>
    </row>
    <row r="669" spans="1:6" ht="45" x14ac:dyDescent="0.25">
      <c r="A669" s="286" t="s">
        <v>1760</v>
      </c>
      <c r="B669" s="287" t="s">
        <v>1761</v>
      </c>
      <c r="C669" s="164" t="s">
        <v>8</v>
      </c>
      <c r="D669" s="164">
        <v>1</v>
      </c>
      <c r="E669" s="165">
        <v>40.98</v>
      </c>
      <c r="F669" s="165">
        <v>40.98</v>
      </c>
    </row>
    <row r="670" spans="1:6" ht="60" x14ac:dyDescent="0.25">
      <c r="A670" s="286" t="s">
        <v>1762</v>
      </c>
      <c r="B670" s="287" t="s">
        <v>1763</v>
      </c>
      <c r="C670" s="164" t="s">
        <v>8</v>
      </c>
      <c r="D670" s="164">
        <v>1</v>
      </c>
      <c r="E670" s="165">
        <v>58.12</v>
      </c>
      <c r="F670" s="165">
        <v>58.12</v>
      </c>
    </row>
    <row r="671" spans="1:6" ht="60" x14ac:dyDescent="0.25">
      <c r="A671" s="286" t="s">
        <v>1764</v>
      </c>
      <c r="B671" s="287" t="s">
        <v>440</v>
      </c>
      <c r="C671" s="164" t="s">
        <v>8</v>
      </c>
      <c r="D671" s="164">
        <v>1</v>
      </c>
      <c r="E671" s="165">
        <v>58.12</v>
      </c>
      <c r="F671" s="165">
        <v>58.12</v>
      </c>
    </row>
    <row r="672" spans="1:6" ht="60" x14ac:dyDescent="0.25">
      <c r="A672" s="286" t="s">
        <v>1765</v>
      </c>
      <c r="B672" s="287" t="s">
        <v>1766</v>
      </c>
      <c r="C672" s="164" t="s">
        <v>8</v>
      </c>
      <c r="D672" s="164">
        <v>1</v>
      </c>
      <c r="E672" s="165">
        <v>69.47</v>
      </c>
      <c r="F672" s="165">
        <v>69.47</v>
      </c>
    </row>
    <row r="673" spans="1:6" ht="60" x14ac:dyDescent="0.25">
      <c r="A673" s="286" t="s">
        <v>1767</v>
      </c>
      <c r="B673" s="287" t="s">
        <v>1768</v>
      </c>
      <c r="C673" s="164" t="s">
        <v>8</v>
      </c>
      <c r="D673" s="164">
        <v>1</v>
      </c>
      <c r="E673" s="165">
        <v>90.57</v>
      </c>
      <c r="F673" s="165">
        <v>90.57</v>
      </c>
    </row>
    <row r="674" spans="1:6" ht="60" x14ac:dyDescent="0.25">
      <c r="A674" s="286" t="s">
        <v>1769</v>
      </c>
      <c r="B674" s="287" t="s">
        <v>1770</v>
      </c>
      <c r="C674" s="164" t="s">
        <v>8</v>
      </c>
      <c r="D674" s="164">
        <v>1</v>
      </c>
      <c r="E674" s="165">
        <v>93.19</v>
      </c>
      <c r="F674" s="165">
        <v>93.19</v>
      </c>
    </row>
    <row r="675" spans="1:6" ht="45" x14ac:dyDescent="0.25">
      <c r="A675" s="286" t="s">
        <v>1771</v>
      </c>
      <c r="B675" s="287" t="s">
        <v>1772</v>
      </c>
      <c r="C675" s="164" t="s">
        <v>8</v>
      </c>
      <c r="D675" s="164">
        <v>1</v>
      </c>
      <c r="E675" s="165">
        <v>149.37</v>
      </c>
      <c r="F675" s="165">
        <v>149.37</v>
      </c>
    </row>
    <row r="676" spans="1:6" ht="60" x14ac:dyDescent="0.25">
      <c r="A676" s="286" t="s">
        <v>1773</v>
      </c>
      <c r="B676" s="287" t="s">
        <v>1774</v>
      </c>
      <c r="C676" s="164" t="s">
        <v>8</v>
      </c>
      <c r="D676" s="164">
        <v>1</v>
      </c>
      <c r="E676" s="165">
        <v>80.62</v>
      </c>
      <c r="F676" s="165">
        <v>80.62</v>
      </c>
    </row>
    <row r="677" spans="1:6" ht="60" x14ac:dyDescent="0.25">
      <c r="A677" s="286" t="s">
        <v>1775</v>
      </c>
      <c r="B677" s="287" t="s">
        <v>1776</v>
      </c>
      <c r="C677" s="164" t="s">
        <v>8</v>
      </c>
      <c r="D677" s="164">
        <v>1</v>
      </c>
      <c r="E677" s="165">
        <v>80.62</v>
      </c>
      <c r="F677" s="165">
        <v>80.62</v>
      </c>
    </row>
    <row r="678" spans="1:6" ht="60" x14ac:dyDescent="0.25">
      <c r="A678" s="286" t="s">
        <v>1777</v>
      </c>
      <c r="B678" s="287" t="s">
        <v>1778</v>
      </c>
      <c r="C678" s="164" t="s">
        <v>8</v>
      </c>
      <c r="D678" s="164">
        <v>1</v>
      </c>
      <c r="E678" s="165">
        <v>80.62</v>
      </c>
      <c r="F678" s="165">
        <v>80.62</v>
      </c>
    </row>
    <row r="679" spans="1:6" ht="60" x14ac:dyDescent="0.25">
      <c r="A679" s="286" t="s">
        <v>1779</v>
      </c>
      <c r="B679" s="287" t="s">
        <v>1780</v>
      </c>
      <c r="C679" s="164" t="s">
        <v>8</v>
      </c>
      <c r="D679" s="164">
        <v>1</v>
      </c>
      <c r="E679" s="165">
        <v>147.38999999999999</v>
      </c>
      <c r="F679" s="165">
        <v>147.38999999999999</v>
      </c>
    </row>
    <row r="680" spans="1:6" ht="45" x14ac:dyDescent="0.25">
      <c r="A680" s="286" t="s">
        <v>1781</v>
      </c>
      <c r="B680" s="287" t="s">
        <v>1782</v>
      </c>
      <c r="C680" s="164" t="s">
        <v>8</v>
      </c>
      <c r="D680" s="164">
        <v>1</v>
      </c>
      <c r="E680" s="165">
        <v>172.13</v>
      </c>
      <c r="F680" s="165">
        <v>172.13</v>
      </c>
    </row>
    <row r="681" spans="1:6" ht="30" x14ac:dyDescent="0.25">
      <c r="A681" s="286" t="s">
        <v>1783</v>
      </c>
      <c r="B681" s="287" t="s">
        <v>1784</v>
      </c>
      <c r="C681" s="164" t="s">
        <v>8</v>
      </c>
      <c r="D681" s="164">
        <v>1</v>
      </c>
      <c r="E681" s="165">
        <v>431.8</v>
      </c>
      <c r="F681" s="165">
        <v>431.8</v>
      </c>
    </row>
    <row r="682" spans="1:6" ht="60" x14ac:dyDescent="0.25">
      <c r="A682" s="286" t="s">
        <v>1785</v>
      </c>
      <c r="B682" s="287" t="s">
        <v>1786</v>
      </c>
      <c r="C682" s="164" t="s">
        <v>8</v>
      </c>
      <c r="D682" s="164">
        <v>1</v>
      </c>
      <c r="E682" s="165">
        <v>493.4</v>
      </c>
      <c r="F682" s="165">
        <v>493.4</v>
      </c>
    </row>
    <row r="683" spans="1:6" ht="75" x14ac:dyDescent="0.25">
      <c r="A683" s="286" t="s">
        <v>1787</v>
      </c>
      <c r="B683" s="287" t="s">
        <v>1788</v>
      </c>
      <c r="C683" s="164" t="s">
        <v>8</v>
      </c>
      <c r="D683" s="164">
        <v>1</v>
      </c>
      <c r="E683" s="289">
        <v>1064.6600000000001</v>
      </c>
      <c r="F683" s="289">
        <v>1064.6600000000001</v>
      </c>
    </row>
    <row r="684" spans="1:6" ht="75" x14ac:dyDescent="0.25">
      <c r="A684" s="286" t="s">
        <v>1789</v>
      </c>
      <c r="B684" s="287" t="s">
        <v>1790</v>
      </c>
      <c r="C684" s="164" t="s">
        <v>8</v>
      </c>
      <c r="D684" s="164">
        <v>1</v>
      </c>
      <c r="E684" s="289">
        <v>1337.63</v>
      </c>
      <c r="F684" s="289">
        <v>1337.63</v>
      </c>
    </row>
    <row r="685" spans="1:6" ht="30" x14ac:dyDescent="0.25">
      <c r="A685" s="286" t="s">
        <v>1791</v>
      </c>
      <c r="B685" s="287" t="s">
        <v>1792</v>
      </c>
      <c r="C685" s="164" t="s">
        <v>8</v>
      </c>
      <c r="D685" s="164">
        <v>1</v>
      </c>
      <c r="E685" s="165">
        <v>143.83000000000001</v>
      </c>
      <c r="F685" s="165">
        <v>143.83000000000001</v>
      </c>
    </row>
    <row r="686" spans="1:6" ht="60" x14ac:dyDescent="0.25">
      <c r="A686" s="286" t="s">
        <v>1793</v>
      </c>
      <c r="B686" s="287" t="s">
        <v>1794</v>
      </c>
      <c r="C686" s="164" t="s">
        <v>8</v>
      </c>
      <c r="D686" s="164">
        <v>1</v>
      </c>
      <c r="E686" s="165">
        <v>185.11</v>
      </c>
      <c r="F686" s="165">
        <v>185.11</v>
      </c>
    </row>
    <row r="687" spans="1:6" ht="60" x14ac:dyDescent="0.25">
      <c r="A687" s="286" t="s">
        <v>1795</v>
      </c>
      <c r="B687" s="287" t="s">
        <v>442</v>
      </c>
      <c r="C687" s="164" t="s">
        <v>8</v>
      </c>
      <c r="D687" s="164">
        <v>1</v>
      </c>
      <c r="E687" s="165">
        <v>21.2</v>
      </c>
      <c r="F687" s="165">
        <v>21.2</v>
      </c>
    </row>
    <row r="688" spans="1:6" ht="45" x14ac:dyDescent="0.25">
      <c r="A688" s="286" t="s">
        <v>1796</v>
      </c>
      <c r="B688" s="287" t="s">
        <v>1797</v>
      </c>
      <c r="C688" s="164" t="s">
        <v>8</v>
      </c>
      <c r="D688" s="164">
        <v>1</v>
      </c>
      <c r="E688" s="165">
        <v>467.05</v>
      </c>
      <c r="F688" s="165">
        <v>467.05</v>
      </c>
    </row>
    <row r="689" spans="1:6" x14ac:dyDescent="0.25">
      <c r="A689" s="286" t="s">
        <v>1798</v>
      </c>
      <c r="B689" s="287" t="s">
        <v>1799</v>
      </c>
      <c r="C689" s="164" t="s">
        <v>8</v>
      </c>
      <c r="D689" s="164">
        <v>1</v>
      </c>
      <c r="E689" s="289">
        <v>2331.6</v>
      </c>
      <c r="F689" s="289">
        <v>2331.6</v>
      </c>
    </row>
    <row r="690" spans="1:6" x14ac:dyDescent="0.25">
      <c r="A690" s="286" t="s">
        <v>1800</v>
      </c>
      <c r="B690" s="287" t="s">
        <v>1801</v>
      </c>
      <c r="C690" s="164" t="s">
        <v>8</v>
      </c>
      <c r="D690" s="164">
        <v>1</v>
      </c>
      <c r="E690" s="289">
        <v>3492</v>
      </c>
      <c r="F690" s="289">
        <v>3492</v>
      </c>
    </row>
    <row r="691" spans="1:6" x14ac:dyDescent="0.25">
      <c r="A691" s="286" t="s">
        <v>1802</v>
      </c>
      <c r="B691" s="287" t="s">
        <v>1803</v>
      </c>
      <c r="C691" s="164" t="s">
        <v>8</v>
      </c>
      <c r="D691" s="164">
        <v>1</v>
      </c>
      <c r="E691" s="289">
        <v>4633.5600000000004</v>
      </c>
      <c r="F691" s="289">
        <v>4633.5600000000004</v>
      </c>
    </row>
    <row r="692" spans="1:6" x14ac:dyDescent="0.25">
      <c r="A692" s="286" t="s">
        <v>1804</v>
      </c>
      <c r="B692" s="287" t="s">
        <v>1805</v>
      </c>
      <c r="C692" s="164" t="s">
        <v>8</v>
      </c>
      <c r="D692" s="164">
        <v>1</v>
      </c>
      <c r="E692" s="289">
        <v>8822.15</v>
      </c>
      <c r="F692" s="289">
        <v>8822.15</v>
      </c>
    </row>
    <row r="693" spans="1:6" x14ac:dyDescent="0.25">
      <c r="A693" s="286" t="s">
        <v>1806</v>
      </c>
      <c r="B693" s="287" t="s">
        <v>1807</v>
      </c>
      <c r="C693" s="164" t="s">
        <v>8</v>
      </c>
      <c r="D693" s="164">
        <v>1</v>
      </c>
      <c r="E693" s="165">
        <v>51.24</v>
      </c>
      <c r="F693" s="165">
        <v>51.24</v>
      </c>
    </row>
    <row r="694" spans="1:6" x14ac:dyDescent="0.25">
      <c r="A694" s="286" t="s">
        <v>1808</v>
      </c>
      <c r="B694" s="287" t="s">
        <v>1809</v>
      </c>
      <c r="C694" s="164" t="s">
        <v>8</v>
      </c>
      <c r="D694" s="164">
        <v>1</v>
      </c>
      <c r="E694" s="165">
        <v>51.24</v>
      </c>
      <c r="F694" s="165">
        <v>51.24</v>
      </c>
    </row>
    <row r="695" spans="1:6" x14ac:dyDescent="0.25">
      <c r="A695" s="286" t="s">
        <v>1810</v>
      </c>
      <c r="B695" s="287" t="s">
        <v>1811</v>
      </c>
      <c r="C695" s="164" t="s">
        <v>8</v>
      </c>
      <c r="D695" s="164">
        <v>1</v>
      </c>
      <c r="E695" s="165">
        <v>109.63</v>
      </c>
      <c r="F695" s="165">
        <v>109.63</v>
      </c>
    </row>
    <row r="696" spans="1:6" x14ac:dyDescent="0.25">
      <c r="A696" s="286" t="s">
        <v>1812</v>
      </c>
      <c r="B696" s="287" t="s">
        <v>1813</v>
      </c>
      <c r="C696" s="164" t="s">
        <v>8</v>
      </c>
      <c r="D696" s="164">
        <v>1</v>
      </c>
      <c r="E696" s="165">
        <v>109.63</v>
      </c>
      <c r="F696" s="165">
        <v>109.63</v>
      </c>
    </row>
    <row r="697" spans="1:6" x14ac:dyDescent="0.25">
      <c r="A697" s="286" t="s">
        <v>1814</v>
      </c>
      <c r="B697" s="287" t="s">
        <v>1815</v>
      </c>
      <c r="C697" s="164" t="s">
        <v>8</v>
      </c>
      <c r="D697" s="164">
        <v>1</v>
      </c>
      <c r="E697" s="165">
        <v>109.63</v>
      </c>
      <c r="F697" s="165">
        <v>109.63</v>
      </c>
    </row>
    <row r="698" spans="1:6" x14ac:dyDescent="0.25">
      <c r="A698" s="286" t="s">
        <v>1816</v>
      </c>
      <c r="B698" s="287" t="s">
        <v>1817</v>
      </c>
      <c r="C698" s="164" t="s">
        <v>8</v>
      </c>
      <c r="D698" s="164">
        <v>1</v>
      </c>
      <c r="E698" s="165">
        <v>51.24</v>
      </c>
      <c r="F698" s="165">
        <v>51.24</v>
      </c>
    </row>
    <row r="699" spans="1:6" ht="30" x14ac:dyDescent="0.25">
      <c r="A699" s="286" t="s">
        <v>1818</v>
      </c>
      <c r="B699" s="287" t="s">
        <v>1819</v>
      </c>
      <c r="C699" s="164" t="s">
        <v>8</v>
      </c>
      <c r="D699" s="164">
        <v>1</v>
      </c>
      <c r="E699" s="165">
        <v>131.13999999999999</v>
      </c>
      <c r="F699" s="165">
        <v>131.13999999999999</v>
      </c>
    </row>
    <row r="700" spans="1:6" ht="30" x14ac:dyDescent="0.25">
      <c r="A700" s="286" t="s">
        <v>1820</v>
      </c>
      <c r="B700" s="287" t="s">
        <v>1821</v>
      </c>
      <c r="C700" s="164" t="s">
        <v>8</v>
      </c>
      <c r="D700" s="164">
        <v>1</v>
      </c>
      <c r="E700" s="165">
        <v>143.83000000000001</v>
      </c>
      <c r="F700" s="165">
        <v>143.83000000000001</v>
      </c>
    </row>
    <row r="701" spans="1:6" x14ac:dyDescent="0.25">
      <c r="A701" s="288" t="s">
        <v>1822</v>
      </c>
      <c r="B701" s="285" t="s">
        <v>56</v>
      </c>
      <c r="C701" s="164"/>
      <c r="D701" s="164"/>
      <c r="E701" s="165"/>
      <c r="F701" s="165"/>
    </row>
    <row r="702" spans="1:6" ht="45" x14ac:dyDescent="0.25">
      <c r="A702" s="286" t="s">
        <v>1823</v>
      </c>
      <c r="B702" s="287" t="s">
        <v>358</v>
      </c>
      <c r="C702" s="164" t="s">
        <v>7</v>
      </c>
      <c r="D702" s="164">
        <v>1</v>
      </c>
      <c r="E702" s="165">
        <v>5.34</v>
      </c>
      <c r="F702" s="165">
        <v>5.34</v>
      </c>
    </row>
    <row r="703" spans="1:6" ht="45" x14ac:dyDescent="0.25">
      <c r="A703" s="286" t="s">
        <v>1824</v>
      </c>
      <c r="B703" s="287" t="s">
        <v>57</v>
      </c>
      <c r="C703" s="164" t="s">
        <v>7</v>
      </c>
      <c r="D703" s="164">
        <v>1</v>
      </c>
      <c r="E703" s="165">
        <v>6.65</v>
      </c>
      <c r="F703" s="165">
        <v>6.65</v>
      </c>
    </row>
    <row r="704" spans="1:6" ht="45" x14ac:dyDescent="0.25">
      <c r="A704" s="286" t="s">
        <v>1825</v>
      </c>
      <c r="B704" s="287" t="s">
        <v>343</v>
      </c>
      <c r="C704" s="164" t="s">
        <v>7</v>
      </c>
      <c r="D704" s="164">
        <v>1</v>
      </c>
      <c r="E704" s="165">
        <v>9.17</v>
      </c>
      <c r="F704" s="165">
        <v>9.17</v>
      </c>
    </row>
    <row r="705" spans="1:6" ht="45" x14ac:dyDescent="0.25">
      <c r="A705" s="286" t="s">
        <v>1826</v>
      </c>
      <c r="B705" s="287" t="s">
        <v>1827</v>
      </c>
      <c r="C705" s="164" t="s">
        <v>7</v>
      </c>
      <c r="D705" s="164">
        <v>1</v>
      </c>
      <c r="E705" s="165">
        <v>11.89</v>
      </c>
      <c r="F705" s="165">
        <v>11.89</v>
      </c>
    </row>
    <row r="706" spans="1:6" ht="45" x14ac:dyDescent="0.25">
      <c r="A706" s="286" t="s">
        <v>1828</v>
      </c>
      <c r="B706" s="287" t="s">
        <v>1829</v>
      </c>
      <c r="C706" s="164" t="s">
        <v>7</v>
      </c>
      <c r="D706" s="164">
        <v>1</v>
      </c>
      <c r="E706" s="165">
        <v>16.7</v>
      </c>
      <c r="F706" s="165">
        <v>16.7</v>
      </c>
    </row>
    <row r="707" spans="1:6" ht="45" x14ac:dyDescent="0.25">
      <c r="A707" s="286" t="s">
        <v>1830</v>
      </c>
      <c r="B707" s="287" t="s">
        <v>1831</v>
      </c>
      <c r="C707" s="164" t="s">
        <v>7</v>
      </c>
      <c r="D707" s="164">
        <v>1</v>
      </c>
      <c r="E707" s="165">
        <v>25.61</v>
      </c>
      <c r="F707" s="165">
        <v>25.61</v>
      </c>
    </row>
    <row r="708" spans="1:6" ht="45" x14ac:dyDescent="0.25">
      <c r="A708" s="286" t="s">
        <v>1832</v>
      </c>
      <c r="B708" s="287" t="s">
        <v>1833</v>
      </c>
      <c r="C708" s="164" t="s">
        <v>7</v>
      </c>
      <c r="D708" s="164">
        <v>1</v>
      </c>
      <c r="E708" s="165">
        <v>35.67</v>
      </c>
      <c r="F708" s="165">
        <v>35.67</v>
      </c>
    </row>
    <row r="709" spans="1:6" x14ac:dyDescent="0.25">
      <c r="A709" s="286" t="s">
        <v>1834</v>
      </c>
      <c r="B709" s="287" t="s">
        <v>331</v>
      </c>
      <c r="C709" s="164" t="s">
        <v>7</v>
      </c>
      <c r="D709" s="164">
        <v>1</v>
      </c>
      <c r="E709" s="165">
        <v>41.66</v>
      </c>
      <c r="F709" s="165">
        <v>41.66</v>
      </c>
    </row>
    <row r="710" spans="1:6" x14ac:dyDescent="0.25">
      <c r="A710" s="286" t="s">
        <v>1835</v>
      </c>
      <c r="B710" s="287" t="s">
        <v>1836</v>
      </c>
      <c r="C710" s="164" t="s">
        <v>7</v>
      </c>
      <c r="D710" s="164">
        <v>1</v>
      </c>
      <c r="E710" s="165">
        <v>18.87</v>
      </c>
      <c r="F710" s="165">
        <v>18.87</v>
      </c>
    </row>
    <row r="711" spans="1:6" ht="45" x14ac:dyDescent="0.25">
      <c r="A711" s="286" t="s">
        <v>1837</v>
      </c>
      <c r="B711" s="287" t="s">
        <v>359</v>
      </c>
      <c r="C711" s="164" t="s">
        <v>7</v>
      </c>
      <c r="D711" s="164">
        <v>1</v>
      </c>
      <c r="E711" s="165">
        <v>7.58</v>
      </c>
      <c r="F711" s="165">
        <v>7.58</v>
      </c>
    </row>
    <row r="712" spans="1:6" ht="45" x14ac:dyDescent="0.25">
      <c r="A712" s="286" t="s">
        <v>1838</v>
      </c>
      <c r="B712" s="287" t="s">
        <v>1839</v>
      </c>
      <c r="C712" s="164" t="s">
        <v>7</v>
      </c>
      <c r="D712" s="164">
        <v>1</v>
      </c>
      <c r="E712" s="165">
        <v>9.9600000000000009</v>
      </c>
      <c r="F712" s="165">
        <v>9.9600000000000009</v>
      </c>
    </row>
    <row r="713" spans="1:6" ht="45" x14ac:dyDescent="0.25">
      <c r="A713" s="286" t="s">
        <v>1840</v>
      </c>
      <c r="B713" s="287" t="s">
        <v>1841</v>
      </c>
      <c r="C713" s="164" t="s">
        <v>7</v>
      </c>
      <c r="D713" s="164">
        <v>1</v>
      </c>
      <c r="E713" s="165">
        <v>12.45</v>
      </c>
      <c r="F713" s="165">
        <v>12.45</v>
      </c>
    </row>
    <row r="714" spans="1:6" ht="45" x14ac:dyDescent="0.25">
      <c r="A714" s="286" t="s">
        <v>1842</v>
      </c>
      <c r="B714" s="287" t="s">
        <v>443</v>
      </c>
      <c r="C714" s="164" t="s">
        <v>7</v>
      </c>
      <c r="D714" s="164">
        <v>1</v>
      </c>
      <c r="E714" s="165">
        <v>17.63</v>
      </c>
      <c r="F714" s="165">
        <v>17.63</v>
      </c>
    </row>
    <row r="715" spans="1:6" ht="45" x14ac:dyDescent="0.25">
      <c r="A715" s="286" t="s">
        <v>1843</v>
      </c>
      <c r="B715" s="287" t="s">
        <v>446</v>
      </c>
      <c r="C715" s="164" t="s">
        <v>7</v>
      </c>
      <c r="D715" s="164">
        <v>1</v>
      </c>
      <c r="E715" s="165">
        <v>25.37</v>
      </c>
      <c r="F715" s="165">
        <v>25.37</v>
      </c>
    </row>
    <row r="716" spans="1:6" ht="45" x14ac:dyDescent="0.25">
      <c r="A716" s="286" t="s">
        <v>1844</v>
      </c>
      <c r="B716" s="287" t="s">
        <v>1845</v>
      </c>
      <c r="C716" s="164" t="s">
        <v>7</v>
      </c>
      <c r="D716" s="164">
        <v>1</v>
      </c>
      <c r="E716" s="165">
        <v>35.79</v>
      </c>
      <c r="F716" s="165">
        <v>35.79</v>
      </c>
    </row>
    <row r="717" spans="1:6" ht="45" x14ac:dyDescent="0.25">
      <c r="A717" s="286" t="s">
        <v>1846</v>
      </c>
      <c r="B717" s="287" t="s">
        <v>1847</v>
      </c>
      <c r="C717" s="164" t="s">
        <v>7</v>
      </c>
      <c r="D717" s="164">
        <v>1</v>
      </c>
      <c r="E717" s="165">
        <v>51.7</v>
      </c>
      <c r="F717" s="165">
        <v>51.7</v>
      </c>
    </row>
    <row r="718" spans="1:6" ht="45" x14ac:dyDescent="0.25">
      <c r="A718" s="286" t="s">
        <v>1848</v>
      </c>
      <c r="B718" s="287" t="s">
        <v>1849</v>
      </c>
      <c r="C718" s="164" t="s">
        <v>7</v>
      </c>
      <c r="D718" s="164">
        <v>1</v>
      </c>
      <c r="E718" s="165">
        <v>72.099999999999994</v>
      </c>
      <c r="F718" s="165">
        <v>72.099999999999994</v>
      </c>
    </row>
    <row r="719" spans="1:6" ht="45" x14ac:dyDescent="0.25">
      <c r="A719" s="286" t="s">
        <v>1850</v>
      </c>
      <c r="B719" s="287" t="s">
        <v>1851</v>
      </c>
      <c r="C719" s="164" t="s">
        <v>7</v>
      </c>
      <c r="D719" s="164">
        <v>1</v>
      </c>
      <c r="E719" s="165">
        <v>130.54</v>
      </c>
      <c r="F719" s="165">
        <v>130.54</v>
      </c>
    </row>
    <row r="720" spans="1:6" ht="45" x14ac:dyDescent="0.25">
      <c r="A720" s="286" t="s">
        <v>1852</v>
      </c>
      <c r="B720" s="287" t="s">
        <v>1853</v>
      </c>
      <c r="C720" s="164" t="s">
        <v>7</v>
      </c>
      <c r="D720" s="164">
        <v>1</v>
      </c>
      <c r="E720" s="165">
        <v>165.05</v>
      </c>
      <c r="F720" s="165">
        <v>165.05</v>
      </c>
    </row>
    <row r="721" spans="1:6" ht="45" x14ac:dyDescent="0.25">
      <c r="A721" s="286" t="s">
        <v>1854</v>
      </c>
      <c r="B721" s="287" t="s">
        <v>1855</v>
      </c>
      <c r="C721" s="164" t="s">
        <v>7</v>
      </c>
      <c r="D721" s="164">
        <v>1</v>
      </c>
      <c r="E721" s="165">
        <v>427.96</v>
      </c>
      <c r="F721" s="165">
        <v>427.96</v>
      </c>
    </row>
    <row r="722" spans="1:6" ht="45" x14ac:dyDescent="0.25">
      <c r="A722" s="286" t="s">
        <v>1856</v>
      </c>
      <c r="B722" s="287" t="s">
        <v>1857</v>
      </c>
      <c r="C722" s="164" t="s">
        <v>7</v>
      </c>
      <c r="D722" s="164">
        <v>1</v>
      </c>
      <c r="E722" s="165">
        <v>99.23</v>
      </c>
      <c r="F722" s="165">
        <v>99.23</v>
      </c>
    </row>
    <row r="723" spans="1:6" ht="45" x14ac:dyDescent="0.25">
      <c r="A723" s="286" t="s">
        <v>1858</v>
      </c>
      <c r="B723" s="287" t="s">
        <v>1859</v>
      </c>
      <c r="C723" s="164" t="s">
        <v>7</v>
      </c>
      <c r="D723" s="164">
        <v>1</v>
      </c>
      <c r="E723" s="165">
        <v>204.4</v>
      </c>
      <c r="F723" s="165">
        <v>204.4</v>
      </c>
    </row>
    <row r="724" spans="1:6" ht="45" x14ac:dyDescent="0.25">
      <c r="A724" s="286" t="s">
        <v>1860</v>
      </c>
      <c r="B724" s="287" t="s">
        <v>1861</v>
      </c>
      <c r="C724" s="164" t="s">
        <v>7</v>
      </c>
      <c r="D724" s="164">
        <v>1</v>
      </c>
      <c r="E724" s="165">
        <v>252.17</v>
      </c>
      <c r="F724" s="165">
        <v>252.17</v>
      </c>
    </row>
    <row r="725" spans="1:6" ht="45" x14ac:dyDescent="0.25">
      <c r="A725" s="286" t="s">
        <v>1862</v>
      </c>
      <c r="B725" s="287" t="s">
        <v>1863</v>
      </c>
      <c r="C725" s="164" t="s">
        <v>7</v>
      </c>
      <c r="D725" s="164">
        <v>1</v>
      </c>
      <c r="E725" s="165">
        <v>329.78</v>
      </c>
      <c r="F725" s="165">
        <v>329.78</v>
      </c>
    </row>
    <row r="726" spans="1:6" ht="45" x14ac:dyDescent="0.25">
      <c r="A726" s="286" t="s">
        <v>1864</v>
      </c>
      <c r="B726" s="287" t="s">
        <v>1865</v>
      </c>
      <c r="C726" s="164" t="s">
        <v>7</v>
      </c>
      <c r="D726" s="164">
        <v>1</v>
      </c>
      <c r="E726" s="165">
        <v>87.6</v>
      </c>
      <c r="F726" s="165">
        <v>87.6</v>
      </c>
    </row>
    <row r="727" spans="1:6" ht="45" x14ac:dyDescent="0.25">
      <c r="A727" s="286" t="s">
        <v>1866</v>
      </c>
      <c r="B727" s="287" t="s">
        <v>1867</v>
      </c>
      <c r="C727" s="164" t="s">
        <v>7</v>
      </c>
      <c r="D727" s="164">
        <v>1</v>
      </c>
      <c r="E727" s="165">
        <v>102.53</v>
      </c>
      <c r="F727" s="165">
        <v>102.53</v>
      </c>
    </row>
    <row r="728" spans="1:6" ht="45" x14ac:dyDescent="0.25">
      <c r="A728" s="286" t="s">
        <v>1868</v>
      </c>
      <c r="B728" s="287" t="s">
        <v>1869</v>
      </c>
      <c r="C728" s="164" t="s">
        <v>7</v>
      </c>
      <c r="D728" s="164">
        <v>1</v>
      </c>
      <c r="E728" s="165">
        <v>28.93</v>
      </c>
      <c r="F728" s="165">
        <v>28.93</v>
      </c>
    </row>
    <row r="729" spans="1:6" ht="45" x14ac:dyDescent="0.25">
      <c r="A729" s="286" t="s">
        <v>1870</v>
      </c>
      <c r="B729" s="287" t="s">
        <v>1871</v>
      </c>
      <c r="C729" s="164" t="s">
        <v>7</v>
      </c>
      <c r="D729" s="164">
        <v>1</v>
      </c>
      <c r="E729" s="165">
        <v>15.24</v>
      </c>
      <c r="F729" s="165">
        <v>15.24</v>
      </c>
    </row>
    <row r="730" spans="1:6" ht="45" x14ac:dyDescent="0.25">
      <c r="A730" s="286" t="s">
        <v>1872</v>
      </c>
      <c r="B730" s="287" t="s">
        <v>1873</v>
      </c>
      <c r="C730" s="164" t="s">
        <v>7</v>
      </c>
      <c r="D730" s="164">
        <v>1</v>
      </c>
      <c r="E730" s="165">
        <v>21.42</v>
      </c>
      <c r="F730" s="165">
        <v>21.42</v>
      </c>
    </row>
    <row r="731" spans="1:6" x14ac:dyDescent="0.25">
      <c r="A731" s="288" t="s">
        <v>1874</v>
      </c>
      <c r="B731" s="285" t="s">
        <v>1875</v>
      </c>
      <c r="C731" s="164"/>
      <c r="D731" s="164"/>
      <c r="E731" s="165"/>
      <c r="F731" s="165"/>
    </row>
    <row r="732" spans="1:6" x14ac:dyDescent="0.25">
      <c r="A732" s="286" t="s">
        <v>1876</v>
      </c>
      <c r="B732" s="287" t="s">
        <v>1877</v>
      </c>
      <c r="C732" s="164" t="s">
        <v>8</v>
      </c>
      <c r="D732" s="164">
        <v>1</v>
      </c>
      <c r="E732" s="165">
        <v>16.3</v>
      </c>
      <c r="F732" s="165">
        <v>16.3</v>
      </c>
    </row>
    <row r="733" spans="1:6" x14ac:dyDescent="0.25">
      <c r="A733" s="286" t="s">
        <v>1878</v>
      </c>
      <c r="B733" s="287" t="s">
        <v>1879</v>
      </c>
      <c r="C733" s="164" t="s">
        <v>8</v>
      </c>
      <c r="D733" s="164">
        <v>1</v>
      </c>
      <c r="E733" s="165">
        <v>18.09</v>
      </c>
      <c r="F733" s="165">
        <v>18.09</v>
      </c>
    </row>
    <row r="734" spans="1:6" ht="30" x14ac:dyDescent="0.25">
      <c r="A734" s="286" t="s">
        <v>1880</v>
      </c>
      <c r="B734" s="287" t="s">
        <v>58</v>
      </c>
      <c r="C734" s="164" t="s">
        <v>8</v>
      </c>
      <c r="D734" s="164">
        <v>1</v>
      </c>
      <c r="E734" s="165">
        <v>232.79</v>
      </c>
      <c r="F734" s="165">
        <v>232.79</v>
      </c>
    </row>
    <row r="735" spans="1:6" x14ac:dyDescent="0.25">
      <c r="A735" s="286" t="s">
        <v>1881</v>
      </c>
      <c r="B735" s="287" t="s">
        <v>1882</v>
      </c>
      <c r="C735" s="164" t="s">
        <v>8</v>
      </c>
      <c r="D735" s="164">
        <v>1</v>
      </c>
      <c r="E735" s="165">
        <v>10.98</v>
      </c>
      <c r="F735" s="165">
        <v>10.98</v>
      </c>
    </row>
    <row r="736" spans="1:6" ht="30" x14ac:dyDescent="0.25">
      <c r="A736" s="286" t="s">
        <v>1883</v>
      </c>
      <c r="B736" s="287" t="s">
        <v>1884</v>
      </c>
      <c r="C736" s="164" t="s">
        <v>8</v>
      </c>
      <c r="D736" s="164">
        <v>1</v>
      </c>
      <c r="E736" s="165">
        <v>2.1</v>
      </c>
      <c r="F736" s="165">
        <v>2.1</v>
      </c>
    </row>
    <row r="737" spans="1:6" ht="30" x14ac:dyDescent="0.25">
      <c r="A737" s="286" t="s">
        <v>1885</v>
      </c>
      <c r="B737" s="287" t="s">
        <v>1886</v>
      </c>
      <c r="C737" s="164" t="s">
        <v>8</v>
      </c>
      <c r="D737" s="164">
        <v>1</v>
      </c>
      <c r="E737" s="165">
        <v>3.22</v>
      </c>
      <c r="F737" s="165">
        <v>3.22</v>
      </c>
    </row>
    <row r="738" spans="1:6" ht="30" x14ac:dyDescent="0.25">
      <c r="A738" s="286" t="s">
        <v>1887</v>
      </c>
      <c r="B738" s="287" t="s">
        <v>1888</v>
      </c>
      <c r="C738" s="164" t="s">
        <v>8</v>
      </c>
      <c r="D738" s="164">
        <v>1</v>
      </c>
      <c r="E738" s="165">
        <v>6.54</v>
      </c>
      <c r="F738" s="165">
        <v>6.54</v>
      </c>
    </row>
    <row r="739" spans="1:6" ht="30" x14ac:dyDescent="0.25">
      <c r="A739" s="286" t="s">
        <v>1889</v>
      </c>
      <c r="B739" s="287" t="s">
        <v>1890</v>
      </c>
      <c r="C739" s="164" t="s">
        <v>8</v>
      </c>
      <c r="D739" s="164">
        <v>1</v>
      </c>
      <c r="E739" s="165">
        <v>22.1</v>
      </c>
      <c r="F739" s="165">
        <v>22.1</v>
      </c>
    </row>
    <row r="740" spans="1:6" x14ac:dyDescent="0.25">
      <c r="A740" s="286" t="s">
        <v>1891</v>
      </c>
      <c r="B740" s="287" t="s">
        <v>1892</v>
      </c>
      <c r="C740" s="164" t="s">
        <v>8</v>
      </c>
      <c r="D740" s="164">
        <v>1</v>
      </c>
      <c r="E740" s="165">
        <v>95.03</v>
      </c>
      <c r="F740" s="165">
        <v>95.03</v>
      </c>
    </row>
    <row r="741" spans="1:6" ht="30" x14ac:dyDescent="0.25">
      <c r="A741" s="286" t="s">
        <v>1893</v>
      </c>
      <c r="B741" s="287" t="s">
        <v>1894</v>
      </c>
      <c r="C741" s="164" t="s">
        <v>8</v>
      </c>
      <c r="D741" s="164">
        <v>1</v>
      </c>
      <c r="E741" s="165">
        <v>13.11</v>
      </c>
      <c r="F741" s="165">
        <v>13.11</v>
      </c>
    </row>
    <row r="742" spans="1:6" ht="45" x14ac:dyDescent="0.25">
      <c r="A742" s="288" t="s">
        <v>1895</v>
      </c>
      <c r="B742" s="285" t="s">
        <v>1499</v>
      </c>
      <c r="C742" s="164"/>
      <c r="D742" s="164"/>
      <c r="E742" s="165"/>
      <c r="F742" s="165"/>
    </row>
    <row r="743" spans="1:6" ht="45" x14ac:dyDescent="0.25">
      <c r="A743" s="286" t="s">
        <v>1896</v>
      </c>
      <c r="B743" s="287" t="s">
        <v>1897</v>
      </c>
      <c r="C743" s="164" t="s">
        <v>7</v>
      </c>
      <c r="D743" s="164">
        <v>1</v>
      </c>
      <c r="E743" s="165">
        <v>10.28</v>
      </c>
      <c r="F743" s="165">
        <v>10.28</v>
      </c>
    </row>
    <row r="744" spans="1:6" ht="45" x14ac:dyDescent="0.25">
      <c r="A744" s="286" t="s">
        <v>1898</v>
      </c>
      <c r="B744" s="287" t="s">
        <v>1899</v>
      </c>
      <c r="C744" s="164" t="s">
        <v>7</v>
      </c>
      <c r="D744" s="164">
        <v>1</v>
      </c>
      <c r="E744" s="165">
        <v>15.38</v>
      </c>
      <c r="F744" s="165">
        <v>15.38</v>
      </c>
    </row>
    <row r="745" spans="1:6" ht="45" x14ac:dyDescent="0.25">
      <c r="A745" s="286" t="s">
        <v>1900</v>
      </c>
      <c r="B745" s="287" t="s">
        <v>1901</v>
      </c>
      <c r="C745" s="164" t="s">
        <v>7</v>
      </c>
      <c r="D745" s="164">
        <v>1</v>
      </c>
      <c r="E745" s="165">
        <v>23.15</v>
      </c>
      <c r="F745" s="165">
        <v>23.15</v>
      </c>
    </row>
    <row r="746" spans="1:6" ht="45" x14ac:dyDescent="0.25">
      <c r="A746" s="286" t="s">
        <v>1902</v>
      </c>
      <c r="B746" s="287" t="s">
        <v>1903</v>
      </c>
      <c r="C746" s="164" t="s">
        <v>7</v>
      </c>
      <c r="D746" s="164">
        <v>1</v>
      </c>
      <c r="E746" s="165">
        <v>19.600000000000001</v>
      </c>
      <c r="F746" s="165">
        <v>19.600000000000001</v>
      </c>
    </row>
    <row r="747" spans="1:6" ht="45" x14ac:dyDescent="0.25">
      <c r="A747" s="286" t="s">
        <v>1904</v>
      </c>
      <c r="B747" s="287" t="s">
        <v>1905</v>
      </c>
      <c r="C747" s="164" t="s">
        <v>7</v>
      </c>
      <c r="D747" s="164">
        <v>1</v>
      </c>
      <c r="E747" s="165">
        <v>29.84</v>
      </c>
      <c r="F747" s="165">
        <v>29.84</v>
      </c>
    </row>
    <row r="748" spans="1:6" ht="45" x14ac:dyDescent="0.25">
      <c r="A748" s="286" t="s">
        <v>1906</v>
      </c>
      <c r="B748" s="287" t="s">
        <v>1907</v>
      </c>
      <c r="C748" s="164" t="s">
        <v>7</v>
      </c>
      <c r="D748" s="164">
        <v>1</v>
      </c>
      <c r="E748" s="165">
        <v>43.41</v>
      </c>
      <c r="F748" s="165">
        <v>43.41</v>
      </c>
    </row>
    <row r="749" spans="1:6" ht="30" x14ac:dyDescent="0.25">
      <c r="A749" s="288" t="s">
        <v>1908</v>
      </c>
      <c r="B749" s="285" t="s">
        <v>1909</v>
      </c>
      <c r="C749" s="164"/>
      <c r="D749" s="164"/>
      <c r="E749" s="165"/>
      <c r="F749" s="165"/>
    </row>
    <row r="750" spans="1:6" ht="60" x14ac:dyDescent="0.25">
      <c r="A750" s="286" t="s">
        <v>1910</v>
      </c>
      <c r="B750" s="287" t="s">
        <v>1911</v>
      </c>
      <c r="C750" s="164" t="s">
        <v>8</v>
      </c>
      <c r="D750" s="164">
        <v>1</v>
      </c>
      <c r="E750" s="289">
        <v>2175.67</v>
      </c>
      <c r="F750" s="289">
        <v>2175.67</v>
      </c>
    </row>
    <row r="751" spans="1:6" ht="60" x14ac:dyDescent="0.25">
      <c r="A751" s="286" t="s">
        <v>1912</v>
      </c>
      <c r="B751" s="287" t="s">
        <v>1913</v>
      </c>
      <c r="C751" s="164" t="s">
        <v>8</v>
      </c>
      <c r="D751" s="164">
        <v>1</v>
      </c>
      <c r="E751" s="289">
        <v>2961.76</v>
      </c>
      <c r="F751" s="289">
        <v>2961.76</v>
      </c>
    </row>
    <row r="752" spans="1:6" ht="60" x14ac:dyDescent="0.25">
      <c r="A752" s="286" t="s">
        <v>1914</v>
      </c>
      <c r="B752" s="287" t="s">
        <v>1915</v>
      </c>
      <c r="C752" s="164" t="s">
        <v>8</v>
      </c>
      <c r="D752" s="164">
        <v>1</v>
      </c>
      <c r="E752" s="289">
        <v>3239.97</v>
      </c>
      <c r="F752" s="289">
        <v>3239.97</v>
      </c>
    </row>
    <row r="753" spans="1:6" ht="60" x14ac:dyDescent="0.25">
      <c r="A753" s="286" t="s">
        <v>1916</v>
      </c>
      <c r="B753" s="287" t="s">
        <v>1917</v>
      </c>
      <c r="C753" s="164" t="s">
        <v>8</v>
      </c>
      <c r="D753" s="164">
        <v>1</v>
      </c>
      <c r="E753" s="289">
        <v>3586.05</v>
      </c>
      <c r="F753" s="289">
        <v>3586.05</v>
      </c>
    </row>
    <row r="754" spans="1:6" ht="60" x14ac:dyDescent="0.25">
      <c r="A754" s="286" t="s">
        <v>1918</v>
      </c>
      <c r="B754" s="287" t="s">
        <v>1919</v>
      </c>
      <c r="C754" s="164" t="s">
        <v>8</v>
      </c>
      <c r="D754" s="164">
        <v>1</v>
      </c>
      <c r="E754" s="289">
        <v>3945.86</v>
      </c>
      <c r="F754" s="289">
        <v>3945.86</v>
      </c>
    </row>
    <row r="755" spans="1:6" ht="60" x14ac:dyDescent="0.25">
      <c r="A755" s="286" t="s">
        <v>1920</v>
      </c>
      <c r="B755" s="287" t="s">
        <v>1921</v>
      </c>
      <c r="C755" s="164" t="s">
        <v>8</v>
      </c>
      <c r="D755" s="164">
        <v>1</v>
      </c>
      <c r="E755" s="289">
        <v>8754.7199999999993</v>
      </c>
      <c r="F755" s="289">
        <v>8754.7199999999993</v>
      </c>
    </row>
    <row r="756" spans="1:6" ht="90" x14ac:dyDescent="0.25">
      <c r="A756" s="286" t="s">
        <v>1922</v>
      </c>
      <c r="B756" s="287" t="s">
        <v>1923</v>
      </c>
      <c r="C756" s="164" t="s">
        <v>8</v>
      </c>
      <c r="D756" s="164">
        <v>1</v>
      </c>
      <c r="E756" s="289">
        <v>6961.36</v>
      </c>
      <c r="F756" s="289">
        <v>6961.36</v>
      </c>
    </row>
    <row r="757" spans="1:6" ht="60" x14ac:dyDescent="0.25">
      <c r="A757" s="286" t="s">
        <v>1924</v>
      </c>
      <c r="B757" s="287" t="s">
        <v>1925</v>
      </c>
      <c r="C757" s="164" t="s">
        <v>8</v>
      </c>
      <c r="D757" s="164">
        <v>1</v>
      </c>
      <c r="E757" s="289">
        <v>10798.09</v>
      </c>
      <c r="F757" s="289">
        <v>10798.09</v>
      </c>
    </row>
    <row r="758" spans="1:6" ht="90" x14ac:dyDescent="0.25">
      <c r="A758" s="286" t="s">
        <v>1926</v>
      </c>
      <c r="B758" s="287" t="s">
        <v>1927</v>
      </c>
      <c r="C758" s="164" t="s">
        <v>8</v>
      </c>
      <c r="D758" s="164">
        <v>1</v>
      </c>
      <c r="E758" s="289">
        <v>9303.76</v>
      </c>
      <c r="F758" s="289">
        <v>9303.76</v>
      </c>
    </row>
    <row r="759" spans="1:6" ht="60" x14ac:dyDescent="0.25">
      <c r="A759" s="286" t="s">
        <v>1928</v>
      </c>
      <c r="B759" s="287" t="s">
        <v>1929</v>
      </c>
      <c r="C759" s="164" t="s">
        <v>8</v>
      </c>
      <c r="D759" s="164">
        <v>1</v>
      </c>
      <c r="E759" s="289">
        <v>11657.64</v>
      </c>
      <c r="F759" s="289">
        <v>11657.64</v>
      </c>
    </row>
    <row r="760" spans="1:6" ht="90" x14ac:dyDescent="0.25">
      <c r="A760" s="286" t="s">
        <v>1930</v>
      </c>
      <c r="B760" s="287" t="s">
        <v>1931</v>
      </c>
      <c r="C760" s="164" t="s">
        <v>8</v>
      </c>
      <c r="D760" s="164">
        <v>1</v>
      </c>
      <c r="E760" s="289">
        <v>10283.19</v>
      </c>
      <c r="F760" s="289">
        <v>10283.19</v>
      </c>
    </row>
    <row r="761" spans="1:6" ht="105" x14ac:dyDescent="0.25">
      <c r="A761" s="286" t="s">
        <v>1932</v>
      </c>
      <c r="B761" s="287" t="s">
        <v>1933</v>
      </c>
      <c r="C761" s="164" t="s">
        <v>8</v>
      </c>
      <c r="D761" s="164">
        <v>1</v>
      </c>
      <c r="E761" s="289">
        <v>36757.54</v>
      </c>
      <c r="F761" s="289">
        <v>36757.54</v>
      </c>
    </row>
    <row r="762" spans="1:6" ht="105" x14ac:dyDescent="0.25">
      <c r="A762" s="286" t="s">
        <v>1934</v>
      </c>
      <c r="B762" s="287" t="s">
        <v>1935</v>
      </c>
      <c r="C762" s="164" t="s">
        <v>8</v>
      </c>
      <c r="D762" s="164">
        <v>1</v>
      </c>
      <c r="E762" s="289">
        <v>46294.27</v>
      </c>
      <c r="F762" s="289">
        <v>46294.27</v>
      </c>
    </row>
    <row r="763" spans="1:6" ht="105" x14ac:dyDescent="0.25">
      <c r="A763" s="286" t="s">
        <v>1936</v>
      </c>
      <c r="B763" s="287" t="s">
        <v>1937</v>
      </c>
      <c r="C763" s="164" t="s">
        <v>8</v>
      </c>
      <c r="D763" s="164">
        <v>1</v>
      </c>
      <c r="E763" s="289">
        <v>68172.86</v>
      </c>
      <c r="F763" s="289">
        <v>68172.86</v>
      </c>
    </row>
    <row r="764" spans="1:6" ht="105" x14ac:dyDescent="0.25">
      <c r="A764" s="286" t="s">
        <v>1938</v>
      </c>
      <c r="B764" s="287" t="s">
        <v>1939</v>
      </c>
      <c r="C764" s="164" t="s">
        <v>8</v>
      </c>
      <c r="D764" s="164">
        <v>1</v>
      </c>
      <c r="E764" s="289">
        <v>90602.29</v>
      </c>
      <c r="F764" s="289">
        <v>90602.29</v>
      </c>
    </row>
    <row r="765" spans="1:6" x14ac:dyDescent="0.25">
      <c r="A765" s="288" t="s">
        <v>1940</v>
      </c>
      <c r="B765" s="285" t="s">
        <v>1941</v>
      </c>
      <c r="C765" s="164"/>
      <c r="D765" s="164"/>
      <c r="E765" s="165"/>
      <c r="F765" s="165"/>
    </row>
    <row r="766" spans="1:6" ht="75" x14ac:dyDescent="0.25">
      <c r="A766" s="286" t="s">
        <v>1942</v>
      </c>
      <c r="B766" s="287" t="s">
        <v>1943</v>
      </c>
      <c r="C766" s="164" t="s">
        <v>8</v>
      </c>
      <c r="D766" s="164">
        <v>1</v>
      </c>
      <c r="E766" s="165">
        <v>199.48</v>
      </c>
      <c r="F766" s="165">
        <v>199.48</v>
      </c>
    </row>
    <row r="767" spans="1:6" ht="75" x14ac:dyDescent="0.25">
      <c r="A767" s="286" t="s">
        <v>1944</v>
      </c>
      <c r="B767" s="287" t="s">
        <v>1945</v>
      </c>
      <c r="C767" s="164" t="s">
        <v>8</v>
      </c>
      <c r="D767" s="164">
        <v>1</v>
      </c>
      <c r="E767" s="165">
        <v>177.36</v>
      </c>
      <c r="F767" s="165">
        <v>177.36</v>
      </c>
    </row>
    <row r="768" spans="1:6" ht="75" x14ac:dyDescent="0.25">
      <c r="A768" s="286" t="s">
        <v>1946</v>
      </c>
      <c r="B768" s="287" t="s">
        <v>1947</v>
      </c>
      <c r="C768" s="164" t="s">
        <v>8</v>
      </c>
      <c r="D768" s="164">
        <v>1</v>
      </c>
      <c r="E768" s="165">
        <v>203.28</v>
      </c>
      <c r="F768" s="165">
        <v>203.28</v>
      </c>
    </row>
    <row r="769" spans="1:6" ht="75" x14ac:dyDescent="0.25">
      <c r="A769" s="286" t="s">
        <v>1948</v>
      </c>
      <c r="B769" s="287" t="s">
        <v>1949</v>
      </c>
      <c r="C769" s="164" t="s">
        <v>8</v>
      </c>
      <c r="D769" s="164">
        <v>1</v>
      </c>
      <c r="E769" s="165">
        <v>544.70000000000005</v>
      </c>
      <c r="F769" s="165">
        <v>544.70000000000005</v>
      </c>
    </row>
    <row r="770" spans="1:6" ht="75" x14ac:dyDescent="0.25">
      <c r="A770" s="286" t="s">
        <v>1950</v>
      </c>
      <c r="B770" s="287" t="s">
        <v>1951</v>
      </c>
      <c r="C770" s="164" t="s">
        <v>8</v>
      </c>
      <c r="D770" s="164">
        <v>1</v>
      </c>
      <c r="E770" s="165">
        <v>304.33999999999997</v>
      </c>
      <c r="F770" s="165">
        <v>304.33999999999997</v>
      </c>
    </row>
    <row r="771" spans="1:6" ht="75" x14ac:dyDescent="0.25">
      <c r="A771" s="286" t="s">
        <v>1952</v>
      </c>
      <c r="B771" s="287" t="s">
        <v>1953</v>
      </c>
      <c r="C771" s="164" t="s">
        <v>8</v>
      </c>
      <c r="D771" s="164">
        <v>1</v>
      </c>
      <c r="E771" s="165">
        <v>235.4</v>
      </c>
      <c r="F771" s="165">
        <v>235.4</v>
      </c>
    </row>
    <row r="772" spans="1:6" ht="75" x14ac:dyDescent="0.25">
      <c r="A772" s="286" t="s">
        <v>1954</v>
      </c>
      <c r="B772" s="287" t="s">
        <v>1955</v>
      </c>
      <c r="C772" s="164" t="s">
        <v>8</v>
      </c>
      <c r="D772" s="164">
        <v>1</v>
      </c>
      <c r="E772" s="165">
        <v>180.49</v>
      </c>
      <c r="F772" s="165">
        <v>180.49</v>
      </c>
    </row>
    <row r="773" spans="1:6" ht="75" x14ac:dyDescent="0.25">
      <c r="A773" s="286" t="s">
        <v>1956</v>
      </c>
      <c r="B773" s="287" t="s">
        <v>1957</v>
      </c>
      <c r="C773" s="164" t="s">
        <v>8</v>
      </c>
      <c r="D773" s="164">
        <v>1</v>
      </c>
      <c r="E773" s="165">
        <v>341.58</v>
      </c>
      <c r="F773" s="165">
        <v>341.58</v>
      </c>
    </row>
    <row r="774" spans="1:6" ht="105" x14ac:dyDescent="0.25">
      <c r="A774" s="286" t="s">
        <v>1958</v>
      </c>
      <c r="B774" s="287" t="s">
        <v>1959</v>
      </c>
      <c r="C774" s="164" t="s">
        <v>8</v>
      </c>
      <c r="D774" s="164">
        <v>1</v>
      </c>
      <c r="E774" s="165">
        <v>214.16</v>
      </c>
      <c r="F774" s="165">
        <v>214.16</v>
      </c>
    </row>
    <row r="775" spans="1:6" ht="105" x14ac:dyDescent="0.25">
      <c r="A775" s="286" t="s">
        <v>1960</v>
      </c>
      <c r="B775" s="287" t="s">
        <v>1961</v>
      </c>
      <c r="C775" s="164" t="s">
        <v>8</v>
      </c>
      <c r="D775" s="164">
        <v>1</v>
      </c>
      <c r="E775" s="165">
        <v>237.44</v>
      </c>
      <c r="F775" s="165">
        <v>237.44</v>
      </c>
    </row>
    <row r="776" spans="1:6" ht="75" x14ac:dyDescent="0.25">
      <c r="A776" s="286" t="s">
        <v>1962</v>
      </c>
      <c r="B776" s="287" t="s">
        <v>1963</v>
      </c>
      <c r="C776" s="164" t="s">
        <v>8</v>
      </c>
      <c r="D776" s="164">
        <v>1</v>
      </c>
      <c r="E776" s="165">
        <v>182.15</v>
      </c>
      <c r="F776" s="165">
        <v>182.15</v>
      </c>
    </row>
    <row r="777" spans="1:6" ht="75" x14ac:dyDescent="0.25">
      <c r="A777" s="286" t="s">
        <v>1964</v>
      </c>
      <c r="B777" s="287" t="s">
        <v>1965</v>
      </c>
      <c r="C777" s="164" t="s">
        <v>8</v>
      </c>
      <c r="D777" s="164">
        <v>1</v>
      </c>
      <c r="E777" s="165">
        <v>296.89999999999998</v>
      </c>
      <c r="F777" s="165">
        <v>296.89999999999998</v>
      </c>
    </row>
    <row r="778" spans="1:6" ht="75" x14ac:dyDescent="0.25">
      <c r="A778" s="286" t="s">
        <v>1966</v>
      </c>
      <c r="B778" s="287" t="s">
        <v>1967</v>
      </c>
      <c r="C778" s="164" t="s">
        <v>8</v>
      </c>
      <c r="D778" s="164">
        <v>1</v>
      </c>
      <c r="E778" s="165">
        <v>145.9</v>
      </c>
      <c r="F778" s="165">
        <v>145.9</v>
      </c>
    </row>
    <row r="779" spans="1:6" ht="75" x14ac:dyDescent="0.25">
      <c r="A779" s="286" t="s">
        <v>1968</v>
      </c>
      <c r="B779" s="287" t="s">
        <v>1969</v>
      </c>
      <c r="C779" s="164" t="s">
        <v>8</v>
      </c>
      <c r="D779" s="164">
        <v>1</v>
      </c>
      <c r="E779" s="165">
        <v>257.07</v>
      </c>
      <c r="F779" s="165">
        <v>257.07</v>
      </c>
    </row>
    <row r="780" spans="1:6" ht="75" x14ac:dyDescent="0.25">
      <c r="A780" s="286" t="s">
        <v>1970</v>
      </c>
      <c r="B780" s="287" t="s">
        <v>1971</v>
      </c>
      <c r="C780" s="164" t="s">
        <v>8</v>
      </c>
      <c r="D780" s="164">
        <v>1</v>
      </c>
      <c r="E780" s="165">
        <v>238.47</v>
      </c>
      <c r="F780" s="165">
        <v>238.47</v>
      </c>
    </row>
    <row r="781" spans="1:6" ht="60" x14ac:dyDescent="0.25">
      <c r="A781" s="286" t="s">
        <v>1972</v>
      </c>
      <c r="B781" s="287" t="s">
        <v>1973</v>
      </c>
      <c r="C781" s="164" t="s">
        <v>8</v>
      </c>
      <c r="D781" s="164">
        <v>1</v>
      </c>
      <c r="E781" s="165">
        <v>93.22</v>
      </c>
      <c r="F781" s="165">
        <v>93.22</v>
      </c>
    </row>
    <row r="782" spans="1:6" ht="90" x14ac:dyDescent="0.25">
      <c r="A782" s="286" t="s">
        <v>1974</v>
      </c>
      <c r="B782" s="287" t="s">
        <v>1975</v>
      </c>
      <c r="C782" s="164" t="s">
        <v>8</v>
      </c>
      <c r="D782" s="164">
        <v>1</v>
      </c>
      <c r="E782" s="165">
        <v>171.18</v>
      </c>
      <c r="F782" s="165">
        <v>171.18</v>
      </c>
    </row>
    <row r="783" spans="1:6" ht="30" x14ac:dyDescent="0.25">
      <c r="A783" s="288" t="s">
        <v>1976</v>
      </c>
      <c r="B783" s="285" t="s">
        <v>1977</v>
      </c>
      <c r="C783" s="164"/>
      <c r="D783" s="164"/>
      <c r="E783" s="165"/>
      <c r="F783" s="165"/>
    </row>
    <row r="784" spans="1:6" ht="105" x14ac:dyDescent="0.25">
      <c r="A784" s="286" t="s">
        <v>1978</v>
      </c>
      <c r="B784" s="287" t="s">
        <v>1979</v>
      </c>
      <c r="C784" s="164" t="s">
        <v>8</v>
      </c>
      <c r="D784" s="164">
        <v>1</v>
      </c>
      <c r="E784" s="165">
        <v>598.02</v>
      </c>
      <c r="F784" s="165">
        <v>598.02</v>
      </c>
    </row>
    <row r="785" spans="1:6" ht="105" x14ac:dyDescent="0.25">
      <c r="A785" s="286" t="s">
        <v>1980</v>
      </c>
      <c r="B785" s="287" t="s">
        <v>1981</v>
      </c>
      <c r="C785" s="164" t="s">
        <v>8</v>
      </c>
      <c r="D785" s="164">
        <v>1</v>
      </c>
      <c r="E785" s="165">
        <v>688.09</v>
      </c>
      <c r="F785" s="165">
        <v>688.09</v>
      </c>
    </row>
    <row r="786" spans="1:6" ht="105" x14ac:dyDescent="0.25">
      <c r="A786" s="286" t="s">
        <v>1982</v>
      </c>
      <c r="B786" s="287" t="s">
        <v>1983</v>
      </c>
      <c r="C786" s="164" t="s">
        <v>8</v>
      </c>
      <c r="D786" s="164">
        <v>1</v>
      </c>
      <c r="E786" s="165">
        <v>811.66</v>
      </c>
      <c r="F786" s="165">
        <v>811.66</v>
      </c>
    </row>
    <row r="787" spans="1:6" ht="105" x14ac:dyDescent="0.25">
      <c r="A787" s="286" t="s">
        <v>1984</v>
      </c>
      <c r="B787" s="287" t="s">
        <v>1985</v>
      </c>
      <c r="C787" s="164" t="s">
        <v>8</v>
      </c>
      <c r="D787" s="164">
        <v>1</v>
      </c>
      <c r="E787" s="165">
        <v>876.2</v>
      </c>
      <c r="F787" s="165">
        <v>876.2</v>
      </c>
    </row>
    <row r="788" spans="1:6" ht="90" x14ac:dyDescent="0.25">
      <c r="A788" s="286" t="s">
        <v>1986</v>
      </c>
      <c r="B788" s="287" t="s">
        <v>1987</v>
      </c>
      <c r="C788" s="164" t="s">
        <v>8</v>
      </c>
      <c r="D788" s="164">
        <v>1</v>
      </c>
      <c r="E788" s="289">
        <v>1586.75</v>
      </c>
      <c r="F788" s="289">
        <v>1586.75</v>
      </c>
    </row>
    <row r="789" spans="1:6" ht="30" x14ac:dyDescent="0.25">
      <c r="A789" s="288" t="s">
        <v>1988</v>
      </c>
      <c r="B789" s="285" t="s">
        <v>1989</v>
      </c>
      <c r="C789" s="164"/>
      <c r="D789" s="164"/>
      <c r="E789" s="165"/>
      <c r="F789" s="165"/>
    </row>
    <row r="790" spans="1:6" ht="30" x14ac:dyDescent="0.25">
      <c r="A790" s="286" t="s">
        <v>1990</v>
      </c>
      <c r="B790" s="287" t="s">
        <v>1991</v>
      </c>
      <c r="C790" s="164" t="s">
        <v>8</v>
      </c>
      <c r="D790" s="164">
        <v>1</v>
      </c>
      <c r="E790" s="165">
        <v>11.65</v>
      </c>
      <c r="F790" s="165">
        <v>11.65</v>
      </c>
    </row>
    <row r="791" spans="1:6" ht="30" x14ac:dyDescent="0.25">
      <c r="A791" s="286" t="s">
        <v>1992</v>
      </c>
      <c r="B791" s="287" t="s">
        <v>1993</v>
      </c>
      <c r="C791" s="164" t="s">
        <v>8</v>
      </c>
      <c r="D791" s="164">
        <v>1</v>
      </c>
      <c r="E791" s="165">
        <v>15.04</v>
      </c>
      <c r="F791" s="165">
        <v>15.04</v>
      </c>
    </row>
    <row r="792" spans="1:6" ht="30" x14ac:dyDescent="0.25">
      <c r="A792" s="286" t="s">
        <v>1994</v>
      </c>
      <c r="B792" s="287" t="s">
        <v>1995</v>
      </c>
      <c r="C792" s="164" t="s">
        <v>8</v>
      </c>
      <c r="D792" s="164">
        <v>1</v>
      </c>
      <c r="E792" s="165">
        <v>23.8</v>
      </c>
      <c r="F792" s="165">
        <v>23.8</v>
      </c>
    </row>
    <row r="793" spans="1:6" ht="30" x14ac:dyDescent="0.25">
      <c r="A793" s="286" t="s">
        <v>1996</v>
      </c>
      <c r="B793" s="287" t="s">
        <v>1997</v>
      </c>
      <c r="C793" s="164" t="s">
        <v>8</v>
      </c>
      <c r="D793" s="164">
        <v>1</v>
      </c>
      <c r="E793" s="165">
        <v>24.09</v>
      </c>
      <c r="F793" s="165">
        <v>24.09</v>
      </c>
    </row>
    <row r="794" spans="1:6" ht="30" x14ac:dyDescent="0.25">
      <c r="A794" s="286" t="s">
        <v>1998</v>
      </c>
      <c r="B794" s="287" t="s">
        <v>1999</v>
      </c>
      <c r="C794" s="164" t="s">
        <v>8</v>
      </c>
      <c r="D794" s="164">
        <v>1</v>
      </c>
      <c r="E794" s="165">
        <v>25.51</v>
      </c>
      <c r="F794" s="165">
        <v>25.51</v>
      </c>
    </row>
    <row r="795" spans="1:6" ht="30" x14ac:dyDescent="0.25">
      <c r="A795" s="286" t="s">
        <v>2000</v>
      </c>
      <c r="B795" s="287" t="s">
        <v>2001</v>
      </c>
      <c r="C795" s="164" t="s">
        <v>8</v>
      </c>
      <c r="D795" s="164">
        <v>1</v>
      </c>
      <c r="E795" s="165">
        <v>30.08</v>
      </c>
      <c r="F795" s="165">
        <v>30.08</v>
      </c>
    </row>
    <row r="796" spans="1:6" ht="30" x14ac:dyDescent="0.25">
      <c r="A796" s="286" t="s">
        <v>2002</v>
      </c>
      <c r="B796" s="287" t="s">
        <v>2003</v>
      </c>
      <c r="C796" s="164" t="s">
        <v>8</v>
      </c>
      <c r="D796" s="164">
        <v>1</v>
      </c>
      <c r="E796" s="165">
        <v>38.909999999999997</v>
      </c>
      <c r="F796" s="165">
        <v>38.909999999999997</v>
      </c>
    </row>
    <row r="797" spans="1:6" ht="30" x14ac:dyDescent="0.25">
      <c r="A797" s="286" t="s">
        <v>2004</v>
      </c>
      <c r="B797" s="287" t="s">
        <v>2005</v>
      </c>
      <c r="C797" s="164" t="s">
        <v>8</v>
      </c>
      <c r="D797" s="164">
        <v>1</v>
      </c>
      <c r="E797" s="165">
        <v>39.4</v>
      </c>
      <c r="F797" s="165">
        <v>39.4</v>
      </c>
    </row>
    <row r="798" spans="1:6" ht="30" x14ac:dyDescent="0.25">
      <c r="A798" s="286" t="s">
        <v>2006</v>
      </c>
      <c r="B798" s="287" t="s">
        <v>2007</v>
      </c>
      <c r="C798" s="164" t="s">
        <v>8</v>
      </c>
      <c r="D798" s="164">
        <v>1</v>
      </c>
      <c r="E798" s="165">
        <v>48.94</v>
      </c>
      <c r="F798" s="165">
        <v>48.94</v>
      </c>
    </row>
    <row r="799" spans="1:6" ht="30" x14ac:dyDescent="0.25">
      <c r="A799" s="286" t="s">
        <v>2008</v>
      </c>
      <c r="B799" s="287" t="s">
        <v>2009</v>
      </c>
      <c r="C799" s="164" t="s">
        <v>8</v>
      </c>
      <c r="D799" s="164">
        <v>1</v>
      </c>
      <c r="E799" s="165">
        <v>78.36</v>
      </c>
      <c r="F799" s="165">
        <v>78.36</v>
      </c>
    </row>
    <row r="800" spans="1:6" ht="30" x14ac:dyDescent="0.25">
      <c r="A800" s="286" t="s">
        <v>2010</v>
      </c>
      <c r="B800" s="287" t="s">
        <v>2011</v>
      </c>
      <c r="C800" s="164" t="s">
        <v>8</v>
      </c>
      <c r="D800" s="164">
        <v>1</v>
      </c>
      <c r="E800" s="165">
        <v>81.400000000000006</v>
      </c>
      <c r="F800" s="165">
        <v>81.400000000000006</v>
      </c>
    </row>
    <row r="801" spans="1:6" ht="30" x14ac:dyDescent="0.25">
      <c r="A801" s="286" t="s">
        <v>2012</v>
      </c>
      <c r="B801" s="287" t="s">
        <v>2013</v>
      </c>
      <c r="C801" s="164" t="s">
        <v>8</v>
      </c>
      <c r="D801" s="164">
        <v>1</v>
      </c>
      <c r="E801" s="165">
        <v>94.53</v>
      </c>
      <c r="F801" s="165">
        <v>94.53</v>
      </c>
    </row>
    <row r="802" spans="1:6" ht="30" x14ac:dyDescent="0.25">
      <c r="A802" s="286" t="s">
        <v>2014</v>
      </c>
      <c r="B802" s="287" t="s">
        <v>2015</v>
      </c>
      <c r="C802" s="164" t="s">
        <v>8</v>
      </c>
      <c r="D802" s="164">
        <v>1</v>
      </c>
      <c r="E802" s="165">
        <v>100.77</v>
      </c>
      <c r="F802" s="165">
        <v>100.77</v>
      </c>
    </row>
    <row r="803" spans="1:6" ht="30" x14ac:dyDescent="0.25">
      <c r="A803" s="286" t="s">
        <v>2016</v>
      </c>
      <c r="B803" s="287" t="s">
        <v>2017</v>
      </c>
      <c r="C803" s="164" t="s">
        <v>8</v>
      </c>
      <c r="D803" s="164">
        <v>1</v>
      </c>
      <c r="E803" s="165">
        <v>102.97</v>
      </c>
      <c r="F803" s="165">
        <v>102.97</v>
      </c>
    </row>
    <row r="804" spans="1:6" ht="30" x14ac:dyDescent="0.25">
      <c r="A804" s="286" t="s">
        <v>2018</v>
      </c>
      <c r="B804" s="287" t="s">
        <v>2019</v>
      </c>
      <c r="C804" s="164" t="s">
        <v>8</v>
      </c>
      <c r="D804" s="164">
        <v>1</v>
      </c>
      <c r="E804" s="165">
        <v>328.31</v>
      </c>
      <c r="F804" s="165">
        <v>328.31</v>
      </c>
    </row>
    <row r="805" spans="1:6" ht="30" x14ac:dyDescent="0.25">
      <c r="A805" s="286" t="s">
        <v>2020</v>
      </c>
      <c r="B805" s="287" t="s">
        <v>2021</v>
      </c>
      <c r="C805" s="164" t="s">
        <v>8</v>
      </c>
      <c r="D805" s="164">
        <v>1</v>
      </c>
      <c r="E805" s="165">
        <v>350.32</v>
      </c>
      <c r="F805" s="165">
        <v>350.32</v>
      </c>
    </row>
    <row r="806" spans="1:6" ht="30" x14ac:dyDescent="0.25">
      <c r="A806" s="286" t="s">
        <v>2022</v>
      </c>
      <c r="B806" s="287" t="s">
        <v>2023</v>
      </c>
      <c r="C806" s="164" t="s">
        <v>8</v>
      </c>
      <c r="D806" s="164">
        <v>1</v>
      </c>
      <c r="E806" s="165">
        <v>396.35</v>
      </c>
      <c r="F806" s="165">
        <v>396.35</v>
      </c>
    </row>
    <row r="807" spans="1:6" ht="30" x14ac:dyDescent="0.25">
      <c r="A807" s="286" t="s">
        <v>2024</v>
      </c>
      <c r="B807" s="287" t="s">
        <v>2025</v>
      </c>
      <c r="C807" s="164" t="s">
        <v>8</v>
      </c>
      <c r="D807" s="164">
        <v>1</v>
      </c>
      <c r="E807" s="165">
        <v>13.86</v>
      </c>
      <c r="F807" s="165">
        <v>13.86</v>
      </c>
    </row>
    <row r="808" spans="1:6" ht="30" x14ac:dyDescent="0.25">
      <c r="A808" s="286" t="s">
        <v>2026</v>
      </c>
      <c r="B808" s="287" t="s">
        <v>2027</v>
      </c>
      <c r="C808" s="164" t="s">
        <v>8</v>
      </c>
      <c r="D808" s="164">
        <v>1</v>
      </c>
      <c r="E808" s="165">
        <v>23.22</v>
      </c>
      <c r="F808" s="165">
        <v>23.22</v>
      </c>
    </row>
    <row r="809" spans="1:6" ht="30" x14ac:dyDescent="0.25">
      <c r="A809" s="286" t="s">
        <v>2028</v>
      </c>
      <c r="B809" s="287" t="s">
        <v>2029</v>
      </c>
      <c r="C809" s="164" t="s">
        <v>8</v>
      </c>
      <c r="D809" s="164">
        <v>1</v>
      </c>
      <c r="E809" s="165">
        <v>12.88</v>
      </c>
      <c r="F809" s="165">
        <v>12.88</v>
      </c>
    </row>
    <row r="810" spans="1:6" ht="30" x14ac:dyDescent="0.25">
      <c r="A810" s="286" t="s">
        <v>2030</v>
      </c>
      <c r="B810" s="287" t="s">
        <v>2031</v>
      </c>
      <c r="C810" s="164" t="s">
        <v>8</v>
      </c>
      <c r="D810" s="164">
        <v>1</v>
      </c>
      <c r="E810" s="165">
        <v>13.65</v>
      </c>
      <c r="F810" s="165">
        <v>13.65</v>
      </c>
    </row>
    <row r="811" spans="1:6" ht="30" x14ac:dyDescent="0.25">
      <c r="A811" s="286" t="s">
        <v>2032</v>
      </c>
      <c r="B811" s="287" t="s">
        <v>2033</v>
      </c>
      <c r="C811" s="164" t="s">
        <v>8</v>
      </c>
      <c r="D811" s="164">
        <v>1</v>
      </c>
      <c r="E811" s="165">
        <v>17.53</v>
      </c>
      <c r="F811" s="165">
        <v>17.53</v>
      </c>
    </row>
    <row r="812" spans="1:6" x14ac:dyDescent="0.25">
      <c r="A812" s="286" t="s">
        <v>2034</v>
      </c>
      <c r="B812" s="287" t="s">
        <v>2035</v>
      </c>
      <c r="C812" s="164" t="s">
        <v>8</v>
      </c>
      <c r="D812" s="164">
        <v>1</v>
      </c>
      <c r="E812" s="165">
        <v>25.66</v>
      </c>
      <c r="F812" s="165">
        <v>25.66</v>
      </c>
    </row>
    <row r="813" spans="1:6" x14ac:dyDescent="0.25">
      <c r="A813" s="286" t="s">
        <v>2036</v>
      </c>
      <c r="B813" s="287" t="s">
        <v>2037</v>
      </c>
      <c r="C813" s="164" t="s">
        <v>8</v>
      </c>
      <c r="D813" s="164">
        <v>1</v>
      </c>
      <c r="E813" s="165">
        <v>27.65</v>
      </c>
      <c r="F813" s="165">
        <v>27.65</v>
      </c>
    </row>
    <row r="814" spans="1:6" x14ac:dyDescent="0.25">
      <c r="A814" s="286" t="s">
        <v>2038</v>
      </c>
      <c r="B814" s="287" t="s">
        <v>2039</v>
      </c>
      <c r="C814" s="164" t="s">
        <v>8</v>
      </c>
      <c r="D814" s="164">
        <v>1</v>
      </c>
      <c r="E814" s="165">
        <v>33.46</v>
      </c>
      <c r="F814" s="165">
        <v>33.46</v>
      </c>
    </row>
    <row r="815" spans="1:6" x14ac:dyDescent="0.25">
      <c r="A815" s="288" t="s">
        <v>2040</v>
      </c>
      <c r="B815" s="285" t="s">
        <v>2041</v>
      </c>
      <c r="C815" s="164"/>
      <c r="D815" s="164"/>
      <c r="E815" s="165"/>
      <c r="F815" s="165"/>
    </row>
    <row r="816" spans="1:6" x14ac:dyDescent="0.25">
      <c r="A816" s="288" t="s">
        <v>2042</v>
      </c>
      <c r="B816" s="285" t="s">
        <v>2043</v>
      </c>
      <c r="C816" s="164"/>
      <c r="D816" s="164"/>
      <c r="E816" s="165"/>
      <c r="F816" s="165"/>
    </row>
    <row r="817" spans="1:6" ht="45" x14ac:dyDescent="0.25">
      <c r="A817" s="286" t="s">
        <v>2044</v>
      </c>
      <c r="B817" s="287" t="s">
        <v>2045</v>
      </c>
      <c r="C817" s="164" t="s">
        <v>8</v>
      </c>
      <c r="D817" s="164">
        <v>1</v>
      </c>
      <c r="E817" s="289">
        <v>1677.3</v>
      </c>
      <c r="F817" s="289">
        <v>1677.3</v>
      </c>
    </row>
    <row r="818" spans="1:6" ht="60" x14ac:dyDescent="0.25">
      <c r="A818" s="286" t="s">
        <v>2046</v>
      </c>
      <c r="B818" s="287" t="s">
        <v>2047</v>
      </c>
      <c r="C818" s="164" t="s">
        <v>8</v>
      </c>
      <c r="D818" s="164">
        <v>1</v>
      </c>
      <c r="E818" s="165">
        <v>506.77</v>
      </c>
      <c r="F818" s="165">
        <v>506.77</v>
      </c>
    </row>
    <row r="819" spans="1:6" ht="45" x14ac:dyDescent="0.25">
      <c r="A819" s="286" t="s">
        <v>2048</v>
      </c>
      <c r="B819" s="287" t="s">
        <v>2049</v>
      </c>
      <c r="C819" s="164" t="s">
        <v>8</v>
      </c>
      <c r="D819" s="164">
        <v>1</v>
      </c>
      <c r="E819" s="165">
        <v>142.13999999999999</v>
      </c>
      <c r="F819" s="165">
        <v>142.13999999999999</v>
      </c>
    </row>
    <row r="820" spans="1:6" ht="45" x14ac:dyDescent="0.25">
      <c r="A820" s="286" t="s">
        <v>2050</v>
      </c>
      <c r="B820" s="287" t="s">
        <v>2051</v>
      </c>
      <c r="C820" s="164" t="s">
        <v>8</v>
      </c>
      <c r="D820" s="164">
        <v>1</v>
      </c>
      <c r="E820" s="165">
        <v>453.11</v>
      </c>
      <c r="F820" s="165">
        <v>453.11</v>
      </c>
    </row>
    <row r="821" spans="1:6" ht="60" x14ac:dyDescent="0.25">
      <c r="A821" s="286" t="s">
        <v>2052</v>
      </c>
      <c r="B821" s="287" t="s">
        <v>362</v>
      </c>
      <c r="C821" s="164" t="s">
        <v>8</v>
      </c>
      <c r="D821" s="164">
        <v>1</v>
      </c>
      <c r="E821" s="165">
        <v>994.92</v>
      </c>
      <c r="F821" s="165">
        <v>994.92</v>
      </c>
    </row>
    <row r="822" spans="1:6" ht="30" x14ac:dyDescent="0.25">
      <c r="A822" s="286" t="s">
        <v>2053</v>
      </c>
      <c r="B822" s="287" t="s">
        <v>2054</v>
      </c>
      <c r="C822" s="164" t="s">
        <v>7</v>
      </c>
      <c r="D822" s="164">
        <v>1</v>
      </c>
      <c r="E822" s="165">
        <v>29.24</v>
      </c>
      <c r="F822" s="165">
        <v>29.24</v>
      </c>
    </row>
    <row r="823" spans="1:6" ht="30" x14ac:dyDescent="0.25">
      <c r="A823" s="286" t="s">
        <v>2055</v>
      </c>
      <c r="B823" s="287" t="s">
        <v>364</v>
      </c>
      <c r="C823" s="164" t="s">
        <v>8</v>
      </c>
      <c r="D823" s="164">
        <v>1</v>
      </c>
      <c r="E823" s="165">
        <v>45.22</v>
      </c>
      <c r="F823" s="165">
        <v>45.22</v>
      </c>
    </row>
    <row r="824" spans="1:6" x14ac:dyDescent="0.25">
      <c r="A824" s="288" t="s">
        <v>2056</v>
      </c>
      <c r="B824" s="285" t="s">
        <v>2057</v>
      </c>
      <c r="C824" s="164"/>
      <c r="D824" s="164"/>
      <c r="E824" s="165"/>
      <c r="F824" s="165"/>
    </row>
    <row r="825" spans="1:6" ht="90" x14ac:dyDescent="0.25">
      <c r="A825" s="286" t="s">
        <v>2058</v>
      </c>
      <c r="B825" s="287" t="s">
        <v>2059</v>
      </c>
      <c r="C825" s="164" t="s">
        <v>8</v>
      </c>
      <c r="D825" s="164">
        <v>1</v>
      </c>
      <c r="E825" s="289">
        <v>7632.13</v>
      </c>
      <c r="F825" s="289">
        <v>7632.13</v>
      </c>
    </row>
    <row r="826" spans="1:6" ht="90" x14ac:dyDescent="0.25">
      <c r="A826" s="286" t="s">
        <v>2060</v>
      </c>
      <c r="B826" s="287" t="s">
        <v>2061</v>
      </c>
      <c r="C826" s="164" t="s">
        <v>8</v>
      </c>
      <c r="D826" s="164">
        <v>1</v>
      </c>
      <c r="E826" s="289">
        <v>13514.79</v>
      </c>
      <c r="F826" s="289">
        <v>13514.79</v>
      </c>
    </row>
    <row r="827" spans="1:6" x14ac:dyDescent="0.25">
      <c r="A827" s="288" t="s">
        <v>2062</v>
      </c>
      <c r="B827" s="285" t="s">
        <v>2063</v>
      </c>
      <c r="C827" s="164"/>
      <c r="D827" s="164"/>
      <c r="E827" s="165"/>
      <c r="F827" s="165"/>
    </row>
    <row r="828" spans="1:6" ht="45" x14ac:dyDescent="0.25">
      <c r="A828" s="286" t="s">
        <v>2064</v>
      </c>
      <c r="B828" s="287" t="s">
        <v>2065</v>
      </c>
      <c r="C828" s="164" t="s">
        <v>8</v>
      </c>
      <c r="D828" s="164">
        <v>1</v>
      </c>
      <c r="E828" s="165">
        <v>470.91</v>
      </c>
      <c r="F828" s="165">
        <v>470.91</v>
      </c>
    </row>
    <row r="829" spans="1:6" ht="90" x14ac:dyDescent="0.25">
      <c r="A829" s="286" t="s">
        <v>2066</v>
      </c>
      <c r="B829" s="287" t="s">
        <v>2067</v>
      </c>
      <c r="C829" s="164" t="s">
        <v>8</v>
      </c>
      <c r="D829" s="164">
        <v>1</v>
      </c>
      <c r="E829" s="165">
        <v>992.66</v>
      </c>
      <c r="F829" s="165">
        <v>992.66</v>
      </c>
    </row>
    <row r="830" spans="1:6" ht="60" x14ac:dyDescent="0.25">
      <c r="A830" s="286" t="s">
        <v>2068</v>
      </c>
      <c r="B830" s="287" t="s">
        <v>2069</v>
      </c>
      <c r="C830" s="164" t="s">
        <v>7</v>
      </c>
      <c r="D830" s="164">
        <v>1</v>
      </c>
      <c r="E830" s="165">
        <v>99.06</v>
      </c>
      <c r="F830" s="165">
        <v>99.06</v>
      </c>
    </row>
    <row r="831" spans="1:6" ht="60" x14ac:dyDescent="0.25">
      <c r="A831" s="286" t="s">
        <v>2070</v>
      </c>
      <c r="B831" s="287" t="s">
        <v>2071</v>
      </c>
      <c r="C831" s="164" t="s">
        <v>7</v>
      </c>
      <c r="D831" s="164">
        <v>1</v>
      </c>
      <c r="E831" s="165">
        <v>79.72</v>
      </c>
      <c r="F831" s="165">
        <v>79.72</v>
      </c>
    </row>
    <row r="832" spans="1:6" ht="90" x14ac:dyDescent="0.25">
      <c r="A832" s="286" t="s">
        <v>2072</v>
      </c>
      <c r="B832" s="287" t="s">
        <v>2073</v>
      </c>
      <c r="C832" s="164" t="s">
        <v>8</v>
      </c>
      <c r="D832" s="164">
        <v>1</v>
      </c>
      <c r="E832" s="165">
        <v>116.23</v>
      </c>
      <c r="F832" s="165">
        <v>116.23</v>
      </c>
    </row>
    <row r="833" spans="1:6" ht="60" x14ac:dyDescent="0.25">
      <c r="A833" s="286" t="s">
        <v>2074</v>
      </c>
      <c r="B833" s="287" t="s">
        <v>2075</v>
      </c>
      <c r="C833" s="164" t="s">
        <v>8</v>
      </c>
      <c r="D833" s="164">
        <v>1</v>
      </c>
      <c r="E833" s="165">
        <v>56.1</v>
      </c>
      <c r="F833" s="165">
        <v>56.1</v>
      </c>
    </row>
    <row r="834" spans="1:6" ht="30" x14ac:dyDescent="0.25">
      <c r="A834" s="286" t="s">
        <v>2076</v>
      </c>
      <c r="B834" s="287" t="s">
        <v>58</v>
      </c>
      <c r="C834" s="164" t="s">
        <v>8</v>
      </c>
      <c r="D834" s="164">
        <v>1</v>
      </c>
      <c r="E834" s="165">
        <v>232.79</v>
      </c>
      <c r="F834" s="165">
        <v>232.79</v>
      </c>
    </row>
    <row r="835" spans="1:6" ht="90" x14ac:dyDescent="0.25">
      <c r="A835" s="286" t="s">
        <v>2077</v>
      </c>
      <c r="B835" s="287" t="s">
        <v>2078</v>
      </c>
      <c r="C835" s="164" t="s">
        <v>8</v>
      </c>
      <c r="D835" s="164">
        <v>1</v>
      </c>
      <c r="E835" s="165">
        <v>49.24</v>
      </c>
      <c r="F835" s="165">
        <v>49.24</v>
      </c>
    </row>
    <row r="836" spans="1:6" ht="90" x14ac:dyDescent="0.25">
      <c r="A836" s="286" t="s">
        <v>2079</v>
      </c>
      <c r="B836" s="287" t="s">
        <v>2080</v>
      </c>
      <c r="C836" s="164" t="s">
        <v>8</v>
      </c>
      <c r="D836" s="164">
        <v>1</v>
      </c>
      <c r="E836" s="165">
        <v>51.71</v>
      </c>
      <c r="F836" s="165">
        <v>51.71</v>
      </c>
    </row>
    <row r="837" spans="1:6" ht="105" x14ac:dyDescent="0.25">
      <c r="A837" s="286" t="s">
        <v>2081</v>
      </c>
      <c r="B837" s="287" t="s">
        <v>2082</v>
      </c>
      <c r="C837" s="164" t="s">
        <v>8</v>
      </c>
      <c r="D837" s="164">
        <v>1</v>
      </c>
      <c r="E837" s="165">
        <v>913.67</v>
      </c>
      <c r="F837" s="165">
        <v>913.67</v>
      </c>
    </row>
    <row r="838" spans="1:6" ht="105" x14ac:dyDescent="0.25">
      <c r="A838" s="286" t="s">
        <v>2083</v>
      </c>
      <c r="B838" s="287" t="s">
        <v>2084</v>
      </c>
      <c r="C838" s="164" t="s">
        <v>8</v>
      </c>
      <c r="D838" s="164">
        <v>1</v>
      </c>
      <c r="E838" s="289">
        <v>1356.76</v>
      </c>
      <c r="F838" s="289">
        <v>1356.76</v>
      </c>
    </row>
    <row r="839" spans="1:6" ht="75" x14ac:dyDescent="0.25">
      <c r="A839" s="286" t="s">
        <v>2085</v>
      </c>
      <c r="B839" s="287" t="s">
        <v>2086</v>
      </c>
      <c r="C839" s="164" t="s">
        <v>8</v>
      </c>
      <c r="D839" s="164">
        <v>1</v>
      </c>
      <c r="E839" s="165">
        <v>80.849999999999994</v>
      </c>
      <c r="F839" s="165">
        <v>80.849999999999994</v>
      </c>
    </row>
    <row r="840" spans="1:6" ht="45" x14ac:dyDescent="0.25">
      <c r="A840" s="286" t="s">
        <v>2087</v>
      </c>
      <c r="B840" s="287" t="s">
        <v>2088</v>
      </c>
      <c r="C840" s="164" t="s">
        <v>7</v>
      </c>
      <c r="D840" s="164">
        <v>1</v>
      </c>
      <c r="E840" s="165">
        <v>79.72</v>
      </c>
      <c r="F840" s="165">
        <v>79.72</v>
      </c>
    </row>
    <row r="841" spans="1:6" ht="45" x14ac:dyDescent="0.25">
      <c r="A841" s="286" t="s">
        <v>2089</v>
      </c>
      <c r="B841" s="287" t="s">
        <v>2090</v>
      </c>
      <c r="C841" s="164" t="s">
        <v>7</v>
      </c>
      <c r="D841" s="164">
        <v>1</v>
      </c>
      <c r="E841" s="165">
        <v>55.86</v>
      </c>
      <c r="F841" s="165">
        <v>55.86</v>
      </c>
    </row>
    <row r="842" spans="1:6" ht="75" x14ac:dyDescent="0.25">
      <c r="A842" s="286" t="s">
        <v>2091</v>
      </c>
      <c r="B842" s="287" t="s">
        <v>2092</v>
      </c>
      <c r="C842" s="164" t="s">
        <v>8</v>
      </c>
      <c r="D842" s="164">
        <v>1</v>
      </c>
      <c r="E842" s="165">
        <v>9.19</v>
      </c>
      <c r="F842" s="165">
        <v>9.19</v>
      </c>
    </row>
    <row r="843" spans="1:6" ht="60" x14ac:dyDescent="0.25">
      <c r="A843" s="286" t="s">
        <v>2093</v>
      </c>
      <c r="B843" s="287" t="s">
        <v>2094</v>
      </c>
      <c r="C843" s="164" t="s">
        <v>8</v>
      </c>
      <c r="D843" s="164">
        <v>1</v>
      </c>
      <c r="E843" s="165">
        <v>114.28</v>
      </c>
      <c r="F843" s="165">
        <v>114.28</v>
      </c>
    </row>
    <row r="844" spans="1:6" ht="60" x14ac:dyDescent="0.25">
      <c r="A844" s="286" t="s">
        <v>2095</v>
      </c>
      <c r="B844" s="287" t="s">
        <v>2096</v>
      </c>
      <c r="C844" s="164" t="s">
        <v>8</v>
      </c>
      <c r="D844" s="164">
        <v>1</v>
      </c>
      <c r="E844" s="165">
        <v>5.55</v>
      </c>
      <c r="F844" s="165">
        <v>5.55</v>
      </c>
    </row>
    <row r="845" spans="1:6" ht="45" x14ac:dyDescent="0.25">
      <c r="A845" s="286" t="s">
        <v>2097</v>
      </c>
      <c r="B845" s="287" t="s">
        <v>2098</v>
      </c>
      <c r="C845" s="164" t="s">
        <v>8</v>
      </c>
      <c r="D845" s="164">
        <v>1</v>
      </c>
      <c r="E845" s="165">
        <v>12.9</v>
      </c>
      <c r="F845" s="165">
        <v>12.9</v>
      </c>
    </row>
    <row r="846" spans="1:6" ht="90" x14ac:dyDescent="0.25">
      <c r="A846" s="286" t="s">
        <v>2099</v>
      </c>
      <c r="B846" s="287" t="s">
        <v>2100</v>
      </c>
      <c r="C846" s="164" t="s">
        <v>8</v>
      </c>
      <c r="D846" s="164">
        <v>1</v>
      </c>
      <c r="E846" s="165">
        <v>216.45</v>
      </c>
      <c r="F846" s="165">
        <v>216.45</v>
      </c>
    </row>
    <row r="847" spans="1:6" ht="105" x14ac:dyDescent="0.25">
      <c r="A847" s="286" t="s">
        <v>2101</v>
      </c>
      <c r="B847" s="287" t="s">
        <v>2102</v>
      </c>
      <c r="C847" s="164" t="s">
        <v>8</v>
      </c>
      <c r="D847" s="164">
        <v>1</v>
      </c>
      <c r="E847" s="165">
        <v>588.79</v>
      </c>
      <c r="F847" s="165">
        <v>588.79</v>
      </c>
    </row>
    <row r="848" spans="1:6" ht="60" x14ac:dyDescent="0.25">
      <c r="A848" s="286" t="s">
        <v>2103</v>
      </c>
      <c r="B848" s="287" t="s">
        <v>2104</v>
      </c>
      <c r="C848" s="164" t="s">
        <v>7</v>
      </c>
      <c r="D848" s="164">
        <v>1</v>
      </c>
      <c r="E848" s="165">
        <v>35.86</v>
      </c>
      <c r="F848" s="165">
        <v>35.86</v>
      </c>
    </row>
    <row r="849" spans="1:6" ht="60" x14ac:dyDescent="0.25">
      <c r="A849" s="286" t="s">
        <v>2105</v>
      </c>
      <c r="B849" s="287" t="s">
        <v>2106</v>
      </c>
      <c r="C849" s="164" t="s">
        <v>7</v>
      </c>
      <c r="D849" s="164">
        <v>1</v>
      </c>
      <c r="E849" s="165">
        <v>36.22</v>
      </c>
      <c r="F849" s="165">
        <v>36.22</v>
      </c>
    </row>
    <row r="850" spans="1:6" ht="60" x14ac:dyDescent="0.25">
      <c r="A850" s="286" t="s">
        <v>2107</v>
      </c>
      <c r="B850" s="287" t="s">
        <v>2108</v>
      </c>
      <c r="C850" s="164" t="s">
        <v>8</v>
      </c>
      <c r="D850" s="164">
        <v>1</v>
      </c>
      <c r="E850" s="165">
        <v>27.11</v>
      </c>
      <c r="F850" s="165">
        <v>27.11</v>
      </c>
    </row>
    <row r="851" spans="1:6" ht="60" x14ac:dyDescent="0.25">
      <c r="A851" s="286" t="s">
        <v>2109</v>
      </c>
      <c r="B851" s="287" t="s">
        <v>2110</v>
      </c>
      <c r="C851" s="164" t="s">
        <v>8</v>
      </c>
      <c r="D851" s="164">
        <v>1</v>
      </c>
      <c r="E851" s="165">
        <v>17.29</v>
      </c>
      <c r="F851" s="165">
        <v>17.29</v>
      </c>
    </row>
    <row r="852" spans="1:6" ht="75" x14ac:dyDescent="0.25">
      <c r="A852" s="286" t="s">
        <v>2111</v>
      </c>
      <c r="B852" s="287" t="s">
        <v>2112</v>
      </c>
      <c r="C852" s="164" t="s">
        <v>8</v>
      </c>
      <c r="D852" s="164">
        <v>1</v>
      </c>
      <c r="E852" s="165">
        <v>10.89</v>
      </c>
      <c r="F852" s="165">
        <v>10.89</v>
      </c>
    </row>
    <row r="853" spans="1:6" ht="60" x14ac:dyDescent="0.25">
      <c r="A853" s="286" t="s">
        <v>2113</v>
      </c>
      <c r="B853" s="287" t="s">
        <v>2114</v>
      </c>
      <c r="C853" s="164" t="s">
        <v>8</v>
      </c>
      <c r="D853" s="164">
        <v>1</v>
      </c>
      <c r="E853" s="165">
        <v>35.590000000000003</v>
      </c>
      <c r="F853" s="165">
        <v>35.590000000000003</v>
      </c>
    </row>
    <row r="854" spans="1:6" ht="75" x14ac:dyDescent="0.25">
      <c r="A854" s="286" t="s">
        <v>2115</v>
      </c>
      <c r="B854" s="287" t="s">
        <v>2116</v>
      </c>
      <c r="C854" s="164" t="s">
        <v>7</v>
      </c>
      <c r="D854" s="164">
        <v>1</v>
      </c>
      <c r="E854" s="165">
        <v>36.119999999999997</v>
      </c>
      <c r="F854" s="165">
        <v>36.119999999999997</v>
      </c>
    </row>
    <row r="855" spans="1:6" ht="75" x14ac:dyDescent="0.25">
      <c r="A855" s="286" t="s">
        <v>2117</v>
      </c>
      <c r="B855" s="287" t="s">
        <v>2118</v>
      </c>
      <c r="C855" s="164" t="s">
        <v>7</v>
      </c>
      <c r="D855" s="164">
        <v>1</v>
      </c>
      <c r="E855" s="165">
        <v>90.48</v>
      </c>
      <c r="F855" s="165">
        <v>90.48</v>
      </c>
    </row>
    <row r="856" spans="1:6" ht="60" x14ac:dyDescent="0.25">
      <c r="A856" s="286" t="s">
        <v>2119</v>
      </c>
      <c r="B856" s="287" t="s">
        <v>2120</v>
      </c>
      <c r="C856" s="164" t="s">
        <v>8</v>
      </c>
      <c r="D856" s="164">
        <v>1</v>
      </c>
      <c r="E856" s="165">
        <v>37.28</v>
      </c>
      <c r="F856" s="165">
        <v>37.28</v>
      </c>
    </row>
    <row r="857" spans="1:6" ht="75" x14ac:dyDescent="0.25">
      <c r="A857" s="286" t="s">
        <v>2121</v>
      </c>
      <c r="B857" s="287" t="s">
        <v>2122</v>
      </c>
      <c r="C857" s="164" t="s">
        <v>7</v>
      </c>
      <c r="D857" s="164">
        <v>1</v>
      </c>
      <c r="E857" s="165">
        <v>63.85</v>
      </c>
      <c r="F857" s="165">
        <v>63.85</v>
      </c>
    </row>
    <row r="858" spans="1:6" x14ac:dyDescent="0.25">
      <c r="A858" s="288" t="s">
        <v>2123</v>
      </c>
      <c r="B858" s="285" t="s">
        <v>2124</v>
      </c>
      <c r="C858" s="164"/>
      <c r="D858" s="164"/>
      <c r="E858" s="165"/>
      <c r="F858" s="165"/>
    </row>
    <row r="859" spans="1:6" ht="90" x14ac:dyDescent="0.25">
      <c r="A859" s="286" t="s">
        <v>2125</v>
      </c>
      <c r="B859" s="287" t="s">
        <v>2126</v>
      </c>
      <c r="C859" s="164" t="s">
        <v>8</v>
      </c>
      <c r="D859" s="164">
        <v>1</v>
      </c>
      <c r="E859" s="289">
        <v>1741.9</v>
      </c>
      <c r="F859" s="289">
        <v>1741.9</v>
      </c>
    </row>
    <row r="860" spans="1:6" ht="75" x14ac:dyDescent="0.25">
      <c r="A860" s="286" t="s">
        <v>2127</v>
      </c>
      <c r="B860" s="287" t="s">
        <v>2128</v>
      </c>
      <c r="C860" s="164" t="s">
        <v>8</v>
      </c>
      <c r="D860" s="164">
        <v>1</v>
      </c>
      <c r="E860" s="165">
        <v>886.16</v>
      </c>
      <c r="F860" s="165">
        <v>886.16</v>
      </c>
    </row>
    <row r="861" spans="1:6" ht="75" x14ac:dyDescent="0.25">
      <c r="A861" s="286" t="s">
        <v>2129</v>
      </c>
      <c r="B861" s="287" t="s">
        <v>2130</v>
      </c>
      <c r="C861" s="164" t="s">
        <v>8</v>
      </c>
      <c r="D861" s="164">
        <v>1</v>
      </c>
      <c r="E861" s="165">
        <v>229.28</v>
      </c>
      <c r="F861" s="165">
        <v>229.28</v>
      </c>
    </row>
    <row r="862" spans="1:6" ht="75" x14ac:dyDescent="0.25">
      <c r="A862" s="286" t="s">
        <v>2131</v>
      </c>
      <c r="B862" s="287" t="s">
        <v>2132</v>
      </c>
      <c r="C862" s="164" t="s">
        <v>8</v>
      </c>
      <c r="D862" s="164">
        <v>1</v>
      </c>
      <c r="E862" s="165">
        <v>249.59</v>
      </c>
      <c r="F862" s="165">
        <v>249.59</v>
      </c>
    </row>
    <row r="863" spans="1:6" ht="60" x14ac:dyDescent="0.25">
      <c r="A863" s="286" t="s">
        <v>2133</v>
      </c>
      <c r="B863" s="287" t="s">
        <v>2134</v>
      </c>
      <c r="C863" s="164" t="s">
        <v>8</v>
      </c>
      <c r="D863" s="164">
        <v>1</v>
      </c>
      <c r="E863" s="165">
        <v>593.22</v>
      </c>
      <c r="F863" s="165">
        <v>593.22</v>
      </c>
    </row>
    <row r="864" spans="1:6" ht="75" x14ac:dyDescent="0.25">
      <c r="A864" s="286" t="s">
        <v>2135</v>
      </c>
      <c r="B864" s="287" t="s">
        <v>2136</v>
      </c>
      <c r="C864" s="164" t="s">
        <v>8</v>
      </c>
      <c r="D864" s="164">
        <v>1</v>
      </c>
      <c r="E864" s="165">
        <v>221.4</v>
      </c>
      <c r="F864" s="165">
        <v>221.4</v>
      </c>
    </row>
    <row r="865" spans="1:6" ht="105" x14ac:dyDescent="0.25">
      <c r="A865" s="286" t="s">
        <v>2137</v>
      </c>
      <c r="B865" s="287" t="s">
        <v>2138</v>
      </c>
      <c r="C865" s="164" t="s">
        <v>8</v>
      </c>
      <c r="D865" s="164">
        <v>1</v>
      </c>
      <c r="E865" s="165">
        <v>326.42</v>
      </c>
      <c r="F865" s="165">
        <v>326.42</v>
      </c>
    </row>
    <row r="866" spans="1:6" ht="60" x14ac:dyDescent="0.25">
      <c r="A866" s="286" t="s">
        <v>2139</v>
      </c>
      <c r="B866" s="287" t="s">
        <v>2140</v>
      </c>
      <c r="C866" s="164" t="s">
        <v>8</v>
      </c>
      <c r="D866" s="164">
        <v>1</v>
      </c>
      <c r="E866" s="165">
        <v>25.33</v>
      </c>
      <c r="F866" s="165">
        <v>25.33</v>
      </c>
    </row>
    <row r="867" spans="1:6" ht="60" x14ac:dyDescent="0.25">
      <c r="A867" s="286" t="s">
        <v>2141</v>
      </c>
      <c r="B867" s="287" t="s">
        <v>2142</v>
      </c>
      <c r="C867" s="164" t="s">
        <v>8</v>
      </c>
      <c r="D867" s="164">
        <v>1</v>
      </c>
      <c r="E867" s="165">
        <v>229.92</v>
      </c>
      <c r="F867" s="165">
        <v>229.92</v>
      </c>
    </row>
    <row r="868" spans="1:6" ht="90" x14ac:dyDescent="0.25">
      <c r="A868" s="286" t="s">
        <v>2143</v>
      </c>
      <c r="B868" s="287" t="s">
        <v>2144</v>
      </c>
      <c r="C868" s="164" t="s">
        <v>8</v>
      </c>
      <c r="D868" s="164">
        <v>1</v>
      </c>
      <c r="E868" s="165">
        <v>719.48</v>
      </c>
      <c r="F868" s="165">
        <v>719.48</v>
      </c>
    </row>
    <row r="869" spans="1:6" ht="45" x14ac:dyDescent="0.25">
      <c r="A869" s="286" t="s">
        <v>2145</v>
      </c>
      <c r="B869" s="287" t="s">
        <v>2146</v>
      </c>
      <c r="C869" s="164" t="s">
        <v>8</v>
      </c>
      <c r="D869" s="164">
        <v>1</v>
      </c>
      <c r="E869" s="165">
        <v>413.26</v>
      </c>
      <c r="F869" s="165">
        <v>413.26</v>
      </c>
    </row>
    <row r="870" spans="1:6" ht="105" x14ac:dyDescent="0.25">
      <c r="A870" s="286" t="s">
        <v>2147</v>
      </c>
      <c r="B870" s="287" t="s">
        <v>2148</v>
      </c>
      <c r="C870" s="164" t="s">
        <v>8</v>
      </c>
      <c r="D870" s="164">
        <v>1</v>
      </c>
      <c r="E870" s="289">
        <v>2412.5500000000002</v>
      </c>
      <c r="F870" s="289">
        <v>2412.5500000000002</v>
      </c>
    </row>
    <row r="871" spans="1:6" ht="90" x14ac:dyDescent="0.25">
      <c r="A871" s="286" t="s">
        <v>2149</v>
      </c>
      <c r="B871" s="287" t="s">
        <v>2150</v>
      </c>
      <c r="C871" s="164" t="s">
        <v>8</v>
      </c>
      <c r="D871" s="164">
        <v>1</v>
      </c>
      <c r="E871" s="289">
        <v>2268.54</v>
      </c>
      <c r="F871" s="289">
        <v>2268.54</v>
      </c>
    </row>
    <row r="872" spans="1:6" ht="75" x14ac:dyDescent="0.25">
      <c r="A872" s="286" t="s">
        <v>2151</v>
      </c>
      <c r="B872" s="287" t="s">
        <v>2152</v>
      </c>
      <c r="C872" s="164" t="s">
        <v>8</v>
      </c>
      <c r="D872" s="164">
        <v>1</v>
      </c>
      <c r="E872" s="289">
        <v>2019.44</v>
      </c>
      <c r="F872" s="289">
        <v>2019.44</v>
      </c>
    </row>
    <row r="873" spans="1:6" ht="60" x14ac:dyDescent="0.25">
      <c r="A873" s="286" t="s">
        <v>2153</v>
      </c>
      <c r="B873" s="287" t="s">
        <v>2154</v>
      </c>
      <c r="C873" s="164" t="s">
        <v>8</v>
      </c>
      <c r="D873" s="164">
        <v>1</v>
      </c>
      <c r="E873" s="165">
        <v>107.98</v>
      </c>
      <c r="F873" s="165">
        <v>107.98</v>
      </c>
    </row>
    <row r="874" spans="1:6" ht="45" x14ac:dyDescent="0.25">
      <c r="A874" s="286" t="s">
        <v>2155</v>
      </c>
      <c r="B874" s="287" t="s">
        <v>2156</v>
      </c>
      <c r="C874" s="164" t="s">
        <v>8</v>
      </c>
      <c r="D874" s="164">
        <v>1</v>
      </c>
      <c r="E874" s="165">
        <v>164.48</v>
      </c>
      <c r="F874" s="165">
        <v>164.48</v>
      </c>
    </row>
    <row r="875" spans="1:6" ht="30" x14ac:dyDescent="0.25">
      <c r="A875" s="286" t="s">
        <v>2157</v>
      </c>
      <c r="B875" s="287" t="s">
        <v>2158</v>
      </c>
      <c r="C875" s="164" t="s">
        <v>8</v>
      </c>
      <c r="D875" s="164">
        <v>1</v>
      </c>
      <c r="E875" s="165">
        <v>151.87</v>
      </c>
      <c r="F875" s="165">
        <v>151.87</v>
      </c>
    </row>
    <row r="876" spans="1:6" x14ac:dyDescent="0.25">
      <c r="A876" s="288" t="s">
        <v>2159</v>
      </c>
      <c r="B876" s="285" t="s">
        <v>2160</v>
      </c>
      <c r="C876" s="164"/>
      <c r="D876" s="164"/>
      <c r="E876" s="165"/>
      <c r="F876" s="165"/>
    </row>
    <row r="877" spans="1:6" ht="45" x14ac:dyDescent="0.25">
      <c r="A877" s="286" t="s">
        <v>2161</v>
      </c>
      <c r="B877" s="287" t="s">
        <v>2162</v>
      </c>
      <c r="C877" s="164" t="s">
        <v>5</v>
      </c>
      <c r="D877" s="164">
        <v>1</v>
      </c>
      <c r="E877" s="165">
        <v>5.69</v>
      </c>
      <c r="F877" s="165">
        <v>5.69</v>
      </c>
    </row>
    <row r="878" spans="1:6" ht="60" x14ac:dyDescent="0.25">
      <c r="A878" s="286" t="s">
        <v>2163</v>
      </c>
      <c r="B878" s="287" t="s">
        <v>2164</v>
      </c>
      <c r="C878" s="164" t="s">
        <v>6</v>
      </c>
      <c r="D878" s="164">
        <v>1</v>
      </c>
      <c r="E878" s="289">
        <v>2648.84</v>
      </c>
      <c r="F878" s="289">
        <v>2648.84</v>
      </c>
    </row>
    <row r="879" spans="1:6" ht="60" x14ac:dyDescent="0.25">
      <c r="A879" s="286" t="s">
        <v>2165</v>
      </c>
      <c r="B879" s="287" t="s">
        <v>2166</v>
      </c>
      <c r="C879" s="164" t="s">
        <v>5</v>
      </c>
      <c r="D879" s="164">
        <v>1</v>
      </c>
      <c r="E879" s="165">
        <v>20.72</v>
      </c>
      <c r="F879" s="165">
        <v>20.72</v>
      </c>
    </row>
    <row r="880" spans="1:6" ht="45" x14ac:dyDescent="0.25">
      <c r="A880" s="286" t="s">
        <v>2167</v>
      </c>
      <c r="B880" s="287" t="s">
        <v>2168</v>
      </c>
      <c r="C880" s="164" t="s">
        <v>5</v>
      </c>
      <c r="D880" s="164">
        <v>1</v>
      </c>
      <c r="E880" s="165">
        <v>21.09</v>
      </c>
      <c r="F880" s="165">
        <v>21.09</v>
      </c>
    </row>
    <row r="881" spans="1:6" ht="45" x14ac:dyDescent="0.25">
      <c r="A881" s="286" t="s">
        <v>2169</v>
      </c>
      <c r="B881" s="287" t="s">
        <v>2170</v>
      </c>
      <c r="C881" s="164" t="s">
        <v>5</v>
      </c>
      <c r="D881" s="164">
        <v>1</v>
      </c>
      <c r="E881" s="289">
        <v>1380.18</v>
      </c>
      <c r="F881" s="289">
        <v>1380.18</v>
      </c>
    </row>
    <row r="882" spans="1:6" ht="90" x14ac:dyDescent="0.25">
      <c r="A882" s="286" t="s">
        <v>2171</v>
      </c>
      <c r="B882" s="287" t="s">
        <v>2172</v>
      </c>
      <c r="C882" s="164" t="s">
        <v>5</v>
      </c>
      <c r="D882" s="164">
        <v>1</v>
      </c>
      <c r="E882" s="165">
        <v>54.08</v>
      </c>
      <c r="F882" s="165">
        <v>54.08</v>
      </c>
    </row>
    <row r="883" spans="1:6" ht="45" x14ac:dyDescent="0.25">
      <c r="A883" s="286" t="s">
        <v>2173</v>
      </c>
      <c r="B883" s="287" t="s">
        <v>2174</v>
      </c>
      <c r="C883" s="164" t="s">
        <v>5</v>
      </c>
      <c r="D883" s="164">
        <v>1</v>
      </c>
      <c r="E883" s="165">
        <v>47.53</v>
      </c>
      <c r="F883" s="165">
        <v>47.53</v>
      </c>
    </row>
    <row r="884" spans="1:6" ht="60" x14ac:dyDescent="0.25">
      <c r="A884" s="286" t="s">
        <v>2175</v>
      </c>
      <c r="B884" s="287" t="s">
        <v>2176</v>
      </c>
      <c r="C884" s="164" t="s">
        <v>5</v>
      </c>
      <c r="D884" s="164">
        <v>1</v>
      </c>
      <c r="E884" s="165">
        <v>233.27</v>
      </c>
      <c r="F884" s="165">
        <v>233.27</v>
      </c>
    </row>
    <row r="885" spans="1:6" ht="60" x14ac:dyDescent="0.25">
      <c r="A885" s="286" t="s">
        <v>2177</v>
      </c>
      <c r="B885" s="287" t="s">
        <v>2178</v>
      </c>
      <c r="C885" s="164" t="s">
        <v>5</v>
      </c>
      <c r="D885" s="164">
        <v>1</v>
      </c>
      <c r="E885" s="165">
        <v>654.09</v>
      </c>
      <c r="F885" s="165">
        <v>654.09</v>
      </c>
    </row>
    <row r="886" spans="1:6" ht="45" x14ac:dyDescent="0.25">
      <c r="A886" s="286" t="s">
        <v>2179</v>
      </c>
      <c r="B886" s="287" t="s">
        <v>2180</v>
      </c>
      <c r="C886" s="164" t="s">
        <v>5</v>
      </c>
      <c r="D886" s="164">
        <v>1</v>
      </c>
      <c r="E886" s="165">
        <v>66.37</v>
      </c>
      <c r="F886" s="165">
        <v>66.37</v>
      </c>
    </row>
    <row r="887" spans="1:6" ht="90" x14ac:dyDescent="0.25">
      <c r="A887" s="286" t="s">
        <v>2181</v>
      </c>
      <c r="B887" s="287" t="s">
        <v>2182</v>
      </c>
      <c r="C887" s="164" t="s">
        <v>5</v>
      </c>
      <c r="D887" s="164">
        <v>1</v>
      </c>
      <c r="E887" s="165">
        <v>232.27</v>
      </c>
      <c r="F887" s="165">
        <v>232.27</v>
      </c>
    </row>
    <row r="888" spans="1:6" ht="45" x14ac:dyDescent="0.25">
      <c r="A888" s="286" t="s">
        <v>2183</v>
      </c>
      <c r="B888" s="287" t="s">
        <v>2184</v>
      </c>
      <c r="C888" s="164" t="s">
        <v>6</v>
      </c>
      <c r="D888" s="164">
        <v>1</v>
      </c>
      <c r="E888" s="165">
        <v>546.41999999999996</v>
      </c>
      <c r="F888" s="165">
        <v>546.41999999999996</v>
      </c>
    </row>
    <row r="889" spans="1:6" ht="60" x14ac:dyDescent="0.25">
      <c r="A889" s="286" t="s">
        <v>2185</v>
      </c>
      <c r="B889" s="287" t="s">
        <v>2186</v>
      </c>
      <c r="C889" s="164" t="s">
        <v>5</v>
      </c>
      <c r="D889" s="164">
        <v>1</v>
      </c>
      <c r="E889" s="165">
        <v>20.010000000000002</v>
      </c>
      <c r="F889" s="165">
        <v>20.010000000000002</v>
      </c>
    </row>
    <row r="890" spans="1:6" x14ac:dyDescent="0.25">
      <c r="A890" s="288" t="s">
        <v>2187</v>
      </c>
      <c r="B890" s="285" t="s">
        <v>4282</v>
      </c>
      <c r="C890" s="164"/>
      <c r="D890" s="164"/>
      <c r="E890" s="165"/>
      <c r="F890" s="165"/>
    </row>
    <row r="891" spans="1:6" ht="30" x14ac:dyDescent="0.25">
      <c r="A891" s="286" t="s">
        <v>2188</v>
      </c>
      <c r="B891" s="287" t="s">
        <v>2189</v>
      </c>
      <c r="C891" s="164" t="s">
        <v>8</v>
      </c>
      <c r="D891" s="164">
        <v>1</v>
      </c>
      <c r="E891" s="165">
        <v>36.35</v>
      </c>
      <c r="F891" s="165">
        <v>36.35</v>
      </c>
    </row>
    <row r="892" spans="1:6" x14ac:dyDescent="0.25">
      <c r="A892" s="286" t="s">
        <v>2190</v>
      </c>
      <c r="B892" s="287" t="s">
        <v>2191</v>
      </c>
      <c r="C892" s="164" t="s">
        <v>8</v>
      </c>
      <c r="D892" s="164">
        <v>1</v>
      </c>
      <c r="E892" s="165">
        <v>9.76</v>
      </c>
      <c r="F892" s="165">
        <v>9.76</v>
      </c>
    </row>
    <row r="893" spans="1:6" ht="30" x14ac:dyDescent="0.25">
      <c r="A893" s="286" t="s">
        <v>2192</v>
      </c>
      <c r="B893" s="287" t="s">
        <v>2193</v>
      </c>
      <c r="C893" s="164" t="s">
        <v>7</v>
      </c>
      <c r="D893" s="164">
        <v>1</v>
      </c>
      <c r="E893" s="165">
        <v>3.73</v>
      </c>
      <c r="F893" s="165">
        <v>3.73</v>
      </c>
    </row>
    <row r="894" spans="1:6" x14ac:dyDescent="0.25">
      <c r="A894" s="288" t="s">
        <v>2194</v>
      </c>
      <c r="B894" s="285" t="s">
        <v>59</v>
      </c>
      <c r="C894" s="164"/>
      <c r="D894" s="164"/>
      <c r="E894" s="165"/>
      <c r="F894" s="165"/>
    </row>
    <row r="895" spans="1:6" x14ac:dyDescent="0.25">
      <c r="A895" s="288" t="s">
        <v>2195</v>
      </c>
      <c r="B895" s="285" t="s">
        <v>104</v>
      </c>
      <c r="C895" s="164"/>
      <c r="D895" s="164"/>
      <c r="E895" s="165"/>
      <c r="F895" s="165"/>
    </row>
    <row r="896" spans="1:6" ht="75" x14ac:dyDescent="0.25">
      <c r="A896" s="286" t="s">
        <v>2196</v>
      </c>
      <c r="B896" s="287" t="s">
        <v>2197</v>
      </c>
      <c r="C896" s="164" t="s">
        <v>8</v>
      </c>
      <c r="D896" s="164">
        <v>1</v>
      </c>
      <c r="E896" s="165">
        <v>574.79999999999995</v>
      </c>
      <c r="F896" s="165">
        <v>574.79999999999995</v>
      </c>
    </row>
    <row r="897" spans="1:6" ht="45" x14ac:dyDescent="0.25">
      <c r="A897" s="286" t="s">
        <v>2198</v>
      </c>
      <c r="B897" s="287" t="s">
        <v>2199</v>
      </c>
      <c r="C897" s="164" t="s">
        <v>8</v>
      </c>
      <c r="D897" s="164">
        <v>1</v>
      </c>
      <c r="E897" s="165">
        <v>588.89</v>
      </c>
      <c r="F897" s="165">
        <v>588.89</v>
      </c>
    </row>
    <row r="898" spans="1:6" ht="45" x14ac:dyDescent="0.25">
      <c r="A898" s="286" t="s">
        <v>2200</v>
      </c>
      <c r="B898" s="287" t="s">
        <v>2201</v>
      </c>
      <c r="C898" s="164" t="s">
        <v>8</v>
      </c>
      <c r="D898" s="164">
        <v>1</v>
      </c>
      <c r="E898" s="165">
        <v>70.25</v>
      </c>
      <c r="F898" s="165">
        <v>70.25</v>
      </c>
    </row>
    <row r="899" spans="1:6" ht="60" x14ac:dyDescent="0.25">
      <c r="A899" s="286" t="s">
        <v>2202</v>
      </c>
      <c r="B899" s="287" t="s">
        <v>2203</v>
      </c>
      <c r="C899" s="164" t="s">
        <v>8</v>
      </c>
      <c r="D899" s="164">
        <v>1</v>
      </c>
      <c r="E899" s="165">
        <v>696.14</v>
      </c>
      <c r="F899" s="165">
        <v>696.14</v>
      </c>
    </row>
    <row r="900" spans="1:6" ht="60" x14ac:dyDescent="0.25">
      <c r="A900" s="286" t="s">
        <v>2204</v>
      </c>
      <c r="B900" s="287" t="s">
        <v>2205</v>
      </c>
      <c r="C900" s="164" t="s">
        <v>8</v>
      </c>
      <c r="D900" s="164">
        <v>1</v>
      </c>
      <c r="E900" s="165">
        <v>338.08</v>
      </c>
      <c r="F900" s="165">
        <v>338.08</v>
      </c>
    </row>
    <row r="901" spans="1:6" ht="75" x14ac:dyDescent="0.25">
      <c r="A901" s="286" t="s">
        <v>2206</v>
      </c>
      <c r="B901" s="287" t="s">
        <v>2207</v>
      </c>
      <c r="C901" s="164" t="s">
        <v>8</v>
      </c>
      <c r="D901" s="164">
        <v>1</v>
      </c>
      <c r="E901" s="165">
        <v>407.69</v>
      </c>
      <c r="F901" s="165">
        <v>407.69</v>
      </c>
    </row>
    <row r="902" spans="1:6" ht="60" x14ac:dyDescent="0.25">
      <c r="A902" s="286" t="s">
        <v>2208</v>
      </c>
      <c r="B902" s="287" t="s">
        <v>2209</v>
      </c>
      <c r="C902" s="164" t="s">
        <v>8</v>
      </c>
      <c r="D902" s="164">
        <v>1</v>
      </c>
      <c r="E902" s="165">
        <v>251.53</v>
      </c>
      <c r="F902" s="165">
        <v>251.53</v>
      </c>
    </row>
    <row r="903" spans="1:6" ht="45" x14ac:dyDescent="0.25">
      <c r="A903" s="286" t="s">
        <v>2210</v>
      </c>
      <c r="B903" s="287" t="s">
        <v>2211</v>
      </c>
      <c r="C903" s="164" t="s">
        <v>8</v>
      </c>
      <c r="D903" s="164">
        <v>1</v>
      </c>
      <c r="E903" s="165">
        <v>58.24</v>
      </c>
      <c r="F903" s="165">
        <v>58.24</v>
      </c>
    </row>
    <row r="904" spans="1:6" ht="60" x14ac:dyDescent="0.25">
      <c r="A904" s="286" t="s">
        <v>2212</v>
      </c>
      <c r="B904" s="287" t="s">
        <v>2213</v>
      </c>
      <c r="C904" s="164" t="s">
        <v>8</v>
      </c>
      <c r="D904" s="164">
        <v>1</v>
      </c>
      <c r="E904" s="165">
        <v>331.73</v>
      </c>
      <c r="F904" s="165">
        <v>331.73</v>
      </c>
    </row>
    <row r="905" spans="1:6" ht="75" x14ac:dyDescent="0.25">
      <c r="A905" s="286" t="s">
        <v>2214</v>
      </c>
      <c r="B905" s="287" t="s">
        <v>2215</v>
      </c>
      <c r="C905" s="164" t="s">
        <v>8</v>
      </c>
      <c r="D905" s="164">
        <v>1</v>
      </c>
      <c r="E905" s="165">
        <v>218.57</v>
      </c>
      <c r="F905" s="165">
        <v>218.57</v>
      </c>
    </row>
    <row r="906" spans="1:6" ht="60" x14ac:dyDescent="0.25">
      <c r="A906" s="286" t="s">
        <v>2216</v>
      </c>
      <c r="B906" s="287" t="s">
        <v>2217</v>
      </c>
      <c r="C906" s="164" t="s">
        <v>8</v>
      </c>
      <c r="D906" s="164">
        <v>1</v>
      </c>
      <c r="E906" s="165">
        <v>359.26</v>
      </c>
      <c r="F906" s="165">
        <v>359.26</v>
      </c>
    </row>
    <row r="907" spans="1:6" ht="60" x14ac:dyDescent="0.25">
      <c r="A907" s="286" t="s">
        <v>2218</v>
      </c>
      <c r="B907" s="287" t="s">
        <v>2219</v>
      </c>
      <c r="C907" s="164" t="s">
        <v>8</v>
      </c>
      <c r="D907" s="164">
        <v>1</v>
      </c>
      <c r="E907" s="165">
        <v>139.87</v>
      </c>
      <c r="F907" s="165">
        <v>139.87</v>
      </c>
    </row>
    <row r="908" spans="1:6" ht="45" x14ac:dyDescent="0.25">
      <c r="A908" s="286" t="s">
        <v>2220</v>
      </c>
      <c r="B908" s="287" t="s">
        <v>105</v>
      </c>
      <c r="C908" s="164" t="s">
        <v>8</v>
      </c>
      <c r="D908" s="164">
        <v>1</v>
      </c>
      <c r="E908" s="165">
        <v>539.88</v>
      </c>
      <c r="F908" s="165">
        <v>539.88</v>
      </c>
    </row>
    <row r="909" spans="1:6" ht="105" x14ac:dyDescent="0.25">
      <c r="A909" s="286" t="s">
        <v>2221</v>
      </c>
      <c r="B909" s="287" t="s">
        <v>2222</v>
      </c>
      <c r="C909" s="164" t="s">
        <v>8</v>
      </c>
      <c r="D909" s="164">
        <v>1</v>
      </c>
      <c r="E909" s="289">
        <v>2126.41</v>
      </c>
      <c r="F909" s="289">
        <v>2126.41</v>
      </c>
    </row>
    <row r="910" spans="1:6" ht="105" x14ac:dyDescent="0.25">
      <c r="A910" s="286" t="s">
        <v>2223</v>
      </c>
      <c r="B910" s="287" t="s">
        <v>2224</v>
      </c>
      <c r="C910" s="164" t="s">
        <v>8</v>
      </c>
      <c r="D910" s="164">
        <v>1</v>
      </c>
      <c r="E910" s="165">
        <v>940.54</v>
      </c>
      <c r="F910" s="165">
        <v>940.54</v>
      </c>
    </row>
    <row r="911" spans="1:6" ht="30" x14ac:dyDescent="0.25">
      <c r="A911" s="286" t="s">
        <v>2225</v>
      </c>
      <c r="B911" s="287" t="s">
        <v>2226</v>
      </c>
      <c r="C911" s="164" t="s">
        <v>8</v>
      </c>
      <c r="D911" s="164">
        <v>1</v>
      </c>
      <c r="E911" s="165">
        <v>559.05999999999995</v>
      </c>
      <c r="F911" s="165">
        <v>559.05999999999995</v>
      </c>
    </row>
    <row r="912" spans="1:6" ht="45" x14ac:dyDescent="0.25">
      <c r="A912" s="286" t="s">
        <v>2227</v>
      </c>
      <c r="B912" s="287" t="s">
        <v>2228</v>
      </c>
      <c r="C912" s="164" t="s">
        <v>8</v>
      </c>
      <c r="D912" s="164">
        <v>1</v>
      </c>
      <c r="E912" s="165">
        <v>668.06</v>
      </c>
      <c r="F912" s="165">
        <v>668.06</v>
      </c>
    </row>
    <row r="913" spans="1:6" ht="60" x14ac:dyDescent="0.25">
      <c r="A913" s="286" t="s">
        <v>2229</v>
      </c>
      <c r="B913" s="287" t="s">
        <v>2230</v>
      </c>
      <c r="C913" s="164" t="s">
        <v>8</v>
      </c>
      <c r="D913" s="164">
        <v>1</v>
      </c>
      <c r="E913" s="165">
        <v>940.58</v>
      </c>
      <c r="F913" s="165">
        <v>940.58</v>
      </c>
    </row>
    <row r="914" spans="1:6" ht="75" x14ac:dyDescent="0.25">
      <c r="A914" s="286" t="s">
        <v>2231</v>
      </c>
      <c r="B914" s="287" t="s">
        <v>2232</v>
      </c>
      <c r="C914" s="164" t="s">
        <v>8</v>
      </c>
      <c r="D914" s="164">
        <v>1</v>
      </c>
      <c r="E914" s="289">
        <v>1646.85</v>
      </c>
      <c r="F914" s="289">
        <v>1646.85</v>
      </c>
    </row>
    <row r="915" spans="1:6" ht="45" x14ac:dyDescent="0.25">
      <c r="A915" s="286" t="s">
        <v>2233</v>
      </c>
      <c r="B915" s="287" t="s">
        <v>2234</v>
      </c>
      <c r="C915" s="164" t="s">
        <v>8</v>
      </c>
      <c r="D915" s="164">
        <v>1</v>
      </c>
      <c r="E915" s="165">
        <v>347.14</v>
      </c>
      <c r="F915" s="165">
        <v>347.14</v>
      </c>
    </row>
    <row r="916" spans="1:6" ht="60" x14ac:dyDescent="0.25">
      <c r="A916" s="286" t="s">
        <v>2235</v>
      </c>
      <c r="B916" s="287" t="s">
        <v>2236</v>
      </c>
      <c r="C916" s="164" t="s">
        <v>8</v>
      </c>
      <c r="D916" s="164">
        <v>1</v>
      </c>
      <c r="E916" s="165">
        <v>551.95000000000005</v>
      </c>
      <c r="F916" s="165">
        <v>551.95000000000005</v>
      </c>
    </row>
    <row r="917" spans="1:6" ht="90" x14ac:dyDescent="0.25">
      <c r="A917" s="286" t="s">
        <v>2237</v>
      </c>
      <c r="B917" s="287" t="s">
        <v>106</v>
      </c>
      <c r="C917" s="164" t="s">
        <v>8</v>
      </c>
      <c r="D917" s="164">
        <v>1</v>
      </c>
      <c r="E917" s="289">
        <v>2196.1</v>
      </c>
      <c r="F917" s="289">
        <v>2196.1</v>
      </c>
    </row>
    <row r="918" spans="1:6" ht="75" x14ac:dyDescent="0.25">
      <c r="A918" s="286" t="s">
        <v>2238</v>
      </c>
      <c r="B918" s="287" t="s">
        <v>2239</v>
      </c>
      <c r="C918" s="164" t="s">
        <v>8</v>
      </c>
      <c r="D918" s="164">
        <v>1</v>
      </c>
      <c r="E918" s="165">
        <v>958.83</v>
      </c>
      <c r="F918" s="165">
        <v>958.83</v>
      </c>
    </row>
    <row r="919" spans="1:6" x14ac:dyDescent="0.25">
      <c r="A919" s="288" t="s">
        <v>2240</v>
      </c>
      <c r="B919" s="285" t="s">
        <v>60</v>
      </c>
      <c r="C919" s="164"/>
      <c r="D919" s="164"/>
      <c r="E919" s="165"/>
      <c r="F919" s="165"/>
    </row>
    <row r="920" spans="1:6" x14ac:dyDescent="0.25">
      <c r="A920" s="286" t="s">
        <v>2241</v>
      </c>
      <c r="B920" s="287" t="s">
        <v>2242</v>
      </c>
      <c r="C920" s="164" t="s">
        <v>5</v>
      </c>
      <c r="D920" s="164">
        <v>1</v>
      </c>
      <c r="E920" s="165">
        <v>448.59</v>
      </c>
      <c r="F920" s="165">
        <v>448.59</v>
      </c>
    </row>
    <row r="921" spans="1:6" ht="30" x14ac:dyDescent="0.25">
      <c r="A921" s="286" t="s">
        <v>2243</v>
      </c>
      <c r="B921" s="287" t="s">
        <v>2244</v>
      </c>
      <c r="C921" s="164" t="s">
        <v>5</v>
      </c>
      <c r="D921" s="164">
        <v>1</v>
      </c>
      <c r="E921" s="165">
        <v>364.71</v>
      </c>
      <c r="F921" s="165">
        <v>364.71</v>
      </c>
    </row>
    <row r="922" spans="1:6" ht="30" x14ac:dyDescent="0.25">
      <c r="A922" s="286" t="s">
        <v>2245</v>
      </c>
      <c r="B922" s="287" t="s">
        <v>2246</v>
      </c>
      <c r="C922" s="164" t="s">
        <v>5</v>
      </c>
      <c r="D922" s="164">
        <v>1</v>
      </c>
      <c r="E922" s="165">
        <v>23.61</v>
      </c>
      <c r="F922" s="165">
        <v>23.61</v>
      </c>
    </row>
    <row r="923" spans="1:6" ht="90" x14ac:dyDescent="0.25">
      <c r="A923" s="286" t="s">
        <v>2247</v>
      </c>
      <c r="B923" s="287" t="s">
        <v>2248</v>
      </c>
      <c r="C923" s="164" t="s">
        <v>8</v>
      </c>
      <c r="D923" s="164">
        <v>1</v>
      </c>
      <c r="E923" s="289">
        <v>1798.91</v>
      </c>
      <c r="F923" s="289">
        <v>1798.91</v>
      </c>
    </row>
    <row r="924" spans="1:6" ht="30" x14ac:dyDescent="0.25">
      <c r="A924" s="288" t="s">
        <v>2249</v>
      </c>
      <c r="B924" s="285" t="s">
        <v>61</v>
      </c>
      <c r="C924" s="164"/>
      <c r="D924" s="164"/>
      <c r="E924" s="165"/>
      <c r="F924" s="165"/>
    </row>
    <row r="925" spans="1:6" ht="45" x14ac:dyDescent="0.25">
      <c r="A925" s="286" t="s">
        <v>2250</v>
      </c>
      <c r="B925" s="287" t="s">
        <v>2251</v>
      </c>
      <c r="C925" s="164" t="s">
        <v>8</v>
      </c>
      <c r="D925" s="164">
        <v>1</v>
      </c>
      <c r="E925" s="165">
        <v>190.89</v>
      </c>
      <c r="F925" s="165">
        <v>190.89</v>
      </c>
    </row>
    <row r="926" spans="1:6" ht="30" x14ac:dyDescent="0.25">
      <c r="A926" s="286" t="s">
        <v>2252</v>
      </c>
      <c r="B926" s="287" t="s">
        <v>2253</v>
      </c>
      <c r="C926" s="164" t="s">
        <v>8</v>
      </c>
      <c r="D926" s="164">
        <v>1</v>
      </c>
      <c r="E926" s="165">
        <v>131.72</v>
      </c>
      <c r="F926" s="165">
        <v>131.72</v>
      </c>
    </row>
    <row r="927" spans="1:6" ht="30" x14ac:dyDescent="0.25">
      <c r="A927" s="286" t="s">
        <v>2254</v>
      </c>
      <c r="B927" s="287" t="s">
        <v>2255</v>
      </c>
      <c r="C927" s="164" t="s">
        <v>8</v>
      </c>
      <c r="D927" s="164">
        <v>1</v>
      </c>
      <c r="E927" s="165">
        <v>103.8</v>
      </c>
      <c r="F927" s="165">
        <v>103.8</v>
      </c>
    </row>
    <row r="928" spans="1:6" ht="45" x14ac:dyDescent="0.25">
      <c r="A928" s="286" t="s">
        <v>2256</v>
      </c>
      <c r="B928" s="287" t="s">
        <v>2257</v>
      </c>
      <c r="C928" s="164" t="s">
        <v>8</v>
      </c>
      <c r="D928" s="164">
        <v>1</v>
      </c>
      <c r="E928" s="165">
        <v>152.61000000000001</v>
      </c>
      <c r="F928" s="165">
        <v>152.61000000000001</v>
      </c>
    </row>
    <row r="929" spans="1:6" ht="45" x14ac:dyDescent="0.25">
      <c r="A929" s="286" t="s">
        <v>2258</v>
      </c>
      <c r="B929" s="287" t="s">
        <v>2259</v>
      </c>
      <c r="C929" s="164" t="s">
        <v>8</v>
      </c>
      <c r="D929" s="164">
        <v>1</v>
      </c>
      <c r="E929" s="165">
        <v>57.04</v>
      </c>
      <c r="F929" s="165">
        <v>57.04</v>
      </c>
    </row>
    <row r="930" spans="1:6" ht="45" x14ac:dyDescent="0.25">
      <c r="A930" s="286" t="s">
        <v>2260</v>
      </c>
      <c r="B930" s="287" t="s">
        <v>2261</v>
      </c>
      <c r="C930" s="164" t="s">
        <v>8</v>
      </c>
      <c r="D930" s="164">
        <v>1</v>
      </c>
      <c r="E930" s="165">
        <v>131.72</v>
      </c>
      <c r="F930" s="165">
        <v>131.72</v>
      </c>
    </row>
    <row r="931" spans="1:6" ht="45" x14ac:dyDescent="0.25">
      <c r="A931" s="286" t="s">
        <v>2262</v>
      </c>
      <c r="B931" s="287" t="s">
        <v>2263</v>
      </c>
      <c r="C931" s="164" t="s">
        <v>8</v>
      </c>
      <c r="D931" s="164">
        <v>1</v>
      </c>
      <c r="E931" s="165">
        <v>200.22</v>
      </c>
      <c r="F931" s="165">
        <v>200.22</v>
      </c>
    </row>
    <row r="932" spans="1:6" ht="45" x14ac:dyDescent="0.25">
      <c r="A932" s="286" t="s">
        <v>2264</v>
      </c>
      <c r="B932" s="287" t="s">
        <v>2265</v>
      </c>
      <c r="C932" s="164" t="s">
        <v>8</v>
      </c>
      <c r="D932" s="164">
        <v>1</v>
      </c>
      <c r="E932" s="165">
        <v>112.14</v>
      </c>
      <c r="F932" s="165">
        <v>112.14</v>
      </c>
    </row>
    <row r="933" spans="1:6" ht="45" x14ac:dyDescent="0.25">
      <c r="A933" s="286" t="s">
        <v>2266</v>
      </c>
      <c r="B933" s="287" t="s">
        <v>368</v>
      </c>
      <c r="C933" s="164" t="s">
        <v>8</v>
      </c>
      <c r="D933" s="164">
        <v>1</v>
      </c>
      <c r="E933" s="165">
        <v>116.3</v>
      </c>
      <c r="F933" s="165">
        <v>116.3</v>
      </c>
    </row>
    <row r="934" spans="1:6" ht="30" x14ac:dyDescent="0.25">
      <c r="A934" s="286" t="s">
        <v>2267</v>
      </c>
      <c r="B934" s="287" t="s">
        <v>2268</v>
      </c>
      <c r="C934" s="164" t="s">
        <v>8</v>
      </c>
      <c r="D934" s="164">
        <v>1</v>
      </c>
      <c r="E934" s="165">
        <v>70.400000000000006</v>
      </c>
      <c r="F934" s="165">
        <v>70.400000000000006</v>
      </c>
    </row>
    <row r="935" spans="1:6" ht="30" x14ac:dyDescent="0.25">
      <c r="A935" s="286" t="s">
        <v>2269</v>
      </c>
      <c r="B935" s="287" t="s">
        <v>2270</v>
      </c>
      <c r="C935" s="164" t="s">
        <v>8</v>
      </c>
      <c r="D935" s="164">
        <v>1</v>
      </c>
      <c r="E935" s="165">
        <v>51.45</v>
      </c>
      <c r="F935" s="165">
        <v>51.45</v>
      </c>
    </row>
    <row r="936" spans="1:6" ht="30" x14ac:dyDescent="0.25">
      <c r="A936" s="286" t="s">
        <v>2271</v>
      </c>
      <c r="B936" s="287" t="s">
        <v>2272</v>
      </c>
      <c r="C936" s="164" t="s">
        <v>8</v>
      </c>
      <c r="D936" s="164">
        <v>1</v>
      </c>
      <c r="E936" s="165">
        <v>59.81</v>
      </c>
      <c r="F936" s="165">
        <v>59.81</v>
      </c>
    </row>
    <row r="937" spans="1:6" ht="30" x14ac:dyDescent="0.25">
      <c r="A937" s="286" t="s">
        <v>2273</v>
      </c>
      <c r="B937" s="287" t="s">
        <v>2274</v>
      </c>
      <c r="C937" s="164" t="s">
        <v>8</v>
      </c>
      <c r="D937" s="164">
        <v>1</v>
      </c>
      <c r="E937" s="165">
        <v>76</v>
      </c>
      <c r="F937" s="165">
        <v>76</v>
      </c>
    </row>
    <row r="938" spans="1:6" ht="30" x14ac:dyDescent="0.25">
      <c r="A938" s="286" t="s">
        <v>2275</v>
      </c>
      <c r="B938" s="287" t="s">
        <v>2276</v>
      </c>
      <c r="C938" s="164" t="s">
        <v>8</v>
      </c>
      <c r="D938" s="164">
        <v>1</v>
      </c>
      <c r="E938" s="165">
        <v>97.62</v>
      </c>
      <c r="F938" s="165">
        <v>97.62</v>
      </c>
    </row>
    <row r="939" spans="1:6" ht="30" x14ac:dyDescent="0.25">
      <c r="A939" s="286" t="s">
        <v>2277</v>
      </c>
      <c r="B939" s="287" t="s">
        <v>2278</v>
      </c>
      <c r="C939" s="164" t="s">
        <v>8</v>
      </c>
      <c r="D939" s="164">
        <v>1</v>
      </c>
      <c r="E939" s="165">
        <v>119.16</v>
      </c>
      <c r="F939" s="165">
        <v>119.16</v>
      </c>
    </row>
    <row r="940" spans="1:6" ht="30" x14ac:dyDescent="0.25">
      <c r="A940" s="286" t="s">
        <v>2279</v>
      </c>
      <c r="B940" s="287" t="s">
        <v>2280</v>
      </c>
      <c r="C940" s="164" t="s">
        <v>8</v>
      </c>
      <c r="D940" s="164">
        <v>1</v>
      </c>
      <c r="E940" s="165">
        <v>184.18</v>
      </c>
      <c r="F940" s="165">
        <v>184.18</v>
      </c>
    </row>
    <row r="941" spans="1:6" ht="30" x14ac:dyDescent="0.25">
      <c r="A941" s="286" t="s">
        <v>2281</v>
      </c>
      <c r="B941" s="287" t="s">
        <v>2282</v>
      </c>
      <c r="C941" s="164" t="s">
        <v>8</v>
      </c>
      <c r="D941" s="164">
        <v>1</v>
      </c>
      <c r="E941" s="165">
        <v>406.81</v>
      </c>
      <c r="F941" s="165">
        <v>406.81</v>
      </c>
    </row>
    <row r="942" spans="1:6" ht="30" x14ac:dyDescent="0.25">
      <c r="A942" s="286" t="s">
        <v>2283</v>
      </c>
      <c r="B942" s="287" t="s">
        <v>2284</v>
      </c>
      <c r="C942" s="164" t="s">
        <v>8</v>
      </c>
      <c r="D942" s="164">
        <v>1</v>
      </c>
      <c r="E942" s="165">
        <v>496.44</v>
      </c>
      <c r="F942" s="165">
        <v>496.44</v>
      </c>
    </row>
    <row r="943" spans="1:6" ht="45" x14ac:dyDescent="0.25">
      <c r="A943" s="286" t="s">
        <v>2285</v>
      </c>
      <c r="B943" s="287" t="s">
        <v>2286</v>
      </c>
      <c r="C943" s="164" t="s">
        <v>8</v>
      </c>
      <c r="D943" s="164">
        <v>1</v>
      </c>
      <c r="E943" s="165">
        <v>123.97</v>
      </c>
      <c r="F943" s="165">
        <v>123.97</v>
      </c>
    </row>
    <row r="944" spans="1:6" ht="45" x14ac:dyDescent="0.25">
      <c r="A944" s="286" t="s">
        <v>2287</v>
      </c>
      <c r="B944" s="287" t="s">
        <v>231</v>
      </c>
      <c r="C944" s="164" t="s">
        <v>8</v>
      </c>
      <c r="D944" s="164">
        <v>1</v>
      </c>
      <c r="E944" s="165">
        <v>124.84</v>
      </c>
      <c r="F944" s="165">
        <v>124.84</v>
      </c>
    </row>
    <row r="945" spans="1:6" ht="45" x14ac:dyDescent="0.25">
      <c r="A945" s="286" t="s">
        <v>2288</v>
      </c>
      <c r="B945" s="287" t="s">
        <v>2289</v>
      </c>
      <c r="C945" s="164" t="s">
        <v>8</v>
      </c>
      <c r="D945" s="164">
        <v>1</v>
      </c>
      <c r="E945" s="165">
        <v>166.26</v>
      </c>
      <c r="F945" s="165">
        <v>166.26</v>
      </c>
    </row>
    <row r="946" spans="1:6" ht="45" x14ac:dyDescent="0.25">
      <c r="A946" s="286" t="s">
        <v>2290</v>
      </c>
      <c r="B946" s="287" t="s">
        <v>2291</v>
      </c>
      <c r="C946" s="164" t="s">
        <v>8</v>
      </c>
      <c r="D946" s="164">
        <v>1</v>
      </c>
      <c r="E946" s="165">
        <v>225.28</v>
      </c>
      <c r="F946" s="165">
        <v>225.28</v>
      </c>
    </row>
    <row r="947" spans="1:6" ht="45" x14ac:dyDescent="0.25">
      <c r="A947" s="286" t="s">
        <v>2292</v>
      </c>
      <c r="B947" s="287" t="s">
        <v>2293</v>
      </c>
      <c r="C947" s="164" t="s">
        <v>8</v>
      </c>
      <c r="D947" s="164">
        <v>1</v>
      </c>
      <c r="E947" s="165">
        <v>237.21</v>
      </c>
      <c r="F947" s="165">
        <v>237.21</v>
      </c>
    </row>
    <row r="948" spans="1:6" ht="30" x14ac:dyDescent="0.25">
      <c r="A948" s="286" t="s">
        <v>2294</v>
      </c>
      <c r="B948" s="287" t="s">
        <v>2295</v>
      </c>
      <c r="C948" s="164" t="s">
        <v>8</v>
      </c>
      <c r="D948" s="164">
        <v>1</v>
      </c>
      <c r="E948" s="165">
        <v>83.09</v>
      </c>
      <c r="F948" s="165">
        <v>83.09</v>
      </c>
    </row>
    <row r="949" spans="1:6" ht="30" x14ac:dyDescent="0.25">
      <c r="A949" s="286" t="s">
        <v>2296</v>
      </c>
      <c r="B949" s="287" t="s">
        <v>2297</v>
      </c>
      <c r="C949" s="164" t="s">
        <v>8</v>
      </c>
      <c r="D949" s="164">
        <v>1</v>
      </c>
      <c r="E949" s="165">
        <v>97.24</v>
      </c>
      <c r="F949" s="165">
        <v>97.24</v>
      </c>
    </row>
    <row r="950" spans="1:6" ht="30" x14ac:dyDescent="0.25">
      <c r="A950" s="286" t="s">
        <v>2298</v>
      </c>
      <c r="B950" s="287" t="s">
        <v>2299</v>
      </c>
      <c r="C950" s="164" t="s">
        <v>8</v>
      </c>
      <c r="D950" s="164">
        <v>1</v>
      </c>
      <c r="E950" s="165">
        <v>110.64</v>
      </c>
      <c r="F950" s="165">
        <v>110.64</v>
      </c>
    </row>
    <row r="951" spans="1:6" ht="30" x14ac:dyDescent="0.25">
      <c r="A951" s="286" t="s">
        <v>2300</v>
      </c>
      <c r="B951" s="287" t="s">
        <v>2301</v>
      </c>
      <c r="C951" s="164" t="s">
        <v>8</v>
      </c>
      <c r="D951" s="164">
        <v>1</v>
      </c>
      <c r="E951" s="165">
        <v>154.99</v>
      </c>
      <c r="F951" s="165">
        <v>154.99</v>
      </c>
    </row>
    <row r="952" spans="1:6" ht="30" x14ac:dyDescent="0.25">
      <c r="A952" s="286" t="s">
        <v>2302</v>
      </c>
      <c r="B952" s="287" t="s">
        <v>2303</v>
      </c>
      <c r="C952" s="164" t="s">
        <v>8</v>
      </c>
      <c r="D952" s="164">
        <v>1</v>
      </c>
      <c r="E952" s="165">
        <v>174.35</v>
      </c>
      <c r="F952" s="165">
        <v>174.35</v>
      </c>
    </row>
    <row r="953" spans="1:6" ht="30" x14ac:dyDescent="0.25">
      <c r="A953" s="286" t="s">
        <v>2304</v>
      </c>
      <c r="B953" s="287" t="s">
        <v>2305</v>
      </c>
      <c r="C953" s="164" t="s">
        <v>8</v>
      </c>
      <c r="D953" s="164">
        <v>1</v>
      </c>
      <c r="E953" s="165">
        <v>280.10000000000002</v>
      </c>
      <c r="F953" s="165">
        <v>280.10000000000002</v>
      </c>
    </row>
    <row r="954" spans="1:6" ht="30" x14ac:dyDescent="0.25">
      <c r="A954" s="286" t="s">
        <v>2306</v>
      </c>
      <c r="B954" s="287" t="s">
        <v>2307</v>
      </c>
      <c r="C954" s="164" t="s">
        <v>8</v>
      </c>
      <c r="D954" s="164">
        <v>1</v>
      </c>
      <c r="E954" s="165">
        <v>471.17</v>
      </c>
      <c r="F954" s="165">
        <v>471.17</v>
      </c>
    </row>
    <row r="955" spans="1:6" ht="30" x14ac:dyDescent="0.25">
      <c r="A955" s="286" t="s">
        <v>2308</v>
      </c>
      <c r="B955" s="287" t="s">
        <v>2309</v>
      </c>
      <c r="C955" s="164" t="s">
        <v>8</v>
      </c>
      <c r="D955" s="164">
        <v>1</v>
      </c>
      <c r="E955" s="165">
        <v>611.11</v>
      </c>
      <c r="F955" s="165">
        <v>611.11</v>
      </c>
    </row>
    <row r="956" spans="1:6" ht="45" x14ac:dyDescent="0.25">
      <c r="A956" s="286" t="s">
        <v>2310</v>
      </c>
      <c r="B956" s="287" t="s">
        <v>2311</v>
      </c>
      <c r="C956" s="164" t="s">
        <v>8</v>
      </c>
      <c r="D956" s="164">
        <v>1</v>
      </c>
      <c r="E956" s="165">
        <v>355.21</v>
      </c>
      <c r="F956" s="165">
        <v>355.21</v>
      </c>
    </row>
    <row r="957" spans="1:6" ht="45" x14ac:dyDescent="0.25">
      <c r="A957" s="286" t="s">
        <v>2312</v>
      </c>
      <c r="B957" s="287" t="s">
        <v>2313</v>
      </c>
      <c r="C957" s="164" t="s">
        <v>8</v>
      </c>
      <c r="D957" s="164">
        <v>1</v>
      </c>
      <c r="E957" s="165">
        <v>384.17</v>
      </c>
      <c r="F957" s="165">
        <v>384.17</v>
      </c>
    </row>
    <row r="958" spans="1:6" ht="30" x14ac:dyDescent="0.25">
      <c r="A958" s="286" t="s">
        <v>2314</v>
      </c>
      <c r="B958" s="287" t="s">
        <v>2315</v>
      </c>
      <c r="C958" s="164" t="s">
        <v>8</v>
      </c>
      <c r="D958" s="164">
        <v>1</v>
      </c>
      <c r="E958" s="165">
        <v>9.32</v>
      </c>
      <c r="F958" s="165">
        <v>9.32</v>
      </c>
    </row>
    <row r="959" spans="1:6" ht="30" x14ac:dyDescent="0.25">
      <c r="A959" s="286" t="s">
        <v>2316</v>
      </c>
      <c r="B959" s="287" t="s">
        <v>2317</v>
      </c>
      <c r="C959" s="164" t="s">
        <v>8</v>
      </c>
      <c r="D959" s="164">
        <v>1</v>
      </c>
      <c r="E959" s="165">
        <v>10.98</v>
      </c>
      <c r="F959" s="165">
        <v>10.98</v>
      </c>
    </row>
    <row r="960" spans="1:6" ht="45" x14ac:dyDescent="0.25">
      <c r="A960" s="286" t="s">
        <v>2318</v>
      </c>
      <c r="B960" s="287" t="s">
        <v>2319</v>
      </c>
      <c r="C960" s="164" t="s">
        <v>8</v>
      </c>
      <c r="D960" s="164">
        <v>1</v>
      </c>
      <c r="E960" s="165">
        <v>96.03</v>
      </c>
      <c r="F960" s="165">
        <v>96.03</v>
      </c>
    </row>
    <row r="961" spans="1:6" ht="30" x14ac:dyDescent="0.25">
      <c r="A961" s="286" t="s">
        <v>2320</v>
      </c>
      <c r="B961" s="287" t="s">
        <v>2321</v>
      </c>
      <c r="C961" s="164" t="s">
        <v>8</v>
      </c>
      <c r="D961" s="164">
        <v>1</v>
      </c>
      <c r="E961" s="165">
        <v>24.85</v>
      </c>
      <c r="F961" s="165">
        <v>24.85</v>
      </c>
    </row>
    <row r="962" spans="1:6" ht="45" x14ac:dyDescent="0.25">
      <c r="A962" s="286" t="s">
        <v>2322</v>
      </c>
      <c r="B962" s="287" t="s">
        <v>99</v>
      </c>
      <c r="C962" s="164" t="s">
        <v>8</v>
      </c>
      <c r="D962" s="164">
        <v>1</v>
      </c>
      <c r="E962" s="165">
        <v>320.98</v>
      </c>
      <c r="F962" s="165">
        <v>320.98</v>
      </c>
    </row>
    <row r="963" spans="1:6" ht="45" x14ac:dyDescent="0.25">
      <c r="A963" s="286" t="s">
        <v>2323</v>
      </c>
      <c r="B963" s="287" t="s">
        <v>2324</v>
      </c>
      <c r="C963" s="164" t="s">
        <v>8</v>
      </c>
      <c r="D963" s="164">
        <v>1</v>
      </c>
      <c r="E963" s="165">
        <v>551.70000000000005</v>
      </c>
      <c r="F963" s="165">
        <v>551.70000000000005</v>
      </c>
    </row>
    <row r="964" spans="1:6" ht="45" x14ac:dyDescent="0.25">
      <c r="A964" s="286" t="s">
        <v>2325</v>
      </c>
      <c r="B964" s="287" t="s">
        <v>107</v>
      </c>
      <c r="C964" s="164" t="s">
        <v>8</v>
      </c>
      <c r="D964" s="164">
        <v>1</v>
      </c>
      <c r="E964" s="165">
        <v>856.92</v>
      </c>
      <c r="F964" s="165">
        <v>856.92</v>
      </c>
    </row>
    <row r="965" spans="1:6" ht="45" x14ac:dyDescent="0.25">
      <c r="A965" s="286" t="s">
        <v>2326</v>
      </c>
      <c r="B965" s="287" t="s">
        <v>2327</v>
      </c>
      <c r="C965" s="164" t="s">
        <v>8</v>
      </c>
      <c r="D965" s="164">
        <v>1</v>
      </c>
      <c r="E965" s="165">
        <v>811.94</v>
      </c>
      <c r="F965" s="165">
        <v>811.94</v>
      </c>
    </row>
    <row r="966" spans="1:6" ht="45" x14ac:dyDescent="0.25">
      <c r="A966" s="286" t="s">
        <v>2328</v>
      </c>
      <c r="B966" s="287" t="s">
        <v>2329</v>
      </c>
      <c r="C966" s="164" t="s">
        <v>8</v>
      </c>
      <c r="D966" s="164">
        <v>1</v>
      </c>
      <c r="E966" s="165">
        <v>883.99</v>
      </c>
      <c r="F966" s="165">
        <v>883.99</v>
      </c>
    </row>
    <row r="967" spans="1:6" x14ac:dyDescent="0.25">
      <c r="A967" s="288" t="s">
        <v>2330</v>
      </c>
      <c r="B967" s="285" t="s">
        <v>2331</v>
      </c>
      <c r="C967" s="164"/>
      <c r="D967" s="164"/>
      <c r="E967" s="165"/>
      <c r="F967" s="165"/>
    </row>
    <row r="968" spans="1:6" ht="45" x14ac:dyDescent="0.25">
      <c r="A968" s="286" t="s">
        <v>2332</v>
      </c>
      <c r="B968" s="287" t="s">
        <v>2333</v>
      </c>
      <c r="C968" s="164" t="s">
        <v>8</v>
      </c>
      <c r="D968" s="164">
        <v>1</v>
      </c>
      <c r="E968" s="165">
        <v>170.7</v>
      </c>
      <c r="F968" s="165">
        <v>170.7</v>
      </c>
    </row>
    <row r="969" spans="1:6" ht="45" x14ac:dyDescent="0.25">
      <c r="A969" s="286" t="s">
        <v>2334</v>
      </c>
      <c r="B969" s="287" t="s">
        <v>2335</v>
      </c>
      <c r="C969" s="164" t="s">
        <v>8</v>
      </c>
      <c r="D969" s="164">
        <v>1</v>
      </c>
      <c r="E969" s="165">
        <v>614.11</v>
      </c>
      <c r="F969" s="165">
        <v>614.11</v>
      </c>
    </row>
    <row r="970" spans="1:6" ht="105" x14ac:dyDescent="0.25">
      <c r="A970" s="286" t="s">
        <v>2336</v>
      </c>
      <c r="B970" s="287" t="s">
        <v>2337</v>
      </c>
      <c r="C970" s="164" t="s">
        <v>7</v>
      </c>
      <c r="D970" s="164">
        <v>1</v>
      </c>
      <c r="E970" s="289">
        <v>1442.45</v>
      </c>
      <c r="F970" s="289">
        <v>1442.45</v>
      </c>
    </row>
    <row r="971" spans="1:6" ht="105" x14ac:dyDescent="0.25">
      <c r="A971" s="286" t="s">
        <v>2338</v>
      </c>
      <c r="B971" s="287" t="s">
        <v>2339</v>
      </c>
      <c r="C971" s="164" t="s">
        <v>7</v>
      </c>
      <c r="D971" s="164">
        <v>1</v>
      </c>
      <c r="E971" s="289">
        <v>1442.45</v>
      </c>
      <c r="F971" s="289">
        <v>1442.45</v>
      </c>
    </row>
    <row r="972" spans="1:6" ht="60" x14ac:dyDescent="0.25">
      <c r="A972" s="286" t="s">
        <v>2340</v>
      </c>
      <c r="B972" s="287" t="s">
        <v>2341</v>
      </c>
      <c r="C972" s="164" t="s">
        <v>8</v>
      </c>
      <c r="D972" s="164">
        <v>1</v>
      </c>
      <c r="E972" s="289">
        <v>2149.96</v>
      </c>
      <c r="F972" s="289">
        <v>2149.96</v>
      </c>
    </row>
    <row r="973" spans="1:6" ht="90" x14ac:dyDescent="0.25">
      <c r="A973" s="286" t="s">
        <v>2342</v>
      </c>
      <c r="B973" s="287" t="s">
        <v>2343</v>
      </c>
      <c r="C973" s="164" t="s">
        <v>8</v>
      </c>
      <c r="D973" s="164">
        <v>1</v>
      </c>
      <c r="E973" s="289">
        <v>4926.97</v>
      </c>
      <c r="F973" s="289">
        <v>4926.97</v>
      </c>
    </row>
    <row r="974" spans="1:6" ht="60" x14ac:dyDescent="0.25">
      <c r="A974" s="286" t="s">
        <v>2344</v>
      </c>
      <c r="B974" s="287" t="s">
        <v>2345</v>
      </c>
      <c r="C974" s="164" t="s">
        <v>8</v>
      </c>
      <c r="D974" s="164">
        <v>1</v>
      </c>
      <c r="E974" s="289">
        <v>2190.4299999999998</v>
      </c>
      <c r="F974" s="289">
        <v>2190.4299999999998</v>
      </c>
    </row>
    <row r="975" spans="1:6" ht="75" x14ac:dyDescent="0.25">
      <c r="A975" s="286" t="s">
        <v>2346</v>
      </c>
      <c r="B975" s="287" t="s">
        <v>62</v>
      </c>
      <c r="C975" s="164" t="s">
        <v>8</v>
      </c>
      <c r="D975" s="164">
        <v>1</v>
      </c>
      <c r="E975" s="165">
        <v>582.32000000000005</v>
      </c>
      <c r="F975" s="165">
        <v>582.32000000000005</v>
      </c>
    </row>
    <row r="976" spans="1:6" ht="75" x14ac:dyDescent="0.25">
      <c r="A976" s="286" t="s">
        <v>2347</v>
      </c>
      <c r="B976" s="287" t="s">
        <v>2348</v>
      </c>
      <c r="C976" s="164" t="s">
        <v>8</v>
      </c>
      <c r="D976" s="164">
        <v>1</v>
      </c>
      <c r="E976" s="289">
        <v>1637.64</v>
      </c>
      <c r="F976" s="289">
        <v>1637.64</v>
      </c>
    </row>
    <row r="977" spans="1:6" ht="75" x14ac:dyDescent="0.25">
      <c r="A977" s="286" t="s">
        <v>2349</v>
      </c>
      <c r="B977" s="287" t="s">
        <v>2350</v>
      </c>
      <c r="C977" s="164" t="s">
        <v>8</v>
      </c>
      <c r="D977" s="164">
        <v>1</v>
      </c>
      <c r="E977" s="289">
        <v>1956.54</v>
      </c>
      <c r="F977" s="289">
        <v>1956.54</v>
      </c>
    </row>
    <row r="978" spans="1:6" ht="75" x14ac:dyDescent="0.25">
      <c r="A978" s="286" t="s">
        <v>2351</v>
      </c>
      <c r="B978" s="287" t="s">
        <v>2352</v>
      </c>
      <c r="C978" s="164" t="s">
        <v>8</v>
      </c>
      <c r="D978" s="164">
        <v>1</v>
      </c>
      <c r="E978" s="289">
        <v>3113.31</v>
      </c>
      <c r="F978" s="289">
        <v>3113.31</v>
      </c>
    </row>
    <row r="979" spans="1:6" ht="60" x14ac:dyDescent="0.25">
      <c r="A979" s="286" t="s">
        <v>2353</v>
      </c>
      <c r="B979" s="287" t="s">
        <v>108</v>
      </c>
      <c r="C979" s="164" t="s">
        <v>8</v>
      </c>
      <c r="D979" s="164">
        <v>1</v>
      </c>
      <c r="E979" s="165">
        <v>295.45999999999998</v>
      </c>
      <c r="F979" s="165">
        <v>295.45999999999998</v>
      </c>
    </row>
    <row r="980" spans="1:6" ht="45" x14ac:dyDescent="0.25">
      <c r="A980" s="286" t="s">
        <v>2354</v>
      </c>
      <c r="B980" s="287" t="s">
        <v>2355</v>
      </c>
      <c r="C980" s="164" t="s">
        <v>8</v>
      </c>
      <c r="D980" s="164">
        <v>1</v>
      </c>
      <c r="E980" s="165">
        <v>71.900000000000006</v>
      </c>
      <c r="F980" s="165">
        <v>71.900000000000006</v>
      </c>
    </row>
    <row r="981" spans="1:6" ht="60" x14ac:dyDescent="0.25">
      <c r="A981" s="286" t="s">
        <v>2356</v>
      </c>
      <c r="B981" s="287" t="s">
        <v>2357</v>
      </c>
      <c r="C981" s="164" t="s">
        <v>8</v>
      </c>
      <c r="D981" s="164">
        <v>1</v>
      </c>
      <c r="E981" s="289">
        <v>4113.49</v>
      </c>
      <c r="F981" s="289">
        <v>4113.49</v>
      </c>
    </row>
    <row r="982" spans="1:6" ht="75" x14ac:dyDescent="0.25">
      <c r="A982" s="286" t="s">
        <v>2358</v>
      </c>
      <c r="B982" s="287" t="s">
        <v>2359</v>
      </c>
      <c r="C982" s="164" t="s">
        <v>8</v>
      </c>
      <c r="D982" s="164">
        <v>1</v>
      </c>
      <c r="E982" s="165">
        <v>486.34</v>
      </c>
      <c r="F982" s="165">
        <v>486.34</v>
      </c>
    </row>
    <row r="983" spans="1:6" ht="45" x14ac:dyDescent="0.25">
      <c r="A983" s="286" t="s">
        <v>2360</v>
      </c>
      <c r="B983" s="287" t="s">
        <v>2361</v>
      </c>
      <c r="C983" s="164" t="s">
        <v>8</v>
      </c>
      <c r="D983" s="164">
        <v>1</v>
      </c>
      <c r="E983" s="289">
        <v>1692.02</v>
      </c>
      <c r="F983" s="289">
        <v>1692.02</v>
      </c>
    </row>
    <row r="984" spans="1:6" ht="45" x14ac:dyDescent="0.25">
      <c r="A984" s="286" t="s">
        <v>2362</v>
      </c>
      <c r="B984" s="287" t="s">
        <v>2363</v>
      </c>
      <c r="C984" s="164" t="s">
        <v>8</v>
      </c>
      <c r="D984" s="164">
        <v>1</v>
      </c>
      <c r="E984" s="289">
        <v>2909.38</v>
      </c>
      <c r="F984" s="289">
        <v>2909.38</v>
      </c>
    </row>
    <row r="985" spans="1:6" ht="45" x14ac:dyDescent="0.25">
      <c r="A985" s="286" t="s">
        <v>2364</v>
      </c>
      <c r="B985" s="287" t="s">
        <v>2365</v>
      </c>
      <c r="C985" s="164" t="s">
        <v>8</v>
      </c>
      <c r="D985" s="164">
        <v>1</v>
      </c>
      <c r="E985" s="289">
        <v>1894.47</v>
      </c>
      <c r="F985" s="289">
        <v>1894.47</v>
      </c>
    </row>
    <row r="986" spans="1:6" ht="45" x14ac:dyDescent="0.25">
      <c r="A986" s="286" t="s">
        <v>2366</v>
      </c>
      <c r="B986" s="287" t="s">
        <v>2367</v>
      </c>
      <c r="C986" s="164" t="s">
        <v>8</v>
      </c>
      <c r="D986" s="164">
        <v>1</v>
      </c>
      <c r="E986" s="289">
        <v>2515.23</v>
      </c>
      <c r="F986" s="289">
        <v>2515.23</v>
      </c>
    </row>
    <row r="987" spans="1:6" ht="45" x14ac:dyDescent="0.25">
      <c r="A987" s="286" t="s">
        <v>2368</v>
      </c>
      <c r="B987" s="287" t="s">
        <v>2369</v>
      </c>
      <c r="C987" s="164" t="s">
        <v>8</v>
      </c>
      <c r="D987" s="164">
        <v>1</v>
      </c>
      <c r="E987" s="165">
        <v>36.15</v>
      </c>
      <c r="F987" s="165">
        <v>36.15</v>
      </c>
    </row>
    <row r="988" spans="1:6" ht="30" x14ac:dyDescent="0.25">
      <c r="A988" s="286" t="s">
        <v>2370</v>
      </c>
      <c r="B988" s="287" t="s">
        <v>2371</v>
      </c>
      <c r="C988" s="164" t="s">
        <v>8</v>
      </c>
      <c r="D988" s="164">
        <v>1</v>
      </c>
      <c r="E988" s="165">
        <v>32.85</v>
      </c>
      <c r="F988" s="165">
        <v>32.85</v>
      </c>
    </row>
    <row r="989" spans="1:6" ht="60" x14ac:dyDescent="0.25">
      <c r="A989" s="286" t="s">
        <v>2372</v>
      </c>
      <c r="B989" s="287" t="s">
        <v>2373</v>
      </c>
      <c r="C989" s="164" t="s">
        <v>8</v>
      </c>
      <c r="D989" s="164">
        <v>1</v>
      </c>
      <c r="E989" s="165">
        <v>712</v>
      </c>
      <c r="F989" s="165">
        <v>712</v>
      </c>
    </row>
    <row r="990" spans="1:6" ht="60" x14ac:dyDescent="0.25">
      <c r="A990" s="286" t="s">
        <v>2374</v>
      </c>
      <c r="B990" s="287" t="s">
        <v>2375</v>
      </c>
      <c r="C990" s="164" t="s">
        <v>8</v>
      </c>
      <c r="D990" s="164">
        <v>1</v>
      </c>
      <c r="E990" s="165">
        <v>888.87</v>
      </c>
      <c r="F990" s="165">
        <v>888.87</v>
      </c>
    </row>
    <row r="991" spans="1:6" ht="30" x14ac:dyDescent="0.25">
      <c r="A991" s="286" t="s">
        <v>2376</v>
      </c>
      <c r="B991" s="287" t="s">
        <v>2377</v>
      </c>
      <c r="C991" s="164" t="s">
        <v>8</v>
      </c>
      <c r="D991" s="164">
        <v>1</v>
      </c>
      <c r="E991" s="165">
        <v>164.12</v>
      </c>
      <c r="F991" s="165">
        <v>164.12</v>
      </c>
    </row>
    <row r="992" spans="1:6" ht="105" x14ac:dyDescent="0.25">
      <c r="A992" s="286" t="s">
        <v>2378</v>
      </c>
      <c r="B992" s="287" t="s">
        <v>2379</v>
      </c>
      <c r="C992" s="164" t="s">
        <v>7</v>
      </c>
      <c r="D992" s="164">
        <v>1</v>
      </c>
      <c r="E992" s="289">
        <v>1440.45</v>
      </c>
      <c r="F992" s="289">
        <v>1440.45</v>
      </c>
    </row>
    <row r="993" spans="1:6" ht="30" x14ac:dyDescent="0.25">
      <c r="A993" s="286" t="s">
        <v>2380</v>
      </c>
      <c r="B993" s="287" t="s">
        <v>2381</v>
      </c>
      <c r="C993" s="164" t="s">
        <v>8</v>
      </c>
      <c r="D993" s="164">
        <v>1</v>
      </c>
      <c r="E993" s="165">
        <v>376.82</v>
      </c>
      <c r="F993" s="165">
        <v>376.82</v>
      </c>
    </row>
    <row r="994" spans="1:6" ht="60" x14ac:dyDescent="0.25">
      <c r="A994" s="286" t="s">
        <v>2382</v>
      </c>
      <c r="B994" s="287" t="s">
        <v>2383</v>
      </c>
      <c r="C994" s="164" t="s">
        <v>8</v>
      </c>
      <c r="D994" s="164">
        <v>1</v>
      </c>
      <c r="E994" s="165">
        <v>696</v>
      </c>
      <c r="F994" s="165">
        <v>696</v>
      </c>
    </row>
    <row r="995" spans="1:6" ht="45" x14ac:dyDescent="0.25">
      <c r="A995" s="286" t="s">
        <v>2384</v>
      </c>
      <c r="B995" s="287" t="s">
        <v>2385</v>
      </c>
      <c r="C995" s="164" t="s">
        <v>8</v>
      </c>
      <c r="D995" s="164">
        <v>1</v>
      </c>
      <c r="E995" s="289">
        <v>1562.2</v>
      </c>
      <c r="F995" s="289">
        <v>1562.2</v>
      </c>
    </row>
    <row r="996" spans="1:6" ht="60" x14ac:dyDescent="0.25">
      <c r="A996" s="286" t="s">
        <v>2386</v>
      </c>
      <c r="B996" s="287" t="s">
        <v>2387</v>
      </c>
      <c r="C996" s="164" t="s">
        <v>8</v>
      </c>
      <c r="D996" s="164">
        <v>1</v>
      </c>
      <c r="E996" s="289">
        <v>2583.09</v>
      </c>
      <c r="F996" s="289">
        <v>2583.09</v>
      </c>
    </row>
    <row r="997" spans="1:6" ht="45" x14ac:dyDescent="0.25">
      <c r="A997" s="286" t="s">
        <v>2388</v>
      </c>
      <c r="B997" s="287" t="s">
        <v>2389</v>
      </c>
      <c r="C997" s="164" t="s">
        <v>8</v>
      </c>
      <c r="D997" s="164">
        <v>1</v>
      </c>
      <c r="E997" s="289">
        <v>1711.34</v>
      </c>
      <c r="F997" s="289">
        <v>1711.34</v>
      </c>
    </row>
    <row r="998" spans="1:6" ht="30" x14ac:dyDescent="0.25">
      <c r="A998" s="286" t="s">
        <v>2390</v>
      </c>
      <c r="B998" s="287" t="s">
        <v>2391</v>
      </c>
      <c r="C998" s="164" t="s">
        <v>8</v>
      </c>
      <c r="D998" s="164">
        <v>1</v>
      </c>
      <c r="E998" s="165">
        <v>242.62</v>
      </c>
      <c r="F998" s="165">
        <v>242.62</v>
      </c>
    </row>
    <row r="999" spans="1:6" ht="105" x14ac:dyDescent="0.25">
      <c r="A999" s="286" t="s">
        <v>2392</v>
      </c>
      <c r="B999" s="287" t="s">
        <v>2393</v>
      </c>
      <c r="C999" s="164" t="s">
        <v>7</v>
      </c>
      <c r="D999" s="164">
        <v>1</v>
      </c>
      <c r="E999" s="289">
        <v>1776.54</v>
      </c>
      <c r="F999" s="289">
        <v>1776.54</v>
      </c>
    </row>
    <row r="1000" spans="1:6" ht="60" x14ac:dyDescent="0.25">
      <c r="A1000" s="286" t="s">
        <v>2394</v>
      </c>
      <c r="B1000" s="287" t="s">
        <v>2395</v>
      </c>
      <c r="C1000" s="164" t="s">
        <v>8</v>
      </c>
      <c r="D1000" s="164">
        <v>1</v>
      </c>
      <c r="E1000" s="289">
        <v>12441.42</v>
      </c>
      <c r="F1000" s="289">
        <v>12441.42</v>
      </c>
    </row>
    <row r="1001" spans="1:6" ht="45" x14ac:dyDescent="0.25">
      <c r="A1001" s="286" t="s">
        <v>2396</v>
      </c>
      <c r="B1001" s="287" t="s">
        <v>2397</v>
      </c>
      <c r="C1001" s="164" t="s">
        <v>8</v>
      </c>
      <c r="D1001" s="164">
        <v>1</v>
      </c>
      <c r="E1001" s="289">
        <v>3585.02</v>
      </c>
      <c r="F1001" s="289">
        <v>3585.02</v>
      </c>
    </row>
    <row r="1002" spans="1:6" x14ac:dyDescent="0.25">
      <c r="A1002" s="288" t="s">
        <v>2398</v>
      </c>
      <c r="B1002" s="285" t="s">
        <v>63</v>
      </c>
      <c r="C1002" s="164"/>
      <c r="D1002" s="164"/>
      <c r="E1002" s="165"/>
      <c r="F1002" s="165"/>
    </row>
    <row r="1003" spans="1:6" x14ac:dyDescent="0.25">
      <c r="A1003" s="288" t="s">
        <v>2399</v>
      </c>
      <c r="B1003" s="285" t="s">
        <v>2400</v>
      </c>
      <c r="C1003" s="164"/>
      <c r="D1003" s="164"/>
      <c r="E1003" s="165"/>
      <c r="F1003" s="165"/>
    </row>
    <row r="1004" spans="1:6" ht="75" x14ac:dyDescent="0.25">
      <c r="A1004" s="286" t="s">
        <v>2401</v>
      </c>
      <c r="B1004" s="287" t="s">
        <v>2402</v>
      </c>
      <c r="C1004" s="164" t="s">
        <v>8</v>
      </c>
      <c r="D1004" s="164">
        <v>1</v>
      </c>
      <c r="E1004" s="165">
        <v>158.5</v>
      </c>
      <c r="F1004" s="165">
        <v>158.5</v>
      </c>
    </row>
    <row r="1005" spans="1:6" ht="75" x14ac:dyDescent="0.25">
      <c r="A1005" s="286" t="s">
        <v>2403</v>
      </c>
      <c r="B1005" s="287" t="s">
        <v>2404</v>
      </c>
      <c r="C1005" s="164" t="s">
        <v>8</v>
      </c>
      <c r="D1005" s="164">
        <v>1</v>
      </c>
      <c r="E1005" s="165">
        <v>180.46</v>
      </c>
      <c r="F1005" s="165">
        <v>180.46</v>
      </c>
    </row>
    <row r="1006" spans="1:6" ht="45" x14ac:dyDescent="0.25">
      <c r="A1006" s="286" t="s">
        <v>2405</v>
      </c>
      <c r="B1006" s="287" t="s">
        <v>2406</v>
      </c>
      <c r="C1006" s="164" t="s">
        <v>8</v>
      </c>
      <c r="D1006" s="164">
        <v>1</v>
      </c>
      <c r="E1006" s="165">
        <v>600.65</v>
      </c>
      <c r="F1006" s="165">
        <v>600.65</v>
      </c>
    </row>
    <row r="1007" spans="1:6" ht="75" x14ac:dyDescent="0.25">
      <c r="A1007" s="286" t="s">
        <v>2407</v>
      </c>
      <c r="B1007" s="287" t="s">
        <v>2408</v>
      </c>
      <c r="C1007" s="164" t="s">
        <v>8</v>
      </c>
      <c r="D1007" s="164">
        <v>1</v>
      </c>
      <c r="E1007" s="165">
        <v>118.67</v>
      </c>
      <c r="F1007" s="165">
        <v>118.67</v>
      </c>
    </row>
    <row r="1008" spans="1:6" ht="75" x14ac:dyDescent="0.25">
      <c r="A1008" s="286" t="s">
        <v>2409</v>
      </c>
      <c r="B1008" s="287" t="s">
        <v>2410</v>
      </c>
      <c r="C1008" s="164" t="s">
        <v>8</v>
      </c>
      <c r="D1008" s="164">
        <v>1</v>
      </c>
      <c r="E1008" s="165">
        <v>126.2</v>
      </c>
      <c r="F1008" s="165">
        <v>126.2</v>
      </c>
    </row>
    <row r="1009" spans="1:6" ht="30" x14ac:dyDescent="0.25">
      <c r="A1009" s="286" t="s">
        <v>2411</v>
      </c>
      <c r="B1009" s="287" t="s">
        <v>2412</v>
      </c>
      <c r="C1009" s="164" t="s">
        <v>8</v>
      </c>
      <c r="D1009" s="164">
        <v>1</v>
      </c>
      <c r="E1009" s="165">
        <v>95.75</v>
      </c>
      <c r="F1009" s="165">
        <v>95.75</v>
      </c>
    </row>
    <row r="1010" spans="1:6" ht="30" x14ac:dyDescent="0.25">
      <c r="A1010" s="286" t="s">
        <v>2413</v>
      </c>
      <c r="B1010" s="287" t="s">
        <v>473</v>
      </c>
      <c r="C1010" s="164" t="s">
        <v>8</v>
      </c>
      <c r="D1010" s="164">
        <v>1</v>
      </c>
      <c r="E1010" s="165">
        <v>70.069999999999993</v>
      </c>
      <c r="F1010" s="165">
        <v>70.069999999999993</v>
      </c>
    </row>
    <row r="1011" spans="1:6" x14ac:dyDescent="0.25">
      <c r="A1011" s="288" t="s">
        <v>2414</v>
      </c>
      <c r="B1011" s="285" t="s">
        <v>2415</v>
      </c>
      <c r="C1011" s="164"/>
      <c r="D1011" s="164"/>
      <c r="E1011" s="165"/>
      <c r="F1011" s="165"/>
    </row>
    <row r="1012" spans="1:6" ht="45" x14ac:dyDescent="0.25">
      <c r="A1012" s="286" t="s">
        <v>2416</v>
      </c>
      <c r="B1012" s="287" t="s">
        <v>2417</v>
      </c>
      <c r="C1012" s="164" t="s">
        <v>8</v>
      </c>
      <c r="D1012" s="164">
        <v>1</v>
      </c>
      <c r="E1012" s="165">
        <v>38.229999999999997</v>
      </c>
      <c r="F1012" s="165">
        <v>38.229999999999997</v>
      </c>
    </row>
    <row r="1013" spans="1:6" ht="45" x14ac:dyDescent="0.25">
      <c r="A1013" s="286" t="s">
        <v>2418</v>
      </c>
      <c r="B1013" s="287" t="s">
        <v>2419</v>
      </c>
      <c r="C1013" s="164" t="s">
        <v>8</v>
      </c>
      <c r="D1013" s="164">
        <v>1</v>
      </c>
      <c r="E1013" s="165">
        <v>44.93</v>
      </c>
      <c r="F1013" s="165">
        <v>44.93</v>
      </c>
    </row>
    <row r="1014" spans="1:6" ht="30" x14ac:dyDescent="0.25">
      <c r="A1014" s="286" t="s">
        <v>2420</v>
      </c>
      <c r="B1014" s="287" t="s">
        <v>64</v>
      </c>
      <c r="C1014" s="164" t="s">
        <v>8</v>
      </c>
      <c r="D1014" s="164">
        <v>1</v>
      </c>
      <c r="E1014" s="165">
        <v>33.869999999999997</v>
      </c>
      <c r="F1014" s="165">
        <v>33.869999999999997</v>
      </c>
    </row>
    <row r="1015" spans="1:6" ht="30" x14ac:dyDescent="0.25">
      <c r="A1015" s="286" t="s">
        <v>2421</v>
      </c>
      <c r="B1015" s="287" t="s">
        <v>360</v>
      </c>
      <c r="C1015" s="164" t="s">
        <v>8</v>
      </c>
      <c r="D1015" s="164">
        <v>1</v>
      </c>
      <c r="E1015" s="165">
        <v>57.76</v>
      </c>
      <c r="F1015" s="165">
        <v>57.76</v>
      </c>
    </row>
    <row r="1016" spans="1:6" ht="30" x14ac:dyDescent="0.25">
      <c r="A1016" s="286" t="s">
        <v>2422</v>
      </c>
      <c r="B1016" s="287" t="s">
        <v>2423</v>
      </c>
      <c r="C1016" s="164" t="s">
        <v>8</v>
      </c>
      <c r="D1016" s="164">
        <v>1</v>
      </c>
      <c r="E1016" s="165">
        <v>41.24</v>
      </c>
      <c r="F1016" s="165">
        <v>41.24</v>
      </c>
    </row>
    <row r="1017" spans="1:6" ht="60" x14ac:dyDescent="0.25">
      <c r="A1017" s="286" t="s">
        <v>2424</v>
      </c>
      <c r="B1017" s="287" t="s">
        <v>2425</v>
      </c>
      <c r="C1017" s="164" t="s">
        <v>8</v>
      </c>
      <c r="D1017" s="164">
        <v>1</v>
      </c>
      <c r="E1017" s="165">
        <v>62.12</v>
      </c>
      <c r="F1017" s="165">
        <v>62.12</v>
      </c>
    </row>
    <row r="1018" spans="1:6" ht="45" x14ac:dyDescent="0.25">
      <c r="A1018" s="286" t="s">
        <v>2426</v>
      </c>
      <c r="B1018" s="287" t="s">
        <v>2427</v>
      </c>
      <c r="C1018" s="164" t="s">
        <v>8</v>
      </c>
      <c r="D1018" s="164">
        <v>1</v>
      </c>
      <c r="E1018" s="165">
        <v>86.01</v>
      </c>
      <c r="F1018" s="165">
        <v>86.01</v>
      </c>
    </row>
    <row r="1019" spans="1:6" ht="30" x14ac:dyDescent="0.25">
      <c r="A1019" s="286" t="s">
        <v>2428</v>
      </c>
      <c r="B1019" s="287" t="s">
        <v>2429</v>
      </c>
      <c r="C1019" s="164" t="s">
        <v>8</v>
      </c>
      <c r="D1019" s="164">
        <v>1</v>
      </c>
      <c r="E1019" s="165">
        <v>33.03</v>
      </c>
      <c r="F1019" s="165">
        <v>33.03</v>
      </c>
    </row>
    <row r="1020" spans="1:6" ht="30" x14ac:dyDescent="0.25">
      <c r="A1020" s="286" t="s">
        <v>2430</v>
      </c>
      <c r="B1020" s="287" t="s">
        <v>2431</v>
      </c>
      <c r="C1020" s="164" t="s">
        <v>8</v>
      </c>
      <c r="D1020" s="164">
        <v>1</v>
      </c>
      <c r="E1020" s="165">
        <v>44.63</v>
      </c>
      <c r="F1020" s="165">
        <v>44.63</v>
      </c>
    </row>
    <row r="1021" spans="1:6" ht="45" x14ac:dyDescent="0.25">
      <c r="A1021" s="286" t="s">
        <v>2432</v>
      </c>
      <c r="B1021" s="287" t="s">
        <v>2433</v>
      </c>
      <c r="C1021" s="164" t="s">
        <v>8</v>
      </c>
      <c r="D1021" s="164">
        <v>1</v>
      </c>
      <c r="E1021" s="165">
        <v>142.97999999999999</v>
      </c>
      <c r="F1021" s="165">
        <v>142.97999999999999</v>
      </c>
    </row>
    <row r="1022" spans="1:6" ht="30" x14ac:dyDescent="0.25">
      <c r="A1022" s="286" t="s">
        <v>2434</v>
      </c>
      <c r="B1022" s="287" t="s">
        <v>2435</v>
      </c>
      <c r="C1022" s="164" t="s">
        <v>8</v>
      </c>
      <c r="D1022" s="164">
        <v>1</v>
      </c>
      <c r="E1022" s="165">
        <v>81.650000000000006</v>
      </c>
      <c r="F1022" s="165">
        <v>81.650000000000006</v>
      </c>
    </row>
    <row r="1023" spans="1:6" x14ac:dyDescent="0.25">
      <c r="A1023" s="286" t="s">
        <v>2436</v>
      </c>
      <c r="B1023" s="287" t="s">
        <v>2437</v>
      </c>
      <c r="C1023" s="164" t="s">
        <v>8</v>
      </c>
      <c r="D1023" s="164">
        <v>1</v>
      </c>
      <c r="E1023" s="165">
        <v>8.2100000000000009</v>
      </c>
      <c r="F1023" s="165">
        <v>8.2100000000000009</v>
      </c>
    </row>
    <row r="1024" spans="1:6" x14ac:dyDescent="0.25">
      <c r="A1024" s="286" t="s">
        <v>2438</v>
      </c>
      <c r="B1024" s="287" t="s">
        <v>2439</v>
      </c>
      <c r="C1024" s="164" t="s">
        <v>8</v>
      </c>
      <c r="D1024" s="164">
        <v>1</v>
      </c>
      <c r="E1024" s="165">
        <v>20.010000000000002</v>
      </c>
      <c r="F1024" s="165">
        <v>20.010000000000002</v>
      </c>
    </row>
    <row r="1025" spans="1:6" x14ac:dyDescent="0.25">
      <c r="A1025" s="286" t="s">
        <v>2440</v>
      </c>
      <c r="B1025" s="287" t="s">
        <v>2441</v>
      </c>
      <c r="C1025" s="164" t="s">
        <v>8</v>
      </c>
      <c r="D1025" s="164">
        <v>1</v>
      </c>
      <c r="E1025" s="165">
        <v>39.51</v>
      </c>
      <c r="F1025" s="165">
        <v>39.51</v>
      </c>
    </row>
    <row r="1026" spans="1:6" x14ac:dyDescent="0.25">
      <c r="A1026" s="288" t="s">
        <v>2442</v>
      </c>
      <c r="B1026" s="285" t="s">
        <v>2443</v>
      </c>
      <c r="C1026" s="164"/>
      <c r="D1026" s="164"/>
      <c r="E1026" s="165"/>
      <c r="F1026" s="165"/>
    </row>
    <row r="1027" spans="1:6" ht="30" x14ac:dyDescent="0.25">
      <c r="A1027" s="286" t="s">
        <v>2444</v>
      </c>
      <c r="B1027" s="287" t="s">
        <v>2445</v>
      </c>
      <c r="C1027" s="164" t="s">
        <v>8</v>
      </c>
      <c r="D1027" s="164">
        <v>1</v>
      </c>
      <c r="E1027" s="289">
        <v>4028.78</v>
      </c>
      <c r="F1027" s="289">
        <v>4028.78</v>
      </c>
    </row>
    <row r="1028" spans="1:6" x14ac:dyDescent="0.25">
      <c r="A1028" s="286" t="s">
        <v>2446</v>
      </c>
      <c r="B1028" s="287" t="s">
        <v>2447</v>
      </c>
      <c r="C1028" s="164" t="s">
        <v>8</v>
      </c>
      <c r="D1028" s="164">
        <v>1</v>
      </c>
      <c r="E1028" s="165">
        <v>999.77</v>
      </c>
      <c r="F1028" s="165">
        <v>999.77</v>
      </c>
    </row>
    <row r="1029" spans="1:6" x14ac:dyDescent="0.25">
      <c r="A1029" s="286" t="s">
        <v>2448</v>
      </c>
      <c r="B1029" s="287" t="s">
        <v>2449</v>
      </c>
      <c r="C1029" s="164" t="s">
        <v>8</v>
      </c>
      <c r="D1029" s="164">
        <v>1</v>
      </c>
      <c r="E1029" s="289">
        <v>1434.44</v>
      </c>
      <c r="F1029" s="289">
        <v>1434.44</v>
      </c>
    </row>
    <row r="1030" spans="1:6" x14ac:dyDescent="0.25">
      <c r="A1030" s="286" t="s">
        <v>2450</v>
      </c>
      <c r="B1030" s="287" t="s">
        <v>2451</v>
      </c>
      <c r="C1030" s="164" t="s">
        <v>8</v>
      </c>
      <c r="D1030" s="164">
        <v>1</v>
      </c>
      <c r="E1030" s="289">
        <v>1591.51</v>
      </c>
      <c r="F1030" s="289">
        <v>1591.51</v>
      </c>
    </row>
    <row r="1031" spans="1:6" ht="30" x14ac:dyDescent="0.25">
      <c r="A1031" s="286" t="s">
        <v>2452</v>
      </c>
      <c r="B1031" s="287" t="s">
        <v>2453</v>
      </c>
      <c r="C1031" s="164" t="s">
        <v>8</v>
      </c>
      <c r="D1031" s="164">
        <v>1</v>
      </c>
      <c r="E1031" s="289">
        <v>1614.15</v>
      </c>
      <c r="F1031" s="289">
        <v>1614.15</v>
      </c>
    </row>
    <row r="1032" spans="1:6" x14ac:dyDescent="0.25">
      <c r="A1032" s="288" t="s">
        <v>2454</v>
      </c>
      <c r="B1032" s="285" t="s">
        <v>2455</v>
      </c>
      <c r="C1032" s="164"/>
      <c r="D1032" s="164"/>
      <c r="E1032" s="165"/>
      <c r="F1032" s="165"/>
    </row>
    <row r="1033" spans="1:6" ht="90" x14ac:dyDescent="0.25">
      <c r="A1033" s="286" t="s">
        <v>2456</v>
      </c>
      <c r="B1033" s="287" t="s">
        <v>2457</v>
      </c>
      <c r="C1033" s="164" t="s">
        <v>8</v>
      </c>
      <c r="D1033" s="164">
        <v>1</v>
      </c>
      <c r="E1033" s="289">
        <v>3762.83</v>
      </c>
      <c r="F1033" s="289">
        <v>3762.83</v>
      </c>
    </row>
    <row r="1034" spans="1:6" ht="75" x14ac:dyDescent="0.25">
      <c r="A1034" s="286" t="s">
        <v>2458</v>
      </c>
      <c r="B1034" s="287" t="s">
        <v>2459</v>
      </c>
      <c r="C1034" s="164" t="s">
        <v>8</v>
      </c>
      <c r="D1034" s="164">
        <v>1</v>
      </c>
      <c r="E1034" s="289">
        <v>4652.83</v>
      </c>
      <c r="F1034" s="289">
        <v>4652.83</v>
      </c>
    </row>
    <row r="1035" spans="1:6" x14ac:dyDescent="0.25">
      <c r="A1035" s="288" t="s">
        <v>2460</v>
      </c>
      <c r="B1035" s="285" t="s">
        <v>2461</v>
      </c>
      <c r="C1035" s="164"/>
      <c r="D1035" s="164"/>
      <c r="E1035" s="165"/>
      <c r="F1035" s="165"/>
    </row>
    <row r="1036" spans="1:6" ht="75" x14ac:dyDescent="0.25">
      <c r="A1036" s="286" t="s">
        <v>2462</v>
      </c>
      <c r="B1036" s="287" t="s">
        <v>2463</v>
      </c>
      <c r="C1036" s="164" t="s">
        <v>8</v>
      </c>
      <c r="D1036" s="164">
        <v>1</v>
      </c>
      <c r="E1036" s="165">
        <v>284.02999999999997</v>
      </c>
      <c r="F1036" s="165">
        <v>284.02999999999997</v>
      </c>
    </row>
    <row r="1037" spans="1:6" x14ac:dyDescent="0.25">
      <c r="A1037" s="288" t="s">
        <v>2464</v>
      </c>
      <c r="B1037" s="285" t="s">
        <v>2331</v>
      </c>
      <c r="C1037" s="164"/>
      <c r="D1037" s="164"/>
      <c r="E1037" s="165"/>
      <c r="F1037" s="165"/>
    </row>
    <row r="1038" spans="1:6" ht="30" x14ac:dyDescent="0.25">
      <c r="A1038" s="286" t="s">
        <v>2465</v>
      </c>
      <c r="B1038" s="287" t="s">
        <v>2466</v>
      </c>
      <c r="C1038" s="164" t="s">
        <v>8</v>
      </c>
      <c r="D1038" s="164">
        <v>1</v>
      </c>
      <c r="E1038" s="165">
        <v>163.02000000000001</v>
      </c>
      <c r="F1038" s="165">
        <v>163.02000000000001</v>
      </c>
    </row>
    <row r="1039" spans="1:6" x14ac:dyDescent="0.25">
      <c r="A1039" s="286" t="s">
        <v>2467</v>
      </c>
      <c r="B1039" s="287" t="s">
        <v>2468</v>
      </c>
      <c r="C1039" s="164" t="s">
        <v>8</v>
      </c>
      <c r="D1039" s="164">
        <v>1</v>
      </c>
      <c r="E1039" s="165">
        <v>928.79</v>
      </c>
      <c r="F1039" s="165">
        <v>928.79</v>
      </c>
    </row>
    <row r="1040" spans="1:6" ht="30" x14ac:dyDescent="0.25">
      <c r="A1040" s="286" t="s">
        <v>2469</v>
      </c>
      <c r="B1040" s="287" t="s">
        <v>2470</v>
      </c>
      <c r="C1040" s="164" t="s">
        <v>8</v>
      </c>
      <c r="D1040" s="164">
        <v>1</v>
      </c>
      <c r="E1040" s="165">
        <v>104.13</v>
      </c>
      <c r="F1040" s="165">
        <v>104.13</v>
      </c>
    </row>
    <row r="1041" spans="1:6" x14ac:dyDescent="0.25">
      <c r="A1041" s="288" t="s">
        <v>2471</v>
      </c>
      <c r="B1041" s="285" t="s">
        <v>2472</v>
      </c>
      <c r="C1041" s="164"/>
      <c r="D1041" s="164"/>
      <c r="E1041" s="165"/>
      <c r="F1041" s="165"/>
    </row>
    <row r="1042" spans="1:6" ht="105" x14ac:dyDescent="0.25">
      <c r="A1042" s="286" t="s">
        <v>2473</v>
      </c>
      <c r="B1042" s="287" t="s">
        <v>2474</v>
      </c>
      <c r="C1042" s="164" t="s">
        <v>8</v>
      </c>
      <c r="D1042" s="164">
        <v>1</v>
      </c>
      <c r="E1042" s="165">
        <v>149.33000000000001</v>
      </c>
      <c r="F1042" s="165">
        <v>149.33000000000001</v>
      </c>
    </row>
    <row r="1043" spans="1:6" ht="105" x14ac:dyDescent="0.25">
      <c r="A1043" s="286" t="s">
        <v>2475</v>
      </c>
      <c r="B1043" s="287" t="s">
        <v>2476</v>
      </c>
      <c r="C1043" s="164" t="s">
        <v>8</v>
      </c>
      <c r="D1043" s="164">
        <v>1</v>
      </c>
      <c r="E1043" s="165">
        <v>198.91</v>
      </c>
      <c r="F1043" s="165">
        <v>198.91</v>
      </c>
    </row>
    <row r="1044" spans="1:6" ht="105" x14ac:dyDescent="0.25">
      <c r="A1044" s="286" t="s">
        <v>2477</v>
      </c>
      <c r="B1044" s="287" t="s">
        <v>2478</v>
      </c>
      <c r="C1044" s="164" t="s">
        <v>8</v>
      </c>
      <c r="D1044" s="164">
        <v>1</v>
      </c>
      <c r="E1044" s="165">
        <v>149.11000000000001</v>
      </c>
      <c r="F1044" s="165">
        <v>149.11000000000001</v>
      </c>
    </row>
    <row r="1045" spans="1:6" ht="105" x14ac:dyDescent="0.25">
      <c r="A1045" s="286" t="s">
        <v>2479</v>
      </c>
      <c r="B1045" s="287" t="s">
        <v>2480</v>
      </c>
      <c r="C1045" s="164" t="s">
        <v>8</v>
      </c>
      <c r="D1045" s="164">
        <v>1</v>
      </c>
      <c r="E1045" s="165">
        <v>193.69</v>
      </c>
      <c r="F1045" s="165">
        <v>193.69</v>
      </c>
    </row>
    <row r="1046" spans="1:6" ht="105" x14ac:dyDescent="0.25">
      <c r="A1046" s="286" t="s">
        <v>2481</v>
      </c>
      <c r="B1046" s="287" t="s">
        <v>2482</v>
      </c>
      <c r="C1046" s="164" t="s">
        <v>8</v>
      </c>
      <c r="D1046" s="164">
        <v>1</v>
      </c>
      <c r="E1046" s="165">
        <v>282.35000000000002</v>
      </c>
      <c r="F1046" s="165">
        <v>282.35000000000002</v>
      </c>
    </row>
    <row r="1047" spans="1:6" ht="105" x14ac:dyDescent="0.25">
      <c r="A1047" s="286" t="s">
        <v>2483</v>
      </c>
      <c r="B1047" s="287" t="s">
        <v>2484</v>
      </c>
      <c r="C1047" s="164" t="s">
        <v>8</v>
      </c>
      <c r="D1047" s="164">
        <v>1</v>
      </c>
      <c r="E1047" s="165">
        <v>269.02</v>
      </c>
      <c r="F1047" s="165">
        <v>269.02</v>
      </c>
    </row>
    <row r="1048" spans="1:6" x14ac:dyDescent="0.25">
      <c r="A1048" s="288" t="s">
        <v>2485</v>
      </c>
      <c r="B1048" s="285" t="s">
        <v>65</v>
      </c>
      <c r="C1048" s="164"/>
      <c r="D1048" s="164"/>
      <c r="E1048" s="165"/>
      <c r="F1048" s="165"/>
    </row>
    <row r="1049" spans="1:6" x14ac:dyDescent="0.25">
      <c r="A1049" s="288" t="s">
        <v>2486</v>
      </c>
      <c r="B1049" s="285" t="s">
        <v>66</v>
      </c>
      <c r="C1049" s="164"/>
      <c r="D1049" s="164"/>
      <c r="E1049" s="165"/>
      <c r="F1049" s="165"/>
    </row>
    <row r="1050" spans="1:6" ht="60" x14ac:dyDescent="0.25">
      <c r="A1050" s="286" t="s">
        <v>2487</v>
      </c>
      <c r="B1050" s="287" t="s">
        <v>2488</v>
      </c>
      <c r="C1050" s="164" t="s">
        <v>5</v>
      </c>
      <c r="D1050" s="164">
        <v>1</v>
      </c>
      <c r="E1050" s="165">
        <v>11.43</v>
      </c>
      <c r="F1050" s="165">
        <v>11.43</v>
      </c>
    </row>
    <row r="1051" spans="1:6" ht="60" x14ac:dyDescent="0.25">
      <c r="A1051" s="286" t="s">
        <v>2489</v>
      </c>
      <c r="B1051" s="287" t="s">
        <v>2490</v>
      </c>
      <c r="C1051" s="164" t="s">
        <v>5</v>
      </c>
      <c r="D1051" s="164">
        <v>1</v>
      </c>
      <c r="E1051" s="165">
        <v>20.11</v>
      </c>
      <c r="F1051" s="165">
        <v>20.11</v>
      </c>
    </row>
    <row r="1052" spans="1:6" ht="60" x14ac:dyDescent="0.25">
      <c r="A1052" s="286" t="s">
        <v>2491</v>
      </c>
      <c r="B1052" s="287" t="s">
        <v>67</v>
      </c>
      <c r="C1052" s="164" t="s">
        <v>5</v>
      </c>
      <c r="D1052" s="164">
        <v>1</v>
      </c>
      <c r="E1052" s="165">
        <v>15.85</v>
      </c>
      <c r="F1052" s="165">
        <v>15.85</v>
      </c>
    </row>
    <row r="1053" spans="1:6" ht="60" x14ac:dyDescent="0.25">
      <c r="A1053" s="286" t="s">
        <v>2492</v>
      </c>
      <c r="B1053" s="287" t="s">
        <v>2493</v>
      </c>
      <c r="C1053" s="164" t="s">
        <v>5</v>
      </c>
      <c r="D1053" s="164">
        <v>1</v>
      </c>
      <c r="E1053" s="165">
        <v>20.72</v>
      </c>
      <c r="F1053" s="165">
        <v>20.72</v>
      </c>
    </row>
    <row r="1054" spans="1:6" ht="60" x14ac:dyDescent="0.25">
      <c r="A1054" s="286" t="s">
        <v>2494</v>
      </c>
      <c r="B1054" s="287" t="s">
        <v>2495</v>
      </c>
      <c r="C1054" s="164" t="s">
        <v>5</v>
      </c>
      <c r="D1054" s="164">
        <v>1</v>
      </c>
      <c r="E1054" s="165">
        <v>25.13</v>
      </c>
      <c r="F1054" s="165">
        <v>25.13</v>
      </c>
    </row>
    <row r="1055" spans="1:6" ht="60" x14ac:dyDescent="0.25">
      <c r="A1055" s="286" t="s">
        <v>2496</v>
      </c>
      <c r="B1055" s="287" t="s">
        <v>68</v>
      </c>
      <c r="C1055" s="164" t="s">
        <v>5</v>
      </c>
      <c r="D1055" s="164">
        <v>1</v>
      </c>
      <c r="E1055" s="165">
        <v>21.09</v>
      </c>
      <c r="F1055" s="165">
        <v>21.09</v>
      </c>
    </row>
    <row r="1056" spans="1:6" ht="30" x14ac:dyDescent="0.25">
      <c r="A1056" s="286" t="s">
        <v>2497</v>
      </c>
      <c r="B1056" s="287" t="s">
        <v>2498</v>
      </c>
      <c r="C1056" s="164" t="s">
        <v>5</v>
      </c>
      <c r="D1056" s="164">
        <v>1</v>
      </c>
      <c r="E1056" s="165">
        <v>3.27</v>
      </c>
      <c r="F1056" s="165">
        <v>3.27</v>
      </c>
    </row>
    <row r="1057" spans="1:6" ht="30" x14ac:dyDescent="0.25">
      <c r="A1057" s="286" t="s">
        <v>2499</v>
      </c>
      <c r="B1057" s="287" t="s">
        <v>2500</v>
      </c>
      <c r="C1057" s="164" t="s">
        <v>5</v>
      </c>
      <c r="D1057" s="164">
        <v>1</v>
      </c>
      <c r="E1057" s="165">
        <v>11.69</v>
      </c>
      <c r="F1057" s="165">
        <v>11.69</v>
      </c>
    </row>
    <row r="1058" spans="1:6" ht="60" x14ac:dyDescent="0.25">
      <c r="A1058" s="286" t="s">
        <v>2501</v>
      </c>
      <c r="B1058" s="287" t="s">
        <v>2502</v>
      </c>
      <c r="C1058" s="164" t="s">
        <v>8</v>
      </c>
      <c r="D1058" s="164">
        <v>1</v>
      </c>
      <c r="E1058" s="165">
        <v>67.37</v>
      </c>
      <c r="F1058" s="165">
        <v>67.37</v>
      </c>
    </row>
    <row r="1059" spans="1:6" ht="45" x14ac:dyDescent="0.25">
      <c r="A1059" s="286" t="s">
        <v>2503</v>
      </c>
      <c r="B1059" s="287" t="s">
        <v>2504</v>
      </c>
      <c r="C1059" s="164" t="s">
        <v>5</v>
      </c>
      <c r="D1059" s="164">
        <v>1</v>
      </c>
      <c r="E1059" s="165">
        <v>4.76</v>
      </c>
      <c r="F1059" s="165">
        <v>4.76</v>
      </c>
    </row>
    <row r="1060" spans="1:6" ht="60" x14ac:dyDescent="0.25">
      <c r="A1060" s="286" t="s">
        <v>2505</v>
      </c>
      <c r="B1060" s="287" t="s">
        <v>2506</v>
      </c>
      <c r="C1060" s="164" t="s">
        <v>5</v>
      </c>
      <c r="D1060" s="164">
        <v>1</v>
      </c>
      <c r="E1060" s="165">
        <v>16.87</v>
      </c>
      <c r="F1060" s="165">
        <v>16.87</v>
      </c>
    </row>
    <row r="1061" spans="1:6" ht="60" x14ac:dyDescent="0.25">
      <c r="A1061" s="286" t="s">
        <v>2507</v>
      </c>
      <c r="B1061" s="287" t="s">
        <v>2508</v>
      </c>
      <c r="C1061" s="164" t="s">
        <v>5</v>
      </c>
      <c r="D1061" s="164">
        <v>1</v>
      </c>
      <c r="E1061" s="165">
        <v>20.2</v>
      </c>
      <c r="F1061" s="165">
        <v>20.2</v>
      </c>
    </row>
    <row r="1062" spans="1:6" ht="60" x14ac:dyDescent="0.25">
      <c r="A1062" s="286" t="s">
        <v>2509</v>
      </c>
      <c r="B1062" s="287" t="s">
        <v>2510</v>
      </c>
      <c r="C1062" s="164" t="s">
        <v>5</v>
      </c>
      <c r="D1062" s="164">
        <v>1</v>
      </c>
      <c r="E1062" s="165">
        <v>17.13</v>
      </c>
      <c r="F1062" s="165">
        <v>17.13</v>
      </c>
    </row>
    <row r="1063" spans="1:6" ht="45" x14ac:dyDescent="0.25">
      <c r="A1063" s="286" t="s">
        <v>2511</v>
      </c>
      <c r="B1063" s="287" t="s">
        <v>2512</v>
      </c>
      <c r="C1063" s="164" t="s">
        <v>5</v>
      </c>
      <c r="D1063" s="164">
        <v>1</v>
      </c>
      <c r="E1063" s="165">
        <v>2.06</v>
      </c>
      <c r="F1063" s="165">
        <v>2.06</v>
      </c>
    </row>
    <row r="1064" spans="1:6" ht="30" x14ac:dyDescent="0.25">
      <c r="A1064" s="288" t="s">
        <v>2513</v>
      </c>
      <c r="B1064" s="285" t="s">
        <v>2514</v>
      </c>
      <c r="C1064" s="164"/>
      <c r="D1064" s="164"/>
      <c r="E1064" s="165"/>
      <c r="F1064" s="165"/>
    </row>
    <row r="1065" spans="1:6" ht="60" x14ac:dyDescent="0.25">
      <c r="A1065" s="286" t="s">
        <v>2515</v>
      </c>
      <c r="B1065" s="287" t="s">
        <v>2516</v>
      </c>
      <c r="C1065" s="164" t="s">
        <v>5</v>
      </c>
      <c r="D1065" s="164">
        <v>1</v>
      </c>
      <c r="E1065" s="165">
        <v>8.9499999999999993</v>
      </c>
      <c r="F1065" s="165">
        <v>8.9499999999999993</v>
      </c>
    </row>
    <row r="1066" spans="1:6" ht="60" x14ac:dyDescent="0.25">
      <c r="A1066" s="286" t="s">
        <v>2517</v>
      </c>
      <c r="B1066" s="287" t="s">
        <v>2518</v>
      </c>
      <c r="C1066" s="164" t="s">
        <v>5</v>
      </c>
      <c r="D1066" s="164">
        <v>1</v>
      </c>
      <c r="E1066" s="165">
        <v>18.079999999999998</v>
      </c>
      <c r="F1066" s="165">
        <v>18.079999999999998</v>
      </c>
    </row>
    <row r="1067" spans="1:6" ht="75" x14ac:dyDescent="0.25">
      <c r="A1067" s="286" t="s">
        <v>2519</v>
      </c>
      <c r="B1067" s="287" t="s">
        <v>2520</v>
      </c>
      <c r="C1067" s="164" t="s">
        <v>5</v>
      </c>
      <c r="D1067" s="164">
        <v>1</v>
      </c>
      <c r="E1067" s="165">
        <v>19.690000000000001</v>
      </c>
      <c r="F1067" s="165">
        <v>19.690000000000001</v>
      </c>
    </row>
    <row r="1068" spans="1:6" ht="60" x14ac:dyDescent="0.25">
      <c r="A1068" s="286" t="s">
        <v>2521</v>
      </c>
      <c r="B1068" s="287" t="s">
        <v>2522</v>
      </c>
      <c r="C1068" s="164" t="s">
        <v>5</v>
      </c>
      <c r="D1068" s="164">
        <v>1</v>
      </c>
      <c r="E1068" s="165">
        <v>25.95</v>
      </c>
      <c r="F1068" s="165">
        <v>25.95</v>
      </c>
    </row>
    <row r="1069" spans="1:6" x14ac:dyDescent="0.25">
      <c r="A1069" s="286" t="s">
        <v>2523</v>
      </c>
      <c r="B1069" s="287" t="s">
        <v>2524</v>
      </c>
      <c r="C1069" s="164" t="s">
        <v>5</v>
      </c>
      <c r="D1069" s="164">
        <v>1</v>
      </c>
      <c r="E1069" s="165">
        <v>9.31</v>
      </c>
      <c r="F1069" s="165">
        <v>9.31</v>
      </c>
    </row>
    <row r="1070" spans="1:6" ht="60" x14ac:dyDescent="0.25">
      <c r="A1070" s="286" t="s">
        <v>2525</v>
      </c>
      <c r="B1070" s="287" t="s">
        <v>2526</v>
      </c>
      <c r="C1070" s="164" t="s">
        <v>5</v>
      </c>
      <c r="D1070" s="164">
        <v>1</v>
      </c>
      <c r="E1070" s="165">
        <v>16.87</v>
      </c>
      <c r="F1070" s="165">
        <v>16.87</v>
      </c>
    </row>
    <row r="1071" spans="1:6" x14ac:dyDescent="0.25">
      <c r="A1071" s="288" t="s">
        <v>2527</v>
      </c>
      <c r="B1071" s="285" t="s">
        <v>2528</v>
      </c>
      <c r="C1071" s="164"/>
      <c r="D1071" s="164"/>
      <c r="E1071" s="165"/>
      <c r="F1071" s="165"/>
    </row>
    <row r="1072" spans="1:6" ht="60" x14ac:dyDescent="0.25">
      <c r="A1072" s="286" t="s">
        <v>2529</v>
      </c>
      <c r="B1072" s="287" t="s">
        <v>2530</v>
      </c>
      <c r="C1072" s="164" t="s">
        <v>5</v>
      </c>
      <c r="D1072" s="164">
        <v>1</v>
      </c>
      <c r="E1072" s="165">
        <v>18.899999999999999</v>
      </c>
      <c r="F1072" s="165">
        <v>18.899999999999999</v>
      </c>
    </row>
    <row r="1073" spans="1:6" ht="60" x14ac:dyDescent="0.25">
      <c r="A1073" s="286" t="s">
        <v>2531</v>
      </c>
      <c r="B1073" s="287" t="s">
        <v>2532</v>
      </c>
      <c r="C1073" s="164" t="s">
        <v>5</v>
      </c>
      <c r="D1073" s="164">
        <v>1</v>
      </c>
      <c r="E1073" s="165">
        <v>22.64</v>
      </c>
      <c r="F1073" s="165">
        <v>22.64</v>
      </c>
    </row>
    <row r="1074" spans="1:6" ht="60" x14ac:dyDescent="0.25">
      <c r="A1074" s="286" t="s">
        <v>2533</v>
      </c>
      <c r="B1074" s="287" t="s">
        <v>2534</v>
      </c>
      <c r="C1074" s="164" t="s">
        <v>5</v>
      </c>
      <c r="D1074" s="164">
        <v>1</v>
      </c>
      <c r="E1074" s="165">
        <v>29.6</v>
      </c>
      <c r="F1074" s="165">
        <v>29.6</v>
      </c>
    </row>
    <row r="1075" spans="1:6" ht="60" x14ac:dyDescent="0.25">
      <c r="A1075" s="286" t="s">
        <v>2535</v>
      </c>
      <c r="B1075" s="287" t="s">
        <v>2536</v>
      </c>
      <c r="C1075" s="164" t="s">
        <v>5</v>
      </c>
      <c r="D1075" s="164">
        <v>1</v>
      </c>
      <c r="E1075" s="165">
        <v>21.39</v>
      </c>
      <c r="F1075" s="165">
        <v>21.39</v>
      </c>
    </row>
    <row r="1076" spans="1:6" x14ac:dyDescent="0.25">
      <c r="A1076" s="288" t="s">
        <v>2537</v>
      </c>
      <c r="B1076" s="285" t="s">
        <v>2538</v>
      </c>
      <c r="C1076" s="164"/>
      <c r="D1076" s="164"/>
      <c r="E1076" s="165"/>
      <c r="F1076" s="165"/>
    </row>
    <row r="1077" spans="1:6" ht="75" x14ac:dyDescent="0.25">
      <c r="A1077" s="286" t="s">
        <v>2539</v>
      </c>
      <c r="B1077" s="287" t="s">
        <v>328</v>
      </c>
      <c r="C1077" s="164" t="s">
        <v>5</v>
      </c>
      <c r="D1077" s="164">
        <v>1</v>
      </c>
      <c r="E1077" s="165">
        <v>20.010000000000002</v>
      </c>
      <c r="F1077" s="165">
        <v>20.010000000000002</v>
      </c>
    </row>
    <row r="1078" spans="1:6" ht="45" x14ac:dyDescent="0.25">
      <c r="A1078" s="286" t="s">
        <v>2540</v>
      </c>
      <c r="B1078" s="287" t="s">
        <v>2541</v>
      </c>
      <c r="C1078" s="164" t="s">
        <v>5</v>
      </c>
      <c r="D1078" s="164">
        <v>1</v>
      </c>
      <c r="E1078" s="165">
        <v>38.35</v>
      </c>
      <c r="F1078" s="165">
        <v>38.35</v>
      </c>
    </row>
    <row r="1079" spans="1:6" x14ac:dyDescent="0.25">
      <c r="A1079" s="288" t="s">
        <v>2542</v>
      </c>
      <c r="B1079" s="285" t="s">
        <v>2543</v>
      </c>
      <c r="C1079" s="164"/>
      <c r="D1079" s="164"/>
      <c r="E1079" s="165"/>
      <c r="F1079" s="165"/>
    </row>
    <row r="1080" spans="1:6" ht="60" x14ac:dyDescent="0.25">
      <c r="A1080" s="286" t="s">
        <v>2544</v>
      </c>
      <c r="B1080" s="287" t="s">
        <v>2545</v>
      </c>
      <c r="C1080" s="164" t="s">
        <v>8</v>
      </c>
      <c r="D1080" s="164">
        <v>1</v>
      </c>
      <c r="E1080" s="165">
        <v>4.72</v>
      </c>
      <c r="F1080" s="165">
        <v>4.72</v>
      </c>
    </row>
    <row r="1081" spans="1:6" x14ac:dyDescent="0.25">
      <c r="A1081" s="288" t="s">
        <v>2546</v>
      </c>
      <c r="B1081" s="285" t="s">
        <v>2547</v>
      </c>
      <c r="C1081" s="164"/>
      <c r="D1081" s="164"/>
      <c r="E1081" s="165"/>
      <c r="F1081" s="165"/>
    </row>
    <row r="1082" spans="1:6" ht="60" x14ac:dyDescent="0.25">
      <c r="A1082" s="286" t="s">
        <v>2548</v>
      </c>
      <c r="B1082" s="287" t="s">
        <v>2549</v>
      </c>
      <c r="C1082" s="164" t="s">
        <v>7</v>
      </c>
      <c r="D1082" s="164">
        <v>1</v>
      </c>
      <c r="E1082" s="165">
        <v>30.04</v>
      </c>
      <c r="F1082" s="165">
        <v>30.04</v>
      </c>
    </row>
    <row r="1083" spans="1:6" ht="60" x14ac:dyDescent="0.25">
      <c r="A1083" s="286" t="s">
        <v>2550</v>
      </c>
      <c r="B1083" s="287" t="s">
        <v>2551</v>
      </c>
      <c r="C1083" s="164" t="s">
        <v>5</v>
      </c>
      <c r="D1083" s="164">
        <v>1</v>
      </c>
      <c r="E1083" s="165">
        <v>32.75</v>
      </c>
      <c r="F1083" s="165">
        <v>32.75</v>
      </c>
    </row>
    <row r="1084" spans="1:6" ht="45" x14ac:dyDescent="0.25">
      <c r="A1084" s="286" t="s">
        <v>2552</v>
      </c>
      <c r="B1084" s="287" t="s">
        <v>2553</v>
      </c>
      <c r="C1084" s="164" t="s">
        <v>5</v>
      </c>
      <c r="D1084" s="164">
        <v>1</v>
      </c>
      <c r="E1084" s="165">
        <v>18.04</v>
      </c>
      <c r="F1084" s="165">
        <v>18.04</v>
      </c>
    </row>
    <row r="1085" spans="1:6" ht="60" x14ac:dyDescent="0.25">
      <c r="A1085" s="286" t="s">
        <v>2554</v>
      </c>
      <c r="B1085" s="287" t="s">
        <v>2555</v>
      </c>
      <c r="C1085" s="164" t="s">
        <v>7</v>
      </c>
      <c r="D1085" s="164">
        <v>1</v>
      </c>
      <c r="E1085" s="165">
        <v>48.05</v>
      </c>
      <c r="F1085" s="165">
        <v>48.05</v>
      </c>
    </row>
    <row r="1086" spans="1:6" ht="90" x14ac:dyDescent="0.25">
      <c r="A1086" s="286" t="s">
        <v>2556</v>
      </c>
      <c r="B1086" s="287" t="s">
        <v>2557</v>
      </c>
      <c r="C1086" s="164" t="s">
        <v>5</v>
      </c>
      <c r="D1086" s="164">
        <v>1</v>
      </c>
      <c r="E1086" s="165">
        <v>49.16</v>
      </c>
      <c r="F1086" s="165">
        <v>49.16</v>
      </c>
    </row>
    <row r="1087" spans="1:6" ht="30" x14ac:dyDescent="0.25">
      <c r="A1087" s="288" t="s">
        <v>2558</v>
      </c>
      <c r="B1087" s="285" t="s">
        <v>69</v>
      </c>
      <c r="C1087" s="164"/>
      <c r="D1087" s="164"/>
      <c r="E1087" s="165"/>
      <c r="F1087" s="165"/>
    </row>
    <row r="1088" spans="1:6" x14ac:dyDescent="0.25">
      <c r="A1088" s="288" t="s">
        <v>2559</v>
      </c>
      <c r="B1088" s="285" t="s">
        <v>2560</v>
      </c>
      <c r="C1088" s="164"/>
      <c r="D1088" s="164"/>
      <c r="E1088" s="165"/>
      <c r="F1088" s="165"/>
    </row>
    <row r="1089" spans="1:6" ht="90" x14ac:dyDescent="0.25">
      <c r="A1089" s="286" t="s">
        <v>2561</v>
      </c>
      <c r="B1089" s="287" t="s">
        <v>2562</v>
      </c>
      <c r="C1089" s="164" t="s">
        <v>5</v>
      </c>
      <c r="D1089" s="164">
        <v>1</v>
      </c>
      <c r="E1089" s="165">
        <v>280.45999999999998</v>
      </c>
      <c r="F1089" s="165">
        <v>280.45999999999998</v>
      </c>
    </row>
    <row r="1090" spans="1:6" ht="45" x14ac:dyDescent="0.25">
      <c r="A1090" s="286" t="s">
        <v>2563</v>
      </c>
      <c r="B1090" s="287" t="s">
        <v>2564</v>
      </c>
      <c r="C1090" s="164" t="s">
        <v>7</v>
      </c>
      <c r="D1090" s="164">
        <v>1</v>
      </c>
      <c r="E1090" s="165">
        <v>305.29000000000002</v>
      </c>
      <c r="F1090" s="165">
        <v>305.29000000000002</v>
      </c>
    </row>
    <row r="1091" spans="1:6" ht="90" x14ac:dyDescent="0.25">
      <c r="A1091" s="286" t="s">
        <v>2565</v>
      </c>
      <c r="B1091" s="287" t="s">
        <v>2566</v>
      </c>
      <c r="C1091" s="164" t="s">
        <v>7</v>
      </c>
      <c r="D1091" s="164">
        <v>1</v>
      </c>
      <c r="E1091" s="165">
        <v>208.9</v>
      </c>
      <c r="F1091" s="165">
        <v>208.9</v>
      </c>
    </row>
    <row r="1092" spans="1:6" ht="60" x14ac:dyDescent="0.25">
      <c r="A1092" s="286" t="s">
        <v>2567</v>
      </c>
      <c r="B1092" s="287" t="s">
        <v>2568</v>
      </c>
      <c r="C1092" s="164" t="s">
        <v>7</v>
      </c>
      <c r="D1092" s="164">
        <v>1</v>
      </c>
      <c r="E1092" s="165">
        <v>120.06</v>
      </c>
      <c r="F1092" s="165">
        <v>120.06</v>
      </c>
    </row>
    <row r="1093" spans="1:6" ht="45" x14ac:dyDescent="0.25">
      <c r="A1093" s="286" t="s">
        <v>2569</v>
      </c>
      <c r="B1093" s="287" t="s">
        <v>2570</v>
      </c>
      <c r="C1093" s="164" t="s">
        <v>6</v>
      </c>
      <c r="D1093" s="164">
        <v>1</v>
      </c>
      <c r="E1093" s="165">
        <v>959.79</v>
      </c>
      <c r="F1093" s="165">
        <v>959.79</v>
      </c>
    </row>
    <row r="1094" spans="1:6" ht="105" x14ac:dyDescent="0.25">
      <c r="A1094" s="286" t="s">
        <v>2571</v>
      </c>
      <c r="B1094" s="287" t="s">
        <v>2572</v>
      </c>
      <c r="C1094" s="164" t="s">
        <v>7</v>
      </c>
      <c r="D1094" s="164">
        <v>1</v>
      </c>
      <c r="E1094" s="165">
        <v>248.91</v>
      </c>
      <c r="F1094" s="165">
        <v>248.91</v>
      </c>
    </row>
    <row r="1095" spans="1:6" ht="90" x14ac:dyDescent="0.25">
      <c r="A1095" s="286" t="s">
        <v>2573</v>
      </c>
      <c r="B1095" s="287" t="s">
        <v>2574</v>
      </c>
      <c r="C1095" s="164" t="s">
        <v>7</v>
      </c>
      <c r="D1095" s="164">
        <v>1</v>
      </c>
      <c r="E1095" s="165">
        <v>822.28</v>
      </c>
      <c r="F1095" s="165">
        <v>822.28</v>
      </c>
    </row>
    <row r="1096" spans="1:6" ht="90" x14ac:dyDescent="0.25">
      <c r="A1096" s="286" t="s">
        <v>2575</v>
      </c>
      <c r="B1096" s="287" t="s">
        <v>2576</v>
      </c>
      <c r="C1096" s="164" t="s">
        <v>5</v>
      </c>
      <c r="D1096" s="164">
        <v>1</v>
      </c>
      <c r="E1096" s="165">
        <v>291.5</v>
      </c>
      <c r="F1096" s="165">
        <v>291.5</v>
      </c>
    </row>
    <row r="1097" spans="1:6" ht="60" x14ac:dyDescent="0.25">
      <c r="A1097" s="286" t="s">
        <v>2577</v>
      </c>
      <c r="B1097" s="287" t="s">
        <v>2578</v>
      </c>
      <c r="C1097" s="164" t="s">
        <v>7</v>
      </c>
      <c r="D1097" s="164">
        <v>1</v>
      </c>
      <c r="E1097" s="165">
        <v>108.12</v>
      </c>
      <c r="F1097" s="165">
        <v>108.12</v>
      </c>
    </row>
    <row r="1098" spans="1:6" ht="60" x14ac:dyDescent="0.25">
      <c r="A1098" s="286" t="s">
        <v>2579</v>
      </c>
      <c r="B1098" s="287" t="s">
        <v>2580</v>
      </c>
      <c r="C1098" s="164" t="s">
        <v>7</v>
      </c>
      <c r="D1098" s="164">
        <v>1</v>
      </c>
      <c r="E1098" s="289">
        <v>1139.93</v>
      </c>
      <c r="F1098" s="289">
        <v>1139.93</v>
      </c>
    </row>
    <row r="1099" spans="1:6" ht="60" x14ac:dyDescent="0.25">
      <c r="A1099" s="286" t="s">
        <v>2581</v>
      </c>
      <c r="B1099" s="287" t="s">
        <v>2582</v>
      </c>
      <c r="C1099" s="164" t="s">
        <v>7</v>
      </c>
      <c r="D1099" s="164">
        <v>1</v>
      </c>
      <c r="E1099" s="289">
        <v>2058.75</v>
      </c>
      <c r="F1099" s="289">
        <v>2058.75</v>
      </c>
    </row>
    <row r="1100" spans="1:6" x14ac:dyDescent="0.25">
      <c r="A1100" s="288" t="s">
        <v>2583</v>
      </c>
      <c r="B1100" s="285" t="s">
        <v>185</v>
      </c>
      <c r="C1100" s="164"/>
      <c r="D1100" s="164"/>
      <c r="E1100" s="165"/>
      <c r="F1100" s="165"/>
    </row>
    <row r="1101" spans="1:6" ht="60" x14ac:dyDescent="0.25">
      <c r="A1101" s="286" t="s">
        <v>2584</v>
      </c>
      <c r="B1101" s="287" t="s">
        <v>2585</v>
      </c>
      <c r="C1101" s="164" t="s">
        <v>7</v>
      </c>
      <c r="D1101" s="164">
        <v>1</v>
      </c>
      <c r="E1101" s="165">
        <v>50.02</v>
      </c>
      <c r="F1101" s="165">
        <v>50.02</v>
      </c>
    </row>
    <row r="1102" spans="1:6" ht="75" x14ac:dyDescent="0.25">
      <c r="A1102" s="286" t="s">
        <v>2586</v>
      </c>
      <c r="B1102" s="287" t="s">
        <v>2587</v>
      </c>
      <c r="C1102" s="164" t="s">
        <v>5</v>
      </c>
      <c r="D1102" s="164">
        <v>1</v>
      </c>
      <c r="E1102" s="165">
        <v>76.86</v>
      </c>
      <c r="F1102" s="165">
        <v>76.86</v>
      </c>
    </row>
    <row r="1103" spans="1:6" ht="75" x14ac:dyDescent="0.25">
      <c r="A1103" s="286" t="s">
        <v>2588</v>
      </c>
      <c r="B1103" s="287" t="s">
        <v>2589</v>
      </c>
      <c r="C1103" s="164" t="s">
        <v>5</v>
      </c>
      <c r="D1103" s="164">
        <v>1</v>
      </c>
      <c r="E1103" s="165">
        <v>133.05000000000001</v>
      </c>
      <c r="F1103" s="165">
        <v>133.05000000000001</v>
      </c>
    </row>
    <row r="1104" spans="1:6" ht="75" x14ac:dyDescent="0.25">
      <c r="A1104" s="286" t="s">
        <v>2590</v>
      </c>
      <c r="B1104" s="287" t="s">
        <v>2591</v>
      </c>
      <c r="C1104" s="164" t="s">
        <v>5</v>
      </c>
      <c r="D1104" s="164">
        <v>1</v>
      </c>
      <c r="E1104" s="165">
        <v>95.1</v>
      </c>
      <c r="F1104" s="165">
        <v>95.1</v>
      </c>
    </row>
    <row r="1105" spans="1:6" ht="30" x14ac:dyDescent="0.25">
      <c r="A1105" s="286" t="s">
        <v>2592</v>
      </c>
      <c r="B1105" s="287" t="s">
        <v>315</v>
      </c>
      <c r="C1105" s="164" t="s">
        <v>6</v>
      </c>
      <c r="D1105" s="164">
        <v>1</v>
      </c>
      <c r="E1105" s="165">
        <v>197.83</v>
      </c>
      <c r="F1105" s="165">
        <v>197.83</v>
      </c>
    </row>
    <row r="1106" spans="1:6" ht="75" x14ac:dyDescent="0.25">
      <c r="A1106" s="286" t="s">
        <v>2593</v>
      </c>
      <c r="B1106" s="287" t="s">
        <v>2594</v>
      </c>
      <c r="C1106" s="164" t="s">
        <v>7</v>
      </c>
      <c r="D1106" s="164">
        <v>1</v>
      </c>
      <c r="E1106" s="165">
        <v>72.55</v>
      </c>
      <c r="F1106" s="165">
        <v>72.55</v>
      </c>
    </row>
    <row r="1107" spans="1:6" ht="75" x14ac:dyDescent="0.25">
      <c r="A1107" s="286" t="s">
        <v>2595</v>
      </c>
      <c r="B1107" s="287" t="s">
        <v>2596</v>
      </c>
      <c r="C1107" s="164" t="s">
        <v>5</v>
      </c>
      <c r="D1107" s="164">
        <v>1</v>
      </c>
      <c r="E1107" s="165">
        <v>66.3</v>
      </c>
      <c r="F1107" s="165">
        <v>66.3</v>
      </c>
    </row>
    <row r="1108" spans="1:6" ht="90" x14ac:dyDescent="0.25">
      <c r="A1108" s="286" t="s">
        <v>2597</v>
      </c>
      <c r="B1108" s="287" t="s">
        <v>2598</v>
      </c>
      <c r="C1108" s="164" t="s">
        <v>7</v>
      </c>
      <c r="D1108" s="164">
        <v>1</v>
      </c>
      <c r="E1108" s="165">
        <v>304.64999999999998</v>
      </c>
      <c r="F1108" s="165">
        <v>304.64999999999998</v>
      </c>
    </row>
    <row r="1109" spans="1:6" ht="90" x14ac:dyDescent="0.25">
      <c r="A1109" s="286" t="s">
        <v>2599</v>
      </c>
      <c r="B1109" s="287" t="s">
        <v>2600</v>
      </c>
      <c r="C1109" s="164" t="s">
        <v>5</v>
      </c>
      <c r="D1109" s="164">
        <v>1</v>
      </c>
      <c r="E1109" s="165">
        <v>68.349999999999994</v>
      </c>
      <c r="F1109" s="165">
        <v>68.349999999999994</v>
      </c>
    </row>
    <row r="1110" spans="1:6" ht="90" x14ac:dyDescent="0.25">
      <c r="A1110" s="286" t="s">
        <v>2601</v>
      </c>
      <c r="B1110" s="287" t="s">
        <v>316</v>
      </c>
      <c r="C1110" s="164" t="s">
        <v>5</v>
      </c>
      <c r="D1110" s="164">
        <v>1</v>
      </c>
      <c r="E1110" s="165">
        <v>68.349999999999994</v>
      </c>
      <c r="F1110" s="165">
        <v>68.349999999999994</v>
      </c>
    </row>
    <row r="1111" spans="1:6" x14ac:dyDescent="0.25">
      <c r="A1111" s="288" t="s">
        <v>2602</v>
      </c>
      <c r="B1111" s="285" t="s">
        <v>70</v>
      </c>
      <c r="C1111" s="164"/>
      <c r="D1111" s="164"/>
      <c r="E1111" s="165"/>
      <c r="F1111" s="165"/>
    </row>
    <row r="1112" spans="1:6" ht="45" x14ac:dyDescent="0.25">
      <c r="A1112" s="286" t="s">
        <v>2603</v>
      </c>
      <c r="B1112" s="287" t="s">
        <v>2604</v>
      </c>
      <c r="C1112" s="164" t="s">
        <v>5</v>
      </c>
      <c r="D1112" s="164">
        <v>1</v>
      </c>
      <c r="E1112" s="165">
        <v>13.13</v>
      </c>
      <c r="F1112" s="165">
        <v>13.13</v>
      </c>
    </row>
    <row r="1113" spans="1:6" ht="30" x14ac:dyDescent="0.25">
      <c r="A1113" s="286" t="s">
        <v>2605</v>
      </c>
      <c r="B1113" s="287" t="s">
        <v>2606</v>
      </c>
      <c r="C1113" s="164" t="s">
        <v>6</v>
      </c>
      <c r="D1113" s="164">
        <v>1</v>
      </c>
      <c r="E1113" s="165">
        <v>152.68</v>
      </c>
      <c r="F1113" s="165">
        <v>152.68</v>
      </c>
    </row>
    <row r="1114" spans="1:6" ht="30" x14ac:dyDescent="0.25">
      <c r="A1114" s="286" t="s">
        <v>2607</v>
      </c>
      <c r="B1114" s="287" t="s">
        <v>2608</v>
      </c>
      <c r="C1114" s="164" t="s">
        <v>6</v>
      </c>
      <c r="D1114" s="164">
        <v>1</v>
      </c>
      <c r="E1114" s="165">
        <v>160.91999999999999</v>
      </c>
      <c r="F1114" s="165">
        <v>160.91999999999999</v>
      </c>
    </row>
    <row r="1115" spans="1:6" ht="30" x14ac:dyDescent="0.25">
      <c r="A1115" s="286" t="s">
        <v>2609</v>
      </c>
      <c r="B1115" s="287" t="s">
        <v>2610</v>
      </c>
      <c r="C1115" s="164" t="s">
        <v>6</v>
      </c>
      <c r="D1115" s="164">
        <v>1</v>
      </c>
      <c r="E1115" s="165">
        <v>202.07</v>
      </c>
      <c r="F1115" s="165">
        <v>202.07</v>
      </c>
    </row>
    <row r="1116" spans="1:6" ht="30" x14ac:dyDescent="0.25">
      <c r="A1116" s="286" t="s">
        <v>2611</v>
      </c>
      <c r="B1116" s="287" t="s">
        <v>2612</v>
      </c>
      <c r="C1116" s="164" t="s">
        <v>6</v>
      </c>
      <c r="D1116" s="164">
        <v>1</v>
      </c>
      <c r="E1116" s="165">
        <v>128.15</v>
      </c>
      <c r="F1116" s="165">
        <v>128.15</v>
      </c>
    </row>
    <row r="1117" spans="1:6" ht="45" x14ac:dyDescent="0.25">
      <c r="A1117" s="286" t="s">
        <v>2613</v>
      </c>
      <c r="B1117" s="287" t="s">
        <v>317</v>
      </c>
      <c r="C1117" s="164" t="s">
        <v>5</v>
      </c>
      <c r="D1117" s="164">
        <v>1</v>
      </c>
      <c r="E1117" s="165">
        <v>26.2</v>
      </c>
      <c r="F1117" s="165">
        <v>26.2</v>
      </c>
    </row>
    <row r="1118" spans="1:6" ht="30" x14ac:dyDescent="0.25">
      <c r="A1118" s="288" t="s">
        <v>2614</v>
      </c>
      <c r="B1118" s="285" t="s">
        <v>71</v>
      </c>
      <c r="C1118" s="164"/>
      <c r="D1118" s="164"/>
      <c r="E1118" s="165"/>
      <c r="F1118" s="165"/>
    </row>
    <row r="1119" spans="1:6" x14ac:dyDescent="0.25">
      <c r="A1119" s="286" t="s">
        <v>2615</v>
      </c>
      <c r="B1119" s="287" t="s">
        <v>2616</v>
      </c>
      <c r="C1119" s="164" t="s">
        <v>5</v>
      </c>
      <c r="D1119" s="164">
        <v>1</v>
      </c>
      <c r="E1119" s="165">
        <v>9.84</v>
      </c>
      <c r="F1119" s="165">
        <v>9.84</v>
      </c>
    </row>
    <row r="1120" spans="1:6" ht="30" x14ac:dyDescent="0.25">
      <c r="A1120" s="286" t="s">
        <v>2617</v>
      </c>
      <c r="B1120" s="287" t="s">
        <v>2618</v>
      </c>
      <c r="C1120" s="164" t="s">
        <v>5</v>
      </c>
      <c r="D1120" s="164">
        <v>1</v>
      </c>
      <c r="E1120" s="165">
        <v>0.98</v>
      </c>
      <c r="F1120" s="165">
        <v>0.98</v>
      </c>
    </row>
    <row r="1121" spans="1:6" ht="30" x14ac:dyDescent="0.25">
      <c r="A1121" s="286" t="s">
        <v>2619</v>
      </c>
      <c r="B1121" s="287" t="s">
        <v>2620</v>
      </c>
      <c r="C1121" s="164" t="s">
        <v>5</v>
      </c>
      <c r="D1121" s="164">
        <v>1</v>
      </c>
      <c r="E1121" s="165">
        <v>19.13</v>
      </c>
      <c r="F1121" s="165">
        <v>19.13</v>
      </c>
    </row>
    <row r="1122" spans="1:6" x14ac:dyDescent="0.25">
      <c r="A1122" s="288" t="s">
        <v>2621</v>
      </c>
      <c r="B1122" s="285" t="s">
        <v>2622</v>
      </c>
      <c r="C1122" s="164"/>
      <c r="D1122" s="164"/>
      <c r="E1122" s="165"/>
      <c r="F1122" s="165"/>
    </row>
    <row r="1123" spans="1:6" ht="60" x14ac:dyDescent="0.25">
      <c r="A1123" s="286" t="s">
        <v>2623</v>
      </c>
      <c r="B1123" s="287" t="s">
        <v>2624</v>
      </c>
      <c r="C1123" s="164" t="s">
        <v>8</v>
      </c>
      <c r="D1123" s="164">
        <v>1</v>
      </c>
      <c r="E1123" s="165">
        <v>167.36</v>
      </c>
      <c r="F1123" s="165">
        <v>167.36</v>
      </c>
    </row>
    <row r="1124" spans="1:6" ht="90" x14ac:dyDescent="0.25">
      <c r="A1124" s="286" t="s">
        <v>2625</v>
      </c>
      <c r="B1124" s="287" t="s">
        <v>2626</v>
      </c>
      <c r="C1124" s="164" t="s">
        <v>8</v>
      </c>
      <c r="D1124" s="164">
        <v>1</v>
      </c>
      <c r="E1124" s="165">
        <v>462.38</v>
      </c>
      <c r="F1124" s="165">
        <v>462.38</v>
      </c>
    </row>
    <row r="1125" spans="1:6" ht="75" x14ac:dyDescent="0.25">
      <c r="A1125" s="286" t="s">
        <v>2627</v>
      </c>
      <c r="B1125" s="287" t="s">
        <v>2628</v>
      </c>
      <c r="C1125" s="164" t="s">
        <v>8</v>
      </c>
      <c r="D1125" s="164">
        <v>1</v>
      </c>
      <c r="E1125" s="289">
        <v>1831.89</v>
      </c>
      <c r="F1125" s="289">
        <v>1831.89</v>
      </c>
    </row>
    <row r="1126" spans="1:6" ht="45" x14ac:dyDescent="0.25">
      <c r="A1126" s="286" t="s">
        <v>2629</v>
      </c>
      <c r="B1126" s="287" t="s">
        <v>2630</v>
      </c>
      <c r="C1126" s="164" t="s">
        <v>8</v>
      </c>
      <c r="D1126" s="164">
        <v>1</v>
      </c>
      <c r="E1126" s="165">
        <v>376.67</v>
      </c>
      <c r="F1126" s="165">
        <v>376.67</v>
      </c>
    </row>
    <row r="1127" spans="1:6" ht="60" x14ac:dyDescent="0.25">
      <c r="A1127" s="286" t="s">
        <v>2631</v>
      </c>
      <c r="B1127" s="287" t="s">
        <v>2632</v>
      </c>
      <c r="C1127" s="164" t="s">
        <v>7</v>
      </c>
      <c r="D1127" s="164">
        <v>1</v>
      </c>
      <c r="E1127" s="165">
        <v>165.65</v>
      </c>
      <c r="F1127" s="165">
        <v>165.65</v>
      </c>
    </row>
    <row r="1128" spans="1:6" ht="45" x14ac:dyDescent="0.25">
      <c r="A1128" s="286" t="s">
        <v>2633</v>
      </c>
      <c r="B1128" s="287" t="s">
        <v>2634</v>
      </c>
      <c r="C1128" s="164" t="s">
        <v>8</v>
      </c>
      <c r="D1128" s="164">
        <v>1</v>
      </c>
      <c r="E1128" s="289">
        <v>2604.7199999999998</v>
      </c>
      <c r="F1128" s="289">
        <v>2604.7199999999998</v>
      </c>
    </row>
    <row r="1129" spans="1:6" ht="60" x14ac:dyDescent="0.25">
      <c r="A1129" s="286" t="s">
        <v>2635</v>
      </c>
      <c r="B1129" s="287" t="s">
        <v>2636</v>
      </c>
      <c r="C1129" s="164" t="s">
        <v>7</v>
      </c>
      <c r="D1129" s="164">
        <v>1</v>
      </c>
      <c r="E1129" s="165">
        <v>262.58999999999997</v>
      </c>
      <c r="F1129" s="165">
        <v>262.58999999999997</v>
      </c>
    </row>
    <row r="1130" spans="1:6" ht="60" x14ac:dyDescent="0.25">
      <c r="A1130" s="286" t="s">
        <v>2637</v>
      </c>
      <c r="B1130" s="287" t="s">
        <v>2638</v>
      </c>
      <c r="C1130" s="164" t="s">
        <v>8</v>
      </c>
      <c r="D1130" s="164">
        <v>1</v>
      </c>
      <c r="E1130" s="165">
        <v>768.47</v>
      </c>
      <c r="F1130" s="165">
        <v>768.47</v>
      </c>
    </row>
    <row r="1131" spans="1:6" ht="30" x14ac:dyDescent="0.25">
      <c r="A1131" s="288" t="s">
        <v>2639</v>
      </c>
      <c r="B1131" s="285" t="s">
        <v>2640</v>
      </c>
      <c r="C1131" s="164"/>
      <c r="D1131" s="164"/>
      <c r="E1131" s="165"/>
      <c r="F1131" s="165"/>
    </row>
    <row r="1132" spans="1:6" ht="105" x14ac:dyDescent="0.25">
      <c r="A1132" s="286" t="s">
        <v>2641</v>
      </c>
      <c r="B1132" s="287" t="s">
        <v>2642</v>
      </c>
      <c r="C1132" s="164" t="s">
        <v>5</v>
      </c>
      <c r="D1132" s="164">
        <v>1</v>
      </c>
      <c r="E1132" s="165">
        <v>119.5</v>
      </c>
      <c r="F1132" s="165">
        <v>119.5</v>
      </c>
    </row>
    <row r="1133" spans="1:6" ht="60" x14ac:dyDescent="0.25">
      <c r="A1133" s="286" t="s">
        <v>2643</v>
      </c>
      <c r="B1133" s="287" t="s">
        <v>2644</v>
      </c>
      <c r="C1133" s="164" t="s">
        <v>7</v>
      </c>
      <c r="D1133" s="164">
        <v>1</v>
      </c>
      <c r="E1133" s="165">
        <v>30.04</v>
      </c>
      <c r="F1133" s="165">
        <v>30.04</v>
      </c>
    </row>
    <row r="1134" spans="1:6" ht="60" x14ac:dyDescent="0.25">
      <c r="A1134" s="286" t="s">
        <v>2645</v>
      </c>
      <c r="B1134" s="287" t="s">
        <v>2646</v>
      </c>
      <c r="C1134" s="164" t="s">
        <v>5</v>
      </c>
      <c r="D1134" s="164">
        <v>1</v>
      </c>
      <c r="E1134" s="165">
        <v>32.75</v>
      </c>
      <c r="F1134" s="165">
        <v>32.75</v>
      </c>
    </row>
    <row r="1135" spans="1:6" ht="30" x14ac:dyDescent="0.25">
      <c r="A1135" s="286" t="s">
        <v>2647</v>
      </c>
      <c r="B1135" s="287" t="s">
        <v>2648</v>
      </c>
      <c r="C1135" s="164" t="s">
        <v>8</v>
      </c>
      <c r="D1135" s="164">
        <v>1</v>
      </c>
      <c r="E1135" s="165">
        <v>178.33</v>
      </c>
      <c r="F1135" s="165">
        <v>178.33</v>
      </c>
    </row>
    <row r="1136" spans="1:6" ht="60" x14ac:dyDescent="0.25">
      <c r="A1136" s="286" t="s">
        <v>2649</v>
      </c>
      <c r="B1136" s="287" t="s">
        <v>2650</v>
      </c>
      <c r="C1136" s="164" t="s">
        <v>8</v>
      </c>
      <c r="D1136" s="164">
        <v>1</v>
      </c>
      <c r="E1136" s="289">
        <v>3831.08</v>
      </c>
      <c r="F1136" s="289">
        <v>3831.08</v>
      </c>
    </row>
    <row r="1137" spans="1:6" ht="45" x14ac:dyDescent="0.25">
      <c r="A1137" s="286" t="s">
        <v>2651</v>
      </c>
      <c r="B1137" s="287" t="s">
        <v>2652</v>
      </c>
      <c r="C1137" s="164" t="s">
        <v>8</v>
      </c>
      <c r="D1137" s="164">
        <v>1</v>
      </c>
      <c r="E1137" s="289">
        <v>1830.45</v>
      </c>
      <c r="F1137" s="289">
        <v>1830.45</v>
      </c>
    </row>
    <row r="1138" spans="1:6" ht="75" x14ac:dyDescent="0.25">
      <c r="A1138" s="286" t="s">
        <v>2653</v>
      </c>
      <c r="B1138" s="287" t="s">
        <v>2654</v>
      </c>
      <c r="C1138" s="164" t="s">
        <v>8</v>
      </c>
      <c r="D1138" s="164">
        <v>1</v>
      </c>
      <c r="E1138" s="289">
        <v>1768.42</v>
      </c>
      <c r="F1138" s="289">
        <v>1768.42</v>
      </c>
    </row>
    <row r="1139" spans="1:6" ht="30" x14ac:dyDescent="0.25">
      <c r="A1139" s="286" t="s">
        <v>2655</v>
      </c>
      <c r="B1139" s="287" t="s">
        <v>2656</v>
      </c>
      <c r="C1139" s="164" t="s">
        <v>8</v>
      </c>
      <c r="D1139" s="164">
        <v>1</v>
      </c>
      <c r="E1139" s="165">
        <v>948.77</v>
      </c>
      <c r="F1139" s="165">
        <v>948.77</v>
      </c>
    </row>
    <row r="1140" spans="1:6" ht="75" x14ac:dyDescent="0.25">
      <c r="A1140" s="286" t="s">
        <v>2657</v>
      </c>
      <c r="B1140" s="287" t="s">
        <v>2658</v>
      </c>
      <c r="C1140" s="164" t="s">
        <v>5</v>
      </c>
      <c r="D1140" s="164">
        <v>1</v>
      </c>
      <c r="E1140" s="165">
        <v>335.31</v>
      </c>
      <c r="F1140" s="165">
        <v>335.31</v>
      </c>
    </row>
    <row r="1141" spans="1:6" x14ac:dyDescent="0.25">
      <c r="A1141" s="286" t="s">
        <v>2659</v>
      </c>
      <c r="B1141" s="287" t="s">
        <v>2660</v>
      </c>
      <c r="C1141" s="164" t="s">
        <v>8</v>
      </c>
      <c r="D1141" s="164">
        <v>1</v>
      </c>
      <c r="E1141" s="165">
        <v>225.78</v>
      </c>
      <c r="F1141" s="165">
        <v>225.78</v>
      </c>
    </row>
    <row r="1142" spans="1:6" ht="45" x14ac:dyDescent="0.25">
      <c r="A1142" s="286" t="s">
        <v>2661</v>
      </c>
      <c r="B1142" s="287" t="s">
        <v>2662</v>
      </c>
      <c r="C1142" s="164" t="s">
        <v>5</v>
      </c>
      <c r="D1142" s="164">
        <v>1</v>
      </c>
      <c r="E1142" s="165">
        <v>13.06</v>
      </c>
      <c r="F1142" s="165">
        <v>13.06</v>
      </c>
    </row>
    <row r="1143" spans="1:6" ht="75" x14ac:dyDescent="0.25">
      <c r="A1143" s="286" t="s">
        <v>2663</v>
      </c>
      <c r="B1143" s="287" t="s">
        <v>2664</v>
      </c>
      <c r="C1143" s="164" t="s">
        <v>5</v>
      </c>
      <c r="D1143" s="164">
        <v>1</v>
      </c>
      <c r="E1143" s="165">
        <v>165.4</v>
      </c>
      <c r="F1143" s="165">
        <v>165.4</v>
      </c>
    </row>
    <row r="1144" spans="1:6" ht="75" x14ac:dyDescent="0.25">
      <c r="A1144" s="286" t="s">
        <v>2665</v>
      </c>
      <c r="B1144" s="287" t="s">
        <v>2666</v>
      </c>
      <c r="C1144" s="164" t="s">
        <v>5</v>
      </c>
      <c r="D1144" s="164">
        <v>1</v>
      </c>
      <c r="E1144" s="165">
        <v>140.71</v>
      </c>
      <c r="F1144" s="165">
        <v>140.71</v>
      </c>
    </row>
    <row r="1145" spans="1:6" ht="30" x14ac:dyDescent="0.25">
      <c r="A1145" s="286" t="s">
        <v>2667</v>
      </c>
      <c r="B1145" s="287" t="s">
        <v>2668</v>
      </c>
      <c r="C1145" s="164" t="s">
        <v>7</v>
      </c>
      <c r="D1145" s="164">
        <v>1</v>
      </c>
      <c r="E1145" s="165">
        <v>5.0199999999999996</v>
      </c>
      <c r="F1145" s="165">
        <v>5.0199999999999996</v>
      </c>
    </row>
    <row r="1146" spans="1:6" ht="105" x14ac:dyDescent="0.25">
      <c r="A1146" s="286" t="s">
        <v>2669</v>
      </c>
      <c r="B1146" s="287" t="s">
        <v>2670</v>
      </c>
      <c r="C1146" s="164" t="s">
        <v>5</v>
      </c>
      <c r="D1146" s="164">
        <v>1</v>
      </c>
      <c r="E1146" s="165">
        <v>70.040000000000006</v>
      </c>
      <c r="F1146" s="165">
        <v>70.040000000000006</v>
      </c>
    </row>
    <row r="1147" spans="1:6" ht="45" x14ac:dyDescent="0.25">
      <c r="A1147" s="286" t="s">
        <v>2671</v>
      </c>
      <c r="B1147" s="287" t="s">
        <v>2672</v>
      </c>
      <c r="C1147" s="164" t="s">
        <v>5</v>
      </c>
      <c r="D1147" s="164">
        <v>1</v>
      </c>
      <c r="E1147" s="165">
        <v>15.76</v>
      </c>
      <c r="F1147" s="165">
        <v>15.76</v>
      </c>
    </row>
    <row r="1148" spans="1:6" ht="45" x14ac:dyDescent="0.25">
      <c r="A1148" s="286" t="s">
        <v>2673</v>
      </c>
      <c r="B1148" s="287" t="s">
        <v>2674</v>
      </c>
      <c r="C1148" s="164" t="s">
        <v>8</v>
      </c>
      <c r="D1148" s="164">
        <v>1</v>
      </c>
      <c r="E1148" s="165">
        <v>462.66</v>
      </c>
      <c r="F1148" s="165">
        <v>462.66</v>
      </c>
    </row>
    <row r="1149" spans="1:6" ht="60" x14ac:dyDescent="0.25">
      <c r="A1149" s="286" t="s">
        <v>2675</v>
      </c>
      <c r="B1149" s="287" t="s">
        <v>2676</v>
      </c>
      <c r="C1149" s="164" t="s">
        <v>7</v>
      </c>
      <c r="D1149" s="164">
        <v>1</v>
      </c>
      <c r="E1149" s="165">
        <v>48.05</v>
      </c>
      <c r="F1149" s="165">
        <v>48.05</v>
      </c>
    </row>
    <row r="1150" spans="1:6" ht="60" x14ac:dyDescent="0.25">
      <c r="A1150" s="286" t="s">
        <v>2677</v>
      </c>
      <c r="B1150" s="287" t="s">
        <v>2678</v>
      </c>
      <c r="C1150" s="164" t="s">
        <v>5</v>
      </c>
      <c r="D1150" s="164">
        <v>1</v>
      </c>
      <c r="E1150" s="165">
        <v>133.69999999999999</v>
      </c>
      <c r="F1150" s="165">
        <v>133.69999999999999</v>
      </c>
    </row>
    <row r="1151" spans="1:6" ht="90" x14ac:dyDescent="0.25">
      <c r="A1151" s="286" t="s">
        <v>2679</v>
      </c>
      <c r="B1151" s="287" t="s">
        <v>2680</v>
      </c>
      <c r="C1151" s="164" t="s">
        <v>5</v>
      </c>
      <c r="D1151" s="164">
        <v>1</v>
      </c>
      <c r="E1151" s="165">
        <v>251.91</v>
      </c>
      <c r="F1151" s="165">
        <v>251.91</v>
      </c>
    </row>
    <row r="1152" spans="1:6" ht="90" x14ac:dyDescent="0.25">
      <c r="A1152" s="286" t="s">
        <v>2681</v>
      </c>
      <c r="B1152" s="287" t="s">
        <v>2682</v>
      </c>
      <c r="C1152" s="164" t="s">
        <v>20</v>
      </c>
      <c r="D1152" s="164">
        <v>1</v>
      </c>
      <c r="E1152" s="165">
        <v>37.69</v>
      </c>
      <c r="F1152" s="165">
        <v>37.69</v>
      </c>
    </row>
    <row r="1153" spans="1:6" ht="30" x14ac:dyDescent="0.25">
      <c r="A1153" s="288" t="s">
        <v>2683</v>
      </c>
      <c r="B1153" s="285" t="s">
        <v>2684</v>
      </c>
      <c r="C1153" s="164"/>
      <c r="D1153" s="164"/>
      <c r="E1153" s="165"/>
      <c r="F1153" s="165"/>
    </row>
    <row r="1154" spans="1:6" x14ac:dyDescent="0.25">
      <c r="A1154" s="288" t="s">
        <v>2685</v>
      </c>
      <c r="B1154" s="285" t="s">
        <v>2686</v>
      </c>
      <c r="C1154" s="164"/>
      <c r="D1154" s="164"/>
      <c r="E1154" s="165"/>
      <c r="F1154" s="165"/>
    </row>
    <row r="1155" spans="1:6" ht="30" x14ac:dyDescent="0.25">
      <c r="A1155" s="286" t="s">
        <v>2687</v>
      </c>
      <c r="B1155" s="287" t="s">
        <v>2688</v>
      </c>
      <c r="C1155" s="164" t="s">
        <v>5</v>
      </c>
      <c r="D1155" s="164">
        <v>1</v>
      </c>
      <c r="E1155" s="165">
        <v>111.98</v>
      </c>
      <c r="F1155" s="165">
        <v>111.98</v>
      </c>
    </row>
    <row r="1156" spans="1:6" ht="60" x14ac:dyDescent="0.25">
      <c r="A1156" s="286" t="s">
        <v>2689</v>
      </c>
      <c r="B1156" s="287" t="s">
        <v>2690</v>
      </c>
      <c r="C1156" s="164" t="s">
        <v>8</v>
      </c>
      <c r="D1156" s="164">
        <v>1</v>
      </c>
      <c r="E1156" s="165">
        <v>744.84</v>
      </c>
      <c r="F1156" s="165">
        <v>744.84</v>
      </c>
    </row>
    <row r="1157" spans="1:6" ht="105" x14ac:dyDescent="0.25">
      <c r="A1157" s="286" t="s">
        <v>4332</v>
      </c>
      <c r="B1157" s="287" t="s">
        <v>4283</v>
      </c>
      <c r="C1157" s="164" t="s">
        <v>8</v>
      </c>
      <c r="D1157" s="164">
        <v>1</v>
      </c>
      <c r="E1157" s="289">
        <v>3856.96</v>
      </c>
      <c r="F1157" s="289">
        <v>3856.96</v>
      </c>
    </row>
    <row r="1158" spans="1:6" x14ac:dyDescent="0.25">
      <c r="A1158" s="288" t="s">
        <v>2691</v>
      </c>
      <c r="B1158" s="285" t="s">
        <v>2692</v>
      </c>
      <c r="C1158" s="164"/>
      <c r="D1158" s="164"/>
      <c r="E1158" s="165"/>
      <c r="F1158" s="165"/>
    </row>
    <row r="1159" spans="1:6" ht="30" x14ac:dyDescent="0.25">
      <c r="A1159" s="286" t="s">
        <v>2693</v>
      </c>
      <c r="B1159" s="287" t="s">
        <v>2694</v>
      </c>
      <c r="C1159" s="164" t="s">
        <v>5</v>
      </c>
      <c r="D1159" s="164">
        <v>1</v>
      </c>
      <c r="E1159" s="165">
        <v>321.22000000000003</v>
      </c>
      <c r="F1159" s="165">
        <v>321.22000000000003</v>
      </c>
    </row>
    <row r="1160" spans="1:6" x14ac:dyDescent="0.25">
      <c r="A1160" s="288" t="s">
        <v>2695</v>
      </c>
      <c r="B1160" s="285" t="s">
        <v>2696</v>
      </c>
      <c r="C1160" s="164"/>
      <c r="D1160" s="164"/>
      <c r="E1160" s="165"/>
      <c r="F1160" s="165"/>
    </row>
    <row r="1161" spans="1:6" ht="45" x14ac:dyDescent="0.25">
      <c r="A1161" s="286" t="s">
        <v>2697</v>
      </c>
      <c r="B1161" s="287" t="s">
        <v>2698</v>
      </c>
      <c r="C1161" s="164" t="s">
        <v>7</v>
      </c>
      <c r="D1161" s="164">
        <v>1</v>
      </c>
      <c r="E1161" s="165">
        <v>423.15</v>
      </c>
      <c r="F1161" s="165">
        <v>423.15</v>
      </c>
    </row>
    <row r="1162" spans="1:6" ht="60" x14ac:dyDescent="0.25">
      <c r="A1162" s="286" t="s">
        <v>2699</v>
      </c>
      <c r="B1162" s="287" t="s">
        <v>4284</v>
      </c>
      <c r="C1162" s="164" t="s">
        <v>7</v>
      </c>
      <c r="D1162" s="164">
        <v>1</v>
      </c>
      <c r="E1162" s="165">
        <v>326.61</v>
      </c>
      <c r="F1162" s="165">
        <v>326.61</v>
      </c>
    </row>
    <row r="1163" spans="1:6" ht="60" x14ac:dyDescent="0.25">
      <c r="A1163" s="286" t="s">
        <v>2700</v>
      </c>
      <c r="B1163" s="287" t="s">
        <v>2701</v>
      </c>
      <c r="C1163" s="164" t="s">
        <v>7</v>
      </c>
      <c r="D1163" s="164">
        <v>1</v>
      </c>
      <c r="E1163" s="165">
        <v>228.01</v>
      </c>
      <c r="F1163" s="165">
        <v>228.01</v>
      </c>
    </row>
    <row r="1164" spans="1:6" ht="60" x14ac:dyDescent="0.25">
      <c r="A1164" s="286" t="s">
        <v>2702</v>
      </c>
      <c r="B1164" s="287" t="s">
        <v>2703</v>
      </c>
      <c r="C1164" s="164" t="s">
        <v>8</v>
      </c>
      <c r="D1164" s="164">
        <v>1</v>
      </c>
      <c r="E1164" s="165">
        <v>652.02</v>
      </c>
      <c r="F1164" s="165">
        <v>652.02</v>
      </c>
    </row>
    <row r="1165" spans="1:6" ht="45" x14ac:dyDescent="0.25">
      <c r="A1165" s="286" t="s">
        <v>2704</v>
      </c>
      <c r="B1165" s="287" t="s">
        <v>2705</v>
      </c>
      <c r="C1165" s="164" t="s">
        <v>8</v>
      </c>
      <c r="D1165" s="164">
        <v>1</v>
      </c>
      <c r="E1165" s="165">
        <v>199.42</v>
      </c>
      <c r="F1165" s="165">
        <v>199.42</v>
      </c>
    </row>
    <row r="1166" spans="1:6" ht="30" x14ac:dyDescent="0.25">
      <c r="A1166" s="286" t="s">
        <v>2706</v>
      </c>
      <c r="B1166" s="287" t="s">
        <v>2707</v>
      </c>
      <c r="C1166" s="164" t="s">
        <v>7</v>
      </c>
      <c r="D1166" s="164">
        <v>1</v>
      </c>
      <c r="E1166" s="165">
        <v>160.47</v>
      </c>
      <c r="F1166" s="165">
        <v>160.47</v>
      </c>
    </row>
    <row r="1167" spans="1:6" x14ac:dyDescent="0.25">
      <c r="A1167" s="288" t="s">
        <v>2708</v>
      </c>
      <c r="B1167" s="285" t="s">
        <v>2709</v>
      </c>
      <c r="C1167" s="164"/>
      <c r="D1167" s="164"/>
      <c r="E1167" s="165"/>
      <c r="F1167" s="165"/>
    </row>
    <row r="1168" spans="1:6" ht="60" x14ac:dyDescent="0.25">
      <c r="A1168" s="288" t="s">
        <v>2710</v>
      </c>
      <c r="B1168" s="285" t="s">
        <v>2711</v>
      </c>
      <c r="C1168" s="164"/>
      <c r="D1168" s="164"/>
      <c r="E1168" s="165"/>
      <c r="F1168" s="165"/>
    </row>
    <row r="1169" spans="1:6" ht="105" x14ac:dyDescent="0.25">
      <c r="A1169" s="286" t="s">
        <v>2712</v>
      </c>
      <c r="B1169" s="287" t="s">
        <v>2713</v>
      </c>
      <c r="C1169" s="164" t="s">
        <v>687</v>
      </c>
      <c r="D1169" s="164">
        <v>1</v>
      </c>
      <c r="E1169" s="289">
        <v>4080.06</v>
      </c>
      <c r="F1169" s="289">
        <v>4080.06</v>
      </c>
    </row>
    <row r="1170" spans="1:6" x14ac:dyDescent="0.25">
      <c r="A1170" s="288" t="s">
        <v>2714</v>
      </c>
      <c r="B1170" s="285" t="s">
        <v>2715</v>
      </c>
      <c r="C1170" s="164"/>
      <c r="D1170" s="164"/>
      <c r="E1170" s="165"/>
      <c r="F1170" s="165"/>
    </row>
    <row r="1171" spans="1:6" ht="30" x14ac:dyDescent="0.25">
      <c r="A1171" s="288" t="s">
        <v>2716</v>
      </c>
      <c r="B1171" s="285" t="s">
        <v>2717</v>
      </c>
      <c r="C1171" s="164"/>
      <c r="D1171" s="164"/>
      <c r="E1171" s="165"/>
      <c r="F1171" s="165"/>
    </row>
    <row r="1172" spans="1:6" ht="30" x14ac:dyDescent="0.25">
      <c r="A1172" s="286" t="s">
        <v>2718</v>
      </c>
      <c r="B1172" s="287" t="s">
        <v>2719</v>
      </c>
      <c r="C1172" s="164" t="s">
        <v>2720</v>
      </c>
      <c r="D1172" s="164">
        <v>1</v>
      </c>
      <c r="E1172" s="289">
        <v>1155</v>
      </c>
      <c r="F1172" s="289">
        <v>1155</v>
      </c>
    </row>
    <row r="1173" spans="1:6" ht="45" x14ac:dyDescent="0.25">
      <c r="A1173" s="288" t="s">
        <v>2721</v>
      </c>
      <c r="B1173" s="285" t="s">
        <v>2722</v>
      </c>
      <c r="C1173" s="164"/>
      <c r="D1173" s="164"/>
      <c r="E1173" s="165"/>
      <c r="F1173" s="165"/>
    </row>
    <row r="1174" spans="1:6" x14ac:dyDescent="0.25">
      <c r="A1174" s="286" t="s">
        <v>2723</v>
      </c>
      <c r="B1174" s="287" t="s">
        <v>2724</v>
      </c>
      <c r="C1174" s="164" t="s">
        <v>8</v>
      </c>
      <c r="D1174" s="164">
        <v>1</v>
      </c>
      <c r="E1174" s="165">
        <v>14.28</v>
      </c>
      <c r="F1174" s="165">
        <v>14.28</v>
      </c>
    </row>
    <row r="1175" spans="1:6" x14ac:dyDescent="0.25">
      <c r="A1175" s="286" t="s">
        <v>2725</v>
      </c>
      <c r="B1175" s="287" t="s">
        <v>2726</v>
      </c>
      <c r="C1175" s="164" t="s">
        <v>8</v>
      </c>
      <c r="D1175" s="164">
        <v>1</v>
      </c>
      <c r="E1175" s="165">
        <v>109.6</v>
      </c>
      <c r="F1175" s="165">
        <v>109.6</v>
      </c>
    </row>
    <row r="1176" spans="1:6" x14ac:dyDescent="0.25">
      <c r="A1176" s="286" t="s">
        <v>2727</v>
      </c>
      <c r="B1176" s="287" t="s">
        <v>2728</v>
      </c>
      <c r="C1176" s="164" t="s">
        <v>8</v>
      </c>
      <c r="D1176" s="164">
        <v>1</v>
      </c>
      <c r="E1176" s="165">
        <v>30.37</v>
      </c>
      <c r="F1176" s="165">
        <v>30.37</v>
      </c>
    </row>
    <row r="1177" spans="1:6" x14ac:dyDescent="0.25">
      <c r="A1177" s="286" t="s">
        <v>2729</v>
      </c>
      <c r="B1177" s="287" t="s">
        <v>2730</v>
      </c>
      <c r="C1177" s="164" t="s">
        <v>8</v>
      </c>
      <c r="D1177" s="164">
        <v>1</v>
      </c>
      <c r="E1177" s="165">
        <v>62.07</v>
      </c>
      <c r="F1177" s="165">
        <v>62.07</v>
      </c>
    </row>
    <row r="1178" spans="1:6" x14ac:dyDescent="0.25">
      <c r="A1178" s="286" t="s">
        <v>2731</v>
      </c>
      <c r="B1178" s="287" t="s">
        <v>2732</v>
      </c>
      <c r="C1178" s="164" t="s">
        <v>8</v>
      </c>
      <c r="D1178" s="164">
        <v>1</v>
      </c>
      <c r="E1178" s="165">
        <v>3.92</v>
      </c>
      <c r="F1178" s="165">
        <v>3.92</v>
      </c>
    </row>
    <row r="1179" spans="1:6" x14ac:dyDescent="0.25">
      <c r="A1179" s="286" t="s">
        <v>2733</v>
      </c>
      <c r="B1179" s="287" t="s">
        <v>2734</v>
      </c>
      <c r="C1179" s="164" t="s">
        <v>8</v>
      </c>
      <c r="D1179" s="164">
        <v>1</v>
      </c>
      <c r="E1179" s="165">
        <v>11.39</v>
      </c>
      <c r="F1179" s="165">
        <v>11.39</v>
      </c>
    </row>
    <row r="1180" spans="1:6" x14ac:dyDescent="0.25">
      <c r="A1180" s="286" t="s">
        <v>2735</v>
      </c>
      <c r="B1180" s="287" t="s">
        <v>2736</v>
      </c>
      <c r="C1180" s="164" t="s">
        <v>8</v>
      </c>
      <c r="D1180" s="164">
        <v>1</v>
      </c>
      <c r="E1180" s="165">
        <v>20.51</v>
      </c>
      <c r="F1180" s="165">
        <v>20.51</v>
      </c>
    </row>
    <row r="1181" spans="1:6" x14ac:dyDescent="0.25">
      <c r="A1181" s="286" t="s">
        <v>2737</v>
      </c>
      <c r="B1181" s="287" t="s">
        <v>2738</v>
      </c>
      <c r="C1181" s="164" t="s">
        <v>8</v>
      </c>
      <c r="D1181" s="164">
        <v>1</v>
      </c>
      <c r="E1181" s="165">
        <v>2.93</v>
      </c>
      <c r="F1181" s="165">
        <v>2.93</v>
      </c>
    </row>
    <row r="1182" spans="1:6" x14ac:dyDescent="0.25">
      <c r="A1182" s="286" t="s">
        <v>2739</v>
      </c>
      <c r="B1182" s="287" t="s">
        <v>2740</v>
      </c>
      <c r="C1182" s="164" t="s">
        <v>8</v>
      </c>
      <c r="D1182" s="164">
        <v>1</v>
      </c>
      <c r="E1182" s="165">
        <v>124.13</v>
      </c>
      <c r="F1182" s="165">
        <v>124.13</v>
      </c>
    </row>
    <row r="1183" spans="1:6" ht="30" x14ac:dyDescent="0.25">
      <c r="A1183" s="288" t="s">
        <v>2741</v>
      </c>
      <c r="B1183" s="285" t="s">
        <v>2742</v>
      </c>
      <c r="C1183" s="164"/>
      <c r="D1183" s="164"/>
      <c r="E1183" s="165"/>
      <c r="F1183" s="165"/>
    </row>
    <row r="1184" spans="1:6" x14ac:dyDescent="0.25">
      <c r="A1184" s="286" t="s">
        <v>2743</v>
      </c>
      <c r="B1184" s="287" t="s">
        <v>2744</v>
      </c>
      <c r="C1184" s="164" t="s">
        <v>8</v>
      </c>
      <c r="D1184" s="164">
        <v>1</v>
      </c>
      <c r="E1184" s="165">
        <v>88.62</v>
      </c>
      <c r="F1184" s="165">
        <v>88.62</v>
      </c>
    </row>
    <row r="1185" spans="1:6" x14ac:dyDescent="0.25">
      <c r="A1185" s="286" t="s">
        <v>2745</v>
      </c>
      <c r="B1185" s="287" t="s">
        <v>2746</v>
      </c>
      <c r="C1185" s="164" t="s">
        <v>8</v>
      </c>
      <c r="D1185" s="164">
        <v>1</v>
      </c>
      <c r="E1185" s="165">
        <v>40.72</v>
      </c>
      <c r="F1185" s="165">
        <v>40.72</v>
      </c>
    </row>
    <row r="1186" spans="1:6" x14ac:dyDescent="0.25">
      <c r="A1186" s="286" t="s">
        <v>2747</v>
      </c>
      <c r="B1186" s="287" t="s">
        <v>2748</v>
      </c>
      <c r="C1186" s="164" t="s">
        <v>8</v>
      </c>
      <c r="D1186" s="164">
        <v>1</v>
      </c>
      <c r="E1186" s="165">
        <v>49.09</v>
      </c>
      <c r="F1186" s="165">
        <v>49.09</v>
      </c>
    </row>
    <row r="1187" spans="1:6" x14ac:dyDescent="0.25">
      <c r="A1187" s="286" t="s">
        <v>2749</v>
      </c>
      <c r="B1187" s="287" t="s">
        <v>2750</v>
      </c>
      <c r="C1187" s="164" t="s">
        <v>8</v>
      </c>
      <c r="D1187" s="164">
        <v>1</v>
      </c>
      <c r="E1187" s="165">
        <v>64.63</v>
      </c>
      <c r="F1187" s="165">
        <v>64.63</v>
      </c>
    </row>
    <row r="1188" spans="1:6" x14ac:dyDescent="0.25">
      <c r="A1188" s="286" t="s">
        <v>2751</v>
      </c>
      <c r="B1188" s="287" t="s">
        <v>2752</v>
      </c>
      <c r="C1188" s="164" t="s">
        <v>8</v>
      </c>
      <c r="D1188" s="164">
        <v>1</v>
      </c>
      <c r="E1188" s="165">
        <v>30.28</v>
      </c>
      <c r="F1188" s="165">
        <v>30.28</v>
      </c>
    </row>
    <row r="1189" spans="1:6" x14ac:dyDescent="0.25">
      <c r="A1189" s="286" t="s">
        <v>2753</v>
      </c>
      <c r="B1189" s="287" t="s">
        <v>2754</v>
      </c>
      <c r="C1189" s="164" t="s">
        <v>8</v>
      </c>
      <c r="D1189" s="164">
        <v>1</v>
      </c>
      <c r="E1189" s="165">
        <v>24.08</v>
      </c>
      <c r="F1189" s="165">
        <v>24.08</v>
      </c>
    </row>
    <row r="1190" spans="1:6" x14ac:dyDescent="0.25">
      <c r="A1190" s="286" t="s">
        <v>2755</v>
      </c>
      <c r="B1190" s="287" t="s">
        <v>2756</v>
      </c>
      <c r="C1190" s="164" t="s">
        <v>8</v>
      </c>
      <c r="D1190" s="164">
        <v>1</v>
      </c>
      <c r="E1190" s="165">
        <v>29.78</v>
      </c>
      <c r="F1190" s="165">
        <v>29.78</v>
      </c>
    </row>
    <row r="1191" spans="1:6" x14ac:dyDescent="0.25">
      <c r="A1191" s="286" t="s">
        <v>2757</v>
      </c>
      <c r="B1191" s="287" t="s">
        <v>2758</v>
      </c>
      <c r="C1191" s="164" t="s">
        <v>8</v>
      </c>
      <c r="D1191" s="164">
        <v>1</v>
      </c>
      <c r="E1191" s="165">
        <v>130.77000000000001</v>
      </c>
      <c r="F1191" s="165">
        <v>130.77000000000001</v>
      </c>
    </row>
    <row r="1192" spans="1:6" x14ac:dyDescent="0.25">
      <c r="A1192" s="286" t="s">
        <v>2759</v>
      </c>
      <c r="B1192" s="287" t="s">
        <v>2760</v>
      </c>
      <c r="C1192" s="164" t="s">
        <v>8</v>
      </c>
      <c r="D1192" s="164">
        <v>1</v>
      </c>
      <c r="E1192" s="165">
        <v>44.77</v>
      </c>
      <c r="F1192" s="165">
        <v>44.77</v>
      </c>
    </row>
    <row r="1193" spans="1:6" x14ac:dyDescent="0.25">
      <c r="A1193" s="286" t="s">
        <v>2761</v>
      </c>
      <c r="B1193" s="287" t="s">
        <v>2762</v>
      </c>
      <c r="C1193" s="164" t="s">
        <v>8</v>
      </c>
      <c r="D1193" s="164">
        <v>1</v>
      </c>
      <c r="E1193" s="165">
        <v>48.95</v>
      </c>
      <c r="F1193" s="165">
        <v>48.95</v>
      </c>
    </row>
    <row r="1194" spans="1:6" x14ac:dyDescent="0.25">
      <c r="A1194" s="286" t="s">
        <v>2763</v>
      </c>
      <c r="B1194" s="287" t="s">
        <v>2764</v>
      </c>
      <c r="C1194" s="164" t="s">
        <v>8</v>
      </c>
      <c r="D1194" s="164">
        <v>1</v>
      </c>
      <c r="E1194" s="165">
        <v>46.9</v>
      </c>
      <c r="F1194" s="165">
        <v>46.9</v>
      </c>
    </row>
    <row r="1195" spans="1:6" x14ac:dyDescent="0.25">
      <c r="A1195" s="286" t="s">
        <v>2765</v>
      </c>
      <c r="B1195" s="287" t="s">
        <v>2766</v>
      </c>
      <c r="C1195" s="164" t="s">
        <v>8</v>
      </c>
      <c r="D1195" s="164">
        <v>1</v>
      </c>
      <c r="E1195" s="165">
        <v>460.71</v>
      </c>
      <c r="F1195" s="165">
        <v>460.71</v>
      </c>
    </row>
    <row r="1196" spans="1:6" x14ac:dyDescent="0.25">
      <c r="A1196" s="286" t="s">
        <v>2767</v>
      </c>
      <c r="B1196" s="287" t="s">
        <v>2768</v>
      </c>
      <c r="C1196" s="164" t="s">
        <v>8</v>
      </c>
      <c r="D1196" s="164">
        <v>1</v>
      </c>
      <c r="E1196" s="165">
        <v>654.73</v>
      </c>
      <c r="F1196" s="165">
        <v>654.73</v>
      </c>
    </row>
    <row r="1197" spans="1:6" x14ac:dyDescent="0.25">
      <c r="A1197" s="286" t="s">
        <v>2769</v>
      </c>
      <c r="B1197" s="287" t="s">
        <v>2770</v>
      </c>
      <c r="C1197" s="164" t="s">
        <v>8</v>
      </c>
      <c r="D1197" s="164">
        <v>1</v>
      </c>
      <c r="E1197" s="165">
        <v>276.82</v>
      </c>
      <c r="F1197" s="165">
        <v>276.82</v>
      </c>
    </row>
    <row r="1198" spans="1:6" ht="30" x14ac:dyDescent="0.25">
      <c r="A1198" s="288" t="s">
        <v>2771</v>
      </c>
      <c r="B1198" s="285" t="s">
        <v>2772</v>
      </c>
      <c r="C1198" s="164"/>
      <c r="D1198" s="164"/>
      <c r="E1198" s="165"/>
      <c r="F1198" s="165"/>
    </row>
    <row r="1199" spans="1:6" ht="30" x14ac:dyDescent="0.25">
      <c r="A1199" s="286" t="s">
        <v>2773</v>
      </c>
      <c r="B1199" s="287" t="s">
        <v>2774</v>
      </c>
      <c r="C1199" s="164" t="s">
        <v>687</v>
      </c>
      <c r="D1199" s="164">
        <v>1</v>
      </c>
      <c r="E1199" s="289">
        <v>5495.45</v>
      </c>
      <c r="F1199" s="289">
        <v>5495.45</v>
      </c>
    </row>
    <row r="1200" spans="1:6" ht="30" x14ac:dyDescent="0.25">
      <c r="A1200" s="286" t="s">
        <v>2775</v>
      </c>
      <c r="B1200" s="287" t="s">
        <v>2776</v>
      </c>
      <c r="C1200" s="164" t="s">
        <v>687</v>
      </c>
      <c r="D1200" s="164">
        <v>1</v>
      </c>
      <c r="E1200" s="289">
        <v>20666.650000000001</v>
      </c>
      <c r="F1200" s="289">
        <v>20666.650000000001</v>
      </c>
    </row>
    <row r="1201" spans="1:6" x14ac:dyDescent="0.25">
      <c r="A1201" s="286" t="s">
        <v>2777</v>
      </c>
      <c r="B1201" s="287" t="s">
        <v>2778</v>
      </c>
      <c r="C1201" s="164" t="s">
        <v>687</v>
      </c>
      <c r="D1201" s="164">
        <v>1</v>
      </c>
      <c r="E1201" s="289">
        <v>8603.65</v>
      </c>
      <c r="F1201" s="289">
        <v>8603.65</v>
      </c>
    </row>
    <row r="1202" spans="1:6" ht="30" x14ac:dyDescent="0.25">
      <c r="A1202" s="286" t="s">
        <v>2779</v>
      </c>
      <c r="B1202" s="287" t="s">
        <v>2780</v>
      </c>
      <c r="C1202" s="164" t="s">
        <v>687</v>
      </c>
      <c r="D1202" s="164">
        <v>1</v>
      </c>
      <c r="E1202" s="289">
        <v>2633.28</v>
      </c>
      <c r="F1202" s="289">
        <v>2633.28</v>
      </c>
    </row>
    <row r="1203" spans="1:6" ht="30" x14ac:dyDescent="0.25">
      <c r="A1203" s="286" t="s">
        <v>2781</v>
      </c>
      <c r="B1203" s="287" t="s">
        <v>2782</v>
      </c>
      <c r="C1203" s="164" t="s">
        <v>687</v>
      </c>
      <c r="D1203" s="164">
        <v>1</v>
      </c>
      <c r="E1203" s="289">
        <v>14761.89</v>
      </c>
      <c r="F1203" s="289">
        <v>14761.89</v>
      </c>
    </row>
    <row r="1204" spans="1:6" ht="30" x14ac:dyDescent="0.25">
      <c r="A1204" s="286" t="s">
        <v>2783</v>
      </c>
      <c r="B1204" s="287" t="s">
        <v>2784</v>
      </c>
      <c r="C1204" s="164" t="s">
        <v>687</v>
      </c>
      <c r="D1204" s="164">
        <v>1</v>
      </c>
      <c r="E1204" s="289">
        <v>4391.29</v>
      </c>
      <c r="F1204" s="289">
        <v>4391.29</v>
      </c>
    </row>
    <row r="1205" spans="1:6" ht="30" x14ac:dyDescent="0.25">
      <c r="A1205" s="286" t="s">
        <v>2785</v>
      </c>
      <c r="B1205" s="287" t="s">
        <v>2786</v>
      </c>
      <c r="C1205" s="164" t="s">
        <v>687</v>
      </c>
      <c r="D1205" s="164">
        <v>1</v>
      </c>
      <c r="E1205" s="289">
        <v>3976.76</v>
      </c>
      <c r="F1205" s="289">
        <v>3976.76</v>
      </c>
    </row>
    <row r="1206" spans="1:6" ht="30" x14ac:dyDescent="0.25">
      <c r="A1206" s="286" t="s">
        <v>2787</v>
      </c>
      <c r="B1206" s="287" t="s">
        <v>2788</v>
      </c>
      <c r="C1206" s="164" t="s">
        <v>687</v>
      </c>
      <c r="D1206" s="164">
        <v>1</v>
      </c>
      <c r="E1206" s="289">
        <v>11779.69</v>
      </c>
      <c r="F1206" s="289">
        <v>11779.69</v>
      </c>
    </row>
    <row r="1207" spans="1:6" ht="30" x14ac:dyDescent="0.25">
      <c r="A1207" s="286" t="s">
        <v>2789</v>
      </c>
      <c r="B1207" s="287" t="s">
        <v>2790</v>
      </c>
      <c r="C1207" s="164" t="s">
        <v>687</v>
      </c>
      <c r="D1207" s="164">
        <v>1</v>
      </c>
      <c r="E1207" s="289">
        <v>9781.6200000000008</v>
      </c>
      <c r="F1207" s="289">
        <v>9781.6200000000008</v>
      </c>
    </row>
    <row r="1208" spans="1:6" ht="30" x14ac:dyDescent="0.25">
      <c r="A1208" s="286" t="s">
        <v>2791</v>
      </c>
      <c r="B1208" s="287" t="s">
        <v>2792</v>
      </c>
      <c r="C1208" s="164" t="s">
        <v>687</v>
      </c>
      <c r="D1208" s="164">
        <v>1</v>
      </c>
      <c r="E1208" s="289">
        <v>9781.6200000000008</v>
      </c>
      <c r="F1208" s="289">
        <v>9781.6200000000008</v>
      </c>
    </row>
    <row r="1209" spans="1:6" ht="30" x14ac:dyDescent="0.25">
      <c r="A1209" s="286" t="s">
        <v>2793</v>
      </c>
      <c r="B1209" s="287" t="s">
        <v>2794</v>
      </c>
      <c r="C1209" s="164" t="s">
        <v>687</v>
      </c>
      <c r="D1209" s="164">
        <v>1</v>
      </c>
      <c r="E1209" s="289">
        <v>9990.3700000000008</v>
      </c>
      <c r="F1209" s="289">
        <v>9990.3700000000008</v>
      </c>
    </row>
    <row r="1210" spans="1:6" x14ac:dyDescent="0.25">
      <c r="A1210" s="286" t="s">
        <v>2795</v>
      </c>
      <c r="B1210" s="287" t="s">
        <v>2796</v>
      </c>
      <c r="C1210" s="164" t="s">
        <v>687</v>
      </c>
      <c r="D1210" s="164">
        <v>1</v>
      </c>
      <c r="E1210" s="289">
        <v>9155.35</v>
      </c>
      <c r="F1210" s="289">
        <v>9155.35</v>
      </c>
    </row>
    <row r="1211" spans="1:6" ht="30" x14ac:dyDescent="0.25">
      <c r="A1211" s="286" t="s">
        <v>2797</v>
      </c>
      <c r="B1211" s="287" t="s">
        <v>2798</v>
      </c>
      <c r="C1211" s="164" t="s">
        <v>687</v>
      </c>
      <c r="D1211" s="164">
        <v>1</v>
      </c>
      <c r="E1211" s="289">
        <v>9785.34</v>
      </c>
      <c r="F1211" s="289">
        <v>9785.34</v>
      </c>
    </row>
    <row r="1212" spans="1:6" ht="30" x14ac:dyDescent="0.25">
      <c r="A1212" s="286" t="s">
        <v>2799</v>
      </c>
      <c r="B1212" s="287" t="s">
        <v>2800</v>
      </c>
      <c r="C1212" s="164" t="s">
        <v>687</v>
      </c>
      <c r="D1212" s="164">
        <v>1</v>
      </c>
      <c r="E1212" s="289">
        <v>21173.62</v>
      </c>
      <c r="F1212" s="289">
        <v>21173.62</v>
      </c>
    </row>
    <row r="1213" spans="1:6" x14ac:dyDescent="0.25">
      <c r="A1213" s="286" t="s">
        <v>2801</v>
      </c>
      <c r="B1213" s="287" t="s">
        <v>2802</v>
      </c>
      <c r="C1213" s="164" t="s">
        <v>687</v>
      </c>
      <c r="D1213" s="164">
        <v>1</v>
      </c>
      <c r="E1213" s="289">
        <v>5487.25</v>
      </c>
      <c r="F1213" s="289">
        <v>5487.25</v>
      </c>
    </row>
    <row r="1214" spans="1:6" ht="30" x14ac:dyDescent="0.25">
      <c r="A1214" s="286" t="s">
        <v>2803</v>
      </c>
      <c r="B1214" s="287" t="s">
        <v>2804</v>
      </c>
      <c r="C1214" s="164" t="s">
        <v>687</v>
      </c>
      <c r="D1214" s="164">
        <v>1</v>
      </c>
      <c r="E1214" s="289">
        <v>11846.79</v>
      </c>
      <c r="F1214" s="289">
        <v>11846.79</v>
      </c>
    </row>
    <row r="1215" spans="1:6" ht="30" x14ac:dyDescent="0.25">
      <c r="A1215" s="286" t="s">
        <v>2805</v>
      </c>
      <c r="B1215" s="287" t="s">
        <v>2806</v>
      </c>
      <c r="C1215" s="164" t="s">
        <v>687</v>
      </c>
      <c r="D1215" s="164">
        <v>1</v>
      </c>
      <c r="E1215" s="289">
        <v>17714.27</v>
      </c>
      <c r="F1215" s="289">
        <v>17714.27</v>
      </c>
    </row>
    <row r="1216" spans="1:6" x14ac:dyDescent="0.25">
      <c r="A1216" s="286" t="s">
        <v>2807</v>
      </c>
      <c r="B1216" s="287" t="s">
        <v>2808</v>
      </c>
      <c r="C1216" s="164" t="s">
        <v>687</v>
      </c>
      <c r="D1216" s="164">
        <v>1</v>
      </c>
      <c r="E1216" s="289">
        <v>2450.77</v>
      </c>
      <c r="F1216" s="289">
        <v>2450.77</v>
      </c>
    </row>
    <row r="1217" spans="1:6" ht="30" x14ac:dyDescent="0.25">
      <c r="A1217" s="286" t="s">
        <v>2809</v>
      </c>
      <c r="B1217" s="287" t="s">
        <v>2810</v>
      </c>
      <c r="C1217" s="164" t="s">
        <v>687</v>
      </c>
      <c r="D1217" s="164">
        <v>1</v>
      </c>
      <c r="E1217" s="289">
        <v>4409.62</v>
      </c>
      <c r="F1217" s="289">
        <v>4409.62</v>
      </c>
    </row>
    <row r="1218" spans="1:6" x14ac:dyDescent="0.25">
      <c r="A1218" s="286" t="s">
        <v>2811</v>
      </c>
      <c r="B1218" s="287" t="s">
        <v>2812</v>
      </c>
      <c r="C1218" s="164" t="s">
        <v>687</v>
      </c>
      <c r="D1218" s="164">
        <v>1</v>
      </c>
      <c r="E1218" s="289">
        <v>1791.11</v>
      </c>
      <c r="F1218" s="289">
        <v>1791.11</v>
      </c>
    </row>
    <row r="1219" spans="1:6" ht="30" x14ac:dyDescent="0.25">
      <c r="A1219" s="286" t="s">
        <v>2813</v>
      </c>
      <c r="B1219" s="287" t="s">
        <v>2814</v>
      </c>
      <c r="C1219" s="164" t="s">
        <v>687</v>
      </c>
      <c r="D1219" s="164">
        <v>1</v>
      </c>
      <c r="E1219" s="289">
        <v>3391.95</v>
      </c>
      <c r="F1219" s="289">
        <v>3391.95</v>
      </c>
    </row>
    <row r="1220" spans="1:6" ht="30" x14ac:dyDescent="0.25">
      <c r="A1220" s="288" t="s">
        <v>2815</v>
      </c>
      <c r="B1220" s="285" t="s">
        <v>2816</v>
      </c>
      <c r="C1220" s="164"/>
      <c r="D1220" s="164"/>
      <c r="E1220" s="165"/>
      <c r="F1220" s="165"/>
    </row>
    <row r="1221" spans="1:6" ht="30" x14ac:dyDescent="0.25">
      <c r="A1221" s="286" t="s">
        <v>2817</v>
      </c>
      <c r="B1221" s="287" t="s">
        <v>386</v>
      </c>
      <c r="C1221" s="164" t="s">
        <v>687</v>
      </c>
      <c r="D1221" s="164">
        <v>1</v>
      </c>
      <c r="E1221" s="289">
        <v>6364.12</v>
      </c>
      <c r="F1221" s="289">
        <v>6364.12</v>
      </c>
    </row>
    <row r="1222" spans="1:6" ht="30" x14ac:dyDescent="0.25">
      <c r="A1222" s="286" t="s">
        <v>2818</v>
      </c>
      <c r="B1222" s="287" t="s">
        <v>2819</v>
      </c>
      <c r="C1222" s="164" t="s">
        <v>687</v>
      </c>
      <c r="D1222" s="164">
        <v>1</v>
      </c>
      <c r="E1222" s="289">
        <v>23933.45</v>
      </c>
      <c r="F1222" s="289">
        <v>23933.45</v>
      </c>
    </row>
    <row r="1223" spans="1:6" x14ac:dyDescent="0.25">
      <c r="A1223" s="286" t="s">
        <v>2820</v>
      </c>
      <c r="B1223" s="287" t="s">
        <v>2821</v>
      </c>
      <c r="C1223" s="164" t="s">
        <v>687</v>
      </c>
      <c r="D1223" s="164">
        <v>1</v>
      </c>
      <c r="E1223" s="289">
        <v>9963.64</v>
      </c>
      <c r="F1223" s="289">
        <v>9963.64</v>
      </c>
    </row>
    <row r="1224" spans="1:6" ht="30" x14ac:dyDescent="0.25">
      <c r="A1224" s="286" t="s">
        <v>2822</v>
      </c>
      <c r="B1224" s="287" t="s">
        <v>2823</v>
      </c>
      <c r="C1224" s="164" t="s">
        <v>687</v>
      </c>
      <c r="D1224" s="164">
        <v>1</v>
      </c>
      <c r="E1224" s="289">
        <v>3049.53</v>
      </c>
      <c r="F1224" s="289">
        <v>3049.53</v>
      </c>
    </row>
    <row r="1225" spans="1:6" ht="30" x14ac:dyDescent="0.25">
      <c r="A1225" s="286" t="s">
        <v>2824</v>
      </c>
      <c r="B1225" s="287" t="s">
        <v>385</v>
      </c>
      <c r="C1225" s="164" t="s">
        <v>687</v>
      </c>
      <c r="D1225" s="164">
        <v>1</v>
      </c>
      <c r="E1225" s="289">
        <v>17095.32</v>
      </c>
      <c r="F1225" s="289">
        <v>17095.32</v>
      </c>
    </row>
    <row r="1226" spans="1:6" ht="30" x14ac:dyDescent="0.25">
      <c r="A1226" s="286" t="s">
        <v>2825</v>
      </c>
      <c r="B1226" s="287" t="s">
        <v>2826</v>
      </c>
      <c r="C1226" s="164" t="s">
        <v>687</v>
      </c>
      <c r="D1226" s="164">
        <v>1</v>
      </c>
      <c r="E1226" s="289">
        <v>5085.43</v>
      </c>
      <c r="F1226" s="289">
        <v>5085.43</v>
      </c>
    </row>
    <row r="1227" spans="1:6" ht="30" x14ac:dyDescent="0.25">
      <c r="A1227" s="286" t="s">
        <v>2827</v>
      </c>
      <c r="B1227" s="287" t="s">
        <v>2828</v>
      </c>
      <c r="C1227" s="164" t="s">
        <v>687</v>
      </c>
      <c r="D1227" s="164">
        <v>1</v>
      </c>
      <c r="E1227" s="289">
        <v>4605.38</v>
      </c>
      <c r="F1227" s="289">
        <v>4605.38</v>
      </c>
    </row>
    <row r="1228" spans="1:6" ht="30" x14ac:dyDescent="0.25">
      <c r="A1228" s="286" t="s">
        <v>2829</v>
      </c>
      <c r="B1228" s="287" t="s">
        <v>2830</v>
      </c>
      <c r="C1228" s="164" t="s">
        <v>687</v>
      </c>
      <c r="D1228" s="164">
        <v>1</v>
      </c>
      <c r="E1228" s="289">
        <v>13641.72</v>
      </c>
      <c r="F1228" s="289">
        <v>13641.72</v>
      </c>
    </row>
    <row r="1229" spans="1:6" ht="30" x14ac:dyDescent="0.25">
      <c r="A1229" s="286" t="s">
        <v>2831</v>
      </c>
      <c r="B1229" s="287" t="s">
        <v>2832</v>
      </c>
      <c r="C1229" s="164" t="s">
        <v>687</v>
      </c>
      <c r="D1229" s="164">
        <v>1</v>
      </c>
      <c r="E1229" s="289">
        <v>11327.81</v>
      </c>
      <c r="F1229" s="289">
        <v>11327.81</v>
      </c>
    </row>
    <row r="1230" spans="1:6" ht="30" x14ac:dyDescent="0.25">
      <c r="A1230" s="286" t="s">
        <v>2833</v>
      </c>
      <c r="B1230" s="287" t="s">
        <v>2834</v>
      </c>
      <c r="C1230" s="164" t="s">
        <v>687</v>
      </c>
      <c r="D1230" s="164">
        <v>1</v>
      </c>
      <c r="E1230" s="289">
        <v>11327.81</v>
      </c>
      <c r="F1230" s="289">
        <v>11327.81</v>
      </c>
    </row>
    <row r="1231" spans="1:6" ht="30" x14ac:dyDescent="0.25">
      <c r="A1231" s="286" t="s">
        <v>2835</v>
      </c>
      <c r="B1231" s="287" t="s">
        <v>2836</v>
      </c>
      <c r="C1231" s="164" t="s">
        <v>687</v>
      </c>
      <c r="D1231" s="164">
        <v>1</v>
      </c>
      <c r="E1231" s="289">
        <v>11569.56</v>
      </c>
      <c r="F1231" s="289">
        <v>11569.56</v>
      </c>
    </row>
    <row r="1232" spans="1:6" x14ac:dyDescent="0.25">
      <c r="A1232" s="286" t="s">
        <v>2837</v>
      </c>
      <c r="B1232" s="287" t="s">
        <v>2838</v>
      </c>
      <c r="C1232" s="164" t="s">
        <v>687</v>
      </c>
      <c r="D1232" s="164">
        <v>1</v>
      </c>
      <c r="E1232" s="289">
        <v>10602.55</v>
      </c>
      <c r="F1232" s="289">
        <v>10602.55</v>
      </c>
    </row>
    <row r="1233" spans="1:6" ht="30" x14ac:dyDescent="0.25">
      <c r="A1233" s="286" t="s">
        <v>2839</v>
      </c>
      <c r="B1233" s="287" t="s">
        <v>2840</v>
      </c>
      <c r="C1233" s="164" t="s">
        <v>687</v>
      </c>
      <c r="D1233" s="164">
        <v>1</v>
      </c>
      <c r="E1233" s="289">
        <v>11332.13</v>
      </c>
      <c r="F1233" s="289">
        <v>11332.13</v>
      </c>
    </row>
    <row r="1234" spans="1:6" ht="30" x14ac:dyDescent="0.25">
      <c r="A1234" s="286" t="s">
        <v>2841</v>
      </c>
      <c r="B1234" s="287" t="s">
        <v>2842</v>
      </c>
      <c r="C1234" s="164" t="s">
        <v>687</v>
      </c>
      <c r="D1234" s="164">
        <v>1</v>
      </c>
      <c r="E1234" s="289">
        <v>24520.560000000001</v>
      </c>
      <c r="F1234" s="289">
        <v>24520.560000000001</v>
      </c>
    </row>
    <row r="1235" spans="1:6" x14ac:dyDescent="0.25">
      <c r="A1235" s="286" t="s">
        <v>2843</v>
      </c>
      <c r="B1235" s="287" t="s">
        <v>2844</v>
      </c>
      <c r="C1235" s="164" t="s">
        <v>687</v>
      </c>
      <c r="D1235" s="164">
        <v>1</v>
      </c>
      <c r="E1235" s="289">
        <v>6354.62</v>
      </c>
      <c r="F1235" s="289">
        <v>6354.62</v>
      </c>
    </row>
    <row r="1236" spans="1:6" ht="30" x14ac:dyDescent="0.25">
      <c r="A1236" s="286" t="s">
        <v>2845</v>
      </c>
      <c r="B1236" s="287" t="s">
        <v>2846</v>
      </c>
      <c r="C1236" s="164" t="s">
        <v>687</v>
      </c>
      <c r="D1236" s="164">
        <v>1</v>
      </c>
      <c r="E1236" s="289">
        <v>13719.43</v>
      </c>
      <c r="F1236" s="289">
        <v>13719.43</v>
      </c>
    </row>
    <row r="1237" spans="1:6" ht="30" x14ac:dyDescent="0.25">
      <c r="A1237" s="286" t="s">
        <v>2847</v>
      </c>
      <c r="B1237" s="287" t="s">
        <v>2848</v>
      </c>
      <c r="C1237" s="164" t="s">
        <v>687</v>
      </c>
      <c r="D1237" s="164">
        <v>1</v>
      </c>
      <c r="E1237" s="289">
        <v>20514.38</v>
      </c>
      <c r="F1237" s="289">
        <v>20514.38</v>
      </c>
    </row>
    <row r="1238" spans="1:6" x14ac:dyDescent="0.25">
      <c r="A1238" s="286" t="s">
        <v>2849</v>
      </c>
      <c r="B1238" s="287" t="s">
        <v>2850</v>
      </c>
      <c r="C1238" s="164" t="s">
        <v>687</v>
      </c>
      <c r="D1238" s="164">
        <v>1</v>
      </c>
      <c r="E1238" s="289">
        <v>2838.17</v>
      </c>
      <c r="F1238" s="289">
        <v>2838.17</v>
      </c>
    </row>
    <row r="1239" spans="1:6" ht="30" x14ac:dyDescent="0.25">
      <c r="A1239" s="286" t="s">
        <v>2851</v>
      </c>
      <c r="B1239" s="287" t="s">
        <v>2852</v>
      </c>
      <c r="C1239" s="164" t="s">
        <v>687</v>
      </c>
      <c r="D1239" s="164">
        <v>1</v>
      </c>
      <c r="E1239" s="289">
        <v>5106.6499999999996</v>
      </c>
      <c r="F1239" s="289">
        <v>5106.6499999999996</v>
      </c>
    </row>
    <row r="1240" spans="1:6" x14ac:dyDescent="0.25">
      <c r="A1240" s="286" t="s">
        <v>2853</v>
      </c>
      <c r="B1240" s="287" t="s">
        <v>387</v>
      </c>
      <c r="C1240" s="164" t="s">
        <v>687</v>
      </c>
      <c r="D1240" s="164">
        <v>1</v>
      </c>
      <c r="E1240" s="289">
        <v>2074.23</v>
      </c>
      <c r="F1240" s="289">
        <v>2074.23</v>
      </c>
    </row>
    <row r="1241" spans="1:6" x14ac:dyDescent="0.25">
      <c r="A1241" s="286" t="s">
        <v>2854</v>
      </c>
      <c r="B1241" s="287" t="s">
        <v>2855</v>
      </c>
      <c r="C1241" s="164" t="s">
        <v>687</v>
      </c>
      <c r="D1241" s="164">
        <v>1</v>
      </c>
      <c r="E1241" s="289">
        <v>2074.23</v>
      </c>
      <c r="F1241" s="289">
        <v>2074.23</v>
      </c>
    </row>
    <row r="1242" spans="1:6" ht="30" x14ac:dyDescent="0.25">
      <c r="A1242" s="286" t="s">
        <v>2856</v>
      </c>
      <c r="B1242" s="287" t="s">
        <v>2857</v>
      </c>
      <c r="C1242" s="164" t="s">
        <v>687</v>
      </c>
      <c r="D1242" s="164">
        <v>1</v>
      </c>
      <c r="E1242" s="289">
        <v>3928.12</v>
      </c>
      <c r="F1242" s="289">
        <v>3928.12</v>
      </c>
    </row>
    <row r="1243" spans="1:6" ht="30" x14ac:dyDescent="0.25">
      <c r="A1243" s="288" t="s">
        <v>4333</v>
      </c>
      <c r="B1243" s="285" t="s">
        <v>4285</v>
      </c>
      <c r="C1243" s="164"/>
      <c r="D1243" s="164"/>
      <c r="E1243" s="165"/>
      <c r="F1243" s="165"/>
    </row>
    <row r="1244" spans="1:6" ht="30" x14ac:dyDescent="0.25">
      <c r="A1244" s="286" t="s">
        <v>4334</v>
      </c>
      <c r="B1244" s="287" t="s">
        <v>4286</v>
      </c>
      <c r="C1244" s="164" t="s">
        <v>687</v>
      </c>
      <c r="D1244" s="164">
        <v>1</v>
      </c>
      <c r="E1244" s="289">
        <v>5485.5</v>
      </c>
      <c r="F1244" s="289">
        <v>5485.5</v>
      </c>
    </row>
    <row r="1245" spans="1:6" ht="30" x14ac:dyDescent="0.25">
      <c r="A1245" s="286" t="s">
        <v>4335</v>
      </c>
      <c r="B1245" s="287" t="s">
        <v>4287</v>
      </c>
      <c r="C1245" s="164" t="s">
        <v>687</v>
      </c>
      <c r="D1245" s="164">
        <v>1</v>
      </c>
      <c r="E1245" s="289">
        <v>20629.22</v>
      </c>
      <c r="F1245" s="289">
        <v>20629.22</v>
      </c>
    </row>
    <row r="1246" spans="1:6" x14ac:dyDescent="0.25">
      <c r="A1246" s="286" t="s">
        <v>4336</v>
      </c>
      <c r="B1246" s="287" t="s">
        <v>4288</v>
      </c>
      <c r="C1246" s="164" t="s">
        <v>687</v>
      </c>
      <c r="D1246" s="164">
        <v>1</v>
      </c>
      <c r="E1246" s="289">
        <v>8588.07</v>
      </c>
      <c r="F1246" s="289">
        <v>8588.07</v>
      </c>
    </row>
    <row r="1247" spans="1:6" ht="30" x14ac:dyDescent="0.25">
      <c r="A1247" s="286" t="s">
        <v>4337</v>
      </c>
      <c r="B1247" s="287" t="s">
        <v>4289</v>
      </c>
      <c r="C1247" s="164" t="s">
        <v>687</v>
      </c>
      <c r="D1247" s="164">
        <v>1</v>
      </c>
      <c r="E1247" s="289">
        <v>2628.51</v>
      </c>
      <c r="F1247" s="289">
        <v>2628.51</v>
      </c>
    </row>
    <row r="1248" spans="1:6" ht="30" x14ac:dyDescent="0.25">
      <c r="A1248" s="286" t="s">
        <v>4338</v>
      </c>
      <c r="B1248" s="287" t="s">
        <v>4290</v>
      </c>
      <c r="C1248" s="164" t="s">
        <v>687</v>
      </c>
      <c r="D1248" s="164">
        <v>1</v>
      </c>
      <c r="E1248" s="289">
        <v>14735.16</v>
      </c>
      <c r="F1248" s="289">
        <v>14735.16</v>
      </c>
    </row>
    <row r="1249" spans="1:6" ht="30" x14ac:dyDescent="0.25">
      <c r="A1249" s="286" t="s">
        <v>4339</v>
      </c>
      <c r="B1249" s="287" t="s">
        <v>4291</v>
      </c>
      <c r="C1249" s="164" t="s">
        <v>687</v>
      </c>
      <c r="D1249" s="164">
        <v>1</v>
      </c>
      <c r="E1249" s="289">
        <v>4383.34</v>
      </c>
      <c r="F1249" s="289">
        <v>4383.34</v>
      </c>
    </row>
    <row r="1250" spans="1:6" ht="30" x14ac:dyDescent="0.25">
      <c r="A1250" s="286" t="s">
        <v>4340</v>
      </c>
      <c r="B1250" s="287" t="s">
        <v>4292</v>
      </c>
      <c r="C1250" s="164" t="s">
        <v>687</v>
      </c>
      <c r="D1250" s="164">
        <v>1</v>
      </c>
      <c r="E1250" s="289">
        <v>3969.56</v>
      </c>
      <c r="F1250" s="289">
        <v>3969.56</v>
      </c>
    </row>
    <row r="1251" spans="1:6" ht="30" x14ac:dyDescent="0.25">
      <c r="A1251" s="286" t="s">
        <v>4341</v>
      </c>
      <c r="B1251" s="287" t="s">
        <v>4293</v>
      </c>
      <c r="C1251" s="164" t="s">
        <v>687</v>
      </c>
      <c r="D1251" s="164">
        <v>1</v>
      </c>
      <c r="E1251" s="289">
        <v>11758.36</v>
      </c>
      <c r="F1251" s="289">
        <v>11758.36</v>
      </c>
    </row>
    <row r="1252" spans="1:6" ht="30" x14ac:dyDescent="0.25">
      <c r="A1252" s="286" t="s">
        <v>4342</v>
      </c>
      <c r="B1252" s="287" t="s">
        <v>4294</v>
      </c>
      <c r="C1252" s="164" t="s">
        <v>687</v>
      </c>
      <c r="D1252" s="164">
        <v>1</v>
      </c>
      <c r="E1252" s="289">
        <v>9763.9</v>
      </c>
      <c r="F1252" s="289">
        <v>9763.9</v>
      </c>
    </row>
    <row r="1253" spans="1:6" ht="30" x14ac:dyDescent="0.25">
      <c r="A1253" s="286" t="s">
        <v>4343</v>
      </c>
      <c r="B1253" s="287" t="s">
        <v>4295</v>
      </c>
      <c r="C1253" s="164" t="s">
        <v>687</v>
      </c>
      <c r="D1253" s="164">
        <v>1</v>
      </c>
      <c r="E1253" s="289">
        <v>9763.9</v>
      </c>
      <c r="F1253" s="289">
        <v>9763.9</v>
      </c>
    </row>
    <row r="1254" spans="1:6" ht="30" x14ac:dyDescent="0.25">
      <c r="A1254" s="286" t="s">
        <v>4344</v>
      </c>
      <c r="B1254" s="287" t="s">
        <v>4296</v>
      </c>
      <c r="C1254" s="164" t="s">
        <v>687</v>
      </c>
      <c r="D1254" s="164">
        <v>1</v>
      </c>
      <c r="E1254" s="289">
        <v>9972.2800000000007</v>
      </c>
      <c r="F1254" s="289">
        <v>9972.2800000000007</v>
      </c>
    </row>
    <row r="1255" spans="1:6" x14ac:dyDescent="0.25">
      <c r="A1255" s="286" t="s">
        <v>4345</v>
      </c>
      <c r="B1255" s="287" t="s">
        <v>4297</v>
      </c>
      <c r="C1255" s="164" t="s">
        <v>687</v>
      </c>
      <c r="D1255" s="164">
        <v>1</v>
      </c>
      <c r="E1255" s="289">
        <v>9138.7800000000007</v>
      </c>
      <c r="F1255" s="289">
        <v>9138.7800000000007</v>
      </c>
    </row>
    <row r="1256" spans="1:6" ht="30" x14ac:dyDescent="0.25">
      <c r="A1256" s="286" t="s">
        <v>4346</v>
      </c>
      <c r="B1256" s="287" t="s">
        <v>4298</v>
      </c>
      <c r="C1256" s="164" t="s">
        <v>687</v>
      </c>
      <c r="D1256" s="164">
        <v>1</v>
      </c>
      <c r="E1256" s="289">
        <v>9767.6299999999992</v>
      </c>
      <c r="F1256" s="289">
        <v>9767.6299999999992</v>
      </c>
    </row>
    <row r="1257" spans="1:6" ht="30" x14ac:dyDescent="0.25">
      <c r="A1257" s="286" t="s">
        <v>4347</v>
      </c>
      <c r="B1257" s="287" t="s">
        <v>4299</v>
      </c>
      <c r="C1257" s="164" t="s">
        <v>687</v>
      </c>
      <c r="D1257" s="164">
        <v>1</v>
      </c>
      <c r="E1257" s="289">
        <v>21135.279999999999</v>
      </c>
      <c r="F1257" s="289">
        <v>21135.279999999999</v>
      </c>
    </row>
    <row r="1258" spans="1:6" x14ac:dyDescent="0.25">
      <c r="A1258" s="286" t="s">
        <v>4348</v>
      </c>
      <c r="B1258" s="287" t="s">
        <v>4300</v>
      </c>
      <c r="C1258" s="164" t="s">
        <v>687</v>
      </c>
      <c r="D1258" s="164">
        <v>1</v>
      </c>
      <c r="E1258" s="289">
        <v>5477.31</v>
      </c>
      <c r="F1258" s="289">
        <v>5477.31</v>
      </c>
    </row>
    <row r="1259" spans="1:6" ht="30" x14ac:dyDescent="0.25">
      <c r="A1259" s="286" t="s">
        <v>4349</v>
      </c>
      <c r="B1259" s="287" t="s">
        <v>4301</v>
      </c>
      <c r="C1259" s="164" t="s">
        <v>687</v>
      </c>
      <c r="D1259" s="164">
        <v>1</v>
      </c>
      <c r="E1259" s="289">
        <v>11825.34</v>
      </c>
      <c r="F1259" s="289">
        <v>11825.34</v>
      </c>
    </row>
    <row r="1260" spans="1:6" ht="30" x14ac:dyDescent="0.25">
      <c r="A1260" s="286" t="s">
        <v>4350</v>
      </c>
      <c r="B1260" s="287" t="s">
        <v>4302</v>
      </c>
      <c r="C1260" s="164" t="s">
        <v>687</v>
      </c>
      <c r="D1260" s="164">
        <v>1</v>
      </c>
      <c r="E1260" s="289">
        <v>17682.189999999999</v>
      </c>
      <c r="F1260" s="289">
        <v>17682.189999999999</v>
      </c>
    </row>
    <row r="1261" spans="1:6" x14ac:dyDescent="0.25">
      <c r="A1261" s="286" t="s">
        <v>4351</v>
      </c>
      <c r="B1261" s="287" t="s">
        <v>4303</v>
      </c>
      <c r="C1261" s="164" t="s">
        <v>687</v>
      </c>
      <c r="D1261" s="164">
        <v>1</v>
      </c>
      <c r="E1261" s="289">
        <v>2446.33</v>
      </c>
      <c r="F1261" s="289">
        <v>2446.33</v>
      </c>
    </row>
    <row r="1262" spans="1:6" ht="30" x14ac:dyDescent="0.25">
      <c r="A1262" s="286" t="s">
        <v>4352</v>
      </c>
      <c r="B1262" s="287" t="s">
        <v>4304</v>
      </c>
      <c r="C1262" s="164" t="s">
        <v>687</v>
      </c>
      <c r="D1262" s="164">
        <v>1</v>
      </c>
      <c r="E1262" s="289">
        <v>4401.63</v>
      </c>
      <c r="F1262" s="289">
        <v>4401.63</v>
      </c>
    </row>
    <row r="1263" spans="1:6" x14ac:dyDescent="0.25">
      <c r="A1263" s="286" t="s">
        <v>4353</v>
      </c>
      <c r="B1263" s="287" t="s">
        <v>4305</v>
      </c>
      <c r="C1263" s="164" t="s">
        <v>687</v>
      </c>
      <c r="D1263" s="164">
        <v>1</v>
      </c>
      <c r="E1263" s="289">
        <v>1787.87</v>
      </c>
      <c r="F1263" s="289">
        <v>1787.87</v>
      </c>
    </row>
    <row r="1264" spans="1:6" ht="30" x14ac:dyDescent="0.25">
      <c r="A1264" s="286" t="s">
        <v>4354</v>
      </c>
      <c r="B1264" s="287" t="s">
        <v>4306</v>
      </c>
      <c r="C1264" s="164" t="s">
        <v>687</v>
      </c>
      <c r="D1264" s="164">
        <v>1</v>
      </c>
      <c r="E1264" s="289">
        <v>1787.87</v>
      </c>
      <c r="F1264" s="289">
        <v>1787.87</v>
      </c>
    </row>
    <row r="1265" spans="1:6" ht="30" x14ac:dyDescent="0.25">
      <c r="A1265" s="286" t="s">
        <v>4355</v>
      </c>
      <c r="B1265" s="287" t="s">
        <v>4307</v>
      </c>
      <c r="C1265" s="164" t="s">
        <v>687</v>
      </c>
      <c r="D1265" s="164">
        <v>1</v>
      </c>
      <c r="E1265" s="289">
        <v>3385.81</v>
      </c>
      <c r="F1265" s="289">
        <v>3385.81</v>
      </c>
    </row>
    <row r="1266" spans="1:6" ht="30" x14ac:dyDescent="0.25">
      <c r="A1266" s="288" t="s">
        <v>4356</v>
      </c>
      <c r="B1266" s="285" t="s">
        <v>4308</v>
      </c>
      <c r="C1266" s="164"/>
      <c r="D1266" s="164"/>
      <c r="E1266" s="165"/>
      <c r="F1266" s="165"/>
    </row>
    <row r="1267" spans="1:6" ht="30" x14ac:dyDescent="0.25">
      <c r="A1267" s="286" t="s">
        <v>4357</v>
      </c>
      <c r="B1267" s="287" t="s">
        <v>4309</v>
      </c>
      <c r="C1267" s="164" t="s">
        <v>687</v>
      </c>
      <c r="D1267" s="164">
        <v>1</v>
      </c>
      <c r="E1267" s="289">
        <v>6352.33</v>
      </c>
      <c r="F1267" s="289">
        <v>6352.33</v>
      </c>
    </row>
    <row r="1268" spans="1:6" ht="30" x14ac:dyDescent="0.25">
      <c r="A1268" s="286" t="s">
        <v>4358</v>
      </c>
      <c r="B1268" s="287" t="s">
        <v>4310</v>
      </c>
      <c r="C1268" s="164" t="s">
        <v>687</v>
      </c>
      <c r="D1268" s="164">
        <v>1</v>
      </c>
      <c r="E1268" s="289">
        <v>23889.1</v>
      </c>
      <c r="F1268" s="289">
        <v>23889.1</v>
      </c>
    </row>
    <row r="1269" spans="1:6" x14ac:dyDescent="0.25">
      <c r="A1269" s="286" t="s">
        <v>4359</v>
      </c>
      <c r="B1269" s="287" t="s">
        <v>4311</v>
      </c>
      <c r="C1269" s="164" t="s">
        <v>687</v>
      </c>
      <c r="D1269" s="164">
        <v>1</v>
      </c>
      <c r="E1269" s="289">
        <v>9945.17</v>
      </c>
      <c r="F1269" s="289">
        <v>9945.17</v>
      </c>
    </row>
    <row r="1270" spans="1:6" ht="30" x14ac:dyDescent="0.25">
      <c r="A1270" s="286" t="s">
        <v>4360</v>
      </c>
      <c r="B1270" s="287" t="s">
        <v>4312</v>
      </c>
      <c r="C1270" s="164" t="s">
        <v>687</v>
      </c>
      <c r="D1270" s="164">
        <v>1</v>
      </c>
      <c r="E1270" s="289">
        <v>3043.88</v>
      </c>
      <c r="F1270" s="289">
        <v>3043.88</v>
      </c>
    </row>
    <row r="1271" spans="1:6" ht="30" x14ac:dyDescent="0.25">
      <c r="A1271" s="286" t="s">
        <v>4361</v>
      </c>
      <c r="B1271" s="287" t="s">
        <v>4313</v>
      </c>
      <c r="C1271" s="164" t="s">
        <v>687</v>
      </c>
      <c r="D1271" s="164">
        <v>1</v>
      </c>
      <c r="E1271" s="289">
        <v>17063.64</v>
      </c>
      <c r="F1271" s="289">
        <v>17063.64</v>
      </c>
    </row>
    <row r="1272" spans="1:6" ht="30" x14ac:dyDescent="0.25">
      <c r="A1272" s="286" t="s">
        <v>4362</v>
      </c>
      <c r="B1272" s="287" t="s">
        <v>4314</v>
      </c>
      <c r="C1272" s="164" t="s">
        <v>687</v>
      </c>
      <c r="D1272" s="164">
        <v>1</v>
      </c>
      <c r="E1272" s="289">
        <v>5076</v>
      </c>
      <c r="F1272" s="289">
        <v>5076</v>
      </c>
    </row>
    <row r="1273" spans="1:6" ht="30" x14ac:dyDescent="0.25">
      <c r="A1273" s="286" t="s">
        <v>4363</v>
      </c>
      <c r="B1273" s="287" t="s">
        <v>4315</v>
      </c>
      <c r="C1273" s="164" t="s">
        <v>687</v>
      </c>
      <c r="D1273" s="164">
        <v>1</v>
      </c>
      <c r="E1273" s="289">
        <v>4596.84</v>
      </c>
      <c r="F1273" s="289">
        <v>4596.84</v>
      </c>
    </row>
    <row r="1274" spans="1:6" ht="30" x14ac:dyDescent="0.25">
      <c r="A1274" s="286" t="s">
        <v>4364</v>
      </c>
      <c r="B1274" s="287" t="s">
        <v>4316</v>
      </c>
      <c r="C1274" s="164" t="s">
        <v>687</v>
      </c>
      <c r="D1274" s="164">
        <v>1</v>
      </c>
      <c r="E1274" s="289">
        <v>13616.44</v>
      </c>
      <c r="F1274" s="289">
        <v>13616.44</v>
      </c>
    </row>
    <row r="1275" spans="1:6" ht="30" x14ac:dyDescent="0.25">
      <c r="A1275" s="286" t="s">
        <v>4365</v>
      </c>
      <c r="B1275" s="287" t="s">
        <v>4317</v>
      </c>
      <c r="C1275" s="164" t="s">
        <v>687</v>
      </c>
      <c r="D1275" s="164">
        <v>1</v>
      </c>
      <c r="E1275" s="289">
        <v>11306.82</v>
      </c>
      <c r="F1275" s="289">
        <v>11306.82</v>
      </c>
    </row>
    <row r="1276" spans="1:6" ht="30" x14ac:dyDescent="0.25">
      <c r="A1276" s="286" t="s">
        <v>4366</v>
      </c>
      <c r="B1276" s="287" t="s">
        <v>4318</v>
      </c>
      <c r="C1276" s="164" t="s">
        <v>687</v>
      </c>
      <c r="D1276" s="164">
        <v>1</v>
      </c>
      <c r="E1276" s="289">
        <v>11306.82</v>
      </c>
      <c r="F1276" s="289">
        <v>11306.82</v>
      </c>
    </row>
    <row r="1277" spans="1:6" ht="30" x14ac:dyDescent="0.25">
      <c r="A1277" s="286" t="s">
        <v>4367</v>
      </c>
      <c r="B1277" s="287" t="s">
        <v>4319</v>
      </c>
      <c r="C1277" s="164" t="s">
        <v>687</v>
      </c>
      <c r="D1277" s="164">
        <v>1</v>
      </c>
      <c r="E1277" s="289">
        <v>11548.12</v>
      </c>
      <c r="F1277" s="289">
        <v>11548.12</v>
      </c>
    </row>
    <row r="1278" spans="1:6" x14ac:dyDescent="0.25">
      <c r="A1278" s="286" t="s">
        <v>4368</v>
      </c>
      <c r="B1278" s="287" t="s">
        <v>4320</v>
      </c>
      <c r="C1278" s="164" t="s">
        <v>687</v>
      </c>
      <c r="D1278" s="164">
        <v>1</v>
      </c>
      <c r="E1278" s="289">
        <v>10582.9</v>
      </c>
      <c r="F1278" s="289">
        <v>10582.9</v>
      </c>
    </row>
    <row r="1279" spans="1:6" ht="30" x14ac:dyDescent="0.25">
      <c r="A1279" s="286" t="s">
        <v>4369</v>
      </c>
      <c r="B1279" s="287" t="s">
        <v>4321</v>
      </c>
      <c r="C1279" s="164" t="s">
        <v>687</v>
      </c>
      <c r="D1279" s="164">
        <v>1</v>
      </c>
      <c r="E1279" s="289">
        <v>11311.13</v>
      </c>
      <c r="F1279" s="289">
        <v>11311.13</v>
      </c>
    </row>
    <row r="1280" spans="1:6" ht="30" x14ac:dyDescent="0.25">
      <c r="A1280" s="286" t="s">
        <v>4370</v>
      </c>
      <c r="B1280" s="287" t="s">
        <v>4322</v>
      </c>
      <c r="C1280" s="164" t="s">
        <v>687</v>
      </c>
      <c r="D1280" s="164">
        <v>1</v>
      </c>
      <c r="E1280" s="289">
        <v>24475.119999999999</v>
      </c>
      <c r="F1280" s="289">
        <v>24475.119999999999</v>
      </c>
    </row>
    <row r="1281" spans="1:6" x14ac:dyDescent="0.25">
      <c r="A1281" s="286" t="s">
        <v>4371</v>
      </c>
      <c r="B1281" s="287" t="s">
        <v>4323</v>
      </c>
      <c r="C1281" s="164" t="s">
        <v>687</v>
      </c>
      <c r="D1281" s="164">
        <v>1</v>
      </c>
      <c r="E1281" s="289">
        <v>6342.85</v>
      </c>
      <c r="F1281" s="289">
        <v>6342.85</v>
      </c>
    </row>
    <row r="1282" spans="1:6" ht="30" x14ac:dyDescent="0.25">
      <c r="A1282" s="286" t="s">
        <v>4372</v>
      </c>
      <c r="B1282" s="287" t="s">
        <v>4324</v>
      </c>
      <c r="C1282" s="164" t="s">
        <v>687</v>
      </c>
      <c r="D1282" s="164">
        <v>1</v>
      </c>
      <c r="E1282" s="289">
        <v>13694</v>
      </c>
      <c r="F1282" s="289">
        <v>13694</v>
      </c>
    </row>
    <row r="1283" spans="1:6" ht="30" x14ac:dyDescent="0.25">
      <c r="A1283" s="286" t="s">
        <v>4373</v>
      </c>
      <c r="B1283" s="287" t="s">
        <v>4325</v>
      </c>
      <c r="C1283" s="164" t="s">
        <v>687</v>
      </c>
      <c r="D1283" s="164">
        <v>1</v>
      </c>
      <c r="E1283" s="289">
        <v>20476.37</v>
      </c>
      <c r="F1283" s="289">
        <v>20476.37</v>
      </c>
    </row>
    <row r="1284" spans="1:6" x14ac:dyDescent="0.25">
      <c r="A1284" s="286" t="s">
        <v>4374</v>
      </c>
      <c r="B1284" s="287" t="s">
        <v>4326</v>
      </c>
      <c r="C1284" s="164" t="s">
        <v>687</v>
      </c>
      <c r="D1284" s="164">
        <v>1</v>
      </c>
      <c r="E1284" s="289">
        <v>2832.91</v>
      </c>
      <c r="F1284" s="289">
        <v>2832.91</v>
      </c>
    </row>
    <row r="1285" spans="1:6" ht="30" x14ac:dyDescent="0.25">
      <c r="A1285" s="286" t="s">
        <v>4375</v>
      </c>
      <c r="B1285" s="287" t="s">
        <v>4327</v>
      </c>
      <c r="C1285" s="164" t="s">
        <v>687</v>
      </c>
      <c r="D1285" s="164">
        <v>1</v>
      </c>
      <c r="E1285" s="289">
        <v>5097.1899999999996</v>
      </c>
      <c r="F1285" s="289">
        <v>5097.1899999999996</v>
      </c>
    </row>
    <row r="1286" spans="1:6" x14ac:dyDescent="0.25">
      <c r="A1286" s="286" t="s">
        <v>4376</v>
      </c>
      <c r="B1286" s="287" t="s">
        <v>4328</v>
      </c>
      <c r="C1286" s="164" t="s">
        <v>687</v>
      </c>
      <c r="D1286" s="164">
        <v>1</v>
      </c>
      <c r="E1286" s="289">
        <v>2070.39</v>
      </c>
      <c r="F1286" s="289">
        <v>2070.39</v>
      </c>
    </row>
    <row r="1287" spans="1:6" ht="30" x14ac:dyDescent="0.25">
      <c r="A1287" s="286" t="s">
        <v>4377</v>
      </c>
      <c r="B1287" s="287" t="s">
        <v>4329</v>
      </c>
      <c r="C1287" s="164" t="s">
        <v>687</v>
      </c>
      <c r="D1287" s="164">
        <v>1</v>
      </c>
      <c r="E1287" s="289">
        <v>2070.39</v>
      </c>
      <c r="F1287" s="289">
        <v>2070.39</v>
      </c>
    </row>
    <row r="1288" spans="1:6" ht="30" x14ac:dyDescent="0.25">
      <c r="A1288" s="286" t="s">
        <v>4378</v>
      </c>
      <c r="B1288" s="287" t="s">
        <v>4330</v>
      </c>
      <c r="C1288" s="164" t="s">
        <v>687</v>
      </c>
      <c r="D1288" s="164">
        <v>1</v>
      </c>
      <c r="E1288" s="289">
        <v>3920.85</v>
      </c>
      <c r="F1288" s="289">
        <v>3920.85</v>
      </c>
    </row>
    <row r="1289" spans="1:6" x14ac:dyDescent="0.25">
      <c r="A1289" s="290"/>
    </row>
    <row r="1290" spans="1:6" x14ac:dyDescent="0.25">
      <c r="A1290" s="290"/>
    </row>
    <row r="1291" spans="1:6" x14ac:dyDescent="0.25">
      <c r="A1291" s="290"/>
    </row>
    <row r="1292" spans="1:6" x14ac:dyDescent="0.25">
      <c r="A1292" s="290"/>
    </row>
    <row r="1293" spans="1:6" x14ac:dyDescent="0.25">
      <c r="A1293" s="290"/>
    </row>
    <row r="1294" spans="1:6" x14ac:dyDescent="0.25">
      <c r="A1294" s="290"/>
    </row>
    <row r="1295" spans="1:6" x14ac:dyDescent="0.25">
      <c r="A1295" s="290"/>
    </row>
    <row r="1296" spans="1:6" x14ac:dyDescent="0.25">
      <c r="A1296" s="290"/>
    </row>
    <row r="1297" spans="1:1" x14ac:dyDescent="0.25">
      <c r="A1297" s="290"/>
    </row>
    <row r="1298" spans="1:1" x14ac:dyDescent="0.25">
      <c r="A1298" s="290"/>
    </row>
    <row r="1299" spans="1:1" x14ac:dyDescent="0.25">
      <c r="A1299" s="290"/>
    </row>
    <row r="1300" spans="1:1" x14ac:dyDescent="0.25">
      <c r="A1300" s="290"/>
    </row>
    <row r="1301" spans="1:1" x14ac:dyDescent="0.25">
      <c r="A1301" s="290"/>
    </row>
    <row r="1302" spans="1:1" x14ac:dyDescent="0.25">
      <c r="A1302" s="290"/>
    </row>
    <row r="1303" spans="1:1" x14ac:dyDescent="0.25">
      <c r="A1303" s="290"/>
    </row>
    <row r="1304" spans="1:1" x14ac:dyDescent="0.25">
      <c r="A1304" s="290"/>
    </row>
    <row r="1305" spans="1:1" x14ac:dyDescent="0.25">
      <c r="A1305" s="290"/>
    </row>
    <row r="1306" spans="1:1" x14ac:dyDescent="0.25">
      <c r="A1306" s="290"/>
    </row>
    <row r="1307" spans="1:1" x14ac:dyDescent="0.25">
      <c r="A1307" s="290"/>
    </row>
    <row r="1308" spans="1:1" x14ac:dyDescent="0.25">
      <c r="A1308" s="290"/>
    </row>
    <row r="1309" spans="1:1" x14ac:dyDescent="0.25">
      <c r="A1309" s="290"/>
    </row>
    <row r="1310" spans="1:1" x14ac:dyDescent="0.25">
      <c r="A1310" s="290"/>
    </row>
    <row r="1311" spans="1:1" x14ac:dyDescent="0.25">
      <c r="A1311" s="290"/>
    </row>
    <row r="1312" spans="1:1" x14ac:dyDescent="0.25">
      <c r="A1312" s="290"/>
    </row>
    <row r="1313" spans="1:1" x14ac:dyDescent="0.25">
      <c r="A1313" s="290"/>
    </row>
    <row r="1314" spans="1:1" x14ac:dyDescent="0.25">
      <c r="A1314" s="290"/>
    </row>
    <row r="1315" spans="1:1" x14ac:dyDescent="0.25">
      <c r="A1315" s="290"/>
    </row>
    <row r="1316" spans="1:1" x14ac:dyDescent="0.25">
      <c r="A1316" s="290"/>
    </row>
    <row r="1317" spans="1:1" x14ac:dyDescent="0.25">
      <c r="A1317" s="290"/>
    </row>
    <row r="1318" spans="1:1" x14ac:dyDescent="0.25">
      <c r="A1318" s="290"/>
    </row>
  </sheetData>
  <mergeCells count="14">
    <mergeCell ref="A10:F10"/>
    <mergeCell ref="A11:F11"/>
    <mergeCell ref="A1:F1"/>
    <mergeCell ref="A2:F2"/>
    <mergeCell ref="A3:F3"/>
    <mergeCell ref="A4:F4"/>
    <mergeCell ref="A5:F5"/>
    <mergeCell ref="A6:D6"/>
    <mergeCell ref="E6:F6"/>
    <mergeCell ref="A7:D7"/>
    <mergeCell ref="E7:F7"/>
    <mergeCell ref="A8:F8"/>
    <mergeCell ref="A9:D9"/>
    <mergeCell ref="E9:F9"/>
  </mergeCells>
  <pageMargins left="0.78740157499999996" right="0.78740157499999996" top="0.984251969" bottom="0.984251969" header="0.4921259845" footer="0.4921259845"/>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23"/>
  <sheetViews>
    <sheetView workbookViewId="0">
      <selection sqref="A1:F1"/>
    </sheetView>
  </sheetViews>
  <sheetFormatPr defaultRowHeight="15" x14ac:dyDescent="0.25"/>
  <cols>
    <col min="1" max="1" width="9.140625" style="4"/>
    <col min="2" max="2" width="54.85546875" style="11" customWidth="1"/>
    <col min="3" max="3" width="5.140625" style="10" bestFit="1" customWidth="1"/>
    <col min="4" max="4" width="8" style="12" bestFit="1" customWidth="1"/>
    <col min="5" max="5" width="9.28515625" style="12" bestFit="1" customWidth="1"/>
    <col min="6" max="6" width="14" style="12" bestFit="1" customWidth="1"/>
    <col min="8" max="8" width="14.28515625" bestFit="1" customWidth="1"/>
  </cols>
  <sheetData>
    <row r="1" spans="1:8" x14ac:dyDescent="0.25">
      <c r="A1" s="1360" t="s">
        <v>113</v>
      </c>
      <c r="B1" s="1361"/>
      <c r="C1" s="1361"/>
      <c r="D1" s="1361"/>
      <c r="E1" s="1361"/>
      <c r="F1" s="1362"/>
    </row>
    <row r="2" spans="1:8" x14ac:dyDescent="0.25">
      <c r="A2" s="277"/>
      <c r="B2" s="5"/>
      <c r="C2" s="13"/>
      <c r="D2" s="6"/>
      <c r="E2" s="6"/>
      <c r="F2" s="15"/>
    </row>
    <row r="3" spans="1:8" x14ac:dyDescent="0.25">
      <c r="A3" s="277" t="s">
        <v>114</v>
      </c>
      <c r="B3" s="276" t="s">
        <v>273</v>
      </c>
      <c r="C3" s="1363" t="s">
        <v>116</v>
      </c>
      <c r="D3" s="1363"/>
      <c r="E3" s="14">
        <v>44317</v>
      </c>
      <c r="F3" s="15"/>
    </row>
    <row r="4" spans="1:8" ht="15.75" thickBot="1" x14ac:dyDescent="0.3">
      <c r="A4" s="278" t="s">
        <v>115</v>
      </c>
      <c r="B4" s="279" t="s">
        <v>274</v>
      </c>
      <c r="C4" s="279" t="s">
        <v>117</v>
      </c>
      <c r="D4" s="280">
        <v>1.5727</v>
      </c>
      <c r="E4" s="281" t="s">
        <v>118</v>
      </c>
      <c r="F4" s="282">
        <v>0.23319999999999999</v>
      </c>
    </row>
    <row r="5" spans="1:8" ht="15.75" thickBot="1" x14ac:dyDescent="0.3">
      <c r="B5" s="7"/>
      <c r="C5" s="8"/>
      <c r="D5" s="9"/>
      <c r="E5" s="9"/>
      <c r="F5" s="9"/>
    </row>
    <row r="6" spans="1:8" ht="15.75" thickBot="1" x14ac:dyDescent="0.3">
      <c r="A6" s="16" t="s">
        <v>110</v>
      </c>
      <c r="B6" s="16" t="s">
        <v>1</v>
      </c>
      <c r="C6" s="16" t="s">
        <v>2</v>
      </c>
      <c r="D6" s="17" t="s">
        <v>111</v>
      </c>
      <c r="E6" s="17" t="s">
        <v>3</v>
      </c>
      <c r="F6" s="17" t="s">
        <v>112</v>
      </c>
    </row>
    <row r="7" spans="1:8" x14ac:dyDescent="0.25">
      <c r="A7" s="171">
        <v>1</v>
      </c>
      <c r="B7" s="172" t="s">
        <v>4</v>
      </c>
      <c r="C7" s="173"/>
      <c r="D7" s="174"/>
      <c r="E7" s="174"/>
      <c r="F7" s="283"/>
    </row>
    <row r="8" spans="1:8" x14ac:dyDescent="0.25">
      <c r="A8" s="18" t="s">
        <v>119</v>
      </c>
      <c r="B8" s="19" t="s">
        <v>120</v>
      </c>
      <c r="C8" s="20"/>
      <c r="D8" s="21"/>
      <c r="E8" s="21"/>
      <c r="F8" s="22" t="e">
        <f>'Planilha - Orla'!#REF!</f>
        <v>#REF!</v>
      </c>
      <c r="H8" s="137"/>
    </row>
    <row r="9" spans="1:8" x14ac:dyDescent="0.25">
      <c r="A9" s="24" t="s">
        <v>129</v>
      </c>
      <c r="B9" s="19" t="s">
        <v>130</v>
      </c>
      <c r="C9" s="142"/>
      <c r="D9" s="221"/>
      <c r="E9" s="221"/>
      <c r="F9" s="22" t="e">
        <f>'Planilha - Orla'!#REF!</f>
        <v>#REF!</v>
      </c>
      <c r="H9" s="371"/>
    </row>
    <row r="10" spans="1:8" x14ac:dyDescent="0.25">
      <c r="A10" s="24">
        <v>2</v>
      </c>
      <c r="B10" s="19" t="s">
        <v>173</v>
      </c>
      <c r="C10" s="142"/>
      <c r="D10" s="221"/>
      <c r="E10" s="221"/>
      <c r="F10" s="22">
        <f>'Planilha - Orla'!I36</f>
        <v>802254.73</v>
      </c>
      <c r="H10" s="137"/>
    </row>
    <row r="11" spans="1:8" x14ac:dyDescent="0.25">
      <c r="A11" s="24">
        <v>3</v>
      </c>
      <c r="B11" s="19" t="s">
        <v>174</v>
      </c>
      <c r="C11" s="20"/>
      <c r="D11" s="21"/>
      <c r="E11" s="21"/>
      <c r="F11" s="22">
        <f>'Planilha - Orla'!I55</f>
        <v>1115649.05</v>
      </c>
      <c r="H11" s="137"/>
    </row>
    <row r="12" spans="1:8" x14ac:dyDescent="0.25">
      <c r="A12" s="24">
        <v>4</v>
      </c>
      <c r="B12" s="150" t="s">
        <v>177</v>
      </c>
      <c r="C12" s="142"/>
      <c r="D12" s="221"/>
      <c r="E12" s="221"/>
      <c r="F12" s="22">
        <f>'Planilha - Orla'!I65</f>
        <v>171895.2</v>
      </c>
      <c r="H12" s="137"/>
    </row>
    <row r="13" spans="1:8" s="159" customFormat="1" x14ac:dyDescent="0.25">
      <c r="A13" s="24">
        <v>5</v>
      </c>
      <c r="B13" s="150" t="s">
        <v>318</v>
      </c>
      <c r="C13" s="142"/>
      <c r="D13" s="221"/>
      <c r="E13" s="221"/>
      <c r="F13" s="22">
        <f>'Planilha - Orla'!I70</f>
        <v>3390052.5</v>
      </c>
      <c r="H13" s="137"/>
    </row>
    <row r="14" spans="1:8" x14ac:dyDescent="0.25">
      <c r="A14" s="24">
        <v>6</v>
      </c>
      <c r="B14" s="150" t="s">
        <v>185</v>
      </c>
      <c r="C14" s="142"/>
      <c r="D14" s="221"/>
      <c r="E14" s="221"/>
      <c r="F14" s="22">
        <f>'Planilha - Orla'!I77</f>
        <v>5300940.12</v>
      </c>
      <c r="H14" s="137"/>
    </row>
    <row r="15" spans="1:8" x14ac:dyDescent="0.25">
      <c r="A15" s="24">
        <v>7</v>
      </c>
      <c r="B15" s="150" t="s">
        <v>193</v>
      </c>
      <c r="C15" s="20"/>
      <c r="D15" s="21"/>
      <c r="E15" s="21"/>
      <c r="F15" s="22">
        <f>'Planilha - Orla'!I97</f>
        <v>1057210.42</v>
      </c>
      <c r="H15" s="137"/>
    </row>
    <row r="16" spans="1:8" x14ac:dyDescent="0.25">
      <c r="A16" s="24">
        <v>8</v>
      </c>
      <c r="B16" s="150" t="s">
        <v>380</v>
      </c>
      <c r="C16" s="20"/>
      <c r="D16" s="21"/>
      <c r="E16" s="21"/>
      <c r="F16" s="22" t="e">
        <f>'Planilha - Orla'!#REF!</f>
        <v>#REF!</v>
      </c>
      <c r="H16" s="137"/>
    </row>
    <row r="17" spans="1:8" x14ac:dyDescent="0.25">
      <c r="A17" s="24">
        <v>9</v>
      </c>
      <c r="B17" s="150" t="s">
        <v>199</v>
      </c>
      <c r="C17" s="20"/>
      <c r="D17" s="21"/>
      <c r="E17" s="21"/>
      <c r="F17" s="22">
        <f>'Planilha - Orla'!I127</f>
        <v>418225.7</v>
      </c>
      <c r="H17" s="137"/>
    </row>
    <row r="18" spans="1:8" x14ac:dyDescent="0.25">
      <c r="A18" s="24">
        <v>10</v>
      </c>
      <c r="B18" s="19" t="s">
        <v>70</v>
      </c>
      <c r="C18" s="25"/>
      <c r="D18" s="219"/>
      <c r="E18" s="219"/>
      <c r="F18" s="22">
        <f>'Planilha - Orla'!I135</f>
        <v>1135749.57</v>
      </c>
      <c r="H18" s="137"/>
    </row>
    <row r="19" spans="1:8" x14ac:dyDescent="0.25">
      <c r="A19" s="84">
        <v>11</v>
      </c>
      <c r="B19" s="149" t="s">
        <v>375</v>
      </c>
      <c r="C19" s="25"/>
      <c r="D19" s="219"/>
      <c r="E19" s="219"/>
      <c r="F19" s="22">
        <f>'Planilha - Orla'!I148</f>
        <v>35208.720000000001</v>
      </c>
      <c r="H19" s="137"/>
    </row>
    <row r="20" spans="1:8" x14ac:dyDescent="0.25">
      <c r="A20" s="23"/>
      <c r="B20" s="222"/>
      <c r="C20" s="25"/>
      <c r="D20" s="219"/>
      <c r="E20" s="219"/>
      <c r="F20" s="26"/>
      <c r="H20" s="137"/>
    </row>
    <row r="21" spans="1:8" ht="15.75" thickBot="1" x14ac:dyDescent="0.3">
      <c r="A21" s="27"/>
      <c r="B21" s="151" t="s">
        <v>381</v>
      </c>
      <c r="C21" s="85"/>
      <c r="D21" s="86"/>
      <c r="E21" s="86"/>
      <c r="F21" s="87" t="e">
        <f>SUM(F8:F19)</f>
        <v>#REF!</v>
      </c>
      <c r="H21" s="137"/>
    </row>
    <row r="23" spans="1:8" x14ac:dyDescent="0.25">
      <c r="H23" s="158"/>
    </row>
  </sheetData>
  <mergeCells count="2">
    <mergeCell ref="A1:F1"/>
    <mergeCell ref="C3:D3"/>
  </mergeCells>
  <pageMargins left="0.51181102362204722" right="0.31496062992125984" top="1.1811023622047245" bottom="0.78740157480314965" header="0.31496062992125984" footer="0.31496062992125984"/>
  <pageSetup paperSize="9" scale="90" orientation="portrait" r:id="rId1"/>
  <headerFooter>
    <oddFooter>&amp;R&amp;P/&amp;N</oddFooter>
  </headerFooter>
  <colBreaks count="1" manualBreakCount="1">
    <brk id="6"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36D9C6-7A72-4AF7-94FC-42CB127C4CA1}">
  <dimension ref="A2:D7197"/>
  <sheetViews>
    <sheetView workbookViewId="0"/>
  </sheetViews>
  <sheetFormatPr defaultRowHeight="15" x14ac:dyDescent="0.25"/>
  <cols>
    <col min="1" max="1" width="11.140625" style="220" customWidth="1"/>
    <col min="2" max="2" width="48.140625" style="220" customWidth="1"/>
    <col min="3" max="3" width="9" style="220" bestFit="1" customWidth="1"/>
    <col min="4" max="4" width="13.7109375" style="220" bestFit="1" customWidth="1"/>
    <col min="5" max="5" width="24.5703125" style="220" customWidth="1"/>
    <col min="6" max="6" width="48.7109375" style="220" customWidth="1"/>
    <col min="7" max="7" width="8.140625" style="220" customWidth="1"/>
    <col min="8" max="8" width="38.7109375" style="220" customWidth="1"/>
    <col min="9" max="9" width="21.140625" style="220" customWidth="1"/>
    <col min="10" max="10" width="82" style="220" customWidth="1"/>
    <col min="11" max="254" width="9.140625" style="220"/>
    <col min="255" max="255" width="70.28515625" style="220" customWidth="1"/>
    <col min="256" max="256" width="17.5703125" style="220" customWidth="1"/>
    <col min="257" max="257" width="70.28515625" style="220" customWidth="1"/>
    <col min="258" max="258" width="17.5703125" style="220" customWidth="1"/>
    <col min="259" max="259" width="15.28515625" style="220" customWidth="1"/>
    <col min="260" max="260" width="48.7109375" style="220" customWidth="1"/>
    <col min="261" max="261" width="24.5703125" style="220" customWidth="1"/>
    <col min="262" max="262" width="48.7109375" style="220" customWidth="1"/>
    <col min="263" max="263" width="8.140625" style="220" customWidth="1"/>
    <col min="264" max="264" width="38.7109375" style="220" customWidth="1"/>
    <col min="265" max="265" width="21.140625" style="220" customWidth="1"/>
    <col min="266" max="266" width="82" style="220" customWidth="1"/>
    <col min="267" max="510" width="9.140625" style="220"/>
    <col min="511" max="511" width="70.28515625" style="220" customWidth="1"/>
    <col min="512" max="512" width="17.5703125" style="220" customWidth="1"/>
    <col min="513" max="513" width="70.28515625" style="220" customWidth="1"/>
    <col min="514" max="514" width="17.5703125" style="220" customWidth="1"/>
    <col min="515" max="515" width="15.28515625" style="220" customWidth="1"/>
    <col min="516" max="516" width="48.7109375" style="220" customWidth="1"/>
    <col min="517" max="517" width="24.5703125" style="220" customWidth="1"/>
    <col min="518" max="518" width="48.7109375" style="220" customWidth="1"/>
    <col min="519" max="519" width="8.140625" style="220" customWidth="1"/>
    <col min="520" max="520" width="38.7109375" style="220" customWidth="1"/>
    <col min="521" max="521" width="21.140625" style="220" customWidth="1"/>
    <col min="522" max="522" width="82" style="220" customWidth="1"/>
    <col min="523" max="766" width="9.140625" style="220"/>
    <col min="767" max="767" width="70.28515625" style="220" customWidth="1"/>
    <col min="768" max="768" width="17.5703125" style="220" customWidth="1"/>
    <col min="769" max="769" width="70.28515625" style="220" customWidth="1"/>
    <col min="770" max="770" width="17.5703125" style="220" customWidth="1"/>
    <col min="771" max="771" width="15.28515625" style="220" customWidth="1"/>
    <col min="772" max="772" width="48.7109375" style="220" customWidth="1"/>
    <col min="773" max="773" width="24.5703125" style="220" customWidth="1"/>
    <col min="774" max="774" width="48.7109375" style="220" customWidth="1"/>
    <col min="775" max="775" width="8.140625" style="220" customWidth="1"/>
    <col min="776" max="776" width="38.7109375" style="220" customWidth="1"/>
    <col min="777" max="777" width="21.140625" style="220" customWidth="1"/>
    <col min="778" max="778" width="82" style="220" customWidth="1"/>
    <col min="779" max="1022" width="9.140625" style="220"/>
    <col min="1023" max="1023" width="70.28515625" style="220" customWidth="1"/>
    <col min="1024" max="1024" width="17.5703125" style="220" customWidth="1"/>
    <col min="1025" max="1025" width="70.28515625" style="220" customWidth="1"/>
    <col min="1026" max="1026" width="17.5703125" style="220" customWidth="1"/>
    <col min="1027" max="1027" width="15.28515625" style="220" customWidth="1"/>
    <col min="1028" max="1028" width="48.7109375" style="220" customWidth="1"/>
    <col min="1029" max="1029" width="24.5703125" style="220" customWidth="1"/>
    <col min="1030" max="1030" width="48.7109375" style="220" customWidth="1"/>
    <col min="1031" max="1031" width="8.140625" style="220" customWidth="1"/>
    <col min="1032" max="1032" width="38.7109375" style="220" customWidth="1"/>
    <col min="1033" max="1033" width="21.140625" style="220" customWidth="1"/>
    <col min="1034" max="1034" width="82" style="220" customWidth="1"/>
    <col min="1035" max="1278" width="9.140625" style="220"/>
    <col min="1279" max="1279" width="70.28515625" style="220" customWidth="1"/>
    <col min="1280" max="1280" width="17.5703125" style="220" customWidth="1"/>
    <col min="1281" max="1281" width="70.28515625" style="220" customWidth="1"/>
    <col min="1282" max="1282" width="17.5703125" style="220" customWidth="1"/>
    <col min="1283" max="1283" width="15.28515625" style="220" customWidth="1"/>
    <col min="1284" max="1284" width="48.7109375" style="220" customWidth="1"/>
    <col min="1285" max="1285" width="24.5703125" style="220" customWidth="1"/>
    <col min="1286" max="1286" width="48.7109375" style="220" customWidth="1"/>
    <col min="1287" max="1287" width="8.140625" style="220" customWidth="1"/>
    <col min="1288" max="1288" width="38.7109375" style="220" customWidth="1"/>
    <col min="1289" max="1289" width="21.140625" style="220" customWidth="1"/>
    <col min="1290" max="1290" width="82" style="220" customWidth="1"/>
    <col min="1291" max="1534" width="9.140625" style="220"/>
    <col min="1535" max="1535" width="70.28515625" style="220" customWidth="1"/>
    <col min="1536" max="1536" width="17.5703125" style="220" customWidth="1"/>
    <col min="1537" max="1537" width="70.28515625" style="220" customWidth="1"/>
    <col min="1538" max="1538" width="17.5703125" style="220" customWidth="1"/>
    <col min="1539" max="1539" width="15.28515625" style="220" customWidth="1"/>
    <col min="1540" max="1540" width="48.7109375" style="220" customWidth="1"/>
    <col min="1541" max="1541" width="24.5703125" style="220" customWidth="1"/>
    <col min="1542" max="1542" width="48.7109375" style="220" customWidth="1"/>
    <col min="1543" max="1543" width="8.140625" style="220" customWidth="1"/>
    <col min="1544" max="1544" width="38.7109375" style="220" customWidth="1"/>
    <col min="1545" max="1545" width="21.140625" style="220" customWidth="1"/>
    <col min="1546" max="1546" width="82" style="220" customWidth="1"/>
    <col min="1547" max="1790" width="9.140625" style="220"/>
    <col min="1791" max="1791" width="70.28515625" style="220" customWidth="1"/>
    <col min="1792" max="1792" width="17.5703125" style="220" customWidth="1"/>
    <col min="1793" max="1793" width="70.28515625" style="220" customWidth="1"/>
    <col min="1794" max="1794" width="17.5703125" style="220" customWidth="1"/>
    <col min="1795" max="1795" width="15.28515625" style="220" customWidth="1"/>
    <col min="1796" max="1796" width="48.7109375" style="220" customWidth="1"/>
    <col min="1797" max="1797" width="24.5703125" style="220" customWidth="1"/>
    <col min="1798" max="1798" width="48.7109375" style="220" customWidth="1"/>
    <col min="1799" max="1799" width="8.140625" style="220" customWidth="1"/>
    <col min="1800" max="1800" width="38.7109375" style="220" customWidth="1"/>
    <col min="1801" max="1801" width="21.140625" style="220" customWidth="1"/>
    <col min="1802" max="1802" width="82" style="220" customWidth="1"/>
    <col min="1803" max="2046" width="9.140625" style="220"/>
    <col min="2047" max="2047" width="70.28515625" style="220" customWidth="1"/>
    <col min="2048" max="2048" width="17.5703125" style="220" customWidth="1"/>
    <col min="2049" max="2049" width="70.28515625" style="220" customWidth="1"/>
    <col min="2050" max="2050" width="17.5703125" style="220" customWidth="1"/>
    <col min="2051" max="2051" width="15.28515625" style="220" customWidth="1"/>
    <col min="2052" max="2052" width="48.7109375" style="220" customWidth="1"/>
    <col min="2053" max="2053" width="24.5703125" style="220" customWidth="1"/>
    <col min="2054" max="2054" width="48.7109375" style="220" customWidth="1"/>
    <col min="2055" max="2055" width="8.140625" style="220" customWidth="1"/>
    <col min="2056" max="2056" width="38.7109375" style="220" customWidth="1"/>
    <col min="2057" max="2057" width="21.140625" style="220" customWidth="1"/>
    <col min="2058" max="2058" width="82" style="220" customWidth="1"/>
    <col min="2059" max="2302" width="9.140625" style="220"/>
    <col min="2303" max="2303" width="70.28515625" style="220" customWidth="1"/>
    <col min="2304" max="2304" width="17.5703125" style="220" customWidth="1"/>
    <col min="2305" max="2305" width="70.28515625" style="220" customWidth="1"/>
    <col min="2306" max="2306" width="17.5703125" style="220" customWidth="1"/>
    <col min="2307" max="2307" width="15.28515625" style="220" customWidth="1"/>
    <col min="2308" max="2308" width="48.7109375" style="220" customWidth="1"/>
    <col min="2309" max="2309" width="24.5703125" style="220" customWidth="1"/>
    <col min="2310" max="2310" width="48.7109375" style="220" customWidth="1"/>
    <col min="2311" max="2311" width="8.140625" style="220" customWidth="1"/>
    <col min="2312" max="2312" width="38.7109375" style="220" customWidth="1"/>
    <col min="2313" max="2313" width="21.140625" style="220" customWidth="1"/>
    <col min="2314" max="2314" width="82" style="220" customWidth="1"/>
    <col min="2315" max="2558" width="9.140625" style="220"/>
    <col min="2559" max="2559" width="70.28515625" style="220" customWidth="1"/>
    <col min="2560" max="2560" width="17.5703125" style="220" customWidth="1"/>
    <col min="2561" max="2561" width="70.28515625" style="220" customWidth="1"/>
    <col min="2562" max="2562" width="17.5703125" style="220" customWidth="1"/>
    <col min="2563" max="2563" width="15.28515625" style="220" customWidth="1"/>
    <col min="2564" max="2564" width="48.7109375" style="220" customWidth="1"/>
    <col min="2565" max="2565" width="24.5703125" style="220" customWidth="1"/>
    <col min="2566" max="2566" width="48.7109375" style="220" customWidth="1"/>
    <col min="2567" max="2567" width="8.140625" style="220" customWidth="1"/>
    <col min="2568" max="2568" width="38.7109375" style="220" customWidth="1"/>
    <col min="2569" max="2569" width="21.140625" style="220" customWidth="1"/>
    <col min="2570" max="2570" width="82" style="220" customWidth="1"/>
    <col min="2571" max="2814" width="9.140625" style="220"/>
    <col min="2815" max="2815" width="70.28515625" style="220" customWidth="1"/>
    <col min="2816" max="2816" width="17.5703125" style="220" customWidth="1"/>
    <col min="2817" max="2817" width="70.28515625" style="220" customWidth="1"/>
    <col min="2818" max="2818" width="17.5703125" style="220" customWidth="1"/>
    <col min="2819" max="2819" width="15.28515625" style="220" customWidth="1"/>
    <col min="2820" max="2820" width="48.7109375" style="220" customWidth="1"/>
    <col min="2821" max="2821" width="24.5703125" style="220" customWidth="1"/>
    <col min="2822" max="2822" width="48.7109375" style="220" customWidth="1"/>
    <col min="2823" max="2823" width="8.140625" style="220" customWidth="1"/>
    <col min="2824" max="2824" width="38.7109375" style="220" customWidth="1"/>
    <col min="2825" max="2825" width="21.140625" style="220" customWidth="1"/>
    <col min="2826" max="2826" width="82" style="220" customWidth="1"/>
    <col min="2827" max="3070" width="9.140625" style="220"/>
    <col min="3071" max="3071" width="70.28515625" style="220" customWidth="1"/>
    <col min="3072" max="3072" width="17.5703125" style="220" customWidth="1"/>
    <col min="3073" max="3073" width="70.28515625" style="220" customWidth="1"/>
    <col min="3074" max="3074" width="17.5703125" style="220" customWidth="1"/>
    <col min="3075" max="3075" width="15.28515625" style="220" customWidth="1"/>
    <col min="3076" max="3076" width="48.7109375" style="220" customWidth="1"/>
    <col min="3077" max="3077" width="24.5703125" style="220" customWidth="1"/>
    <col min="3078" max="3078" width="48.7109375" style="220" customWidth="1"/>
    <col min="3079" max="3079" width="8.140625" style="220" customWidth="1"/>
    <col min="3080" max="3080" width="38.7109375" style="220" customWidth="1"/>
    <col min="3081" max="3081" width="21.140625" style="220" customWidth="1"/>
    <col min="3082" max="3082" width="82" style="220" customWidth="1"/>
    <col min="3083" max="3326" width="9.140625" style="220"/>
    <col min="3327" max="3327" width="70.28515625" style="220" customWidth="1"/>
    <col min="3328" max="3328" width="17.5703125" style="220" customWidth="1"/>
    <col min="3329" max="3329" width="70.28515625" style="220" customWidth="1"/>
    <col min="3330" max="3330" width="17.5703125" style="220" customWidth="1"/>
    <col min="3331" max="3331" width="15.28515625" style="220" customWidth="1"/>
    <col min="3332" max="3332" width="48.7109375" style="220" customWidth="1"/>
    <col min="3333" max="3333" width="24.5703125" style="220" customWidth="1"/>
    <col min="3334" max="3334" width="48.7109375" style="220" customWidth="1"/>
    <col min="3335" max="3335" width="8.140625" style="220" customWidth="1"/>
    <col min="3336" max="3336" width="38.7109375" style="220" customWidth="1"/>
    <col min="3337" max="3337" width="21.140625" style="220" customWidth="1"/>
    <col min="3338" max="3338" width="82" style="220" customWidth="1"/>
    <col min="3339" max="3582" width="9.140625" style="220"/>
    <col min="3583" max="3583" width="70.28515625" style="220" customWidth="1"/>
    <col min="3584" max="3584" width="17.5703125" style="220" customWidth="1"/>
    <col min="3585" max="3585" width="70.28515625" style="220" customWidth="1"/>
    <col min="3586" max="3586" width="17.5703125" style="220" customWidth="1"/>
    <col min="3587" max="3587" width="15.28515625" style="220" customWidth="1"/>
    <col min="3588" max="3588" width="48.7109375" style="220" customWidth="1"/>
    <col min="3589" max="3589" width="24.5703125" style="220" customWidth="1"/>
    <col min="3590" max="3590" width="48.7109375" style="220" customWidth="1"/>
    <col min="3591" max="3591" width="8.140625" style="220" customWidth="1"/>
    <col min="3592" max="3592" width="38.7109375" style="220" customWidth="1"/>
    <col min="3593" max="3593" width="21.140625" style="220" customWidth="1"/>
    <col min="3594" max="3594" width="82" style="220" customWidth="1"/>
    <col min="3595" max="3838" width="9.140625" style="220"/>
    <col min="3839" max="3839" width="70.28515625" style="220" customWidth="1"/>
    <col min="3840" max="3840" width="17.5703125" style="220" customWidth="1"/>
    <col min="3841" max="3841" width="70.28515625" style="220" customWidth="1"/>
    <col min="3842" max="3842" width="17.5703125" style="220" customWidth="1"/>
    <col min="3843" max="3843" width="15.28515625" style="220" customWidth="1"/>
    <col min="3844" max="3844" width="48.7109375" style="220" customWidth="1"/>
    <col min="3845" max="3845" width="24.5703125" style="220" customWidth="1"/>
    <col min="3846" max="3846" width="48.7109375" style="220" customWidth="1"/>
    <col min="3847" max="3847" width="8.140625" style="220" customWidth="1"/>
    <col min="3848" max="3848" width="38.7109375" style="220" customWidth="1"/>
    <col min="3849" max="3849" width="21.140625" style="220" customWidth="1"/>
    <col min="3850" max="3850" width="82" style="220" customWidth="1"/>
    <col min="3851" max="4094" width="9.140625" style="220"/>
    <col min="4095" max="4095" width="70.28515625" style="220" customWidth="1"/>
    <col min="4096" max="4096" width="17.5703125" style="220" customWidth="1"/>
    <col min="4097" max="4097" width="70.28515625" style="220" customWidth="1"/>
    <col min="4098" max="4098" width="17.5703125" style="220" customWidth="1"/>
    <col min="4099" max="4099" width="15.28515625" style="220" customWidth="1"/>
    <col min="4100" max="4100" width="48.7109375" style="220" customWidth="1"/>
    <col min="4101" max="4101" width="24.5703125" style="220" customWidth="1"/>
    <col min="4102" max="4102" width="48.7109375" style="220" customWidth="1"/>
    <col min="4103" max="4103" width="8.140625" style="220" customWidth="1"/>
    <col min="4104" max="4104" width="38.7109375" style="220" customWidth="1"/>
    <col min="4105" max="4105" width="21.140625" style="220" customWidth="1"/>
    <col min="4106" max="4106" width="82" style="220" customWidth="1"/>
    <col min="4107" max="4350" width="9.140625" style="220"/>
    <col min="4351" max="4351" width="70.28515625" style="220" customWidth="1"/>
    <col min="4352" max="4352" width="17.5703125" style="220" customWidth="1"/>
    <col min="4353" max="4353" width="70.28515625" style="220" customWidth="1"/>
    <col min="4354" max="4354" width="17.5703125" style="220" customWidth="1"/>
    <col min="4355" max="4355" width="15.28515625" style="220" customWidth="1"/>
    <col min="4356" max="4356" width="48.7109375" style="220" customWidth="1"/>
    <col min="4357" max="4357" width="24.5703125" style="220" customWidth="1"/>
    <col min="4358" max="4358" width="48.7109375" style="220" customWidth="1"/>
    <col min="4359" max="4359" width="8.140625" style="220" customWidth="1"/>
    <col min="4360" max="4360" width="38.7109375" style="220" customWidth="1"/>
    <col min="4361" max="4361" width="21.140625" style="220" customWidth="1"/>
    <col min="4362" max="4362" width="82" style="220" customWidth="1"/>
    <col min="4363" max="4606" width="9.140625" style="220"/>
    <col min="4607" max="4607" width="70.28515625" style="220" customWidth="1"/>
    <col min="4608" max="4608" width="17.5703125" style="220" customWidth="1"/>
    <col min="4609" max="4609" width="70.28515625" style="220" customWidth="1"/>
    <col min="4610" max="4610" width="17.5703125" style="220" customWidth="1"/>
    <col min="4611" max="4611" width="15.28515625" style="220" customWidth="1"/>
    <col min="4612" max="4612" width="48.7109375" style="220" customWidth="1"/>
    <col min="4613" max="4613" width="24.5703125" style="220" customWidth="1"/>
    <col min="4614" max="4614" width="48.7109375" style="220" customWidth="1"/>
    <col min="4615" max="4615" width="8.140625" style="220" customWidth="1"/>
    <col min="4616" max="4616" width="38.7109375" style="220" customWidth="1"/>
    <col min="4617" max="4617" width="21.140625" style="220" customWidth="1"/>
    <col min="4618" max="4618" width="82" style="220" customWidth="1"/>
    <col min="4619" max="4862" width="9.140625" style="220"/>
    <col min="4863" max="4863" width="70.28515625" style="220" customWidth="1"/>
    <col min="4864" max="4864" width="17.5703125" style="220" customWidth="1"/>
    <col min="4865" max="4865" width="70.28515625" style="220" customWidth="1"/>
    <col min="4866" max="4866" width="17.5703125" style="220" customWidth="1"/>
    <col min="4867" max="4867" width="15.28515625" style="220" customWidth="1"/>
    <col min="4868" max="4868" width="48.7109375" style="220" customWidth="1"/>
    <col min="4869" max="4869" width="24.5703125" style="220" customWidth="1"/>
    <col min="4870" max="4870" width="48.7109375" style="220" customWidth="1"/>
    <col min="4871" max="4871" width="8.140625" style="220" customWidth="1"/>
    <col min="4872" max="4872" width="38.7109375" style="220" customWidth="1"/>
    <col min="4873" max="4873" width="21.140625" style="220" customWidth="1"/>
    <col min="4874" max="4874" width="82" style="220" customWidth="1"/>
    <col min="4875" max="5118" width="9.140625" style="220"/>
    <col min="5119" max="5119" width="70.28515625" style="220" customWidth="1"/>
    <col min="5120" max="5120" width="17.5703125" style="220" customWidth="1"/>
    <col min="5121" max="5121" width="70.28515625" style="220" customWidth="1"/>
    <col min="5122" max="5122" width="17.5703125" style="220" customWidth="1"/>
    <col min="5123" max="5123" width="15.28515625" style="220" customWidth="1"/>
    <col min="5124" max="5124" width="48.7109375" style="220" customWidth="1"/>
    <col min="5125" max="5125" width="24.5703125" style="220" customWidth="1"/>
    <col min="5126" max="5126" width="48.7109375" style="220" customWidth="1"/>
    <col min="5127" max="5127" width="8.140625" style="220" customWidth="1"/>
    <col min="5128" max="5128" width="38.7109375" style="220" customWidth="1"/>
    <col min="5129" max="5129" width="21.140625" style="220" customWidth="1"/>
    <col min="5130" max="5130" width="82" style="220" customWidth="1"/>
    <col min="5131" max="5374" width="9.140625" style="220"/>
    <col min="5375" max="5375" width="70.28515625" style="220" customWidth="1"/>
    <col min="5376" max="5376" width="17.5703125" style="220" customWidth="1"/>
    <col min="5377" max="5377" width="70.28515625" style="220" customWidth="1"/>
    <col min="5378" max="5378" width="17.5703125" style="220" customWidth="1"/>
    <col min="5379" max="5379" width="15.28515625" style="220" customWidth="1"/>
    <col min="5380" max="5380" width="48.7109375" style="220" customWidth="1"/>
    <col min="5381" max="5381" width="24.5703125" style="220" customWidth="1"/>
    <col min="5382" max="5382" width="48.7109375" style="220" customWidth="1"/>
    <col min="5383" max="5383" width="8.140625" style="220" customWidth="1"/>
    <col min="5384" max="5384" width="38.7109375" style="220" customWidth="1"/>
    <col min="5385" max="5385" width="21.140625" style="220" customWidth="1"/>
    <col min="5386" max="5386" width="82" style="220" customWidth="1"/>
    <col min="5387" max="5630" width="9.140625" style="220"/>
    <col min="5631" max="5631" width="70.28515625" style="220" customWidth="1"/>
    <col min="5632" max="5632" width="17.5703125" style="220" customWidth="1"/>
    <col min="5633" max="5633" width="70.28515625" style="220" customWidth="1"/>
    <col min="5634" max="5634" width="17.5703125" style="220" customWidth="1"/>
    <col min="5635" max="5635" width="15.28515625" style="220" customWidth="1"/>
    <col min="5636" max="5636" width="48.7109375" style="220" customWidth="1"/>
    <col min="5637" max="5637" width="24.5703125" style="220" customWidth="1"/>
    <col min="5638" max="5638" width="48.7109375" style="220" customWidth="1"/>
    <col min="5639" max="5639" width="8.140625" style="220" customWidth="1"/>
    <col min="5640" max="5640" width="38.7109375" style="220" customWidth="1"/>
    <col min="5641" max="5641" width="21.140625" style="220" customWidth="1"/>
    <col min="5642" max="5642" width="82" style="220" customWidth="1"/>
    <col min="5643" max="5886" width="9.140625" style="220"/>
    <col min="5887" max="5887" width="70.28515625" style="220" customWidth="1"/>
    <col min="5888" max="5888" width="17.5703125" style="220" customWidth="1"/>
    <col min="5889" max="5889" width="70.28515625" style="220" customWidth="1"/>
    <col min="5890" max="5890" width="17.5703125" style="220" customWidth="1"/>
    <col min="5891" max="5891" width="15.28515625" style="220" customWidth="1"/>
    <col min="5892" max="5892" width="48.7109375" style="220" customWidth="1"/>
    <col min="5893" max="5893" width="24.5703125" style="220" customWidth="1"/>
    <col min="5894" max="5894" width="48.7109375" style="220" customWidth="1"/>
    <col min="5895" max="5895" width="8.140625" style="220" customWidth="1"/>
    <col min="5896" max="5896" width="38.7109375" style="220" customWidth="1"/>
    <col min="5897" max="5897" width="21.140625" style="220" customWidth="1"/>
    <col min="5898" max="5898" width="82" style="220" customWidth="1"/>
    <col min="5899" max="6142" width="9.140625" style="220"/>
    <col min="6143" max="6143" width="70.28515625" style="220" customWidth="1"/>
    <col min="6144" max="6144" width="17.5703125" style="220" customWidth="1"/>
    <col min="6145" max="6145" width="70.28515625" style="220" customWidth="1"/>
    <col min="6146" max="6146" width="17.5703125" style="220" customWidth="1"/>
    <col min="6147" max="6147" width="15.28515625" style="220" customWidth="1"/>
    <col min="6148" max="6148" width="48.7109375" style="220" customWidth="1"/>
    <col min="6149" max="6149" width="24.5703125" style="220" customWidth="1"/>
    <col min="6150" max="6150" width="48.7109375" style="220" customWidth="1"/>
    <col min="6151" max="6151" width="8.140625" style="220" customWidth="1"/>
    <col min="6152" max="6152" width="38.7109375" style="220" customWidth="1"/>
    <col min="6153" max="6153" width="21.140625" style="220" customWidth="1"/>
    <col min="6154" max="6154" width="82" style="220" customWidth="1"/>
    <col min="6155" max="6398" width="9.140625" style="220"/>
    <col min="6399" max="6399" width="70.28515625" style="220" customWidth="1"/>
    <col min="6400" max="6400" width="17.5703125" style="220" customWidth="1"/>
    <col min="6401" max="6401" width="70.28515625" style="220" customWidth="1"/>
    <col min="6402" max="6402" width="17.5703125" style="220" customWidth="1"/>
    <col min="6403" max="6403" width="15.28515625" style="220" customWidth="1"/>
    <col min="6404" max="6404" width="48.7109375" style="220" customWidth="1"/>
    <col min="6405" max="6405" width="24.5703125" style="220" customWidth="1"/>
    <col min="6406" max="6406" width="48.7109375" style="220" customWidth="1"/>
    <col min="6407" max="6407" width="8.140625" style="220" customWidth="1"/>
    <col min="6408" max="6408" width="38.7109375" style="220" customWidth="1"/>
    <col min="6409" max="6409" width="21.140625" style="220" customWidth="1"/>
    <col min="6410" max="6410" width="82" style="220" customWidth="1"/>
    <col min="6411" max="6654" width="9.140625" style="220"/>
    <col min="6655" max="6655" width="70.28515625" style="220" customWidth="1"/>
    <col min="6656" max="6656" width="17.5703125" style="220" customWidth="1"/>
    <col min="6657" max="6657" width="70.28515625" style="220" customWidth="1"/>
    <col min="6658" max="6658" width="17.5703125" style="220" customWidth="1"/>
    <col min="6659" max="6659" width="15.28515625" style="220" customWidth="1"/>
    <col min="6660" max="6660" width="48.7109375" style="220" customWidth="1"/>
    <col min="6661" max="6661" width="24.5703125" style="220" customWidth="1"/>
    <col min="6662" max="6662" width="48.7109375" style="220" customWidth="1"/>
    <col min="6663" max="6663" width="8.140625" style="220" customWidth="1"/>
    <col min="6664" max="6664" width="38.7109375" style="220" customWidth="1"/>
    <col min="6665" max="6665" width="21.140625" style="220" customWidth="1"/>
    <col min="6666" max="6666" width="82" style="220" customWidth="1"/>
    <col min="6667" max="6910" width="9.140625" style="220"/>
    <col min="6911" max="6911" width="70.28515625" style="220" customWidth="1"/>
    <col min="6912" max="6912" width="17.5703125" style="220" customWidth="1"/>
    <col min="6913" max="6913" width="70.28515625" style="220" customWidth="1"/>
    <col min="6914" max="6914" width="17.5703125" style="220" customWidth="1"/>
    <col min="6915" max="6915" width="15.28515625" style="220" customWidth="1"/>
    <col min="6916" max="6916" width="48.7109375" style="220" customWidth="1"/>
    <col min="6917" max="6917" width="24.5703125" style="220" customWidth="1"/>
    <col min="6918" max="6918" width="48.7109375" style="220" customWidth="1"/>
    <col min="6919" max="6919" width="8.140625" style="220" customWidth="1"/>
    <col min="6920" max="6920" width="38.7109375" style="220" customWidth="1"/>
    <col min="6921" max="6921" width="21.140625" style="220" customWidth="1"/>
    <col min="6922" max="6922" width="82" style="220" customWidth="1"/>
    <col min="6923" max="7166" width="9.140625" style="220"/>
    <col min="7167" max="7167" width="70.28515625" style="220" customWidth="1"/>
    <col min="7168" max="7168" width="17.5703125" style="220" customWidth="1"/>
    <col min="7169" max="7169" width="70.28515625" style="220" customWidth="1"/>
    <col min="7170" max="7170" width="17.5703125" style="220" customWidth="1"/>
    <col min="7171" max="7171" width="15.28515625" style="220" customWidth="1"/>
    <col min="7172" max="7172" width="48.7109375" style="220" customWidth="1"/>
    <col min="7173" max="7173" width="24.5703125" style="220" customWidth="1"/>
    <col min="7174" max="7174" width="48.7109375" style="220" customWidth="1"/>
    <col min="7175" max="7175" width="8.140625" style="220" customWidth="1"/>
    <col min="7176" max="7176" width="38.7109375" style="220" customWidth="1"/>
    <col min="7177" max="7177" width="21.140625" style="220" customWidth="1"/>
    <col min="7178" max="7178" width="82" style="220" customWidth="1"/>
    <col min="7179" max="7422" width="9.140625" style="220"/>
    <col min="7423" max="7423" width="70.28515625" style="220" customWidth="1"/>
    <col min="7424" max="7424" width="17.5703125" style="220" customWidth="1"/>
    <col min="7425" max="7425" width="70.28515625" style="220" customWidth="1"/>
    <col min="7426" max="7426" width="17.5703125" style="220" customWidth="1"/>
    <col min="7427" max="7427" width="15.28515625" style="220" customWidth="1"/>
    <col min="7428" max="7428" width="48.7109375" style="220" customWidth="1"/>
    <col min="7429" max="7429" width="24.5703125" style="220" customWidth="1"/>
    <col min="7430" max="7430" width="48.7109375" style="220" customWidth="1"/>
    <col min="7431" max="7431" width="8.140625" style="220" customWidth="1"/>
    <col min="7432" max="7432" width="38.7109375" style="220" customWidth="1"/>
    <col min="7433" max="7433" width="21.140625" style="220" customWidth="1"/>
    <col min="7434" max="7434" width="82" style="220" customWidth="1"/>
    <col min="7435" max="7678" width="9.140625" style="220"/>
    <col min="7679" max="7679" width="70.28515625" style="220" customWidth="1"/>
    <col min="7680" max="7680" width="17.5703125" style="220" customWidth="1"/>
    <col min="7681" max="7681" width="70.28515625" style="220" customWidth="1"/>
    <col min="7682" max="7682" width="17.5703125" style="220" customWidth="1"/>
    <col min="7683" max="7683" width="15.28515625" style="220" customWidth="1"/>
    <col min="7684" max="7684" width="48.7109375" style="220" customWidth="1"/>
    <col min="7685" max="7685" width="24.5703125" style="220" customWidth="1"/>
    <col min="7686" max="7686" width="48.7109375" style="220" customWidth="1"/>
    <col min="7687" max="7687" width="8.140625" style="220" customWidth="1"/>
    <col min="7688" max="7688" width="38.7109375" style="220" customWidth="1"/>
    <col min="7689" max="7689" width="21.140625" style="220" customWidth="1"/>
    <col min="7690" max="7690" width="82" style="220" customWidth="1"/>
    <col min="7691" max="7934" width="9.140625" style="220"/>
    <col min="7935" max="7935" width="70.28515625" style="220" customWidth="1"/>
    <col min="7936" max="7936" width="17.5703125" style="220" customWidth="1"/>
    <col min="7937" max="7937" width="70.28515625" style="220" customWidth="1"/>
    <col min="7938" max="7938" width="17.5703125" style="220" customWidth="1"/>
    <col min="7939" max="7939" width="15.28515625" style="220" customWidth="1"/>
    <col min="7940" max="7940" width="48.7109375" style="220" customWidth="1"/>
    <col min="7941" max="7941" width="24.5703125" style="220" customWidth="1"/>
    <col min="7942" max="7942" width="48.7109375" style="220" customWidth="1"/>
    <col min="7943" max="7943" width="8.140625" style="220" customWidth="1"/>
    <col min="7944" max="7944" width="38.7109375" style="220" customWidth="1"/>
    <col min="7945" max="7945" width="21.140625" style="220" customWidth="1"/>
    <col min="7946" max="7946" width="82" style="220" customWidth="1"/>
    <col min="7947" max="8190" width="9.140625" style="220"/>
    <col min="8191" max="8191" width="70.28515625" style="220" customWidth="1"/>
    <col min="8192" max="8192" width="17.5703125" style="220" customWidth="1"/>
    <col min="8193" max="8193" width="70.28515625" style="220" customWidth="1"/>
    <col min="8194" max="8194" width="17.5703125" style="220" customWidth="1"/>
    <col min="8195" max="8195" width="15.28515625" style="220" customWidth="1"/>
    <col min="8196" max="8196" width="48.7109375" style="220" customWidth="1"/>
    <col min="8197" max="8197" width="24.5703125" style="220" customWidth="1"/>
    <col min="8198" max="8198" width="48.7109375" style="220" customWidth="1"/>
    <col min="8199" max="8199" width="8.140625" style="220" customWidth="1"/>
    <col min="8200" max="8200" width="38.7109375" style="220" customWidth="1"/>
    <col min="8201" max="8201" width="21.140625" style="220" customWidth="1"/>
    <col min="8202" max="8202" width="82" style="220" customWidth="1"/>
    <col min="8203" max="8446" width="9.140625" style="220"/>
    <col min="8447" max="8447" width="70.28515625" style="220" customWidth="1"/>
    <col min="8448" max="8448" width="17.5703125" style="220" customWidth="1"/>
    <col min="8449" max="8449" width="70.28515625" style="220" customWidth="1"/>
    <col min="8450" max="8450" width="17.5703125" style="220" customWidth="1"/>
    <col min="8451" max="8451" width="15.28515625" style="220" customWidth="1"/>
    <col min="8452" max="8452" width="48.7109375" style="220" customWidth="1"/>
    <col min="8453" max="8453" width="24.5703125" style="220" customWidth="1"/>
    <col min="8454" max="8454" width="48.7109375" style="220" customWidth="1"/>
    <col min="8455" max="8455" width="8.140625" style="220" customWidth="1"/>
    <col min="8456" max="8456" width="38.7109375" style="220" customWidth="1"/>
    <col min="8457" max="8457" width="21.140625" style="220" customWidth="1"/>
    <col min="8458" max="8458" width="82" style="220" customWidth="1"/>
    <col min="8459" max="8702" width="9.140625" style="220"/>
    <col min="8703" max="8703" width="70.28515625" style="220" customWidth="1"/>
    <col min="8704" max="8704" width="17.5703125" style="220" customWidth="1"/>
    <col min="8705" max="8705" width="70.28515625" style="220" customWidth="1"/>
    <col min="8706" max="8706" width="17.5703125" style="220" customWidth="1"/>
    <col min="8707" max="8707" width="15.28515625" style="220" customWidth="1"/>
    <col min="8708" max="8708" width="48.7109375" style="220" customWidth="1"/>
    <col min="8709" max="8709" width="24.5703125" style="220" customWidth="1"/>
    <col min="8710" max="8710" width="48.7109375" style="220" customWidth="1"/>
    <col min="8711" max="8711" width="8.140625" style="220" customWidth="1"/>
    <col min="8712" max="8712" width="38.7109375" style="220" customWidth="1"/>
    <col min="8713" max="8713" width="21.140625" style="220" customWidth="1"/>
    <col min="8714" max="8714" width="82" style="220" customWidth="1"/>
    <col min="8715" max="8958" width="9.140625" style="220"/>
    <col min="8959" max="8959" width="70.28515625" style="220" customWidth="1"/>
    <col min="8960" max="8960" width="17.5703125" style="220" customWidth="1"/>
    <col min="8961" max="8961" width="70.28515625" style="220" customWidth="1"/>
    <col min="8962" max="8962" width="17.5703125" style="220" customWidth="1"/>
    <col min="8963" max="8963" width="15.28515625" style="220" customWidth="1"/>
    <col min="8964" max="8964" width="48.7109375" style="220" customWidth="1"/>
    <col min="8965" max="8965" width="24.5703125" style="220" customWidth="1"/>
    <col min="8966" max="8966" width="48.7109375" style="220" customWidth="1"/>
    <col min="8967" max="8967" width="8.140625" style="220" customWidth="1"/>
    <col min="8968" max="8968" width="38.7109375" style="220" customWidth="1"/>
    <col min="8969" max="8969" width="21.140625" style="220" customWidth="1"/>
    <col min="8970" max="8970" width="82" style="220" customWidth="1"/>
    <col min="8971" max="9214" width="9.140625" style="220"/>
    <col min="9215" max="9215" width="70.28515625" style="220" customWidth="1"/>
    <col min="9216" max="9216" width="17.5703125" style="220" customWidth="1"/>
    <col min="9217" max="9217" width="70.28515625" style="220" customWidth="1"/>
    <col min="9218" max="9218" width="17.5703125" style="220" customWidth="1"/>
    <col min="9219" max="9219" width="15.28515625" style="220" customWidth="1"/>
    <col min="9220" max="9220" width="48.7109375" style="220" customWidth="1"/>
    <col min="9221" max="9221" width="24.5703125" style="220" customWidth="1"/>
    <col min="9222" max="9222" width="48.7109375" style="220" customWidth="1"/>
    <col min="9223" max="9223" width="8.140625" style="220" customWidth="1"/>
    <col min="9224" max="9224" width="38.7109375" style="220" customWidth="1"/>
    <col min="9225" max="9225" width="21.140625" style="220" customWidth="1"/>
    <col min="9226" max="9226" width="82" style="220" customWidth="1"/>
    <col min="9227" max="9470" width="9.140625" style="220"/>
    <col min="9471" max="9471" width="70.28515625" style="220" customWidth="1"/>
    <col min="9472" max="9472" width="17.5703125" style="220" customWidth="1"/>
    <col min="9473" max="9473" width="70.28515625" style="220" customWidth="1"/>
    <col min="9474" max="9474" width="17.5703125" style="220" customWidth="1"/>
    <col min="9475" max="9475" width="15.28515625" style="220" customWidth="1"/>
    <col min="9476" max="9476" width="48.7109375" style="220" customWidth="1"/>
    <col min="9477" max="9477" width="24.5703125" style="220" customWidth="1"/>
    <col min="9478" max="9478" width="48.7109375" style="220" customWidth="1"/>
    <col min="9479" max="9479" width="8.140625" style="220" customWidth="1"/>
    <col min="9480" max="9480" width="38.7109375" style="220" customWidth="1"/>
    <col min="9481" max="9481" width="21.140625" style="220" customWidth="1"/>
    <col min="9482" max="9482" width="82" style="220" customWidth="1"/>
    <col min="9483" max="9726" width="9.140625" style="220"/>
    <col min="9727" max="9727" width="70.28515625" style="220" customWidth="1"/>
    <col min="9728" max="9728" width="17.5703125" style="220" customWidth="1"/>
    <col min="9729" max="9729" width="70.28515625" style="220" customWidth="1"/>
    <col min="9730" max="9730" width="17.5703125" style="220" customWidth="1"/>
    <col min="9731" max="9731" width="15.28515625" style="220" customWidth="1"/>
    <col min="9732" max="9732" width="48.7109375" style="220" customWidth="1"/>
    <col min="9733" max="9733" width="24.5703125" style="220" customWidth="1"/>
    <col min="9734" max="9734" width="48.7109375" style="220" customWidth="1"/>
    <col min="9735" max="9735" width="8.140625" style="220" customWidth="1"/>
    <col min="9736" max="9736" width="38.7109375" style="220" customWidth="1"/>
    <col min="9737" max="9737" width="21.140625" style="220" customWidth="1"/>
    <col min="9738" max="9738" width="82" style="220" customWidth="1"/>
    <col min="9739" max="9982" width="9.140625" style="220"/>
    <col min="9983" max="9983" width="70.28515625" style="220" customWidth="1"/>
    <col min="9984" max="9984" width="17.5703125" style="220" customWidth="1"/>
    <col min="9985" max="9985" width="70.28515625" style="220" customWidth="1"/>
    <col min="9986" max="9986" width="17.5703125" style="220" customWidth="1"/>
    <col min="9987" max="9987" width="15.28515625" style="220" customWidth="1"/>
    <col min="9988" max="9988" width="48.7109375" style="220" customWidth="1"/>
    <col min="9989" max="9989" width="24.5703125" style="220" customWidth="1"/>
    <col min="9990" max="9990" width="48.7109375" style="220" customWidth="1"/>
    <col min="9991" max="9991" width="8.140625" style="220" customWidth="1"/>
    <col min="9992" max="9992" width="38.7109375" style="220" customWidth="1"/>
    <col min="9993" max="9993" width="21.140625" style="220" customWidth="1"/>
    <col min="9994" max="9994" width="82" style="220" customWidth="1"/>
    <col min="9995" max="10238" width="9.140625" style="220"/>
    <col min="10239" max="10239" width="70.28515625" style="220" customWidth="1"/>
    <col min="10240" max="10240" width="17.5703125" style="220" customWidth="1"/>
    <col min="10241" max="10241" width="70.28515625" style="220" customWidth="1"/>
    <col min="10242" max="10242" width="17.5703125" style="220" customWidth="1"/>
    <col min="10243" max="10243" width="15.28515625" style="220" customWidth="1"/>
    <col min="10244" max="10244" width="48.7109375" style="220" customWidth="1"/>
    <col min="10245" max="10245" width="24.5703125" style="220" customWidth="1"/>
    <col min="10246" max="10246" width="48.7109375" style="220" customWidth="1"/>
    <col min="10247" max="10247" width="8.140625" style="220" customWidth="1"/>
    <col min="10248" max="10248" width="38.7109375" style="220" customWidth="1"/>
    <col min="10249" max="10249" width="21.140625" style="220" customWidth="1"/>
    <col min="10250" max="10250" width="82" style="220" customWidth="1"/>
    <col min="10251" max="10494" width="9.140625" style="220"/>
    <col min="10495" max="10495" width="70.28515625" style="220" customWidth="1"/>
    <col min="10496" max="10496" width="17.5703125" style="220" customWidth="1"/>
    <col min="10497" max="10497" width="70.28515625" style="220" customWidth="1"/>
    <col min="10498" max="10498" width="17.5703125" style="220" customWidth="1"/>
    <col min="10499" max="10499" width="15.28515625" style="220" customWidth="1"/>
    <col min="10500" max="10500" width="48.7109375" style="220" customWidth="1"/>
    <col min="10501" max="10501" width="24.5703125" style="220" customWidth="1"/>
    <col min="10502" max="10502" width="48.7109375" style="220" customWidth="1"/>
    <col min="10503" max="10503" width="8.140625" style="220" customWidth="1"/>
    <col min="10504" max="10504" width="38.7109375" style="220" customWidth="1"/>
    <col min="10505" max="10505" width="21.140625" style="220" customWidth="1"/>
    <col min="10506" max="10506" width="82" style="220" customWidth="1"/>
    <col min="10507" max="10750" width="9.140625" style="220"/>
    <col min="10751" max="10751" width="70.28515625" style="220" customWidth="1"/>
    <col min="10752" max="10752" width="17.5703125" style="220" customWidth="1"/>
    <col min="10753" max="10753" width="70.28515625" style="220" customWidth="1"/>
    <col min="10754" max="10754" width="17.5703125" style="220" customWidth="1"/>
    <col min="10755" max="10755" width="15.28515625" style="220" customWidth="1"/>
    <col min="10756" max="10756" width="48.7109375" style="220" customWidth="1"/>
    <col min="10757" max="10757" width="24.5703125" style="220" customWidth="1"/>
    <col min="10758" max="10758" width="48.7109375" style="220" customWidth="1"/>
    <col min="10759" max="10759" width="8.140625" style="220" customWidth="1"/>
    <col min="10760" max="10760" width="38.7109375" style="220" customWidth="1"/>
    <col min="10761" max="10761" width="21.140625" style="220" customWidth="1"/>
    <col min="10762" max="10762" width="82" style="220" customWidth="1"/>
    <col min="10763" max="11006" width="9.140625" style="220"/>
    <col min="11007" max="11007" width="70.28515625" style="220" customWidth="1"/>
    <col min="11008" max="11008" width="17.5703125" style="220" customWidth="1"/>
    <col min="11009" max="11009" width="70.28515625" style="220" customWidth="1"/>
    <col min="11010" max="11010" width="17.5703125" style="220" customWidth="1"/>
    <col min="11011" max="11011" width="15.28515625" style="220" customWidth="1"/>
    <col min="11012" max="11012" width="48.7109375" style="220" customWidth="1"/>
    <col min="11013" max="11013" width="24.5703125" style="220" customWidth="1"/>
    <col min="11014" max="11014" width="48.7109375" style="220" customWidth="1"/>
    <col min="11015" max="11015" width="8.140625" style="220" customWidth="1"/>
    <col min="11016" max="11016" width="38.7109375" style="220" customWidth="1"/>
    <col min="11017" max="11017" width="21.140625" style="220" customWidth="1"/>
    <col min="11018" max="11018" width="82" style="220" customWidth="1"/>
    <col min="11019" max="11262" width="9.140625" style="220"/>
    <col min="11263" max="11263" width="70.28515625" style="220" customWidth="1"/>
    <col min="11264" max="11264" width="17.5703125" style="220" customWidth="1"/>
    <col min="11265" max="11265" width="70.28515625" style="220" customWidth="1"/>
    <col min="11266" max="11266" width="17.5703125" style="220" customWidth="1"/>
    <col min="11267" max="11267" width="15.28515625" style="220" customWidth="1"/>
    <col min="11268" max="11268" width="48.7109375" style="220" customWidth="1"/>
    <col min="11269" max="11269" width="24.5703125" style="220" customWidth="1"/>
    <col min="11270" max="11270" width="48.7109375" style="220" customWidth="1"/>
    <col min="11271" max="11271" width="8.140625" style="220" customWidth="1"/>
    <col min="11272" max="11272" width="38.7109375" style="220" customWidth="1"/>
    <col min="11273" max="11273" width="21.140625" style="220" customWidth="1"/>
    <col min="11274" max="11274" width="82" style="220" customWidth="1"/>
    <col min="11275" max="11518" width="9.140625" style="220"/>
    <col min="11519" max="11519" width="70.28515625" style="220" customWidth="1"/>
    <col min="11520" max="11520" width="17.5703125" style="220" customWidth="1"/>
    <col min="11521" max="11521" width="70.28515625" style="220" customWidth="1"/>
    <col min="11522" max="11522" width="17.5703125" style="220" customWidth="1"/>
    <col min="11523" max="11523" width="15.28515625" style="220" customWidth="1"/>
    <col min="11524" max="11524" width="48.7109375" style="220" customWidth="1"/>
    <col min="11525" max="11525" width="24.5703125" style="220" customWidth="1"/>
    <col min="11526" max="11526" width="48.7109375" style="220" customWidth="1"/>
    <col min="11527" max="11527" width="8.140625" style="220" customWidth="1"/>
    <col min="11528" max="11528" width="38.7109375" style="220" customWidth="1"/>
    <col min="11529" max="11529" width="21.140625" style="220" customWidth="1"/>
    <col min="11530" max="11530" width="82" style="220" customWidth="1"/>
    <col min="11531" max="11774" width="9.140625" style="220"/>
    <col min="11775" max="11775" width="70.28515625" style="220" customWidth="1"/>
    <col min="11776" max="11776" width="17.5703125" style="220" customWidth="1"/>
    <col min="11777" max="11777" width="70.28515625" style="220" customWidth="1"/>
    <col min="11778" max="11778" width="17.5703125" style="220" customWidth="1"/>
    <col min="11779" max="11779" width="15.28515625" style="220" customWidth="1"/>
    <col min="11780" max="11780" width="48.7109375" style="220" customWidth="1"/>
    <col min="11781" max="11781" width="24.5703125" style="220" customWidth="1"/>
    <col min="11782" max="11782" width="48.7109375" style="220" customWidth="1"/>
    <col min="11783" max="11783" width="8.140625" style="220" customWidth="1"/>
    <col min="11784" max="11784" width="38.7109375" style="220" customWidth="1"/>
    <col min="11785" max="11785" width="21.140625" style="220" customWidth="1"/>
    <col min="11786" max="11786" width="82" style="220" customWidth="1"/>
    <col min="11787" max="12030" width="9.140625" style="220"/>
    <col min="12031" max="12031" width="70.28515625" style="220" customWidth="1"/>
    <col min="12032" max="12032" width="17.5703125" style="220" customWidth="1"/>
    <col min="12033" max="12033" width="70.28515625" style="220" customWidth="1"/>
    <col min="12034" max="12034" width="17.5703125" style="220" customWidth="1"/>
    <col min="12035" max="12035" width="15.28515625" style="220" customWidth="1"/>
    <col min="12036" max="12036" width="48.7109375" style="220" customWidth="1"/>
    <col min="12037" max="12037" width="24.5703125" style="220" customWidth="1"/>
    <col min="12038" max="12038" width="48.7109375" style="220" customWidth="1"/>
    <col min="12039" max="12039" width="8.140625" style="220" customWidth="1"/>
    <col min="12040" max="12040" width="38.7109375" style="220" customWidth="1"/>
    <col min="12041" max="12041" width="21.140625" style="220" customWidth="1"/>
    <col min="12042" max="12042" width="82" style="220" customWidth="1"/>
    <col min="12043" max="12286" width="9.140625" style="220"/>
    <col min="12287" max="12287" width="70.28515625" style="220" customWidth="1"/>
    <col min="12288" max="12288" width="17.5703125" style="220" customWidth="1"/>
    <col min="12289" max="12289" width="70.28515625" style="220" customWidth="1"/>
    <col min="12290" max="12290" width="17.5703125" style="220" customWidth="1"/>
    <col min="12291" max="12291" width="15.28515625" style="220" customWidth="1"/>
    <col min="12292" max="12292" width="48.7109375" style="220" customWidth="1"/>
    <col min="12293" max="12293" width="24.5703125" style="220" customWidth="1"/>
    <col min="12294" max="12294" width="48.7109375" style="220" customWidth="1"/>
    <col min="12295" max="12295" width="8.140625" style="220" customWidth="1"/>
    <col min="12296" max="12296" width="38.7109375" style="220" customWidth="1"/>
    <col min="12297" max="12297" width="21.140625" style="220" customWidth="1"/>
    <col min="12298" max="12298" width="82" style="220" customWidth="1"/>
    <col min="12299" max="12542" width="9.140625" style="220"/>
    <col min="12543" max="12543" width="70.28515625" style="220" customWidth="1"/>
    <col min="12544" max="12544" width="17.5703125" style="220" customWidth="1"/>
    <col min="12545" max="12545" width="70.28515625" style="220" customWidth="1"/>
    <col min="12546" max="12546" width="17.5703125" style="220" customWidth="1"/>
    <col min="12547" max="12547" width="15.28515625" style="220" customWidth="1"/>
    <col min="12548" max="12548" width="48.7109375" style="220" customWidth="1"/>
    <col min="12549" max="12549" width="24.5703125" style="220" customWidth="1"/>
    <col min="12550" max="12550" width="48.7109375" style="220" customWidth="1"/>
    <col min="12551" max="12551" width="8.140625" style="220" customWidth="1"/>
    <col min="12552" max="12552" width="38.7109375" style="220" customWidth="1"/>
    <col min="12553" max="12553" width="21.140625" style="220" customWidth="1"/>
    <col min="12554" max="12554" width="82" style="220" customWidth="1"/>
    <col min="12555" max="12798" width="9.140625" style="220"/>
    <col min="12799" max="12799" width="70.28515625" style="220" customWidth="1"/>
    <col min="12800" max="12800" width="17.5703125" style="220" customWidth="1"/>
    <col min="12801" max="12801" width="70.28515625" style="220" customWidth="1"/>
    <col min="12802" max="12802" width="17.5703125" style="220" customWidth="1"/>
    <col min="12803" max="12803" width="15.28515625" style="220" customWidth="1"/>
    <col min="12804" max="12804" width="48.7109375" style="220" customWidth="1"/>
    <col min="12805" max="12805" width="24.5703125" style="220" customWidth="1"/>
    <col min="12806" max="12806" width="48.7109375" style="220" customWidth="1"/>
    <col min="12807" max="12807" width="8.140625" style="220" customWidth="1"/>
    <col min="12808" max="12808" width="38.7109375" style="220" customWidth="1"/>
    <col min="12809" max="12809" width="21.140625" style="220" customWidth="1"/>
    <col min="12810" max="12810" width="82" style="220" customWidth="1"/>
    <col min="12811" max="13054" width="9.140625" style="220"/>
    <col min="13055" max="13055" width="70.28515625" style="220" customWidth="1"/>
    <col min="13056" max="13056" width="17.5703125" style="220" customWidth="1"/>
    <col min="13057" max="13057" width="70.28515625" style="220" customWidth="1"/>
    <col min="13058" max="13058" width="17.5703125" style="220" customWidth="1"/>
    <col min="13059" max="13059" width="15.28515625" style="220" customWidth="1"/>
    <col min="13060" max="13060" width="48.7109375" style="220" customWidth="1"/>
    <col min="13061" max="13061" width="24.5703125" style="220" customWidth="1"/>
    <col min="13062" max="13062" width="48.7109375" style="220" customWidth="1"/>
    <col min="13063" max="13063" width="8.140625" style="220" customWidth="1"/>
    <col min="13064" max="13064" width="38.7109375" style="220" customWidth="1"/>
    <col min="13065" max="13065" width="21.140625" style="220" customWidth="1"/>
    <col min="13066" max="13066" width="82" style="220" customWidth="1"/>
    <col min="13067" max="13310" width="9.140625" style="220"/>
    <col min="13311" max="13311" width="70.28515625" style="220" customWidth="1"/>
    <col min="13312" max="13312" width="17.5703125" style="220" customWidth="1"/>
    <col min="13313" max="13313" width="70.28515625" style="220" customWidth="1"/>
    <col min="13314" max="13314" width="17.5703125" style="220" customWidth="1"/>
    <col min="13315" max="13315" width="15.28515625" style="220" customWidth="1"/>
    <col min="13316" max="13316" width="48.7109375" style="220" customWidth="1"/>
    <col min="13317" max="13317" width="24.5703125" style="220" customWidth="1"/>
    <col min="13318" max="13318" width="48.7109375" style="220" customWidth="1"/>
    <col min="13319" max="13319" width="8.140625" style="220" customWidth="1"/>
    <col min="13320" max="13320" width="38.7109375" style="220" customWidth="1"/>
    <col min="13321" max="13321" width="21.140625" style="220" customWidth="1"/>
    <col min="13322" max="13322" width="82" style="220" customWidth="1"/>
    <col min="13323" max="13566" width="9.140625" style="220"/>
    <col min="13567" max="13567" width="70.28515625" style="220" customWidth="1"/>
    <col min="13568" max="13568" width="17.5703125" style="220" customWidth="1"/>
    <col min="13569" max="13569" width="70.28515625" style="220" customWidth="1"/>
    <col min="13570" max="13570" width="17.5703125" style="220" customWidth="1"/>
    <col min="13571" max="13571" width="15.28515625" style="220" customWidth="1"/>
    <col min="13572" max="13572" width="48.7109375" style="220" customWidth="1"/>
    <col min="13573" max="13573" width="24.5703125" style="220" customWidth="1"/>
    <col min="13574" max="13574" width="48.7109375" style="220" customWidth="1"/>
    <col min="13575" max="13575" width="8.140625" style="220" customWidth="1"/>
    <col min="13576" max="13576" width="38.7109375" style="220" customWidth="1"/>
    <col min="13577" max="13577" width="21.140625" style="220" customWidth="1"/>
    <col min="13578" max="13578" width="82" style="220" customWidth="1"/>
    <col min="13579" max="13822" width="9.140625" style="220"/>
    <col min="13823" max="13823" width="70.28515625" style="220" customWidth="1"/>
    <col min="13824" max="13824" width="17.5703125" style="220" customWidth="1"/>
    <col min="13825" max="13825" width="70.28515625" style="220" customWidth="1"/>
    <col min="13826" max="13826" width="17.5703125" style="220" customWidth="1"/>
    <col min="13827" max="13827" width="15.28515625" style="220" customWidth="1"/>
    <col min="13828" max="13828" width="48.7109375" style="220" customWidth="1"/>
    <col min="13829" max="13829" width="24.5703125" style="220" customWidth="1"/>
    <col min="13830" max="13830" width="48.7109375" style="220" customWidth="1"/>
    <col min="13831" max="13831" width="8.140625" style="220" customWidth="1"/>
    <col min="13832" max="13832" width="38.7109375" style="220" customWidth="1"/>
    <col min="13833" max="13833" width="21.140625" style="220" customWidth="1"/>
    <col min="13834" max="13834" width="82" style="220" customWidth="1"/>
    <col min="13835" max="14078" width="9.140625" style="220"/>
    <col min="14079" max="14079" width="70.28515625" style="220" customWidth="1"/>
    <col min="14080" max="14080" width="17.5703125" style="220" customWidth="1"/>
    <col min="14081" max="14081" width="70.28515625" style="220" customWidth="1"/>
    <col min="14082" max="14082" width="17.5703125" style="220" customWidth="1"/>
    <col min="14083" max="14083" width="15.28515625" style="220" customWidth="1"/>
    <col min="14084" max="14084" width="48.7109375" style="220" customWidth="1"/>
    <col min="14085" max="14085" width="24.5703125" style="220" customWidth="1"/>
    <col min="14086" max="14086" width="48.7109375" style="220" customWidth="1"/>
    <col min="14087" max="14087" width="8.140625" style="220" customWidth="1"/>
    <col min="14088" max="14088" width="38.7109375" style="220" customWidth="1"/>
    <col min="14089" max="14089" width="21.140625" style="220" customWidth="1"/>
    <col min="14090" max="14090" width="82" style="220" customWidth="1"/>
    <col min="14091" max="14334" width="9.140625" style="220"/>
    <col min="14335" max="14335" width="70.28515625" style="220" customWidth="1"/>
    <col min="14336" max="14336" width="17.5703125" style="220" customWidth="1"/>
    <col min="14337" max="14337" width="70.28515625" style="220" customWidth="1"/>
    <col min="14338" max="14338" width="17.5703125" style="220" customWidth="1"/>
    <col min="14339" max="14339" width="15.28515625" style="220" customWidth="1"/>
    <col min="14340" max="14340" width="48.7109375" style="220" customWidth="1"/>
    <col min="14341" max="14341" width="24.5703125" style="220" customWidth="1"/>
    <col min="14342" max="14342" width="48.7109375" style="220" customWidth="1"/>
    <col min="14343" max="14343" width="8.140625" style="220" customWidth="1"/>
    <col min="14344" max="14344" width="38.7109375" style="220" customWidth="1"/>
    <col min="14345" max="14345" width="21.140625" style="220" customWidth="1"/>
    <col min="14346" max="14346" width="82" style="220" customWidth="1"/>
    <col min="14347" max="14590" width="9.140625" style="220"/>
    <col min="14591" max="14591" width="70.28515625" style="220" customWidth="1"/>
    <col min="14592" max="14592" width="17.5703125" style="220" customWidth="1"/>
    <col min="14593" max="14593" width="70.28515625" style="220" customWidth="1"/>
    <col min="14594" max="14594" width="17.5703125" style="220" customWidth="1"/>
    <col min="14595" max="14595" width="15.28515625" style="220" customWidth="1"/>
    <col min="14596" max="14596" width="48.7109375" style="220" customWidth="1"/>
    <col min="14597" max="14597" width="24.5703125" style="220" customWidth="1"/>
    <col min="14598" max="14598" width="48.7109375" style="220" customWidth="1"/>
    <col min="14599" max="14599" width="8.140625" style="220" customWidth="1"/>
    <col min="14600" max="14600" width="38.7109375" style="220" customWidth="1"/>
    <col min="14601" max="14601" width="21.140625" style="220" customWidth="1"/>
    <col min="14602" max="14602" width="82" style="220" customWidth="1"/>
    <col min="14603" max="14846" width="9.140625" style="220"/>
    <col min="14847" max="14847" width="70.28515625" style="220" customWidth="1"/>
    <col min="14848" max="14848" width="17.5703125" style="220" customWidth="1"/>
    <col min="14849" max="14849" width="70.28515625" style="220" customWidth="1"/>
    <col min="14850" max="14850" width="17.5703125" style="220" customWidth="1"/>
    <col min="14851" max="14851" width="15.28515625" style="220" customWidth="1"/>
    <col min="14852" max="14852" width="48.7109375" style="220" customWidth="1"/>
    <col min="14853" max="14853" width="24.5703125" style="220" customWidth="1"/>
    <col min="14854" max="14854" width="48.7109375" style="220" customWidth="1"/>
    <col min="14855" max="14855" width="8.140625" style="220" customWidth="1"/>
    <col min="14856" max="14856" width="38.7109375" style="220" customWidth="1"/>
    <col min="14857" max="14857" width="21.140625" style="220" customWidth="1"/>
    <col min="14858" max="14858" width="82" style="220" customWidth="1"/>
    <col min="14859" max="15102" width="9.140625" style="220"/>
    <col min="15103" max="15103" width="70.28515625" style="220" customWidth="1"/>
    <col min="15104" max="15104" width="17.5703125" style="220" customWidth="1"/>
    <col min="15105" max="15105" width="70.28515625" style="220" customWidth="1"/>
    <col min="15106" max="15106" width="17.5703125" style="220" customWidth="1"/>
    <col min="15107" max="15107" width="15.28515625" style="220" customWidth="1"/>
    <col min="15108" max="15108" width="48.7109375" style="220" customWidth="1"/>
    <col min="15109" max="15109" width="24.5703125" style="220" customWidth="1"/>
    <col min="15110" max="15110" width="48.7109375" style="220" customWidth="1"/>
    <col min="15111" max="15111" width="8.140625" style="220" customWidth="1"/>
    <col min="15112" max="15112" width="38.7109375" style="220" customWidth="1"/>
    <col min="15113" max="15113" width="21.140625" style="220" customWidth="1"/>
    <col min="15114" max="15114" width="82" style="220" customWidth="1"/>
    <col min="15115" max="15358" width="9.140625" style="220"/>
    <col min="15359" max="15359" width="70.28515625" style="220" customWidth="1"/>
    <col min="15360" max="15360" width="17.5703125" style="220" customWidth="1"/>
    <col min="15361" max="15361" width="70.28515625" style="220" customWidth="1"/>
    <col min="15362" max="15362" width="17.5703125" style="220" customWidth="1"/>
    <col min="15363" max="15363" width="15.28515625" style="220" customWidth="1"/>
    <col min="15364" max="15364" width="48.7109375" style="220" customWidth="1"/>
    <col min="15365" max="15365" width="24.5703125" style="220" customWidth="1"/>
    <col min="15366" max="15366" width="48.7109375" style="220" customWidth="1"/>
    <col min="15367" max="15367" width="8.140625" style="220" customWidth="1"/>
    <col min="15368" max="15368" width="38.7109375" style="220" customWidth="1"/>
    <col min="15369" max="15369" width="21.140625" style="220" customWidth="1"/>
    <col min="15370" max="15370" width="82" style="220" customWidth="1"/>
    <col min="15371" max="15614" width="9.140625" style="220"/>
    <col min="15615" max="15615" width="70.28515625" style="220" customWidth="1"/>
    <col min="15616" max="15616" width="17.5703125" style="220" customWidth="1"/>
    <col min="15617" max="15617" width="70.28515625" style="220" customWidth="1"/>
    <col min="15618" max="15618" width="17.5703125" style="220" customWidth="1"/>
    <col min="15619" max="15619" width="15.28515625" style="220" customWidth="1"/>
    <col min="15620" max="15620" width="48.7109375" style="220" customWidth="1"/>
    <col min="15621" max="15621" width="24.5703125" style="220" customWidth="1"/>
    <col min="15622" max="15622" width="48.7109375" style="220" customWidth="1"/>
    <col min="15623" max="15623" width="8.140625" style="220" customWidth="1"/>
    <col min="15624" max="15624" width="38.7109375" style="220" customWidth="1"/>
    <col min="15625" max="15625" width="21.140625" style="220" customWidth="1"/>
    <col min="15626" max="15626" width="82" style="220" customWidth="1"/>
    <col min="15627" max="15870" width="9.140625" style="220"/>
    <col min="15871" max="15871" width="70.28515625" style="220" customWidth="1"/>
    <col min="15872" max="15872" width="17.5703125" style="220" customWidth="1"/>
    <col min="15873" max="15873" width="70.28515625" style="220" customWidth="1"/>
    <col min="15874" max="15874" width="17.5703125" style="220" customWidth="1"/>
    <col min="15875" max="15875" width="15.28515625" style="220" customWidth="1"/>
    <col min="15876" max="15876" width="48.7109375" style="220" customWidth="1"/>
    <col min="15877" max="15877" width="24.5703125" style="220" customWidth="1"/>
    <col min="15878" max="15878" width="48.7109375" style="220" customWidth="1"/>
    <col min="15879" max="15879" width="8.140625" style="220" customWidth="1"/>
    <col min="15880" max="15880" width="38.7109375" style="220" customWidth="1"/>
    <col min="15881" max="15881" width="21.140625" style="220" customWidth="1"/>
    <col min="15882" max="15882" width="82" style="220" customWidth="1"/>
    <col min="15883" max="16126" width="9.140625" style="220"/>
    <col min="16127" max="16127" width="70.28515625" style="220" customWidth="1"/>
    <col min="16128" max="16128" width="17.5703125" style="220" customWidth="1"/>
    <col min="16129" max="16129" width="70.28515625" style="220" customWidth="1"/>
    <col min="16130" max="16130" width="17.5703125" style="220" customWidth="1"/>
    <col min="16131" max="16131" width="15.28515625" style="220" customWidth="1"/>
    <col min="16132" max="16132" width="48.7109375" style="220" customWidth="1"/>
    <col min="16133" max="16133" width="24.5703125" style="220" customWidth="1"/>
    <col min="16134" max="16134" width="48.7109375" style="220" customWidth="1"/>
    <col min="16135" max="16135" width="8.140625" style="220" customWidth="1"/>
    <col min="16136" max="16136" width="38.7109375" style="220" customWidth="1"/>
    <col min="16137" max="16137" width="21.140625" style="220" customWidth="1"/>
    <col min="16138" max="16138" width="82" style="220" customWidth="1"/>
    <col min="16139" max="16384" width="9.140625" style="220"/>
  </cols>
  <sheetData>
    <row r="2" spans="1:4" x14ac:dyDescent="0.25">
      <c r="A2" s="384" t="s">
        <v>4447</v>
      </c>
      <c r="B2" s="384" t="s">
        <v>4448</v>
      </c>
      <c r="C2" s="384" t="s">
        <v>134</v>
      </c>
      <c r="D2" s="384" t="s">
        <v>4449</v>
      </c>
    </row>
    <row r="4" spans="1:4" x14ac:dyDescent="0.25">
      <c r="A4" s="384">
        <v>97141</v>
      </c>
      <c r="B4" s="384" t="s">
        <v>4450</v>
      </c>
      <c r="C4" s="384" t="s">
        <v>82</v>
      </c>
      <c r="D4" s="385" t="s">
        <v>4451</v>
      </c>
    </row>
    <row r="5" spans="1:4" x14ac:dyDescent="0.25">
      <c r="A5" s="384" t="s">
        <v>4452</v>
      </c>
      <c r="B5" s="384" t="s">
        <v>4453</v>
      </c>
      <c r="C5" s="384" t="s">
        <v>82</v>
      </c>
      <c r="D5" s="385" t="s">
        <v>4454</v>
      </c>
    </row>
    <row r="6" spans="1:4" x14ac:dyDescent="0.25">
      <c r="A6" s="384" t="s">
        <v>4455</v>
      </c>
      <c r="B6" s="384" t="s">
        <v>4456</v>
      </c>
      <c r="C6" s="384" t="s">
        <v>82</v>
      </c>
      <c r="D6" s="385" t="s">
        <v>4457</v>
      </c>
    </row>
    <row r="7" spans="1:4" x14ac:dyDescent="0.25">
      <c r="A7" s="384" t="s">
        <v>4458</v>
      </c>
      <c r="B7" s="384" t="s">
        <v>4459</v>
      </c>
      <c r="C7" s="384" t="s">
        <v>82</v>
      </c>
      <c r="D7" s="385" t="s">
        <v>4460</v>
      </c>
    </row>
    <row r="8" spans="1:4" x14ac:dyDescent="0.25">
      <c r="A8" s="384" t="s">
        <v>4461</v>
      </c>
      <c r="B8" s="384" t="s">
        <v>4462</v>
      </c>
      <c r="C8" s="384" t="s">
        <v>82</v>
      </c>
      <c r="D8" s="385" t="s">
        <v>4463</v>
      </c>
    </row>
    <row r="9" spans="1:4" x14ac:dyDescent="0.25">
      <c r="A9" s="384" t="s">
        <v>4464</v>
      </c>
      <c r="B9" s="384" t="s">
        <v>4465</v>
      </c>
      <c r="C9" s="384" t="s">
        <v>82</v>
      </c>
      <c r="D9" s="385" t="s">
        <v>4466</v>
      </c>
    </row>
    <row r="10" spans="1:4" x14ac:dyDescent="0.25">
      <c r="A10" s="384" t="s">
        <v>4467</v>
      </c>
      <c r="B10" s="384" t="s">
        <v>4468</v>
      </c>
      <c r="C10" s="384" t="s">
        <v>82</v>
      </c>
      <c r="D10" s="385" t="s">
        <v>4469</v>
      </c>
    </row>
    <row r="11" spans="1:4" x14ac:dyDescent="0.25">
      <c r="A11" s="384" t="s">
        <v>4470</v>
      </c>
      <c r="B11" s="384" t="s">
        <v>4471</v>
      </c>
      <c r="C11" s="384" t="s">
        <v>82</v>
      </c>
      <c r="D11" s="385" t="s">
        <v>4472</v>
      </c>
    </row>
    <row r="12" spans="1:4" x14ac:dyDescent="0.25">
      <c r="A12" s="384" t="s">
        <v>4473</v>
      </c>
      <c r="B12" s="384" t="s">
        <v>4474</v>
      </c>
      <c r="C12" s="384" t="s">
        <v>82</v>
      </c>
      <c r="D12" s="385" t="s">
        <v>4475</v>
      </c>
    </row>
    <row r="13" spans="1:4" x14ac:dyDescent="0.25">
      <c r="A13" s="384" t="s">
        <v>4476</v>
      </c>
      <c r="B13" s="384" t="s">
        <v>4477</v>
      </c>
      <c r="C13" s="384" t="s">
        <v>82</v>
      </c>
      <c r="D13" s="385" t="s">
        <v>4478</v>
      </c>
    </row>
    <row r="14" spans="1:4" x14ac:dyDescent="0.25">
      <c r="A14" s="384" t="s">
        <v>4479</v>
      </c>
      <c r="B14" s="384" t="s">
        <v>4480</v>
      </c>
      <c r="C14" s="384" t="s">
        <v>82</v>
      </c>
      <c r="D14" s="385" t="s">
        <v>4481</v>
      </c>
    </row>
    <row r="15" spans="1:4" x14ac:dyDescent="0.25">
      <c r="A15" s="384" t="s">
        <v>4482</v>
      </c>
      <c r="B15" s="384" t="s">
        <v>4483</v>
      </c>
      <c r="C15" s="384" t="s">
        <v>82</v>
      </c>
      <c r="D15" s="385" t="s">
        <v>4484</v>
      </c>
    </row>
    <row r="16" spans="1:4" x14ac:dyDescent="0.25">
      <c r="A16" s="384" t="s">
        <v>4485</v>
      </c>
      <c r="B16" s="384" t="s">
        <v>4486</v>
      </c>
      <c r="C16" s="384" t="s">
        <v>82</v>
      </c>
      <c r="D16" s="385" t="s">
        <v>4487</v>
      </c>
    </row>
    <row r="17" spans="1:4" x14ac:dyDescent="0.25">
      <c r="A17" s="384" t="s">
        <v>4488</v>
      </c>
      <c r="B17" s="384" t="s">
        <v>4489</v>
      </c>
      <c r="C17" s="384" t="s">
        <v>82</v>
      </c>
      <c r="D17" s="385" t="s">
        <v>4490</v>
      </c>
    </row>
    <row r="18" spans="1:4" x14ac:dyDescent="0.25">
      <c r="A18" s="384" t="s">
        <v>4491</v>
      </c>
      <c r="B18" s="384" t="s">
        <v>4492</v>
      </c>
      <c r="C18" s="384" t="s">
        <v>82</v>
      </c>
      <c r="D18" s="385" t="s">
        <v>4493</v>
      </c>
    </row>
    <row r="19" spans="1:4" x14ac:dyDescent="0.25">
      <c r="A19" s="384" t="s">
        <v>4494</v>
      </c>
      <c r="B19" s="384" t="s">
        <v>4495</v>
      </c>
      <c r="C19" s="384" t="s">
        <v>82</v>
      </c>
      <c r="D19" s="385" t="s">
        <v>4496</v>
      </c>
    </row>
    <row r="20" spans="1:4" x14ac:dyDescent="0.25">
      <c r="A20" s="384" t="s">
        <v>4497</v>
      </c>
      <c r="B20" s="384" t="s">
        <v>4498</v>
      </c>
      <c r="C20" s="384" t="s">
        <v>82</v>
      </c>
      <c r="D20" s="385" t="s">
        <v>4499</v>
      </c>
    </row>
    <row r="21" spans="1:4" x14ac:dyDescent="0.25">
      <c r="A21" s="384" t="s">
        <v>4500</v>
      </c>
      <c r="B21" s="384" t="s">
        <v>4501</v>
      </c>
      <c r="C21" s="384" t="s">
        <v>82</v>
      </c>
      <c r="D21" s="385" t="s">
        <v>4502</v>
      </c>
    </row>
    <row r="22" spans="1:4" x14ac:dyDescent="0.25">
      <c r="A22" s="384" t="s">
        <v>4503</v>
      </c>
      <c r="B22" s="384" t="s">
        <v>4504</v>
      </c>
      <c r="C22" s="384" t="s">
        <v>82</v>
      </c>
      <c r="D22" s="385" t="s">
        <v>4505</v>
      </c>
    </row>
    <row r="23" spans="1:4" x14ac:dyDescent="0.25">
      <c r="A23" s="384" t="s">
        <v>4506</v>
      </c>
      <c r="B23" s="384" t="s">
        <v>4507</v>
      </c>
      <c r="C23" s="384" t="s">
        <v>82</v>
      </c>
      <c r="D23" s="385" t="s">
        <v>4508</v>
      </c>
    </row>
    <row r="24" spans="1:4" x14ac:dyDescent="0.25">
      <c r="A24" s="384" t="s">
        <v>4509</v>
      </c>
      <c r="B24" s="384" t="s">
        <v>4510</v>
      </c>
      <c r="C24" s="384" t="s">
        <v>82</v>
      </c>
      <c r="D24" s="385" t="s">
        <v>4511</v>
      </c>
    </row>
    <row r="25" spans="1:4" x14ac:dyDescent="0.25">
      <c r="A25" s="384" t="s">
        <v>4512</v>
      </c>
      <c r="B25" s="384" t="s">
        <v>4513</v>
      </c>
      <c r="C25" s="384" t="s">
        <v>82</v>
      </c>
      <c r="D25" s="385" t="s">
        <v>4514</v>
      </c>
    </row>
    <row r="26" spans="1:4" x14ac:dyDescent="0.25">
      <c r="A26" s="384" t="s">
        <v>4515</v>
      </c>
      <c r="B26" s="384" t="s">
        <v>4516</v>
      </c>
      <c r="C26" s="384" t="s">
        <v>82</v>
      </c>
      <c r="D26" s="385" t="s">
        <v>4517</v>
      </c>
    </row>
    <row r="27" spans="1:4" x14ac:dyDescent="0.25">
      <c r="A27" s="384" t="s">
        <v>4518</v>
      </c>
      <c r="B27" s="384" t="s">
        <v>4519</v>
      </c>
      <c r="C27" s="384" t="s">
        <v>82</v>
      </c>
      <c r="D27" s="385" t="s">
        <v>4520</v>
      </c>
    </row>
    <row r="28" spans="1:4" x14ac:dyDescent="0.25">
      <c r="A28" s="384" t="s">
        <v>4521</v>
      </c>
      <c r="B28" s="384" t="s">
        <v>4522</v>
      </c>
      <c r="C28" s="384" t="s">
        <v>82</v>
      </c>
      <c r="D28" s="385" t="s">
        <v>4523</v>
      </c>
    </row>
    <row r="29" spans="1:4" x14ac:dyDescent="0.25">
      <c r="A29" s="384" t="s">
        <v>4524</v>
      </c>
      <c r="B29" s="384" t="s">
        <v>4525</v>
      </c>
      <c r="C29" s="384" t="s">
        <v>82</v>
      </c>
      <c r="D29" s="385" t="s">
        <v>4526</v>
      </c>
    </row>
    <row r="30" spans="1:4" x14ac:dyDescent="0.25">
      <c r="A30" s="384" t="s">
        <v>4527</v>
      </c>
      <c r="B30" s="384" t="s">
        <v>4528</v>
      </c>
      <c r="C30" s="384" t="s">
        <v>82</v>
      </c>
      <c r="D30" s="385" t="s">
        <v>4529</v>
      </c>
    </row>
    <row r="31" spans="1:4" x14ac:dyDescent="0.25">
      <c r="A31" s="384" t="s">
        <v>4530</v>
      </c>
      <c r="B31" s="384" t="s">
        <v>4531</v>
      </c>
      <c r="C31" s="384" t="s">
        <v>82</v>
      </c>
      <c r="D31" s="385" t="s">
        <v>4532</v>
      </c>
    </row>
    <row r="32" spans="1:4" x14ac:dyDescent="0.25">
      <c r="A32" s="384" t="s">
        <v>4533</v>
      </c>
      <c r="B32" s="384" t="s">
        <v>4534</v>
      </c>
      <c r="C32" s="384" t="s">
        <v>82</v>
      </c>
      <c r="D32" s="385" t="s">
        <v>4535</v>
      </c>
    </row>
    <row r="33" spans="1:4" x14ac:dyDescent="0.25">
      <c r="A33" s="384" t="s">
        <v>4536</v>
      </c>
      <c r="B33" s="384" t="s">
        <v>4537</v>
      </c>
      <c r="C33" s="384" t="s">
        <v>82</v>
      </c>
      <c r="D33" s="385" t="s">
        <v>4538</v>
      </c>
    </row>
    <row r="34" spans="1:4" x14ac:dyDescent="0.25">
      <c r="A34" s="384" t="s">
        <v>4539</v>
      </c>
      <c r="B34" s="384" t="s">
        <v>4540</v>
      </c>
      <c r="C34" s="384" t="s">
        <v>82</v>
      </c>
      <c r="D34" s="385" t="s">
        <v>4541</v>
      </c>
    </row>
    <row r="35" spans="1:4" x14ac:dyDescent="0.25">
      <c r="A35" s="384" t="s">
        <v>4542</v>
      </c>
      <c r="B35" s="384" t="s">
        <v>4543</v>
      </c>
      <c r="C35" s="384" t="s">
        <v>82</v>
      </c>
      <c r="D35" s="385" t="s">
        <v>4544</v>
      </c>
    </row>
    <row r="36" spans="1:4" x14ac:dyDescent="0.25">
      <c r="A36" s="384" t="s">
        <v>4545</v>
      </c>
      <c r="B36" s="384" t="s">
        <v>4546</v>
      </c>
      <c r="C36" s="384" t="s">
        <v>82</v>
      </c>
      <c r="D36" s="385" t="s">
        <v>4547</v>
      </c>
    </row>
    <row r="37" spans="1:4" x14ac:dyDescent="0.25">
      <c r="A37" s="384" t="s">
        <v>4548</v>
      </c>
      <c r="B37" s="384" t="s">
        <v>4549</v>
      </c>
      <c r="C37" s="384" t="s">
        <v>82</v>
      </c>
      <c r="D37" s="385" t="s">
        <v>4550</v>
      </c>
    </row>
    <row r="38" spans="1:4" x14ac:dyDescent="0.25">
      <c r="A38" s="384" t="s">
        <v>4551</v>
      </c>
      <c r="B38" s="384" t="s">
        <v>4552</v>
      </c>
      <c r="C38" s="384" t="s">
        <v>82</v>
      </c>
      <c r="D38" s="385" t="s">
        <v>4553</v>
      </c>
    </row>
    <row r="39" spans="1:4" x14ac:dyDescent="0.25">
      <c r="A39" s="384" t="s">
        <v>4554</v>
      </c>
      <c r="B39" s="384" t="s">
        <v>4555</v>
      </c>
      <c r="C39" s="384" t="s">
        <v>82</v>
      </c>
      <c r="D39" s="385" t="s">
        <v>4556</v>
      </c>
    </row>
    <row r="40" spans="1:4" x14ac:dyDescent="0.25">
      <c r="A40" s="384" t="s">
        <v>4557</v>
      </c>
      <c r="B40" s="384" t="s">
        <v>4558</v>
      </c>
      <c r="C40" s="384" t="s">
        <v>82</v>
      </c>
      <c r="D40" s="385" t="s">
        <v>4559</v>
      </c>
    </row>
    <row r="41" spans="1:4" x14ac:dyDescent="0.25">
      <c r="A41" s="384" t="s">
        <v>4560</v>
      </c>
      <c r="B41" s="384" t="s">
        <v>4561</v>
      </c>
      <c r="C41" s="384" t="s">
        <v>82</v>
      </c>
      <c r="D41" s="385" t="s">
        <v>4562</v>
      </c>
    </row>
    <row r="42" spans="1:4" x14ac:dyDescent="0.25">
      <c r="A42" s="384" t="s">
        <v>4563</v>
      </c>
      <c r="B42" s="384" t="s">
        <v>4564</v>
      </c>
      <c r="C42" s="384" t="s">
        <v>82</v>
      </c>
      <c r="D42" s="385" t="s">
        <v>4565</v>
      </c>
    </row>
    <row r="43" spans="1:4" x14ac:dyDescent="0.25">
      <c r="A43" s="384" t="s">
        <v>4566</v>
      </c>
      <c r="B43" s="384" t="s">
        <v>4567</v>
      </c>
      <c r="C43" s="384" t="s">
        <v>82</v>
      </c>
      <c r="D43" s="385" t="s">
        <v>4568</v>
      </c>
    </row>
    <row r="44" spans="1:4" x14ac:dyDescent="0.25">
      <c r="A44" s="384" t="s">
        <v>4569</v>
      </c>
      <c r="B44" s="384" t="s">
        <v>4570</v>
      </c>
      <c r="C44" s="384" t="s">
        <v>82</v>
      </c>
      <c r="D44" s="385" t="s">
        <v>4571</v>
      </c>
    </row>
    <row r="45" spans="1:4" x14ac:dyDescent="0.25">
      <c r="A45" s="384" t="s">
        <v>4572</v>
      </c>
      <c r="B45" s="384" t="s">
        <v>4573</v>
      </c>
      <c r="C45" s="384" t="s">
        <v>82</v>
      </c>
      <c r="D45" s="385" t="s">
        <v>4574</v>
      </c>
    </row>
    <row r="46" spans="1:4" x14ac:dyDescent="0.25">
      <c r="A46" s="384" t="s">
        <v>4575</v>
      </c>
      <c r="B46" s="384" t="s">
        <v>4576</v>
      </c>
      <c r="C46" s="384" t="s">
        <v>82</v>
      </c>
      <c r="D46" s="385" t="s">
        <v>4577</v>
      </c>
    </row>
    <row r="47" spans="1:4" x14ac:dyDescent="0.25">
      <c r="A47" s="384" t="s">
        <v>4578</v>
      </c>
      <c r="B47" s="384" t="s">
        <v>4579</v>
      </c>
      <c r="C47" s="384" t="s">
        <v>82</v>
      </c>
      <c r="D47" s="385" t="s">
        <v>4580</v>
      </c>
    </row>
    <row r="48" spans="1:4" x14ac:dyDescent="0.25">
      <c r="A48" s="384" t="s">
        <v>4581</v>
      </c>
      <c r="B48" s="384" t="s">
        <v>4582</v>
      </c>
      <c r="C48" s="384" t="s">
        <v>82</v>
      </c>
      <c r="D48" s="385" t="s">
        <v>4583</v>
      </c>
    </row>
    <row r="49" spans="1:4" x14ac:dyDescent="0.25">
      <c r="A49" s="384" t="s">
        <v>4584</v>
      </c>
      <c r="B49" s="384" t="s">
        <v>4585</v>
      </c>
      <c r="C49" s="384" t="s">
        <v>82</v>
      </c>
      <c r="D49" s="385" t="s">
        <v>4586</v>
      </c>
    </row>
    <row r="50" spans="1:4" x14ac:dyDescent="0.25">
      <c r="A50" s="384" t="s">
        <v>4587</v>
      </c>
      <c r="B50" s="384" t="s">
        <v>4588</v>
      </c>
      <c r="C50" s="384" t="s">
        <v>82</v>
      </c>
      <c r="D50" s="385" t="s">
        <v>4589</v>
      </c>
    </row>
    <row r="51" spans="1:4" x14ac:dyDescent="0.25">
      <c r="A51" s="384" t="s">
        <v>4590</v>
      </c>
      <c r="B51" s="384" t="s">
        <v>4591</v>
      </c>
      <c r="C51" s="384" t="s">
        <v>82</v>
      </c>
      <c r="D51" s="385" t="s">
        <v>4592</v>
      </c>
    </row>
    <row r="52" spans="1:4" x14ac:dyDescent="0.25">
      <c r="A52" s="384" t="s">
        <v>4593</v>
      </c>
      <c r="B52" s="384" t="s">
        <v>4594</v>
      </c>
      <c r="C52" s="384" t="s">
        <v>82</v>
      </c>
      <c r="D52" s="385" t="s">
        <v>4595</v>
      </c>
    </row>
    <row r="53" spans="1:4" x14ac:dyDescent="0.25">
      <c r="A53" s="384" t="s">
        <v>4596</v>
      </c>
      <c r="B53" s="384" t="s">
        <v>4597</v>
      </c>
      <c r="C53" s="384" t="s">
        <v>82</v>
      </c>
      <c r="D53" s="385" t="s">
        <v>4598</v>
      </c>
    </row>
    <row r="54" spans="1:4" x14ac:dyDescent="0.25">
      <c r="A54" s="384" t="s">
        <v>4599</v>
      </c>
      <c r="B54" s="384" t="s">
        <v>4600</v>
      </c>
      <c r="C54" s="384" t="s">
        <v>82</v>
      </c>
      <c r="D54" s="385" t="s">
        <v>4601</v>
      </c>
    </row>
    <row r="55" spans="1:4" x14ac:dyDescent="0.25">
      <c r="A55" s="384" t="s">
        <v>4602</v>
      </c>
      <c r="B55" s="384" t="s">
        <v>4603</v>
      </c>
      <c r="C55" s="384" t="s">
        <v>82</v>
      </c>
      <c r="D55" s="385" t="s">
        <v>4604</v>
      </c>
    </row>
    <row r="56" spans="1:4" x14ac:dyDescent="0.25">
      <c r="A56" s="384" t="s">
        <v>4605</v>
      </c>
      <c r="B56" s="384" t="s">
        <v>4606</v>
      </c>
      <c r="C56" s="384" t="s">
        <v>82</v>
      </c>
      <c r="D56" s="385" t="s">
        <v>4607</v>
      </c>
    </row>
    <row r="57" spans="1:4" x14ac:dyDescent="0.25">
      <c r="A57" s="384" t="s">
        <v>4608</v>
      </c>
      <c r="B57" s="384" t="s">
        <v>4609</v>
      </c>
      <c r="C57" s="384" t="s">
        <v>82</v>
      </c>
      <c r="D57" s="385" t="s">
        <v>4610</v>
      </c>
    </row>
    <row r="58" spans="1:4" x14ac:dyDescent="0.25">
      <c r="A58" s="384" t="s">
        <v>4611</v>
      </c>
      <c r="B58" s="384" t="s">
        <v>4612</v>
      </c>
      <c r="C58" s="384" t="s">
        <v>82</v>
      </c>
      <c r="D58" s="385" t="s">
        <v>4613</v>
      </c>
    </row>
    <row r="59" spans="1:4" x14ac:dyDescent="0.25">
      <c r="A59" s="384" t="s">
        <v>4614</v>
      </c>
      <c r="B59" s="384" t="s">
        <v>4615</v>
      </c>
      <c r="C59" s="384" t="s">
        <v>82</v>
      </c>
      <c r="D59" s="385" t="s">
        <v>4616</v>
      </c>
    </row>
    <row r="60" spans="1:4" x14ac:dyDescent="0.25">
      <c r="A60" s="384" t="s">
        <v>4617</v>
      </c>
      <c r="B60" s="384" t="s">
        <v>4618</v>
      </c>
      <c r="C60" s="384" t="s">
        <v>82</v>
      </c>
      <c r="D60" s="385" t="s">
        <v>4619</v>
      </c>
    </row>
    <row r="61" spans="1:4" x14ac:dyDescent="0.25">
      <c r="A61" s="384" t="s">
        <v>4620</v>
      </c>
      <c r="B61" s="384" t="s">
        <v>4621</v>
      </c>
      <c r="C61" s="384" t="s">
        <v>82</v>
      </c>
      <c r="D61" s="385" t="s">
        <v>4622</v>
      </c>
    </row>
    <row r="62" spans="1:4" x14ac:dyDescent="0.25">
      <c r="A62" s="384" t="s">
        <v>4623</v>
      </c>
      <c r="B62" s="384" t="s">
        <v>4624</v>
      </c>
      <c r="C62" s="384" t="s">
        <v>82</v>
      </c>
      <c r="D62" s="385" t="s">
        <v>4625</v>
      </c>
    </row>
    <row r="63" spans="1:4" x14ac:dyDescent="0.25">
      <c r="A63" s="384" t="s">
        <v>4626</v>
      </c>
      <c r="B63" s="384" t="s">
        <v>4627</v>
      </c>
      <c r="C63" s="384" t="s">
        <v>82</v>
      </c>
      <c r="D63" s="385" t="s">
        <v>4628</v>
      </c>
    </row>
    <row r="64" spans="1:4" x14ac:dyDescent="0.25">
      <c r="A64" s="384" t="s">
        <v>4629</v>
      </c>
      <c r="B64" s="384" t="s">
        <v>4630</v>
      </c>
      <c r="C64" s="384" t="s">
        <v>82</v>
      </c>
      <c r="D64" s="385" t="s">
        <v>4631</v>
      </c>
    </row>
    <row r="65" spans="1:4" x14ac:dyDescent="0.25">
      <c r="A65" s="384" t="s">
        <v>4632</v>
      </c>
      <c r="B65" s="384" t="s">
        <v>4633</v>
      </c>
      <c r="C65" s="384" t="s">
        <v>82</v>
      </c>
      <c r="D65" s="385" t="s">
        <v>4634</v>
      </c>
    </row>
    <row r="66" spans="1:4" x14ac:dyDescent="0.25">
      <c r="A66" s="384" t="s">
        <v>4635</v>
      </c>
      <c r="B66" s="384" t="s">
        <v>4636</v>
      </c>
      <c r="C66" s="384" t="s">
        <v>82</v>
      </c>
      <c r="D66" s="385" t="s">
        <v>4637</v>
      </c>
    </row>
    <row r="67" spans="1:4" x14ac:dyDescent="0.25">
      <c r="A67" s="384" t="s">
        <v>4638</v>
      </c>
      <c r="B67" s="384" t="s">
        <v>4639</v>
      </c>
      <c r="C67" s="384" t="s">
        <v>82</v>
      </c>
      <c r="D67" s="385" t="s">
        <v>4640</v>
      </c>
    </row>
    <row r="68" spans="1:4" x14ac:dyDescent="0.25">
      <c r="A68" s="384" t="s">
        <v>4641</v>
      </c>
      <c r="B68" s="384" t="s">
        <v>4642</v>
      </c>
      <c r="C68" s="384" t="s">
        <v>82</v>
      </c>
      <c r="D68" s="385" t="s">
        <v>4643</v>
      </c>
    </row>
    <row r="69" spans="1:4" x14ac:dyDescent="0.25">
      <c r="A69" s="384" t="s">
        <v>4644</v>
      </c>
      <c r="B69" s="384" t="s">
        <v>4645</v>
      </c>
      <c r="C69" s="384" t="s">
        <v>82</v>
      </c>
      <c r="D69" s="385" t="s">
        <v>4646</v>
      </c>
    </row>
    <row r="70" spans="1:4" x14ac:dyDescent="0.25">
      <c r="A70" s="384" t="s">
        <v>4647</v>
      </c>
      <c r="B70" s="384" t="s">
        <v>4648</v>
      </c>
      <c r="C70" s="384" t="s">
        <v>83</v>
      </c>
      <c r="D70" s="385" t="s">
        <v>4649</v>
      </c>
    </row>
    <row r="71" spans="1:4" x14ac:dyDescent="0.25">
      <c r="A71" s="384" t="s">
        <v>4650</v>
      </c>
      <c r="B71" s="384" t="s">
        <v>4651</v>
      </c>
      <c r="C71" s="384" t="s">
        <v>83</v>
      </c>
      <c r="D71" s="385" t="s">
        <v>4652</v>
      </c>
    </row>
    <row r="72" spans="1:4" x14ac:dyDescent="0.25">
      <c r="A72" s="384" t="s">
        <v>4653</v>
      </c>
      <c r="B72" s="384" t="s">
        <v>4654</v>
      </c>
      <c r="C72" s="384" t="s">
        <v>83</v>
      </c>
      <c r="D72" s="385" t="s">
        <v>4655</v>
      </c>
    </row>
    <row r="73" spans="1:4" x14ac:dyDescent="0.25">
      <c r="A73" s="384" t="s">
        <v>4656</v>
      </c>
      <c r="B73" s="384" t="s">
        <v>4657</v>
      </c>
      <c r="C73" s="384" t="s">
        <v>83</v>
      </c>
      <c r="D73" s="385" t="s">
        <v>4658</v>
      </c>
    </row>
    <row r="74" spans="1:4" x14ac:dyDescent="0.25">
      <c r="A74" s="384" t="s">
        <v>4659</v>
      </c>
      <c r="B74" s="384" t="s">
        <v>4660</v>
      </c>
      <c r="C74" s="384" t="s">
        <v>83</v>
      </c>
      <c r="D74" s="385" t="s">
        <v>4661</v>
      </c>
    </row>
    <row r="75" spans="1:4" x14ac:dyDescent="0.25">
      <c r="A75" s="384" t="s">
        <v>4662</v>
      </c>
      <c r="B75" s="384" t="s">
        <v>4663</v>
      </c>
      <c r="C75" s="384" t="s">
        <v>83</v>
      </c>
      <c r="D75" s="385" t="s">
        <v>4664</v>
      </c>
    </row>
    <row r="76" spans="1:4" x14ac:dyDescent="0.25">
      <c r="A76" s="384" t="s">
        <v>4665</v>
      </c>
      <c r="B76" s="384" t="s">
        <v>4666</v>
      </c>
      <c r="C76" s="384" t="s">
        <v>83</v>
      </c>
      <c r="D76" s="385" t="s">
        <v>4667</v>
      </c>
    </row>
    <row r="77" spans="1:4" x14ac:dyDescent="0.25">
      <c r="A77" s="384" t="s">
        <v>4668</v>
      </c>
      <c r="B77" s="384" t="s">
        <v>4669</v>
      </c>
      <c r="C77" s="384" t="s">
        <v>83</v>
      </c>
      <c r="D77" s="385" t="s">
        <v>4670</v>
      </c>
    </row>
    <row r="78" spans="1:4" x14ac:dyDescent="0.25">
      <c r="A78" s="384" t="s">
        <v>4671</v>
      </c>
      <c r="B78" s="384" t="s">
        <v>4672</v>
      </c>
      <c r="C78" s="384" t="s">
        <v>83</v>
      </c>
      <c r="D78" s="385" t="s">
        <v>4673</v>
      </c>
    </row>
    <row r="79" spans="1:4" x14ac:dyDescent="0.25">
      <c r="A79" s="384" t="s">
        <v>4674</v>
      </c>
      <c r="B79" s="384" t="s">
        <v>4675</v>
      </c>
      <c r="C79" s="384" t="s">
        <v>82</v>
      </c>
      <c r="D79" s="385" t="s">
        <v>4676</v>
      </c>
    </row>
    <row r="80" spans="1:4" x14ac:dyDescent="0.25">
      <c r="A80" s="384" t="s">
        <v>4677</v>
      </c>
      <c r="B80" s="384" t="s">
        <v>4678</v>
      </c>
      <c r="C80" s="384" t="s">
        <v>82</v>
      </c>
      <c r="D80" s="385" t="s">
        <v>4679</v>
      </c>
    </row>
    <row r="81" spans="1:4" x14ac:dyDescent="0.25">
      <c r="A81" s="384" t="s">
        <v>4680</v>
      </c>
      <c r="B81" s="384" t="s">
        <v>4681</v>
      </c>
      <c r="C81" s="384" t="s">
        <v>82</v>
      </c>
      <c r="D81" s="385" t="s">
        <v>4682</v>
      </c>
    </row>
    <row r="82" spans="1:4" x14ac:dyDescent="0.25">
      <c r="A82" s="384" t="s">
        <v>4683</v>
      </c>
      <c r="B82" s="384" t="s">
        <v>4684</v>
      </c>
      <c r="C82" s="384" t="s">
        <v>82</v>
      </c>
      <c r="D82" s="385" t="s">
        <v>4685</v>
      </c>
    </row>
    <row r="83" spans="1:4" x14ac:dyDescent="0.25">
      <c r="A83" s="384" t="s">
        <v>4686</v>
      </c>
      <c r="B83" s="384" t="s">
        <v>4687</v>
      </c>
      <c r="C83" s="384" t="s">
        <v>82</v>
      </c>
      <c r="D83" s="385" t="s">
        <v>4688</v>
      </c>
    </row>
    <row r="84" spans="1:4" x14ac:dyDescent="0.25">
      <c r="A84" s="384" t="s">
        <v>4689</v>
      </c>
      <c r="B84" s="384" t="s">
        <v>4690</v>
      </c>
      <c r="C84" s="384" t="s">
        <v>82</v>
      </c>
      <c r="D84" s="385" t="s">
        <v>4691</v>
      </c>
    </row>
    <row r="85" spans="1:4" x14ac:dyDescent="0.25">
      <c r="A85" s="384" t="s">
        <v>4692</v>
      </c>
      <c r="B85" s="384" t="s">
        <v>4693</v>
      </c>
      <c r="C85" s="384" t="s">
        <v>82</v>
      </c>
      <c r="D85" s="385" t="s">
        <v>4694</v>
      </c>
    </row>
    <row r="86" spans="1:4" x14ac:dyDescent="0.25">
      <c r="A86" s="384" t="s">
        <v>4695</v>
      </c>
      <c r="B86" s="384" t="s">
        <v>4696</v>
      </c>
      <c r="C86" s="384" t="s">
        <v>82</v>
      </c>
      <c r="D86" s="385" t="s">
        <v>4697</v>
      </c>
    </row>
    <row r="87" spans="1:4" x14ac:dyDescent="0.25">
      <c r="A87" s="384" t="s">
        <v>4698</v>
      </c>
      <c r="B87" s="384" t="s">
        <v>4699</v>
      </c>
      <c r="C87" s="384" t="s">
        <v>82</v>
      </c>
      <c r="D87" s="385" t="s">
        <v>4700</v>
      </c>
    </row>
    <row r="88" spans="1:4" x14ac:dyDescent="0.25">
      <c r="A88" s="384" t="s">
        <v>4701</v>
      </c>
      <c r="B88" s="384" t="s">
        <v>4702</v>
      </c>
      <c r="C88" s="384" t="s">
        <v>82</v>
      </c>
      <c r="D88" s="385" t="s">
        <v>4703</v>
      </c>
    </row>
    <row r="89" spans="1:4" x14ac:dyDescent="0.25">
      <c r="A89" s="384" t="s">
        <v>4704</v>
      </c>
      <c r="B89" s="384" t="s">
        <v>4705</v>
      </c>
      <c r="C89" s="384" t="s">
        <v>82</v>
      </c>
      <c r="D89" s="385" t="s">
        <v>4706</v>
      </c>
    </row>
    <row r="90" spans="1:4" x14ac:dyDescent="0.25">
      <c r="A90" s="384" t="s">
        <v>4707</v>
      </c>
      <c r="B90" s="384" t="s">
        <v>4708</v>
      </c>
      <c r="C90" s="384" t="s">
        <v>82</v>
      </c>
      <c r="D90" s="385" t="s">
        <v>4709</v>
      </c>
    </row>
    <row r="91" spans="1:4" x14ac:dyDescent="0.25">
      <c r="A91" s="384" t="s">
        <v>4710</v>
      </c>
      <c r="B91" s="384" t="s">
        <v>4711</v>
      </c>
      <c r="C91" s="384" t="s">
        <v>82</v>
      </c>
      <c r="D91" s="385" t="s">
        <v>4712</v>
      </c>
    </row>
    <row r="92" spans="1:4" x14ac:dyDescent="0.25">
      <c r="A92" s="384" t="s">
        <v>4713</v>
      </c>
      <c r="B92" s="384" t="s">
        <v>4714</v>
      </c>
      <c r="C92" s="384" t="s">
        <v>82</v>
      </c>
      <c r="D92" s="385" t="s">
        <v>4715</v>
      </c>
    </row>
    <row r="93" spans="1:4" x14ac:dyDescent="0.25">
      <c r="A93" s="384" t="s">
        <v>4716</v>
      </c>
      <c r="B93" s="384" t="s">
        <v>4717</v>
      </c>
      <c r="C93" s="384" t="s">
        <v>82</v>
      </c>
      <c r="D93" s="385" t="s">
        <v>4718</v>
      </c>
    </row>
    <row r="94" spans="1:4" x14ac:dyDescent="0.25">
      <c r="A94" s="384" t="s">
        <v>4719</v>
      </c>
      <c r="B94" s="384" t="s">
        <v>4720</v>
      </c>
      <c r="C94" s="384" t="s">
        <v>82</v>
      </c>
      <c r="D94" s="385" t="s">
        <v>4721</v>
      </c>
    </row>
    <row r="95" spans="1:4" x14ac:dyDescent="0.25">
      <c r="A95" s="384" t="s">
        <v>4722</v>
      </c>
      <c r="B95" s="384" t="s">
        <v>4723</v>
      </c>
      <c r="C95" s="384" t="s">
        <v>82</v>
      </c>
      <c r="D95" s="385" t="s">
        <v>4724</v>
      </c>
    </row>
    <row r="96" spans="1:4" x14ac:dyDescent="0.25">
      <c r="A96" s="384" t="s">
        <v>4725</v>
      </c>
      <c r="B96" s="384" t="s">
        <v>4726</v>
      </c>
      <c r="C96" s="384" t="s">
        <v>82</v>
      </c>
      <c r="D96" s="385" t="s">
        <v>4727</v>
      </c>
    </row>
    <row r="97" spans="1:4" x14ac:dyDescent="0.25">
      <c r="A97" s="384" t="s">
        <v>4728</v>
      </c>
      <c r="B97" s="384" t="s">
        <v>4729</v>
      </c>
      <c r="C97" s="384" t="s">
        <v>82</v>
      </c>
      <c r="D97" s="385" t="s">
        <v>4730</v>
      </c>
    </row>
    <row r="98" spans="1:4" x14ac:dyDescent="0.25">
      <c r="A98" s="384" t="s">
        <v>4731</v>
      </c>
      <c r="B98" s="384" t="s">
        <v>4732</v>
      </c>
      <c r="C98" s="384" t="s">
        <v>82</v>
      </c>
      <c r="D98" s="385" t="s">
        <v>4733</v>
      </c>
    </row>
    <row r="99" spans="1:4" x14ac:dyDescent="0.25">
      <c r="A99" s="384" t="s">
        <v>4734</v>
      </c>
      <c r="B99" s="384" t="s">
        <v>4735</v>
      </c>
      <c r="C99" s="384" t="s">
        <v>82</v>
      </c>
      <c r="D99" s="385" t="s">
        <v>4736</v>
      </c>
    </row>
    <row r="100" spans="1:4" x14ac:dyDescent="0.25">
      <c r="A100" s="384" t="s">
        <v>4737</v>
      </c>
      <c r="B100" s="384" t="s">
        <v>4738</v>
      </c>
      <c r="C100" s="384" t="s">
        <v>82</v>
      </c>
      <c r="D100" s="385" t="s">
        <v>4739</v>
      </c>
    </row>
    <row r="101" spans="1:4" x14ac:dyDescent="0.25">
      <c r="A101" s="384" t="s">
        <v>4740</v>
      </c>
      <c r="B101" s="384" t="s">
        <v>4741</v>
      </c>
      <c r="C101" s="384" t="s">
        <v>82</v>
      </c>
      <c r="D101" s="385" t="s">
        <v>4742</v>
      </c>
    </row>
    <row r="102" spans="1:4" x14ac:dyDescent="0.25">
      <c r="A102" s="384" t="s">
        <v>4743</v>
      </c>
      <c r="B102" s="384" t="s">
        <v>4744</v>
      </c>
      <c r="C102" s="384" t="s">
        <v>82</v>
      </c>
      <c r="D102" s="385" t="s">
        <v>4745</v>
      </c>
    </row>
    <row r="103" spans="1:4" x14ac:dyDescent="0.25">
      <c r="A103" s="384" t="s">
        <v>4746</v>
      </c>
      <c r="B103" s="384" t="s">
        <v>4747</v>
      </c>
      <c r="C103" s="384" t="s">
        <v>82</v>
      </c>
      <c r="D103" s="385" t="s">
        <v>4748</v>
      </c>
    </row>
    <row r="104" spans="1:4" x14ac:dyDescent="0.25">
      <c r="A104" s="384" t="s">
        <v>4749</v>
      </c>
      <c r="B104" s="384" t="s">
        <v>4750</v>
      </c>
      <c r="C104" s="384" t="s">
        <v>82</v>
      </c>
      <c r="D104" s="385" t="s">
        <v>4751</v>
      </c>
    </row>
    <row r="105" spans="1:4" x14ac:dyDescent="0.25">
      <c r="A105" s="384" t="s">
        <v>4752</v>
      </c>
      <c r="B105" s="384" t="s">
        <v>4753</v>
      </c>
      <c r="C105" s="384" t="s">
        <v>82</v>
      </c>
      <c r="D105" s="385" t="s">
        <v>4754</v>
      </c>
    </row>
    <row r="106" spans="1:4" x14ac:dyDescent="0.25">
      <c r="A106" s="384" t="s">
        <v>4755</v>
      </c>
      <c r="B106" s="384" t="s">
        <v>4756</v>
      </c>
      <c r="C106" s="384" t="s">
        <v>82</v>
      </c>
      <c r="D106" s="385" t="s">
        <v>4757</v>
      </c>
    </row>
    <row r="107" spans="1:4" x14ac:dyDescent="0.25">
      <c r="A107" s="384" t="s">
        <v>4758</v>
      </c>
      <c r="B107" s="384" t="s">
        <v>4759</v>
      </c>
      <c r="C107" s="384" t="s">
        <v>82</v>
      </c>
      <c r="D107" s="385" t="s">
        <v>4760</v>
      </c>
    </row>
    <row r="108" spans="1:4" x14ac:dyDescent="0.25">
      <c r="A108" s="384" t="s">
        <v>4761</v>
      </c>
      <c r="B108" s="384" t="s">
        <v>4762</v>
      </c>
      <c r="C108" s="384" t="s">
        <v>82</v>
      </c>
      <c r="D108" s="385" t="s">
        <v>4763</v>
      </c>
    </row>
    <row r="109" spans="1:4" x14ac:dyDescent="0.25">
      <c r="A109" s="384" t="s">
        <v>4764</v>
      </c>
      <c r="B109" s="384" t="s">
        <v>4765</v>
      </c>
      <c r="C109" s="384" t="s">
        <v>82</v>
      </c>
      <c r="D109" s="385" t="s">
        <v>4766</v>
      </c>
    </row>
    <row r="110" spans="1:4" x14ac:dyDescent="0.25">
      <c r="A110" s="384" t="s">
        <v>4767</v>
      </c>
      <c r="B110" s="384" t="s">
        <v>4768</v>
      </c>
      <c r="C110" s="384" t="s">
        <v>82</v>
      </c>
      <c r="D110" s="385" t="s">
        <v>4769</v>
      </c>
    </row>
    <row r="111" spans="1:4" x14ac:dyDescent="0.25">
      <c r="A111" s="384" t="s">
        <v>4770</v>
      </c>
      <c r="B111" s="384" t="s">
        <v>4771</v>
      </c>
      <c r="C111" s="384" t="s">
        <v>82</v>
      </c>
      <c r="D111" s="385" t="s">
        <v>4772</v>
      </c>
    </row>
    <row r="112" spans="1:4" x14ac:dyDescent="0.25">
      <c r="A112" s="384" t="s">
        <v>4773</v>
      </c>
      <c r="B112" s="384" t="s">
        <v>4774</v>
      </c>
      <c r="C112" s="384" t="s">
        <v>82</v>
      </c>
      <c r="D112" s="385" t="s">
        <v>4775</v>
      </c>
    </row>
    <row r="113" spans="1:4" x14ac:dyDescent="0.25">
      <c r="A113" s="384" t="s">
        <v>4776</v>
      </c>
      <c r="B113" s="384" t="s">
        <v>4777</v>
      </c>
      <c r="C113" s="384" t="s">
        <v>83</v>
      </c>
      <c r="D113" s="385" t="s">
        <v>4778</v>
      </c>
    </row>
    <row r="114" spans="1:4" x14ac:dyDescent="0.25">
      <c r="A114" s="384" t="s">
        <v>4779</v>
      </c>
      <c r="B114" s="384" t="s">
        <v>4780</v>
      </c>
      <c r="C114" s="384" t="s">
        <v>83</v>
      </c>
      <c r="D114" s="385" t="s">
        <v>4781</v>
      </c>
    </row>
    <row r="115" spans="1:4" x14ac:dyDescent="0.25">
      <c r="A115" s="384" t="s">
        <v>4782</v>
      </c>
      <c r="B115" s="384" t="s">
        <v>4783</v>
      </c>
      <c r="C115" s="384" t="s">
        <v>83</v>
      </c>
      <c r="D115" s="385" t="s">
        <v>4784</v>
      </c>
    </row>
    <row r="116" spans="1:4" x14ac:dyDescent="0.25">
      <c r="A116" s="384" t="s">
        <v>4785</v>
      </c>
      <c r="B116" s="384" t="s">
        <v>4786</v>
      </c>
      <c r="C116" s="384" t="s">
        <v>83</v>
      </c>
      <c r="D116" s="385" t="s">
        <v>4787</v>
      </c>
    </row>
    <row r="117" spans="1:4" x14ac:dyDescent="0.25">
      <c r="A117" s="384" t="s">
        <v>4788</v>
      </c>
      <c r="B117" s="384" t="s">
        <v>4789</v>
      </c>
      <c r="C117" s="384" t="s">
        <v>83</v>
      </c>
      <c r="D117" s="385" t="s">
        <v>4790</v>
      </c>
    </row>
    <row r="118" spans="1:4" x14ac:dyDescent="0.25">
      <c r="A118" s="384" t="s">
        <v>4791</v>
      </c>
      <c r="B118" s="384" t="s">
        <v>4792</v>
      </c>
      <c r="C118" s="384" t="s">
        <v>82</v>
      </c>
      <c r="D118" s="385" t="s">
        <v>4793</v>
      </c>
    </row>
    <row r="119" spans="1:4" x14ac:dyDescent="0.25">
      <c r="A119" s="384" t="s">
        <v>4794</v>
      </c>
      <c r="B119" s="384" t="s">
        <v>4795</v>
      </c>
      <c r="C119" s="384" t="s">
        <v>82</v>
      </c>
      <c r="D119" s="385" t="s">
        <v>4796</v>
      </c>
    </row>
    <row r="120" spans="1:4" x14ac:dyDescent="0.25">
      <c r="A120" s="384" t="s">
        <v>4797</v>
      </c>
      <c r="B120" s="384" t="s">
        <v>4798</v>
      </c>
      <c r="C120" s="384" t="s">
        <v>82</v>
      </c>
      <c r="D120" s="385" t="s">
        <v>4799</v>
      </c>
    </row>
    <row r="121" spans="1:4" x14ac:dyDescent="0.25">
      <c r="A121" s="384" t="s">
        <v>4800</v>
      </c>
      <c r="B121" s="384" t="s">
        <v>4801</v>
      </c>
      <c r="C121" s="384" t="s">
        <v>82</v>
      </c>
      <c r="D121" s="385" t="s">
        <v>4802</v>
      </c>
    </row>
    <row r="122" spans="1:4" x14ac:dyDescent="0.25">
      <c r="A122" s="384" t="s">
        <v>4803</v>
      </c>
      <c r="B122" s="384" t="s">
        <v>4804</v>
      </c>
      <c r="C122" s="384" t="s">
        <v>82</v>
      </c>
      <c r="D122" s="385" t="s">
        <v>4805</v>
      </c>
    </row>
    <row r="123" spans="1:4" x14ac:dyDescent="0.25">
      <c r="A123" s="384" t="s">
        <v>4806</v>
      </c>
      <c r="B123" s="384" t="s">
        <v>4807</v>
      </c>
      <c r="C123" s="384" t="s">
        <v>82</v>
      </c>
      <c r="D123" s="385" t="s">
        <v>4808</v>
      </c>
    </row>
    <row r="124" spans="1:4" x14ac:dyDescent="0.25">
      <c r="A124" s="384" t="s">
        <v>4809</v>
      </c>
      <c r="B124" s="384" t="s">
        <v>4810</v>
      </c>
      <c r="C124" s="384" t="s">
        <v>82</v>
      </c>
      <c r="D124" s="385" t="s">
        <v>4811</v>
      </c>
    </row>
    <row r="125" spans="1:4" x14ac:dyDescent="0.25">
      <c r="A125" s="384" t="s">
        <v>4812</v>
      </c>
      <c r="B125" s="384" t="s">
        <v>4813</v>
      </c>
      <c r="C125" s="384" t="s">
        <v>82</v>
      </c>
      <c r="D125" s="385" t="s">
        <v>4814</v>
      </c>
    </row>
    <row r="126" spans="1:4" x14ac:dyDescent="0.25">
      <c r="A126" s="384" t="s">
        <v>4815</v>
      </c>
      <c r="B126" s="384" t="s">
        <v>4816</v>
      </c>
      <c r="C126" s="384" t="s">
        <v>82</v>
      </c>
      <c r="D126" s="385" t="s">
        <v>4817</v>
      </c>
    </row>
    <row r="127" spans="1:4" x14ac:dyDescent="0.25">
      <c r="A127" s="384" t="s">
        <v>4818</v>
      </c>
      <c r="B127" s="384" t="s">
        <v>4819</v>
      </c>
      <c r="C127" s="384" t="s">
        <v>82</v>
      </c>
      <c r="D127" s="385" t="s">
        <v>4820</v>
      </c>
    </row>
    <row r="128" spans="1:4" x14ac:dyDescent="0.25">
      <c r="A128" s="384" t="s">
        <v>4821</v>
      </c>
      <c r="B128" s="384" t="s">
        <v>4822</v>
      </c>
      <c r="C128" s="384" t="s">
        <v>82</v>
      </c>
      <c r="D128" s="385" t="s">
        <v>4823</v>
      </c>
    </row>
    <row r="129" spans="1:4" x14ac:dyDescent="0.25">
      <c r="A129" s="384" t="s">
        <v>4824</v>
      </c>
      <c r="B129" s="384" t="s">
        <v>4825</v>
      </c>
      <c r="C129" s="384" t="s">
        <v>82</v>
      </c>
      <c r="D129" s="385" t="s">
        <v>4826</v>
      </c>
    </row>
    <row r="130" spans="1:4" x14ac:dyDescent="0.25">
      <c r="A130" s="384" t="s">
        <v>4827</v>
      </c>
      <c r="B130" s="384" t="s">
        <v>4828</v>
      </c>
      <c r="C130" s="384" t="s">
        <v>82</v>
      </c>
      <c r="D130" s="385" t="s">
        <v>4829</v>
      </c>
    </row>
    <row r="131" spans="1:4" x14ac:dyDescent="0.25">
      <c r="A131" s="384" t="s">
        <v>4830</v>
      </c>
      <c r="B131" s="384" t="s">
        <v>4831</v>
      </c>
      <c r="C131" s="384" t="s">
        <v>82</v>
      </c>
      <c r="D131" s="385" t="s">
        <v>4832</v>
      </c>
    </row>
    <row r="132" spans="1:4" x14ac:dyDescent="0.25">
      <c r="A132" s="384" t="s">
        <v>4833</v>
      </c>
      <c r="B132" s="384" t="s">
        <v>4834</v>
      </c>
      <c r="C132" s="384" t="s">
        <v>82</v>
      </c>
      <c r="D132" s="385" t="s">
        <v>4835</v>
      </c>
    </row>
    <row r="133" spans="1:4" x14ac:dyDescent="0.25">
      <c r="A133" s="384" t="s">
        <v>4836</v>
      </c>
      <c r="B133" s="384" t="s">
        <v>4837</v>
      </c>
      <c r="C133" s="384" t="s">
        <v>82</v>
      </c>
      <c r="D133" s="385" t="s">
        <v>4838</v>
      </c>
    </row>
    <row r="134" spans="1:4" x14ac:dyDescent="0.25">
      <c r="A134" s="384" t="s">
        <v>4839</v>
      </c>
      <c r="B134" s="384" t="s">
        <v>4840</v>
      </c>
      <c r="C134" s="384" t="s">
        <v>82</v>
      </c>
      <c r="D134" s="385" t="s">
        <v>4841</v>
      </c>
    </row>
    <row r="135" spans="1:4" x14ac:dyDescent="0.25">
      <c r="A135" s="384" t="s">
        <v>4842</v>
      </c>
      <c r="B135" s="384" t="s">
        <v>4843</v>
      </c>
      <c r="C135" s="384" t="s">
        <v>82</v>
      </c>
      <c r="D135" s="385" t="s">
        <v>4844</v>
      </c>
    </row>
    <row r="136" spans="1:4" x14ac:dyDescent="0.25">
      <c r="A136" s="384" t="s">
        <v>4845</v>
      </c>
      <c r="B136" s="384" t="s">
        <v>4846</v>
      </c>
      <c r="C136" s="384" t="s">
        <v>82</v>
      </c>
      <c r="D136" s="385" t="s">
        <v>4847</v>
      </c>
    </row>
    <row r="137" spans="1:4" x14ac:dyDescent="0.25">
      <c r="A137" s="384" t="s">
        <v>4848</v>
      </c>
      <c r="B137" s="384" t="s">
        <v>4849</v>
      </c>
      <c r="C137" s="384" t="s">
        <v>82</v>
      </c>
      <c r="D137" s="385" t="s">
        <v>4850</v>
      </c>
    </row>
    <row r="138" spans="1:4" x14ac:dyDescent="0.25">
      <c r="A138" s="384" t="s">
        <v>4851</v>
      </c>
      <c r="B138" s="384" t="s">
        <v>4852</v>
      </c>
      <c r="C138" s="384" t="s">
        <v>82</v>
      </c>
      <c r="D138" s="385" t="s">
        <v>4853</v>
      </c>
    </row>
    <row r="139" spans="1:4" x14ac:dyDescent="0.25">
      <c r="A139" s="384" t="s">
        <v>4854</v>
      </c>
      <c r="B139" s="384" t="s">
        <v>4855</v>
      </c>
      <c r="C139" s="384" t="s">
        <v>82</v>
      </c>
      <c r="D139" s="385" t="s">
        <v>4856</v>
      </c>
    </row>
    <row r="140" spans="1:4" x14ac:dyDescent="0.25">
      <c r="A140" s="384" t="s">
        <v>4857</v>
      </c>
      <c r="B140" s="384" t="s">
        <v>4858</v>
      </c>
      <c r="C140" s="384" t="s">
        <v>82</v>
      </c>
      <c r="D140" s="385" t="s">
        <v>4859</v>
      </c>
    </row>
    <row r="141" spans="1:4" x14ac:dyDescent="0.25">
      <c r="A141" s="384" t="s">
        <v>4860</v>
      </c>
      <c r="B141" s="384" t="s">
        <v>4861</v>
      </c>
      <c r="C141" s="384" t="s">
        <v>82</v>
      </c>
      <c r="D141" s="385" t="s">
        <v>4862</v>
      </c>
    </row>
    <row r="142" spans="1:4" x14ac:dyDescent="0.25">
      <c r="A142" s="384" t="s">
        <v>4863</v>
      </c>
      <c r="B142" s="384" t="s">
        <v>4864</v>
      </c>
      <c r="C142" s="384" t="s">
        <v>82</v>
      </c>
      <c r="D142" s="385" t="s">
        <v>4865</v>
      </c>
    </row>
    <row r="143" spans="1:4" x14ac:dyDescent="0.25">
      <c r="A143" s="384" t="s">
        <v>4866</v>
      </c>
      <c r="B143" s="384" t="s">
        <v>4867</v>
      </c>
      <c r="C143" s="384" t="s">
        <v>82</v>
      </c>
      <c r="D143" s="385" t="s">
        <v>4868</v>
      </c>
    </row>
    <row r="144" spans="1:4" x14ac:dyDescent="0.25">
      <c r="A144" s="384" t="s">
        <v>4869</v>
      </c>
      <c r="B144" s="384" t="s">
        <v>4870</v>
      </c>
      <c r="C144" s="384" t="s">
        <v>82</v>
      </c>
      <c r="D144" s="385" t="s">
        <v>4871</v>
      </c>
    </row>
    <row r="145" spans="1:4" x14ac:dyDescent="0.25">
      <c r="A145" s="384" t="s">
        <v>4872</v>
      </c>
      <c r="B145" s="384" t="s">
        <v>4873</v>
      </c>
      <c r="C145" s="384" t="s">
        <v>82</v>
      </c>
      <c r="D145" s="385" t="s">
        <v>4874</v>
      </c>
    </row>
    <row r="146" spans="1:4" x14ac:dyDescent="0.25">
      <c r="A146" s="384" t="s">
        <v>4875</v>
      </c>
      <c r="B146" s="384" t="s">
        <v>4876</v>
      </c>
      <c r="C146" s="384" t="s">
        <v>82</v>
      </c>
      <c r="D146" s="385" t="s">
        <v>4877</v>
      </c>
    </row>
    <row r="147" spans="1:4" x14ac:dyDescent="0.25">
      <c r="A147" s="384" t="s">
        <v>4878</v>
      </c>
      <c r="B147" s="384" t="s">
        <v>4879</v>
      </c>
      <c r="C147" s="384" t="s">
        <v>82</v>
      </c>
      <c r="D147" s="385" t="s">
        <v>4880</v>
      </c>
    </row>
    <row r="148" spans="1:4" x14ac:dyDescent="0.25">
      <c r="A148" s="384" t="s">
        <v>4881</v>
      </c>
      <c r="B148" s="384" t="s">
        <v>4882</v>
      </c>
      <c r="C148" s="384" t="s">
        <v>82</v>
      </c>
      <c r="D148" s="385" t="s">
        <v>4883</v>
      </c>
    </row>
    <row r="149" spans="1:4" x14ac:dyDescent="0.25">
      <c r="A149" s="384" t="s">
        <v>4884</v>
      </c>
      <c r="B149" s="384" t="s">
        <v>4885</v>
      </c>
      <c r="C149" s="384" t="s">
        <v>82</v>
      </c>
      <c r="D149" s="385" t="s">
        <v>4886</v>
      </c>
    </row>
    <row r="150" spans="1:4" x14ac:dyDescent="0.25">
      <c r="A150" s="384" t="s">
        <v>4887</v>
      </c>
      <c r="B150" s="384" t="s">
        <v>4888</v>
      </c>
      <c r="C150" s="384" t="s">
        <v>82</v>
      </c>
      <c r="D150" s="385" t="s">
        <v>4889</v>
      </c>
    </row>
    <row r="151" spans="1:4" x14ac:dyDescent="0.25">
      <c r="A151" s="384" t="s">
        <v>4890</v>
      </c>
      <c r="B151" s="384" t="s">
        <v>4891</v>
      </c>
      <c r="C151" s="384" t="s">
        <v>82</v>
      </c>
      <c r="D151" s="385" t="s">
        <v>4892</v>
      </c>
    </row>
    <row r="152" spans="1:4" x14ac:dyDescent="0.25">
      <c r="A152" s="384" t="s">
        <v>4893</v>
      </c>
      <c r="B152" s="384" t="s">
        <v>4894</v>
      </c>
      <c r="C152" s="384" t="s">
        <v>82</v>
      </c>
      <c r="D152" s="385" t="s">
        <v>4895</v>
      </c>
    </row>
    <row r="153" spans="1:4" x14ac:dyDescent="0.25">
      <c r="A153" s="384" t="s">
        <v>4896</v>
      </c>
      <c r="B153" s="384" t="s">
        <v>4897</v>
      </c>
      <c r="C153" s="384" t="s">
        <v>82</v>
      </c>
      <c r="D153" s="385" t="s">
        <v>4898</v>
      </c>
    </row>
    <row r="154" spans="1:4" x14ac:dyDescent="0.25">
      <c r="A154" s="384" t="s">
        <v>4899</v>
      </c>
      <c r="B154" s="384" t="s">
        <v>4900</v>
      </c>
      <c r="C154" s="384" t="s">
        <v>82</v>
      </c>
      <c r="D154" s="385" t="s">
        <v>4901</v>
      </c>
    </row>
    <row r="155" spans="1:4" x14ac:dyDescent="0.25">
      <c r="A155" s="384" t="s">
        <v>4902</v>
      </c>
      <c r="B155" s="384" t="s">
        <v>4903</v>
      </c>
      <c r="C155" s="384" t="s">
        <v>82</v>
      </c>
      <c r="D155" s="385" t="s">
        <v>4904</v>
      </c>
    </row>
    <row r="156" spans="1:4" x14ac:dyDescent="0.25">
      <c r="A156" s="384" t="s">
        <v>4905</v>
      </c>
      <c r="B156" s="384" t="s">
        <v>4906</v>
      </c>
      <c r="C156" s="384" t="s">
        <v>82</v>
      </c>
      <c r="D156" s="385" t="s">
        <v>4907</v>
      </c>
    </row>
    <row r="157" spans="1:4" x14ac:dyDescent="0.25">
      <c r="A157" s="384" t="s">
        <v>4908</v>
      </c>
      <c r="B157" s="384" t="s">
        <v>4909</v>
      </c>
      <c r="C157" s="384" t="s">
        <v>82</v>
      </c>
      <c r="D157" s="385" t="s">
        <v>4910</v>
      </c>
    </row>
    <row r="158" spans="1:4" x14ac:dyDescent="0.25">
      <c r="A158" s="384" t="s">
        <v>4911</v>
      </c>
      <c r="B158" s="384" t="s">
        <v>4912</v>
      </c>
      <c r="C158" s="384" t="s">
        <v>82</v>
      </c>
      <c r="D158" s="385" t="s">
        <v>4913</v>
      </c>
    </row>
    <row r="159" spans="1:4" x14ac:dyDescent="0.25">
      <c r="A159" s="384" t="s">
        <v>4914</v>
      </c>
      <c r="B159" s="384" t="s">
        <v>4915</v>
      </c>
      <c r="C159" s="384" t="s">
        <v>82</v>
      </c>
      <c r="D159" s="385" t="s">
        <v>4916</v>
      </c>
    </row>
    <row r="160" spans="1:4" x14ac:dyDescent="0.25">
      <c r="A160" s="384" t="s">
        <v>4917</v>
      </c>
      <c r="B160" s="384" t="s">
        <v>4918</v>
      </c>
      <c r="C160" s="384" t="s">
        <v>82</v>
      </c>
      <c r="D160" s="385" t="s">
        <v>4919</v>
      </c>
    </row>
    <row r="161" spans="1:4" x14ac:dyDescent="0.25">
      <c r="A161" s="384" t="s">
        <v>4920</v>
      </c>
      <c r="B161" s="384" t="s">
        <v>4921</v>
      </c>
      <c r="C161" s="384" t="s">
        <v>82</v>
      </c>
      <c r="D161" s="385" t="s">
        <v>4922</v>
      </c>
    </row>
    <row r="162" spans="1:4" x14ac:dyDescent="0.25">
      <c r="A162" s="384" t="s">
        <v>4923</v>
      </c>
      <c r="B162" s="384" t="s">
        <v>4924</v>
      </c>
      <c r="C162" s="384" t="s">
        <v>82</v>
      </c>
      <c r="D162" s="385" t="s">
        <v>4925</v>
      </c>
    </row>
    <row r="163" spans="1:4" x14ac:dyDescent="0.25">
      <c r="A163" s="384" t="s">
        <v>4926</v>
      </c>
      <c r="B163" s="384" t="s">
        <v>4927</v>
      </c>
      <c r="C163" s="384" t="s">
        <v>82</v>
      </c>
      <c r="D163" s="385" t="s">
        <v>4928</v>
      </c>
    </row>
    <row r="164" spans="1:4" x14ac:dyDescent="0.25">
      <c r="A164" s="384" t="s">
        <v>4929</v>
      </c>
      <c r="B164" s="384" t="s">
        <v>4930</v>
      </c>
      <c r="C164" s="384" t="s">
        <v>82</v>
      </c>
      <c r="D164" s="385" t="s">
        <v>4931</v>
      </c>
    </row>
    <row r="165" spans="1:4" x14ac:dyDescent="0.25">
      <c r="A165" s="384" t="s">
        <v>4932</v>
      </c>
      <c r="B165" s="384" t="s">
        <v>4933</v>
      </c>
      <c r="C165" s="384" t="s">
        <v>82</v>
      </c>
      <c r="D165" s="385" t="s">
        <v>4934</v>
      </c>
    </row>
    <row r="166" spans="1:4" x14ac:dyDescent="0.25">
      <c r="A166" s="384" t="s">
        <v>4935</v>
      </c>
      <c r="B166" s="384" t="s">
        <v>4936</v>
      </c>
      <c r="C166" s="384" t="s">
        <v>82</v>
      </c>
      <c r="D166" s="385" t="s">
        <v>4937</v>
      </c>
    </row>
    <row r="167" spans="1:4" x14ac:dyDescent="0.25">
      <c r="A167" s="384" t="s">
        <v>4938</v>
      </c>
      <c r="B167" s="384" t="s">
        <v>4939</v>
      </c>
      <c r="C167" s="384" t="s">
        <v>82</v>
      </c>
      <c r="D167" s="385" t="s">
        <v>4940</v>
      </c>
    </row>
    <row r="168" spans="1:4" x14ac:dyDescent="0.25">
      <c r="A168" s="384" t="s">
        <v>4941</v>
      </c>
      <c r="B168" s="384" t="s">
        <v>4942</v>
      </c>
      <c r="C168" s="384" t="s">
        <v>82</v>
      </c>
      <c r="D168" s="385" t="s">
        <v>4943</v>
      </c>
    </row>
    <row r="169" spans="1:4" x14ac:dyDescent="0.25">
      <c r="A169" s="384" t="s">
        <v>4944</v>
      </c>
      <c r="B169" s="384" t="s">
        <v>4945</v>
      </c>
      <c r="C169" s="384" t="s">
        <v>82</v>
      </c>
      <c r="D169" s="385" t="s">
        <v>4946</v>
      </c>
    </row>
    <row r="170" spans="1:4" x14ac:dyDescent="0.25">
      <c r="A170" s="384" t="s">
        <v>4947</v>
      </c>
      <c r="B170" s="384" t="s">
        <v>4948</v>
      </c>
      <c r="C170" s="384" t="s">
        <v>82</v>
      </c>
      <c r="D170" s="385" t="s">
        <v>4949</v>
      </c>
    </row>
    <row r="171" spans="1:4" x14ac:dyDescent="0.25">
      <c r="A171" s="384" t="s">
        <v>4950</v>
      </c>
      <c r="B171" s="384" t="s">
        <v>4951</v>
      </c>
      <c r="C171" s="384" t="s">
        <v>82</v>
      </c>
      <c r="D171" s="385" t="s">
        <v>4952</v>
      </c>
    </row>
    <row r="172" spans="1:4" x14ac:dyDescent="0.25">
      <c r="A172" s="384" t="s">
        <v>4953</v>
      </c>
      <c r="B172" s="384" t="s">
        <v>4954</v>
      </c>
      <c r="C172" s="384" t="s">
        <v>82</v>
      </c>
      <c r="D172" s="385" t="s">
        <v>4955</v>
      </c>
    </row>
    <row r="173" spans="1:4" x14ac:dyDescent="0.25">
      <c r="A173" s="384" t="s">
        <v>4956</v>
      </c>
      <c r="B173" s="384" t="s">
        <v>4957</v>
      </c>
      <c r="C173" s="384" t="s">
        <v>82</v>
      </c>
      <c r="D173" s="385" t="s">
        <v>4958</v>
      </c>
    </row>
    <row r="174" spans="1:4" x14ac:dyDescent="0.25">
      <c r="A174" s="384" t="s">
        <v>4959</v>
      </c>
      <c r="B174" s="384" t="s">
        <v>4960</v>
      </c>
      <c r="C174" s="384" t="s">
        <v>82</v>
      </c>
      <c r="D174" s="385" t="s">
        <v>4961</v>
      </c>
    </row>
    <row r="175" spans="1:4" x14ac:dyDescent="0.25">
      <c r="A175" s="384" t="s">
        <v>4962</v>
      </c>
      <c r="B175" s="384" t="s">
        <v>4963</v>
      </c>
      <c r="C175" s="384" t="s">
        <v>82</v>
      </c>
      <c r="D175" s="385" t="s">
        <v>4964</v>
      </c>
    </row>
    <row r="176" spans="1:4" x14ac:dyDescent="0.25">
      <c r="A176" s="384" t="s">
        <v>4965</v>
      </c>
      <c r="B176" s="384" t="s">
        <v>4966</v>
      </c>
      <c r="C176" s="384" t="s">
        <v>82</v>
      </c>
      <c r="D176" s="385" t="s">
        <v>4967</v>
      </c>
    </row>
    <row r="177" spans="1:4" x14ac:dyDescent="0.25">
      <c r="A177" s="384" t="s">
        <v>4968</v>
      </c>
      <c r="B177" s="384" t="s">
        <v>4969</v>
      </c>
      <c r="C177" s="384" t="s">
        <v>82</v>
      </c>
      <c r="D177" s="385" t="s">
        <v>4970</v>
      </c>
    </row>
    <row r="178" spans="1:4" x14ac:dyDescent="0.25">
      <c r="A178" s="384" t="s">
        <v>4971</v>
      </c>
      <c r="B178" s="384" t="s">
        <v>4972</v>
      </c>
      <c r="C178" s="384" t="s">
        <v>82</v>
      </c>
      <c r="D178" s="385" t="s">
        <v>4973</v>
      </c>
    </row>
    <row r="179" spans="1:4" x14ac:dyDescent="0.25">
      <c r="A179" s="384" t="s">
        <v>4974</v>
      </c>
      <c r="B179" s="384" t="s">
        <v>4975</v>
      </c>
      <c r="C179" s="384" t="s">
        <v>82</v>
      </c>
      <c r="D179" s="385" t="s">
        <v>4976</v>
      </c>
    </row>
    <row r="180" spans="1:4" x14ac:dyDescent="0.25">
      <c r="A180" s="384" t="s">
        <v>4977</v>
      </c>
      <c r="B180" s="384" t="s">
        <v>4978</v>
      </c>
      <c r="C180" s="384" t="s">
        <v>82</v>
      </c>
      <c r="D180" s="385" t="s">
        <v>4979</v>
      </c>
    </row>
    <row r="181" spans="1:4" x14ac:dyDescent="0.25">
      <c r="A181" s="384" t="s">
        <v>4980</v>
      </c>
      <c r="B181" s="384" t="s">
        <v>4981</v>
      </c>
      <c r="C181" s="384" t="s">
        <v>82</v>
      </c>
      <c r="D181" s="385" t="s">
        <v>4982</v>
      </c>
    </row>
    <row r="182" spans="1:4" x14ac:dyDescent="0.25">
      <c r="A182" s="384" t="s">
        <v>4983</v>
      </c>
      <c r="B182" s="384" t="s">
        <v>4984</v>
      </c>
      <c r="C182" s="384" t="s">
        <v>82</v>
      </c>
      <c r="D182" s="385" t="s">
        <v>4985</v>
      </c>
    </row>
    <row r="183" spans="1:4" x14ac:dyDescent="0.25">
      <c r="A183" s="384" t="s">
        <v>4986</v>
      </c>
      <c r="B183" s="384" t="s">
        <v>4987</v>
      </c>
      <c r="C183" s="384" t="s">
        <v>82</v>
      </c>
      <c r="D183" s="385" t="s">
        <v>4988</v>
      </c>
    </row>
    <row r="184" spans="1:4" x14ac:dyDescent="0.25">
      <c r="A184" s="384" t="s">
        <v>4989</v>
      </c>
      <c r="B184" s="384" t="s">
        <v>4990</v>
      </c>
      <c r="C184" s="384" t="s">
        <v>82</v>
      </c>
      <c r="D184" s="385" t="s">
        <v>4991</v>
      </c>
    </row>
    <row r="185" spans="1:4" x14ac:dyDescent="0.25">
      <c r="A185" s="384" t="s">
        <v>4992</v>
      </c>
      <c r="B185" s="384" t="s">
        <v>4993</v>
      </c>
      <c r="C185" s="384" t="s">
        <v>82</v>
      </c>
      <c r="D185" s="385" t="s">
        <v>4994</v>
      </c>
    </row>
    <row r="186" spans="1:4" x14ac:dyDescent="0.25">
      <c r="A186" s="384" t="s">
        <v>4995</v>
      </c>
      <c r="B186" s="384" t="s">
        <v>4996</v>
      </c>
      <c r="C186" s="384" t="s">
        <v>82</v>
      </c>
      <c r="D186" s="385" t="s">
        <v>4997</v>
      </c>
    </row>
    <row r="187" spans="1:4" x14ac:dyDescent="0.25">
      <c r="A187" s="384" t="s">
        <v>4998</v>
      </c>
      <c r="B187" s="384" t="s">
        <v>4999</v>
      </c>
      <c r="C187" s="384" t="s">
        <v>82</v>
      </c>
      <c r="D187" s="385" t="s">
        <v>5000</v>
      </c>
    </row>
    <row r="188" spans="1:4" x14ac:dyDescent="0.25">
      <c r="A188" s="384" t="s">
        <v>5001</v>
      </c>
      <c r="B188" s="384" t="s">
        <v>5002</v>
      </c>
      <c r="C188" s="384" t="s">
        <v>82</v>
      </c>
      <c r="D188" s="385" t="s">
        <v>5003</v>
      </c>
    </row>
    <row r="189" spans="1:4" x14ac:dyDescent="0.25">
      <c r="A189" s="384" t="s">
        <v>5004</v>
      </c>
      <c r="B189" s="384" t="s">
        <v>5005</v>
      </c>
      <c r="C189" s="384" t="s">
        <v>82</v>
      </c>
      <c r="D189" s="385" t="s">
        <v>5006</v>
      </c>
    </row>
    <row r="190" spans="1:4" x14ac:dyDescent="0.25">
      <c r="A190" s="384" t="s">
        <v>5007</v>
      </c>
      <c r="B190" s="384" t="s">
        <v>5008</v>
      </c>
      <c r="C190" s="384" t="s">
        <v>82</v>
      </c>
      <c r="D190" s="385" t="s">
        <v>5009</v>
      </c>
    </row>
    <row r="191" spans="1:4" x14ac:dyDescent="0.25">
      <c r="A191" s="384" t="s">
        <v>5010</v>
      </c>
      <c r="B191" s="384" t="s">
        <v>5011</v>
      </c>
      <c r="C191" s="384" t="s">
        <v>82</v>
      </c>
      <c r="D191" s="385" t="s">
        <v>5012</v>
      </c>
    </row>
    <row r="192" spans="1:4" x14ac:dyDescent="0.25">
      <c r="A192" s="384" t="s">
        <v>5013</v>
      </c>
      <c r="B192" s="384" t="s">
        <v>5014</v>
      </c>
      <c r="C192" s="384" t="s">
        <v>82</v>
      </c>
      <c r="D192" s="385" t="s">
        <v>5015</v>
      </c>
    </row>
    <row r="193" spans="1:4" x14ac:dyDescent="0.25">
      <c r="A193" s="384" t="s">
        <v>5016</v>
      </c>
      <c r="B193" s="384" t="s">
        <v>5017</v>
      </c>
      <c r="C193" s="384" t="s">
        <v>82</v>
      </c>
      <c r="D193" s="385" t="s">
        <v>5018</v>
      </c>
    </row>
    <row r="194" spans="1:4" x14ac:dyDescent="0.25">
      <c r="A194" s="384" t="s">
        <v>5019</v>
      </c>
      <c r="B194" s="384" t="s">
        <v>5020</v>
      </c>
      <c r="C194" s="384" t="s">
        <v>82</v>
      </c>
      <c r="D194" s="385" t="s">
        <v>5021</v>
      </c>
    </row>
    <row r="195" spans="1:4" x14ac:dyDescent="0.25">
      <c r="A195" s="384" t="s">
        <v>5022</v>
      </c>
      <c r="B195" s="384" t="s">
        <v>5023</v>
      </c>
      <c r="C195" s="384" t="s">
        <v>82</v>
      </c>
      <c r="D195" s="385" t="s">
        <v>5024</v>
      </c>
    </row>
    <row r="196" spans="1:4" x14ac:dyDescent="0.25">
      <c r="A196" s="384" t="s">
        <v>5025</v>
      </c>
      <c r="B196" s="384" t="s">
        <v>5026</v>
      </c>
      <c r="C196" s="384" t="s">
        <v>82</v>
      </c>
      <c r="D196" s="385" t="s">
        <v>5027</v>
      </c>
    </row>
    <row r="197" spans="1:4" x14ac:dyDescent="0.25">
      <c r="A197" s="384" t="s">
        <v>5028</v>
      </c>
      <c r="B197" s="384" t="s">
        <v>5029</v>
      </c>
      <c r="C197" s="384" t="s">
        <v>82</v>
      </c>
      <c r="D197" s="385" t="s">
        <v>5030</v>
      </c>
    </row>
    <row r="198" spans="1:4" x14ac:dyDescent="0.25">
      <c r="A198" s="384" t="s">
        <v>5031</v>
      </c>
      <c r="B198" s="384" t="s">
        <v>5032</v>
      </c>
      <c r="C198" s="384" t="s">
        <v>82</v>
      </c>
      <c r="D198" s="385" t="s">
        <v>5033</v>
      </c>
    </row>
    <row r="199" spans="1:4" x14ac:dyDescent="0.25">
      <c r="A199" s="384" t="s">
        <v>5034</v>
      </c>
      <c r="B199" s="384" t="s">
        <v>5035</v>
      </c>
      <c r="C199" s="384" t="s">
        <v>82</v>
      </c>
      <c r="D199" s="385" t="s">
        <v>5036</v>
      </c>
    </row>
    <row r="200" spans="1:4" x14ac:dyDescent="0.25">
      <c r="A200" s="384" t="s">
        <v>5037</v>
      </c>
      <c r="B200" s="384" t="s">
        <v>5038</v>
      </c>
      <c r="C200" s="384" t="s">
        <v>82</v>
      </c>
      <c r="D200" s="385" t="s">
        <v>5039</v>
      </c>
    </row>
    <row r="201" spans="1:4" x14ac:dyDescent="0.25">
      <c r="A201" s="384" t="s">
        <v>5040</v>
      </c>
      <c r="B201" s="384" t="s">
        <v>5041</v>
      </c>
      <c r="C201" s="384" t="s">
        <v>82</v>
      </c>
      <c r="D201" s="385" t="s">
        <v>5042</v>
      </c>
    </row>
    <row r="202" spans="1:4" x14ac:dyDescent="0.25">
      <c r="A202" s="384" t="s">
        <v>5043</v>
      </c>
      <c r="B202" s="384" t="s">
        <v>5044</v>
      </c>
      <c r="C202" s="384" t="s">
        <v>82</v>
      </c>
      <c r="D202" s="385" t="s">
        <v>5045</v>
      </c>
    </row>
    <row r="203" spans="1:4" x14ac:dyDescent="0.25">
      <c r="A203" s="384" t="s">
        <v>5046</v>
      </c>
      <c r="B203" s="384" t="s">
        <v>5047</v>
      </c>
      <c r="C203" s="384" t="s">
        <v>82</v>
      </c>
      <c r="D203" s="385" t="s">
        <v>5048</v>
      </c>
    </row>
    <row r="204" spans="1:4" x14ac:dyDescent="0.25">
      <c r="A204" s="384" t="s">
        <v>5049</v>
      </c>
      <c r="B204" s="384" t="s">
        <v>5050</v>
      </c>
      <c r="C204" s="384" t="s">
        <v>82</v>
      </c>
      <c r="D204" s="385" t="s">
        <v>5051</v>
      </c>
    </row>
    <row r="205" spans="1:4" x14ac:dyDescent="0.25">
      <c r="A205" s="384" t="s">
        <v>5052</v>
      </c>
      <c r="B205" s="384" t="s">
        <v>5053</v>
      </c>
      <c r="C205" s="384" t="s">
        <v>82</v>
      </c>
      <c r="D205" s="385" t="s">
        <v>5054</v>
      </c>
    </row>
    <row r="206" spans="1:4" x14ac:dyDescent="0.25">
      <c r="A206" s="384" t="s">
        <v>5055</v>
      </c>
      <c r="B206" s="384" t="s">
        <v>5056</v>
      </c>
      <c r="C206" s="384" t="s">
        <v>82</v>
      </c>
      <c r="D206" s="385" t="s">
        <v>5057</v>
      </c>
    </row>
    <row r="207" spans="1:4" x14ac:dyDescent="0.25">
      <c r="A207" s="384" t="s">
        <v>5058</v>
      </c>
      <c r="B207" s="384" t="s">
        <v>5059</v>
      </c>
      <c r="C207" s="384" t="s">
        <v>82</v>
      </c>
      <c r="D207" s="385" t="s">
        <v>5060</v>
      </c>
    </row>
    <row r="208" spans="1:4" x14ac:dyDescent="0.25">
      <c r="A208" s="384" t="s">
        <v>5061</v>
      </c>
      <c r="B208" s="384" t="s">
        <v>5062</v>
      </c>
      <c r="C208" s="384" t="s">
        <v>82</v>
      </c>
      <c r="D208" s="385" t="s">
        <v>5063</v>
      </c>
    </row>
    <row r="209" spans="1:4" x14ac:dyDescent="0.25">
      <c r="A209" s="384" t="s">
        <v>5064</v>
      </c>
      <c r="B209" s="384" t="s">
        <v>5065</v>
      </c>
      <c r="C209" s="384" t="s">
        <v>82</v>
      </c>
      <c r="D209" s="385" t="s">
        <v>5066</v>
      </c>
    </row>
    <row r="210" spans="1:4" x14ac:dyDescent="0.25">
      <c r="A210" s="384" t="s">
        <v>5067</v>
      </c>
      <c r="B210" s="384" t="s">
        <v>5068</v>
      </c>
      <c r="C210" s="384" t="s">
        <v>82</v>
      </c>
      <c r="D210" s="385" t="s">
        <v>5069</v>
      </c>
    </row>
    <row r="211" spans="1:4" x14ac:dyDescent="0.25">
      <c r="A211" s="384" t="s">
        <v>5070</v>
      </c>
      <c r="B211" s="384" t="s">
        <v>5071</v>
      </c>
      <c r="C211" s="384" t="s">
        <v>82</v>
      </c>
      <c r="D211" s="385" t="s">
        <v>5072</v>
      </c>
    </row>
    <row r="212" spans="1:4" x14ac:dyDescent="0.25">
      <c r="A212" s="384" t="s">
        <v>5073</v>
      </c>
      <c r="B212" s="384" t="s">
        <v>5074</v>
      </c>
      <c r="C212" s="384" t="s">
        <v>82</v>
      </c>
      <c r="D212" s="385" t="s">
        <v>5075</v>
      </c>
    </row>
    <row r="213" spans="1:4" x14ac:dyDescent="0.25">
      <c r="A213" s="384" t="s">
        <v>5076</v>
      </c>
      <c r="B213" s="384" t="s">
        <v>5077</v>
      </c>
      <c r="C213" s="384" t="s">
        <v>82</v>
      </c>
      <c r="D213" s="385" t="s">
        <v>5078</v>
      </c>
    </row>
    <row r="214" spans="1:4" x14ac:dyDescent="0.25">
      <c r="A214" s="384" t="s">
        <v>5079</v>
      </c>
      <c r="B214" s="384" t="s">
        <v>5080</v>
      </c>
      <c r="C214" s="384" t="s">
        <v>82</v>
      </c>
      <c r="D214" s="385" t="s">
        <v>5081</v>
      </c>
    </row>
    <row r="215" spans="1:4" x14ac:dyDescent="0.25">
      <c r="A215" s="384" t="s">
        <v>5082</v>
      </c>
      <c r="B215" s="384" t="s">
        <v>5083</v>
      </c>
      <c r="C215" s="384" t="s">
        <v>82</v>
      </c>
      <c r="D215" s="385" t="s">
        <v>5084</v>
      </c>
    </row>
    <row r="216" spans="1:4" x14ac:dyDescent="0.25">
      <c r="A216" s="384" t="s">
        <v>5085</v>
      </c>
      <c r="B216" s="384" t="s">
        <v>5086</v>
      </c>
      <c r="C216" s="384" t="s">
        <v>82</v>
      </c>
      <c r="D216" s="385" t="s">
        <v>5087</v>
      </c>
    </row>
    <row r="217" spans="1:4" x14ac:dyDescent="0.25">
      <c r="A217" s="384" t="s">
        <v>5088</v>
      </c>
      <c r="B217" s="384" t="s">
        <v>5089</v>
      </c>
      <c r="C217" s="384" t="s">
        <v>82</v>
      </c>
      <c r="D217" s="385" t="s">
        <v>5090</v>
      </c>
    </row>
    <row r="218" spans="1:4" x14ac:dyDescent="0.25">
      <c r="A218" s="384" t="s">
        <v>5091</v>
      </c>
      <c r="B218" s="384" t="s">
        <v>5092</v>
      </c>
      <c r="C218" s="384" t="s">
        <v>82</v>
      </c>
      <c r="D218" s="385" t="s">
        <v>5093</v>
      </c>
    </row>
    <row r="219" spans="1:4" x14ac:dyDescent="0.25">
      <c r="A219" s="384" t="s">
        <v>5094</v>
      </c>
      <c r="B219" s="384" t="s">
        <v>5095</v>
      </c>
      <c r="C219" s="384" t="s">
        <v>82</v>
      </c>
      <c r="D219" s="385" t="s">
        <v>5096</v>
      </c>
    </row>
    <row r="220" spans="1:4" x14ac:dyDescent="0.25">
      <c r="A220" s="384" t="s">
        <v>5097</v>
      </c>
      <c r="B220" s="384" t="s">
        <v>5098</v>
      </c>
      <c r="C220" s="384" t="s">
        <v>82</v>
      </c>
      <c r="D220" s="385" t="s">
        <v>5099</v>
      </c>
    </row>
    <row r="221" spans="1:4" x14ac:dyDescent="0.25">
      <c r="A221" s="384" t="s">
        <v>5100</v>
      </c>
      <c r="B221" s="384" t="s">
        <v>5101</v>
      </c>
      <c r="C221" s="384" t="s">
        <v>82</v>
      </c>
      <c r="D221" s="385" t="s">
        <v>5102</v>
      </c>
    </row>
    <row r="222" spans="1:4" x14ac:dyDescent="0.25">
      <c r="A222" s="384" t="s">
        <v>5103</v>
      </c>
      <c r="B222" s="384" t="s">
        <v>5104</v>
      </c>
      <c r="C222" s="384" t="s">
        <v>82</v>
      </c>
      <c r="D222" s="385" t="s">
        <v>5105</v>
      </c>
    </row>
    <row r="223" spans="1:4" x14ac:dyDescent="0.25">
      <c r="A223" s="384" t="s">
        <v>5106</v>
      </c>
      <c r="B223" s="384" t="s">
        <v>5107</v>
      </c>
      <c r="C223" s="384" t="s">
        <v>82</v>
      </c>
      <c r="D223" s="385" t="s">
        <v>5108</v>
      </c>
    </row>
    <row r="224" spans="1:4" x14ac:dyDescent="0.25">
      <c r="A224" s="384" t="s">
        <v>5109</v>
      </c>
      <c r="B224" s="384" t="s">
        <v>5110</v>
      </c>
      <c r="C224" s="384" t="s">
        <v>82</v>
      </c>
      <c r="D224" s="385" t="s">
        <v>5111</v>
      </c>
    </row>
    <row r="225" spans="1:4" x14ac:dyDescent="0.25">
      <c r="A225" s="384" t="s">
        <v>5112</v>
      </c>
      <c r="B225" s="384" t="s">
        <v>5113</v>
      </c>
      <c r="C225" s="384" t="s">
        <v>82</v>
      </c>
      <c r="D225" s="385" t="s">
        <v>5114</v>
      </c>
    </row>
    <row r="226" spans="1:4" x14ac:dyDescent="0.25">
      <c r="A226" s="384" t="s">
        <v>5115</v>
      </c>
      <c r="B226" s="384" t="s">
        <v>5116</v>
      </c>
      <c r="C226" s="384" t="s">
        <v>83</v>
      </c>
      <c r="D226" s="385" t="s">
        <v>5117</v>
      </c>
    </row>
    <row r="227" spans="1:4" x14ac:dyDescent="0.25">
      <c r="A227" s="384" t="s">
        <v>5118</v>
      </c>
      <c r="B227" s="384" t="s">
        <v>5119</v>
      </c>
      <c r="C227" s="384" t="s">
        <v>83</v>
      </c>
      <c r="D227" s="385" t="s">
        <v>5120</v>
      </c>
    </row>
    <row r="228" spans="1:4" x14ac:dyDescent="0.25">
      <c r="A228" s="384" t="s">
        <v>5121</v>
      </c>
      <c r="B228" s="384" t="s">
        <v>5122</v>
      </c>
      <c r="C228" s="384" t="s">
        <v>83</v>
      </c>
      <c r="D228" s="385" t="s">
        <v>5123</v>
      </c>
    </row>
    <row r="229" spans="1:4" x14ac:dyDescent="0.25">
      <c r="A229" s="384" t="s">
        <v>5124</v>
      </c>
      <c r="B229" s="384" t="s">
        <v>5125</v>
      </c>
      <c r="C229" s="384" t="s">
        <v>83</v>
      </c>
      <c r="D229" s="385" t="s">
        <v>5126</v>
      </c>
    </row>
    <row r="230" spans="1:4" x14ac:dyDescent="0.25">
      <c r="A230" s="384" t="s">
        <v>5127</v>
      </c>
      <c r="B230" s="384" t="s">
        <v>5128</v>
      </c>
      <c r="C230" s="384" t="s">
        <v>83</v>
      </c>
      <c r="D230" s="385" t="s">
        <v>5129</v>
      </c>
    </row>
    <row r="231" spans="1:4" x14ac:dyDescent="0.25">
      <c r="A231" s="384" t="s">
        <v>5130</v>
      </c>
      <c r="B231" s="384" t="s">
        <v>5131</v>
      </c>
      <c r="C231" s="384" t="s">
        <v>83</v>
      </c>
      <c r="D231" s="385" t="s">
        <v>5132</v>
      </c>
    </row>
    <row r="232" spans="1:4" x14ac:dyDescent="0.25">
      <c r="A232" s="384" t="s">
        <v>5133</v>
      </c>
      <c r="B232" s="384" t="s">
        <v>5134</v>
      </c>
      <c r="C232" s="384" t="s">
        <v>83</v>
      </c>
      <c r="D232" s="385" t="s">
        <v>5135</v>
      </c>
    </row>
    <row r="233" spans="1:4" x14ac:dyDescent="0.25">
      <c r="A233" s="384" t="s">
        <v>5136</v>
      </c>
      <c r="B233" s="384" t="s">
        <v>5137</v>
      </c>
      <c r="C233" s="384" t="s">
        <v>83</v>
      </c>
      <c r="D233" s="385" t="s">
        <v>5138</v>
      </c>
    </row>
    <row r="234" spans="1:4" x14ac:dyDescent="0.25">
      <c r="A234" s="384" t="s">
        <v>5139</v>
      </c>
      <c r="B234" s="384" t="s">
        <v>5140</v>
      </c>
      <c r="C234" s="384" t="s">
        <v>83</v>
      </c>
      <c r="D234" s="385" t="s">
        <v>5141</v>
      </c>
    </row>
    <row r="235" spans="1:4" x14ac:dyDescent="0.25">
      <c r="A235" s="384" t="s">
        <v>5142</v>
      </c>
      <c r="B235" s="384" t="s">
        <v>5143</v>
      </c>
      <c r="C235" s="384" t="s">
        <v>83</v>
      </c>
      <c r="D235" s="385" t="s">
        <v>5144</v>
      </c>
    </row>
    <row r="236" spans="1:4" x14ac:dyDescent="0.25">
      <c r="A236" s="384" t="s">
        <v>5145</v>
      </c>
      <c r="B236" s="384" t="s">
        <v>5146</v>
      </c>
      <c r="C236" s="384" t="s">
        <v>83</v>
      </c>
      <c r="D236" s="385" t="s">
        <v>5147</v>
      </c>
    </row>
    <row r="237" spans="1:4" x14ac:dyDescent="0.25">
      <c r="A237" s="384" t="s">
        <v>5148</v>
      </c>
      <c r="B237" s="384" t="s">
        <v>5149</v>
      </c>
      <c r="C237" s="384" t="s">
        <v>83</v>
      </c>
      <c r="D237" s="385" t="s">
        <v>5150</v>
      </c>
    </row>
    <row r="238" spans="1:4" x14ac:dyDescent="0.25">
      <c r="A238" s="384" t="s">
        <v>5151</v>
      </c>
      <c r="B238" s="384" t="s">
        <v>5152</v>
      </c>
      <c r="C238" s="384" t="s">
        <v>83</v>
      </c>
      <c r="D238" s="385" t="s">
        <v>5153</v>
      </c>
    </row>
    <row r="239" spans="1:4" x14ac:dyDescent="0.25">
      <c r="A239" s="384" t="s">
        <v>5154</v>
      </c>
      <c r="B239" s="384" t="s">
        <v>5155</v>
      </c>
      <c r="C239" s="384" t="s">
        <v>83</v>
      </c>
      <c r="D239" s="385" t="s">
        <v>5156</v>
      </c>
    </row>
    <row r="240" spans="1:4" x14ac:dyDescent="0.25">
      <c r="A240" s="384" t="s">
        <v>5157</v>
      </c>
      <c r="B240" s="384" t="s">
        <v>5158</v>
      </c>
      <c r="C240" s="384" t="s">
        <v>83</v>
      </c>
      <c r="D240" s="385" t="s">
        <v>5159</v>
      </c>
    </row>
    <row r="241" spans="1:4" x14ac:dyDescent="0.25">
      <c r="A241" s="384" t="s">
        <v>5160</v>
      </c>
      <c r="B241" s="384" t="s">
        <v>5161</v>
      </c>
      <c r="C241" s="384" t="s">
        <v>83</v>
      </c>
      <c r="D241" s="385" t="s">
        <v>5162</v>
      </c>
    </row>
    <row r="242" spans="1:4" x14ac:dyDescent="0.25">
      <c r="A242" s="384" t="s">
        <v>5163</v>
      </c>
      <c r="B242" s="384" t="s">
        <v>5164</v>
      </c>
      <c r="C242" s="384" t="s">
        <v>83</v>
      </c>
      <c r="D242" s="385" t="s">
        <v>5165</v>
      </c>
    </row>
    <row r="243" spans="1:4" x14ac:dyDescent="0.25">
      <c r="A243" s="384" t="s">
        <v>5166</v>
      </c>
      <c r="B243" s="384" t="s">
        <v>5167</v>
      </c>
      <c r="C243" s="384" t="s">
        <v>83</v>
      </c>
      <c r="D243" s="385" t="s">
        <v>5168</v>
      </c>
    </row>
    <row r="244" spans="1:4" x14ac:dyDescent="0.25">
      <c r="A244" s="384" t="s">
        <v>5169</v>
      </c>
      <c r="B244" s="384" t="s">
        <v>5170</v>
      </c>
      <c r="C244" s="384" t="s">
        <v>83</v>
      </c>
      <c r="D244" s="385" t="s">
        <v>5171</v>
      </c>
    </row>
    <row r="245" spans="1:4" x14ac:dyDescent="0.25">
      <c r="A245" s="384" t="s">
        <v>5172</v>
      </c>
      <c r="B245" s="384" t="s">
        <v>5173</v>
      </c>
      <c r="C245" s="384" t="s">
        <v>83</v>
      </c>
      <c r="D245" s="385" t="s">
        <v>5174</v>
      </c>
    </row>
    <row r="246" spans="1:4" x14ac:dyDescent="0.25">
      <c r="A246" s="384" t="s">
        <v>5175</v>
      </c>
      <c r="B246" s="384" t="s">
        <v>5176</v>
      </c>
      <c r="C246" s="384" t="s">
        <v>83</v>
      </c>
      <c r="D246" s="385" t="s">
        <v>5177</v>
      </c>
    </row>
    <row r="247" spans="1:4" x14ac:dyDescent="0.25">
      <c r="A247" s="384" t="s">
        <v>5178</v>
      </c>
      <c r="B247" s="384" t="s">
        <v>5179</v>
      </c>
      <c r="C247" s="384" t="s">
        <v>83</v>
      </c>
      <c r="D247" s="385" t="s">
        <v>5180</v>
      </c>
    </row>
    <row r="248" spans="1:4" x14ac:dyDescent="0.25">
      <c r="A248" s="384" t="s">
        <v>5181</v>
      </c>
      <c r="B248" s="384" t="s">
        <v>5182</v>
      </c>
      <c r="C248" s="384" t="s">
        <v>83</v>
      </c>
      <c r="D248" s="385" t="s">
        <v>5183</v>
      </c>
    </row>
    <row r="249" spans="1:4" x14ac:dyDescent="0.25">
      <c r="A249" s="384" t="s">
        <v>5184</v>
      </c>
      <c r="B249" s="384" t="s">
        <v>5185</v>
      </c>
      <c r="C249" s="384" t="s">
        <v>83</v>
      </c>
      <c r="D249" s="385" t="s">
        <v>5186</v>
      </c>
    </row>
    <row r="250" spans="1:4" x14ac:dyDescent="0.25">
      <c r="A250" s="384" t="s">
        <v>5187</v>
      </c>
      <c r="B250" s="384" t="s">
        <v>5188</v>
      </c>
      <c r="C250" s="384" t="s">
        <v>83</v>
      </c>
      <c r="D250" s="385" t="s">
        <v>5189</v>
      </c>
    </row>
    <row r="251" spans="1:4" x14ac:dyDescent="0.25">
      <c r="A251" s="384" t="s">
        <v>5190</v>
      </c>
      <c r="B251" s="384" t="s">
        <v>5191</v>
      </c>
      <c r="C251" s="384" t="s">
        <v>83</v>
      </c>
      <c r="D251" s="385" t="s">
        <v>5192</v>
      </c>
    </row>
    <row r="252" spans="1:4" x14ac:dyDescent="0.25">
      <c r="A252" s="384" t="s">
        <v>5193</v>
      </c>
      <c r="B252" s="384" t="s">
        <v>5194</v>
      </c>
      <c r="C252" s="384" t="s">
        <v>83</v>
      </c>
      <c r="D252" s="385" t="s">
        <v>5195</v>
      </c>
    </row>
    <row r="253" spans="1:4" x14ac:dyDescent="0.25">
      <c r="A253" s="384" t="s">
        <v>5196</v>
      </c>
      <c r="B253" s="384" t="s">
        <v>5197</v>
      </c>
      <c r="C253" s="384" t="s">
        <v>83</v>
      </c>
      <c r="D253" s="385" t="s">
        <v>5198</v>
      </c>
    </row>
    <row r="254" spans="1:4" x14ac:dyDescent="0.25">
      <c r="A254" s="384" t="s">
        <v>5199</v>
      </c>
      <c r="B254" s="384" t="s">
        <v>5200</v>
      </c>
      <c r="C254" s="384" t="s">
        <v>83</v>
      </c>
      <c r="D254" s="385" t="s">
        <v>5201</v>
      </c>
    </row>
    <row r="255" spans="1:4" x14ac:dyDescent="0.25">
      <c r="A255" s="384" t="s">
        <v>5202</v>
      </c>
      <c r="B255" s="384" t="s">
        <v>5203</v>
      </c>
      <c r="C255" s="384" t="s">
        <v>83</v>
      </c>
      <c r="D255" s="385" t="s">
        <v>5204</v>
      </c>
    </row>
    <row r="256" spans="1:4" x14ac:dyDescent="0.25">
      <c r="A256" s="384" t="s">
        <v>5205</v>
      </c>
      <c r="B256" s="384" t="s">
        <v>5206</v>
      </c>
      <c r="C256" s="384" t="s">
        <v>83</v>
      </c>
      <c r="D256" s="385" t="s">
        <v>5207</v>
      </c>
    </row>
    <row r="257" spans="1:4" x14ac:dyDescent="0.25">
      <c r="A257" s="384" t="s">
        <v>5208</v>
      </c>
      <c r="B257" s="384" t="s">
        <v>5209</v>
      </c>
      <c r="C257" s="384" t="s">
        <v>83</v>
      </c>
      <c r="D257" s="385" t="s">
        <v>5210</v>
      </c>
    </row>
    <row r="258" spans="1:4" x14ac:dyDescent="0.25">
      <c r="A258" s="384" t="s">
        <v>5211</v>
      </c>
      <c r="B258" s="384" t="s">
        <v>5212</v>
      </c>
      <c r="C258" s="384" t="s">
        <v>83</v>
      </c>
      <c r="D258" s="385" t="s">
        <v>5213</v>
      </c>
    </row>
    <row r="259" spans="1:4" x14ac:dyDescent="0.25">
      <c r="A259" s="384" t="s">
        <v>5214</v>
      </c>
      <c r="B259" s="384" t="s">
        <v>5215</v>
      </c>
      <c r="C259" s="384" t="s">
        <v>83</v>
      </c>
      <c r="D259" s="385" t="s">
        <v>5216</v>
      </c>
    </row>
    <row r="260" spans="1:4" x14ac:dyDescent="0.25">
      <c r="A260" s="384" t="s">
        <v>5217</v>
      </c>
      <c r="B260" s="384" t="s">
        <v>5218</v>
      </c>
      <c r="C260" s="384" t="s">
        <v>83</v>
      </c>
      <c r="D260" s="385" t="s">
        <v>5219</v>
      </c>
    </row>
    <row r="261" spans="1:4" x14ac:dyDescent="0.25">
      <c r="A261" s="384" t="s">
        <v>5220</v>
      </c>
      <c r="B261" s="384" t="s">
        <v>5221</v>
      </c>
      <c r="C261" s="384" t="s">
        <v>83</v>
      </c>
      <c r="D261" s="385" t="s">
        <v>5222</v>
      </c>
    </row>
    <row r="262" spans="1:4" x14ac:dyDescent="0.25">
      <c r="A262" s="384" t="s">
        <v>5223</v>
      </c>
      <c r="B262" s="384" t="s">
        <v>5224</v>
      </c>
      <c r="C262" s="384" t="s">
        <v>83</v>
      </c>
      <c r="D262" s="385" t="s">
        <v>5225</v>
      </c>
    </row>
    <row r="263" spans="1:4" x14ac:dyDescent="0.25">
      <c r="A263" s="384" t="s">
        <v>5226</v>
      </c>
      <c r="B263" s="384" t="s">
        <v>5227</v>
      </c>
      <c r="C263" s="384" t="s">
        <v>83</v>
      </c>
      <c r="D263" s="385" t="s">
        <v>5228</v>
      </c>
    </row>
    <row r="264" spans="1:4" x14ac:dyDescent="0.25">
      <c r="A264" s="384" t="s">
        <v>5229</v>
      </c>
      <c r="B264" s="384" t="s">
        <v>5230</v>
      </c>
      <c r="C264" s="384" t="s">
        <v>83</v>
      </c>
      <c r="D264" s="385" t="s">
        <v>5231</v>
      </c>
    </row>
    <row r="265" spans="1:4" x14ac:dyDescent="0.25">
      <c r="A265" s="384" t="s">
        <v>5232</v>
      </c>
      <c r="B265" s="384" t="s">
        <v>5233</v>
      </c>
      <c r="C265" s="384" t="s">
        <v>83</v>
      </c>
      <c r="D265" s="385" t="s">
        <v>5234</v>
      </c>
    </row>
    <row r="266" spans="1:4" x14ac:dyDescent="0.25">
      <c r="A266" s="384" t="s">
        <v>5235</v>
      </c>
      <c r="B266" s="384" t="s">
        <v>5236</v>
      </c>
      <c r="C266" s="384" t="s">
        <v>83</v>
      </c>
      <c r="D266" s="385" t="s">
        <v>5237</v>
      </c>
    </row>
    <row r="267" spans="1:4" x14ac:dyDescent="0.25">
      <c r="A267" s="384" t="s">
        <v>5238</v>
      </c>
      <c r="B267" s="384" t="s">
        <v>5239</v>
      </c>
      <c r="C267" s="384" t="s">
        <v>83</v>
      </c>
      <c r="D267" s="385" t="s">
        <v>5240</v>
      </c>
    </row>
    <row r="268" spans="1:4" x14ac:dyDescent="0.25">
      <c r="A268" s="384" t="s">
        <v>5241</v>
      </c>
      <c r="B268" s="384" t="s">
        <v>5242</v>
      </c>
      <c r="C268" s="384" t="s">
        <v>83</v>
      </c>
      <c r="D268" s="385" t="s">
        <v>5243</v>
      </c>
    </row>
    <row r="269" spans="1:4" x14ac:dyDescent="0.25">
      <c r="A269" s="384" t="s">
        <v>5244</v>
      </c>
      <c r="B269" s="384" t="s">
        <v>5245</v>
      </c>
      <c r="C269" s="384" t="s">
        <v>83</v>
      </c>
      <c r="D269" s="385" t="s">
        <v>5246</v>
      </c>
    </row>
    <row r="270" spans="1:4" x14ac:dyDescent="0.25">
      <c r="A270" s="384" t="s">
        <v>5247</v>
      </c>
      <c r="B270" s="384" t="s">
        <v>5248</v>
      </c>
      <c r="C270" s="384" t="s">
        <v>83</v>
      </c>
      <c r="D270" s="385" t="s">
        <v>5249</v>
      </c>
    </row>
    <row r="271" spans="1:4" x14ac:dyDescent="0.25">
      <c r="A271" s="384" t="s">
        <v>5250</v>
      </c>
      <c r="B271" s="384" t="s">
        <v>5251</v>
      </c>
      <c r="C271" s="384" t="s">
        <v>83</v>
      </c>
      <c r="D271" s="385" t="s">
        <v>5252</v>
      </c>
    </row>
    <row r="272" spans="1:4" x14ac:dyDescent="0.25">
      <c r="A272" s="384" t="s">
        <v>5253</v>
      </c>
      <c r="B272" s="384" t="s">
        <v>5254</v>
      </c>
      <c r="C272" s="384" t="s">
        <v>83</v>
      </c>
      <c r="D272" s="385" t="s">
        <v>5255</v>
      </c>
    </row>
    <row r="273" spans="1:4" x14ac:dyDescent="0.25">
      <c r="A273" s="384" t="s">
        <v>5256</v>
      </c>
      <c r="B273" s="384" t="s">
        <v>5257</v>
      </c>
      <c r="C273" s="384" t="s">
        <v>83</v>
      </c>
      <c r="D273" s="385" t="s">
        <v>5258</v>
      </c>
    </row>
    <row r="274" spans="1:4" x14ac:dyDescent="0.25">
      <c r="A274" s="384" t="s">
        <v>5259</v>
      </c>
      <c r="B274" s="384" t="s">
        <v>5260</v>
      </c>
      <c r="C274" s="384" t="s">
        <v>2884</v>
      </c>
      <c r="D274" s="385" t="s">
        <v>5261</v>
      </c>
    </row>
    <row r="275" spans="1:4" x14ac:dyDescent="0.25">
      <c r="A275" s="384" t="s">
        <v>5262</v>
      </c>
      <c r="B275" s="384" t="s">
        <v>5263</v>
      </c>
      <c r="C275" s="384" t="s">
        <v>2884</v>
      </c>
      <c r="D275" s="385" t="s">
        <v>5264</v>
      </c>
    </row>
    <row r="276" spans="1:4" x14ac:dyDescent="0.25">
      <c r="A276" s="384" t="s">
        <v>5265</v>
      </c>
      <c r="B276" s="384" t="s">
        <v>5266</v>
      </c>
      <c r="C276" s="384" t="s">
        <v>2884</v>
      </c>
      <c r="D276" s="385" t="s">
        <v>5267</v>
      </c>
    </row>
    <row r="277" spans="1:4" x14ac:dyDescent="0.25">
      <c r="A277" s="384" t="s">
        <v>5268</v>
      </c>
      <c r="B277" s="384" t="s">
        <v>5269</v>
      </c>
      <c r="C277" s="384" t="s">
        <v>2884</v>
      </c>
      <c r="D277" s="385" t="s">
        <v>5270</v>
      </c>
    </row>
    <row r="278" spans="1:4" x14ac:dyDescent="0.25">
      <c r="A278" s="384" t="s">
        <v>5271</v>
      </c>
      <c r="B278" s="384" t="s">
        <v>5272</v>
      </c>
      <c r="C278" s="384" t="s">
        <v>2884</v>
      </c>
      <c r="D278" s="385" t="s">
        <v>5273</v>
      </c>
    </row>
    <row r="279" spans="1:4" x14ac:dyDescent="0.25">
      <c r="A279" s="384" t="s">
        <v>5274</v>
      </c>
      <c r="B279" s="384" t="s">
        <v>5275</v>
      </c>
      <c r="C279" s="384" t="s">
        <v>2884</v>
      </c>
      <c r="D279" s="385" t="s">
        <v>5276</v>
      </c>
    </row>
    <row r="280" spans="1:4" x14ac:dyDescent="0.25">
      <c r="A280" s="384" t="s">
        <v>5277</v>
      </c>
      <c r="B280" s="384" t="s">
        <v>5278</v>
      </c>
      <c r="C280" s="384" t="s">
        <v>2884</v>
      </c>
      <c r="D280" s="385" t="s">
        <v>5279</v>
      </c>
    </row>
    <row r="281" spans="1:4" x14ac:dyDescent="0.25">
      <c r="A281" s="384" t="s">
        <v>5280</v>
      </c>
      <c r="B281" s="384" t="s">
        <v>5281</v>
      </c>
      <c r="C281" s="384" t="s">
        <v>2884</v>
      </c>
      <c r="D281" s="385" t="s">
        <v>5282</v>
      </c>
    </row>
    <row r="282" spans="1:4" x14ac:dyDescent="0.25">
      <c r="A282" s="384" t="s">
        <v>5283</v>
      </c>
      <c r="B282" s="384" t="s">
        <v>5284</v>
      </c>
      <c r="C282" s="384" t="s">
        <v>83</v>
      </c>
      <c r="D282" s="385" t="s">
        <v>5285</v>
      </c>
    </row>
    <row r="283" spans="1:4" x14ac:dyDescent="0.25">
      <c r="A283" s="384" t="s">
        <v>5286</v>
      </c>
      <c r="B283" s="384" t="s">
        <v>5287</v>
      </c>
      <c r="C283" s="384" t="s">
        <v>83</v>
      </c>
      <c r="D283" s="385" t="s">
        <v>5288</v>
      </c>
    </row>
    <row r="284" spans="1:4" x14ac:dyDescent="0.25">
      <c r="A284" s="384" t="s">
        <v>5289</v>
      </c>
      <c r="B284" s="384" t="s">
        <v>5290</v>
      </c>
      <c r="C284" s="384" t="s">
        <v>2884</v>
      </c>
      <c r="D284" s="385" t="s">
        <v>5291</v>
      </c>
    </row>
    <row r="285" spans="1:4" x14ac:dyDescent="0.25">
      <c r="A285" s="384" t="s">
        <v>5292</v>
      </c>
      <c r="B285" s="384" t="s">
        <v>5293</v>
      </c>
      <c r="C285" s="384" t="s">
        <v>2884</v>
      </c>
      <c r="D285" s="385" t="s">
        <v>5294</v>
      </c>
    </row>
    <row r="286" spans="1:4" x14ac:dyDescent="0.25">
      <c r="A286" s="384" t="s">
        <v>5295</v>
      </c>
      <c r="B286" s="384" t="s">
        <v>5296</v>
      </c>
      <c r="C286" s="384" t="s">
        <v>2884</v>
      </c>
      <c r="D286" s="385" t="s">
        <v>5297</v>
      </c>
    </row>
    <row r="287" spans="1:4" x14ac:dyDescent="0.25">
      <c r="A287" s="384" t="s">
        <v>5298</v>
      </c>
      <c r="B287" s="384" t="s">
        <v>5299</v>
      </c>
      <c r="C287" s="384" t="s">
        <v>2884</v>
      </c>
      <c r="D287" s="385" t="s">
        <v>5300</v>
      </c>
    </row>
    <row r="288" spans="1:4" x14ac:dyDescent="0.25">
      <c r="A288" s="384" t="s">
        <v>5301</v>
      </c>
      <c r="B288" s="384" t="s">
        <v>5302</v>
      </c>
      <c r="C288" s="384" t="s">
        <v>2884</v>
      </c>
      <c r="D288" s="385" t="s">
        <v>5303</v>
      </c>
    </row>
    <row r="289" spans="1:4" x14ac:dyDescent="0.25">
      <c r="A289" s="384" t="s">
        <v>5304</v>
      </c>
      <c r="B289" s="384" t="s">
        <v>5305</v>
      </c>
      <c r="C289" s="384" t="s">
        <v>2884</v>
      </c>
      <c r="D289" s="385" t="s">
        <v>5306</v>
      </c>
    </row>
    <row r="290" spans="1:4" x14ac:dyDescent="0.25">
      <c r="A290" s="384" t="s">
        <v>5307</v>
      </c>
      <c r="B290" s="384" t="s">
        <v>5308</v>
      </c>
      <c r="C290" s="384" t="s">
        <v>2884</v>
      </c>
      <c r="D290" s="385" t="s">
        <v>5309</v>
      </c>
    </row>
    <row r="291" spans="1:4" x14ac:dyDescent="0.25">
      <c r="A291" s="384" t="s">
        <v>5310</v>
      </c>
      <c r="B291" s="384" t="s">
        <v>5311</v>
      </c>
      <c r="C291" s="384" t="s">
        <v>2884</v>
      </c>
      <c r="D291" s="385" t="s">
        <v>5312</v>
      </c>
    </row>
    <row r="292" spans="1:4" x14ac:dyDescent="0.25">
      <c r="A292" s="384" t="s">
        <v>5313</v>
      </c>
      <c r="B292" s="384" t="s">
        <v>5314</v>
      </c>
      <c r="C292" s="384" t="s">
        <v>2884</v>
      </c>
      <c r="D292" s="385" t="s">
        <v>5315</v>
      </c>
    </row>
    <row r="293" spans="1:4" x14ac:dyDescent="0.25">
      <c r="A293" s="384" t="s">
        <v>5316</v>
      </c>
      <c r="B293" s="384" t="s">
        <v>5317</v>
      </c>
      <c r="C293" s="384" t="s">
        <v>2884</v>
      </c>
      <c r="D293" s="385" t="s">
        <v>5318</v>
      </c>
    </row>
    <row r="294" spans="1:4" x14ac:dyDescent="0.25">
      <c r="A294" s="384" t="s">
        <v>5319</v>
      </c>
      <c r="B294" s="384" t="s">
        <v>5320</v>
      </c>
      <c r="C294" s="384" t="s">
        <v>2884</v>
      </c>
      <c r="D294" s="385" t="s">
        <v>5321</v>
      </c>
    </row>
    <row r="295" spans="1:4" x14ac:dyDescent="0.25">
      <c r="A295" s="384" t="s">
        <v>5322</v>
      </c>
      <c r="B295" s="384" t="s">
        <v>5323</v>
      </c>
      <c r="C295" s="384" t="s">
        <v>2884</v>
      </c>
      <c r="D295" s="385" t="s">
        <v>5324</v>
      </c>
    </row>
    <row r="296" spans="1:4" x14ac:dyDescent="0.25">
      <c r="A296" s="384" t="s">
        <v>5325</v>
      </c>
      <c r="B296" s="384" t="s">
        <v>5326</v>
      </c>
      <c r="C296" s="384" t="s">
        <v>2884</v>
      </c>
      <c r="D296" s="385" t="s">
        <v>5327</v>
      </c>
    </row>
    <row r="297" spans="1:4" x14ac:dyDescent="0.25">
      <c r="A297" s="384" t="s">
        <v>5328</v>
      </c>
      <c r="B297" s="384" t="s">
        <v>5329</v>
      </c>
      <c r="C297" s="384" t="s">
        <v>2884</v>
      </c>
      <c r="D297" s="385" t="s">
        <v>5330</v>
      </c>
    </row>
    <row r="298" spans="1:4" x14ac:dyDescent="0.25">
      <c r="A298" s="384" t="s">
        <v>5331</v>
      </c>
      <c r="B298" s="384" t="s">
        <v>5332</v>
      </c>
      <c r="C298" s="384" t="s">
        <v>2884</v>
      </c>
      <c r="D298" s="385" t="s">
        <v>5333</v>
      </c>
    </row>
    <row r="299" spans="1:4" x14ac:dyDescent="0.25">
      <c r="A299" s="384" t="s">
        <v>5334</v>
      </c>
      <c r="B299" s="384" t="s">
        <v>5335</v>
      </c>
      <c r="C299" s="384" t="s">
        <v>2884</v>
      </c>
      <c r="D299" s="385" t="s">
        <v>5336</v>
      </c>
    </row>
    <row r="300" spans="1:4" x14ac:dyDescent="0.25">
      <c r="A300" s="384" t="s">
        <v>5337</v>
      </c>
      <c r="B300" s="384" t="s">
        <v>5338</v>
      </c>
      <c r="C300" s="384" t="s">
        <v>2884</v>
      </c>
      <c r="D300" s="385" t="s">
        <v>5339</v>
      </c>
    </row>
    <row r="301" spans="1:4" x14ac:dyDescent="0.25">
      <c r="A301" s="384" t="s">
        <v>5340</v>
      </c>
      <c r="B301" s="384" t="s">
        <v>5341</v>
      </c>
      <c r="C301" s="384" t="s">
        <v>2884</v>
      </c>
      <c r="D301" s="385" t="s">
        <v>5342</v>
      </c>
    </row>
    <row r="302" spans="1:4" x14ac:dyDescent="0.25">
      <c r="A302" s="384" t="s">
        <v>5343</v>
      </c>
      <c r="B302" s="384" t="s">
        <v>5344</v>
      </c>
      <c r="C302" s="384" t="s">
        <v>2884</v>
      </c>
      <c r="D302" s="385" t="s">
        <v>5345</v>
      </c>
    </row>
    <row r="303" spans="1:4" x14ac:dyDescent="0.25">
      <c r="A303" s="384" t="s">
        <v>5346</v>
      </c>
      <c r="B303" s="384" t="s">
        <v>5347</v>
      </c>
      <c r="C303" s="384" t="s">
        <v>2884</v>
      </c>
      <c r="D303" s="385" t="s">
        <v>5348</v>
      </c>
    </row>
    <row r="304" spans="1:4" x14ac:dyDescent="0.25">
      <c r="A304" s="384" t="s">
        <v>5349</v>
      </c>
      <c r="B304" s="384" t="s">
        <v>5350</v>
      </c>
      <c r="C304" s="384" t="s">
        <v>2884</v>
      </c>
      <c r="D304" s="385" t="s">
        <v>5351</v>
      </c>
    </row>
    <row r="305" spans="1:4" x14ac:dyDescent="0.25">
      <c r="A305" s="384" t="s">
        <v>5352</v>
      </c>
      <c r="B305" s="384" t="s">
        <v>5353</v>
      </c>
      <c r="C305" s="384" t="s">
        <v>2884</v>
      </c>
      <c r="D305" s="385" t="s">
        <v>5354</v>
      </c>
    </row>
    <row r="306" spans="1:4" x14ac:dyDescent="0.25">
      <c r="A306" s="384" t="s">
        <v>5355</v>
      </c>
      <c r="B306" s="384" t="s">
        <v>5356</v>
      </c>
      <c r="C306" s="384" t="s">
        <v>2884</v>
      </c>
      <c r="D306" s="385" t="s">
        <v>5357</v>
      </c>
    </row>
    <row r="307" spans="1:4" x14ac:dyDescent="0.25">
      <c r="A307" s="384" t="s">
        <v>5358</v>
      </c>
      <c r="B307" s="384" t="s">
        <v>5359</v>
      </c>
      <c r="C307" s="384" t="s">
        <v>83</v>
      </c>
      <c r="D307" s="385" t="s">
        <v>5360</v>
      </c>
    </row>
    <row r="308" spans="1:4" x14ac:dyDescent="0.25">
      <c r="A308" s="384" t="s">
        <v>5361</v>
      </c>
      <c r="B308" s="384" t="s">
        <v>5362</v>
      </c>
      <c r="C308" s="384" t="s">
        <v>83</v>
      </c>
      <c r="D308" s="385" t="s">
        <v>5363</v>
      </c>
    </row>
    <row r="309" spans="1:4" x14ac:dyDescent="0.25">
      <c r="A309" s="384" t="s">
        <v>5364</v>
      </c>
      <c r="B309" s="384" t="s">
        <v>5365</v>
      </c>
      <c r="C309" s="384" t="s">
        <v>4443</v>
      </c>
      <c r="D309" s="385" t="s">
        <v>5366</v>
      </c>
    </row>
    <row r="310" spans="1:4" x14ac:dyDescent="0.25">
      <c r="A310" s="384" t="s">
        <v>5367</v>
      </c>
      <c r="B310" s="384" t="s">
        <v>5368</v>
      </c>
      <c r="C310" s="384" t="s">
        <v>4443</v>
      </c>
      <c r="D310" s="385" t="s">
        <v>5369</v>
      </c>
    </row>
    <row r="311" spans="1:4" x14ac:dyDescent="0.25">
      <c r="A311" s="384" t="s">
        <v>5370</v>
      </c>
      <c r="B311" s="384" t="s">
        <v>5371</v>
      </c>
      <c r="C311" s="384" t="s">
        <v>4443</v>
      </c>
      <c r="D311" s="385" t="s">
        <v>5372</v>
      </c>
    </row>
    <row r="312" spans="1:4" x14ac:dyDescent="0.25">
      <c r="A312" s="384" t="s">
        <v>5373</v>
      </c>
      <c r="B312" s="384" t="s">
        <v>5374</v>
      </c>
      <c r="C312" s="384" t="s">
        <v>4443</v>
      </c>
      <c r="D312" s="385" t="s">
        <v>5375</v>
      </c>
    </row>
    <row r="313" spans="1:4" x14ac:dyDescent="0.25">
      <c r="A313" s="384" t="s">
        <v>5376</v>
      </c>
      <c r="B313" s="384" t="s">
        <v>5377</v>
      </c>
      <c r="C313" s="384" t="s">
        <v>4443</v>
      </c>
      <c r="D313" s="385" t="s">
        <v>5378</v>
      </c>
    </row>
    <row r="314" spans="1:4" x14ac:dyDescent="0.25">
      <c r="A314" s="384" t="s">
        <v>5379</v>
      </c>
      <c r="B314" s="384" t="s">
        <v>5380</v>
      </c>
      <c r="C314" s="384" t="s">
        <v>4443</v>
      </c>
      <c r="D314" s="385" t="s">
        <v>5381</v>
      </c>
    </row>
    <row r="315" spans="1:4" x14ac:dyDescent="0.25">
      <c r="A315" s="384" t="s">
        <v>5382</v>
      </c>
      <c r="B315" s="384" t="s">
        <v>5383</v>
      </c>
      <c r="C315" s="384" t="s">
        <v>4443</v>
      </c>
      <c r="D315" s="385" t="s">
        <v>5384</v>
      </c>
    </row>
    <row r="316" spans="1:4" x14ac:dyDescent="0.25">
      <c r="A316" s="384" t="s">
        <v>5385</v>
      </c>
      <c r="B316" s="384" t="s">
        <v>5386</v>
      </c>
      <c r="C316" s="384" t="s">
        <v>4443</v>
      </c>
      <c r="D316" s="385" t="s">
        <v>5387</v>
      </c>
    </row>
    <row r="317" spans="1:4" x14ac:dyDescent="0.25">
      <c r="A317" s="384" t="s">
        <v>5388</v>
      </c>
      <c r="B317" s="384" t="s">
        <v>5389</v>
      </c>
      <c r="C317" s="384" t="s">
        <v>4443</v>
      </c>
      <c r="D317" s="385" t="s">
        <v>5390</v>
      </c>
    </row>
    <row r="318" spans="1:4" x14ac:dyDescent="0.25">
      <c r="A318" s="384" t="s">
        <v>5391</v>
      </c>
      <c r="B318" s="384" t="s">
        <v>5392</v>
      </c>
      <c r="C318" s="384" t="s">
        <v>4443</v>
      </c>
      <c r="D318" s="385" t="s">
        <v>5393</v>
      </c>
    </row>
    <row r="319" spans="1:4" x14ac:dyDescent="0.25">
      <c r="A319" s="384" t="s">
        <v>5394</v>
      </c>
      <c r="B319" s="384" t="s">
        <v>5395</v>
      </c>
      <c r="C319" s="384" t="s">
        <v>4443</v>
      </c>
      <c r="D319" s="385" t="s">
        <v>5396</v>
      </c>
    </row>
    <row r="320" spans="1:4" x14ac:dyDescent="0.25">
      <c r="A320" s="384" t="s">
        <v>5397</v>
      </c>
      <c r="B320" s="384" t="s">
        <v>5398</v>
      </c>
      <c r="C320" s="384" t="s">
        <v>4443</v>
      </c>
      <c r="D320" s="385" t="s">
        <v>5399</v>
      </c>
    </row>
    <row r="321" spans="1:4" x14ac:dyDescent="0.25">
      <c r="A321" s="384" t="s">
        <v>5400</v>
      </c>
      <c r="B321" s="384" t="s">
        <v>5401</v>
      </c>
      <c r="C321" s="384" t="s">
        <v>4443</v>
      </c>
      <c r="D321" s="385" t="s">
        <v>5402</v>
      </c>
    </row>
    <row r="322" spans="1:4" x14ac:dyDescent="0.25">
      <c r="A322" s="384" t="s">
        <v>5403</v>
      </c>
      <c r="B322" s="384" t="s">
        <v>5404</v>
      </c>
      <c r="C322" s="384" t="s">
        <v>4443</v>
      </c>
      <c r="D322" s="385" t="s">
        <v>5405</v>
      </c>
    </row>
    <row r="323" spans="1:4" x14ac:dyDescent="0.25">
      <c r="A323" s="384" t="s">
        <v>5406</v>
      </c>
      <c r="B323" s="384" t="s">
        <v>5407</v>
      </c>
      <c r="C323" s="384" t="s">
        <v>4443</v>
      </c>
      <c r="D323" s="385" t="s">
        <v>5408</v>
      </c>
    </row>
    <row r="324" spans="1:4" x14ac:dyDescent="0.25">
      <c r="A324" s="384" t="s">
        <v>5409</v>
      </c>
      <c r="B324" s="384" t="s">
        <v>5410</v>
      </c>
      <c r="C324" s="384" t="s">
        <v>4443</v>
      </c>
      <c r="D324" s="385" t="s">
        <v>5411</v>
      </c>
    </row>
    <row r="325" spans="1:4" x14ac:dyDescent="0.25">
      <c r="A325" s="384" t="s">
        <v>5412</v>
      </c>
      <c r="B325" s="384" t="s">
        <v>5413</v>
      </c>
      <c r="C325" s="384" t="s">
        <v>4443</v>
      </c>
      <c r="D325" s="385" t="s">
        <v>5414</v>
      </c>
    </row>
    <row r="326" spans="1:4" x14ac:dyDescent="0.25">
      <c r="A326" s="384" t="s">
        <v>5415</v>
      </c>
      <c r="B326" s="384" t="s">
        <v>5416</v>
      </c>
      <c r="C326" s="384" t="s">
        <v>4443</v>
      </c>
      <c r="D326" s="385" t="s">
        <v>5417</v>
      </c>
    </row>
    <row r="327" spans="1:4" x14ac:dyDescent="0.25">
      <c r="A327" s="384" t="s">
        <v>5418</v>
      </c>
      <c r="B327" s="384" t="s">
        <v>5419</v>
      </c>
      <c r="C327" s="384" t="s">
        <v>4443</v>
      </c>
      <c r="D327" s="385" t="s">
        <v>5420</v>
      </c>
    </row>
    <row r="328" spans="1:4" x14ac:dyDescent="0.25">
      <c r="A328" s="384" t="s">
        <v>5421</v>
      </c>
      <c r="B328" s="384" t="s">
        <v>5422</v>
      </c>
      <c r="C328" s="384" t="s">
        <v>4443</v>
      </c>
      <c r="D328" s="385" t="s">
        <v>5423</v>
      </c>
    </row>
    <row r="329" spans="1:4" x14ac:dyDescent="0.25">
      <c r="A329" s="384" t="s">
        <v>5424</v>
      </c>
      <c r="B329" s="384" t="s">
        <v>5425</v>
      </c>
      <c r="C329" s="384" t="s">
        <v>4443</v>
      </c>
      <c r="D329" s="385" t="s">
        <v>5426</v>
      </c>
    </row>
    <row r="330" spans="1:4" x14ac:dyDescent="0.25">
      <c r="A330" s="384" t="s">
        <v>5427</v>
      </c>
      <c r="B330" s="384" t="s">
        <v>5428</v>
      </c>
      <c r="C330" s="384" t="s">
        <v>4443</v>
      </c>
      <c r="D330" s="385" t="s">
        <v>5429</v>
      </c>
    </row>
    <row r="331" spans="1:4" x14ac:dyDescent="0.25">
      <c r="A331" s="384" t="s">
        <v>5430</v>
      </c>
      <c r="B331" s="384" t="s">
        <v>5431</v>
      </c>
      <c r="C331" s="384" t="s">
        <v>4443</v>
      </c>
      <c r="D331" s="385" t="s">
        <v>5432</v>
      </c>
    </row>
    <row r="332" spans="1:4" x14ac:dyDescent="0.25">
      <c r="A332" s="384" t="s">
        <v>5433</v>
      </c>
      <c r="B332" s="384" t="s">
        <v>5434</v>
      </c>
      <c r="C332" s="384" t="s">
        <v>4443</v>
      </c>
      <c r="D332" s="385" t="s">
        <v>5435</v>
      </c>
    </row>
    <row r="333" spans="1:4" x14ac:dyDescent="0.25">
      <c r="A333" s="384" t="s">
        <v>5436</v>
      </c>
      <c r="B333" s="384" t="s">
        <v>5437</v>
      </c>
      <c r="C333" s="384" t="s">
        <v>4443</v>
      </c>
      <c r="D333" s="385" t="s">
        <v>5438</v>
      </c>
    </row>
    <row r="334" spans="1:4" x14ac:dyDescent="0.25">
      <c r="A334" s="384" t="s">
        <v>5439</v>
      </c>
      <c r="B334" s="384" t="s">
        <v>5440</v>
      </c>
      <c r="C334" s="384" t="s">
        <v>4443</v>
      </c>
      <c r="D334" s="385" t="s">
        <v>5441</v>
      </c>
    </row>
    <row r="335" spans="1:4" x14ac:dyDescent="0.25">
      <c r="A335" s="384" t="s">
        <v>5442</v>
      </c>
      <c r="B335" s="384" t="s">
        <v>5443</v>
      </c>
      <c r="C335" s="384" t="s">
        <v>4443</v>
      </c>
      <c r="D335" s="385" t="s">
        <v>5444</v>
      </c>
    </row>
    <row r="336" spans="1:4" x14ac:dyDescent="0.25">
      <c r="A336" s="384" t="s">
        <v>5445</v>
      </c>
      <c r="B336" s="384" t="s">
        <v>5446</v>
      </c>
      <c r="C336" s="384" t="s">
        <v>4443</v>
      </c>
      <c r="D336" s="385" t="s">
        <v>5447</v>
      </c>
    </row>
    <row r="337" spans="1:4" x14ac:dyDescent="0.25">
      <c r="A337" s="384" t="s">
        <v>5448</v>
      </c>
      <c r="B337" s="384" t="s">
        <v>5449</v>
      </c>
      <c r="C337" s="384" t="s">
        <v>4443</v>
      </c>
      <c r="D337" s="385" t="s">
        <v>5450</v>
      </c>
    </row>
    <row r="338" spans="1:4" x14ac:dyDescent="0.25">
      <c r="A338" s="384" t="s">
        <v>5451</v>
      </c>
      <c r="B338" s="384" t="s">
        <v>5452</v>
      </c>
      <c r="C338" s="384" t="s">
        <v>4443</v>
      </c>
      <c r="D338" s="385" t="s">
        <v>5453</v>
      </c>
    </row>
    <row r="339" spans="1:4" x14ac:dyDescent="0.25">
      <c r="A339" s="384" t="s">
        <v>5454</v>
      </c>
      <c r="B339" s="384" t="s">
        <v>5455</v>
      </c>
      <c r="C339" s="384" t="s">
        <v>4443</v>
      </c>
      <c r="D339" s="385" t="s">
        <v>5456</v>
      </c>
    </row>
    <row r="340" spans="1:4" x14ac:dyDescent="0.25">
      <c r="A340" s="384" t="s">
        <v>5457</v>
      </c>
      <c r="B340" s="384" t="s">
        <v>5458</v>
      </c>
      <c r="C340" s="384" t="s">
        <v>4443</v>
      </c>
      <c r="D340" s="385" t="s">
        <v>5459</v>
      </c>
    </row>
    <row r="341" spans="1:4" x14ac:dyDescent="0.25">
      <c r="A341" s="384" t="s">
        <v>5460</v>
      </c>
      <c r="B341" s="384" t="s">
        <v>5461</v>
      </c>
      <c r="C341" s="384" t="s">
        <v>4443</v>
      </c>
      <c r="D341" s="385" t="s">
        <v>5462</v>
      </c>
    </row>
    <row r="342" spans="1:4" x14ac:dyDescent="0.25">
      <c r="A342" s="384" t="s">
        <v>5463</v>
      </c>
      <c r="B342" s="384" t="s">
        <v>5464</v>
      </c>
      <c r="C342" s="384" t="s">
        <v>4443</v>
      </c>
      <c r="D342" s="385" t="s">
        <v>5465</v>
      </c>
    </row>
    <row r="343" spans="1:4" x14ac:dyDescent="0.25">
      <c r="A343" s="384" t="s">
        <v>5466</v>
      </c>
      <c r="B343" s="384" t="s">
        <v>5467</v>
      </c>
      <c r="C343" s="384" t="s">
        <v>4443</v>
      </c>
      <c r="D343" s="385" t="s">
        <v>5468</v>
      </c>
    </row>
    <row r="344" spans="1:4" x14ac:dyDescent="0.25">
      <c r="A344" s="384" t="s">
        <v>5469</v>
      </c>
      <c r="B344" s="384" t="s">
        <v>5470</v>
      </c>
      <c r="C344" s="384" t="s">
        <v>4443</v>
      </c>
      <c r="D344" s="385" t="s">
        <v>5471</v>
      </c>
    </row>
    <row r="345" spans="1:4" x14ac:dyDescent="0.25">
      <c r="A345" s="384" t="s">
        <v>5472</v>
      </c>
      <c r="B345" s="384" t="s">
        <v>5473</v>
      </c>
      <c r="C345" s="384" t="s">
        <v>4443</v>
      </c>
      <c r="D345" s="385" t="s">
        <v>5474</v>
      </c>
    </row>
    <row r="346" spans="1:4" x14ac:dyDescent="0.25">
      <c r="A346" s="384" t="s">
        <v>5475</v>
      </c>
      <c r="B346" s="384" t="s">
        <v>5476</v>
      </c>
      <c r="C346" s="384" t="s">
        <v>4443</v>
      </c>
      <c r="D346" s="385" t="s">
        <v>5477</v>
      </c>
    </row>
    <row r="347" spans="1:4" x14ac:dyDescent="0.25">
      <c r="A347" s="384" t="s">
        <v>5478</v>
      </c>
      <c r="B347" s="384" t="s">
        <v>5479</v>
      </c>
      <c r="C347" s="384" t="s">
        <v>4443</v>
      </c>
      <c r="D347" s="385" t="s">
        <v>5480</v>
      </c>
    </row>
    <row r="348" spans="1:4" x14ac:dyDescent="0.25">
      <c r="A348" s="384" t="s">
        <v>5481</v>
      </c>
      <c r="B348" s="384" t="s">
        <v>5482</v>
      </c>
      <c r="C348" s="384" t="s">
        <v>4443</v>
      </c>
      <c r="D348" s="385" t="s">
        <v>5483</v>
      </c>
    </row>
    <row r="349" spans="1:4" x14ac:dyDescent="0.25">
      <c r="A349" s="384" t="s">
        <v>5484</v>
      </c>
      <c r="B349" s="384" t="s">
        <v>5485</v>
      </c>
      <c r="C349" s="384" t="s">
        <v>4443</v>
      </c>
      <c r="D349" s="385" t="s">
        <v>5486</v>
      </c>
    </row>
    <row r="350" spans="1:4" x14ac:dyDescent="0.25">
      <c r="A350" s="384" t="s">
        <v>5487</v>
      </c>
      <c r="B350" s="384" t="s">
        <v>5488</v>
      </c>
      <c r="C350" s="384" t="s">
        <v>4443</v>
      </c>
      <c r="D350" s="385" t="s">
        <v>5489</v>
      </c>
    </row>
    <row r="351" spans="1:4" x14ac:dyDescent="0.25">
      <c r="A351" s="384" t="s">
        <v>5490</v>
      </c>
      <c r="B351" s="384" t="s">
        <v>5491</v>
      </c>
      <c r="C351" s="384" t="s">
        <v>4443</v>
      </c>
      <c r="D351" s="385" t="s">
        <v>5492</v>
      </c>
    </row>
    <row r="352" spans="1:4" x14ac:dyDescent="0.25">
      <c r="A352" s="384" t="s">
        <v>5493</v>
      </c>
      <c r="B352" s="384" t="s">
        <v>5494</v>
      </c>
      <c r="C352" s="384" t="s">
        <v>4443</v>
      </c>
      <c r="D352" s="385" t="s">
        <v>5495</v>
      </c>
    </row>
    <row r="353" spans="1:4" x14ac:dyDescent="0.25">
      <c r="A353" s="384" t="s">
        <v>5496</v>
      </c>
      <c r="B353" s="384" t="s">
        <v>5497</v>
      </c>
      <c r="C353" s="384" t="s">
        <v>4443</v>
      </c>
      <c r="D353" s="385" t="s">
        <v>5498</v>
      </c>
    </row>
    <row r="354" spans="1:4" x14ac:dyDescent="0.25">
      <c r="A354" s="384" t="s">
        <v>5499</v>
      </c>
      <c r="B354" s="384" t="s">
        <v>5500</v>
      </c>
      <c r="C354" s="384" t="s">
        <v>4443</v>
      </c>
      <c r="D354" s="385" t="s">
        <v>4763</v>
      </c>
    </row>
    <row r="355" spans="1:4" x14ac:dyDescent="0.25">
      <c r="A355" s="384" t="s">
        <v>5501</v>
      </c>
      <c r="B355" s="384" t="s">
        <v>5502</v>
      </c>
      <c r="C355" s="384" t="s">
        <v>4443</v>
      </c>
      <c r="D355" s="385" t="s">
        <v>4523</v>
      </c>
    </row>
    <row r="356" spans="1:4" x14ac:dyDescent="0.25">
      <c r="A356" s="384" t="s">
        <v>5503</v>
      </c>
      <c r="B356" s="384" t="s">
        <v>5504</v>
      </c>
      <c r="C356" s="384" t="s">
        <v>4443</v>
      </c>
      <c r="D356" s="385" t="s">
        <v>5505</v>
      </c>
    </row>
    <row r="357" spans="1:4" x14ac:dyDescent="0.25">
      <c r="A357" s="384" t="s">
        <v>5506</v>
      </c>
      <c r="B357" s="384" t="s">
        <v>5507</v>
      </c>
      <c r="C357" s="384" t="s">
        <v>4443</v>
      </c>
      <c r="D357" s="385" t="s">
        <v>5508</v>
      </c>
    </row>
    <row r="358" spans="1:4" x14ac:dyDescent="0.25">
      <c r="A358" s="384" t="s">
        <v>5509</v>
      </c>
      <c r="B358" s="384" t="s">
        <v>5510</v>
      </c>
      <c r="C358" s="384" t="s">
        <v>4443</v>
      </c>
      <c r="D358" s="385" t="s">
        <v>5511</v>
      </c>
    </row>
    <row r="359" spans="1:4" x14ac:dyDescent="0.25">
      <c r="A359" s="384" t="s">
        <v>5512</v>
      </c>
      <c r="B359" s="384" t="s">
        <v>5513</v>
      </c>
      <c r="C359" s="384" t="s">
        <v>4443</v>
      </c>
      <c r="D359" s="385" t="s">
        <v>5514</v>
      </c>
    </row>
    <row r="360" spans="1:4" x14ac:dyDescent="0.25">
      <c r="A360" s="384" t="s">
        <v>5515</v>
      </c>
      <c r="B360" s="384" t="s">
        <v>5516</v>
      </c>
      <c r="C360" s="384" t="s">
        <v>4443</v>
      </c>
      <c r="D360" s="385" t="s">
        <v>5517</v>
      </c>
    </row>
    <row r="361" spans="1:4" x14ac:dyDescent="0.25">
      <c r="A361" s="384" t="s">
        <v>5518</v>
      </c>
      <c r="B361" s="384" t="s">
        <v>5519</v>
      </c>
      <c r="C361" s="384" t="s">
        <v>4443</v>
      </c>
      <c r="D361" s="385" t="s">
        <v>5520</v>
      </c>
    </row>
    <row r="362" spans="1:4" x14ac:dyDescent="0.25">
      <c r="A362" s="384" t="s">
        <v>5521</v>
      </c>
      <c r="B362" s="384" t="s">
        <v>5522</v>
      </c>
      <c r="C362" s="384" t="s">
        <v>4443</v>
      </c>
      <c r="D362" s="385" t="s">
        <v>5523</v>
      </c>
    </row>
    <row r="363" spans="1:4" x14ac:dyDescent="0.25">
      <c r="A363" s="384" t="s">
        <v>5524</v>
      </c>
      <c r="B363" s="384" t="s">
        <v>5525</v>
      </c>
      <c r="C363" s="384" t="s">
        <v>4443</v>
      </c>
      <c r="D363" s="385" t="s">
        <v>5526</v>
      </c>
    </row>
    <row r="364" spans="1:4" x14ac:dyDescent="0.25">
      <c r="A364" s="384" t="s">
        <v>5527</v>
      </c>
      <c r="B364" s="384" t="s">
        <v>5528</v>
      </c>
      <c r="C364" s="384" t="s">
        <v>4443</v>
      </c>
      <c r="D364" s="385" t="s">
        <v>5529</v>
      </c>
    </row>
    <row r="365" spans="1:4" x14ac:dyDescent="0.25">
      <c r="A365" s="384" t="s">
        <v>5530</v>
      </c>
      <c r="B365" s="384" t="s">
        <v>5531</v>
      </c>
      <c r="C365" s="384" t="s">
        <v>4443</v>
      </c>
      <c r="D365" s="385" t="s">
        <v>5532</v>
      </c>
    </row>
    <row r="366" spans="1:4" x14ac:dyDescent="0.25">
      <c r="A366" s="384" t="s">
        <v>5533</v>
      </c>
      <c r="B366" s="384" t="s">
        <v>5534</v>
      </c>
      <c r="C366" s="384" t="s">
        <v>4443</v>
      </c>
      <c r="D366" s="385" t="s">
        <v>5535</v>
      </c>
    </row>
    <row r="367" spans="1:4" x14ac:dyDescent="0.25">
      <c r="A367" s="384" t="s">
        <v>5536</v>
      </c>
      <c r="B367" s="384" t="s">
        <v>5537</v>
      </c>
      <c r="C367" s="384" t="s">
        <v>4443</v>
      </c>
      <c r="D367" s="385" t="s">
        <v>5538</v>
      </c>
    </row>
    <row r="368" spans="1:4" x14ac:dyDescent="0.25">
      <c r="A368" s="384" t="s">
        <v>5539</v>
      </c>
      <c r="B368" s="384" t="s">
        <v>5540</v>
      </c>
      <c r="C368" s="384" t="s">
        <v>4443</v>
      </c>
      <c r="D368" s="385" t="s">
        <v>5541</v>
      </c>
    </row>
    <row r="369" spans="1:4" x14ac:dyDescent="0.25">
      <c r="A369" s="384" t="s">
        <v>5542</v>
      </c>
      <c r="B369" s="384" t="s">
        <v>5543</v>
      </c>
      <c r="C369" s="384" t="s">
        <v>4443</v>
      </c>
      <c r="D369" s="385" t="s">
        <v>5544</v>
      </c>
    </row>
    <row r="370" spans="1:4" x14ac:dyDescent="0.25">
      <c r="A370" s="384" t="s">
        <v>5545</v>
      </c>
      <c r="B370" s="384" t="s">
        <v>5546</v>
      </c>
      <c r="C370" s="384" t="s">
        <v>4443</v>
      </c>
      <c r="D370" s="385" t="s">
        <v>5547</v>
      </c>
    </row>
    <row r="371" spans="1:4" x14ac:dyDescent="0.25">
      <c r="A371" s="384" t="s">
        <v>5548</v>
      </c>
      <c r="B371" s="384" t="s">
        <v>5549</v>
      </c>
      <c r="C371" s="384" t="s">
        <v>4443</v>
      </c>
      <c r="D371" s="385" t="s">
        <v>5550</v>
      </c>
    </row>
    <row r="372" spans="1:4" x14ac:dyDescent="0.25">
      <c r="A372" s="384" t="s">
        <v>5551</v>
      </c>
      <c r="B372" s="384" t="s">
        <v>5552</v>
      </c>
      <c r="C372" s="384" t="s">
        <v>4443</v>
      </c>
      <c r="D372" s="385" t="s">
        <v>5553</v>
      </c>
    </row>
    <row r="373" spans="1:4" x14ac:dyDescent="0.25">
      <c r="A373" s="384" t="s">
        <v>5554</v>
      </c>
      <c r="B373" s="384" t="s">
        <v>5555</v>
      </c>
      <c r="C373" s="384" t="s">
        <v>4443</v>
      </c>
      <c r="D373" s="385" t="s">
        <v>5556</v>
      </c>
    </row>
    <row r="374" spans="1:4" x14ac:dyDescent="0.25">
      <c r="A374" s="384" t="s">
        <v>5557</v>
      </c>
      <c r="B374" s="384" t="s">
        <v>5558</v>
      </c>
      <c r="C374" s="384" t="s">
        <v>4443</v>
      </c>
      <c r="D374" s="385" t="s">
        <v>5559</v>
      </c>
    </row>
    <row r="375" spans="1:4" x14ac:dyDescent="0.25">
      <c r="A375" s="384" t="s">
        <v>5560</v>
      </c>
      <c r="B375" s="384" t="s">
        <v>5561</v>
      </c>
      <c r="C375" s="384" t="s">
        <v>4443</v>
      </c>
      <c r="D375" s="385" t="s">
        <v>4706</v>
      </c>
    </row>
    <row r="376" spans="1:4" x14ac:dyDescent="0.25">
      <c r="A376" s="384" t="s">
        <v>5562</v>
      </c>
      <c r="B376" s="384" t="s">
        <v>5563</v>
      </c>
      <c r="C376" s="384" t="s">
        <v>4443</v>
      </c>
      <c r="D376" s="385" t="s">
        <v>5564</v>
      </c>
    </row>
    <row r="377" spans="1:4" x14ac:dyDescent="0.25">
      <c r="A377" s="384" t="s">
        <v>5565</v>
      </c>
      <c r="B377" s="384" t="s">
        <v>5566</v>
      </c>
      <c r="C377" s="384" t="s">
        <v>4443</v>
      </c>
      <c r="D377" s="385" t="s">
        <v>5567</v>
      </c>
    </row>
    <row r="378" spans="1:4" x14ac:dyDescent="0.25">
      <c r="A378" s="384" t="s">
        <v>5568</v>
      </c>
      <c r="B378" s="384" t="s">
        <v>5569</v>
      </c>
      <c r="C378" s="384" t="s">
        <v>4443</v>
      </c>
      <c r="D378" s="385" t="s">
        <v>5570</v>
      </c>
    </row>
    <row r="379" spans="1:4" x14ac:dyDescent="0.25">
      <c r="A379" s="384" t="s">
        <v>5571</v>
      </c>
      <c r="B379" s="384" t="s">
        <v>5572</v>
      </c>
      <c r="C379" s="384" t="s">
        <v>4443</v>
      </c>
      <c r="D379" s="385" t="s">
        <v>5573</v>
      </c>
    </row>
    <row r="380" spans="1:4" x14ac:dyDescent="0.25">
      <c r="A380" s="384" t="s">
        <v>5574</v>
      </c>
      <c r="B380" s="384" t="s">
        <v>5575</v>
      </c>
      <c r="C380" s="384" t="s">
        <v>4443</v>
      </c>
      <c r="D380" s="385" t="s">
        <v>5576</v>
      </c>
    </row>
    <row r="381" spans="1:4" x14ac:dyDescent="0.25">
      <c r="A381" s="384" t="s">
        <v>5577</v>
      </c>
      <c r="B381" s="384" t="s">
        <v>5578</v>
      </c>
      <c r="C381" s="384" t="s">
        <v>4443</v>
      </c>
      <c r="D381" s="385" t="s">
        <v>5579</v>
      </c>
    </row>
    <row r="382" spans="1:4" x14ac:dyDescent="0.25">
      <c r="A382" s="384" t="s">
        <v>5580</v>
      </c>
      <c r="B382" s="384" t="s">
        <v>5581</v>
      </c>
      <c r="C382" s="384" t="s">
        <v>4443</v>
      </c>
      <c r="D382" s="385" t="s">
        <v>5582</v>
      </c>
    </row>
    <row r="383" spans="1:4" x14ac:dyDescent="0.25">
      <c r="A383" s="384" t="s">
        <v>5583</v>
      </c>
      <c r="B383" s="384" t="s">
        <v>5584</v>
      </c>
      <c r="C383" s="384" t="s">
        <v>4443</v>
      </c>
      <c r="D383" s="385" t="s">
        <v>5585</v>
      </c>
    </row>
    <row r="384" spans="1:4" x14ac:dyDescent="0.25">
      <c r="A384" s="384" t="s">
        <v>5586</v>
      </c>
      <c r="B384" s="384" t="s">
        <v>5587</v>
      </c>
      <c r="C384" s="384" t="s">
        <v>4443</v>
      </c>
      <c r="D384" s="385" t="s">
        <v>5588</v>
      </c>
    </row>
    <row r="385" spans="1:4" x14ac:dyDescent="0.25">
      <c r="A385" s="384" t="s">
        <v>5589</v>
      </c>
      <c r="B385" s="384" t="s">
        <v>5590</v>
      </c>
      <c r="C385" s="384" t="s">
        <v>4443</v>
      </c>
      <c r="D385" s="385" t="s">
        <v>5591</v>
      </c>
    </row>
    <row r="386" spans="1:4" x14ac:dyDescent="0.25">
      <c r="A386" s="384" t="s">
        <v>5592</v>
      </c>
      <c r="B386" s="384" t="s">
        <v>5593</v>
      </c>
      <c r="C386" s="384" t="s">
        <v>4443</v>
      </c>
      <c r="D386" s="385" t="s">
        <v>5594</v>
      </c>
    </row>
    <row r="387" spans="1:4" x14ac:dyDescent="0.25">
      <c r="A387" s="384" t="s">
        <v>5595</v>
      </c>
      <c r="B387" s="384" t="s">
        <v>5596</v>
      </c>
      <c r="C387" s="384" t="s">
        <v>4443</v>
      </c>
      <c r="D387" s="385" t="s">
        <v>5597</v>
      </c>
    </row>
    <row r="388" spans="1:4" x14ac:dyDescent="0.25">
      <c r="A388" s="384" t="s">
        <v>5598</v>
      </c>
      <c r="B388" s="384" t="s">
        <v>5599</v>
      </c>
      <c r="C388" s="384" t="s">
        <v>4443</v>
      </c>
      <c r="D388" s="385" t="s">
        <v>5600</v>
      </c>
    </row>
    <row r="389" spans="1:4" x14ac:dyDescent="0.25">
      <c r="A389" s="384" t="s">
        <v>5601</v>
      </c>
      <c r="B389" s="384" t="s">
        <v>5602</v>
      </c>
      <c r="C389" s="384" t="s">
        <v>4443</v>
      </c>
      <c r="D389" s="385" t="s">
        <v>5603</v>
      </c>
    </row>
    <row r="390" spans="1:4" x14ac:dyDescent="0.25">
      <c r="A390" s="384" t="s">
        <v>5604</v>
      </c>
      <c r="B390" s="384" t="s">
        <v>5605</v>
      </c>
      <c r="C390" s="384" t="s">
        <v>4443</v>
      </c>
      <c r="D390" s="385" t="s">
        <v>5606</v>
      </c>
    </row>
    <row r="391" spans="1:4" x14ac:dyDescent="0.25">
      <c r="A391" s="384" t="s">
        <v>5607</v>
      </c>
      <c r="B391" s="384" t="s">
        <v>5608</v>
      </c>
      <c r="C391" s="384" t="s">
        <v>4443</v>
      </c>
      <c r="D391" s="385" t="s">
        <v>5609</v>
      </c>
    </row>
    <row r="392" spans="1:4" x14ac:dyDescent="0.25">
      <c r="A392" s="384" t="s">
        <v>5610</v>
      </c>
      <c r="B392" s="384" t="s">
        <v>5611</v>
      </c>
      <c r="C392" s="384" t="s">
        <v>4443</v>
      </c>
      <c r="D392" s="385" t="s">
        <v>5612</v>
      </c>
    </row>
    <row r="393" spans="1:4" x14ac:dyDescent="0.25">
      <c r="A393" s="384" t="s">
        <v>5613</v>
      </c>
      <c r="B393" s="384" t="s">
        <v>5614</v>
      </c>
      <c r="C393" s="384" t="s">
        <v>4443</v>
      </c>
      <c r="D393" s="385" t="s">
        <v>5615</v>
      </c>
    </row>
    <row r="394" spans="1:4" x14ac:dyDescent="0.25">
      <c r="A394" s="384" t="s">
        <v>5616</v>
      </c>
      <c r="B394" s="384" t="s">
        <v>5617</v>
      </c>
      <c r="C394" s="384" t="s">
        <v>4443</v>
      </c>
      <c r="D394" s="385" t="s">
        <v>5618</v>
      </c>
    </row>
    <row r="395" spans="1:4" x14ac:dyDescent="0.25">
      <c r="A395" s="384" t="s">
        <v>5619</v>
      </c>
      <c r="B395" s="384" t="s">
        <v>5620</v>
      </c>
      <c r="C395" s="384" t="s">
        <v>4443</v>
      </c>
      <c r="D395" s="385" t="s">
        <v>5621</v>
      </c>
    </row>
    <row r="396" spans="1:4" x14ac:dyDescent="0.25">
      <c r="A396" s="384" t="s">
        <v>5622</v>
      </c>
      <c r="B396" s="384" t="s">
        <v>5623</v>
      </c>
      <c r="C396" s="384" t="s">
        <v>4443</v>
      </c>
      <c r="D396" s="385" t="s">
        <v>5624</v>
      </c>
    </row>
    <row r="397" spans="1:4" x14ac:dyDescent="0.25">
      <c r="A397" s="384" t="s">
        <v>5625</v>
      </c>
      <c r="B397" s="384" t="s">
        <v>5626</v>
      </c>
      <c r="C397" s="384" t="s">
        <v>4443</v>
      </c>
      <c r="D397" s="385" t="s">
        <v>5627</v>
      </c>
    </row>
    <row r="398" spans="1:4" x14ac:dyDescent="0.25">
      <c r="A398" s="384" t="s">
        <v>5628</v>
      </c>
      <c r="B398" s="384" t="s">
        <v>5629</v>
      </c>
      <c r="C398" s="384" t="s">
        <v>4443</v>
      </c>
      <c r="D398" s="385" t="s">
        <v>5630</v>
      </c>
    </row>
    <row r="399" spans="1:4" x14ac:dyDescent="0.25">
      <c r="A399" s="384" t="s">
        <v>5631</v>
      </c>
      <c r="B399" s="384" t="s">
        <v>5632</v>
      </c>
      <c r="C399" s="384" t="s">
        <v>4443</v>
      </c>
      <c r="D399" s="385" t="s">
        <v>5633</v>
      </c>
    </row>
    <row r="400" spans="1:4" x14ac:dyDescent="0.25">
      <c r="A400" s="384" t="s">
        <v>5634</v>
      </c>
      <c r="B400" s="384" t="s">
        <v>5635</v>
      </c>
      <c r="C400" s="384" t="s">
        <v>4443</v>
      </c>
      <c r="D400" s="385" t="s">
        <v>5636</v>
      </c>
    </row>
    <row r="401" spans="1:4" x14ac:dyDescent="0.25">
      <c r="A401" s="384" t="s">
        <v>5637</v>
      </c>
      <c r="B401" s="384" t="s">
        <v>5638</v>
      </c>
      <c r="C401" s="384" t="s">
        <v>4443</v>
      </c>
      <c r="D401" s="385" t="s">
        <v>5639</v>
      </c>
    </row>
    <row r="402" spans="1:4" x14ac:dyDescent="0.25">
      <c r="A402" s="384" t="s">
        <v>5640</v>
      </c>
      <c r="B402" s="384" t="s">
        <v>5641</v>
      </c>
      <c r="C402" s="384" t="s">
        <v>4443</v>
      </c>
      <c r="D402" s="385" t="s">
        <v>5642</v>
      </c>
    </row>
    <row r="403" spans="1:4" x14ac:dyDescent="0.25">
      <c r="A403" s="384" t="s">
        <v>5643</v>
      </c>
      <c r="B403" s="384" t="s">
        <v>5644</v>
      </c>
      <c r="C403" s="384" t="s">
        <v>4443</v>
      </c>
      <c r="D403" s="385" t="s">
        <v>5645</v>
      </c>
    </row>
    <row r="404" spans="1:4" x14ac:dyDescent="0.25">
      <c r="A404" s="384" t="s">
        <v>5646</v>
      </c>
      <c r="B404" s="384" t="s">
        <v>5647</v>
      </c>
      <c r="C404" s="384" t="s">
        <v>4443</v>
      </c>
      <c r="D404" s="385" t="s">
        <v>5648</v>
      </c>
    </row>
    <row r="405" spans="1:4" x14ac:dyDescent="0.25">
      <c r="A405" s="384" t="s">
        <v>5649</v>
      </c>
      <c r="B405" s="384" t="s">
        <v>5650</v>
      </c>
      <c r="C405" s="384" t="s">
        <v>4443</v>
      </c>
      <c r="D405" s="385" t="s">
        <v>5651</v>
      </c>
    </row>
    <row r="406" spans="1:4" x14ac:dyDescent="0.25">
      <c r="A406" s="384" t="s">
        <v>5652</v>
      </c>
      <c r="B406" s="384" t="s">
        <v>5653</v>
      </c>
      <c r="C406" s="384" t="s">
        <v>4443</v>
      </c>
      <c r="D406" s="385" t="s">
        <v>5654</v>
      </c>
    </row>
    <row r="407" spans="1:4" x14ac:dyDescent="0.25">
      <c r="A407" s="384" t="s">
        <v>5655</v>
      </c>
      <c r="B407" s="384" t="s">
        <v>5656</v>
      </c>
      <c r="C407" s="384" t="s">
        <v>4443</v>
      </c>
      <c r="D407" s="385" t="s">
        <v>5657</v>
      </c>
    </row>
    <row r="408" spans="1:4" x14ac:dyDescent="0.25">
      <c r="A408" s="384" t="s">
        <v>5658</v>
      </c>
      <c r="B408" s="384" t="s">
        <v>4442</v>
      </c>
      <c r="C408" s="384" t="s">
        <v>4443</v>
      </c>
      <c r="D408" s="385" t="s">
        <v>5659</v>
      </c>
    </row>
    <row r="409" spans="1:4" x14ac:dyDescent="0.25">
      <c r="A409" s="384" t="s">
        <v>5660</v>
      </c>
      <c r="B409" s="384" t="s">
        <v>5661</v>
      </c>
      <c r="C409" s="384" t="s">
        <v>4443</v>
      </c>
      <c r="D409" s="385" t="s">
        <v>5662</v>
      </c>
    </row>
    <row r="410" spans="1:4" x14ac:dyDescent="0.25">
      <c r="A410" s="384" t="s">
        <v>5663</v>
      </c>
      <c r="B410" s="384" t="s">
        <v>5664</v>
      </c>
      <c r="C410" s="384" t="s">
        <v>4443</v>
      </c>
      <c r="D410" s="385" t="s">
        <v>5665</v>
      </c>
    </row>
    <row r="411" spans="1:4" x14ac:dyDescent="0.25">
      <c r="A411" s="384" t="s">
        <v>5666</v>
      </c>
      <c r="B411" s="384" t="s">
        <v>5667</v>
      </c>
      <c r="C411" s="384" t="s">
        <v>4443</v>
      </c>
      <c r="D411" s="385" t="s">
        <v>5668</v>
      </c>
    </row>
    <row r="412" spans="1:4" x14ac:dyDescent="0.25">
      <c r="A412" s="384" t="s">
        <v>5669</v>
      </c>
      <c r="B412" s="384" t="s">
        <v>5670</v>
      </c>
      <c r="C412" s="384" t="s">
        <v>4443</v>
      </c>
      <c r="D412" s="385" t="s">
        <v>5671</v>
      </c>
    </row>
    <row r="413" spans="1:4" x14ac:dyDescent="0.25">
      <c r="A413" s="384" t="s">
        <v>5672</v>
      </c>
      <c r="B413" s="384" t="s">
        <v>5673</v>
      </c>
      <c r="C413" s="384" t="s">
        <v>4443</v>
      </c>
      <c r="D413" s="385" t="s">
        <v>5674</v>
      </c>
    </row>
    <row r="414" spans="1:4" x14ac:dyDescent="0.25">
      <c r="A414" s="384" t="s">
        <v>5675</v>
      </c>
      <c r="B414" s="384" t="s">
        <v>5676</v>
      </c>
      <c r="C414" s="384" t="s">
        <v>4443</v>
      </c>
      <c r="D414" s="385" t="s">
        <v>5677</v>
      </c>
    </row>
    <row r="415" spans="1:4" x14ac:dyDescent="0.25">
      <c r="A415" s="384" t="s">
        <v>5678</v>
      </c>
      <c r="B415" s="384" t="s">
        <v>5679</v>
      </c>
      <c r="C415" s="384" t="s">
        <v>4443</v>
      </c>
      <c r="D415" s="385" t="s">
        <v>5680</v>
      </c>
    </row>
    <row r="416" spans="1:4" x14ac:dyDescent="0.25">
      <c r="A416" s="384" t="s">
        <v>5681</v>
      </c>
      <c r="B416" s="384" t="s">
        <v>5682</v>
      </c>
      <c r="C416" s="384" t="s">
        <v>4443</v>
      </c>
      <c r="D416" s="385" t="s">
        <v>5683</v>
      </c>
    </row>
    <row r="417" spans="1:4" x14ac:dyDescent="0.25">
      <c r="A417" s="384" t="s">
        <v>5684</v>
      </c>
      <c r="B417" s="384" t="s">
        <v>5685</v>
      </c>
      <c r="C417" s="384" t="s">
        <v>4443</v>
      </c>
      <c r="D417" s="385" t="s">
        <v>5686</v>
      </c>
    </row>
    <row r="418" spans="1:4" x14ac:dyDescent="0.25">
      <c r="A418" s="384" t="s">
        <v>5687</v>
      </c>
      <c r="B418" s="384" t="s">
        <v>5688</v>
      </c>
      <c r="C418" s="384" t="s">
        <v>4443</v>
      </c>
      <c r="D418" s="385" t="s">
        <v>5689</v>
      </c>
    </row>
    <row r="419" spans="1:4" x14ac:dyDescent="0.25">
      <c r="A419" s="384" t="s">
        <v>5690</v>
      </c>
      <c r="B419" s="384" t="s">
        <v>5691</v>
      </c>
      <c r="C419" s="384" t="s">
        <v>4443</v>
      </c>
      <c r="D419" s="385" t="s">
        <v>5692</v>
      </c>
    </row>
    <row r="420" spans="1:4" x14ac:dyDescent="0.25">
      <c r="A420" s="384" t="s">
        <v>5693</v>
      </c>
      <c r="B420" s="384" t="s">
        <v>5694</v>
      </c>
      <c r="C420" s="384" t="s">
        <v>4443</v>
      </c>
      <c r="D420" s="385" t="s">
        <v>5695</v>
      </c>
    </row>
    <row r="421" spans="1:4" x14ac:dyDescent="0.25">
      <c r="A421" s="384" t="s">
        <v>5696</v>
      </c>
      <c r="B421" s="384" t="s">
        <v>5697</v>
      </c>
      <c r="C421" s="384" t="s">
        <v>4443</v>
      </c>
      <c r="D421" s="385" t="s">
        <v>5698</v>
      </c>
    </row>
    <row r="422" spans="1:4" x14ac:dyDescent="0.25">
      <c r="A422" s="384" t="s">
        <v>5699</v>
      </c>
      <c r="B422" s="384" t="s">
        <v>5700</v>
      </c>
      <c r="C422" s="384" t="s">
        <v>4443</v>
      </c>
      <c r="D422" s="385" t="s">
        <v>5701</v>
      </c>
    </row>
    <row r="423" spans="1:4" x14ac:dyDescent="0.25">
      <c r="A423" s="384" t="s">
        <v>5702</v>
      </c>
      <c r="B423" s="384" t="s">
        <v>5703</v>
      </c>
      <c r="C423" s="384" t="s">
        <v>4443</v>
      </c>
      <c r="D423" s="385" t="s">
        <v>5704</v>
      </c>
    </row>
    <row r="424" spans="1:4" x14ac:dyDescent="0.25">
      <c r="A424" s="384" t="s">
        <v>5705</v>
      </c>
      <c r="B424" s="384" t="s">
        <v>5706</v>
      </c>
      <c r="C424" s="384" t="s">
        <v>4443</v>
      </c>
      <c r="D424" s="385" t="s">
        <v>5707</v>
      </c>
    </row>
    <row r="425" spans="1:4" x14ac:dyDescent="0.25">
      <c r="A425" s="384" t="s">
        <v>5708</v>
      </c>
      <c r="B425" s="384" t="s">
        <v>5709</v>
      </c>
      <c r="C425" s="384" t="s">
        <v>4443</v>
      </c>
      <c r="D425" s="385" t="s">
        <v>5710</v>
      </c>
    </row>
    <row r="426" spans="1:4" x14ac:dyDescent="0.25">
      <c r="A426" s="384" t="s">
        <v>5711</v>
      </c>
      <c r="B426" s="384" t="s">
        <v>5712</v>
      </c>
      <c r="C426" s="384" t="s">
        <v>4443</v>
      </c>
      <c r="D426" s="385" t="s">
        <v>5713</v>
      </c>
    </row>
    <row r="427" spans="1:4" x14ac:dyDescent="0.25">
      <c r="A427" s="384" t="s">
        <v>5714</v>
      </c>
      <c r="B427" s="384" t="s">
        <v>5715</v>
      </c>
      <c r="C427" s="384" t="s">
        <v>4443</v>
      </c>
      <c r="D427" s="385" t="s">
        <v>5716</v>
      </c>
    </row>
    <row r="428" spans="1:4" x14ac:dyDescent="0.25">
      <c r="A428" s="384" t="s">
        <v>5717</v>
      </c>
      <c r="B428" s="384" t="s">
        <v>5718</v>
      </c>
      <c r="C428" s="384" t="s">
        <v>4443</v>
      </c>
      <c r="D428" s="385" t="s">
        <v>5719</v>
      </c>
    </row>
    <row r="429" spans="1:4" x14ac:dyDescent="0.25">
      <c r="A429" s="384" t="s">
        <v>5720</v>
      </c>
      <c r="B429" s="384" t="s">
        <v>5721</v>
      </c>
      <c r="C429" s="384" t="s">
        <v>4443</v>
      </c>
      <c r="D429" s="385" t="s">
        <v>5722</v>
      </c>
    </row>
    <row r="430" spans="1:4" x14ac:dyDescent="0.25">
      <c r="A430" s="384" t="s">
        <v>5723</v>
      </c>
      <c r="B430" s="384" t="s">
        <v>5724</v>
      </c>
      <c r="C430" s="384" t="s">
        <v>4443</v>
      </c>
      <c r="D430" s="385" t="s">
        <v>5725</v>
      </c>
    </row>
    <row r="431" spans="1:4" x14ac:dyDescent="0.25">
      <c r="A431" s="384" t="s">
        <v>5726</v>
      </c>
      <c r="B431" s="384" t="s">
        <v>5727</v>
      </c>
      <c r="C431" s="384" t="s">
        <v>4443</v>
      </c>
      <c r="D431" s="385" t="s">
        <v>5728</v>
      </c>
    </row>
    <row r="432" spans="1:4" x14ac:dyDescent="0.25">
      <c r="A432" s="384" t="s">
        <v>5729</v>
      </c>
      <c r="B432" s="384" t="s">
        <v>5730</v>
      </c>
      <c r="C432" s="384" t="s">
        <v>4443</v>
      </c>
      <c r="D432" s="385" t="s">
        <v>5731</v>
      </c>
    </row>
    <row r="433" spans="1:4" x14ac:dyDescent="0.25">
      <c r="A433" s="384" t="s">
        <v>5732</v>
      </c>
      <c r="B433" s="384" t="s">
        <v>5733</v>
      </c>
      <c r="C433" s="384" t="s">
        <v>4443</v>
      </c>
      <c r="D433" s="385" t="s">
        <v>5734</v>
      </c>
    </row>
    <row r="434" spans="1:4" x14ac:dyDescent="0.25">
      <c r="A434" s="384" t="s">
        <v>5735</v>
      </c>
      <c r="B434" s="384" t="s">
        <v>5736</v>
      </c>
      <c r="C434" s="384" t="s">
        <v>4443</v>
      </c>
      <c r="D434" s="385" t="s">
        <v>5737</v>
      </c>
    </row>
    <row r="435" spans="1:4" x14ac:dyDescent="0.25">
      <c r="A435" s="384" t="s">
        <v>5738</v>
      </c>
      <c r="B435" s="384" t="s">
        <v>5739</v>
      </c>
      <c r="C435" s="384" t="s">
        <v>4443</v>
      </c>
      <c r="D435" s="385" t="s">
        <v>5740</v>
      </c>
    </row>
    <row r="436" spans="1:4" x14ac:dyDescent="0.25">
      <c r="A436" s="384" t="s">
        <v>5741</v>
      </c>
      <c r="B436" s="384" t="s">
        <v>5742</v>
      </c>
      <c r="C436" s="384" t="s">
        <v>4443</v>
      </c>
      <c r="D436" s="385" t="s">
        <v>5743</v>
      </c>
    </row>
    <row r="437" spans="1:4" x14ac:dyDescent="0.25">
      <c r="A437" s="384" t="s">
        <v>5744</v>
      </c>
      <c r="B437" s="384" t="s">
        <v>5745</v>
      </c>
      <c r="C437" s="384" t="s">
        <v>4443</v>
      </c>
      <c r="D437" s="385" t="s">
        <v>5746</v>
      </c>
    </row>
    <row r="438" spans="1:4" x14ac:dyDescent="0.25">
      <c r="A438" s="384" t="s">
        <v>5747</v>
      </c>
      <c r="B438" s="384" t="s">
        <v>5748</v>
      </c>
      <c r="C438" s="384" t="s">
        <v>4443</v>
      </c>
      <c r="D438" s="385" t="s">
        <v>5749</v>
      </c>
    </row>
    <row r="439" spans="1:4" x14ac:dyDescent="0.25">
      <c r="A439" s="384" t="s">
        <v>5750</v>
      </c>
      <c r="B439" s="384" t="s">
        <v>5751</v>
      </c>
      <c r="C439" s="384" t="s">
        <v>4443</v>
      </c>
      <c r="D439" s="385" t="s">
        <v>5752</v>
      </c>
    </row>
    <row r="440" spans="1:4" x14ac:dyDescent="0.25">
      <c r="A440" s="384" t="s">
        <v>5753</v>
      </c>
      <c r="B440" s="384" t="s">
        <v>5754</v>
      </c>
      <c r="C440" s="384" t="s">
        <v>4443</v>
      </c>
      <c r="D440" s="385" t="s">
        <v>5755</v>
      </c>
    </row>
    <row r="441" spans="1:4" x14ac:dyDescent="0.25">
      <c r="A441" s="384" t="s">
        <v>5756</v>
      </c>
      <c r="B441" s="384" t="s">
        <v>5757</v>
      </c>
      <c r="C441" s="384" t="s">
        <v>4443</v>
      </c>
      <c r="D441" s="385" t="s">
        <v>5758</v>
      </c>
    </row>
    <row r="442" spans="1:4" x14ac:dyDescent="0.25">
      <c r="A442" s="384" t="s">
        <v>5759</v>
      </c>
      <c r="B442" s="384" t="s">
        <v>5760</v>
      </c>
      <c r="C442" s="384" t="s">
        <v>4443</v>
      </c>
      <c r="D442" s="385" t="s">
        <v>5761</v>
      </c>
    </row>
    <row r="443" spans="1:4" x14ac:dyDescent="0.25">
      <c r="A443" s="384" t="s">
        <v>5762</v>
      </c>
      <c r="B443" s="384" t="s">
        <v>5763</v>
      </c>
      <c r="C443" s="384" t="s">
        <v>4443</v>
      </c>
      <c r="D443" s="385" t="s">
        <v>5764</v>
      </c>
    </row>
    <row r="444" spans="1:4" x14ac:dyDescent="0.25">
      <c r="A444" s="384" t="s">
        <v>5765</v>
      </c>
      <c r="B444" s="384" t="s">
        <v>5766</v>
      </c>
      <c r="C444" s="384" t="s">
        <v>4443</v>
      </c>
      <c r="D444" s="385" t="s">
        <v>5767</v>
      </c>
    </row>
    <row r="445" spans="1:4" x14ac:dyDescent="0.25">
      <c r="A445" s="384" t="s">
        <v>5768</v>
      </c>
      <c r="B445" s="384" t="s">
        <v>5769</v>
      </c>
      <c r="C445" s="384" t="s">
        <v>4443</v>
      </c>
      <c r="D445" s="385" t="s">
        <v>5770</v>
      </c>
    </row>
    <row r="446" spans="1:4" x14ac:dyDescent="0.25">
      <c r="A446" s="384" t="s">
        <v>5771</v>
      </c>
      <c r="B446" s="384" t="s">
        <v>5772</v>
      </c>
      <c r="C446" s="384" t="s">
        <v>4443</v>
      </c>
      <c r="D446" s="385" t="s">
        <v>5773</v>
      </c>
    </row>
    <row r="447" spans="1:4" x14ac:dyDescent="0.25">
      <c r="A447" s="384" t="s">
        <v>5774</v>
      </c>
      <c r="B447" s="384" t="s">
        <v>5775</v>
      </c>
      <c r="C447" s="384" t="s">
        <v>4443</v>
      </c>
      <c r="D447" s="385" t="s">
        <v>5776</v>
      </c>
    </row>
    <row r="448" spans="1:4" x14ac:dyDescent="0.25">
      <c r="A448" s="384" t="s">
        <v>5777</v>
      </c>
      <c r="B448" s="384" t="s">
        <v>5778</v>
      </c>
      <c r="C448" s="384" t="s">
        <v>4443</v>
      </c>
      <c r="D448" s="385" t="s">
        <v>5779</v>
      </c>
    </row>
    <row r="449" spans="1:4" x14ac:dyDescent="0.25">
      <c r="A449" s="384" t="s">
        <v>5780</v>
      </c>
      <c r="B449" s="384" t="s">
        <v>5781</v>
      </c>
      <c r="C449" s="384" t="s">
        <v>4443</v>
      </c>
      <c r="D449" s="385" t="s">
        <v>5782</v>
      </c>
    </row>
    <row r="450" spans="1:4" x14ac:dyDescent="0.25">
      <c r="A450" s="384" t="s">
        <v>5783</v>
      </c>
      <c r="B450" s="384" t="s">
        <v>5784</v>
      </c>
      <c r="C450" s="384" t="s">
        <v>4443</v>
      </c>
      <c r="D450" s="385" t="s">
        <v>5785</v>
      </c>
    </row>
    <row r="451" spans="1:4" x14ac:dyDescent="0.25">
      <c r="A451" s="384" t="s">
        <v>5786</v>
      </c>
      <c r="B451" s="384" t="s">
        <v>5787</v>
      </c>
      <c r="C451" s="384" t="s">
        <v>4443</v>
      </c>
      <c r="D451" s="385" t="s">
        <v>5788</v>
      </c>
    </row>
    <row r="452" spans="1:4" x14ac:dyDescent="0.25">
      <c r="A452" s="384" t="s">
        <v>5789</v>
      </c>
      <c r="B452" s="384" t="s">
        <v>5790</v>
      </c>
      <c r="C452" s="384" t="s">
        <v>4445</v>
      </c>
      <c r="D452" s="385" t="s">
        <v>5791</v>
      </c>
    </row>
    <row r="453" spans="1:4" x14ac:dyDescent="0.25">
      <c r="A453" s="384" t="s">
        <v>5792</v>
      </c>
      <c r="B453" s="384" t="s">
        <v>5793</v>
      </c>
      <c r="C453" s="384" t="s">
        <v>4445</v>
      </c>
      <c r="D453" s="385" t="s">
        <v>5794</v>
      </c>
    </row>
    <row r="454" spans="1:4" x14ac:dyDescent="0.25">
      <c r="A454" s="384" t="s">
        <v>5795</v>
      </c>
      <c r="B454" s="384" t="s">
        <v>5796</v>
      </c>
      <c r="C454" s="384" t="s">
        <v>4445</v>
      </c>
      <c r="D454" s="385" t="s">
        <v>5797</v>
      </c>
    </row>
    <row r="455" spans="1:4" x14ac:dyDescent="0.25">
      <c r="A455" s="384" t="s">
        <v>5798</v>
      </c>
      <c r="B455" s="384" t="s">
        <v>5799</v>
      </c>
      <c r="C455" s="384" t="s">
        <v>4445</v>
      </c>
      <c r="D455" s="385" t="s">
        <v>5800</v>
      </c>
    </row>
    <row r="456" spans="1:4" x14ac:dyDescent="0.25">
      <c r="A456" s="384" t="s">
        <v>5801</v>
      </c>
      <c r="B456" s="384" t="s">
        <v>5802</v>
      </c>
      <c r="C456" s="384" t="s">
        <v>4445</v>
      </c>
      <c r="D456" s="385" t="s">
        <v>5803</v>
      </c>
    </row>
    <row r="457" spans="1:4" x14ac:dyDescent="0.25">
      <c r="A457" s="384" t="s">
        <v>5804</v>
      </c>
      <c r="B457" s="384" t="s">
        <v>5805</v>
      </c>
      <c r="C457" s="384" t="s">
        <v>4445</v>
      </c>
      <c r="D457" s="385" t="s">
        <v>5806</v>
      </c>
    </row>
    <row r="458" spans="1:4" x14ac:dyDescent="0.25">
      <c r="A458" s="384" t="s">
        <v>5807</v>
      </c>
      <c r="B458" s="384" t="s">
        <v>5808</v>
      </c>
      <c r="C458" s="384" t="s">
        <v>4445</v>
      </c>
      <c r="D458" s="385" t="s">
        <v>5809</v>
      </c>
    </row>
    <row r="459" spans="1:4" x14ac:dyDescent="0.25">
      <c r="A459" s="384" t="s">
        <v>5810</v>
      </c>
      <c r="B459" s="384" t="s">
        <v>5811</v>
      </c>
      <c r="C459" s="384" t="s">
        <v>4445</v>
      </c>
      <c r="D459" s="385" t="s">
        <v>5812</v>
      </c>
    </row>
    <row r="460" spans="1:4" x14ac:dyDescent="0.25">
      <c r="A460" s="384" t="s">
        <v>5813</v>
      </c>
      <c r="B460" s="384" t="s">
        <v>5814</v>
      </c>
      <c r="C460" s="384" t="s">
        <v>4445</v>
      </c>
      <c r="D460" s="385" t="s">
        <v>5815</v>
      </c>
    </row>
    <row r="461" spans="1:4" x14ac:dyDescent="0.25">
      <c r="A461" s="384" t="s">
        <v>5816</v>
      </c>
      <c r="B461" s="384" t="s">
        <v>5817</v>
      </c>
      <c r="C461" s="384" t="s">
        <v>4445</v>
      </c>
      <c r="D461" s="385" t="s">
        <v>4685</v>
      </c>
    </row>
    <row r="462" spans="1:4" x14ac:dyDescent="0.25">
      <c r="A462" s="384" t="s">
        <v>5818</v>
      </c>
      <c r="B462" s="384" t="s">
        <v>5819</v>
      </c>
      <c r="C462" s="384" t="s">
        <v>4445</v>
      </c>
      <c r="D462" s="385" t="s">
        <v>5820</v>
      </c>
    </row>
    <row r="463" spans="1:4" x14ac:dyDescent="0.25">
      <c r="A463" s="384" t="s">
        <v>5821</v>
      </c>
      <c r="B463" s="384" t="s">
        <v>5822</v>
      </c>
      <c r="C463" s="384" t="s">
        <v>4445</v>
      </c>
      <c r="D463" s="385" t="s">
        <v>5823</v>
      </c>
    </row>
    <row r="464" spans="1:4" x14ac:dyDescent="0.25">
      <c r="A464" s="384" t="s">
        <v>5824</v>
      </c>
      <c r="B464" s="384" t="s">
        <v>5825</v>
      </c>
      <c r="C464" s="384" t="s">
        <v>4445</v>
      </c>
      <c r="D464" s="385" t="s">
        <v>5826</v>
      </c>
    </row>
    <row r="465" spans="1:4" x14ac:dyDescent="0.25">
      <c r="A465" s="384" t="s">
        <v>5827</v>
      </c>
      <c r="B465" s="384" t="s">
        <v>5828</v>
      </c>
      <c r="C465" s="384" t="s">
        <v>4445</v>
      </c>
      <c r="D465" s="385" t="s">
        <v>5829</v>
      </c>
    </row>
    <row r="466" spans="1:4" x14ac:dyDescent="0.25">
      <c r="A466" s="384" t="s">
        <v>5830</v>
      </c>
      <c r="B466" s="384" t="s">
        <v>5831</v>
      </c>
      <c r="C466" s="384" t="s">
        <v>4445</v>
      </c>
      <c r="D466" s="385" t="s">
        <v>5832</v>
      </c>
    </row>
    <row r="467" spans="1:4" x14ac:dyDescent="0.25">
      <c r="A467" s="384" t="s">
        <v>5833</v>
      </c>
      <c r="B467" s="384" t="s">
        <v>5834</v>
      </c>
      <c r="C467" s="384" t="s">
        <v>4445</v>
      </c>
      <c r="D467" s="385" t="s">
        <v>5835</v>
      </c>
    </row>
    <row r="468" spans="1:4" x14ac:dyDescent="0.25">
      <c r="A468" s="384" t="s">
        <v>5836</v>
      </c>
      <c r="B468" s="384" t="s">
        <v>5837</v>
      </c>
      <c r="C468" s="384" t="s">
        <v>4445</v>
      </c>
      <c r="D468" s="385" t="s">
        <v>5838</v>
      </c>
    </row>
    <row r="469" spans="1:4" x14ac:dyDescent="0.25">
      <c r="A469" s="384" t="s">
        <v>5839</v>
      </c>
      <c r="B469" s="384" t="s">
        <v>5840</v>
      </c>
      <c r="C469" s="384" t="s">
        <v>4445</v>
      </c>
      <c r="D469" s="385" t="s">
        <v>5841</v>
      </c>
    </row>
    <row r="470" spans="1:4" x14ac:dyDescent="0.25">
      <c r="A470" s="384" t="s">
        <v>5842</v>
      </c>
      <c r="B470" s="384" t="s">
        <v>5843</v>
      </c>
      <c r="C470" s="384" t="s">
        <v>4445</v>
      </c>
      <c r="D470" s="385" t="s">
        <v>5844</v>
      </c>
    </row>
    <row r="471" spans="1:4" x14ac:dyDescent="0.25">
      <c r="A471" s="384" t="s">
        <v>5845</v>
      </c>
      <c r="B471" s="384" t="s">
        <v>5846</v>
      </c>
      <c r="C471" s="384" t="s">
        <v>4445</v>
      </c>
      <c r="D471" s="385" t="s">
        <v>5847</v>
      </c>
    </row>
    <row r="472" spans="1:4" x14ac:dyDescent="0.25">
      <c r="A472" s="384" t="s">
        <v>5848</v>
      </c>
      <c r="B472" s="384" t="s">
        <v>5849</v>
      </c>
      <c r="C472" s="384" t="s">
        <v>4445</v>
      </c>
      <c r="D472" s="385" t="s">
        <v>5850</v>
      </c>
    </row>
    <row r="473" spans="1:4" x14ac:dyDescent="0.25">
      <c r="A473" s="384" t="s">
        <v>5851</v>
      </c>
      <c r="B473" s="384" t="s">
        <v>5852</v>
      </c>
      <c r="C473" s="384" t="s">
        <v>4445</v>
      </c>
      <c r="D473" s="385" t="s">
        <v>5853</v>
      </c>
    </row>
    <row r="474" spans="1:4" x14ac:dyDescent="0.25">
      <c r="A474" s="384" t="s">
        <v>5854</v>
      </c>
      <c r="B474" s="384" t="s">
        <v>5855</v>
      </c>
      <c r="C474" s="384" t="s">
        <v>4445</v>
      </c>
      <c r="D474" s="385" t="s">
        <v>5856</v>
      </c>
    </row>
    <row r="475" spans="1:4" x14ac:dyDescent="0.25">
      <c r="A475" s="384" t="s">
        <v>5857</v>
      </c>
      <c r="B475" s="384" t="s">
        <v>5858</v>
      </c>
      <c r="C475" s="384" t="s">
        <v>4445</v>
      </c>
      <c r="D475" s="385" t="s">
        <v>5859</v>
      </c>
    </row>
    <row r="476" spans="1:4" x14ac:dyDescent="0.25">
      <c r="A476" s="384" t="s">
        <v>5860</v>
      </c>
      <c r="B476" s="384" t="s">
        <v>5861</v>
      </c>
      <c r="C476" s="384" t="s">
        <v>4445</v>
      </c>
      <c r="D476" s="385" t="s">
        <v>5862</v>
      </c>
    </row>
    <row r="477" spans="1:4" x14ac:dyDescent="0.25">
      <c r="A477" s="384" t="s">
        <v>5863</v>
      </c>
      <c r="B477" s="384" t="s">
        <v>5864</v>
      </c>
      <c r="C477" s="384" t="s">
        <v>4445</v>
      </c>
      <c r="D477" s="385" t="s">
        <v>5865</v>
      </c>
    </row>
    <row r="478" spans="1:4" x14ac:dyDescent="0.25">
      <c r="A478" s="384" t="s">
        <v>5866</v>
      </c>
      <c r="B478" s="384" t="s">
        <v>5867</v>
      </c>
      <c r="C478" s="384" t="s">
        <v>4445</v>
      </c>
      <c r="D478" s="385" t="s">
        <v>5868</v>
      </c>
    </row>
    <row r="479" spans="1:4" x14ac:dyDescent="0.25">
      <c r="A479" s="384" t="s">
        <v>5869</v>
      </c>
      <c r="B479" s="384" t="s">
        <v>5870</v>
      </c>
      <c r="C479" s="384" t="s">
        <v>4445</v>
      </c>
      <c r="D479" s="385" t="s">
        <v>5871</v>
      </c>
    </row>
    <row r="480" spans="1:4" x14ac:dyDescent="0.25">
      <c r="A480" s="384" t="s">
        <v>5872</v>
      </c>
      <c r="B480" s="384" t="s">
        <v>5873</v>
      </c>
      <c r="C480" s="384" t="s">
        <v>4445</v>
      </c>
      <c r="D480" s="385" t="s">
        <v>5874</v>
      </c>
    </row>
    <row r="481" spans="1:4" x14ac:dyDescent="0.25">
      <c r="A481" s="384" t="s">
        <v>5875</v>
      </c>
      <c r="B481" s="384" t="s">
        <v>5876</v>
      </c>
      <c r="C481" s="384" t="s">
        <v>4445</v>
      </c>
      <c r="D481" s="385" t="s">
        <v>5877</v>
      </c>
    </row>
    <row r="482" spans="1:4" x14ac:dyDescent="0.25">
      <c r="A482" s="384" t="s">
        <v>5878</v>
      </c>
      <c r="B482" s="384" t="s">
        <v>5879</v>
      </c>
      <c r="C482" s="384" t="s">
        <v>4445</v>
      </c>
      <c r="D482" s="385" t="s">
        <v>5880</v>
      </c>
    </row>
    <row r="483" spans="1:4" x14ac:dyDescent="0.25">
      <c r="A483" s="384" t="s">
        <v>5881</v>
      </c>
      <c r="B483" s="384" t="s">
        <v>5882</v>
      </c>
      <c r="C483" s="384" t="s">
        <v>4445</v>
      </c>
      <c r="D483" s="385" t="s">
        <v>5883</v>
      </c>
    </row>
    <row r="484" spans="1:4" x14ac:dyDescent="0.25">
      <c r="A484" s="384" t="s">
        <v>5884</v>
      </c>
      <c r="B484" s="384" t="s">
        <v>5885</v>
      </c>
      <c r="C484" s="384" t="s">
        <v>4445</v>
      </c>
      <c r="D484" s="385" t="s">
        <v>5886</v>
      </c>
    </row>
    <row r="485" spans="1:4" x14ac:dyDescent="0.25">
      <c r="A485" s="384" t="s">
        <v>5887</v>
      </c>
      <c r="B485" s="384" t="s">
        <v>5888</v>
      </c>
      <c r="C485" s="384" t="s">
        <v>4445</v>
      </c>
      <c r="D485" s="385" t="s">
        <v>5889</v>
      </c>
    </row>
    <row r="486" spans="1:4" x14ac:dyDescent="0.25">
      <c r="A486" s="384" t="s">
        <v>5890</v>
      </c>
      <c r="B486" s="384" t="s">
        <v>5891</v>
      </c>
      <c r="C486" s="384" t="s">
        <v>4445</v>
      </c>
      <c r="D486" s="385" t="s">
        <v>5892</v>
      </c>
    </row>
    <row r="487" spans="1:4" x14ac:dyDescent="0.25">
      <c r="A487" s="384" t="s">
        <v>5893</v>
      </c>
      <c r="B487" s="384" t="s">
        <v>5894</v>
      </c>
      <c r="C487" s="384" t="s">
        <v>4445</v>
      </c>
      <c r="D487" s="385" t="s">
        <v>5895</v>
      </c>
    </row>
    <row r="488" spans="1:4" x14ac:dyDescent="0.25">
      <c r="A488" s="384" t="s">
        <v>5896</v>
      </c>
      <c r="B488" s="384" t="s">
        <v>5897</v>
      </c>
      <c r="C488" s="384" t="s">
        <v>4445</v>
      </c>
      <c r="D488" s="385" t="s">
        <v>5898</v>
      </c>
    </row>
    <row r="489" spans="1:4" x14ac:dyDescent="0.25">
      <c r="A489" s="384" t="s">
        <v>5899</v>
      </c>
      <c r="B489" s="384" t="s">
        <v>5900</v>
      </c>
      <c r="C489" s="384" t="s">
        <v>4445</v>
      </c>
      <c r="D489" s="385" t="s">
        <v>5901</v>
      </c>
    </row>
    <row r="490" spans="1:4" x14ac:dyDescent="0.25">
      <c r="A490" s="384" t="s">
        <v>5902</v>
      </c>
      <c r="B490" s="384" t="s">
        <v>5903</v>
      </c>
      <c r="C490" s="384" t="s">
        <v>4445</v>
      </c>
      <c r="D490" s="385" t="s">
        <v>5904</v>
      </c>
    </row>
    <row r="491" spans="1:4" x14ac:dyDescent="0.25">
      <c r="A491" s="384" t="s">
        <v>5905</v>
      </c>
      <c r="B491" s="384" t="s">
        <v>5906</v>
      </c>
      <c r="C491" s="384" t="s">
        <v>4445</v>
      </c>
      <c r="D491" s="385" t="s">
        <v>5907</v>
      </c>
    </row>
    <row r="492" spans="1:4" x14ac:dyDescent="0.25">
      <c r="A492" s="384" t="s">
        <v>5908</v>
      </c>
      <c r="B492" s="384" t="s">
        <v>5909</v>
      </c>
      <c r="C492" s="384" t="s">
        <v>4445</v>
      </c>
      <c r="D492" s="385" t="s">
        <v>5910</v>
      </c>
    </row>
    <row r="493" spans="1:4" x14ac:dyDescent="0.25">
      <c r="A493" s="384" t="s">
        <v>5911</v>
      </c>
      <c r="B493" s="384" t="s">
        <v>5912</v>
      </c>
      <c r="C493" s="384" t="s">
        <v>4445</v>
      </c>
      <c r="D493" s="385" t="s">
        <v>5913</v>
      </c>
    </row>
    <row r="494" spans="1:4" x14ac:dyDescent="0.25">
      <c r="A494" s="384" t="s">
        <v>5914</v>
      </c>
      <c r="B494" s="384" t="s">
        <v>5915</v>
      </c>
      <c r="C494" s="384" t="s">
        <v>4445</v>
      </c>
      <c r="D494" s="385" t="s">
        <v>5916</v>
      </c>
    </row>
    <row r="495" spans="1:4" x14ac:dyDescent="0.25">
      <c r="A495" s="384" t="s">
        <v>5917</v>
      </c>
      <c r="B495" s="384" t="s">
        <v>5918</v>
      </c>
      <c r="C495" s="384" t="s">
        <v>4445</v>
      </c>
      <c r="D495" s="385" t="s">
        <v>5919</v>
      </c>
    </row>
    <row r="496" spans="1:4" x14ac:dyDescent="0.25">
      <c r="A496" s="384" t="s">
        <v>5920</v>
      </c>
      <c r="B496" s="384" t="s">
        <v>5921</v>
      </c>
      <c r="C496" s="384" t="s">
        <v>4445</v>
      </c>
      <c r="D496" s="385" t="s">
        <v>5922</v>
      </c>
    </row>
    <row r="497" spans="1:4" x14ac:dyDescent="0.25">
      <c r="A497" s="384" t="s">
        <v>5923</v>
      </c>
      <c r="B497" s="384" t="s">
        <v>5924</v>
      </c>
      <c r="C497" s="384" t="s">
        <v>4445</v>
      </c>
      <c r="D497" s="385" t="s">
        <v>5925</v>
      </c>
    </row>
    <row r="498" spans="1:4" x14ac:dyDescent="0.25">
      <c r="A498" s="384" t="s">
        <v>5926</v>
      </c>
      <c r="B498" s="384" t="s">
        <v>5927</v>
      </c>
      <c r="C498" s="384" t="s">
        <v>4445</v>
      </c>
      <c r="D498" s="385" t="s">
        <v>5928</v>
      </c>
    </row>
    <row r="499" spans="1:4" x14ac:dyDescent="0.25">
      <c r="A499" s="384" t="s">
        <v>5929</v>
      </c>
      <c r="B499" s="384" t="s">
        <v>5930</v>
      </c>
      <c r="C499" s="384" t="s">
        <v>4445</v>
      </c>
      <c r="D499" s="385" t="s">
        <v>5931</v>
      </c>
    </row>
    <row r="500" spans="1:4" x14ac:dyDescent="0.25">
      <c r="A500" s="384" t="s">
        <v>5932</v>
      </c>
      <c r="B500" s="384" t="s">
        <v>5933</v>
      </c>
      <c r="C500" s="384" t="s">
        <v>4445</v>
      </c>
      <c r="D500" s="385" t="s">
        <v>5934</v>
      </c>
    </row>
    <row r="501" spans="1:4" x14ac:dyDescent="0.25">
      <c r="A501" s="384" t="s">
        <v>5935</v>
      </c>
      <c r="B501" s="384" t="s">
        <v>5936</v>
      </c>
      <c r="C501" s="384" t="s">
        <v>4445</v>
      </c>
      <c r="D501" s="385" t="s">
        <v>5937</v>
      </c>
    </row>
    <row r="502" spans="1:4" x14ac:dyDescent="0.25">
      <c r="A502" s="384" t="s">
        <v>5938</v>
      </c>
      <c r="B502" s="384" t="s">
        <v>5939</v>
      </c>
      <c r="C502" s="384" t="s">
        <v>4445</v>
      </c>
      <c r="D502" s="385" t="s">
        <v>5940</v>
      </c>
    </row>
    <row r="503" spans="1:4" x14ac:dyDescent="0.25">
      <c r="A503" s="384" t="s">
        <v>5941</v>
      </c>
      <c r="B503" s="384" t="s">
        <v>5942</v>
      </c>
      <c r="C503" s="384" t="s">
        <v>4445</v>
      </c>
      <c r="D503" s="385" t="s">
        <v>5943</v>
      </c>
    </row>
    <row r="504" spans="1:4" x14ac:dyDescent="0.25">
      <c r="A504" s="384" t="s">
        <v>5944</v>
      </c>
      <c r="B504" s="384" t="s">
        <v>5945</v>
      </c>
      <c r="C504" s="384" t="s">
        <v>4445</v>
      </c>
      <c r="D504" s="385" t="s">
        <v>5946</v>
      </c>
    </row>
    <row r="505" spans="1:4" x14ac:dyDescent="0.25">
      <c r="A505" s="384" t="s">
        <v>5947</v>
      </c>
      <c r="B505" s="384" t="s">
        <v>5948</v>
      </c>
      <c r="C505" s="384" t="s">
        <v>4445</v>
      </c>
      <c r="D505" s="385" t="s">
        <v>5949</v>
      </c>
    </row>
    <row r="506" spans="1:4" x14ac:dyDescent="0.25">
      <c r="A506" s="384" t="s">
        <v>5950</v>
      </c>
      <c r="B506" s="384" t="s">
        <v>5951</v>
      </c>
      <c r="C506" s="384" t="s">
        <v>4445</v>
      </c>
      <c r="D506" s="385" t="s">
        <v>5952</v>
      </c>
    </row>
    <row r="507" spans="1:4" x14ac:dyDescent="0.25">
      <c r="A507" s="384" t="s">
        <v>5953</v>
      </c>
      <c r="B507" s="384" t="s">
        <v>5954</v>
      </c>
      <c r="C507" s="384" t="s">
        <v>4445</v>
      </c>
      <c r="D507" s="385" t="s">
        <v>5955</v>
      </c>
    </row>
    <row r="508" spans="1:4" x14ac:dyDescent="0.25">
      <c r="A508" s="384" t="s">
        <v>5956</v>
      </c>
      <c r="B508" s="384" t="s">
        <v>5957</v>
      </c>
      <c r="C508" s="384" t="s">
        <v>4445</v>
      </c>
      <c r="D508" s="385" t="s">
        <v>5958</v>
      </c>
    </row>
    <row r="509" spans="1:4" x14ac:dyDescent="0.25">
      <c r="A509" s="384" t="s">
        <v>5959</v>
      </c>
      <c r="B509" s="384" t="s">
        <v>5960</v>
      </c>
      <c r="C509" s="384" t="s">
        <v>4445</v>
      </c>
      <c r="D509" s="385" t="s">
        <v>5961</v>
      </c>
    </row>
    <row r="510" spans="1:4" x14ac:dyDescent="0.25">
      <c r="A510" s="384" t="s">
        <v>5962</v>
      </c>
      <c r="B510" s="384" t="s">
        <v>5963</v>
      </c>
      <c r="C510" s="384" t="s">
        <v>4445</v>
      </c>
      <c r="D510" s="385" t="s">
        <v>5964</v>
      </c>
    </row>
    <row r="511" spans="1:4" x14ac:dyDescent="0.25">
      <c r="A511" s="384" t="s">
        <v>5965</v>
      </c>
      <c r="B511" s="384" t="s">
        <v>5966</v>
      </c>
      <c r="C511" s="384" t="s">
        <v>4445</v>
      </c>
      <c r="D511" s="385" t="s">
        <v>5967</v>
      </c>
    </row>
    <row r="512" spans="1:4" x14ac:dyDescent="0.25">
      <c r="A512" s="384" t="s">
        <v>5968</v>
      </c>
      <c r="B512" s="384" t="s">
        <v>5969</v>
      </c>
      <c r="C512" s="384" t="s">
        <v>4445</v>
      </c>
      <c r="D512" s="385" t="s">
        <v>5970</v>
      </c>
    </row>
    <row r="513" spans="1:4" x14ac:dyDescent="0.25">
      <c r="A513" s="384" t="s">
        <v>5971</v>
      </c>
      <c r="B513" s="384" t="s">
        <v>5972</v>
      </c>
      <c r="C513" s="384" t="s">
        <v>4445</v>
      </c>
      <c r="D513" s="385" t="s">
        <v>5973</v>
      </c>
    </row>
    <row r="514" spans="1:4" x14ac:dyDescent="0.25">
      <c r="A514" s="384" t="s">
        <v>5974</v>
      </c>
      <c r="B514" s="384" t="s">
        <v>5975</v>
      </c>
      <c r="C514" s="384" t="s">
        <v>4445</v>
      </c>
      <c r="D514" s="385" t="s">
        <v>5976</v>
      </c>
    </row>
    <row r="515" spans="1:4" x14ac:dyDescent="0.25">
      <c r="A515" s="384" t="s">
        <v>5977</v>
      </c>
      <c r="B515" s="384" t="s">
        <v>5978</v>
      </c>
      <c r="C515" s="384" t="s">
        <v>4445</v>
      </c>
      <c r="D515" s="385" t="s">
        <v>5979</v>
      </c>
    </row>
    <row r="516" spans="1:4" x14ac:dyDescent="0.25">
      <c r="A516" s="384" t="s">
        <v>5980</v>
      </c>
      <c r="B516" s="384" t="s">
        <v>5981</v>
      </c>
      <c r="C516" s="384" t="s">
        <v>4445</v>
      </c>
      <c r="D516" s="385" t="s">
        <v>5982</v>
      </c>
    </row>
    <row r="517" spans="1:4" x14ac:dyDescent="0.25">
      <c r="A517" s="384" t="s">
        <v>5983</v>
      </c>
      <c r="B517" s="384" t="s">
        <v>5984</v>
      </c>
      <c r="C517" s="384" t="s">
        <v>4445</v>
      </c>
      <c r="D517" s="385" t="s">
        <v>5985</v>
      </c>
    </row>
    <row r="518" spans="1:4" x14ac:dyDescent="0.25">
      <c r="A518" s="384" t="s">
        <v>5986</v>
      </c>
      <c r="B518" s="384" t="s">
        <v>5987</v>
      </c>
      <c r="C518" s="384" t="s">
        <v>4445</v>
      </c>
      <c r="D518" s="385" t="s">
        <v>5988</v>
      </c>
    </row>
    <row r="519" spans="1:4" x14ac:dyDescent="0.25">
      <c r="A519" s="384" t="s">
        <v>5989</v>
      </c>
      <c r="B519" s="384" t="s">
        <v>5990</v>
      </c>
      <c r="C519" s="384" t="s">
        <v>4445</v>
      </c>
      <c r="D519" s="385" t="s">
        <v>5991</v>
      </c>
    </row>
    <row r="520" spans="1:4" x14ac:dyDescent="0.25">
      <c r="A520" s="384" t="s">
        <v>5992</v>
      </c>
      <c r="B520" s="384" t="s">
        <v>5993</v>
      </c>
      <c r="C520" s="384" t="s">
        <v>4445</v>
      </c>
      <c r="D520" s="385" t="s">
        <v>5994</v>
      </c>
    </row>
    <row r="521" spans="1:4" x14ac:dyDescent="0.25">
      <c r="A521" s="384" t="s">
        <v>5995</v>
      </c>
      <c r="B521" s="384" t="s">
        <v>5996</v>
      </c>
      <c r="C521" s="384" t="s">
        <v>4445</v>
      </c>
      <c r="D521" s="385" t="s">
        <v>5997</v>
      </c>
    </row>
    <row r="522" spans="1:4" x14ac:dyDescent="0.25">
      <c r="A522" s="384" t="s">
        <v>5998</v>
      </c>
      <c r="B522" s="384" t="s">
        <v>5999</v>
      </c>
      <c r="C522" s="384" t="s">
        <v>4445</v>
      </c>
      <c r="D522" s="385" t="s">
        <v>6000</v>
      </c>
    </row>
    <row r="523" spans="1:4" x14ac:dyDescent="0.25">
      <c r="A523" s="384" t="s">
        <v>6001</v>
      </c>
      <c r="B523" s="384" t="s">
        <v>6002</v>
      </c>
      <c r="C523" s="384" t="s">
        <v>4445</v>
      </c>
      <c r="D523" s="385" t="s">
        <v>6003</v>
      </c>
    </row>
    <row r="524" spans="1:4" x14ac:dyDescent="0.25">
      <c r="A524" s="384" t="s">
        <v>6004</v>
      </c>
      <c r="B524" s="384" t="s">
        <v>6005</v>
      </c>
      <c r="C524" s="384" t="s">
        <v>4445</v>
      </c>
      <c r="D524" s="385" t="s">
        <v>6006</v>
      </c>
    </row>
    <row r="525" spans="1:4" x14ac:dyDescent="0.25">
      <c r="A525" s="384" t="s">
        <v>6007</v>
      </c>
      <c r="B525" s="384" t="s">
        <v>6008</v>
      </c>
      <c r="C525" s="384" t="s">
        <v>4445</v>
      </c>
      <c r="D525" s="385" t="s">
        <v>6009</v>
      </c>
    </row>
    <row r="526" spans="1:4" x14ac:dyDescent="0.25">
      <c r="A526" s="384" t="s">
        <v>6010</v>
      </c>
      <c r="B526" s="384" t="s">
        <v>6011</v>
      </c>
      <c r="C526" s="384" t="s">
        <v>4445</v>
      </c>
      <c r="D526" s="385" t="s">
        <v>6012</v>
      </c>
    </row>
    <row r="527" spans="1:4" x14ac:dyDescent="0.25">
      <c r="A527" s="384" t="s">
        <v>6013</v>
      </c>
      <c r="B527" s="384" t="s">
        <v>6014</v>
      </c>
      <c r="C527" s="384" t="s">
        <v>4445</v>
      </c>
      <c r="D527" s="385" t="s">
        <v>6015</v>
      </c>
    </row>
    <row r="528" spans="1:4" x14ac:dyDescent="0.25">
      <c r="A528" s="384" t="s">
        <v>6016</v>
      </c>
      <c r="B528" s="384" t="s">
        <v>6017</v>
      </c>
      <c r="C528" s="384" t="s">
        <v>4445</v>
      </c>
      <c r="D528" s="385" t="s">
        <v>6018</v>
      </c>
    </row>
    <row r="529" spans="1:4" x14ac:dyDescent="0.25">
      <c r="A529" s="384" t="s">
        <v>6019</v>
      </c>
      <c r="B529" s="384" t="s">
        <v>6020</v>
      </c>
      <c r="C529" s="384" t="s">
        <v>4445</v>
      </c>
      <c r="D529" s="385" t="s">
        <v>6021</v>
      </c>
    </row>
    <row r="530" spans="1:4" x14ac:dyDescent="0.25">
      <c r="A530" s="384" t="s">
        <v>6022</v>
      </c>
      <c r="B530" s="384" t="s">
        <v>6023</v>
      </c>
      <c r="C530" s="384" t="s">
        <v>4445</v>
      </c>
      <c r="D530" s="385" t="s">
        <v>6024</v>
      </c>
    </row>
    <row r="531" spans="1:4" x14ac:dyDescent="0.25">
      <c r="A531" s="384" t="s">
        <v>6025</v>
      </c>
      <c r="B531" s="384" t="s">
        <v>6026</v>
      </c>
      <c r="C531" s="384" t="s">
        <v>4445</v>
      </c>
      <c r="D531" s="385" t="s">
        <v>6027</v>
      </c>
    </row>
    <row r="532" spans="1:4" x14ac:dyDescent="0.25">
      <c r="A532" s="384" t="s">
        <v>6028</v>
      </c>
      <c r="B532" s="384" t="s">
        <v>6029</v>
      </c>
      <c r="C532" s="384" t="s">
        <v>4445</v>
      </c>
      <c r="D532" s="385" t="s">
        <v>6030</v>
      </c>
    </row>
    <row r="533" spans="1:4" x14ac:dyDescent="0.25">
      <c r="A533" s="384" t="s">
        <v>6031</v>
      </c>
      <c r="B533" s="384" t="s">
        <v>6032</v>
      </c>
      <c r="C533" s="384" t="s">
        <v>4445</v>
      </c>
      <c r="D533" s="385" t="s">
        <v>6033</v>
      </c>
    </row>
    <row r="534" spans="1:4" x14ac:dyDescent="0.25">
      <c r="A534" s="384" t="s">
        <v>6034</v>
      </c>
      <c r="B534" s="384" t="s">
        <v>6035</v>
      </c>
      <c r="C534" s="384" t="s">
        <v>4445</v>
      </c>
      <c r="D534" s="385" t="s">
        <v>6036</v>
      </c>
    </row>
    <row r="535" spans="1:4" x14ac:dyDescent="0.25">
      <c r="A535" s="384" t="s">
        <v>6037</v>
      </c>
      <c r="B535" s="384" t="s">
        <v>6038</v>
      </c>
      <c r="C535" s="384" t="s">
        <v>4445</v>
      </c>
      <c r="D535" s="385" t="s">
        <v>6039</v>
      </c>
    </row>
    <row r="536" spans="1:4" x14ac:dyDescent="0.25">
      <c r="A536" s="384" t="s">
        <v>6040</v>
      </c>
      <c r="B536" s="384" t="s">
        <v>6041</v>
      </c>
      <c r="C536" s="384" t="s">
        <v>4445</v>
      </c>
      <c r="D536" s="385" t="s">
        <v>6042</v>
      </c>
    </row>
    <row r="537" spans="1:4" x14ac:dyDescent="0.25">
      <c r="A537" s="384" t="s">
        <v>6043</v>
      </c>
      <c r="B537" s="384" t="s">
        <v>6044</v>
      </c>
      <c r="C537" s="384" t="s">
        <v>4445</v>
      </c>
      <c r="D537" s="385" t="s">
        <v>6045</v>
      </c>
    </row>
    <row r="538" spans="1:4" x14ac:dyDescent="0.25">
      <c r="A538" s="384" t="s">
        <v>6046</v>
      </c>
      <c r="B538" s="384" t="s">
        <v>6047</v>
      </c>
      <c r="C538" s="384" t="s">
        <v>4445</v>
      </c>
      <c r="D538" s="385" t="s">
        <v>6048</v>
      </c>
    </row>
    <row r="539" spans="1:4" x14ac:dyDescent="0.25">
      <c r="A539" s="384" t="s">
        <v>6049</v>
      </c>
      <c r="B539" s="384" t="s">
        <v>6050</v>
      </c>
      <c r="C539" s="384" t="s">
        <v>4445</v>
      </c>
      <c r="D539" s="385" t="s">
        <v>6051</v>
      </c>
    </row>
    <row r="540" spans="1:4" x14ac:dyDescent="0.25">
      <c r="A540" s="384" t="s">
        <v>6052</v>
      </c>
      <c r="B540" s="384" t="s">
        <v>6053</v>
      </c>
      <c r="C540" s="384" t="s">
        <v>4445</v>
      </c>
      <c r="D540" s="385" t="s">
        <v>6054</v>
      </c>
    </row>
    <row r="541" spans="1:4" x14ac:dyDescent="0.25">
      <c r="A541" s="384" t="s">
        <v>6055</v>
      </c>
      <c r="B541" s="384" t="s">
        <v>6056</v>
      </c>
      <c r="C541" s="384" t="s">
        <v>4445</v>
      </c>
      <c r="D541" s="385" t="s">
        <v>6057</v>
      </c>
    </row>
    <row r="542" spans="1:4" x14ac:dyDescent="0.25">
      <c r="A542" s="384" t="s">
        <v>6058</v>
      </c>
      <c r="B542" s="384" t="s">
        <v>6059</v>
      </c>
      <c r="C542" s="384" t="s">
        <v>4445</v>
      </c>
      <c r="D542" s="385" t="s">
        <v>4706</v>
      </c>
    </row>
    <row r="543" spans="1:4" x14ac:dyDescent="0.25">
      <c r="A543" s="384" t="s">
        <v>6060</v>
      </c>
      <c r="B543" s="384" t="s">
        <v>6061</v>
      </c>
      <c r="C543" s="384" t="s">
        <v>4445</v>
      </c>
      <c r="D543" s="385" t="s">
        <v>6062</v>
      </c>
    </row>
    <row r="544" spans="1:4" x14ac:dyDescent="0.25">
      <c r="A544" s="384" t="s">
        <v>6063</v>
      </c>
      <c r="B544" s="384" t="s">
        <v>6064</v>
      </c>
      <c r="C544" s="384" t="s">
        <v>4445</v>
      </c>
      <c r="D544" s="385" t="s">
        <v>6065</v>
      </c>
    </row>
    <row r="545" spans="1:4" x14ac:dyDescent="0.25">
      <c r="A545" s="384" t="s">
        <v>6066</v>
      </c>
      <c r="B545" s="384" t="s">
        <v>6067</v>
      </c>
      <c r="C545" s="384" t="s">
        <v>4445</v>
      </c>
      <c r="D545" s="385" t="s">
        <v>6068</v>
      </c>
    </row>
    <row r="546" spans="1:4" x14ac:dyDescent="0.25">
      <c r="A546" s="384" t="s">
        <v>6069</v>
      </c>
      <c r="B546" s="384" t="s">
        <v>6070</v>
      </c>
      <c r="C546" s="384" t="s">
        <v>4445</v>
      </c>
      <c r="D546" s="385" t="s">
        <v>6071</v>
      </c>
    </row>
    <row r="547" spans="1:4" x14ac:dyDescent="0.25">
      <c r="A547" s="384" t="s">
        <v>6072</v>
      </c>
      <c r="B547" s="384" t="s">
        <v>6073</v>
      </c>
      <c r="C547" s="384" t="s">
        <v>4445</v>
      </c>
      <c r="D547" s="385" t="s">
        <v>6074</v>
      </c>
    </row>
    <row r="548" spans="1:4" x14ac:dyDescent="0.25">
      <c r="A548" s="384" t="s">
        <v>6075</v>
      </c>
      <c r="B548" s="384" t="s">
        <v>6076</v>
      </c>
      <c r="C548" s="384" t="s">
        <v>4445</v>
      </c>
      <c r="D548" s="385" t="s">
        <v>6077</v>
      </c>
    </row>
    <row r="549" spans="1:4" x14ac:dyDescent="0.25">
      <c r="A549" s="384" t="s">
        <v>6078</v>
      </c>
      <c r="B549" s="384" t="s">
        <v>6079</v>
      </c>
      <c r="C549" s="384" t="s">
        <v>4445</v>
      </c>
      <c r="D549" s="385" t="s">
        <v>6080</v>
      </c>
    </row>
    <row r="550" spans="1:4" x14ac:dyDescent="0.25">
      <c r="A550" s="384" t="s">
        <v>6081</v>
      </c>
      <c r="B550" s="384" t="s">
        <v>4444</v>
      </c>
      <c r="C550" s="384" t="s">
        <v>4445</v>
      </c>
      <c r="D550" s="385" t="s">
        <v>6082</v>
      </c>
    </row>
    <row r="551" spans="1:4" x14ac:dyDescent="0.25">
      <c r="A551" s="384" t="s">
        <v>6083</v>
      </c>
      <c r="B551" s="384" t="s">
        <v>6084</v>
      </c>
      <c r="C551" s="384" t="s">
        <v>4445</v>
      </c>
      <c r="D551" s="385" t="s">
        <v>6085</v>
      </c>
    </row>
    <row r="552" spans="1:4" x14ac:dyDescent="0.25">
      <c r="A552" s="384" t="s">
        <v>6086</v>
      </c>
      <c r="B552" s="384" t="s">
        <v>6087</v>
      </c>
      <c r="C552" s="384" t="s">
        <v>4445</v>
      </c>
      <c r="D552" s="385" t="s">
        <v>6088</v>
      </c>
    </row>
    <row r="553" spans="1:4" x14ac:dyDescent="0.25">
      <c r="A553" s="384" t="s">
        <v>6089</v>
      </c>
      <c r="B553" s="384" t="s">
        <v>6090</v>
      </c>
      <c r="C553" s="384" t="s">
        <v>4445</v>
      </c>
      <c r="D553" s="385" t="s">
        <v>6091</v>
      </c>
    </row>
    <row r="554" spans="1:4" x14ac:dyDescent="0.25">
      <c r="A554" s="384" t="s">
        <v>6092</v>
      </c>
      <c r="B554" s="384" t="s">
        <v>6093</v>
      </c>
      <c r="C554" s="384" t="s">
        <v>4445</v>
      </c>
      <c r="D554" s="385" t="s">
        <v>6094</v>
      </c>
    </row>
    <row r="555" spans="1:4" x14ac:dyDescent="0.25">
      <c r="A555" s="384" t="s">
        <v>6095</v>
      </c>
      <c r="B555" s="384" t="s">
        <v>6096</v>
      </c>
      <c r="C555" s="384" t="s">
        <v>4445</v>
      </c>
      <c r="D555" s="385" t="s">
        <v>6097</v>
      </c>
    </row>
    <row r="556" spans="1:4" x14ac:dyDescent="0.25">
      <c r="A556" s="384" t="s">
        <v>6098</v>
      </c>
      <c r="B556" s="384" t="s">
        <v>6099</v>
      </c>
      <c r="C556" s="384" t="s">
        <v>4445</v>
      </c>
      <c r="D556" s="385" t="s">
        <v>6100</v>
      </c>
    </row>
    <row r="557" spans="1:4" x14ac:dyDescent="0.25">
      <c r="A557" s="384" t="s">
        <v>6101</v>
      </c>
      <c r="B557" s="384" t="s">
        <v>6102</v>
      </c>
      <c r="C557" s="384" t="s">
        <v>4445</v>
      </c>
      <c r="D557" s="385" t="s">
        <v>6103</v>
      </c>
    </row>
    <row r="558" spans="1:4" x14ac:dyDescent="0.25">
      <c r="A558" s="384" t="s">
        <v>6104</v>
      </c>
      <c r="B558" s="384" t="s">
        <v>6105</v>
      </c>
      <c r="C558" s="384" t="s">
        <v>4445</v>
      </c>
      <c r="D558" s="385" t="s">
        <v>6051</v>
      </c>
    </row>
    <row r="559" spans="1:4" x14ac:dyDescent="0.25">
      <c r="A559" s="384" t="s">
        <v>6106</v>
      </c>
      <c r="B559" s="384" t="s">
        <v>6107</v>
      </c>
      <c r="C559" s="384" t="s">
        <v>4445</v>
      </c>
      <c r="D559" s="385" t="s">
        <v>6108</v>
      </c>
    </row>
    <row r="560" spans="1:4" x14ac:dyDescent="0.25">
      <c r="A560" s="384" t="s">
        <v>6109</v>
      </c>
      <c r="B560" s="384" t="s">
        <v>6110</v>
      </c>
      <c r="C560" s="384" t="s">
        <v>4445</v>
      </c>
      <c r="D560" s="385" t="s">
        <v>6080</v>
      </c>
    </row>
    <row r="561" spans="1:4" x14ac:dyDescent="0.25">
      <c r="A561" s="384" t="s">
        <v>6111</v>
      </c>
      <c r="B561" s="384" t="s">
        <v>6112</v>
      </c>
      <c r="C561" s="384" t="s">
        <v>4445</v>
      </c>
      <c r="D561" s="385" t="s">
        <v>4763</v>
      </c>
    </row>
    <row r="562" spans="1:4" x14ac:dyDescent="0.25">
      <c r="A562" s="384" t="s">
        <v>6113</v>
      </c>
      <c r="B562" s="384" t="s">
        <v>6114</v>
      </c>
      <c r="C562" s="384" t="s">
        <v>4445</v>
      </c>
      <c r="D562" s="385" t="s">
        <v>6115</v>
      </c>
    </row>
    <row r="563" spans="1:4" x14ac:dyDescent="0.25">
      <c r="A563" s="384" t="s">
        <v>6116</v>
      </c>
      <c r="B563" s="384" t="s">
        <v>6117</v>
      </c>
      <c r="C563" s="384" t="s">
        <v>4445</v>
      </c>
      <c r="D563" s="385" t="s">
        <v>6118</v>
      </c>
    </row>
    <row r="564" spans="1:4" x14ac:dyDescent="0.25">
      <c r="A564" s="384" t="s">
        <v>6119</v>
      </c>
      <c r="B564" s="384" t="s">
        <v>6120</v>
      </c>
      <c r="C564" s="384" t="s">
        <v>4445</v>
      </c>
      <c r="D564" s="385" t="s">
        <v>6121</v>
      </c>
    </row>
    <row r="565" spans="1:4" x14ac:dyDescent="0.25">
      <c r="A565" s="384" t="s">
        <v>6122</v>
      </c>
      <c r="B565" s="384" t="s">
        <v>6123</v>
      </c>
      <c r="C565" s="384" t="s">
        <v>4445</v>
      </c>
      <c r="D565" s="385" t="s">
        <v>6124</v>
      </c>
    </row>
    <row r="566" spans="1:4" x14ac:dyDescent="0.25">
      <c r="A566" s="384" t="s">
        <v>6125</v>
      </c>
      <c r="B566" s="384" t="s">
        <v>6126</v>
      </c>
      <c r="C566" s="384" t="s">
        <v>4445</v>
      </c>
      <c r="D566" s="385" t="s">
        <v>6127</v>
      </c>
    </row>
    <row r="567" spans="1:4" x14ac:dyDescent="0.25">
      <c r="A567" s="384" t="s">
        <v>6128</v>
      </c>
      <c r="B567" s="384" t="s">
        <v>6129</v>
      </c>
      <c r="C567" s="384" t="s">
        <v>4445</v>
      </c>
      <c r="D567" s="385" t="s">
        <v>6130</v>
      </c>
    </row>
    <row r="568" spans="1:4" x14ac:dyDescent="0.25">
      <c r="A568" s="384" t="s">
        <v>6131</v>
      </c>
      <c r="B568" s="384" t="s">
        <v>6132</v>
      </c>
      <c r="C568" s="384" t="s">
        <v>4445</v>
      </c>
      <c r="D568" s="385" t="s">
        <v>6133</v>
      </c>
    </row>
    <row r="569" spans="1:4" x14ac:dyDescent="0.25">
      <c r="A569" s="384" t="s">
        <v>6134</v>
      </c>
      <c r="B569" s="384" t="s">
        <v>6135</v>
      </c>
      <c r="C569" s="384" t="s">
        <v>4445</v>
      </c>
      <c r="D569" s="385" t="s">
        <v>6136</v>
      </c>
    </row>
    <row r="570" spans="1:4" x14ac:dyDescent="0.25">
      <c r="A570" s="384" t="s">
        <v>6137</v>
      </c>
      <c r="B570" s="384" t="s">
        <v>6138</v>
      </c>
      <c r="C570" s="384" t="s">
        <v>4445</v>
      </c>
      <c r="D570" s="385" t="s">
        <v>6139</v>
      </c>
    </row>
    <row r="571" spans="1:4" x14ac:dyDescent="0.25">
      <c r="A571" s="384" t="s">
        <v>6140</v>
      </c>
      <c r="B571" s="384" t="s">
        <v>6141</v>
      </c>
      <c r="C571" s="384" t="s">
        <v>4445</v>
      </c>
      <c r="D571" s="385" t="s">
        <v>6142</v>
      </c>
    </row>
    <row r="572" spans="1:4" x14ac:dyDescent="0.25">
      <c r="A572" s="384" t="s">
        <v>6143</v>
      </c>
      <c r="B572" s="384" t="s">
        <v>6144</v>
      </c>
      <c r="C572" s="384" t="s">
        <v>4445</v>
      </c>
      <c r="D572" s="385" t="s">
        <v>6142</v>
      </c>
    </row>
    <row r="573" spans="1:4" x14ac:dyDescent="0.25">
      <c r="A573" s="384" t="s">
        <v>6145</v>
      </c>
      <c r="B573" s="384" t="s">
        <v>6146</v>
      </c>
      <c r="C573" s="384" t="s">
        <v>4445</v>
      </c>
      <c r="D573" s="385" t="s">
        <v>6147</v>
      </c>
    </row>
    <row r="574" spans="1:4" x14ac:dyDescent="0.25">
      <c r="A574" s="384" t="s">
        <v>6148</v>
      </c>
      <c r="B574" s="384" t="s">
        <v>6149</v>
      </c>
      <c r="C574" s="384" t="s">
        <v>4445</v>
      </c>
      <c r="D574" s="385" t="s">
        <v>6150</v>
      </c>
    </row>
    <row r="575" spans="1:4" x14ac:dyDescent="0.25">
      <c r="A575" s="384" t="s">
        <v>6151</v>
      </c>
      <c r="B575" s="384" t="s">
        <v>6152</v>
      </c>
      <c r="C575" s="384" t="s">
        <v>4445</v>
      </c>
      <c r="D575" s="385" t="s">
        <v>6153</v>
      </c>
    </row>
    <row r="576" spans="1:4" x14ac:dyDescent="0.25">
      <c r="A576" s="384" t="s">
        <v>6154</v>
      </c>
      <c r="B576" s="384" t="s">
        <v>6155</v>
      </c>
      <c r="C576" s="384" t="s">
        <v>4445</v>
      </c>
      <c r="D576" s="385" t="s">
        <v>6156</v>
      </c>
    </row>
    <row r="577" spans="1:4" x14ac:dyDescent="0.25">
      <c r="A577" s="384" t="s">
        <v>6157</v>
      </c>
      <c r="B577" s="384" t="s">
        <v>6158</v>
      </c>
      <c r="C577" s="384" t="s">
        <v>4445</v>
      </c>
      <c r="D577" s="385" t="s">
        <v>6159</v>
      </c>
    </row>
    <row r="578" spans="1:4" x14ac:dyDescent="0.25">
      <c r="A578" s="384" t="s">
        <v>6160</v>
      </c>
      <c r="B578" s="384" t="s">
        <v>6161</v>
      </c>
      <c r="C578" s="384" t="s">
        <v>4445</v>
      </c>
      <c r="D578" s="385" t="s">
        <v>6162</v>
      </c>
    </row>
    <row r="579" spans="1:4" x14ac:dyDescent="0.25">
      <c r="A579" s="384" t="s">
        <v>6163</v>
      </c>
      <c r="B579" s="384" t="s">
        <v>6164</v>
      </c>
      <c r="C579" s="384" t="s">
        <v>4445</v>
      </c>
      <c r="D579" s="385" t="s">
        <v>6165</v>
      </c>
    </row>
    <row r="580" spans="1:4" x14ac:dyDescent="0.25">
      <c r="A580" s="384" t="s">
        <v>6166</v>
      </c>
      <c r="B580" s="384" t="s">
        <v>6167</v>
      </c>
      <c r="C580" s="384" t="s">
        <v>4445</v>
      </c>
      <c r="D580" s="385" t="s">
        <v>6168</v>
      </c>
    </row>
    <row r="581" spans="1:4" x14ac:dyDescent="0.25">
      <c r="A581" s="384" t="s">
        <v>6169</v>
      </c>
      <c r="B581" s="384" t="s">
        <v>6170</v>
      </c>
      <c r="C581" s="384" t="s">
        <v>4445</v>
      </c>
      <c r="D581" s="385" t="s">
        <v>6171</v>
      </c>
    </row>
    <row r="582" spans="1:4" x14ac:dyDescent="0.25">
      <c r="A582" s="384" t="s">
        <v>6172</v>
      </c>
      <c r="B582" s="384" t="s">
        <v>6173</v>
      </c>
      <c r="C582" s="384" t="s">
        <v>4445</v>
      </c>
      <c r="D582" s="385" t="s">
        <v>6174</v>
      </c>
    </row>
    <row r="583" spans="1:4" x14ac:dyDescent="0.25">
      <c r="A583" s="384" t="s">
        <v>6175</v>
      </c>
      <c r="B583" s="384" t="s">
        <v>6176</v>
      </c>
      <c r="C583" s="384" t="s">
        <v>4445</v>
      </c>
      <c r="D583" s="385" t="s">
        <v>5820</v>
      </c>
    </row>
    <row r="584" spans="1:4" x14ac:dyDescent="0.25">
      <c r="A584" s="384" t="s">
        <v>6177</v>
      </c>
      <c r="B584" s="384" t="s">
        <v>6178</v>
      </c>
      <c r="C584" s="384" t="s">
        <v>4445</v>
      </c>
      <c r="D584" s="385" t="s">
        <v>6179</v>
      </c>
    </row>
    <row r="585" spans="1:4" x14ac:dyDescent="0.25">
      <c r="A585" s="384" t="s">
        <v>6180</v>
      </c>
      <c r="B585" s="384" t="s">
        <v>6181</v>
      </c>
      <c r="C585" s="384" t="s">
        <v>4445</v>
      </c>
      <c r="D585" s="385" t="s">
        <v>6182</v>
      </c>
    </row>
    <row r="586" spans="1:4" x14ac:dyDescent="0.25">
      <c r="A586" s="384" t="s">
        <v>6183</v>
      </c>
      <c r="B586" s="384" t="s">
        <v>6184</v>
      </c>
      <c r="C586" s="384" t="s">
        <v>4445</v>
      </c>
      <c r="D586" s="385" t="s">
        <v>6045</v>
      </c>
    </row>
    <row r="587" spans="1:4" x14ac:dyDescent="0.25">
      <c r="A587" s="384" t="s">
        <v>6185</v>
      </c>
      <c r="B587" s="384" t="s">
        <v>6186</v>
      </c>
      <c r="C587" s="384" t="s">
        <v>4445</v>
      </c>
      <c r="D587" s="385" t="s">
        <v>6187</v>
      </c>
    </row>
    <row r="588" spans="1:4" x14ac:dyDescent="0.25">
      <c r="A588" s="384" t="s">
        <v>6188</v>
      </c>
      <c r="B588" s="384" t="s">
        <v>6189</v>
      </c>
      <c r="C588" s="384" t="s">
        <v>4445</v>
      </c>
      <c r="D588" s="385" t="s">
        <v>6190</v>
      </c>
    </row>
    <row r="589" spans="1:4" x14ac:dyDescent="0.25">
      <c r="A589" s="384" t="s">
        <v>6191</v>
      </c>
      <c r="B589" s="384" t="s">
        <v>6192</v>
      </c>
      <c r="C589" s="384" t="s">
        <v>4445</v>
      </c>
      <c r="D589" s="385" t="s">
        <v>6193</v>
      </c>
    </row>
    <row r="590" spans="1:4" x14ac:dyDescent="0.25">
      <c r="A590" s="384" t="s">
        <v>6194</v>
      </c>
      <c r="B590" s="384" t="s">
        <v>6195</v>
      </c>
      <c r="C590" s="384" t="s">
        <v>4445</v>
      </c>
      <c r="D590" s="385" t="s">
        <v>6068</v>
      </c>
    </row>
    <row r="591" spans="1:4" x14ac:dyDescent="0.25">
      <c r="A591" s="384" t="s">
        <v>6196</v>
      </c>
      <c r="B591" s="384" t="s">
        <v>6197</v>
      </c>
      <c r="C591" s="384" t="s">
        <v>4445</v>
      </c>
      <c r="D591" s="385" t="s">
        <v>6198</v>
      </c>
    </row>
    <row r="592" spans="1:4" x14ac:dyDescent="0.25">
      <c r="A592" s="384" t="s">
        <v>6199</v>
      </c>
      <c r="B592" s="384" t="s">
        <v>6200</v>
      </c>
      <c r="C592" s="384" t="s">
        <v>4445</v>
      </c>
      <c r="D592" s="385" t="s">
        <v>6201</v>
      </c>
    </row>
    <row r="593" spans="1:4" x14ac:dyDescent="0.25">
      <c r="A593" s="384" t="s">
        <v>6202</v>
      </c>
      <c r="B593" s="384" t="s">
        <v>6203</v>
      </c>
      <c r="C593" s="384" t="s">
        <v>4445</v>
      </c>
      <c r="D593" s="385" t="s">
        <v>6204</v>
      </c>
    </row>
    <row r="594" spans="1:4" x14ac:dyDescent="0.25">
      <c r="A594" s="384" t="s">
        <v>6205</v>
      </c>
      <c r="B594" s="384" t="s">
        <v>6206</v>
      </c>
      <c r="C594" s="384" t="s">
        <v>4445</v>
      </c>
      <c r="D594" s="385" t="s">
        <v>6207</v>
      </c>
    </row>
    <row r="595" spans="1:4" x14ac:dyDescent="0.25">
      <c r="A595" s="384" t="s">
        <v>6208</v>
      </c>
      <c r="B595" s="384" t="s">
        <v>6209</v>
      </c>
      <c r="C595" s="384" t="s">
        <v>75</v>
      </c>
      <c r="D595" s="385" t="s">
        <v>6210</v>
      </c>
    </row>
    <row r="596" spans="1:4" x14ac:dyDescent="0.25">
      <c r="A596" s="384" t="s">
        <v>6211</v>
      </c>
      <c r="B596" s="384" t="s">
        <v>6212</v>
      </c>
      <c r="C596" s="384" t="s">
        <v>75</v>
      </c>
      <c r="D596" s="385" t="s">
        <v>6213</v>
      </c>
    </row>
    <row r="597" spans="1:4" x14ac:dyDescent="0.25">
      <c r="A597" s="384" t="s">
        <v>6214</v>
      </c>
      <c r="B597" s="384" t="s">
        <v>6215</v>
      </c>
      <c r="C597" s="384" t="s">
        <v>75</v>
      </c>
      <c r="D597" s="385" t="s">
        <v>6216</v>
      </c>
    </row>
    <row r="598" spans="1:4" x14ac:dyDescent="0.25">
      <c r="A598" s="384" t="s">
        <v>6217</v>
      </c>
      <c r="B598" s="384" t="s">
        <v>6218</v>
      </c>
      <c r="C598" s="384" t="s">
        <v>75</v>
      </c>
      <c r="D598" s="385" t="s">
        <v>6219</v>
      </c>
    </row>
    <row r="599" spans="1:4" x14ac:dyDescent="0.25">
      <c r="A599" s="384" t="s">
        <v>6220</v>
      </c>
      <c r="B599" s="384" t="s">
        <v>6221</v>
      </c>
      <c r="C599" s="384" t="s">
        <v>75</v>
      </c>
      <c r="D599" s="385" t="s">
        <v>6222</v>
      </c>
    </row>
    <row r="600" spans="1:4" x14ac:dyDescent="0.25">
      <c r="A600" s="384" t="s">
        <v>6223</v>
      </c>
      <c r="B600" s="384" t="s">
        <v>6224</v>
      </c>
      <c r="C600" s="384" t="s">
        <v>75</v>
      </c>
      <c r="D600" s="385" t="s">
        <v>6225</v>
      </c>
    </row>
    <row r="601" spans="1:4" x14ac:dyDescent="0.25">
      <c r="A601" s="384" t="s">
        <v>6226</v>
      </c>
      <c r="B601" s="384" t="s">
        <v>6227</v>
      </c>
      <c r="C601" s="384" t="s">
        <v>75</v>
      </c>
      <c r="D601" s="385" t="s">
        <v>6228</v>
      </c>
    </row>
    <row r="602" spans="1:4" x14ac:dyDescent="0.25">
      <c r="A602" s="384" t="s">
        <v>6229</v>
      </c>
      <c r="B602" s="384" t="s">
        <v>6230</v>
      </c>
      <c r="C602" s="384" t="s">
        <v>75</v>
      </c>
      <c r="D602" s="385" t="s">
        <v>6231</v>
      </c>
    </row>
    <row r="603" spans="1:4" x14ac:dyDescent="0.25">
      <c r="A603" s="384" t="s">
        <v>6232</v>
      </c>
      <c r="B603" s="384" t="s">
        <v>6233</v>
      </c>
      <c r="C603" s="384" t="s">
        <v>75</v>
      </c>
      <c r="D603" s="385" t="s">
        <v>6234</v>
      </c>
    </row>
    <row r="604" spans="1:4" x14ac:dyDescent="0.25">
      <c r="A604" s="384" t="s">
        <v>6235</v>
      </c>
      <c r="B604" s="384" t="s">
        <v>6236</v>
      </c>
      <c r="C604" s="384" t="s">
        <v>75</v>
      </c>
      <c r="D604" s="385" t="s">
        <v>6237</v>
      </c>
    </row>
    <row r="605" spans="1:4" x14ac:dyDescent="0.25">
      <c r="A605" s="384" t="s">
        <v>6238</v>
      </c>
      <c r="B605" s="384" t="s">
        <v>6239</v>
      </c>
      <c r="C605" s="384" t="s">
        <v>75</v>
      </c>
      <c r="D605" s="385" t="s">
        <v>5806</v>
      </c>
    </row>
    <row r="606" spans="1:4" x14ac:dyDescent="0.25">
      <c r="A606" s="384" t="s">
        <v>6240</v>
      </c>
      <c r="B606" s="384" t="s">
        <v>6241</v>
      </c>
      <c r="C606" s="384" t="s">
        <v>75</v>
      </c>
      <c r="D606" s="385" t="s">
        <v>6242</v>
      </c>
    </row>
    <row r="607" spans="1:4" x14ac:dyDescent="0.25">
      <c r="A607" s="384" t="s">
        <v>6243</v>
      </c>
      <c r="B607" s="384" t="s">
        <v>6244</v>
      </c>
      <c r="C607" s="384" t="s">
        <v>75</v>
      </c>
      <c r="D607" s="385" t="s">
        <v>6245</v>
      </c>
    </row>
    <row r="608" spans="1:4" x14ac:dyDescent="0.25">
      <c r="A608" s="384" t="s">
        <v>6246</v>
      </c>
      <c r="B608" s="384" t="s">
        <v>6247</v>
      </c>
      <c r="C608" s="384" t="s">
        <v>75</v>
      </c>
      <c r="D608" s="385" t="s">
        <v>6248</v>
      </c>
    </row>
    <row r="609" spans="1:4" x14ac:dyDescent="0.25">
      <c r="A609" s="384" t="s">
        <v>6249</v>
      </c>
      <c r="B609" s="384" t="s">
        <v>6250</v>
      </c>
      <c r="C609" s="384" t="s">
        <v>75</v>
      </c>
      <c r="D609" s="385" t="s">
        <v>6251</v>
      </c>
    </row>
    <row r="610" spans="1:4" x14ac:dyDescent="0.25">
      <c r="A610" s="384" t="s">
        <v>6252</v>
      </c>
      <c r="B610" s="384" t="s">
        <v>6253</v>
      </c>
      <c r="C610" s="384" t="s">
        <v>75</v>
      </c>
      <c r="D610" s="385" t="s">
        <v>6254</v>
      </c>
    </row>
    <row r="611" spans="1:4" x14ac:dyDescent="0.25">
      <c r="A611" s="384" t="s">
        <v>6255</v>
      </c>
      <c r="B611" s="384" t="s">
        <v>6256</v>
      </c>
      <c r="C611" s="384" t="s">
        <v>75</v>
      </c>
      <c r="D611" s="385" t="s">
        <v>6257</v>
      </c>
    </row>
    <row r="612" spans="1:4" x14ac:dyDescent="0.25">
      <c r="A612" s="384" t="s">
        <v>6258</v>
      </c>
      <c r="B612" s="384" t="s">
        <v>6259</v>
      </c>
      <c r="C612" s="384" t="s">
        <v>75</v>
      </c>
      <c r="D612" s="385" t="s">
        <v>6260</v>
      </c>
    </row>
    <row r="613" spans="1:4" x14ac:dyDescent="0.25">
      <c r="A613" s="384" t="s">
        <v>6261</v>
      </c>
      <c r="B613" s="384" t="s">
        <v>6262</v>
      </c>
      <c r="C613" s="384" t="s">
        <v>75</v>
      </c>
      <c r="D613" s="385" t="s">
        <v>6263</v>
      </c>
    </row>
    <row r="614" spans="1:4" x14ac:dyDescent="0.25">
      <c r="A614" s="384" t="s">
        <v>6264</v>
      </c>
      <c r="B614" s="384" t="s">
        <v>6265</v>
      </c>
      <c r="C614" s="384" t="s">
        <v>75</v>
      </c>
      <c r="D614" s="385" t="s">
        <v>6266</v>
      </c>
    </row>
    <row r="615" spans="1:4" x14ac:dyDescent="0.25">
      <c r="A615" s="384" t="s">
        <v>6267</v>
      </c>
      <c r="B615" s="384" t="s">
        <v>6268</v>
      </c>
      <c r="C615" s="384" t="s">
        <v>75</v>
      </c>
      <c r="D615" s="385" t="s">
        <v>6269</v>
      </c>
    </row>
    <row r="616" spans="1:4" x14ac:dyDescent="0.25">
      <c r="A616" s="384" t="s">
        <v>6270</v>
      </c>
      <c r="B616" s="384" t="s">
        <v>6271</v>
      </c>
      <c r="C616" s="384" t="s">
        <v>75</v>
      </c>
      <c r="D616" s="385" t="s">
        <v>6272</v>
      </c>
    </row>
    <row r="617" spans="1:4" x14ac:dyDescent="0.25">
      <c r="A617" s="384" t="s">
        <v>6273</v>
      </c>
      <c r="B617" s="384" t="s">
        <v>6274</v>
      </c>
      <c r="C617" s="384" t="s">
        <v>75</v>
      </c>
      <c r="D617" s="385" t="s">
        <v>6275</v>
      </c>
    </row>
    <row r="618" spans="1:4" x14ac:dyDescent="0.25">
      <c r="A618" s="384" t="s">
        <v>6276</v>
      </c>
      <c r="B618" s="384" t="s">
        <v>6277</v>
      </c>
      <c r="C618" s="384" t="s">
        <v>75</v>
      </c>
      <c r="D618" s="385" t="s">
        <v>6278</v>
      </c>
    </row>
    <row r="619" spans="1:4" x14ac:dyDescent="0.25">
      <c r="A619" s="384" t="s">
        <v>6279</v>
      </c>
      <c r="B619" s="384" t="s">
        <v>6280</v>
      </c>
      <c r="C619" s="384" t="s">
        <v>75</v>
      </c>
      <c r="D619" s="385" t="s">
        <v>6281</v>
      </c>
    </row>
    <row r="620" spans="1:4" x14ac:dyDescent="0.25">
      <c r="A620" s="384" t="s">
        <v>6282</v>
      </c>
      <c r="B620" s="384" t="s">
        <v>6283</v>
      </c>
      <c r="C620" s="384" t="s">
        <v>75</v>
      </c>
      <c r="D620" s="385" t="s">
        <v>6284</v>
      </c>
    </row>
    <row r="621" spans="1:4" x14ac:dyDescent="0.25">
      <c r="A621" s="384" t="s">
        <v>6285</v>
      </c>
      <c r="B621" s="384" t="s">
        <v>6286</v>
      </c>
      <c r="C621" s="384" t="s">
        <v>75</v>
      </c>
      <c r="D621" s="385" t="s">
        <v>6287</v>
      </c>
    </row>
    <row r="622" spans="1:4" x14ac:dyDescent="0.25">
      <c r="A622" s="384" t="s">
        <v>6288</v>
      </c>
      <c r="B622" s="384" t="s">
        <v>6289</v>
      </c>
      <c r="C622" s="384" t="s">
        <v>75</v>
      </c>
      <c r="D622" s="385" t="s">
        <v>6290</v>
      </c>
    </row>
    <row r="623" spans="1:4" x14ac:dyDescent="0.25">
      <c r="A623" s="384" t="s">
        <v>6291</v>
      </c>
      <c r="B623" s="384" t="s">
        <v>6292</v>
      </c>
      <c r="C623" s="384" t="s">
        <v>75</v>
      </c>
      <c r="D623" s="385" t="s">
        <v>6293</v>
      </c>
    </row>
    <row r="624" spans="1:4" x14ac:dyDescent="0.25">
      <c r="A624" s="384" t="s">
        <v>6294</v>
      </c>
      <c r="B624" s="384" t="s">
        <v>6295</v>
      </c>
      <c r="C624" s="384" t="s">
        <v>75</v>
      </c>
      <c r="D624" s="385" t="s">
        <v>6296</v>
      </c>
    </row>
    <row r="625" spans="1:4" x14ac:dyDescent="0.25">
      <c r="A625" s="384" t="s">
        <v>6297</v>
      </c>
      <c r="B625" s="384" t="s">
        <v>6298</v>
      </c>
      <c r="C625" s="384" t="s">
        <v>75</v>
      </c>
      <c r="D625" s="385" t="s">
        <v>6299</v>
      </c>
    </row>
    <row r="626" spans="1:4" x14ac:dyDescent="0.25">
      <c r="A626" s="384" t="s">
        <v>6300</v>
      </c>
      <c r="B626" s="384" t="s">
        <v>6301</v>
      </c>
      <c r="C626" s="384" t="s">
        <v>75</v>
      </c>
      <c r="D626" s="385" t="s">
        <v>6302</v>
      </c>
    </row>
    <row r="627" spans="1:4" x14ac:dyDescent="0.25">
      <c r="A627" s="384" t="s">
        <v>6303</v>
      </c>
      <c r="B627" s="384" t="s">
        <v>6304</v>
      </c>
      <c r="C627" s="384" t="s">
        <v>75</v>
      </c>
      <c r="D627" s="385" t="s">
        <v>6305</v>
      </c>
    </row>
    <row r="628" spans="1:4" x14ac:dyDescent="0.25">
      <c r="A628" s="384" t="s">
        <v>6306</v>
      </c>
      <c r="B628" s="384" t="s">
        <v>6307</v>
      </c>
      <c r="C628" s="384" t="s">
        <v>75</v>
      </c>
      <c r="D628" s="385" t="s">
        <v>6308</v>
      </c>
    </row>
    <row r="629" spans="1:4" x14ac:dyDescent="0.25">
      <c r="A629" s="384" t="s">
        <v>6309</v>
      </c>
      <c r="B629" s="384" t="s">
        <v>6310</v>
      </c>
      <c r="C629" s="384" t="s">
        <v>75</v>
      </c>
      <c r="D629" s="385" t="s">
        <v>6311</v>
      </c>
    </row>
    <row r="630" spans="1:4" x14ac:dyDescent="0.25">
      <c r="A630" s="384" t="s">
        <v>6312</v>
      </c>
      <c r="B630" s="384" t="s">
        <v>6313</v>
      </c>
      <c r="C630" s="384" t="s">
        <v>75</v>
      </c>
      <c r="D630" s="385" t="s">
        <v>6314</v>
      </c>
    </row>
    <row r="631" spans="1:4" x14ac:dyDescent="0.25">
      <c r="A631" s="384" t="s">
        <v>6315</v>
      </c>
      <c r="B631" s="384" t="s">
        <v>6316</v>
      </c>
      <c r="C631" s="384" t="s">
        <v>75</v>
      </c>
      <c r="D631" s="385" t="s">
        <v>6317</v>
      </c>
    </row>
    <row r="632" spans="1:4" x14ac:dyDescent="0.25">
      <c r="A632" s="384" t="s">
        <v>6318</v>
      </c>
      <c r="B632" s="384" t="s">
        <v>6319</v>
      </c>
      <c r="C632" s="384" t="s">
        <v>75</v>
      </c>
      <c r="D632" s="385" t="s">
        <v>6320</v>
      </c>
    </row>
    <row r="633" spans="1:4" x14ac:dyDescent="0.25">
      <c r="A633" s="384" t="s">
        <v>6321</v>
      </c>
      <c r="B633" s="384" t="s">
        <v>6322</v>
      </c>
      <c r="C633" s="384" t="s">
        <v>75</v>
      </c>
      <c r="D633" s="385" t="s">
        <v>6323</v>
      </c>
    </row>
    <row r="634" spans="1:4" x14ac:dyDescent="0.25">
      <c r="A634" s="384" t="s">
        <v>6324</v>
      </c>
      <c r="B634" s="384" t="s">
        <v>6325</v>
      </c>
      <c r="C634" s="384" t="s">
        <v>75</v>
      </c>
      <c r="D634" s="385" t="s">
        <v>6326</v>
      </c>
    </row>
    <row r="635" spans="1:4" x14ac:dyDescent="0.25">
      <c r="A635" s="384" t="s">
        <v>6327</v>
      </c>
      <c r="B635" s="384" t="s">
        <v>6328</v>
      </c>
      <c r="C635" s="384" t="s">
        <v>75</v>
      </c>
      <c r="D635" s="385" t="s">
        <v>6329</v>
      </c>
    </row>
    <row r="636" spans="1:4" x14ac:dyDescent="0.25">
      <c r="A636" s="384" t="s">
        <v>6330</v>
      </c>
      <c r="B636" s="384" t="s">
        <v>6331</v>
      </c>
      <c r="C636" s="384" t="s">
        <v>75</v>
      </c>
      <c r="D636" s="385" t="s">
        <v>6332</v>
      </c>
    </row>
    <row r="637" spans="1:4" x14ac:dyDescent="0.25">
      <c r="A637" s="384" t="s">
        <v>6333</v>
      </c>
      <c r="B637" s="384" t="s">
        <v>6334</v>
      </c>
      <c r="C637" s="384" t="s">
        <v>75</v>
      </c>
      <c r="D637" s="385" t="s">
        <v>6335</v>
      </c>
    </row>
    <row r="638" spans="1:4" x14ac:dyDescent="0.25">
      <c r="A638" s="384" t="s">
        <v>6336</v>
      </c>
      <c r="B638" s="384" t="s">
        <v>6337</v>
      </c>
      <c r="C638" s="384" t="s">
        <v>75</v>
      </c>
      <c r="D638" s="385" t="s">
        <v>6338</v>
      </c>
    </row>
    <row r="639" spans="1:4" x14ac:dyDescent="0.25">
      <c r="A639" s="384" t="s">
        <v>6339</v>
      </c>
      <c r="B639" s="384" t="s">
        <v>6340</v>
      </c>
      <c r="C639" s="384" t="s">
        <v>75</v>
      </c>
      <c r="D639" s="385" t="s">
        <v>6341</v>
      </c>
    </row>
    <row r="640" spans="1:4" x14ac:dyDescent="0.25">
      <c r="A640" s="384" t="s">
        <v>6342</v>
      </c>
      <c r="B640" s="384" t="s">
        <v>6343</v>
      </c>
      <c r="C640" s="384" t="s">
        <v>75</v>
      </c>
      <c r="D640" s="385" t="s">
        <v>6344</v>
      </c>
    </row>
    <row r="641" spans="1:4" x14ac:dyDescent="0.25">
      <c r="A641" s="384" t="s">
        <v>6345</v>
      </c>
      <c r="B641" s="384" t="s">
        <v>6346</v>
      </c>
      <c r="C641" s="384" t="s">
        <v>75</v>
      </c>
      <c r="D641" s="385" t="s">
        <v>6347</v>
      </c>
    </row>
    <row r="642" spans="1:4" x14ac:dyDescent="0.25">
      <c r="A642" s="384" t="s">
        <v>6348</v>
      </c>
      <c r="B642" s="384" t="s">
        <v>6349</v>
      </c>
      <c r="C642" s="384" t="s">
        <v>75</v>
      </c>
      <c r="D642" s="385" t="s">
        <v>6350</v>
      </c>
    </row>
    <row r="643" spans="1:4" x14ac:dyDescent="0.25">
      <c r="A643" s="384" t="s">
        <v>6351</v>
      </c>
      <c r="B643" s="384" t="s">
        <v>6352</v>
      </c>
      <c r="C643" s="384" t="s">
        <v>75</v>
      </c>
      <c r="D643" s="385" t="s">
        <v>6353</v>
      </c>
    </row>
    <row r="644" spans="1:4" x14ac:dyDescent="0.25">
      <c r="A644" s="384" t="s">
        <v>6354</v>
      </c>
      <c r="B644" s="384" t="s">
        <v>6355</v>
      </c>
      <c r="C644" s="384" t="s">
        <v>75</v>
      </c>
      <c r="D644" s="385" t="s">
        <v>6356</v>
      </c>
    </row>
    <row r="645" spans="1:4" x14ac:dyDescent="0.25">
      <c r="A645" s="384" t="s">
        <v>6357</v>
      </c>
      <c r="B645" s="384" t="s">
        <v>6358</v>
      </c>
      <c r="C645" s="384" t="s">
        <v>75</v>
      </c>
      <c r="D645" s="385" t="s">
        <v>6359</v>
      </c>
    </row>
    <row r="646" spans="1:4" x14ac:dyDescent="0.25">
      <c r="A646" s="384" t="s">
        <v>6360</v>
      </c>
      <c r="B646" s="384" t="s">
        <v>6361</v>
      </c>
      <c r="C646" s="384" t="s">
        <v>75</v>
      </c>
      <c r="D646" s="385" t="s">
        <v>6362</v>
      </c>
    </row>
    <row r="647" spans="1:4" x14ac:dyDescent="0.25">
      <c r="A647" s="384" t="s">
        <v>6363</v>
      </c>
      <c r="B647" s="384" t="s">
        <v>6364</v>
      </c>
      <c r="C647" s="384" t="s">
        <v>75</v>
      </c>
      <c r="D647" s="385" t="s">
        <v>5892</v>
      </c>
    </row>
    <row r="648" spans="1:4" x14ac:dyDescent="0.25">
      <c r="A648" s="384" t="s">
        <v>6365</v>
      </c>
      <c r="B648" s="384" t="s">
        <v>6366</v>
      </c>
      <c r="C648" s="384" t="s">
        <v>75</v>
      </c>
      <c r="D648" s="385" t="s">
        <v>6367</v>
      </c>
    </row>
    <row r="649" spans="1:4" x14ac:dyDescent="0.25">
      <c r="A649" s="384" t="s">
        <v>6368</v>
      </c>
      <c r="B649" s="384" t="s">
        <v>6369</v>
      </c>
      <c r="C649" s="384" t="s">
        <v>75</v>
      </c>
      <c r="D649" s="385" t="s">
        <v>6370</v>
      </c>
    </row>
    <row r="650" spans="1:4" x14ac:dyDescent="0.25">
      <c r="A650" s="384" t="s">
        <v>6371</v>
      </c>
      <c r="B650" s="384" t="s">
        <v>6372</v>
      </c>
      <c r="C650" s="384" t="s">
        <v>75</v>
      </c>
      <c r="D650" s="385" t="s">
        <v>6373</v>
      </c>
    </row>
    <row r="651" spans="1:4" x14ac:dyDescent="0.25">
      <c r="A651" s="384" t="s">
        <v>6374</v>
      </c>
      <c r="B651" s="384" t="s">
        <v>6375</v>
      </c>
      <c r="C651" s="384" t="s">
        <v>75</v>
      </c>
      <c r="D651" s="385" t="s">
        <v>6376</v>
      </c>
    </row>
    <row r="652" spans="1:4" x14ac:dyDescent="0.25">
      <c r="A652" s="384" t="s">
        <v>6377</v>
      </c>
      <c r="B652" s="384" t="s">
        <v>6378</v>
      </c>
      <c r="C652" s="384" t="s">
        <v>75</v>
      </c>
      <c r="D652" s="385" t="s">
        <v>6379</v>
      </c>
    </row>
    <row r="653" spans="1:4" x14ac:dyDescent="0.25">
      <c r="A653" s="384" t="s">
        <v>6380</v>
      </c>
      <c r="B653" s="384" t="s">
        <v>6381</v>
      </c>
      <c r="C653" s="384" t="s">
        <v>75</v>
      </c>
      <c r="D653" s="385" t="s">
        <v>6382</v>
      </c>
    </row>
    <row r="654" spans="1:4" x14ac:dyDescent="0.25">
      <c r="A654" s="384" t="s">
        <v>6383</v>
      </c>
      <c r="B654" s="384" t="s">
        <v>6384</v>
      </c>
      <c r="C654" s="384" t="s">
        <v>75</v>
      </c>
      <c r="D654" s="385" t="s">
        <v>6385</v>
      </c>
    </row>
    <row r="655" spans="1:4" x14ac:dyDescent="0.25">
      <c r="A655" s="384" t="s">
        <v>6386</v>
      </c>
      <c r="B655" s="384" t="s">
        <v>6387</v>
      </c>
      <c r="C655" s="384" t="s">
        <v>75</v>
      </c>
      <c r="D655" s="385" t="s">
        <v>6388</v>
      </c>
    </row>
    <row r="656" spans="1:4" x14ac:dyDescent="0.25">
      <c r="A656" s="384" t="s">
        <v>6389</v>
      </c>
      <c r="B656" s="384" t="s">
        <v>6390</v>
      </c>
      <c r="C656" s="384" t="s">
        <v>75</v>
      </c>
      <c r="D656" s="385" t="s">
        <v>6391</v>
      </c>
    </row>
    <row r="657" spans="1:4" x14ac:dyDescent="0.25">
      <c r="A657" s="384" t="s">
        <v>6392</v>
      </c>
      <c r="B657" s="384" t="s">
        <v>6393</v>
      </c>
      <c r="C657" s="384" t="s">
        <v>75</v>
      </c>
      <c r="D657" s="385" t="s">
        <v>4523</v>
      </c>
    </row>
    <row r="658" spans="1:4" x14ac:dyDescent="0.25">
      <c r="A658" s="384" t="s">
        <v>6394</v>
      </c>
      <c r="B658" s="384" t="s">
        <v>6395</v>
      </c>
      <c r="C658" s="384" t="s">
        <v>75</v>
      </c>
      <c r="D658" s="385" t="s">
        <v>6396</v>
      </c>
    </row>
    <row r="659" spans="1:4" x14ac:dyDescent="0.25">
      <c r="A659" s="384" t="s">
        <v>6397</v>
      </c>
      <c r="B659" s="384" t="s">
        <v>6398</v>
      </c>
      <c r="C659" s="384" t="s">
        <v>75</v>
      </c>
      <c r="D659" s="385" t="s">
        <v>6399</v>
      </c>
    </row>
    <row r="660" spans="1:4" x14ac:dyDescent="0.25">
      <c r="A660" s="384" t="s">
        <v>6400</v>
      </c>
      <c r="B660" s="384" t="s">
        <v>6401</v>
      </c>
      <c r="C660" s="384" t="s">
        <v>75</v>
      </c>
      <c r="D660" s="385" t="s">
        <v>6402</v>
      </c>
    </row>
    <row r="661" spans="1:4" x14ac:dyDescent="0.25">
      <c r="A661" s="384" t="s">
        <v>6403</v>
      </c>
      <c r="B661" s="384" t="s">
        <v>6404</v>
      </c>
      <c r="C661" s="384" t="s">
        <v>75</v>
      </c>
      <c r="D661" s="385" t="s">
        <v>6405</v>
      </c>
    </row>
    <row r="662" spans="1:4" x14ac:dyDescent="0.25">
      <c r="A662" s="384" t="s">
        <v>6406</v>
      </c>
      <c r="B662" s="384" t="s">
        <v>6407</v>
      </c>
      <c r="C662" s="384" t="s">
        <v>75</v>
      </c>
      <c r="D662" s="385" t="s">
        <v>6408</v>
      </c>
    </row>
    <row r="663" spans="1:4" x14ac:dyDescent="0.25">
      <c r="A663" s="384" t="s">
        <v>6409</v>
      </c>
      <c r="B663" s="384" t="s">
        <v>6410</v>
      </c>
      <c r="C663" s="384" t="s">
        <v>75</v>
      </c>
      <c r="D663" s="385" t="s">
        <v>6411</v>
      </c>
    </row>
    <row r="664" spans="1:4" x14ac:dyDescent="0.25">
      <c r="A664" s="384" t="s">
        <v>6412</v>
      </c>
      <c r="B664" s="384" t="s">
        <v>6413</v>
      </c>
      <c r="C664" s="384" t="s">
        <v>75</v>
      </c>
      <c r="D664" s="385" t="s">
        <v>6237</v>
      </c>
    </row>
    <row r="665" spans="1:4" x14ac:dyDescent="0.25">
      <c r="A665" s="384" t="s">
        <v>6414</v>
      </c>
      <c r="B665" s="384" t="s">
        <v>6415</v>
      </c>
      <c r="C665" s="384" t="s">
        <v>75</v>
      </c>
      <c r="D665" s="385" t="s">
        <v>6416</v>
      </c>
    </row>
    <row r="666" spans="1:4" x14ac:dyDescent="0.25">
      <c r="A666" s="384" t="s">
        <v>6417</v>
      </c>
      <c r="B666" s="384" t="s">
        <v>6418</v>
      </c>
      <c r="C666" s="384" t="s">
        <v>75</v>
      </c>
      <c r="D666" s="385" t="s">
        <v>6419</v>
      </c>
    </row>
    <row r="667" spans="1:4" x14ac:dyDescent="0.25">
      <c r="A667" s="384" t="s">
        <v>6420</v>
      </c>
      <c r="B667" s="384" t="s">
        <v>6421</v>
      </c>
      <c r="C667" s="384" t="s">
        <v>75</v>
      </c>
      <c r="D667" s="385" t="s">
        <v>6422</v>
      </c>
    </row>
    <row r="668" spans="1:4" x14ac:dyDescent="0.25">
      <c r="A668" s="384" t="s">
        <v>6423</v>
      </c>
      <c r="B668" s="384" t="s">
        <v>6424</v>
      </c>
      <c r="C668" s="384" t="s">
        <v>75</v>
      </c>
      <c r="D668" s="385" t="s">
        <v>6425</v>
      </c>
    </row>
    <row r="669" spans="1:4" x14ac:dyDescent="0.25">
      <c r="A669" s="384" t="s">
        <v>6426</v>
      </c>
      <c r="B669" s="384" t="s">
        <v>6427</v>
      </c>
      <c r="C669" s="384" t="s">
        <v>75</v>
      </c>
      <c r="D669" s="385" t="s">
        <v>6428</v>
      </c>
    </row>
    <row r="670" spans="1:4" x14ac:dyDescent="0.25">
      <c r="A670" s="384" t="s">
        <v>6429</v>
      </c>
      <c r="B670" s="384" t="s">
        <v>6430</v>
      </c>
      <c r="C670" s="384" t="s">
        <v>75</v>
      </c>
      <c r="D670" s="385" t="s">
        <v>6431</v>
      </c>
    </row>
    <row r="671" spans="1:4" x14ac:dyDescent="0.25">
      <c r="A671" s="384" t="s">
        <v>6432</v>
      </c>
      <c r="B671" s="384" t="s">
        <v>6433</v>
      </c>
      <c r="C671" s="384" t="s">
        <v>75</v>
      </c>
      <c r="D671" s="385" t="s">
        <v>6434</v>
      </c>
    </row>
    <row r="672" spans="1:4" x14ac:dyDescent="0.25">
      <c r="A672" s="384" t="s">
        <v>6435</v>
      </c>
      <c r="B672" s="384" t="s">
        <v>6436</v>
      </c>
      <c r="C672" s="384" t="s">
        <v>75</v>
      </c>
      <c r="D672" s="385" t="s">
        <v>6437</v>
      </c>
    </row>
    <row r="673" spans="1:4" x14ac:dyDescent="0.25">
      <c r="A673" s="384" t="s">
        <v>6438</v>
      </c>
      <c r="B673" s="384" t="s">
        <v>6439</v>
      </c>
      <c r="C673" s="384" t="s">
        <v>75</v>
      </c>
      <c r="D673" s="385" t="s">
        <v>6416</v>
      </c>
    </row>
    <row r="674" spans="1:4" x14ac:dyDescent="0.25">
      <c r="A674" s="384" t="s">
        <v>6440</v>
      </c>
      <c r="B674" s="384" t="s">
        <v>6441</v>
      </c>
      <c r="C674" s="384" t="s">
        <v>75</v>
      </c>
      <c r="D674" s="385" t="s">
        <v>6442</v>
      </c>
    </row>
    <row r="675" spans="1:4" x14ac:dyDescent="0.25">
      <c r="A675" s="384" t="s">
        <v>6443</v>
      </c>
      <c r="B675" s="384" t="s">
        <v>6444</v>
      </c>
      <c r="C675" s="384" t="s">
        <v>75</v>
      </c>
      <c r="D675" s="385" t="s">
        <v>6445</v>
      </c>
    </row>
    <row r="676" spans="1:4" x14ac:dyDescent="0.25">
      <c r="A676" s="384" t="s">
        <v>6446</v>
      </c>
      <c r="B676" s="384" t="s">
        <v>6447</v>
      </c>
      <c r="C676" s="384" t="s">
        <v>75</v>
      </c>
      <c r="D676" s="385" t="s">
        <v>6448</v>
      </c>
    </row>
    <row r="677" spans="1:4" x14ac:dyDescent="0.25">
      <c r="A677" s="384" t="s">
        <v>6449</v>
      </c>
      <c r="B677" s="384" t="s">
        <v>6450</v>
      </c>
      <c r="C677" s="384" t="s">
        <v>75</v>
      </c>
      <c r="D677" s="385" t="s">
        <v>6451</v>
      </c>
    </row>
    <row r="678" spans="1:4" x14ac:dyDescent="0.25">
      <c r="A678" s="384" t="s">
        <v>6452</v>
      </c>
      <c r="B678" s="384" t="s">
        <v>6453</v>
      </c>
      <c r="C678" s="384" t="s">
        <v>75</v>
      </c>
      <c r="D678" s="385" t="s">
        <v>6454</v>
      </c>
    </row>
    <row r="679" spans="1:4" x14ac:dyDescent="0.25">
      <c r="A679" s="384" t="s">
        <v>6455</v>
      </c>
      <c r="B679" s="384" t="s">
        <v>6456</v>
      </c>
      <c r="C679" s="384" t="s">
        <v>75</v>
      </c>
      <c r="D679" s="385" t="s">
        <v>6457</v>
      </c>
    </row>
    <row r="680" spans="1:4" x14ac:dyDescent="0.25">
      <c r="A680" s="384" t="s">
        <v>6458</v>
      </c>
      <c r="B680" s="384" t="s">
        <v>6459</v>
      </c>
      <c r="C680" s="384" t="s">
        <v>75</v>
      </c>
      <c r="D680" s="385" t="s">
        <v>6460</v>
      </c>
    </row>
    <row r="681" spans="1:4" x14ac:dyDescent="0.25">
      <c r="A681" s="384" t="s">
        <v>6461</v>
      </c>
      <c r="B681" s="384" t="s">
        <v>6462</v>
      </c>
      <c r="C681" s="384" t="s">
        <v>75</v>
      </c>
      <c r="D681" s="385" t="s">
        <v>6463</v>
      </c>
    </row>
    <row r="682" spans="1:4" x14ac:dyDescent="0.25">
      <c r="A682" s="384" t="s">
        <v>6464</v>
      </c>
      <c r="B682" s="384" t="s">
        <v>6465</v>
      </c>
      <c r="C682" s="384" t="s">
        <v>75</v>
      </c>
      <c r="D682" s="385" t="s">
        <v>6466</v>
      </c>
    </row>
    <row r="683" spans="1:4" x14ac:dyDescent="0.25">
      <c r="A683" s="384" t="s">
        <v>6467</v>
      </c>
      <c r="B683" s="384" t="s">
        <v>6468</v>
      </c>
      <c r="C683" s="384" t="s">
        <v>75</v>
      </c>
      <c r="D683" s="385" t="s">
        <v>6469</v>
      </c>
    </row>
    <row r="684" spans="1:4" x14ac:dyDescent="0.25">
      <c r="A684" s="384" t="s">
        <v>6470</v>
      </c>
      <c r="B684" s="384" t="s">
        <v>6471</v>
      </c>
      <c r="C684" s="384" t="s">
        <v>75</v>
      </c>
      <c r="D684" s="385" t="s">
        <v>6472</v>
      </c>
    </row>
    <row r="685" spans="1:4" x14ac:dyDescent="0.25">
      <c r="A685" s="384" t="s">
        <v>6473</v>
      </c>
      <c r="B685" s="384" t="s">
        <v>6474</v>
      </c>
      <c r="C685" s="384" t="s">
        <v>75</v>
      </c>
      <c r="D685" s="385" t="s">
        <v>6222</v>
      </c>
    </row>
    <row r="686" spans="1:4" x14ac:dyDescent="0.25">
      <c r="A686" s="384" t="s">
        <v>6475</v>
      </c>
      <c r="B686" s="384" t="s">
        <v>6476</v>
      </c>
      <c r="C686" s="384" t="s">
        <v>75</v>
      </c>
      <c r="D686" s="385" t="s">
        <v>6477</v>
      </c>
    </row>
    <row r="687" spans="1:4" x14ac:dyDescent="0.25">
      <c r="A687" s="384" t="s">
        <v>6478</v>
      </c>
      <c r="B687" s="384" t="s">
        <v>6479</v>
      </c>
      <c r="C687" s="384" t="s">
        <v>75</v>
      </c>
      <c r="D687" s="385" t="s">
        <v>6480</v>
      </c>
    </row>
    <row r="688" spans="1:4" x14ac:dyDescent="0.25">
      <c r="A688" s="384" t="s">
        <v>6481</v>
      </c>
      <c r="B688" s="384" t="s">
        <v>6482</v>
      </c>
      <c r="C688" s="384" t="s">
        <v>75</v>
      </c>
      <c r="D688" s="385" t="s">
        <v>6483</v>
      </c>
    </row>
    <row r="689" spans="1:4" x14ac:dyDescent="0.25">
      <c r="A689" s="384" t="s">
        <v>6484</v>
      </c>
      <c r="B689" s="384" t="s">
        <v>6485</v>
      </c>
      <c r="C689" s="384" t="s">
        <v>75</v>
      </c>
      <c r="D689" s="385" t="s">
        <v>6486</v>
      </c>
    </row>
    <row r="690" spans="1:4" x14ac:dyDescent="0.25">
      <c r="A690" s="384" t="s">
        <v>6487</v>
      </c>
      <c r="B690" s="384" t="s">
        <v>6488</v>
      </c>
      <c r="C690" s="384" t="s">
        <v>75</v>
      </c>
      <c r="D690" s="385" t="s">
        <v>6489</v>
      </c>
    </row>
    <row r="691" spans="1:4" x14ac:dyDescent="0.25">
      <c r="A691" s="384" t="s">
        <v>6490</v>
      </c>
      <c r="B691" s="384" t="s">
        <v>6491</v>
      </c>
      <c r="C691" s="384" t="s">
        <v>75</v>
      </c>
      <c r="D691" s="385" t="s">
        <v>6408</v>
      </c>
    </row>
    <row r="692" spans="1:4" x14ac:dyDescent="0.25">
      <c r="A692" s="384" t="s">
        <v>6492</v>
      </c>
      <c r="B692" s="384" t="s">
        <v>6493</v>
      </c>
      <c r="C692" s="384" t="s">
        <v>75</v>
      </c>
      <c r="D692" s="385" t="s">
        <v>6494</v>
      </c>
    </row>
    <row r="693" spans="1:4" x14ac:dyDescent="0.25">
      <c r="A693" s="384" t="s">
        <v>6495</v>
      </c>
      <c r="B693" s="384" t="s">
        <v>6496</v>
      </c>
      <c r="C693" s="384" t="s">
        <v>75</v>
      </c>
      <c r="D693" s="385" t="s">
        <v>6391</v>
      </c>
    </row>
    <row r="694" spans="1:4" x14ac:dyDescent="0.25">
      <c r="A694" s="384" t="s">
        <v>6497</v>
      </c>
      <c r="B694" s="384" t="s">
        <v>6498</v>
      </c>
      <c r="C694" s="384" t="s">
        <v>75</v>
      </c>
      <c r="D694" s="385" t="s">
        <v>6499</v>
      </c>
    </row>
    <row r="695" spans="1:4" x14ac:dyDescent="0.25">
      <c r="A695" s="384" t="s">
        <v>6500</v>
      </c>
      <c r="B695" s="384" t="s">
        <v>6501</v>
      </c>
      <c r="C695" s="384" t="s">
        <v>75</v>
      </c>
      <c r="D695" s="385" t="s">
        <v>6502</v>
      </c>
    </row>
    <row r="696" spans="1:4" x14ac:dyDescent="0.25">
      <c r="A696" s="384" t="s">
        <v>6503</v>
      </c>
      <c r="B696" s="384" t="s">
        <v>6504</v>
      </c>
      <c r="C696" s="384" t="s">
        <v>75</v>
      </c>
      <c r="D696" s="385" t="s">
        <v>6505</v>
      </c>
    </row>
    <row r="697" spans="1:4" x14ac:dyDescent="0.25">
      <c r="A697" s="384" t="s">
        <v>6506</v>
      </c>
      <c r="B697" s="384" t="s">
        <v>6507</v>
      </c>
      <c r="C697" s="384" t="s">
        <v>75</v>
      </c>
      <c r="D697" s="385" t="s">
        <v>6508</v>
      </c>
    </row>
    <row r="698" spans="1:4" x14ac:dyDescent="0.25">
      <c r="A698" s="384" t="s">
        <v>6509</v>
      </c>
      <c r="B698" s="384" t="s">
        <v>6510</v>
      </c>
      <c r="C698" s="384" t="s">
        <v>75</v>
      </c>
      <c r="D698" s="385" t="s">
        <v>6511</v>
      </c>
    </row>
    <row r="699" spans="1:4" x14ac:dyDescent="0.25">
      <c r="A699" s="384" t="s">
        <v>6512</v>
      </c>
      <c r="B699" s="384" t="s">
        <v>6513</v>
      </c>
      <c r="C699" s="384" t="s">
        <v>75</v>
      </c>
      <c r="D699" s="385" t="s">
        <v>6514</v>
      </c>
    </row>
    <row r="700" spans="1:4" x14ac:dyDescent="0.25">
      <c r="A700" s="384" t="s">
        <v>6515</v>
      </c>
      <c r="B700" s="384" t="s">
        <v>6516</v>
      </c>
      <c r="C700" s="384" t="s">
        <v>75</v>
      </c>
      <c r="D700" s="385" t="s">
        <v>5979</v>
      </c>
    </row>
    <row r="701" spans="1:4" x14ac:dyDescent="0.25">
      <c r="A701" s="384" t="s">
        <v>6517</v>
      </c>
      <c r="B701" s="384" t="s">
        <v>6518</v>
      </c>
      <c r="C701" s="384" t="s">
        <v>75</v>
      </c>
      <c r="D701" s="385" t="s">
        <v>6519</v>
      </c>
    </row>
    <row r="702" spans="1:4" x14ac:dyDescent="0.25">
      <c r="A702" s="384" t="s">
        <v>6520</v>
      </c>
      <c r="B702" s="384" t="s">
        <v>6521</v>
      </c>
      <c r="C702" s="384" t="s">
        <v>75</v>
      </c>
      <c r="D702" s="385" t="s">
        <v>6522</v>
      </c>
    </row>
    <row r="703" spans="1:4" x14ac:dyDescent="0.25">
      <c r="A703" s="384" t="s">
        <v>6523</v>
      </c>
      <c r="B703" s="384" t="s">
        <v>6524</v>
      </c>
      <c r="C703" s="384" t="s">
        <v>75</v>
      </c>
      <c r="D703" s="385" t="s">
        <v>6525</v>
      </c>
    </row>
    <row r="704" spans="1:4" x14ac:dyDescent="0.25">
      <c r="A704" s="384" t="s">
        <v>6526</v>
      </c>
      <c r="B704" s="384" t="s">
        <v>6527</v>
      </c>
      <c r="C704" s="384" t="s">
        <v>75</v>
      </c>
      <c r="D704" s="385" t="s">
        <v>6528</v>
      </c>
    </row>
    <row r="705" spans="1:4" x14ac:dyDescent="0.25">
      <c r="A705" s="384" t="s">
        <v>6529</v>
      </c>
      <c r="B705" s="384" t="s">
        <v>6530</v>
      </c>
      <c r="C705" s="384" t="s">
        <v>75</v>
      </c>
      <c r="D705" s="385" t="s">
        <v>6531</v>
      </c>
    </row>
    <row r="706" spans="1:4" x14ac:dyDescent="0.25">
      <c r="A706" s="384" t="s">
        <v>6532</v>
      </c>
      <c r="B706" s="384" t="s">
        <v>6533</v>
      </c>
      <c r="C706" s="384" t="s">
        <v>75</v>
      </c>
      <c r="D706" s="385" t="s">
        <v>6534</v>
      </c>
    </row>
    <row r="707" spans="1:4" x14ac:dyDescent="0.25">
      <c r="A707" s="384" t="s">
        <v>6535</v>
      </c>
      <c r="B707" s="384" t="s">
        <v>6536</v>
      </c>
      <c r="C707" s="384" t="s">
        <v>75</v>
      </c>
      <c r="D707" s="385" t="s">
        <v>5642</v>
      </c>
    </row>
    <row r="708" spans="1:4" x14ac:dyDescent="0.25">
      <c r="A708" s="384" t="s">
        <v>6537</v>
      </c>
      <c r="B708" s="384" t="s">
        <v>6538</v>
      </c>
      <c r="C708" s="384" t="s">
        <v>75</v>
      </c>
      <c r="D708" s="385" t="s">
        <v>6539</v>
      </c>
    </row>
    <row r="709" spans="1:4" x14ac:dyDescent="0.25">
      <c r="A709" s="384" t="s">
        <v>6540</v>
      </c>
      <c r="B709" s="384" t="s">
        <v>6541</v>
      </c>
      <c r="C709" s="384" t="s">
        <v>75</v>
      </c>
      <c r="D709" s="385" t="s">
        <v>6068</v>
      </c>
    </row>
    <row r="710" spans="1:4" x14ac:dyDescent="0.25">
      <c r="A710" s="384" t="s">
        <v>6542</v>
      </c>
      <c r="B710" s="384" t="s">
        <v>6543</v>
      </c>
      <c r="C710" s="384" t="s">
        <v>75</v>
      </c>
      <c r="D710" s="385" t="s">
        <v>6544</v>
      </c>
    </row>
    <row r="711" spans="1:4" x14ac:dyDescent="0.25">
      <c r="A711" s="384" t="s">
        <v>6545</v>
      </c>
      <c r="B711" s="384" t="s">
        <v>6546</v>
      </c>
      <c r="C711" s="384" t="s">
        <v>75</v>
      </c>
      <c r="D711" s="385" t="s">
        <v>6547</v>
      </c>
    </row>
    <row r="712" spans="1:4" x14ac:dyDescent="0.25">
      <c r="A712" s="384" t="s">
        <v>6548</v>
      </c>
      <c r="B712" s="384" t="s">
        <v>6549</v>
      </c>
      <c r="C712" s="384" t="s">
        <v>75</v>
      </c>
      <c r="D712" s="385" t="s">
        <v>6550</v>
      </c>
    </row>
    <row r="713" spans="1:4" x14ac:dyDescent="0.25">
      <c r="A713" s="384" t="s">
        <v>6551</v>
      </c>
      <c r="B713" s="384" t="s">
        <v>6552</v>
      </c>
      <c r="C713" s="384" t="s">
        <v>75</v>
      </c>
      <c r="D713" s="385" t="s">
        <v>6553</v>
      </c>
    </row>
    <row r="714" spans="1:4" x14ac:dyDescent="0.25">
      <c r="A714" s="384" t="s">
        <v>6554</v>
      </c>
      <c r="B714" s="384" t="s">
        <v>6555</v>
      </c>
      <c r="C714" s="384" t="s">
        <v>75</v>
      </c>
      <c r="D714" s="385" t="s">
        <v>6539</v>
      </c>
    </row>
    <row r="715" spans="1:4" x14ac:dyDescent="0.25">
      <c r="A715" s="384" t="s">
        <v>6556</v>
      </c>
      <c r="B715" s="384" t="s">
        <v>6557</v>
      </c>
      <c r="C715" s="384" t="s">
        <v>75</v>
      </c>
      <c r="D715" s="385" t="s">
        <v>5970</v>
      </c>
    </row>
    <row r="716" spans="1:4" x14ac:dyDescent="0.25">
      <c r="A716" s="384" t="s">
        <v>6558</v>
      </c>
      <c r="B716" s="384" t="s">
        <v>6559</v>
      </c>
      <c r="C716" s="384" t="s">
        <v>75</v>
      </c>
      <c r="D716" s="385" t="s">
        <v>5051</v>
      </c>
    </row>
    <row r="717" spans="1:4" x14ac:dyDescent="0.25">
      <c r="A717" s="384" t="s">
        <v>6560</v>
      </c>
      <c r="B717" s="384" t="s">
        <v>6561</v>
      </c>
      <c r="C717" s="384" t="s">
        <v>75</v>
      </c>
      <c r="D717" s="385" t="s">
        <v>6562</v>
      </c>
    </row>
    <row r="718" spans="1:4" x14ac:dyDescent="0.25">
      <c r="A718" s="384" t="s">
        <v>6563</v>
      </c>
      <c r="B718" s="384" t="s">
        <v>6564</v>
      </c>
      <c r="C718" s="384" t="s">
        <v>75</v>
      </c>
      <c r="D718" s="385" t="s">
        <v>6565</v>
      </c>
    </row>
    <row r="719" spans="1:4" x14ac:dyDescent="0.25">
      <c r="A719" s="384" t="s">
        <v>6566</v>
      </c>
      <c r="B719" s="384" t="s">
        <v>6567</v>
      </c>
      <c r="C719" s="384" t="s">
        <v>75</v>
      </c>
      <c r="D719" s="385" t="s">
        <v>6568</v>
      </c>
    </row>
    <row r="720" spans="1:4" x14ac:dyDescent="0.25">
      <c r="A720" s="384" t="s">
        <v>6569</v>
      </c>
      <c r="B720" s="384" t="s">
        <v>6570</v>
      </c>
      <c r="C720" s="384" t="s">
        <v>75</v>
      </c>
      <c r="D720" s="385" t="s">
        <v>6571</v>
      </c>
    </row>
    <row r="721" spans="1:4" x14ac:dyDescent="0.25">
      <c r="A721" s="384" t="s">
        <v>6572</v>
      </c>
      <c r="B721" s="384" t="s">
        <v>6573</v>
      </c>
      <c r="C721" s="384" t="s">
        <v>75</v>
      </c>
      <c r="D721" s="385" t="s">
        <v>6574</v>
      </c>
    </row>
    <row r="722" spans="1:4" x14ac:dyDescent="0.25">
      <c r="A722" s="384" t="s">
        <v>6575</v>
      </c>
      <c r="B722" s="384" t="s">
        <v>6576</v>
      </c>
      <c r="C722" s="384" t="s">
        <v>75</v>
      </c>
      <c r="D722" s="385" t="s">
        <v>6577</v>
      </c>
    </row>
    <row r="723" spans="1:4" x14ac:dyDescent="0.25">
      <c r="A723" s="384" t="s">
        <v>6578</v>
      </c>
      <c r="B723" s="384" t="s">
        <v>6579</v>
      </c>
      <c r="C723" s="384" t="s">
        <v>75</v>
      </c>
      <c r="D723" s="385" t="s">
        <v>6568</v>
      </c>
    </row>
    <row r="724" spans="1:4" x14ac:dyDescent="0.25">
      <c r="A724" s="384" t="s">
        <v>6580</v>
      </c>
      <c r="B724" s="384" t="s">
        <v>6581</v>
      </c>
      <c r="C724" s="384" t="s">
        <v>75</v>
      </c>
      <c r="D724" s="385" t="s">
        <v>6582</v>
      </c>
    </row>
    <row r="725" spans="1:4" x14ac:dyDescent="0.25">
      <c r="A725" s="384" t="s">
        <v>6583</v>
      </c>
      <c r="B725" s="384" t="s">
        <v>6584</v>
      </c>
      <c r="C725" s="384" t="s">
        <v>75</v>
      </c>
      <c r="D725" s="385" t="s">
        <v>6585</v>
      </c>
    </row>
    <row r="726" spans="1:4" x14ac:dyDescent="0.25">
      <c r="A726" s="384" t="s">
        <v>6586</v>
      </c>
      <c r="B726" s="384" t="s">
        <v>6587</v>
      </c>
      <c r="C726" s="384" t="s">
        <v>75</v>
      </c>
      <c r="D726" s="385" t="s">
        <v>6588</v>
      </c>
    </row>
    <row r="727" spans="1:4" x14ac:dyDescent="0.25">
      <c r="A727" s="384" t="s">
        <v>6589</v>
      </c>
      <c r="B727" s="384" t="s">
        <v>6590</v>
      </c>
      <c r="C727" s="384" t="s">
        <v>75</v>
      </c>
      <c r="D727" s="385" t="s">
        <v>6362</v>
      </c>
    </row>
    <row r="728" spans="1:4" x14ac:dyDescent="0.25">
      <c r="A728" s="384" t="s">
        <v>6591</v>
      </c>
      <c r="B728" s="384" t="s">
        <v>6592</v>
      </c>
      <c r="C728" s="384" t="s">
        <v>75</v>
      </c>
      <c r="D728" s="385" t="s">
        <v>6335</v>
      </c>
    </row>
    <row r="729" spans="1:4" x14ac:dyDescent="0.25">
      <c r="A729" s="384" t="s">
        <v>6593</v>
      </c>
      <c r="B729" s="384" t="s">
        <v>6594</v>
      </c>
      <c r="C729" s="384" t="s">
        <v>75</v>
      </c>
      <c r="D729" s="385" t="s">
        <v>6595</v>
      </c>
    </row>
    <row r="730" spans="1:4" x14ac:dyDescent="0.25">
      <c r="A730" s="384" t="s">
        <v>6596</v>
      </c>
      <c r="B730" s="384" t="s">
        <v>6597</v>
      </c>
      <c r="C730" s="384" t="s">
        <v>75</v>
      </c>
      <c r="D730" s="385" t="s">
        <v>6598</v>
      </c>
    </row>
    <row r="731" spans="1:4" x14ac:dyDescent="0.25">
      <c r="A731" s="384" t="s">
        <v>6599</v>
      </c>
      <c r="B731" s="384" t="s">
        <v>6600</v>
      </c>
      <c r="C731" s="384" t="s">
        <v>75</v>
      </c>
      <c r="D731" s="385" t="s">
        <v>6601</v>
      </c>
    </row>
    <row r="732" spans="1:4" x14ac:dyDescent="0.25">
      <c r="A732" s="384" t="s">
        <v>6602</v>
      </c>
      <c r="B732" s="384" t="s">
        <v>6603</v>
      </c>
      <c r="C732" s="384" t="s">
        <v>75</v>
      </c>
      <c r="D732" s="385" t="s">
        <v>6604</v>
      </c>
    </row>
    <row r="733" spans="1:4" x14ac:dyDescent="0.25">
      <c r="A733" s="384" t="s">
        <v>6605</v>
      </c>
      <c r="B733" s="384" t="s">
        <v>6606</v>
      </c>
      <c r="C733" s="384" t="s">
        <v>75</v>
      </c>
      <c r="D733" s="385" t="s">
        <v>6607</v>
      </c>
    </row>
    <row r="734" spans="1:4" x14ac:dyDescent="0.25">
      <c r="A734" s="384" t="s">
        <v>6608</v>
      </c>
      <c r="B734" s="384" t="s">
        <v>6609</v>
      </c>
      <c r="C734" s="384" t="s">
        <v>75</v>
      </c>
      <c r="D734" s="385" t="s">
        <v>6610</v>
      </c>
    </row>
    <row r="735" spans="1:4" x14ac:dyDescent="0.25">
      <c r="A735" s="384" t="s">
        <v>6611</v>
      </c>
      <c r="B735" s="384" t="s">
        <v>6612</v>
      </c>
      <c r="C735" s="384" t="s">
        <v>75</v>
      </c>
      <c r="D735" s="385" t="s">
        <v>6613</v>
      </c>
    </row>
    <row r="736" spans="1:4" x14ac:dyDescent="0.25">
      <c r="A736" s="384" t="s">
        <v>6614</v>
      </c>
      <c r="B736" s="384" t="s">
        <v>6615</v>
      </c>
      <c r="C736" s="384" t="s">
        <v>75</v>
      </c>
      <c r="D736" s="385" t="s">
        <v>6616</v>
      </c>
    </row>
    <row r="737" spans="1:4" x14ac:dyDescent="0.25">
      <c r="A737" s="384" t="s">
        <v>6617</v>
      </c>
      <c r="B737" s="384" t="s">
        <v>6618</v>
      </c>
      <c r="C737" s="384" t="s">
        <v>75</v>
      </c>
      <c r="D737" s="385" t="s">
        <v>6619</v>
      </c>
    </row>
    <row r="738" spans="1:4" x14ac:dyDescent="0.25">
      <c r="A738" s="384" t="s">
        <v>6620</v>
      </c>
      <c r="B738" s="384" t="s">
        <v>6621</v>
      </c>
      <c r="C738" s="384" t="s">
        <v>75</v>
      </c>
      <c r="D738" s="385" t="s">
        <v>6622</v>
      </c>
    </row>
    <row r="739" spans="1:4" x14ac:dyDescent="0.25">
      <c r="A739" s="384" t="s">
        <v>6623</v>
      </c>
      <c r="B739" s="384" t="s">
        <v>6624</v>
      </c>
      <c r="C739" s="384" t="s">
        <v>75</v>
      </c>
      <c r="D739" s="385" t="s">
        <v>5997</v>
      </c>
    </row>
    <row r="740" spans="1:4" x14ac:dyDescent="0.25">
      <c r="A740" s="384" t="s">
        <v>6625</v>
      </c>
      <c r="B740" s="384" t="s">
        <v>6626</v>
      </c>
      <c r="C740" s="384" t="s">
        <v>75</v>
      </c>
      <c r="D740" s="385" t="s">
        <v>6627</v>
      </c>
    </row>
    <row r="741" spans="1:4" x14ac:dyDescent="0.25">
      <c r="A741" s="384" t="s">
        <v>6628</v>
      </c>
      <c r="B741" s="384" t="s">
        <v>6629</v>
      </c>
      <c r="C741" s="384" t="s">
        <v>75</v>
      </c>
      <c r="D741" s="385" t="s">
        <v>6630</v>
      </c>
    </row>
    <row r="742" spans="1:4" x14ac:dyDescent="0.25">
      <c r="A742" s="384" t="s">
        <v>6631</v>
      </c>
      <c r="B742" s="384" t="s">
        <v>6632</v>
      </c>
      <c r="C742" s="384" t="s">
        <v>75</v>
      </c>
      <c r="D742" s="385" t="s">
        <v>4679</v>
      </c>
    </row>
    <row r="743" spans="1:4" x14ac:dyDescent="0.25">
      <c r="A743" s="384" t="s">
        <v>6633</v>
      </c>
      <c r="B743" s="384" t="s">
        <v>6634</v>
      </c>
      <c r="C743" s="384" t="s">
        <v>75</v>
      </c>
      <c r="D743" s="385" t="s">
        <v>6635</v>
      </c>
    </row>
    <row r="744" spans="1:4" x14ac:dyDescent="0.25">
      <c r="A744" s="384" t="s">
        <v>6636</v>
      </c>
      <c r="B744" s="384" t="s">
        <v>6637</v>
      </c>
      <c r="C744" s="384" t="s">
        <v>75</v>
      </c>
      <c r="D744" s="385" t="s">
        <v>6638</v>
      </c>
    </row>
    <row r="745" spans="1:4" x14ac:dyDescent="0.25">
      <c r="A745" s="384" t="s">
        <v>6639</v>
      </c>
      <c r="B745" s="384" t="s">
        <v>6640</v>
      </c>
      <c r="C745" s="384" t="s">
        <v>75</v>
      </c>
      <c r="D745" s="385" t="s">
        <v>6641</v>
      </c>
    </row>
    <row r="746" spans="1:4" x14ac:dyDescent="0.25">
      <c r="A746" s="384" t="s">
        <v>6642</v>
      </c>
      <c r="B746" s="384" t="s">
        <v>6643</v>
      </c>
      <c r="C746" s="384" t="s">
        <v>75</v>
      </c>
      <c r="D746" s="385" t="s">
        <v>6644</v>
      </c>
    </row>
    <row r="747" spans="1:4" x14ac:dyDescent="0.25">
      <c r="A747" s="384" t="s">
        <v>6645</v>
      </c>
      <c r="B747" s="384" t="s">
        <v>6646</v>
      </c>
      <c r="C747" s="384" t="s">
        <v>75</v>
      </c>
      <c r="D747" s="385" t="s">
        <v>6647</v>
      </c>
    </row>
    <row r="748" spans="1:4" x14ac:dyDescent="0.25">
      <c r="A748" s="384" t="s">
        <v>6648</v>
      </c>
      <c r="B748" s="384" t="s">
        <v>6649</v>
      </c>
      <c r="C748" s="384" t="s">
        <v>75</v>
      </c>
      <c r="D748" s="385" t="s">
        <v>6650</v>
      </c>
    </row>
    <row r="749" spans="1:4" x14ac:dyDescent="0.25">
      <c r="A749" s="384" t="s">
        <v>6651</v>
      </c>
      <c r="B749" s="384" t="s">
        <v>6652</v>
      </c>
      <c r="C749" s="384" t="s">
        <v>75</v>
      </c>
      <c r="D749" s="385" t="s">
        <v>6653</v>
      </c>
    </row>
    <row r="750" spans="1:4" x14ac:dyDescent="0.25">
      <c r="A750" s="384" t="s">
        <v>6654</v>
      </c>
      <c r="B750" s="384" t="s">
        <v>6655</v>
      </c>
      <c r="C750" s="384" t="s">
        <v>75</v>
      </c>
      <c r="D750" s="385" t="s">
        <v>6656</v>
      </c>
    </row>
    <row r="751" spans="1:4" x14ac:dyDescent="0.25">
      <c r="A751" s="384" t="s">
        <v>6657</v>
      </c>
      <c r="B751" s="384" t="s">
        <v>6658</v>
      </c>
      <c r="C751" s="384" t="s">
        <v>75</v>
      </c>
      <c r="D751" s="385" t="s">
        <v>6659</v>
      </c>
    </row>
    <row r="752" spans="1:4" x14ac:dyDescent="0.25">
      <c r="A752" s="384" t="s">
        <v>6660</v>
      </c>
      <c r="B752" s="384" t="s">
        <v>6661</v>
      </c>
      <c r="C752" s="384" t="s">
        <v>75</v>
      </c>
      <c r="D752" s="385" t="s">
        <v>6662</v>
      </c>
    </row>
    <row r="753" spans="1:4" x14ac:dyDescent="0.25">
      <c r="A753" s="384" t="s">
        <v>6663</v>
      </c>
      <c r="B753" s="384" t="s">
        <v>6664</v>
      </c>
      <c r="C753" s="384" t="s">
        <v>75</v>
      </c>
      <c r="D753" s="385" t="s">
        <v>6665</v>
      </c>
    </row>
    <row r="754" spans="1:4" x14ac:dyDescent="0.25">
      <c r="A754" s="384" t="s">
        <v>6666</v>
      </c>
      <c r="B754" s="384" t="s">
        <v>6667</v>
      </c>
      <c r="C754" s="384" t="s">
        <v>75</v>
      </c>
      <c r="D754" s="385" t="s">
        <v>6668</v>
      </c>
    </row>
    <row r="755" spans="1:4" x14ac:dyDescent="0.25">
      <c r="A755" s="384" t="s">
        <v>6669</v>
      </c>
      <c r="B755" s="384" t="s">
        <v>6670</v>
      </c>
      <c r="C755" s="384" t="s">
        <v>75</v>
      </c>
      <c r="D755" s="385" t="s">
        <v>6671</v>
      </c>
    </row>
    <row r="756" spans="1:4" x14ac:dyDescent="0.25">
      <c r="A756" s="384" t="s">
        <v>6672</v>
      </c>
      <c r="B756" s="384" t="s">
        <v>6673</v>
      </c>
      <c r="C756" s="384" t="s">
        <v>75</v>
      </c>
      <c r="D756" s="385" t="s">
        <v>6674</v>
      </c>
    </row>
    <row r="757" spans="1:4" x14ac:dyDescent="0.25">
      <c r="A757" s="384" t="s">
        <v>6675</v>
      </c>
      <c r="B757" s="384" t="s">
        <v>6676</v>
      </c>
      <c r="C757" s="384" t="s">
        <v>75</v>
      </c>
      <c r="D757" s="385" t="s">
        <v>6677</v>
      </c>
    </row>
    <row r="758" spans="1:4" x14ac:dyDescent="0.25">
      <c r="A758" s="384" t="s">
        <v>6678</v>
      </c>
      <c r="B758" s="384" t="s">
        <v>6679</v>
      </c>
      <c r="C758" s="384" t="s">
        <v>75</v>
      </c>
      <c r="D758" s="385" t="s">
        <v>4682</v>
      </c>
    </row>
    <row r="759" spans="1:4" x14ac:dyDescent="0.25">
      <c r="A759" s="384" t="s">
        <v>6680</v>
      </c>
      <c r="B759" s="384" t="s">
        <v>6681</v>
      </c>
      <c r="C759" s="384" t="s">
        <v>75</v>
      </c>
      <c r="D759" s="385" t="s">
        <v>6682</v>
      </c>
    </row>
    <row r="760" spans="1:4" x14ac:dyDescent="0.25">
      <c r="A760" s="384" t="s">
        <v>6683</v>
      </c>
      <c r="B760" s="384" t="s">
        <v>6684</v>
      </c>
      <c r="C760" s="384" t="s">
        <v>75</v>
      </c>
      <c r="D760" s="385" t="s">
        <v>6685</v>
      </c>
    </row>
    <row r="761" spans="1:4" x14ac:dyDescent="0.25">
      <c r="A761" s="384" t="s">
        <v>6686</v>
      </c>
      <c r="B761" s="384" t="s">
        <v>6687</v>
      </c>
      <c r="C761" s="384" t="s">
        <v>75</v>
      </c>
      <c r="D761" s="385" t="s">
        <v>6688</v>
      </c>
    </row>
    <row r="762" spans="1:4" x14ac:dyDescent="0.25">
      <c r="A762" s="384" t="s">
        <v>6689</v>
      </c>
      <c r="B762" s="384" t="s">
        <v>6690</v>
      </c>
      <c r="C762" s="384" t="s">
        <v>75</v>
      </c>
      <c r="D762" s="385" t="s">
        <v>6691</v>
      </c>
    </row>
    <row r="763" spans="1:4" x14ac:dyDescent="0.25">
      <c r="A763" s="384" t="s">
        <v>6692</v>
      </c>
      <c r="B763" s="384" t="s">
        <v>6693</v>
      </c>
      <c r="C763" s="384" t="s">
        <v>75</v>
      </c>
      <c r="D763" s="385" t="s">
        <v>6362</v>
      </c>
    </row>
    <row r="764" spans="1:4" x14ac:dyDescent="0.25">
      <c r="A764" s="384" t="s">
        <v>6694</v>
      </c>
      <c r="B764" s="384" t="s">
        <v>6695</v>
      </c>
      <c r="C764" s="384" t="s">
        <v>75</v>
      </c>
      <c r="D764" s="385" t="s">
        <v>6696</v>
      </c>
    </row>
    <row r="765" spans="1:4" x14ac:dyDescent="0.25">
      <c r="A765" s="384" t="s">
        <v>6697</v>
      </c>
      <c r="B765" s="384" t="s">
        <v>6698</v>
      </c>
      <c r="C765" s="384" t="s">
        <v>75</v>
      </c>
      <c r="D765" s="385" t="s">
        <v>6699</v>
      </c>
    </row>
    <row r="766" spans="1:4" x14ac:dyDescent="0.25">
      <c r="A766" s="384" t="s">
        <v>6700</v>
      </c>
      <c r="B766" s="384" t="s">
        <v>6701</v>
      </c>
      <c r="C766" s="384" t="s">
        <v>75</v>
      </c>
      <c r="D766" s="385" t="s">
        <v>6702</v>
      </c>
    </row>
    <row r="767" spans="1:4" x14ac:dyDescent="0.25">
      <c r="A767" s="384" t="s">
        <v>6703</v>
      </c>
      <c r="B767" s="384" t="s">
        <v>6704</v>
      </c>
      <c r="C767" s="384" t="s">
        <v>75</v>
      </c>
      <c r="D767" s="385" t="s">
        <v>6705</v>
      </c>
    </row>
    <row r="768" spans="1:4" x14ac:dyDescent="0.25">
      <c r="A768" s="384" t="s">
        <v>6706</v>
      </c>
      <c r="B768" s="384" t="s">
        <v>6707</v>
      </c>
      <c r="C768" s="384" t="s">
        <v>75</v>
      </c>
      <c r="D768" s="385" t="s">
        <v>6708</v>
      </c>
    </row>
    <row r="769" spans="1:4" x14ac:dyDescent="0.25">
      <c r="A769" s="384" t="s">
        <v>6709</v>
      </c>
      <c r="B769" s="384" t="s">
        <v>6710</v>
      </c>
      <c r="C769" s="384" t="s">
        <v>75</v>
      </c>
      <c r="D769" s="385" t="s">
        <v>6711</v>
      </c>
    </row>
    <row r="770" spans="1:4" x14ac:dyDescent="0.25">
      <c r="A770" s="384" t="s">
        <v>6712</v>
      </c>
      <c r="B770" s="384" t="s">
        <v>6713</v>
      </c>
      <c r="C770" s="384" t="s">
        <v>75</v>
      </c>
      <c r="D770" s="385" t="s">
        <v>6714</v>
      </c>
    </row>
    <row r="771" spans="1:4" x14ac:dyDescent="0.25">
      <c r="A771" s="384" t="s">
        <v>6715</v>
      </c>
      <c r="B771" s="384" t="s">
        <v>6716</v>
      </c>
      <c r="C771" s="384" t="s">
        <v>75</v>
      </c>
      <c r="D771" s="385" t="s">
        <v>6717</v>
      </c>
    </row>
    <row r="772" spans="1:4" x14ac:dyDescent="0.25">
      <c r="A772" s="384" t="s">
        <v>6718</v>
      </c>
      <c r="B772" s="384" t="s">
        <v>6719</v>
      </c>
      <c r="C772" s="384" t="s">
        <v>75</v>
      </c>
      <c r="D772" s="385" t="s">
        <v>6720</v>
      </c>
    </row>
    <row r="773" spans="1:4" x14ac:dyDescent="0.25">
      <c r="A773" s="384" t="s">
        <v>6721</v>
      </c>
      <c r="B773" s="384" t="s">
        <v>6722</v>
      </c>
      <c r="C773" s="384" t="s">
        <v>75</v>
      </c>
      <c r="D773" s="385" t="s">
        <v>6323</v>
      </c>
    </row>
    <row r="774" spans="1:4" x14ac:dyDescent="0.25">
      <c r="A774" s="384" t="s">
        <v>6723</v>
      </c>
      <c r="B774" s="384" t="s">
        <v>6724</v>
      </c>
      <c r="C774" s="384" t="s">
        <v>75</v>
      </c>
      <c r="D774" s="385" t="s">
        <v>6725</v>
      </c>
    </row>
    <row r="775" spans="1:4" x14ac:dyDescent="0.25">
      <c r="A775" s="384" t="s">
        <v>6726</v>
      </c>
      <c r="B775" s="384" t="s">
        <v>6727</v>
      </c>
      <c r="C775" s="384" t="s">
        <v>75</v>
      </c>
      <c r="D775" s="385" t="s">
        <v>6728</v>
      </c>
    </row>
    <row r="776" spans="1:4" x14ac:dyDescent="0.25">
      <c r="A776" s="384" t="s">
        <v>6729</v>
      </c>
      <c r="B776" s="384" t="s">
        <v>6730</v>
      </c>
      <c r="C776" s="384" t="s">
        <v>75</v>
      </c>
      <c r="D776" s="385" t="s">
        <v>6731</v>
      </c>
    </row>
    <row r="777" spans="1:4" x14ac:dyDescent="0.25">
      <c r="A777" s="384" t="s">
        <v>6732</v>
      </c>
      <c r="B777" s="384" t="s">
        <v>6733</v>
      </c>
      <c r="C777" s="384" t="s">
        <v>75</v>
      </c>
      <c r="D777" s="385" t="s">
        <v>6734</v>
      </c>
    </row>
    <row r="778" spans="1:4" x14ac:dyDescent="0.25">
      <c r="A778" s="384" t="s">
        <v>6735</v>
      </c>
      <c r="B778" s="384" t="s">
        <v>6736</v>
      </c>
      <c r="C778" s="384" t="s">
        <v>75</v>
      </c>
      <c r="D778" s="385" t="s">
        <v>4649</v>
      </c>
    </row>
    <row r="779" spans="1:4" x14ac:dyDescent="0.25">
      <c r="A779" s="384" t="s">
        <v>6737</v>
      </c>
      <c r="B779" s="384" t="s">
        <v>6738</v>
      </c>
      <c r="C779" s="384" t="s">
        <v>75</v>
      </c>
      <c r="D779" s="385" t="s">
        <v>6739</v>
      </c>
    </row>
    <row r="780" spans="1:4" x14ac:dyDescent="0.25">
      <c r="A780" s="384" t="s">
        <v>6740</v>
      </c>
      <c r="B780" s="384" t="s">
        <v>6741</v>
      </c>
      <c r="C780" s="384" t="s">
        <v>75</v>
      </c>
      <c r="D780" s="385" t="s">
        <v>6742</v>
      </c>
    </row>
    <row r="781" spans="1:4" x14ac:dyDescent="0.25">
      <c r="A781" s="384" t="s">
        <v>6743</v>
      </c>
      <c r="B781" s="384" t="s">
        <v>6744</v>
      </c>
      <c r="C781" s="384" t="s">
        <v>75</v>
      </c>
      <c r="D781" s="385" t="s">
        <v>6745</v>
      </c>
    </row>
    <row r="782" spans="1:4" x14ac:dyDescent="0.25">
      <c r="A782" s="384" t="s">
        <v>6746</v>
      </c>
      <c r="B782" s="384" t="s">
        <v>6747</v>
      </c>
      <c r="C782" s="384" t="s">
        <v>75</v>
      </c>
      <c r="D782" s="385" t="s">
        <v>4769</v>
      </c>
    </row>
    <row r="783" spans="1:4" x14ac:dyDescent="0.25">
      <c r="A783" s="384" t="s">
        <v>6748</v>
      </c>
      <c r="B783" s="384" t="s">
        <v>6749</v>
      </c>
      <c r="C783" s="384" t="s">
        <v>75</v>
      </c>
      <c r="D783" s="385" t="s">
        <v>6750</v>
      </c>
    </row>
    <row r="784" spans="1:4" x14ac:dyDescent="0.25">
      <c r="A784" s="384" t="s">
        <v>6751</v>
      </c>
      <c r="B784" s="384" t="s">
        <v>6752</v>
      </c>
      <c r="C784" s="384" t="s">
        <v>75</v>
      </c>
      <c r="D784" s="385" t="s">
        <v>6753</v>
      </c>
    </row>
    <row r="785" spans="1:4" x14ac:dyDescent="0.25">
      <c r="A785" s="384" t="s">
        <v>6754</v>
      </c>
      <c r="B785" s="384" t="s">
        <v>6755</v>
      </c>
      <c r="C785" s="384" t="s">
        <v>75</v>
      </c>
      <c r="D785" s="385" t="s">
        <v>6756</v>
      </c>
    </row>
    <row r="786" spans="1:4" x14ac:dyDescent="0.25">
      <c r="A786" s="384" t="s">
        <v>6757</v>
      </c>
      <c r="B786" s="384" t="s">
        <v>6758</v>
      </c>
      <c r="C786" s="384" t="s">
        <v>75</v>
      </c>
      <c r="D786" s="385" t="s">
        <v>6759</v>
      </c>
    </row>
    <row r="787" spans="1:4" x14ac:dyDescent="0.25">
      <c r="A787" s="384" t="s">
        <v>6760</v>
      </c>
      <c r="B787" s="384" t="s">
        <v>6761</v>
      </c>
      <c r="C787" s="384" t="s">
        <v>75</v>
      </c>
      <c r="D787" s="385" t="s">
        <v>6762</v>
      </c>
    </row>
    <row r="788" spans="1:4" x14ac:dyDescent="0.25">
      <c r="A788" s="384" t="s">
        <v>6763</v>
      </c>
      <c r="B788" s="384" t="s">
        <v>6764</v>
      </c>
      <c r="C788" s="384" t="s">
        <v>75</v>
      </c>
      <c r="D788" s="385" t="s">
        <v>6765</v>
      </c>
    </row>
    <row r="789" spans="1:4" x14ac:dyDescent="0.25">
      <c r="A789" s="384" t="s">
        <v>6766</v>
      </c>
      <c r="B789" s="384" t="s">
        <v>6767</v>
      </c>
      <c r="C789" s="384" t="s">
        <v>75</v>
      </c>
      <c r="D789" s="385" t="s">
        <v>6768</v>
      </c>
    </row>
    <row r="790" spans="1:4" x14ac:dyDescent="0.25">
      <c r="A790" s="384" t="s">
        <v>6769</v>
      </c>
      <c r="B790" s="384" t="s">
        <v>6770</v>
      </c>
      <c r="C790" s="384" t="s">
        <v>75</v>
      </c>
      <c r="D790" s="385" t="s">
        <v>6771</v>
      </c>
    </row>
    <row r="791" spans="1:4" x14ac:dyDescent="0.25">
      <c r="A791" s="384" t="s">
        <v>6772</v>
      </c>
      <c r="B791" s="384" t="s">
        <v>6773</v>
      </c>
      <c r="C791" s="384" t="s">
        <v>75</v>
      </c>
      <c r="D791" s="385" t="s">
        <v>6774</v>
      </c>
    </row>
    <row r="792" spans="1:4" x14ac:dyDescent="0.25">
      <c r="A792" s="384" t="s">
        <v>6775</v>
      </c>
      <c r="B792" s="384" t="s">
        <v>6776</v>
      </c>
      <c r="C792" s="384" t="s">
        <v>75</v>
      </c>
      <c r="D792" s="385" t="s">
        <v>6777</v>
      </c>
    </row>
    <row r="793" spans="1:4" x14ac:dyDescent="0.25">
      <c r="A793" s="384" t="s">
        <v>6778</v>
      </c>
      <c r="B793" s="384" t="s">
        <v>6779</v>
      </c>
      <c r="C793" s="384" t="s">
        <v>75</v>
      </c>
      <c r="D793" s="385" t="s">
        <v>6780</v>
      </c>
    </row>
    <row r="794" spans="1:4" x14ac:dyDescent="0.25">
      <c r="A794" s="384" t="s">
        <v>6781</v>
      </c>
      <c r="B794" s="384" t="s">
        <v>6782</v>
      </c>
      <c r="C794" s="384" t="s">
        <v>75</v>
      </c>
      <c r="D794" s="385" t="s">
        <v>6783</v>
      </c>
    </row>
    <row r="795" spans="1:4" x14ac:dyDescent="0.25">
      <c r="A795" s="384" t="s">
        <v>6784</v>
      </c>
      <c r="B795" s="384" t="s">
        <v>6785</v>
      </c>
      <c r="C795" s="384" t="s">
        <v>75</v>
      </c>
      <c r="D795" s="385" t="s">
        <v>6786</v>
      </c>
    </row>
    <row r="796" spans="1:4" x14ac:dyDescent="0.25">
      <c r="A796" s="384" t="s">
        <v>6787</v>
      </c>
      <c r="B796" s="384" t="s">
        <v>6788</v>
      </c>
      <c r="C796" s="384" t="s">
        <v>75</v>
      </c>
      <c r="D796" s="385" t="s">
        <v>6789</v>
      </c>
    </row>
    <row r="797" spans="1:4" x14ac:dyDescent="0.25">
      <c r="A797" s="384" t="s">
        <v>6790</v>
      </c>
      <c r="B797" s="384" t="s">
        <v>6791</v>
      </c>
      <c r="C797" s="384" t="s">
        <v>75</v>
      </c>
      <c r="D797" s="385" t="s">
        <v>6792</v>
      </c>
    </row>
    <row r="798" spans="1:4" x14ac:dyDescent="0.25">
      <c r="A798" s="384" t="s">
        <v>6793</v>
      </c>
      <c r="B798" s="384" t="s">
        <v>6794</v>
      </c>
      <c r="C798" s="384" t="s">
        <v>75</v>
      </c>
      <c r="D798" s="385" t="s">
        <v>6795</v>
      </c>
    </row>
    <row r="799" spans="1:4" x14ac:dyDescent="0.25">
      <c r="A799" s="384" t="s">
        <v>6796</v>
      </c>
      <c r="B799" s="384" t="s">
        <v>6797</v>
      </c>
      <c r="C799" s="384" t="s">
        <v>75</v>
      </c>
      <c r="D799" s="385" t="s">
        <v>6798</v>
      </c>
    </row>
    <row r="800" spans="1:4" x14ac:dyDescent="0.25">
      <c r="A800" s="384" t="s">
        <v>6799</v>
      </c>
      <c r="B800" s="384" t="s">
        <v>6800</v>
      </c>
      <c r="C800" s="384" t="s">
        <v>75</v>
      </c>
      <c r="D800" s="385" t="s">
        <v>6801</v>
      </c>
    </row>
    <row r="801" spans="1:4" x14ac:dyDescent="0.25">
      <c r="A801" s="384" t="s">
        <v>6802</v>
      </c>
      <c r="B801" s="384" t="s">
        <v>6803</v>
      </c>
      <c r="C801" s="384" t="s">
        <v>75</v>
      </c>
      <c r="D801" s="385" t="s">
        <v>6804</v>
      </c>
    </row>
    <row r="802" spans="1:4" x14ac:dyDescent="0.25">
      <c r="A802" s="384" t="s">
        <v>6805</v>
      </c>
      <c r="B802" s="384" t="s">
        <v>6806</v>
      </c>
      <c r="C802" s="384" t="s">
        <v>75</v>
      </c>
      <c r="D802" s="385" t="s">
        <v>6165</v>
      </c>
    </row>
    <row r="803" spans="1:4" x14ac:dyDescent="0.25">
      <c r="A803" s="384" t="s">
        <v>6807</v>
      </c>
      <c r="B803" s="384" t="s">
        <v>6808</v>
      </c>
      <c r="C803" s="384" t="s">
        <v>75</v>
      </c>
      <c r="D803" s="385" t="s">
        <v>6809</v>
      </c>
    </row>
    <row r="804" spans="1:4" x14ac:dyDescent="0.25">
      <c r="A804" s="384" t="s">
        <v>6810</v>
      </c>
      <c r="B804" s="384" t="s">
        <v>6811</v>
      </c>
      <c r="C804" s="384" t="s">
        <v>75</v>
      </c>
      <c r="D804" s="385" t="s">
        <v>6812</v>
      </c>
    </row>
    <row r="805" spans="1:4" x14ac:dyDescent="0.25">
      <c r="A805" s="384" t="s">
        <v>6813</v>
      </c>
      <c r="B805" s="384" t="s">
        <v>6814</v>
      </c>
      <c r="C805" s="384" t="s">
        <v>75</v>
      </c>
      <c r="D805" s="385" t="s">
        <v>5823</v>
      </c>
    </row>
    <row r="806" spans="1:4" x14ac:dyDescent="0.25">
      <c r="A806" s="384" t="s">
        <v>6815</v>
      </c>
      <c r="B806" s="384" t="s">
        <v>6816</v>
      </c>
      <c r="C806" s="384" t="s">
        <v>75</v>
      </c>
      <c r="D806" s="385" t="s">
        <v>6817</v>
      </c>
    </row>
    <row r="807" spans="1:4" x14ac:dyDescent="0.25">
      <c r="A807" s="384" t="s">
        <v>6818</v>
      </c>
      <c r="B807" s="384" t="s">
        <v>6819</v>
      </c>
      <c r="C807" s="384" t="s">
        <v>75</v>
      </c>
      <c r="D807" s="385" t="s">
        <v>6820</v>
      </c>
    </row>
    <row r="808" spans="1:4" x14ac:dyDescent="0.25">
      <c r="A808" s="384" t="s">
        <v>6821</v>
      </c>
      <c r="B808" s="384" t="s">
        <v>6822</v>
      </c>
      <c r="C808" s="384" t="s">
        <v>75</v>
      </c>
      <c r="D808" s="385" t="s">
        <v>6823</v>
      </c>
    </row>
    <row r="809" spans="1:4" x14ac:dyDescent="0.25">
      <c r="A809" s="384" t="s">
        <v>6824</v>
      </c>
      <c r="B809" s="384" t="s">
        <v>6825</v>
      </c>
      <c r="C809" s="384" t="s">
        <v>75</v>
      </c>
      <c r="D809" s="385" t="s">
        <v>6826</v>
      </c>
    </row>
    <row r="810" spans="1:4" x14ac:dyDescent="0.25">
      <c r="A810" s="384" t="s">
        <v>6827</v>
      </c>
      <c r="B810" s="384" t="s">
        <v>6828</v>
      </c>
      <c r="C810" s="384" t="s">
        <v>75</v>
      </c>
      <c r="D810" s="385" t="s">
        <v>6829</v>
      </c>
    </row>
    <row r="811" spans="1:4" x14ac:dyDescent="0.25">
      <c r="A811" s="384" t="s">
        <v>6830</v>
      </c>
      <c r="B811" s="384" t="s">
        <v>6831</v>
      </c>
      <c r="C811" s="384" t="s">
        <v>75</v>
      </c>
      <c r="D811" s="385" t="s">
        <v>6832</v>
      </c>
    </row>
    <row r="812" spans="1:4" x14ac:dyDescent="0.25">
      <c r="A812" s="384" t="s">
        <v>6833</v>
      </c>
      <c r="B812" s="384" t="s">
        <v>6834</v>
      </c>
      <c r="C812" s="384" t="s">
        <v>75</v>
      </c>
      <c r="D812" s="385" t="s">
        <v>6835</v>
      </c>
    </row>
    <row r="813" spans="1:4" x14ac:dyDescent="0.25">
      <c r="A813" s="384" t="s">
        <v>6836</v>
      </c>
      <c r="B813" s="384" t="s">
        <v>6837</v>
      </c>
      <c r="C813" s="384" t="s">
        <v>75</v>
      </c>
      <c r="D813" s="385" t="s">
        <v>6838</v>
      </c>
    </row>
    <row r="814" spans="1:4" x14ac:dyDescent="0.25">
      <c r="A814" s="384" t="s">
        <v>6839</v>
      </c>
      <c r="B814" s="384" t="s">
        <v>6840</v>
      </c>
      <c r="C814" s="384" t="s">
        <v>75</v>
      </c>
      <c r="D814" s="385" t="s">
        <v>6841</v>
      </c>
    </row>
    <row r="815" spans="1:4" x14ac:dyDescent="0.25">
      <c r="A815" s="384" t="s">
        <v>6842</v>
      </c>
      <c r="B815" s="384" t="s">
        <v>6843</v>
      </c>
      <c r="C815" s="384" t="s">
        <v>75</v>
      </c>
      <c r="D815" s="385" t="s">
        <v>6844</v>
      </c>
    </row>
    <row r="816" spans="1:4" x14ac:dyDescent="0.25">
      <c r="A816" s="384" t="s">
        <v>6845</v>
      </c>
      <c r="B816" s="384" t="s">
        <v>6846</v>
      </c>
      <c r="C816" s="384" t="s">
        <v>75</v>
      </c>
      <c r="D816" s="385" t="s">
        <v>6847</v>
      </c>
    </row>
    <row r="817" spans="1:4" x14ac:dyDescent="0.25">
      <c r="A817" s="384" t="s">
        <v>6848</v>
      </c>
      <c r="B817" s="384" t="s">
        <v>6849</v>
      </c>
      <c r="C817" s="384" t="s">
        <v>75</v>
      </c>
      <c r="D817" s="385" t="s">
        <v>6850</v>
      </c>
    </row>
    <row r="818" spans="1:4" x14ac:dyDescent="0.25">
      <c r="A818" s="384" t="s">
        <v>6851</v>
      </c>
      <c r="B818" s="384" t="s">
        <v>6852</v>
      </c>
      <c r="C818" s="384" t="s">
        <v>75</v>
      </c>
      <c r="D818" s="385" t="s">
        <v>6853</v>
      </c>
    </row>
    <row r="819" spans="1:4" x14ac:dyDescent="0.25">
      <c r="A819" s="384" t="s">
        <v>6854</v>
      </c>
      <c r="B819" s="384" t="s">
        <v>6855</v>
      </c>
      <c r="C819" s="384" t="s">
        <v>75</v>
      </c>
      <c r="D819" s="385" t="s">
        <v>5779</v>
      </c>
    </row>
    <row r="820" spans="1:4" x14ac:dyDescent="0.25">
      <c r="A820" s="384" t="s">
        <v>6856</v>
      </c>
      <c r="B820" s="384" t="s">
        <v>6857</v>
      </c>
      <c r="C820" s="384" t="s">
        <v>75</v>
      </c>
      <c r="D820" s="385" t="s">
        <v>6858</v>
      </c>
    </row>
    <row r="821" spans="1:4" x14ac:dyDescent="0.25">
      <c r="A821" s="384" t="s">
        <v>6859</v>
      </c>
      <c r="B821" s="384" t="s">
        <v>6860</v>
      </c>
      <c r="C821" s="384" t="s">
        <v>75</v>
      </c>
      <c r="D821" s="385" t="s">
        <v>6861</v>
      </c>
    </row>
    <row r="822" spans="1:4" x14ac:dyDescent="0.25">
      <c r="A822" s="384" t="s">
        <v>6862</v>
      </c>
      <c r="B822" s="384" t="s">
        <v>6863</v>
      </c>
      <c r="C822" s="384" t="s">
        <v>75</v>
      </c>
      <c r="D822" s="385" t="s">
        <v>4682</v>
      </c>
    </row>
    <row r="823" spans="1:4" x14ac:dyDescent="0.25">
      <c r="A823" s="384" t="s">
        <v>6864</v>
      </c>
      <c r="B823" s="384" t="s">
        <v>6865</v>
      </c>
      <c r="C823" s="384" t="s">
        <v>75</v>
      </c>
      <c r="D823" s="385" t="s">
        <v>6866</v>
      </c>
    </row>
    <row r="824" spans="1:4" x14ac:dyDescent="0.25">
      <c r="A824" s="384" t="s">
        <v>6867</v>
      </c>
      <c r="B824" s="384" t="s">
        <v>6868</v>
      </c>
      <c r="C824" s="384" t="s">
        <v>75</v>
      </c>
      <c r="D824" s="385" t="s">
        <v>6869</v>
      </c>
    </row>
    <row r="825" spans="1:4" x14ac:dyDescent="0.25">
      <c r="A825" s="384" t="s">
        <v>6870</v>
      </c>
      <c r="B825" s="384" t="s">
        <v>6871</v>
      </c>
      <c r="C825" s="384" t="s">
        <v>75</v>
      </c>
      <c r="D825" s="385" t="s">
        <v>6872</v>
      </c>
    </row>
    <row r="826" spans="1:4" x14ac:dyDescent="0.25">
      <c r="A826" s="384" t="s">
        <v>6873</v>
      </c>
      <c r="B826" s="384" t="s">
        <v>6874</v>
      </c>
      <c r="C826" s="384" t="s">
        <v>75</v>
      </c>
      <c r="D826" s="385" t="s">
        <v>6875</v>
      </c>
    </row>
    <row r="827" spans="1:4" x14ac:dyDescent="0.25">
      <c r="A827" s="384" t="s">
        <v>6876</v>
      </c>
      <c r="B827" s="384" t="s">
        <v>6877</v>
      </c>
      <c r="C827" s="384" t="s">
        <v>75</v>
      </c>
      <c r="D827" s="385" t="s">
        <v>6878</v>
      </c>
    </row>
    <row r="828" spans="1:4" x14ac:dyDescent="0.25">
      <c r="A828" s="384" t="s">
        <v>6879</v>
      </c>
      <c r="B828" s="384" t="s">
        <v>6880</v>
      </c>
      <c r="C828" s="384" t="s">
        <v>75</v>
      </c>
      <c r="D828" s="385" t="s">
        <v>6881</v>
      </c>
    </row>
    <row r="829" spans="1:4" x14ac:dyDescent="0.25">
      <c r="A829" s="384" t="s">
        <v>6882</v>
      </c>
      <c r="B829" s="384" t="s">
        <v>6883</v>
      </c>
      <c r="C829" s="384" t="s">
        <v>75</v>
      </c>
      <c r="D829" s="385" t="s">
        <v>6884</v>
      </c>
    </row>
    <row r="830" spans="1:4" x14ac:dyDescent="0.25">
      <c r="A830" s="384" t="s">
        <v>6885</v>
      </c>
      <c r="B830" s="384" t="s">
        <v>6886</v>
      </c>
      <c r="C830" s="384" t="s">
        <v>75</v>
      </c>
      <c r="D830" s="385" t="s">
        <v>6887</v>
      </c>
    </row>
    <row r="831" spans="1:4" x14ac:dyDescent="0.25">
      <c r="A831" s="384" t="s">
        <v>6888</v>
      </c>
      <c r="B831" s="384" t="s">
        <v>6889</v>
      </c>
      <c r="C831" s="384" t="s">
        <v>75</v>
      </c>
      <c r="D831" s="385" t="s">
        <v>6890</v>
      </c>
    </row>
    <row r="832" spans="1:4" x14ac:dyDescent="0.25">
      <c r="A832" s="384" t="s">
        <v>6891</v>
      </c>
      <c r="B832" s="384" t="s">
        <v>6892</v>
      </c>
      <c r="C832" s="384" t="s">
        <v>75</v>
      </c>
      <c r="D832" s="385" t="s">
        <v>6893</v>
      </c>
    </row>
    <row r="833" spans="1:4" x14ac:dyDescent="0.25">
      <c r="A833" s="384" t="s">
        <v>6894</v>
      </c>
      <c r="B833" s="384" t="s">
        <v>6895</v>
      </c>
      <c r="C833" s="384" t="s">
        <v>75</v>
      </c>
      <c r="D833" s="385" t="s">
        <v>6896</v>
      </c>
    </row>
    <row r="834" spans="1:4" x14ac:dyDescent="0.25">
      <c r="A834" s="384" t="s">
        <v>6897</v>
      </c>
      <c r="B834" s="384" t="s">
        <v>6898</v>
      </c>
      <c r="C834" s="384" t="s">
        <v>75</v>
      </c>
      <c r="D834" s="385" t="s">
        <v>6130</v>
      </c>
    </row>
    <row r="835" spans="1:4" x14ac:dyDescent="0.25">
      <c r="A835" s="384" t="s">
        <v>6899</v>
      </c>
      <c r="B835" s="384" t="s">
        <v>6900</v>
      </c>
      <c r="C835" s="384" t="s">
        <v>75</v>
      </c>
      <c r="D835" s="385" t="s">
        <v>6335</v>
      </c>
    </row>
    <row r="836" spans="1:4" x14ac:dyDescent="0.25">
      <c r="A836" s="384" t="s">
        <v>6901</v>
      </c>
      <c r="B836" s="384" t="s">
        <v>6902</v>
      </c>
      <c r="C836" s="384" t="s">
        <v>75</v>
      </c>
      <c r="D836" s="385" t="s">
        <v>6595</v>
      </c>
    </row>
    <row r="837" spans="1:4" x14ac:dyDescent="0.25">
      <c r="A837" s="384" t="s">
        <v>6903</v>
      </c>
      <c r="B837" s="384" t="s">
        <v>6904</v>
      </c>
      <c r="C837" s="384" t="s">
        <v>75</v>
      </c>
      <c r="D837" s="385" t="s">
        <v>6905</v>
      </c>
    </row>
    <row r="838" spans="1:4" x14ac:dyDescent="0.25">
      <c r="A838" s="384" t="s">
        <v>6906</v>
      </c>
      <c r="B838" s="384" t="s">
        <v>6907</v>
      </c>
      <c r="C838" s="384" t="s">
        <v>75</v>
      </c>
      <c r="D838" s="385" t="s">
        <v>6853</v>
      </c>
    </row>
    <row r="839" spans="1:4" x14ac:dyDescent="0.25">
      <c r="A839" s="384" t="s">
        <v>6908</v>
      </c>
      <c r="B839" s="384" t="s">
        <v>6909</v>
      </c>
      <c r="C839" s="384" t="s">
        <v>75</v>
      </c>
      <c r="D839" s="385" t="s">
        <v>6910</v>
      </c>
    </row>
    <row r="840" spans="1:4" x14ac:dyDescent="0.25">
      <c r="A840" s="384" t="s">
        <v>6911</v>
      </c>
      <c r="B840" s="384" t="s">
        <v>6912</v>
      </c>
      <c r="C840" s="384" t="s">
        <v>75</v>
      </c>
      <c r="D840" s="385" t="s">
        <v>5642</v>
      </c>
    </row>
    <row r="841" spans="1:4" x14ac:dyDescent="0.25">
      <c r="A841" s="384" t="s">
        <v>6913</v>
      </c>
      <c r="B841" s="384" t="s">
        <v>6914</v>
      </c>
      <c r="C841" s="384" t="s">
        <v>75</v>
      </c>
      <c r="D841" s="385" t="s">
        <v>6915</v>
      </c>
    </row>
    <row r="842" spans="1:4" x14ac:dyDescent="0.25">
      <c r="A842" s="384" t="s">
        <v>6916</v>
      </c>
      <c r="B842" s="384" t="s">
        <v>6917</v>
      </c>
      <c r="C842" s="384" t="s">
        <v>75</v>
      </c>
      <c r="D842" s="385" t="s">
        <v>6918</v>
      </c>
    </row>
    <row r="843" spans="1:4" x14ac:dyDescent="0.25">
      <c r="A843" s="384" t="s">
        <v>6919</v>
      </c>
      <c r="B843" s="384" t="s">
        <v>6920</v>
      </c>
      <c r="C843" s="384" t="s">
        <v>75</v>
      </c>
      <c r="D843" s="385" t="s">
        <v>4970</v>
      </c>
    </row>
    <row r="844" spans="1:4" x14ac:dyDescent="0.25">
      <c r="A844" s="384" t="s">
        <v>6921</v>
      </c>
      <c r="B844" s="384" t="s">
        <v>6922</v>
      </c>
      <c r="C844" s="384" t="s">
        <v>75</v>
      </c>
      <c r="D844" s="385" t="s">
        <v>6923</v>
      </c>
    </row>
    <row r="845" spans="1:4" x14ac:dyDescent="0.25">
      <c r="A845" s="384" t="s">
        <v>6924</v>
      </c>
      <c r="B845" s="384" t="s">
        <v>6925</v>
      </c>
      <c r="C845" s="384" t="s">
        <v>75</v>
      </c>
      <c r="D845" s="385" t="s">
        <v>6926</v>
      </c>
    </row>
    <row r="846" spans="1:4" x14ac:dyDescent="0.25">
      <c r="A846" s="384" t="s">
        <v>6927</v>
      </c>
      <c r="B846" s="384" t="s">
        <v>6928</v>
      </c>
      <c r="C846" s="384" t="s">
        <v>75</v>
      </c>
      <c r="D846" s="385" t="s">
        <v>6142</v>
      </c>
    </row>
    <row r="847" spans="1:4" x14ac:dyDescent="0.25">
      <c r="A847" s="384" t="s">
        <v>6929</v>
      </c>
      <c r="B847" s="384" t="s">
        <v>6930</v>
      </c>
      <c r="C847" s="384" t="s">
        <v>75</v>
      </c>
      <c r="D847" s="385" t="s">
        <v>6480</v>
      </c>
    </row>
    <row r="848" spans="1:4" x14ac:dyDescent="0.25">
      <c r="A848" s="384" t="s">
        <v>6931</v>
      </c>
      <c r="B848" s="384" t="s">
        <v>6932</v>
      </c>
      <c r="C848" s="384" t="s">
        <v>75</v>
      </c>
      <c r="D848" s="385" t="s">
        <v>4703</v>
      </c>
    </row>
    <row r="849" spans="1:4" x14ac:dyDescent="0.25">
      <c r="A849" s="384" t="s">
        <v>6933</v>
      </c>
      <c r="B849" s="384" t="s">
        <v>6934</v>
      </c>
      <c r="C849" s="384" t="s">
        <v>75</v>
      </c>
      <c r="D849" s="385" t="s">
        <v>6935</v>
      </c>
    </row>
    <row r="850" spans="1:4" x14ac:dyDescent="0.25">
      <c r="A850" s="384" t="s">
        <v>6936</v>
      </c>
      <c r="B850" s="384" t="s">
        <v>6937</v>
      </c>
      <c r="C850" s="384" t="s">
        <v>75</v>
      </c>
      <c r="D850" s="385" t="s">
        <v>6938</v>
      </c>
    </row>
    <row r="851" spans="1:4" x14ac:dyDescent="0.25">
      <c r="A851" s="384" t="s">
        <v>6939</v>
      </c>
      <c r="B851" s="384" t="s">
        <v>6940</v>
      </c>
      <c r="C851" s="384" t="s">
        <v>75</v>
      </c>
      <c r="D851" s="385" t="s">
        <v>6941</v>
      </c>
    </row>
    <row r="852" spans="1:4" x14ac:dyDescent="0.25">
      <c r="A852" s="384" t="s">
        <v>6942</v>
      </c>
      <c r="B852" s="384" t="s">
        <v>6943</v>
      </c>
      <c r="C852" s="384" t="s">
        <v>75</v>
      </c>
      <c r="D852" s="385" t="s">
        <v>6944</v>
      </c>
    </row>
    <row r="853" spans="1:4" x14ac:dyDescent="0.25">
      <c r="A853" s="384" t="s">
        <v>6945</v>
      </c>
      <c r="B853" s="384" t="s">
        <v>6946</v>
      </c>
      <c r="C853" s="384" t="s">
        <v>75</v>
      </c>
      <c r="D853" s="385" t="s">
        <v>6947</v>
      </c>
    </row>
    <row r="854" spans="1:4" x14ac:dyDescent="0.25">
      <c r="A854" s="384" t="s">
        <v>6948</v>
      </c>
      <c r="B854" s="384" t="s">
        <v>6949</v>
      </c>
      <c r="C854" s="384" t="s">
        <v>75</v>
      </c>
      <c r="D854" s="385" t="s">
        <v>6950</v>
      </c>
    </row>
    <row r="855" spans="1:4" x14ac:dyDescent="0.25">
      <c r="A855" s="384" t="s">
        <v>6951</v>
      </c>
      <c r="B855" s="384" t="s">
        <v>6952</v>
      </c>
      <c r="C855" s="384" t="s">
        <v>75</v>
      </c>
      <c r="D855" s="385" t="s">
        <v>6574</v>
      </c>
    </row>
    <row r="856" spans="1:4" x14ac:dyDescent="0.25">
      <c r="A856" s="384" t="s">
        <v>6953</v>
      </c>
      <c r="B856" s="384" t="s">
        <v>6954</v>
      </c>
      <c r="C856" s="384" t="s">
        <v>75</v>
      </c>
      <c r="D856" s="385" t="s">
        <v>6955</v>
      </c>
    </row>
    <row r="857" spans="1:4" x14ac:dyDescent="0.25">
      <c r="A857" s="384" t="s">
        <v>6956</v>
      </c>
      <c r="B857" s="384" t="s">
        <v>6957</v>
      </c>
      <c r="C857" s="384" t="s">
        <v>75</v>
      </c>
      <c r="D857" s="385" t="s">
        <v>6958</v>
      </c>
    </row>
    <row r="858" spans="1:4" x14ac:dyDescent="0.25">
      <c r="A858" s="384" t="s">
        <v>6959</v>
      </c>
      <c r="B858" s="384" t="s">
        <v>6960</v>
      </c>
      <c r="C858" s="384" t="s">
        <v>75</v>
      </c>
      <c r="D858" s="385" t="s">
        <v>6961</v>
      </c>
    </row>
    <row r="859" spans="1:4" x14ac:dyDescent="0.25">
      <c r="A859" s="384" t="s">
        <v>6962</v>
      </c>
      <c r="B859" s="384" t="s">
        <v>6963</v>
      </c>
      <c r="C859" s="384" t="s">
        <v>75</v>
      </c>
      <c r="D859" s="385" t="s">
        <v>6964</v>
      </c>
    </row>
    <row r="860" spans="1:4" x14ac:dyDescent="0.25">
      <c r="A860" s="384" t="s">
        <v>6965</v>
      </c>
      <c r="B860" s="384" t="s">
        <v>6966</v>
      </c>
      <c r="C860" s="384" t="s">
        <v>75</v>
      </c>
      <c r="D860" s="385" t="s">
        <v>6967</v>
      </c>
    </row>
    <row r="861" spans="1:4" x14ac:dyDescent="0.25">
      <c r="A861" s="384" t="s">
        <v>6968</v>
      </c>
      <c r="B861" s="384" t="s">
        <v>6969</v>
      </c>
      <c r="C861" s="384" t="s">
        <v>75</v>
      </c>
      <c r="D861" s="385" t="s">
        <v>6970</v>
      </c>
    </row>
    <row r="862" spans="1:4" x14ac:dyDescent="0.25">
      <c r="A862" s="384" t="s">
        <v>6971</v>
      </c>
      <c r="B862" s="384" t="s">
        <v>6972</v>
      </c>
      <c r="C862" s="384" t="s">
        <v>75</v>
      </c>
      <c r="D862" s="385" t="s">
        <v>6973</v>
      </c>
    </row>
    <row r="863" spans="1:4" x14ac:dyDescent="0.25">
      <c r="A863" s="384" t="s">
        <v>6974</v>
      </c>
      <c r="B863" s="384" t="s">
        <v>6975</v>
      </c>
      <c r="C863" s="384" t="s">
        <v>75</v>
      </c>
      <c r="D863" s="385" t="s">
        <v>6976</v>
      </c>
    </row>
    <row r="864" spans="1:4" x14ac:dyDescent="0.25">
      <c r="A864" s="384" t="s">
        <v>6977</v>
      </c>
      <c r="B864" s="384" t="s">
        <v>6978</v>
      </c>
      <c r="C864" s="384" t="s">
        <v>75</v>
      </c>
      <c r="D864" s="385" t="s">
        <v>6967</v>
      </c>
    </row>
    <row r="865" spans="1:4" x14ac:dyDescent="0.25">
      <c r="A865" s="384" t="s">
        <v>6979</v>
      </c>
      <c r="B865" s="384" t="s">
        <v>6980</v>
      </c>
      <c r="C865" s="384" t="s">
        <v>75</v>
      </c>
      <c r="D865" s="385" t="s">
        <v>6981</v>
      </c>
    </row>
    <row r="866" spans="1:4" x14ac:dyDescent="0.25">
      <c r="A866" s="384" t="s">
        <v>6982</v>
      </c>
      <c r="B866" s="384" t="s">
        <v>6983</v>
      </c>
      <c r="C866" s="384" t="s">
        <v>75</v>
      </c>
      <c r="D866" s="385" t="s">
        <v>6682</v>
      </c>
    </row>
    <row r="867" spans="1:4" x14ac:dyDescent="0.25">
      <c r="A867" s="384" t="s">
        <v>6984</v>
      </c>
      <c r="B867" s="384" t="s">
        <v>6985</v>
      </c>
      <c r="C867" s="384" t="s">
        <v>75</v>
      </c>
      <c r="D867" s="385" t="s">
        <v>6986</v>
      </c>
    </row>
    <row r="868" spans="1:4" x14ac:dyDescent="0.25">
      <c r="A868" s="384" t="s">
        <v>6987</v>
      </c>
      <c r="B868" s="384" t="s">
        <v>6988</v>
      </c>
      <c r="C868" s="384" t="s">
        <v>75</v>
      </c>
      <c r="D868" s="385" t="s">
        <v>6989</v>
      </c>
    </row>
    <row r="869" spans="1:4" x14ac:dyDescent="0.25">
      <c r="A869" s="384" t="s">
        <v>6990</v>
      </c>
      <c r="B869" s="384" t="s">
        <v>6991</v>
      </c>
      <c r="C869" s="384" t="s">
        <v>75</v>
      </c>
      <c r="D869" s="385" t="s">
        <v>6992</v>
      </c>
    </row>
    <row r="870" spans="1:4" x14ac:dyDescent="0.25">
      <c r="A870" s="384" t="s">
        <v>6993</v>
      </c>
      <c r="B870" s="384" t="s">
        <v>6994</v>
      </c>
      <c r="C870" s="384" t="s">
        <v>75</v>
      </c>
      <c r="D870" s="385" t="s">
        <v>6995</v>
      </c>
    </row>
    <row r="871" spans="1:4" x14ac:dyDescent="0.25">
      <c r="A871" s="384" t="s">
        <v>6996</v>
      </c>
      <c r="B871" s="384" t="s">
        <v>6997</v>
      </c>
      <c r="C871" s="384" t="s">
        <v>75</v>
      </c>
      <c r="D871" s="385" t="s">
        <v>6998</v>
      </c>
    </row>
    <row r="872" spans="1:4" x14ac:dyDescent="0.25">
      <c r="A872" s="384" t="s">
        <v>6999</v>
      </c>
      <c r="B872" s="384" t="s">
        <v>7000</v>
      </c>
      <c r="C872" s="384" t="s">
        <v>75</v>
      </c>
      <c r="D872" s="385" t="s">
        <v>7001</v>
      </c>
    </row>
    <row r="873" spans="1:4" x14ac:dyDescent="0.25">
      <c r="A873" s="384" t="s">
        <v>7002</v>
      </c>
      <c r="B873" s="384" t="s">
        <v>7003</v>
      </c>
      <c r="C873" s="384" t="s">
        <v>75</v>
      </c>
      <c r="D873" s="385" t="s">
        <v>5003</v>
      </c>
    </row>
    <row r="874" spans="1:4" x14ac:dyDescent="0.25">
      <c r="A874" s="384" t="s">
        <v>7004</v>
      </c>
      <c r="B874" s="384" t="s">
        <v>7005</v>
      </c>
      <c r="C874" s="384" t="s">
        <v>75</v>
      </c>
      <c r="D874" s="385" t="s">
        <v>7006</v>
      </c>
    </row>
    <row r="875" spans="1:4" x14ac:dyDescent="0.25">
      <c r="A875" s="384" t="s">
        <v>7007</v>
      </c>
      <c r="B875" s="384" t="s">
        <v>7008</v>
      </c>
      <c r="C875" s="384" t="s">
        <v>75</v>
      </c>
      <c r="D875" s="385" t="s">
        <v>7009</v>
      </c>
    </row>
    <row r="876" spans="1:4" x14ac:dyDescent="0.25">
      <c r="A876" s="384" t="s">
        <v>7010</v>
      </c>
      <c r="B876" s="384" t="s">
        <v>7011</v>
      </c>
      <c r="C876" s="384" t="s">
        <v>75</v>
      </c>
      <c r="D876" s="385" t="s">
        <v>7012</v>
      </c>
    </row>
    <row r="877" spans="1:4" x14ac:dyDescent="0.25">
      <c r="A877" s="384" t="s">
        <v>7013</v>
      </c>
      <c r="B877" s="384" t="s">
        <v>7014</v>
      </c>
      <c r="C877" s="384" t="s">
        <v>75</v>
      </c>
      <c r="D877" s="385" t="s">
        <v>7015</v>
      </c>
    </row>
    <row r="878" spans="1:4" x14ac:dyDescent="0.25">
      <c r="A878" s="384" t="s">
        <v>7016</v>
      </c>
      <c r="B878" s="384" t="s">
        <v>7017</v>
      </c>
      <c r="C878" s="384" t="s">
        <v>75</v>
      </c>
      <c r="D878" s="385" t="s">
        <v>7018</v>
      </c>
    </row>
    <row r="879" spans="1:4" x14ac:dyDescent="0.25">
      <c r="A879" s="384" t="s">
        <v>7019</v>
      </c>
      <c r="B879" s="384" t="s">
        <v>7020</v>
      </c>
      <c r="C879" s="384" t="s">
        <v>75</v>
      </c>
      <c r="D879" s="385" t="s">
        <v>7021</v>
      </c>
    </row>
    <row r="880" spans="1:4" x14ac:dyDescent="0.25">
      <c r="A880" s="384" t="s">
        <v>7022</v>
      </c>
      <c r="B880" s="384" t="s">
        <v>7023</v>
      </c>
      <c r="C880" s="384" t="s">
        <v>75</v>
      </c>
      <c r="D880" s="385" t="s">
        <v>7024</v>
      </c>
    </row>
    <row r="881" spans="1:4" x14ac:dyDescent="0.25">
      <c r="A881" s="384" t="s">
        <v>7025</v>
      </c>
      <c r="B881" s="384" t="s">
        <v>7026</v>
      </c>
      <c r="C881" s="384" t="s">
        <v>75</v>
      </c>
      <c r="D881" s="385" t="s">
        <v>7027</v>
      </c>
    </row>
    <row r="882" spans="1:4" x14ac:dyDescent="0.25">
      <c r="A882" s="384" t="s">
        <v>7028</v>
      </c>
      <c r="B882" s="384" t="s">
        <v>7029</v>
      </c>
      <c r="C882" s="384" t="s">
        <v>75</v>
      </c>
      <c r="D882" s="385" t="s">
        <v>7030</v>
      </c>
    </row>
    <row r="883" spans="1:4" x14ac:dyDescent="0.25">
      <c r="A883" s="384" t="s">
        <v>7031</v>
      </c>
      <c r="B883" s="384" t="s">
        <v>7032</v>
      </c>
      <c r="C883" s="384" t="s">
        <v>75</v>
      </c>
      <c r="D883" s="385" t="s">
        <v>7033</v>
      </c>
    </row>
    <row r="884" spans="1:4" x14ac:dyDescent="0.25">
      <c r="A884" s="384" t="s">
        <v>7034</v>
      </c>
      <c r="B884" s="384" t="s">
        <v>7035</v>
      </c>
      <c r="C884" s="384" t="s">
        <v>75</v>
      </c>
      <c r="D884" s="385" t="s">
        <v>7036</v>
      </c>
    </row>
    <row r="885" spans="1:4" x14ac:dyDescent="0.25">
      <c r="A885" s="384" t="s">
        <v>7037</v>
      </c>
      <c r="B885" s="384" t="s">
        <v>7038</v>
      </c>
      <c r="C885" s="384" t="s">
        <v>75</v>
      </c>
      <c r="D885" s="385" t="s">
        <v>7039</v>
      </c>
    </row>
    <row r="886" spans="1:4" x14ac:dyDescent="0.25">
      <c r="A886" s="384" t="s">
        <v>7040</v>
      </c>
      <c r="B886" s="384" t="s">
        <v>7041</v>
      </c>
      <c r="C886" s="384" t="s">
        <v>75</v>
      </c>
      <c r="D886" s="385" t="s">
        <v>6142</v>
      </c>
    </row>
    <row r="887" spans="1:4" x14ac:dyDescent="0.25">
      <c r="A887" s="384" t="s">
        <v>7042</v>
      </c>
      <c r="B887" s="384" t="s">
        <v>7043</v>
      </c>
      <c r="C887" s="384" t="s">
        <v>75</v>
      </c>
      <c r="D887" s="385" t="s">
        <v>7044</v>
      </c>
    </row>
    <row r="888" spans="1:4" x14ac:dyDescent="0.25">
      <c r="A888" s="384" t="s">
        <v>7045</v>
      </c>
      <c r="B888" s="384" t="s">
        <v>7046</v>
      </c>
      <c r="C888" s="384" t="s">
        <v>75</v>
      </c>
      <c r="D888" s="385" t="s">
        <v>6682</v>
      </c>
    </row>
    <row r="889" spans="1:4" x14ac:dyDescent="0.25">
      <c r="A889" s="384" t="s">
        <v>7047</v>
      </c>
      <c r="B889" s="384" t="s">
        <v>7048</v>
      </c>
      <c r="C889" s="384" t="s">
        <v>75</v>
      </c>
      <c r="D889" s="385" t="s">
        <v>7049</v>
      </c>
    </row>
    <row r="890" spans="1:4" x14ac:dyDescent="0.25">
      <c r="A890" s="384" t="s">
        <v>7050</v>
      </c>
      <c r="B890" s="384" t="s">
        <v>7051</v>
      </c>
      <c r="C890" s="384" t="s">
        <v>75</v>
      </c>
      <c r="D890" s="385" t="s">
        <v>6989</v>
      </c>
    </row>
    <row r="891" spans="1:4" x14ac:dyDescent="0.25">
      <c r="A891" s="384" t="s">
        <v>7052</v>
      </c>
      <c r="B891" s="384" t="s">
        <v>7053</v>
      </c>
      <c r="C891" s="384" t="s">
        <v>75</v>
      </c>
      <c r="D891" s="385" t="s">
        <v>7054</v>
      </c>
    </row>
    <row r="892" spans="1:4" x14ac:dyDescent="0.25">
      <c r="A892" s="384" t="s">
        <v>7055</v>
      </c>
      <c r="B892" s="384" t="s">
        <v>7056</v>
      </c>
      <c r="C892" s="384" t="s">
        <v>75</v>
      </c>
      <c r="D892" s="385" t="s">
        <v>6682</v>
      </c>
    </row>
    <row r="893" spans="1:4" x14ac:dyDescent="0.25">
      <c r="A893" s="384" t="s">
        <v>7057</v>
      </c>
      <c r="B893" s="384" t="s">
        <v>7058</v>
      </c>
      <c r="C893" s="384" t="s">
        <v>75</v>
      </c>
      <c r="D893" s="385" t="s">
        <v>7059</v>
      </c>
    </row>
    <row r="894" spans="1:4" x14ac:dyDescent="0.25">
      <c r="A894" s="384" t="s">
        <v>7060</v>
      </c>
      <c r="B894" s="384" t="s">
        <v>7061</v>
      </c>
      <c r="C894" s="384" t="s">
        <v>75</v>
      </c>
      <c r="D894" s="385" t="s">
        <v>7062</v>
      </c>
    </row>
    <row r="895" spans="1:4" x14ac:dyDescent="0.25">
      <c r="A895" s="384" t="s">
        <v>7063</v>
      </c>
      <c r="B895" s="384" t="s">
        <v>7064</v>
      </c>
      <c r="C895" s="384" t="s">
        <v>75</v>
      </c>
      <c r="D895" s="385" t="s">
        <v>7065</v>
      </c>
    </row>
    <row r="896" spans="1:4" x14ac:dyDescent="0.25">
      <c r="A896" s="384" t="s">
        <v>7066</v>
      </c>
      <c r="B896" s="384" t="s">
        <v>7067</v>
      </c>
      <c r="C896" s="384" t="s">
        <v>75</v>
      </c>
      <c r="D896" s="385" t="s">
        <v>7068</v>
      </c>
    </row>
    <row r="897" spans="1:4" x14ac:dyDescent="0.25">
      <c r="A897" s="384" t="s">
        <v>7069</v>
      </c>
      <c r="B897" s="384" t="s">
        <v>7070</v>
      </c>
      <c r="C897" s="384" t="s">
        <v>75</v>
      </c>
      <c r="D897" s="385" t="s">
        <v>7071</v>
      </c>
    </row>
    <row r="898" spans="1:4" x14ac:dyDescent="0.25">
      <c r="A898" s="384" t="s">
        <v>7072</v>
      </c>
      <c r="B898" s="384" t="s">
        <v>7073</v>
      </c>
      <c r="C898" s="384" t="s">
        <v>75</v>
      </c>
      <c r="D898" s="385" t="s">
        <v>7074</v>
      </c>
    </row>
    <row r="899" spans="1:4" x14ac:dyDescent="0.25">
      <c r="A899" s="384" t="s">
        <v>7075</v>
      </c>
      <c r="B899" s="384" t="s">
        <v>7076</v>
      </c>
      <c r="C899" s="384" t="s">
        <v>75</v>
      </c>
      <c r="D899" s="385" t="s">
        <v>7077</v>
      </c>
    </row>
    <row r="900" spans="1:4" x14ac:dyDescent="0.25">
      <c r="A900" s="384" t="s">
        <v>7078</v>
      </c>
      <c r="B900" s="384" t="s">
        <v>7079</v>
      </c>
      <c r="C900" s="384" t="s">
        <v>75</v>
      </c>
      <c r="D900" s="385" t="s">
        <v>6585</v>
      </c>
    </row>
    <row r="901" spans="1:4" x14ac:dyDescent="0.25">
      <c r="A901" s="384" t="s">
        <v>7080</v>
      </c>
      <c r="B901" s="384" t="s">
        <v>7081</v>
      </c>
      <c r="C901" s="384" t="s">
        <v>75</v>
      </c>
      <c r="D901" s="385" t="s">
        <v>7082</v>
      </c>
    </row>
    <row r="902" spans="1:4" x14ac:dyDescent="0.25">
      <c r="A902" s="384" t="s">
        <v>7083</v>
      </c>
      <c r="B902" s="384" t="s">
        <v>7084</v>
      </c>
      <c r="C902" s="384" t="s">
        <v>75</v>
      </c>
      <c r="D902" s="385" t="s">
        <v>7085</v>
      </c>
    </row>
    <row r="903" spans="1:4" x14ac:dyDescent="0.25">
      <c r="A903" s="384" t="s">
        <v>7086</v>
      </c>
      <c r="B903" s="384" t="s">
        <v>7087</v>
      </c>
      <c r="C903" s="384" t="s">
        <v>75</v>
      </c>
      <c r="D903" s="385" t="s">
        <v>6419</v>
      </c>
    </row>
    <row r="904" spans="1:4" x14ac:dyDescent="0.25">
      <c r="A904" s="384" t="s">
        <v>7088</v>
      </c>
      <c r="B904" s="384" t="s">
        <v>7089</v>
      </c>
      <c r="C904" s="384" t="s">
        <v>75</v>
      </c>
      <c r="D904" s="385" t="s">
        <v>7090</v>
      </c>
    </row>
    <row r="905" spans="1:4" x14ac:dyDescent="0.25">
      <c r="A905" s="384" t="s">
        <v>7091</v>
      </c>
      <c r="B905" s="384" t="s">
        <v>7092</v>
      </c>
      <c r="C905" s="384" t="s">
        <v>75</v>
      </c>
      <c r="D905" s="385" t="s">
        <v>7093</v>
      </c>
    </row>
    <row r="906" spans="1:4" x14ac:dyDescent="0.25">
      <c r="A906" s="384" t="s">
        <v>7094</v>
      </c>
      <c r="B906" s="384" t="s">
        <v>7095</v>
      </c>
      <c r="C906" s="384" t="s">
        <v>75</v>
      </c>
      <c r="D906" s="385" t="s">
        <v>7096</v>
      </c>
    </row>
    <row r="907" spans="1:4" x14ac:dyDescent="0.25">
      <c r="A907" s="384" t="s">
        <v>7097</v>
      </c>
      <c r="B907" s="384" t="s">
        <v>7098</v>
      </c>
      <c r="C907" s="384" t="s">
        <v>75</v>
      </c>
      <c r="D907" s="385" t="s">
        <v>7099</v>
      </c>
    </row>
    <row r="908" spans="1:4" x14ac:dyDescent="0.25">
      <c r="A908" s="384" t="s">
        <v>7100</v>
      </c>
      <c r="B908" s="384" t="s">
        <v>7101</v>
      </c>
      <c r="C908" s="384" t="s">
        <v>75</v>
      </c>
      <c r="D908" s="385" t="s">
        <v>7102</v>
      </c>
    </row>
    <row r="909" spans="1:4" x14ac:dyDescent="0.25">
      <c r="A909" s="384" t="s">
        <v>7103</v>
      </c>
      <c r="B909" s="384" t="s">
        <v>7104</v>
      </c>
      <c r="C909" s="384" t="s">
        <v>75</v>
      </c>
      <c r="D909" s="385" t="s">
        <v>5910</v>
      </c>
    </row>
    <row r="910" spans="1:4" x14ac:dyDescent="0.25">
      <c r="A910" s="384" t="s">
        <v>7105</v>
      </c>
      <c r="B910" s="384" t="s">
        <v>7106</v>
      </c>
      <c r="C910" s="384" t="s">
        <v>75</v>
      </c>
      <c r="D910" s="385" t="s">
        <v>5710</v>
      </c>
    </row>
    <row r="911" spans="1:4" x14ac:dyDescent="0.25">
      <c r="A911" s="384" t="s">
        <v>7107</v>
      </c>
      <c r="B911" s="384" t="s">
        <v>7108</v>
      </c>
      <c r="C911" s="384" t="s">
        <v>75</v>
      </c>
      <c r="D911" s="385" t="s">
        <v>7109</v>
      </c>
    </row>
    <row r="912" spans="1:4" x14ac:dyDescent="0.25">
      <c r="A912" s="384" t="s">
        <v>7110</v>
      </c>
      <c r="B912" s="384" t="s">
        <v>7111</v>
      </c>
      <c r="C912" s="384" t="s">
        <v>75</v>
      </c>
      <c r="D912" s="385" t="s">
        <v>6242</v>
      </c>
    </row>
    <row r="913" spans="1:4" x14ac:dyDescent="0.25">
      <c r="A913" s="384" t="s">
        <v>7112</v>
      </c>
      <c r="B913" s="384" t="s">
        <v>7113</v>
      </c>
      <c r="C913" s="384" t="s">
        <v>75</v>
      </c>
      <c r="D913" s="385" t="s">
        <v>7114</v>
      </c>
    </row>
    <row r="914" spans="1:4" x14ac:dyDescent="0.25">
      <c r="A914" s="384" t="s">
        <v>7115</v>
      </c>
      <c r="B914" s="384" t="s">
        <v>7116</v>
      </c>
      <c r="C914" s="384" t="s">
        <v>75</v>
      </c>
      <c r="D914" s="385" t="s">
        <v>7117</v>
      </c>
    </row>
    <row r="915" spans="1:4" x14ac:dyDescent="0.25">
      <c r="A915" s="384" t="s">
        <v>7118</v>
      </c>
      <c r="B915" s="384" t="s">
        <v>7119</v>
      </c>
      <c r="C915" s="384" t="s">
        <v>75</v>
      </c>
      <c r="D915" s="385" t="s">
        <v>7120</v>
      </c>
    </row>
    <row r="916" spans="1:4" x14ac:dyDescent="0.25">
      <c r="A916" s="384" t="s">
        <v>7121</v>
      </c>
      <c r="B916" s="384" t="s">
        <v>7122</v>
      </c>
      <c r="C916" s="384" t="s">
        <v>75</v>
      </c>
      <c r="D916" s="385" t="s">
        <v>7123</v>
      </c>
    </row>
    <row r="917" spans="1:4" x14ac:dyDescent="0.25">
      <c r="A917" s="384" t="s">
        <v>7124</v>
      </c>
      <c r="B917" s="384" t="s">
        <v>7125</v>
      </c>
      <c r="C917" s="384" t="s">
        <v>75</v>
      </c>
      <c r="D917" s="385" t="s">
        <v>7126</v>
      </c>
    </row>
    <row r="918" spans="1:4" x14ac:dyDescent="0.25">
      <c r="A918" s="384" t="s">
        <v>7127</v>
      </c>
      <c r="B918" s="384" t="s">
        <v>7128</v>
      </c>
      <c r="C918" s="384" t="s">
        <v>75</v>
      </c>
      <c r="D918" s="385" t="s">
        <v>7129</v>
      </c>
    </row>
    <row r="919" spans="1:4" x14ac:dyDescent="0.25">
      <c r="A919" s="384" t="s">
        <v>7130</v>
      </c>
      <c r="B919" s="384" t="s">
        <v>7131</v>
      </c>
      <c r="C919" s="384" t="s">
        <v>75</v>
      </c>
      <c r="D919" s="385" t="s">
        <v>7132</v>
      </c>
    </row>
    <row r="920" spans="1:4" x14ac:dyDescent="0.25">
      <c r="A920" s="384" t="s">
        <v>7133</v>
      </c>
      <c r="B920" s="384" t="s">
        <v>7134</v>
      </c>
      <c r="C920" s="384" t="s">
        <v>75</v>
      </c>
      <c r="D920" s="385" t="s">
        <v>7135</v>
      </c>
    </row>
    <row r="921" spans="1:4" x14ac:dyDescent="0.25">
      <c r="A921" s="384" t="s">
        <v>7136</v>
      </c>
      <c r="B921" s="384" t="s">
        <v>7137</v>
      </c>
      <c r="C921" s="384" t="s">
        <v>75</v>
      </c>
      <c r="D921" s="385" t="s">
        <v>7138</v>
      </c>
    </row>
    <row r="922" spans="1:4" x14ac:dyDescent="0.25">
      <c r="A922" s="384" t="s">
        <v>7139</v>
      </c>
      <c r="B922" s="384" t="s">
        <v>7140</v>
      </c>
      <c r="C922" s="384" t="s">
        <v>75</v>
      </c>
      <c r="D922" s="385" t="s">
        <v>7141</v>
      </c>
    </row>
    <row r="923" spans="1:4" x14ac:dyDescent="0.25">
      <c r="A923" s="384" t="s">
        <v>7142</v>
      </c>
      <c r="B923" s="384" t="s">
        <v>7143</v>
      </c>
      <c r="C923" s="384" t="s">
        <v>75</v>
      </c>
      <c r="D923" s="385" t="s">
        <v>7144</v>
      </c>
    </row>
    <row r="924" spans="1:4" x14ac:dyDescent="0.25">
      <c r="A924" s="384" t="s">
        <v>7145</v>
      </c>
      <c r="B924" s="384" t="s">
        <v>7146</v>
      </c>
      <c r="C924" s="384" t="s">
        <v>75</v>
      </c>
      <c r="D924" s="385" t="s">
        <v>7147</v>
      </c>
    </row>
    <row r="925" spans="1:4" x14ac:dyDescent="0.25">
      <c r="A925" s="384" t="s">
        <v>7148</v>
      </c>
      <c r="B925" s="384" t="s">
        <v>7149</v>
      </c>
      <c r="C925" s="384" t="s">
        <v>75</v>
      </c>
      <c r="D925" s="385" t="s">
        <v>7150</v>
      </c>
    </row>
    <row r="926" spans="1:4" x14ac:dyDescent="0.25">
      <c r="A926" s="384" t="s">
        <v>7151</v>
      </c>
      <c r="B926" s="384" t="s">
        <v>7152</v>
      </c>
      <c r="C926" s="384" t="s">
        <v>75</v>
      </c>
      <c r="D926" s="385" t="s">
        <v>7153</v>
      </c>
    </row>
    <row r="927" spans="1:4" x14ac:dyDescent="0.25">
      <c r="A927" s="384" t="s">
        <v>7154</v>
      </c>
      <c r="B927" s="384" t="s">
        <v>7155</v>
      </c>
      <c r="C927" s="384" t="s">
        <v>75</v>
      </c>
      <c r="D927" s="385" t="s">
        <v>7156</v>
      </c>
    </row>
    <row r="928" spans="1:4" x14ac:dyDescent="0.25">
      <c r="A928" s="384" t="s">
        <v>7157</v>
      </c>
      <c r="B928" s="384" t="s">
        <v>7158</v>
      </c>
      <c r="C928" s="384" t="s">
        <v>75</v>
      </c>
      <c r="D928" s="385" t="s">
        <v>7159</v>
      </c>
    </row>
    <row r="929" spans="1:4" x14ac:dyDescent="0.25">
      <c r="A929" s="384" t="s">
        <v>7160</v>
      </c>
      <c r="B929" s="384" t="s">
        <v>7161</v>
      </c>
      <c r="C929" s="384" t="s">
        <v>75</v>
      </c>
      <c r="D929" s="385" t="s">
        <v>7162</v>
      </c>
    </row>
    <row r="930" spans="1:4" x14ac:dyDescent="0.25">
      <c r="A930" s="384" t="s">
        <v>7163</v>
      </c>
      <c r="B930" s="384" t="s">
        <v>7164</v>
      </c>
      <c r="C930" s="384" t="s">
        <v>75</v>
      </c>
      <c r="D930" s="385" t="s">
        <v>6489</v>
      </c>
    </row>
    <row r="931" spans="1:4" x14ac:dyDescent="0.25">
      <c r="A931" s="384" t="s">
        <v>7165</v>
      </c>
      <c r="B931" s="384" t="s">
        <v>7166</v>
      </c>
      <c r="C931" s="384" t="s">
        <v>75</v>
      </c>
      <c r="D931" s="385" t="s">
        <v>7167</v>
      </c>
    </row>
    <row r="932" spans="1:4" x14ac:dyDescent="0.25">
      <c r="A932" s="384" t="s">
        <v>7168</v>
      </c>
      <c r="B932" s="384" t="s">
        <v>7169</v>
      </c>
      <c r="C932" s="384" t="s">
        <v>75</v>
      </c>
      <c r="D932" s="385" t="s">
        <v>7170</v>
      </c>
    </row>
    <row r="933" spans="1:4" x14ac:dyDescent="0.25">
      <c r="A933" s="384" t="s">
        <v>7171</v>
      </c>
      <c r="B933" s="384" t="s">
        <v>7172</v>
      </c>
      <c r="C933" s="384" t="s">
        <v>75</v>
      </c>
      <c r="D933" s="385" t="s">
        <v>7173</v>
      </c>
    </row>
    <row r="934" spans="1:4" x14ac:dyDescent="0.25">
      <c r="A934" s="384" t="s">
        <v>7174</v>
      </c>
      <c r="B934" s="384" t="s">
        <v>7175</v>
      </c>
      <c r="C934" s="384" t="s">
        <v>75</v>
      </c>
      <c r="D934" s="385" t="s">
        <v>7176</v>
      </c>
    </row>
    <row r="935" spans="1:4" x14ac:dyDescent="0.25">
      <c r="A935" s="384" t="s">
        <v>7177</v>
      </c>
      <c r="B935" s="384" t="s">
        <v>7178</v>
      </c>
      <c r="C935" s="384" t="s">
        <v>75</v>
      </c>
      <c r="D935" s="385" t="s">
        <v>7179</v>
      </c>
    </row>
    <row r="936" spans="1:4" x14ac:dyDescent="0.25">
      <c r="A936" s="384" t="s">
        <v>7180</v>
      </c>
      <c r="B936" s="384" t="s">
        <v>7181</v>
      </c>
      <c r="C936" s="384" t="s">
        <v>75</v>
      </c>
      <c r="D936" s="385" t="s">
        <v>7182</v>
      </c>
    </row>
    <row r="937" spans="1:4" x14ac:dyDescent="0.25">
      <c r="A937" s="384" t="s">
        <v>7183</v>
      </c>
      <c r="B937" s="384" t="s">
        <v>7184</v>
      </c>
      <c r="C937" s="384" t="s">
        <v>75</v>
      </c>
      <c r="D937" s="385" t="s">
        <v>7185</v>
      </c>
    </row>
    <row r="938" spans="1:4" x14ac:dyDescent="0.25">
      <c r="A938" s="384" t="s">
        <v>7186</v>
      </c>
      <c r="B938" s="384" t="s">
        <v>7187</v>
      </c>
      <c r="C938" s="384" t="s">
        <v>75</v>
      </c>
      <c r="D938" s="385" t="s">
        <v>7188</v>
      </c>
    </row>
    <row r="939" spans="1:4" x14ac:dyDescent="0.25">
      <c r="A939" s="384" t="s">
        <v>7189</v>
      </c>
      <c r="B939" s="384" t="s">
        <v>7190</v>
      </c>
      <c r="C939" s="384" t="s">
        <v>75</v>
      </c>
      <c r="D939" s="385" t="s">
        <v>7191</v>
      </c>
    </row>
    <row r="940" spans="1:4" x14ac:dyDescent="0.25">
      <c r="A940" s="384" t="s">
        <v>7192</v>
      </c>
      <c r="B940" s="384" t="s">
        <v>7193</v>
      </c>
      <c r="C940" s="384" t="s">
        <v>75</v>
      </c>
      <c r="D940" s="385" t="s">
        <v>7194</v>
      </c>
    </row>
    <row r="941" spans="1:4" x14ac:dyDescent="0.25">
      <c r="A941" s="384" t="s">
        <v>7195</v>
      </c>
      <c r="B941" s="384" t="s">
        <v>7196</v>
      </c>
      <c r="C941" s="384" t="s">
        <v>75</v>
      </c>
      <c r="D941" s="385" t="s">
        <v>6753</v>
      </c>
    </row>
    <row r="942" spans="1:4" x14ac:dyDescent="0.25">
      <c r="A942" s="384" t="s">
        <v>7197</v>
      </c>
      <c r="B942" s="384" t="s">
        <v>7198</v>
      </c>
      <c r="C942" s="384" t="s">
        <v>75</v>
      </c>
      <c r="D942" s="385" t="s">
        <v>6308</v>
      </c>
    </row>
    <row r="943" spans="1:4" x14ac:dyDescent="0.25">
      <c r="A943" s="384" t="s">
        <v>7199</v>
      </c>
      <c r="B943" s="384" t="s">
        <v>7200</v>
      </c>
      <c r="C943" s="384" t="s">
        <v>75</v>
      </c>
      <c r="D943" s="385" t="s">
        <v>4526</v>
      </c>
    </row>
    <row r="944" spans="1:4" x14ac:dyDescent="0.25">
      <c r="A944" s="384" t="s">
        <v>7201</v>
      </c>
      <c r="B944" s="384" t="s">
        <v>7202</v>
      </c>
      <c r="C944" s="384" t="s">
        <v>75</v>
      </c>
      <c r="D944" s="385" t="s">
        <v>7203</v>
      </c>
    </row>
    <row r="945" spans="1:4" x14ac:dyDescent="0.25">
      <c r="A945" s="384" t="s">
        <v>7204</v>
      </c>
      <c r="B945" s="384" t="s">
        <v>7205</v>
      </c>
      <c r="C945" s="384" t="s">
        <v>75</v>
      </c>
      <c r="D945" s="385" t="s">
        <v>7150</v>
      </c>
    </row>
    <row r="946" spans="1:4" x14ac:dyDescent="0.25">
      <c r="A946" s="384" t="s">
        <v>7206</v>
      </c>
      <c r="B946" s="384" t="s">
        <v>7207</v>
      </c>
      <c r="C946" s="384" t="s">
        <v>75</v>
      </c>
      <c r="D946" s="385" t="s">
        <v>7208</v>
      </c>
    </row>
    <row r="947" spans="1:4" x14ac:dyDescent="0.25">
      <c r="A947" s="384" t="s">
        <v>7209</v>
      </c>
      <c r="B947" s="384" t="s">
        <v>7210</v>
      </c>
      <c r="C947" s="384" t="s">
        <v>75</v>
      </c>
      <c r="D947" s="385" t="s">
        <v>6938</v>
      </c>
    </row>
    <row r="948" spans="1:4" x14ac:dyDescent="0.25">
      <c r="A948" s="384" t="s">
        <v>7211</v>
      </c>
      <c r="B948" s="384" t="s">
        <v>7212</v>
      </c>
      <c r="C948" s="384" t="s">
        <v>75</v>
      </c>
      <c r="D948" s="385" t="s">
        <v>6553</v>
      </c>
    </row>
    <row r="949" spans="1:4" x14ac:dyDescent="0.25">
      <c r="A949" s="384" t="s">
        <v>7213</v>
      </c>
      <c r="B949" s="384" t="s">
        <v>7214</v>
      </c>
      <c r="C949" s="384" t="s">
        <v>75</v>
      </c>
      <c r="D949" s="385" t="s">
        <v>7159</v>
      </c>
    </row>
    <row r="950" spans="1:4" x14ac:dyDescent="0.25">
      <c r="A950" s="384" t="s">
        <v>7215</v>
      </c>
      <c r="B950" s="384" t="s">
        <v>7216</v>
      </c>
      <c r="C950" s="384" t="s">
        <v>75</v>
      </c>
      <c r="D950" s="385" t="s">
        <v>7217</v>
      </c>
    </row>
    <row r="951" spans="1:4" x14ac:dyDescent="0.25">
      <c r="A951" s="384" t="s">
        <v>7218</v>
      </c>
      <c r="B951" s="384" t="s">
        <v>7219</v>
      </c>
      <c r="C951" s="384" t="s">
        <v>75</v>
      </c>
      <c r="D951" s="385" t="s">
        <v>7220</v>
      </c>
    </row>
    <row r="952" spans="1:4" x14ac:dyDescent="0.25">
      <c r="A952" s="384" t="s">
        <v>7221</v>
      </c>
      <c r="B952" s="384" t="s">
        <v>7222</v>
      </c>
      <c r="C952" s="384" t="s">
        <v>75</v>
      </c>
      <c r="D952" s="385" t="s">
        <v>7223</v>
      </c>
    </row>
    <row r="953" spans="1:4" x14ac:dyDescent="0.25">
      <c r="A953" s="384" t="s">
        <v>7224</v>
      </c>
      <c r="B953" s="384" t="s">
        <v>7225</v>
      </c>
      <c r="C953" s="384" t="s">
        <v>75</v>
      </c>
      <c r="D953" s="385" t="s">
        <v>7226</v>
      </c>
    </row>
    <row r="954" spans="1:4" x14ac:dyDescent="0.25">
      <c r="A954" s="384" t="s">
        <v>7227</v>
      </c>
      <c r="B954" s="384" t="s">
        <v>7228</v>
      </c>
      <c r="C954" s="384" t="s">
        <v>75</v>
      </c>
      <c r="D954" s="385" t="s">
        <v>7229</v>
      </c>
    </row>
    <row r="955" spans="1:4" x14ac:dyDescent="0.25">
      <c r="A955" s="384" t="s">
        <v>7230</v>
      </c>
      <c r="B955" s="384" t="s">
        <v>7231</v>
      </c>
      <c r="C955" s="384" t="s">
        <v>75</v>
      </c>
      <c r="D955" s="385" t="s">
        <v>7232</v>
      </c>
    </row>
    <row r="956" spans="1:4" x14ac:dyDescent="0.25">
      <c r="A956" s="384" t="s">
        <v>7233</v>
      </c>
      <c r="B956" s="384" t="s">
        <v>7234</v>
      </c>
      <c r="C956" s="384" t="s">
        <v>75</v>
      </c>
      <c r="D956" s="385" t="s">
        <v>7235</v>
      </c>
    </row>
    <row r="957" spans="1:4" x14ac:dyDescent="0.25">
      <c r="A957" s="384" t="s">
        <v>7236</v>
      </c>
      <c r="B957" s="384" t="s">
        <v>7237</v>
      </c>
      <c r="C957" s="384" t="s">
        <v>75</v>
      </c>
      <c r="D957" s="385" t="s">
        <v>7238</v>
      </c>
    </row>
    <row r="958" spans="1:4" x14ac:dyDescent="0.25">
      <c r="A958" s="384" t="s">
        <v>7239</v>
      </c>
      <c r="B958" s="384" t="s">
        <v>7240</v>
      </c>
      <c r="C958" s="384" t="s">
        <v>75</v>
      </c>
      <c r="D958" s="385" t="s">
        <v>7241</v>
      </c>
    </row>
    <row r="959" spans="1:4" x14ac:dyDescent="0.25">
      <c r="A959" s="384" t="s">
        <v>7242</v>
      </c>
      <c r="B959" s="384" t="s">
        <v>7243</v>
      </c>
      <c r="C959" s="384" t="s">
        <v>75</v>
      </c>
      <c r="D959" s="385" t="s">
        <v>7244</v>
      </c>
    </row>
    <row r="960" spans="1:4" x14ac:dyDescent="0.25">
      <c r="A960" s="384" t="s">
        <v>7245</v>
      </c>
      <c r="B960" s="384" t="s">
        <v>7246</v>
      </c>
      <c r="C960" s="384" t="s">
        <v>75</v>
      </c>
      <c r="D960" s="385" t="s">
        <v>7247</v>
      </c>
    </row>
    <row r="961" spans="1:4" x14ac:dyDescent="0.25">
      <c r="A961" s="384" t="s">
        <v>7248</v>
      </c>
      <c r="B961" s="384" t="s">
        <v>7249</v>
      </c>
      <c r="C961" s="384" t="s">
        <v>75</v>
      </c>
      <c r="D961" s="385" t="s">
        <v>7250</v>
      </c>
    </row>
    <row r="962" spans="1:4" x14ac:dyDescent="0.25">
      <c r="A962" s="384" t="s">
        <v>7251</v>
      </c>
      <c r="B962" s="384" t="s">
        <v>7252</v>
      </c>
      <c r="C962" s="384" t="s">
        <v>75</v>
      </c>
      <c r="D962" s="385" t="s">
        <v>6630</v>
      </c>
    </row>
    <row r="963" spans="1:4" x14ac:dyDescent="0.25">
      <c r="A963" s="384" t="s">
        <v>7253</v>
      </c>
      <c r="B963" s="384" t="s">
        <v>7254</v>
      </c>
      <c r="C963" s="384" t="s">
        <v>75</v>
      </c>
      <c r="D963" s="385" t="s">
        <v>6553</v>
      </c>
    </row>
    <row r="964" spans="1:4" x14ac:dyDescent="0.25">
      <c r="A964" s="384" t="s">
        <v>7255</v>
      </c>
      <c r="B964" s="384" t="s">
        <v>7256</v>
      </c>
      <c r="C964" s="384" t="s">
        <v>75</v>
      </c>
      <c r="D964" s="385" t="s">
        <v>6841</v>
      </c>
    </row>
    <row r="965" spans="1:4" x14ac:dyDescent="0.25">
      <c r="A965" s="384" t="s">
        <v>7257</v>
      </c>
      <c r="B965" s="384" t="s">
        <v>7258</v>
      </c>
      <c r="C965" s="384" t="s">
        <v>75</v>
      </c>
      <c r="D965" s="385" t="s">
        <v>7259</v>
      </c>
    </row>
    <row r="966" spans="1:4" x14ac:dyDescent="0.25">
      <c r="A966" s="384" t="s">
        <v>7260</v>
      </c>
      <c r="B966" s="384" t="s">
        <v>7261</v>
      </c>
      <c r="C966" s="384" t="s">
        <v>75</v>
      </c>
      <c r="D966" s="385" t="s">
        <v>7262</v>
      </c>
    </row>
    <row r="967" spans="1:4" x14ac:dyDescent="0.25">
      <c r="A967" s="384" t="s">
        <v>7263</v>
      </c>
      <c r="B967" s="384" t="s">
        <v>7264</v>
      </c>
      <c r="C967" s="384" t="s">
        <v>75</v>
      </c>
      <c r="D967" s="385" t="s">
        <v>6477</v>
      </c>
    </row>
    <row r="968" spans="1:4" x14ac:dyDescent="0.25">
      <c r="A968" s="384" t="s">
        <v>7265</v>
      </c>
      <c r="B968" s="384" t="s">
        <v>7266</v>
      </c>
      <c r="C968" s="384" t="s">
        <v>75</v>
      </c>
      <c r="D968" s="385" t="s">
        <v>7267</v>
      </c>
    </row>
    <row r="969" spans="1:4" x14ac:dyDescent="0.25">
      <c r="A969" s="384" t="s">
        <v>7268</v>
      </c>
      <c r="B969" s="384" t="s">
        <v>7269</v>
      </c>
      <c r="C969" s="384" t="s">
        <v>75</v>
      </c>
      <c r="D969" s="385" t="s">
        <v>4697</v>
      </c>
    </row>
    <row r="970" spans="1:4" x14ac:dyDescent="0.25">
      <c r="A970" s="384" t="s">
        <v>7270</v>
      </c>
      <c r="B970" s="384" t="s">
        <v>7271</v>
      </c>
      <c r="C970" s="384" t="s">
        <v>75</v>
      </c>
      <c r="D970" s="385" t="s">
        <v>7272</v>
      </c>
    </row>
    <row r="971" spans="1:4" x14ac:dyDescent="0.25">
      <c r="A971" s="384" t="s">
        <v>7273</v>
      </c>
      <c r="B971" s="384" t="s">
        <v>7274</v>
      </c>
      <c r="C971" s="384" t="s">
        <v>75</v>
      </c>
      <c r="D971" s="385" t="s">
        <v>7275</v>
      </c>
    </row>
    <row r="972" spans="1:4" x14ac:dyDescent="0.25">
      <c r="A972" s="384" t="s">
        <v>7276</v>
      </c>
      <c r="B972" s="384" t="s">
        <v>7277</v>
      </c>
      <c r="C972" s="384" t="s">
        <v>75</v>
      </c>
      <c r="D972" s="385" t="s">
        <v>6442</v>
      </c>
    </row>
    <row r="973" spans="1:4" x14ac:dyDescent="0.25">
      <c r="A973" s="384" t="s">
        <v>7278</v>
      </c>
      <c r="B973" s="384" t="s">
        <v>7279</v>
      </c>
      <c r="C973" s="384" t="s">
        <v>75</v>
      </c>
      <c r="D973" s="385" t="s">
        <v>7280</v>
      </c>
    </row>
    <row r="974" spans="1:4" x14ac:dyDescent="0.25">
      <c r="A974" s="384" t="s">
        <v>7281</v>
      </c>
      <c r="B974" s="384" t="s">
        <v>7282</v>
      </c>
      <c r="C974" s="384" t="s">
        <v>75</v>
      </c>
      <c r="D974" s="385" t="s">
        <v>6068</v>
      </c>
    </row>
    <row r="975" spans="1:4" x14ac:dyDescent="0.25">
      <c r="A975" s="384" t="s">
        <v>7283</v>
      </c>
      <c r="B975" s="384" t="s">
        <v>7284</v>
      </c>
      <c r="C975" s="384" t="s">
        <v>75</v>
      </c>
      <c r="D975" s="385" t="s">
        <v>7285</v>
      </c>
    </row>
    <row r="976" spans="1:4" x14ac:dyDescent="0.25">
      <c r="A976" s="384" t="s">
        <v>7286</v>
      </c>
      <c r="B976" s="384" t="s">
        <v>7287</v>
      </c>
      <c r="C976" s="384" t="s">
        <v>75</v>
      </c>
      <c r="D976" s="385" t="s">
        <v>6595</v>
      </c>
    </row>
    <row r="977" spans="1:4" x14ac:dyDescent="0.25">
      <c r="A977" s="384" t="s">
        <v>7288</v>
      </c>
      <c r="B977" s="384" t="s">
        <v>7289</v>
      </c>
      <c r="C977" s="384" t="s">
        <v>75</v>
      </c>
      <c r="D977" s="385" t="s">
        <v>6531</v>
      </c>
    </row>
    <row r="978" spans="1:4" x14ac:dyDescent="0.25">
      <c r="A978" s="384" t="s">
        <v>7290</v>
      </c>
      <c r="B978" s="384" t="s">
        <v>7291</v>
      </c>
      <c r="C978" s="384" t="s">
        <v>75</v>
      </c>
      <c r="D978" s="385" t="s">
        <v>7292</v>
      </c>
    </row>
    <row r="979" spans="1:4" x14ac:dyDescent="0.25">
      <c r="A979" s="384" t="s">
        <v>7293</v>
      </c>
      <c r="B979" s="384" t="s">
        <v>7294</v>
      </c>
      <c r="C979" s="384" t="s">
        <v>75</v>
      </c>
      <c r="D979" s="385" t="s">
        <v>7250</v>
      </c>
    </row>
    <row r="980" spans="1:4" x14ac:dyDescent="0.25">
      <c r="A980" s="384" t="s">
        <v>7295</v>
      </c>
      <c r="B980" s="384" t="s">
        <v>7296</v>
      </c>
      <c r="C980" s="384" t="s">
        <v>75</v>
      </c>
      <c r="D980" s="385" t="s">
        <v>7297</v>
      </c>
    </row>
    <row r="981" spans="1:4" x14ac:dyDescent="0.25">
      <c r="A981" s="384" t="s">
        <v>7298</v>
      </c>
      <c r="B981" s="384" t="s">
        <v>7299</v>
      </c>
      <c r="C981" s="384" t="s">
        <v>75</v>
      </c>
      <c r="D981" s="385" t="s">
        <v>5970</v>
      </c>
    </row>
    <row r="982" spans="1:4" x14ac:dyDescent="0.25">
      <c r="A982" s="384" t="s">
        <v>7300</v>
      </c>
      <c r="B982" s="384" t="s">
        <v>7301</v>
      </c>
      <c r="C982" s="384" t="s">
        <v>75</v>
      </c>
      <c r="D982" s="385" t="s">
        <v>6139</v>
      </c>
    </row>
    <row r="983" spans="1:4" x14ac:dyDescent="0.25">
      <c r="A983" s="384" t="s">
        <v>7302</v>
      </c>
      <c r="B983" s="384" t="s">
        <v>7303</v>
      </c>
      <c r="C983" s="384" t="s">
        <v>75</v>
      </c>
      <c r="D983" s="385" t="s">
        <v>7304</v>
      </c>
    </row>
    <row r="984" spans="1:4" x14ac:dyDescent="0.25">
      <c r="A984" s="384" t="s">
        <v>7305</v>
      </c>
      <c r="B984" s="384" t="s">
        <v>7306</v>
      </c>
      <c r="C984" s="384" t="s">
        <v>75</v>
      </c>
      <c r="D984" s="385" t="s">
        <v>7307</v>
      </c>
    </row>
    <row r="985" spans="1:4" x14ac:dyDescent="0.25">
      <c r="A985" s="384" t="s">
        <v>7308</v>
      </c>
      <c r="B985" s="384" t="s">
        <v>7309</v>
      </c>
      <c r="C985" s="384" t="s">
        <v>75</v>
      </c>
      <c r="D985" s="385" t="s">
        <v>7310</v>
      </c>
    </row>
    <row r="986" spans="1:4" x14ac:dyDescent="0.25">
      <c r="A986" s="384" t="s">
        <v>7311</v>
      </c>
      <c r="B986" s="384" t="s">
        <v>7312</v>
      </c>
      <c r="C986" s="384" t="s">
        <v>75</v>
      </c>
      <c r="D986" s="385" t="s">
        <v>7313</v>
      </c>
    </row>
    <row r="987" spans="1:4" x14ac:dyDescent="0.25">
      <c r="A987" s="384" t="s">
        <v>7314</v>
      </c>
      <c r="B987" s="384" t="s">
        <v>7315</v>
      </c>
      <c r="C987" s="384" t="s">
        <v>75</v>
      </c>
      <c r="D987" s="385" t="s">
        <v>6627</v>
      </c>
    </row>
    <row r="988" spans="1:4" x14ac:dyDescent="0.25">
      <c r="A988" s="384" t="s">
        <v>7316</v>
      </c>
      <c r="B988" s="384" t="s">
        <v>7317</v>
      </c>
      <c r="C988" s="384" t="s">
        <v>75</v>
      </c>
      <c r="D988" s="385" t="s">
        <v>7318</v>
      </c>
    </row>
    <row r="989" spans="1:4" x14ac:dyDescent="0.25">
      <c r="A989" s="384" t="s">
        <v>7319</v>
      </c>
      <c r="B989" s="384" t="s">
        <v>7320</v>
      </c>
      <c r="C989" s="384" t="s">
        <v>75</v>
      </c>
      <c r="D989" s="385" t="s">
        <v>7321</v>
      </c>
    </row>
    <row r="990" spans="1:4" x14ac:dyDescent="0.25">
      <c r="A990" s="384" t="s">
        <v>7322</v>
      </c>
      <c r="B990" s="384" t="s">
        <v>7323</v>
      </c>
      <c r="C990" s="384" t="s">
        <v>75</v>
      </c>
      <c r="D990" s="385" t="s">
        <v>7324</v>
      </c>
    </row>
    <row r="991" spans="1:4" x14ac:dyDescent="0.25">
      <c r="A991" s="384" t="s">
        <v>7325</v>
      </c>
      <c r="B991" s="384" t="s">
        <v>7326</v>
      </c>
      <c r="C991" s="384" t="s">
        <v>75</v>
      </c>
      <c r="D991" s="385" t="s">
        <v>7327</v>
      </c>
    </row>
    <row r="992" spans="1:4" x14ac:dyDescent="0.25">
      <c r="A992" s="384" t="s">
        <v>7328</v>
      </c>
      <c r="B992" s="384" t="s">
        <v>7329</v>
      </c>
      <c r="C992" s="384" t="s">
        <v>75</v>
      </c>
      <c r="D992" s="385" t="s">
        <v>7330</v>
      </c>
    </row>
    <row r="993" spans="1:4" x14ac:dyDescent="0.25">
      <c r="A993" s="384" t="s">
        <v>7331</v>
      </c>
      <c r="B993" s="384" t="s">
        <v>7332</v>
      </c>
      <c r="C993" s="384" t="s">
        <v>75</v>
      </c>
      <c r="D993" s="385" t="s">
        <v>7333</v>
      </c>
    </row>
    <row r="994" spans="1:4" x14ac:dyDescent="0.25">
      <c r="A994" s="384" t="s">
        <v>7334</v>
      </c>
      <c r="B994" s="384" t="s">
        <v>7335</v>
      </c>
      <c r="C994" s="384" t="s">
        <v>75</v>
      </c>
      <c r="D994" s="385" t="s">
        <v>7336</v>
      </c>
    </row>
    <row r="995" spans="1:4" x14ac:dyDescent="0.25">
      <c r="A995" s="384" t="s">
        <v>7337</v>
      </c>
      <c r="B995" s="384" t="s">
        <v>7338</v>
      </c>
      <c r="C995" s="384" t="s">
        <v>75</v>
      </c>
      <c r="D995" s="385" t="s">
        <v>7339</v>
      </c>
    </row>
    <row r="996" spans="1:4" x14ac:dyDescent="0.25">
      <c r="A996" s="384" t="s">
        <v>7340</v>
      </c>
      <c r="B996" s="384" t="s">
        <v>7341</v>
      </c>
      <c r="C996" s="384" t="s">
        <v>75</v>
      </c>
      <c r="D996" s="385" t="s">
        <v>6630</v>
      </c>
    </row>
    <row r="997" spans="1:4" x14ac:dyDescent="0.25">
      <c r="A997" s="384" t="s">
        <v>7342</v>
      </c>
      <c r="B997" s="384" t="s">
        <v>7343</v>
      </c>
      <c r="C997" s="384" t="s">
        <v>75</v>
      </c>
      <c r="D997" s="385" t="s">
        <v>5937</v>
      </c>
    </row>
    <row r="998" spans="1:4" x14ac:dyDescent="0.25">
      <c r="A998" s="384" t="s">
        <v>7344</v>
      </c>
      <c r="B998" s="384" t="s">
        <v>7345</v>
      </c>
      <c r="C998" s="384" t="s">
        <v>75</v>
      </c>
      <c r="D998" s="385" t="s">
        <v>4832</v>
      </c>
    </row>
    <row r="999" spans="1:4" x14ac:dyDescent="0.25">
      <c r="A999" s="384" t="s">
        <v>7346</v>
      </c>
      <c r="B999" s="384" t="s">
        <v>7347</v>
      </c>
      <c r="C999" s="384" t="s">
        <v>75</v>
      </c>
      <c r="D999" s="385" t="s">
        <v>7348</v>
      </c>
    </row>
    <row r="1000" spans="1:4" x14ac:dyDescent="0.25">
      <c r="A1000" s="384" t="s">
        <v>7349</v>
      </c>
      <c r="B1000" s="384" t="s">
        <v>7350</v>
      </c>
      <c r="C1000" s="384" t="s">
        <v>75</v>
      </c>
      <c r="D1000" s="385" t="s">
        <v>7313</v>
      </c>
    </row>
    <row r="1001" spans="1:4" x14ac:dyDescent="0.25">
      <c r="A1001" s="384" t="s">
        <v>7351</v>
      </c>
      <c r="B1001" s="384" t="s">
        <v>7352</v>
      </c>
      <c r="C1001" s="384" t="s">
        <v>75</v>
      </c>
      <c r="D1001" s="385" t="s">
        <v>7353</v>
      </c>
    </row>
    <row r="1002" spans="1:4" x14ac:dyDescent="0.25">
      <c r="A1002" s="384" t="s">
        <v>7354</v>
      </c>
      <c r="B1002" s="384" t="s">
        <v>7355</v>
      </c>
      <c r="C1002" s="384" t="s">
        <v>75</v>
      </c>
      <c r="D1002" s="385" t="s">
        <v>7356</v>
      </c>
    </row>
    <row r="1003" spans="1:4" x14ac:dyDescent="0.25">
      <c r="A1003" s="384" t="s">
        <v>7357</v>
      </c>
      <c r="B1003" s="384" t="s">
        <v>7358</v>
      </c>
      <c r="C1003" s="384" t="s">
        <v>75</v>
      </c>
      <c r="D1003" s="385" t="s">
        <v>6595</v>
      </c>
    </row>
    <row r="1004" spans="1:4" x14ac:dyDescent="0.25">
      <c r="A1004" s="384" t="s">
        <v>7359</v>
      </c>
      <c r="B1004" s="384" t="s">
        <v>7360</v>
      </c>
      <c r="C1004" s="384" t="s">
        <v>75</v>
      </c>
      <c r="D1004" s="385" t="s">
        <v>7250</v>
      </c>
    </row>
    <row r="1005" spans="1:4" x14ac:dyDescent="0.25">
      <c r="A1005" s="384" t="s">
        <v>7361</v>
      </c>
      <c r="B1005" s="384" t="s">
        <v>7362</v>
      </c>
      <c r="C1005" s="384" t="s">
        <v>75</v>
      </c>
      <c r="D1005" s="385" t="s">
        <v>7363</v>
      </c>
    </row>
    <row r="1006" spans="1:4" x14ac:dyDescent="0.25">
      <c r="A1006" s="384" t="s">
        <v>7364</v>
      </c>
      <c r="B1006" s="384" t="s">
        <v>7365</v>
      </c>
      <c r="C1006" s="384" t="s">
        <v>75</v>
      </c>
      <c r="D1006" s="385" t="s">
        <v>7366</v>
      </c>
    </row>
    <row r="1007" spans="1:4" x14ac:dyDescent="0.25">
      <c r="A1007" s="384" t="s">
        <v>7367</v>
      </c>
      <c r="B1007" s="384" t="s">
        <v>7368</v>
      </c>
      <c r="C1007" s="384" t="s">
        <v>75</v>
      </c>
      <c r="D1007" s="385" t="s">
        <v>7369</v>
      </c>
    </row>
    <row r="1008" spans="1:4" x14ac:dyDescent="0.25">
      <c r="A1008" s="384" t="s">
        <v>7370</v>
      </c>
      <c r="B1008" s="384" t="s">
        <v>7371</v>
      </c>
      <c r="C1008" s="384" t="s">
        <v>75</v>
      </c>
      <c r="D1008" s="385" t="s">
        <v>7372</v>
      </c>
    </row>
    <row r="1009" spans="1:4" x14ac:dyDescent="0.25">
      <c r="A1009" s="384" t="s">
        <v>7373</v>
      </c>
      <c r="B1009" s="384" t="s">
        <v>7374</v>
      </c>
      <c r="C1009" s="384" t="s">
        <v>75</v>
      </c>
      <c r="D1009" s="385" t="s">
        <v>7375</v>
      </c>
    </row>
    <row r="1010" spans="1:4" x14ac:dyDescent="0.25">
      <c r="A1010" s="384" t="s">
        <v>7376</v>
      </c>
      <c r="B1010" s="384" t="s">
        <v>7377</v>
      </c>
      <c r="C1010" s="384" t="s">
        <v>75</v>
      </c>
      <c r="D1010" s="385" t="s">
        <v>6522</v>
      </c>
    </row>
    <row r="1011" spans="1:4" x14ac:dyDescent="0.25">
      <c r="A1011" s="384" t="s">
        <v>7378</v>
      </c>
      <c r="B1011" s="384" t="s">
        <v>7379</v>
      </c>
      <c r="C1011" s="384" t="s">
        <v>75</v>
      </c>
      <c r="D1011" s="385" t="s">
        <v>6130</v>
      </c>
    </row>
    <row r="1012" spans="1:4" x14ac:dyDescent="0.25">
      <c r="A1012" s="384" t="s">
        <v>7380</v>
      </c>
      <c r="B1012" s="384" t="s">
        <v>7381</v>
      </c>
      <c r="C1012" s="384" t="s">
        <v>75</v>
      </c>
      <c r="D1012" s="385" t="s">
        <v>7382</v>
      </c>
    </row>
    <row r="1013" spans="1:4" x14ac:dyDescent="0.25">
      <c r="A1013" s="384" t="s">
        <v>7383</v>
      </c>
      <c r="B1013" s="384" t="s">
        <v>7384</v>
      </c>
      <c r="C1013" s="384" t="s">
        <v>75</v>
      </c>
      <c r="D1013" s="385" t="s">
        <v>7385</v>
      </c>
    </row>
    <row r="1014" spans="1:4" x14ac:dyDescent="0.25">
      <c r="A1014" s="384" t="s">
        <v>7386</v>
      </c>
      <c r="B1014" s="384" t="s">
        <v>7387</v>
      </c>
      <c r="C1014" s="384" t="s">
        <v>75</v>
      </c>
      <c r="D1014" s="385" t="s">
        <v>7388</v>
      </c>
    </row>
    <row r="1015" spans="1:4" x14ac:dyDescent="0.25">
      <c r="A1015" s="384" t="s">
        <v>7389</v>
      </c>
      <c r="B1015" s="384" t="s">
        <v>7390</v>
      </c>
      <c r="C1015" s="384" t="s">
        <v>75</v>
      </c>
      <c r="D1015" s="385" t="s">
        <v>6595</v>
      </c>
    </row>
    <row r="1016" spans="1:4" x14ac:dyDescent="0.25">
      <c r="A1016" s="384" t="s">
        <v>7391</v>
      </c>
      <c r="B1016" s="384" t="s">
        <v>7392</v>
      </c>
      <c r="C1016" s="384" t="s">
        <v>75</v>
      </c>
      <c r="D1016" s="385" t="s">
        <v>7393</v>
      </c>
    </row>
    <row r="1017" spans="1:4" x14ac:dyDescent="0.25">
      <c r="A1017" s="384" t="s">
        <v>7394</v>
      </c>
      <c r="B1017" s="384" t="s">
        <v>7395</v>
      </c>
      <c r="C1017" s="384" t="s">
        <v>75</v>
      </c>
      <c r="D1017" s="385" t="s">
        <v>7396</v>
      </c>
    </row>
    <row r="1018" spans="1:4" x14ac:dyDescent="0.25">
      <c r="A1018" s="384" t="s">
        <v>7397</v>
      </c>
      <c r="B1018" s="384" t="s">
        <v>7398</v>
      </c>
      <c r="C1018" s="384" t="s">
        <v>75</v>
      </c>
      <c r="D1018" s="385" t="s">
        <v>7399</v>
      </c>
    </row>
    <row r="1019" spans="1:4" x14ac:dyDescent="0.25">
      <c r="A1019" s="384" t="s">
        <v>7400</v>
      </c>
      <c r="B1019" s="384" t="s">
        <v>7401</v>
      </c>
      <c r="C1019" s="384" t="s">
        <v>75</v>
      </c>
      <c r="D1019" s="385" t="s">
        <v>7044</v>
      </c>
    </row>
    <row r="1020" spans="1:4" x14ac:dyDescent="0.25">
      <c r="A1020" s="384" t="s">
        <v>7402</v>
      </c>
      <c r="B1020" s="384" t="s">
        <v>7403</v>
      </c>
      <c r="C1020" s="384" t="s">
        <v>75</v>
      </c>
      <c r="D1020" s="385" t="s">
        <v>7404</v>
      </c>
    </row>
    <row r="1021" spans="1:4" x14ac:dyDescent="0.25">
      <c r="A1021" s="384" t="s">
        <v>7405</v>
      </c>
      <c r="B1021" s="384" t="s">
        <v>7406</v>
      </c>
      <c r="C1021" s="384" t="s">
        <v>75</v>
      </c>
      <c r="D1021" s="385" t="s">
        <v>7407</v>
      </c>
    </row>
    <row r="1022" spans="1:4" x14ac:dyDescent="0.25">
      <c r="A1022" s="384" t="s">
        <v>7408</v>
      </c>
      <c r="B1022" s="384" t="s">
        <v>7409</v>
      </c>
      <c r="C1022" s="384" t="s">
        <v>75</v>
      </c>
      <c r="D1022" s="385" t="s">
        <v>6335</v>
      </c>
    </row>
    <row r="1023" spans="1:4" x14ac:dyDescent="0.25">
      <c r="A1023" s="384" t="s">
        <v>7410</v>
      </c>
      <c r="B1023" s="384" t="s">
        <v>7411</v>
      </c>
      <c r="C1023" s="384" t="s">
        <v>75</v>
      </c>
      <c r="D1023" s="385" t="s">
        <v>6362</v>
      </c>
    </row>
    <row r="1024" spans="1:4" x14ac:dyDescent="0.25">
      <c r="A1024" s="384" t="s">
        <v>7412</v>
      </c>
      <c r="B1024" s="384" t="s">
        <v>7413</v>
      </c>
      <c r="C1024" s="384" t="s">
        <v>75</v>
      </c>
      <c r="D1024" s="385" t="s">
        <v>6691</v>
      </c>
    </row>
    <row r="1025" spans="1:4" x14ac:dyDescent="0.25">
      <c r="A1025" s="384" t="s">
        <v>7414</v>
      </c>
      <c r="B1025" s="384" t="s">
        <v>7415</v>
      </c>
      <c r="C1025" s="384" t="s">
        <v>75</v>
      </c>
      <c r="D1025" s="385" t="s">
        <v>7285</v>
      </c>
    </row>
    <row r="1026" spans="1:4" x14ac:dyDescent="0.25">
      <c r="A1026" s="384" t="s">
        <v>7416</v>
      </c>
      <c r="B1026" s="384" t="s">
        <v>7417</v>
      </c>
      <c r="C1026" s="384" t="s">
        <v>75</v>
      </c>
      <c r="D1026" s="385" t="s">
        <v>7418</v>
      </c>
    </row>
    <row r="1027" spans="1:4" x14ac:dyDescent="0.25">
      <c r="A1027" s="384" t="s">
        <v>7419</v>
      </c>
      <c r="B1027" s="384" t="s">
        <v>7420</v>
      </c>
      <c r="C1027" s="384" t="s">
        <v>75</v>
      </c>
      <c r="D1027" s="385" t="s">
        <v>7421</v>
      </c>
    </row>
    <row r="1028" spans="1:4" x14ac:dyDescent="0.25">
      <c r="A1028" s="384" t="s">
        <v>7422</v>
      </c>
      <c r="B1028" s="384" t="s">
        <v>7423</v>
      </c>
      <c r="C1028" s="384" t="s">
        <v>75</v>
      </c>
      <c r="D1028" s="385" t="s">
        <v>7424</v>
      </c>
    </row>
    <row r="1029" spans="1:4" x14ac:dyDescent="0.25">
      <c r="A1029" s="384" t="s">
        <v>7425</v>
      </c>
      <c r="B1029" s="384" t="s">
        <v>7426</v>
      </c>
      <c r="C1029" s="384" t="s">
        <v>75</v>
      </c>
      <c r="D1029" s="385" t="s">
        <v>7427</v>
      </c>
    </row>
    <row r="1030" spans="1:4" x14ac:dyDescent="0.25">
      <c r="A1030" s="384" t="s">
        <v>7428</v>
      </c>
      <c r="B1030" s="384" t="s">
        <v>7429</v>
      </c>
      <c r="C1030" s="384" t="s">
        <v>75</v>
      </c>
      <c r="D1030" s="385" t="s">
        <v>7430</v>
      </c>
    </row>
    <row r="1031" spans="1:4" x14ac:dyDescent="0.25">
      <c r="A1031" s="384" t="s">
        <v>7431</v>
      </c>
      <c r="B1031" s="384" t="s">
        <v>7432</v>
      </c>
      <c r="C1031" s="384" t="s">
        <v>75</v>
      </c>
      <c r="D1031" s="385" t="s">
        <v>7220</v>
      </c>
    </row>
    <row r="1032" spans="1:4" x14ac:dyDescent="0.25">
      <c r="A1032" s="384" t="s">
        <v>7433</v>
      </c>
      <c r="B1032" s="384" t="s">
        <v>7434</v>
      </c>
      <c r="C1032" s="384" t="s">
        <v>75</v>
      </c>
      <c r="D1032" s="385" t="s">
        <v>7223</v>
      </c>
    </row>
    <row r="1033" spans="1:4" x14ac:dyDescent="0.25">
      <c r="A1033" s="384" t="s">
        <v>7435</v>
      </c>
      <c r="B1033" s="384" t="s">
        <v>7436</v>
      </c>
      <c r="C1033" s="384" t="s">
        <v>75</v>
      </c>
      <c r="D1033" s="385" t="s">
        <v>7226</v>
      </c>
    </row>
    <row r="1034" spans="1:4" x14ac:dyDescent="0.25">
      <c r="A1034" s="384" t="s">
        <v>7437</v>
      </c>
      <c r="B1034" s="384" t="s">
        <v>7438</v>
      </c>
      <c r="C1034" s="384" t="s">
        <v>75</v>
      </c>
      <c r="D1034" s="385" t="s">
        <v>7229</v>
      </c>
    </row>
    <row r="1035" spans="1:4" x14ac:dyDescent="0.25">
      <c r="A1035" s="384" t="s">
        <v>7439</v>
      </c>
      <c r="B1035" s="384" t="s">
        <v>7440</v>
      </c>
      <c r="C1035" s="384" t="s">
        <v>75</v>
      </c>
      <c r="D1035" s="385" t="s">
        <v>6308</v>
      </c>
    </row>
    <row r="1036" spans="1:4" x14ac:dyDescent="0.25">
      <c r="A1036" s="384" t="s">
        <v>7441</v>
      </c>
      <c r="B1036" s="384" t="s">
        <v>7442</v>
      </c>
      <c r="C1036" s="384" t="s">
        <v>75</v>
      </c>
      <c r="D1036" s="385" t="s">
        <v>7443</v>
      </c>
    </row>
    <row r="1037" spans="1:4" x14ac:dyDescent="0.25">
      <c r="A1037" s="384" t="s">
        <v>7444</v>
      </c>
      <c r="B1037" s="384" t="s">
        <v>7445</v>
      </c>
      <c r="C1037" s="384" t="s">
        <v>75</v>
      </c>
      <c r="D1037" s="385" t="s">
        <v>7446</v>
      </c>
    </row>
    <row r="1038" spans="1:4" x14ac:dyDescent="0.25">
      <c r="A1038" s="384" t="s">
        <v>7447</v>
      </c>
      <c r="B1038" s="384" t="s">
        <v>7448</v>
      </c>
      <c r="C1038" s="384" t="s">
        <v>75</v>
      </c>
      <c r="D1038" s="385" t="s">
        <v>7449</v>
      </c>
    </row>
    <row r="1039" spans="1:4" x14ac:dyDescent="0.25">
      <c r="A1039" s="384" t="s">
        <v>7450</v>
      </c>
      <c r="B1039" s="384" t="s">
        <v>7451</v>
      </c>
      <c r="C1039" s="384" t="s">
        <v>75</v>
      </c>
      <c r="D1039" s="385" t="s">
        <v>6466</v>
      </c>
    </row>
    <row r="1040" spans="1:4" x14ac:dyDescent="0.25">
      <c r="A1040" s="384" t="s">
        <v>7452</v>
      </c>
      <c r="B1040" s="384" t="s">
        <v>7453</v>
      </c>
      <c r="C1040" s="384" t="s">
        <v>75</v>
      </c>
      <c r="D1040" s="385" t="s">
        <v>5806</v>
      </c>
    </row>
    <row r="1041" spans="1:4" x14ac:dyDescent="0.25">
      <c r="A1041" s="384" t="s">
        <v>7454</v>
      </c>
      <c r="B1041" s="384" t="s">
        <v>7455</v>
      </c>
      <c r="C1041" s="384" t="s">
        <v>75</v>
      </c>
      <c r="D1041" s="385" t="s">
        <v>6130</v>
      </c>
    </row>
    <row r="1042" spans="1:4" x14ac:dyDescent="0.25">
      <c r="A1042" s="384" t="s">
        <v>7456</v>
      </c>
      <c r="B1042" s="384" t="s">
        <v>7457</v>
      </c>
      <c r="C1042" s="384" t="s">
        <v>75</v>
      </c>
      <c r="D1042" s="385" t="s">
        <v>6627</v>
      </c>
    </row>
    <row r="1043" spans="1:4" x14ac:dyDescent="0.25">
      <c r="A1043" s="384" t="s">
        <v>7458</v>
      </c>
      <c r="B1043" s="384" t="s">
        <v>7459</v>
      </c>
      <c r="C1043" s="384" t="s">
        <v>75</v>
      </c>
      <c r="D1043" s="385" t="s">
        <v>4844</v>
      </c>
    </row>
    <row r="1044" spans="1:4" x14ac:dyDescent="0.25">
      <c r="A1044" s="384" t="s">
        <v>7460</v>
      </c>
      <c r="B1044" s="384" t="s">
        <v>7461</v>
      </c>
      <c r="C1044" s="384" t="s">
        <v>75</v>
      </c>
      <c r="D1044" s="385" t="s">
        <v>7462</v>
      </c>
    </row>
    <row r="1045" spans="1:4" x14ac:dyDescent="0.25">
      <c r="A1045" s="384" t="s">
        <v>7463</v>
      </c>
      <c r="B1045" s="384" t="s">
        <v>7464</v>
      </c>
      <c r="C1045" s="384" t="s">
        <v>75</v>
      </c>
      <c r="D1045" s="385" t="s">
        <v>7465</v>
      </c>
    </row>
    <row r="1046" spans="1:4" x14ac:dyDescent="0.25">
      <c r="A1046" s="384" t="s">
        <v>7466</v>
      </c>
      <c r="B1046" s="384" t="s">
        <v>7467</v>
      </c>
      <c r="C1046" s="384" t="s">
        <v>75</v>
      </c>
      <c r="D1046" s="385" t="s">
        <v>7129</v>
      </c>
    </row>
    <row r="1047" spans="1:4" x14ac:dyDescent="0.25">
      <c r="A1047" s="384" t="s">
        <v>7468</v>
      </c>
      <c r="B1047" s="384" t="s">
        <v>7469</v>
      </c>
      <c r="C1047" s="384" t="s">
        <v>75</v>
      </c>
      <c r="D1047" s="385" t="s">
        <v>7470</v>
      </c>
    </row>
    <row r="1048" spans="1:4" x14ac:dyDescent="0.25">
      <c r="A1048" s="384" t="s">
        <v>7471</v>
      </c>
      <c r="B1048" s="384" t="s">
        <v>7472</v>
      </c>
      <c r="C1048" s="384" t="s">
        <v>75</v>
      </c>
      <c r="D1048" s="385" t="s">
        <v>7473</v>
      </c>
    </row>
    <row r="1049" spans="1:4" x14ac:dyDescent="0.25">
      <c r="A1049" s="384" t="s">
        <v>7474</v>
      </c>
      <c r="B1049" s="384" t="s">
        <v>7475</v>
      </c>
      <c r="C1049" s="384" t="s">
        <v>75</v>
      </c>
      <c r="D1049" s="385" t="s">
        <v>7476</v>
      </c>
    </row>
    <row r="1050" spans="1:4" x14ac:dyDescent="0.25">
      <c r="A1050" s="384" t="s">
        <v>7477</v>
      </c>
      <c r="B1050" s="384" t="s">
        <v>7478</v>
      </c>
      <c r="C1050" s="384" t="s">
        <v>75</v>
      </c>
      <c r="D1050" s="385" t="s">
        <v>7479</v>
      </c>
    </row>
    <row r="1051" spans="1:4" x14ac:dyDescent="0.25">
      <c r="A1051" s="384" t="s">
        <v>7480</v>
      </c>
      <c r="B1051" s="384" t="s">
        <v>7481</v>
      </c>
      <c r="C1051" s="384" t="s">
        <v>75</v>
      </c>
      <c r="D1051" s="385" t="s">
        <v>7482</v>
      </c>
    </row>
    <row r="1052" spans="1:4" x14ac:dyDescent="0.25">
      <c r="A1052" s="384" t="s">
        <v>7483</v>
      </c>
      <c r="B1052" s="384" t="s">
        <v>7484</v>
      </c>
      <c r="C1052" s="384" t="s">
        <v>75</v>
      </c>
      <c r="D1052" s="385" t="s">
        <v>7485</v>
      </c>
    </row>
    <row r="1053" spans="1:4" x14ac:dyDescent="0.25">
      <c r="A1053" s="384" t="s">
        <v>7486</v>
      </c>
      <c r="B1053" s="384" t="s">
        <v>7487</v>
      </c>
      <c r="C1053" s="384" t="s">
        <v>75</v>
      </c>
      <c r="D1053" s="385" t="s">
        <v>7488</v>
      </c>
    </row>
    <row r="1054" spans="1:4" x14ac:dyDescent="0.25">
      <c r="A1054" s="384" t="s">
        <v>7489</v>
      </c>
      <c r="B1054" s="384" t="s">
        <v>7490</v>
      </c>
      <c r="C1054" s="384" t="s">
        <v>75</v>
      </c>
      <c r="D1054" s="385" t="s">
        <v>7491</v>
      </c>
    </row>
    <row r="1055" spans="1:4" x14ac:dyDescent="0.25">
      <c r="A1055" s="384" t="s">
        <v>7492</v>
      </c>
      <c r="B1055" s="384" t="s">
        <v>7493</v>
      </c>
      <c r="C1055" s="384" t="s">
        <v>75</v>
      </c>
      <c r="D1055" s="385" t="s">
        <v>7494</v>
      </c>
    </row>
    <row r="1056" spans="1:4" x14ac:dyDescent="0.25">
      <c r="A1056" s="384" t="s">
        <v>7495</v>
      </c>
      <c r="B1056" s="384" t="s">
        <v>7496</v>
      </c>
      <c r="C1056" s="384" t="s">
        <v>75</v>
      </c>
      <c r="D1056" s="385" t="s">
        <v>7497</v>
      </c>
    </row>
    <row r="1057" spans="1:4" x14ac:dyDescent="0.25">
      <c r="A1057" s="384" t="s">
        <v>7498</v>
      </c>
      <c r="B1057" s="384" t="s">
        <v>7499</v>
      </c>
      <c r="C1057" s="384" t="s">
        <v>75</v>
      </c>
      <c r="D1057" s="385" t="s">
        <v>6036</v>
      </c>
    </row>
    <row r="1058" spans="1:4" x14ac:dyDescent="0.25">
      <c r="A1058" s="384" t="s">
        <v>7500</v>
      </c>
      <c r="B1058" s="384" t="s">
        <v>7501</v>
      </c>
      <c r="C1058" s="384" t="s">
        <v>75</v>
      </c>
      <c r="D1058" s="385" t="s">
        <v>7502</v>
      </c>
    </row>
    <row r="1059" spans="1:4" x14ac:dyDescent="0.25">
      <c r="A1059" s="384" t="s">
        <v>7503</v>
      </c>
      <c r="B1059" s="384" t="s">
        <v>7504</v>
      </c>
      <c r="C1059" s="384" t="s">
        <v>75</v>
      </c>
      <c r="D1059" s="385" t="s">
        <v>7505</v>
      </c>
    </row>
    <row r="1060" spans="1:4" x14ac:dyDescent="0.25">
      <c r="A1060" s="384" t="s">
        <v>7506</v>
      </c>
      <c r="B1060" s="384" t="s">
        <v>7507</v>
      </c>
      <c r="C1060" s="384" t="s">
        <v>75</v>
      </c>
      <c r="D1060" s="385" t="s">
        <v>7226</v>
      </c>
    </row>
    <row r="1061" spans="1:4" x14ac:dyDescent="0.25">
      <c r="A1061" s="384" t="s">
        <v>7508</v>
      </c>
      <c r="B1061" s="384" t="s">
        <v>7509</v>
      </c>
      <c r="C1061" s="384" t="s">
        <v>75</v>
      </c>
      <c r="D1061" s="385" t="s">
        <v>7250</v>
      </c>
    </row>
    <row r="1062" spans="1:4" x14ac:dyDescent="0.25">
      <c r="A1062" s="384" t="s">
        <v>7510</v>
      </c>
      <c r="B1062" s="384" t="s">
        <v>7511</v>
      </c>
      <c r="C1062" s="384" t="s">
        <v>75</v>
      </c>
      <c r="D1062" s="385" t="s">
        <v>7512</v>
      </c>
    </row>
    <row r="1063" spans="1:4" x14ac:dyDescent="0.25">
      <c r="A1063" s="384" t="s">
        <v>7513</v>
      </c>
      <c r="B1063" s="384" t="s">
        <v>7514</v>
      </c>
      <c r="C1063" s="384" t="s">
        <v>75</v>
      </c>
      <c r="D1063" s="385" t="s">
        <v>6082</v>
      </c>
    </row>
    <row r="1064" spans="1:4" x14ac:dyDescent="0.25">
      <c r="A1064" s="384" t="s">
        <v>7515</v>
      </c>
      <c r="B1064" s="384" t="s">
        <v>7516</v>
      </c>
      <c r="C1064" s="384" t="s">
        <v>75</v>
      </c>
      <c r="D1064" s="385" t="s">
        <v>6607</v>
      </c>
    </row>
    <row r="1065" spans="1:4" x14ac:dyDescent="0.25">
      <c r="A1065" s="384" t="s">
        <v>7517</v>
      </c>
      <c r="B1065" s="384" t="s">
        <v>7518</v>
      </c>
      <c r="C1065" s="384" t="s">
        <v>75</v>
      </c>
      <c r="D1065" s="385" t="s">
        <v>7519</v>
      </c>
    </row>
    <row r="1066" spans="1:4" x14ac:dyDescent="0.25">
      <c r="A1066" s="384" t="s">
        <v>7520</v>
      </c>
      <c r="B1066" s="384" t="s">
        <v>7521</v>
      </c>
      <c r="C1066" s="384" t="s">
        <v>75</v>
      </c>
      <c r="D1066" s="385" t="s">
        <v>7522</v>
      </c>
    </row>
    <row r="1067" spans="1:4" x14ac:dyDescent="0.25">
      <c r="A1067" s="384" t="s">
        <v>7523</v>
      </c>
      <c r="B1067" s="384" t="s">
        <v>7524</v>
      </c>
      <c r="C1067" s="384" t="s">
        <v>75</v>
      </c>
      <c r="D1067" s="385" t="s">
        <v>7525</v>
      </c>
    </row>
    <row r="1068" spans="1:4" x14ac:dyDescent="0.25">
      <c r="A1068" s="384" t="s">
        <v>7526</v>
      </c>
      <c r="B1068" s="384" t="s">
        <v>7527</v>
      </c>
      <c r="C1068" s="384" t="s">
        <v>75</v>
      </c>
      <c r="D1068" s="385" t="s">
        <v>7528</v>
      </c>
    </row>
    <row r="1069" spans="1:4" x14ac:dyDescent="0.25">
      <c r="A1069" s="384" t="s">
        <v>7529</v>
      </c>
      <c r="B1069" s="384" t="s">
        <v>7530</v>
      </c>
      <c r="C1069" s="384" t="s">
        <v>75</v>
      </c>
      <c r="D1069" s="385" t="s">
        <v>7531</v>
      </c>
    </row>
    <row r="1070" spans="1:4" x14ac:dyDescent="0.25">
      <c r="A1070" s="384" t="s">
        <v>7532</v>
      </c>
      <c r="B1070" s="384" t="s">
        <v>7533</v>
      </c>
      <c r="C1070" s="384" t="s">
        <v>75</v>
      </c>
      <c r="D1070" s="385" t="s">
        <v>7534</v>
      </c>
    </row>
    <row r="1071" spans="1:4" x14ac:dyDescent="0.25">
      <c r="A1071" s="384" t="s">
        <v>7535</v>
      </c>
      <c r="B1071" s="384" t="s">
        <v>7536</v>
      </c>
      <c r="C1071" s="384" t="s">
        <v>75</v>
      </c>
      <c r="D1071" s="385" t="s">
        <v>7537</v>
      </c>
    </row>
    <row r="1072" spans="1:4" x14ac:dyDescent="0.25">
      <c r="A1072" s="384" t="s">
        <v>7538</v>
      </c>
      <c r="B1072" s="384" t="s">
        <v>7539</v>
      </c>
      <c r="C1072" s="384" t="s">
        <v>75</v>
      </c>
      <c r="D1072" s="385" t="s">
        <v>7540</v>
      </c>
    </row>
    <row r="1073" spans="1:4" x14ac:dyDescent="0.25">
      <c r="A1073" s="384" t="s">
        <v>7541</v>
      </c>
      <c r="B1073" s="384" t="s">
        <v>7542</v>
      </c>
      <c r="C1073" s="384" t="s">
        <v>75</v>
      </c>
      <c r="D1073" s="385" t="s">
        <v>7543</v>
      </c>
    </row>
    <row r="1074" spans="1:4" x14ac:dyDescent="0.25">
      <c r="A1074" s="384" t="s">
        <v>7544</v>
      </c>
      <c r="B1074" s="384" t="s">
        <v>7545</v>
      </c>
      <c r="C1074" s="384" t="s">
        <v>75</v>
      </c>
      <c r="D1074" s="385" t="s">
        <v>7546</v>
      </c>
    </row>
    <row r="1075" spans="1:4" x14ac:dyDescent="0.25">
      <c r="A1075" s="384" t="s">
        <v>7547</v>
      </c>
      <c r="B1075" s="384" t="s">
        <v>7548</v>
      </c>
      <c r="C1075" s="384" t="s">
        <v>75</v>
      </c>
      <c r="D1075" s="385" t="s">
        <v>6362</v>
      </c>
    </row>
    <row r="1076" spans="1:4" x14ac:dyDescent="0.25">
      <c r="A1076" s="384" t="s">
        <v>7549</v>
      </c>
      <c r="B1076" s="384" t="s">
        <v>7550</v>
      </c>
      <c r="C1076" s="384" t="s">
        <v>75</v>
      </c>
      <c r="D1076" s="385" t="s">
        <v>7292</v>
      </c>
    </row>
    <row r="1077" spans="1:4" x14ac:dyDescent="0.25">
      <c r="A1077" s="384" t="s">
        <v>7551</v>
      </c>
      <c r="B1077" s="384" t="s">
        <v>7552</v>
      </c>
      <c r="C1077" s="384" t="s">
        <v>75</v>
      </c>
      <c r="D1077" s="385" t="s">
        <v>6630</v>
      </c>
    </row>
    <row r="1078" spans="1:4" x14ac:dyDescent="0.25">
      <c r="A1078" s="384" t="s">
        <v>7553</v>
      </c>
      <c r="B1078" s="384" t="s">
        <v>7554</v>
      </c>
      <c r="C1078" s="384" t="s">
        <v>75</v>
      </c>
      <c r="D1078" s="385" t="s">
        <v>7555</v>
      </c>
    </row>
    <row r="1079" spans="1:4" x14ac:dyDescent="0.25">
      <c r="A1079" s="384" t="s">
        <v>7556</v>
      </c>
      <c r="B1079" s="384" t="s">
        <v>7557</v>
      </c>
      <c r="C1079" s="384" t="s">
        <v>75</v>
      </c>
      <c r="D1079" s="385" t="s">
        <v>7558</v>
      </c>
    </row>
    <row r="1080" spans="1:4" x14ac:dyDescent="0.25">
      <c r="A1080" s="384" t="s">
        <v>7559</v>
      </c>
      <c r="B1080" s="384" t="s">
        <v>7560</v>
      </c>
      <c r="C1080" s="384" t="s">
        <v>75</v>
      </c>
      <c r="D1080" s="385" t="s">
        <v>7561</v>
      </c>
    </row>
    <row r="1081" spans="1:4" x14ac:dyDescent="0.25">
      <c r="A1081" s="384" t="s">
        <v>7562</v>
      </c>
      <c r="B1081" s="384" t="s">
        <v>7563</v>
      </c>
      <c r="C1081" s="384" t="s">
        <v>75</v>
      </c>
      <c r="D1081" s="385" t="s">
        <v>7407</v>
      </c>
    </row>
    <row r="1082" spans="1:4" x14ac:dyDescent="0.25">
      <c r="A1082" s="384" t="s">
        <v>7564</v>
      </c>
      <c r="B1082" s="384" t="s">
        <v>7565</v>
      </c>
      <c r="C1082" s="384" t="s">
        <v>75</v>
      </c>
      <c r="D1082" s="385" t="s">
        <v>7566</v>
      </c>
    </row>
    <row r="1083" spans="1:4" x14ac:dyDescent="0.25">
      <c r="A1083" s="384" t="s">
        <v>7567</v>
      </c>
      <c r="B1083" s="384" t="s">
        <v>7568</v>
      </c>
      <c r="C1083" s="384" t="s">
        <v>75</v>
      </c>
      <c r="D1083" s="385" t="s">
        <v>7569</v>
      </c>
    </row>
    <row r="1084" spans="1:4" x14ac:dyDescent="0.25">
      <c r="A1084" s="384" t="s">
        <v>7570</v>
      </c>
      <c r="B1084" s="384" t="s">
        <v>7571</v>
      </c>
      <c r="C1084" s="384" t="s">
        <v>75</v>
      </c>
      <c r="D1084" s="385" t="s">
        <v>7117</v>
      </c>
    </row>
    <row r="1085" spans="1:4" x14ac:dyDescent="0.25">
      <c r="A1085" s="384" t="s">
        <v>7572</v>
      </c>
      <c r="B1085" s="384" t="s">
        <v>7573</v>
      </c>
      <c r="C1085" s="384" t="s">
        <v>75</v>
      </c>
      <c r="D1085" s="385" t="s">
        <v>6544</v>
      </c>
    </row>
    <row r="1086" spans="1:4" x14ac:dyDescent="0.25">
      <c r="A1086" s="384" t="s">
        <v>7574</v>
      </c>
      <c r="B1086" s="384" t="s">
        <v>7575</v>
      </c>
      <c r="C1086" s="384" t="s">
        <v>75</v>
      </c>
      <c r="D1086" s="385" t="s">
        <v>7576</v>
      </c>
    </row>
    <row r="1087" spans="1:4" x14ac:dyDescent="0.25">
      <c r="A1087" s="384" t="s">
        <v>7577</v>
      </c>
      <c r="B1087" s="384" t="s">
        <v>7578</v>
      </c>
      <c r="C1087" s="384" t="s">
        <v>75</v>
      </c>
      <c r="D1087" s="385" t="s">
        <v>6068</v>
      </c>
    </row>
    <row r="1088" spans="1:4" x14ac:dyDescent="0.25">
      <c r="A1088" s="384" t="s">
        <v>7579</v>
      </c>
      <c r="B1088" s="384" t="s">
        <v>7580</v>
      </c>
      <c r="C1088" s="384" t="s">
        <v>75</v>
      </c>
      <c r="D1088" s="385" t="s">
        <v>7581</v>
      </c>
    </row>
    <row r="1089" spans="1:4" x14ac:dyDescent="0.25">
      <c r="A1089" s="384" t="s">
        <v>7582</v>
      </c>
      <c r="B1089" s="384" t="s">
        <v>7583</v>
      </c>
      <c r="C1089" s="384" t="s">
        <v>75</v>
      </c>
      <c r="D1089" s="385" t="s">
        <v>7584</v>
      </c>
    </row>
    <row r="1090" spans="1:4" x14ac:dyDescent="0.25">
      <c r="A1090" s="384" t="s">
        <v>7585</v>
      </c>
      <c r="B1090" s="384" t="s">
        <v>7586</v>
      </c>
      <c r="C1090" s="384" t="s">
        <v>75</v>
      </c>
      <c r="D1090" s="385" t="s">
        <v>5979</v>
      </c>
    </row>
    <row r="1091" spans="1:4" x14ac:dyDescent="0.25">
      <c r="A1091" s="384" t="s">
        <v>7587</v>
      </c>
      <c r="B1091" s="384" t="s">
        <v>7588</v>
      </c>
      <c r="C1091" s="384" t="s">
        <v>75</v>
      </c>
      <c r="D1091" s="385" t="s">
        <v>6130</v>
      </c>
    </row>
    <row r="1092" spans="1:4" x14ac:dyDescent="0.25">
      <c r="A1092" s="384" t="s">
        <v>7589</v>
      </c>
      <c r="B1092" s="384" t="s">
        <v>7590</v>
      </c>
      <c r="C1092" s="384" t="s">
        <v>75</v>
      </c>
      <c r="D1092" s="385" t="s">
        <v>7591</v>
      </c>
    </row>
    <row r="1093" spans="1:4" x14ac:dyDescent="0.25">
      <c r="A1093" s="384" t="s">
        <v>7592</v>
      </c>
      <c r="B1093" s="384" t="s">
        <v>7593</v>
      </c>
      <c r="C1093" s="384" t="s">
        <v>75</v>
      </c>
      <c r="D1093" s="385" t="s">
        <v>7385</v>
      </c>
    </row>
    <row r="1094" spans="1:4" x14ac:dyDescent="0.25">
      <c r="A1094" s="384" t="s">
        <v>7594</v>
      </c>
      <c r="B1094" s="384" t="s">
        <v>7595</v>
      </c>
      <c r="C1094" s="384" t="s">
        <v>75</v>
      </c>
      <c r="D1094" s="385" t="s">
        <v>7591</v>
      </c>
    </row>
    <row r="1095" spans="1:4" x14ac:dyDescent="0.25">
      <c r="A1095" s="384" t="s">
        <v>7596</v>
      </c>
      <c r="B1095" s="384" t="s">
        <v>7597</v>
      </c>
      <c r="C1095" s="384" t="s">
        <v>75</v>
      </c>
      <c r="D1095" s="385" t="s">
        <v>6519</v>
      </c>
    </row>
    <row r="1096" spans="1:4" x14ac:dyDescent="0.25">
      <c r="A1096" s="384" t="s">
        <v>7598</v>
      </c>
      <c r="B1096" s="384" t="s">
        <v>7599</v>
      </c>
      <c r="C1096" s="384" t="s">
        <v>75</v>
      </c>
      <c r="D1096" s="385" t="s">
        <v>7600</v>
      </c>
    </row>
    <row r="1097" spans="1:4" x14ac:dyDescent="0.25">
      <c r="A1097" s="384" t="s">
        <v>7601</v>
      </c>
      <c r="B1097" s="384" t="s">
        <v>7602</v>
      </c>
      <c r="C1097" s="384" t="s">
        <v>75</v>
      </c>
      <c r="D1097" s="385" t="s">
        <v>7603</v>
      </c>
    </row>
    <row r="1098" spans="1:4" x14ac:dyDescent="0.25">
      <c r="A1098" s="384" t="s">
        <v>7604</v>
      </c>
      <c r="B1098" s="384" t="s">
        <v>7605</v>
      </c>
      <c r="C1098" s="384" t="s">
        <v>75</v>
      </c>
      <c r="D1098" s="385" t="s">
        <v>6961</v>
      </c>
    </row>
    <row r="1099" spans="1:4" x14ac:dyDescent="0.25">
      <c r="A1099" s="384" t="s">
        <v>7606</v>
      </c>
      <c r="B1099" s="384" t="s">
        <v>7607</v>
      </c>
      <c r="C1099" s="384" t="s">
        <v>75</v>
      </c>
      <c r="D1099" s="385" t="s">
        <v>6519</v>
      </c>
    </row>
    <row r="1100" spans="1:4" x14ac:dyDescent="0.25">
      <c r="A1100" s="384" t="s">
        <v>7608</v>
      </c>
      <c r="B1100" s="384" t="s">
        <v>7609</v>
      </c>
      <c r="C1100" s="384" t="s">
        <v>75</v>
      </c>
      <c r="D1100" s="385" t="s">
        <v>7610</v>
      </c>
    </row>
    <row r="1101" spans="1:4" x14ac:dyDescent="0.25">
      <c r="A1101" s="384" t="s">
        <v>7611</v>
      </c>
      <c r="B1101" s="384" t="s">
        <v>7612</v>
      </c>
      <c r="C1101" s="384" t="s">
        <v>75</v>
      </c>
      <c r="D1101" s="385" t="s">
        <v>7385</v>
      </c>
    </row>
    <row r="1102" spans="1:4" x14ac:dyDescent="0.25">
      <c r="A1102" s="384" t="s">
        <v>7613</v>
      </c>
      <c r="B1102" s="384" t="s">
        <v>7614</v>
      </c>
      <c r="C1102" s="384" t="s">
        <v>75</v>
      </c>
      <c r="D1102" s="385" t="s">
        <v>6574</v>
      </c>
    </row>
    <row r="1103" spans="1:4" x14ac:dyDescent="0.25">
      <c r="A1103" s="384" t="s">
        <v>7615</v>
      </c>
      <c r="B1103" s="384" t="s">
        <v>7616</v>
      </c>
      <c r="C1103" s="384" t="s">
        <v>75</v>
      </c>
      <c r="D1103" s="385" t="s">
        <v>6553</v>
      </c>
    </row>
    <row r="1104" spans="1:4" x14ac:dyDescent="0.25">
      <c r="A1104" s="384" t="s">
        <v>7617</v>
      </c>
      <c r="B1104" s="384" t="s">
        <v>7618</v>
      </c>
      <c r="C1104" s="384" t="s">
        <v>75</v>
      </c>
      <c r="D1104" s="385" t="s">
        <v>7619</v>
      </c>
    </row>
    <row r="1105" spans="1:4" x14ac:dyDescent="0.25">
      <c r="A1105" s="384" t="s">
        <v>7620</v>
      </c>
      <c r="B1105" s="384" t="s">
        <v>7621</v>
      </c>
      <c r="C1105" s="384" t="s">
        <v>75</v>
      </c>
      <c r="D1105" s="385" t="s">
        <v>7622</v>
      </c>
    </row>
    <row r="1106" spans="1:4" x14ac:dyDescent="0.25">
      <c r="A1106" s="384" t="s">
        <v>7623</v>
      </c>
      <c r="B1106" s="384" t="s">
        <v>7624</v>
      </c>
      <c r="C1106" s="384" t="s">
        <v>75</v>
      </c>
      <c r="D1106" s="385" t="s">
        <v>6884</v>
      </c>
    </row>
    <row r="1107" spans="1:4" x14ac:dyDescent="0.25">
      <c r="A1107" s="384" t="s">
        <v>7625</v>
      </c>
      <c r="B1107" s="384" t="s">
        <v>7626</v>
      </c>
      <c r="C1107" s="384" t="s">
        <v>75</v>
      </c>
      <c r="D1107" s="385" t="s">
        <v>7627</v>
      </c>
    </row>
    <row r="1108" spans="1:4" x14ac:dyDescent="0.25">
      <c r="A1108" s="384" t="s">
        <v>7628</v>
      </c>
      <c r="B1108" s="384" t="s">
        <v>7629</v>
      </c>
      <c r="C1108" s="384" t="s">
        <v>75</v>
      </c>
      <c r="D1108" s="385" t="s">
        <v>6379</v>
      </c>
    </row>
    <row r="1109" spans="1:4" x14ac:dyDescent="0.25">
      <c r="A1109" s="384" t="s">
        <v>7630</v>
      </c>
      <c r="B1109" s="384" t="s">
        <v>7631</v>
      </c>
      <c r="C1109" s="384" t="s">
        <v>75</v>
      </c>
      <c r="D1109" s="385" t="s">
        <v>7632</v>
      </c>
    </row>
    <row r="1110" spans="1:4" x14ac:dyDescent="0.25">
      <c r="A1110" s="384" t="s">
        <v>7633</v>
      </c>
      <c r="B1110" s="384" t="s">
        <v>7634</v>
      </c>
      <c r="C1110" s="384" t="s">
        <v>75</v>
      </c>
      <c r="D1110" s="385" t="s">
        <v>6896</v>
      </c>
    </row>
    <row r="1111" spans="1:4" x14ac:dyDescent="0.25">
      <c r="A1111" s="384" t="s">
        <v>7635</v>
      </c>
      <c r="B1111" s="384" t="s">
        <v>7636</v>
      </c>
      <c r="C1111" s="384" t="s">
        <v>75</v>
      </c>
      <c r="D1111" s="385" t="s">
        <v>7637</v>
      </c>
    </row>
    <row r="1112" spans="1:4" x14ac:dyDescent="0.25">
      <c r="A1112" s="384" t="s">
        <v>7638</v>
      </c>
      <c r="B1112" s="384" t="s">
        <v>7639</v>
      </c>
      <c r="C1112" s="384" t="s">
        <v>75</v>
      </c>
      <c r="D1112" s="385" t="s">
        <v>5642</v>
      </c>
    </row>
    <row r="1113" spans="1:4" x14ac:dyDescent="0.25">
      <c r="A1113" s="384" t="s">
        <v>7640</v>
      </c>
      <c r="B1113" s="384" t="s">
        <v>7641</v>
      </c>
      <c r="C1113" s="384" t="s">
        <v>75</v>
      </c>
      <c r="D1113" s="385" t="s">
        <v>7642</v>
      </c>
    </row>
    <row r="1114" spans="1:4" x14ac:dyDescent="0.25">
      <c r="A1114" s="384" t="s">
        <v>7643</v>
      </c>
      <c r="B1114" s="384" t="s">
        <v>7644</v>
      </c>
      <c r="C1114" s="384" t="s">
        <v>75</v>
      </c>
      <c r="D1114" s="385" t="s">
        <v>7645</v>
      </c>
    </row>
    <row r="1115" spans="1:4" x14ac:dyDescent="0.25">
      <c r="A1115" s="384" t="s">
        <v>7646</v>
      </c>
      <c r="B1115" s="384" t="s">
        <v>7647</v>
      </c>
      <c r="C1115" s="384" t="s">
        <v>75</v>
      </c>
      <c r="D1115" s="385" t="s">
        <v>7648</v>
      </c>
    </row>
    <row r="1116" spans="1:4" x14ac:dyDescent="0.25">
      <c r="A1116" s="384" t="s">
        <v>7649</v>
      </c>
      <c r="B1116" s="384" t="s">
        <v>7650</v>
      </c>
      <c r="C1116" s="384" t="s">
        <v>75</v>
      </c>
      <c r="D1116" s="385" t="s">
        <v>7651</v>
      </c>
    </row>
    <row r="1117" spans="1:4" x14ac:dyDescent="0.25">
      <c r="A1117" s="384" t="s">
        <v>7652</v>
      </c>
      <c r="B1117" s="384" t="s">
        <v>7653</v>
      </c>
      <c r="C1117" s="384" t="s">
        <v>75</v>
      </c>
      <c r="D1117" s="385" t="s">
        <v>7654</v>
      </c>
    </row>
    <row r="1118" spans="1:4" x14ac:dyDescent="0.25">
      <c r="A1118" s="384" t="s">
        <v>7655</v>
      </c>
      <c r="B1118" s="384" t="s">
        <v>7656</v>
      </c>
      <c r="C1118" s="384" t="s">
        <v>75</v>
      </c>
      <c r="D1118" s="385" t="s">
        <v>7657</v>
      </c>
    </row>
    <row r="1119" spans="1:4" x14ac:dyDescent="0.25">
      <c r="A1119" s="384" t="s">
        <v>7658</v>
      </c>
      <c r="B1119" s="384" t="s">
        <v>7659</v>
      </c>
      <c r="C1119" s="384" t="s">
        <v>75</v>
      </c>
      <c r="D1119" s="385" t="s">
        <v>7660</v>
      </c>
    </row>
    <row r="1120" spans="1:4" x14ac:dyDescent="0.25">
      <c r="A1120" s="384" t="s">
        <v>7661</v>
      </c>
      <c r="B1120" s="384" t="s">
        <v>7662</v>
      </c>
      <c r="C1120" s="384" t="s">
        <v>75</v>
      </c>
      <c r="D1120" s="385" t="s">
        <v>6659</v>
      </c>
    </row>
    <row r="1121" spans="1:4" x14ac:dyDescent="0.25">
      <c r="A1121" s="384" t="s">
        <v>7663</v>
      </c>
      <c r="B1121" s="384" t="s">
        <v>7664</v>
      </c>
      <c r="C1121" s="384" t="s">
        <v>75</v>
      </c>
      <c r="D1121" s="385" t="s">
        <v>7665</v>
      </c>
    </row>
    <row r="1122" spans="1:4" x14ac:dyDescent="0.25">
      <c r="A1122" s="384" t="s">
        <v>7666</v>
      </c>
      <c r="B1122" s="384" t="s">
        <v>7667</v>
      </c>
      <c r="C1122" s="384" t="s">
        <v>75</v>
      </c>
      <c r="D1122" s="385" t="s">
        <v>7668</v>
      </c>
    </row>
    <row r="1123" spans="1:4" x14ac:dyDescent="0.25">
      <c r="A1123" s="384" t="s">
        <v>7669</v>
      </c>
      <c r="B1123" s="384" t="s">
        <v>7670</v>
      </c>
      <c r="C1123" s="384" t="s">
        <v>75</v>
      </c>
      <c r="D1123" s="385" t="s">
        <v>7671</v>
      </c>
    </row>
    <row r="1124" spans="1:4" x14ac:dyDescent="0.25">
      <c r="A1124" s="384" t="s">
        <v>7672</v>
      </c>
      <c r="B1124" s="384" t="s">
        <v>7673</v>
      </c>
      <c r="C1124" s="384" t="s">
        <v>75</v>
      </c>
      <c r="D1124" s="385" t="s">
        <v>6659</v>
      </c>
    </row>
    <row r="1125" spans="1:4" x14ac:dyDescent="0.25">
      <c r="A1125" s="384" t="s">
        <v>7674</v>
      </c>
      <c r="B1125" s="384" t="s">
        <v>7675</v>
      </c>
      <c r="C1125" s="384" t="s">
        <v>75</v>
      </c>
      <c r="D1125" s="385" t="s">
        <v>6544</v>
      </c>
    </row>
    <row r="1126" spans="1:4" x14ac:dyDescent="0.25">
      <c r="A1126" s="384" t="s">
        <v>7676</v>
      </c>
      <c r="B1126" s="384" t="s">
        <v>7677</v>
      </c>
      <c r="C1126" s="384" t="s">
        <v>75</v>
      </c>
      <c r="D1126" s="385" t="s">
        <v>6613</v>
      </c>
    </row>
    <row r="1127" spans="1:4" x14ac:dyDescent="0.25">
      <c r="A1127" s="384" t="s">
        <v>7678</v>
      </c>
      <c r="B1127" s="384" t="s">
        <v>7679</v>
      </c>
      <c r="C1127" s="384" t="s">
        <v>75</v>
      </c>
      <c r="D1127" s="385" t="s">
        <v>7680</v>
      </c>
    </row>
    <row r="1128" spans="1:4" x14ac:dyDescent="0.25">
      <c r="A1128" s="384" t="s">
        <v>7681</v>
      </c>
      <c r="B1128" s="384" t="s">
        <v>7682</v>
      </c>
      <c r="C1128" s="384" t="s">
        <v>75</v>
      </c>
      <c r="D1128" s="385" t="s">
        <v>7683</v>
      </c>
    </row>
    <row r="1129" spans="1:4" x14ac:dyDescent="0.25">
      <c r="A1129" s="384" t="s">
        <v>7684</v>
      </c>
      <c r="B1129" s="384" t="s">
        <v>7685</v>
      </c>
      <c r="C1129" s="384" t="s">
        <v>75</v>
      </c>
      <c r="D1129" s="385" t="s">
        <v>7686</v>
      </c>
    </row>
    <row r="1130" spans="1:4" x14ac:dyDescent="0.25">
      <c r="A1130" s="384" t="s">
        <v>7687</v>
      </c>
      <c r="B1130" s="384" t="s">
        <v>7688</v>
      </c>
      <c r="C1130" s="384" t="s">
        <v>75</v>
      </c>
      <c r="D1130" s="385" t="s">
        <v>7689</v>
      </c>
    </row>
    <row r="1131" spans="1:4" x14ac:dyDescent="0.25">
      <c r="A1131" s="384" t="s">
        <v>7690</v>
      </c>
      <c r="B1131" s="384" t="s">
        <v>7691</v>
      </c>
      <c r="C1131" s="384" t="s">
        <v>75</v>
      </c>
      <c r="D1131" s="385" t="s">
        <v>7692</v>
      </c>
    </row>
    <row r="1132" spans="1:4" x14ac:dyDescent="0.25">
      <c r="A1132" s="384" t="s">
        <v>7693</v>
      </c>
      <c r="B1132" s="384" t="s">
        <v>7694</v>
      </c>
      <c r="C1132" s="384" t="s">
        <v>75</v>
      </c>
      <c r="D1132" s="385" t="s">
        <v>6402</v>
      </c>
    </row>
    <row r="1133" spans="1:4" x14ac:dyDescent="0.25">
      <c r="A1133" s="384" t="s">
        <v>7695</v>
      </c>
      <c r="B1133" s="384" t="s">
        <v>7696</v>
      </c>
      <c r="C1133" s="384" t="s">
        <v>75</v>
      </c>
      <c r="D1133" s="385" t="s">
        <v>7697</v>
      </c>
    </row>
    <row r="1134" spans="1:4" x14ac:dyDescent="0.25">
      <c r="A1134" s="384" t="s">
        <v>7698</v>
      </c>
      <c r="B1134" s="384" t="s">
        <v>7699</v>
      </c>
      <c r="C1134" s="384" t="s">
        <v>75</v>
      </c>
      <c r="D1134" s="385" t="s">
        <v>7700</v>
      </c>
    </row>
    <row r="1135" spans="1:4" x14ac:dyDescent="0.25">
      <c r="A1135" s="384" t="s">
        <v>7701</v>
      </c>
      <c r="B1135" s="384" t="s">
        <v>7702</v>
      </c>
      <c r="C1135" s="384" t="s">
        <v>75</v>
      </c>
      <c r="D1135" s="385" t="s">
        <v>7703</v>
      </c>
    </row>
    <row r="1136" spans="1:4" x14ac:dyDescent="0.25">
      <c r="A1136" s="384" t="s">
        <v>7704</v>
      </c>
      <c r="B1136" s="384" t="s">
        <v>7705</v>
      </c>
      <c r="C1136" s="384" t="s">
        <v>75</v>
      </c>
      <c r="D1136" s="385" t="s">
        <v>6402</v>
      </c>
    </row>
    <row r="1137" spans="1:4" x14ac:dyDescent="0.25">
      <c r="A1137" s="384" t="s">
        <v>7706</v>
      </c>
      <c r="B1137" s="384" t="s">
        <v>7707</v>
      </c>
      <c r="C1137" s="384" t="s">
        <v>75</v>
      </c>
      <c r="D1137" s="385" t="s">
        <v>7708</v>
      </c>
    </row>
    <row r="1138" spans="1:4" x14ac:dyDescent="0.25">
      <c r="A1138" s="384" t="s">
        <v>7709</v>
      </c>
      <c r="B1138" s="384" t="s">
        <v>7710</v>
      </c>
      <c r="C1138" s="384" t="s">
        <v>75</v>
      </c>
      <c r="D1138" s="385" t="s">
        <v>7711</v>
      </c>
    </row>
    <row r="1139" spans="1:4" x14ac:dyDescent="0.25">
      <c r="A1139" s="384" t="s">
        <v>7712</v>
      </c>
      <c r="B1139" s="384" t="s">
        <v>7713</v>
      </c>
      <c r="C1139" s="384" t="s">
        <v>75</v>
      </c>
      <c r="D1139" s="385" t="s">
        <v>6399</v>
      </c>
    </row>
    <row r="1140" spans="1:4" x14ac:dyDescent="0.25">
      <c r="A1140" s="384" t="s">
        <v>7714</v>
      </c>
      <c r="B1140" s="384" t="s">
        <v>7715</v>
      </c>
      <c r="C1140" s="384" t="s">
        <v>75</v>
      </c>
      <c r="D1140" s="385" t="s">
        <v>6266</v>
      </c>
    </row>
    <row r="1141" spans="1:4" x14ac:dyDescent="0.25">
      <c r="A1141" s="384" t="s">
        <v>7716</v>
      </c>
      <c r="B1141" s="384" t="s">
        <v>7717</v>
      </c>
      <c r="C1141" s="384" t="s">
        <v>75</v>
      </c>
      <c r="D1141" s="385" t="s">
        <v>7718</v>
      </c>
    </row>
    <row r="1142" spans="1:4" x14ac:dyDescent="0.25">
      <c r="A1142" s="384" t="s">
        <v>7719</v>
      </c>
      <c r="B1142" s="384" t="s">
        <v>7720</v>
      </c>
      <c r="C1142" s="384" t="s">
        <v>75</v>
      </c>
      <c r="D1142" s="385" t="s">
        <v>5940</v>
      </c>
    </row>
    <row r="1143" spans="1:4" x14ac:dyDescent="0.25">
      <c r="A1143" s="384" t="s">
        <v>7721</v>
      </c>
      <c r="B1143" s="384" t="s">
        <v>7722</v>
      </c>
      <c r="C1143" s="384" t="s">
        <v>75</v>
      </c>
      <c r="D1143" s="385" t="s">
        <v>6469</v>
      </c>
    </row>
    <row r="1144" spans="1:4" x14ac:dyDescent="0.25">
      <c r="A1144" s="384" t="s">
        <v>7723</v>
      </c>
      <c r="B1144" s="384" t="s">
        <v>7724</v>
      </c>
      <c r="C1144" s="384" t="s">
        <v>75</v>
      </c>
      <c r="D1144" s="385" t="s">
        <v>5898</v>
      </c>
    </row>
    <row r="1145" spans="1:4" x14ac:dyDescent="0.25">
      <c r="A1145" s="384" t="s">
        <v>7725</v>
      </c>
      <c r="B1145" s="384" t="s">
        <v>7726</v>
      </c>
      <c r="C1145" s="384" t="s">
        <v>75</v>
      </c>
      <c r="D1145" s="385" t="s">
        <v>7173</v>
      </c>
    </row>
    <row r="1146" spans="1:4" x14ac:dyDescent="0.25">
      <c r="A1146" s="384" t="s">
        <v>7727</v>
      </c>
      <c r="B1146" s="384" t="s">
        <v>7728</v>
      </c>
      <c r="C1146" s="384" t="s">
        <v>75</v>
      </c>
      <c r="D1146" s="385" t="s">
        <v>7729</v>
      </c>
    </row>
    <row r="1147" spans="1:4" x14ac:dyDescent="0.25">
      <c r="A1147" s="384" t="s">
        <v>7730</v>
      </c>
      <c r="B1147" s="384" t="s">
        <v>7731</v>
      </c>
      <c r="C1147" s="384" t="s">
        <v>75</v>
      </c>
      <c r="D1147" s="385" t="s">
        <v>7732</v>
      </c>
    </row>
    <row r="1148" spans="1:4" x14ac:dyDescent="0.25">
      <c r="A1148" s="384" t="s">
        <v>7733</v>
      </c>
      <c r="B1148" s="384" t="s">
        <v>7734</v>
      </c>
      <c r="C1148" s="384" t="s">
        <v>75</v>
      </c>
      <c r="D1148" s="385" t="s">
        <v>7735</v>
      </c>
    </row>
    <row r="1149" spans="1:4" x14ac:dyDescent="0.25">
      <c r="A1149" s="384" t="s">
        <v>7736</v>
      </c>
      <c r="B1149" s="384" t="s">
        <v>7737</v>
      </c>
      <c r="C1149" s="384" t="s">
        <v>75</v>
      </c>
      <c r="D1149" s="385" t="s">
        <v>6085</v>
      </c>
    </row>
    <row r="1150" spans="1:4" x14ac:dyDescent="0.25">
      <c r="A1150" s="384" t="s">
        <v>7738</v>
      </c>
      <c r="B1150" s="384" t="s">
        <v>7739</v>
      </c>
      <c r="C1150" s="384" t="s">
        <v>75</v>
      </c>
      <c r="D1150" s="385" t="s">
        <v>6266</v>
      </c>
    </row>
    <row r="1151" spans="1:4" x14ac:dyDescent="0.25">
      <c r="A1151" s="384" t="s">
        <v>7740</v>
      </c>
      <c r="B1151" s="384" t="s">
        <v>7741</v>
      </c>
      <c r="C1151" s="384" t="s">
        <v>75</v>
      </c>
      <c r="D1151" s="385" t="s">
        <v>7711</v>
      </c>
    </row>
    <row r="1152" spans="1:4" x14ac:dyDescent="0.25">
      <c r="A1152" s="384" t="s">
        <v>7742</v>
      </c>
      <c r="B1152" s="384" t="s">
        <v>7743</v>
      </c>
      <c r="C1152" s="384" t="s">
        <v>75</v>
      </c>
      <c r="D1152" s="385" t="s">
        <v>7744</v>
      </c>
    </row>
    <row r="1153" spans="1:4" x14ac:dyDescent="0.25">
      <c r="A1153" s="384" t="s">
        <v>7745</v>
      </c>
      <c r="B1153" s="384" t="s">
        <v>7746</v>
      </c>
      <c r="C1153" s="384" t="s">
        <v>75</v>
      </c>
      <c r="D1153" s="385" t="s">
        <v>7036</v>
      </c>
    </row>
    <row r="1154" spans="1:4" x14ac:dyDescent="0.25">
      <c r="A1154" s="384" t="s">
        <v>7747</v>
      </c>
      <c r="B1154" s="384" t="s">
        <v>7748</v>
      </c>
      <c r="C1154" s="384" t="s">
        <v>75</v>
      </c>
      <c r="D1154" s="385" t="s">
        <v>7749</v>
      </c>
    </row>
    <row r="1155" spans="1:4" x14ac:dyDescent="0.25">
      <c r="A1155" s="384" t="s">
        <v>7750</v>
      </c>
      <c r="B1155" s="384" t="s">
        <v>7751</v>
      </c>
      <c r="C1155" s="384" t="s">
        <v>75</v>
      </c>
      <c r="D1155" s="385" t="s">
        <v>7752</v>
      </c>
    </row>
    <row r="1156" spans="1:4" x14ac:dyDescent="0.25">
      <c r="A1156" s="384" t="s">
        <v>7753</v>
      </c>
      <c r="B1156" s="384" t="s">
        <v>7754</v>
      </c>
      <c r="C1156" s="384" t="s">
        <v>75</v>
      </c>
      <c r="D1156" s="385" t="s">
        <v>7755</v>
      </c>
    </row>
    <row r="1157" spans="1:4" x14ac:dyDescent="0.25">
      <c r="A1157" s="384" t="s">
        <v>7756</v>
      </c>
      <c r="B1157" s="384" t="s">
        <v>7757</v>
      </c>
      <c r="C1157" s="384" t="s">
        <v>75</v>
      </c>
      <c r="D1157" s="385" t="s">
        <v>7758</v>
      </c>
    </row>
    <row r="1158" spans="1:4" x14ac:dyDescent="0.25">
      <c r="A1158" s="384" t="s">
        <v>7759</v>
      </c>
      <c r="B1158" s="384" t="s">
        <v>7760</v>
      </c>
      <c r="C1158" s="384" t="s">
        <v>75</v>
      </c>
      <c r="D1158" s="385" t="s">
        <v>7761</v>
      </c>
    </row>
    <row r="1159" spans="1:4" x14ac:dyDescent="0.25">
      <c r="A1159" s="384" t="s">
        <v>7762</v>
      </c>
      <c r="B1159" s="384" t="s">
        <v>7763</v>
      </c>
      <c r="C1159" s="384" t="s">
        <v>75</v>
      </c>
      <c r="D1159" s="385" t="s">
        <v>6607</v>
      </c>
    </row>
    <row r="1160" spans="1:4" x14ac:dyDescent="0.25">
      <c r="A1160" s="384" t="s">
        <v>7764</v>
      </c>
      <c r="B1160" s="384" t="s">
        <v>7765</v>
      </c>
      <c r="C1160" s="384" t="s">
        <v>75</v>
      </c>
      <c r="D1160" s="385" t="s">
        <v>7766</v>
      </c>
    </row>
    <row r="1161" spans="1:4" x14ac:dyDescent="0.25">
      <c r="A1161" s="384" t="s">
        <v>7767</v>
      </c>
      <c r="B1161" s="384" t="s">
        <v>7768</v>
      </c>
      <c r="C1161" s="384" t="s">
        <v>75</v>
      </c>
      <c r="D1161" s="385" t="s">
        <v>7769</v>
      </c>
    </row>
    <row r="1162" spans="1:4" x14ac:dyDescent="0.25">
      <c r="A1162" s="384" t="s">
        <v>7770</v>
      </c>
      <c r="B1162" s="384" t="s">
        <v>7771</v>
      </c>
      <c r="C1162" s="384" t="s">
        <v>75</v>
      </c>
      <c r="D1162" s="385" t="s">
        <v>7772</v>
      </c>
    </row>
    <row r="1163" spans="1:4" x14ac:dyDescent="0.25">
      <c r="A1163" s="384" t="s">
        <v>7773</v>
      </c>
      <c r="B1163" s="384" t="s">
        <v>7774</v>
      </c>
      <c r="C1163" s="384" t="s">
        <v>75</v>
      </c>
      <c r="D1163" s="385" t="s">
        <v>6553</v>
      </c>
    </row>
    <row r="1164" spans="1:4" x14ac:dyDescent="0.25">
      <c r="A1164" s="384" t="s">
        <v>7775</v>
      </c>
      <c r="B1164" s="384" t="s">
        <v>7776</v>
      </c>
      <c r="C1164" s="384" t="s">
        <v>75</v>
      </c>
      <c r="D1164" s="385" t="s">
        <v>6630</v>
      </c>
    </row>
    <row r="1165" spans="1:4" x14ac:dyDescent="0.25">
      <c r="A1165" s="384" t="s">
        <v>7777</v>
      </c>
      <c r="B1165" s="384" t="s">
        <v>7778</v>
      </c>
      <c r="C1165" s="384" t="s">
        <v>75</v>
      </c>
      <c r="D1165" s="385" t="s">
        <v>6068</v>
      </c>
    </row>
    <row r="1166" spans="1:4" x14ac:dyDescent="0.25">
      <c r="A1166" s="384" t="s">
        <v>7779</v>
      </c>
      <c r="B1166" s="384" t="s">
        <v>7780</v>
      </c>
      <c r="C1166" s="384" t="s">
        <v>75</v>
      </c>
      <c r="D1166" s="385" t="s">
        <v>7781</v>
      </c>
    </row>
    <row r="1167" spans="1:4" x14ac:dyDescent="0.25">
      <c r="A1167" s="384" t="s">
        <v>7782</v>
      </c>
      <c r="B1167" s="384" t="s">
        <v>7783</v>
      </c>
      <c r="C1167" s="384" t="s">
        <v>75</v>
      </c>
      <c r="D1167" s="385" t="s">
        <v>6750</v>
      </c>
    </row>
    <row r="1168" spans="1:4" x14ac:dyDescent="0.25">
      <c r="A1168" s="384" t="s">
        <v>7784</v>
      </c>
      <c r="B1168" s="384" t="s">
        <v>7785</v>
      </c>
      <c r="C1168" s="384" t="s">
        <v>75</v>
      </c>
      <c r="D1168" s="385" t="s">
        <v>7292</v>
      </c>
    </row>
    <row r="1169" spans="1:4" x14ac:dyDescent="0.25">
      <c r="A1169" s="384" t="s">
        <v>7786</v>
      </c>
      <c r="B1169" s="384" t="s">
        <v>7787</v>
      </c>
      <c r="C1169" s="384" t="s">
        <v>75</v>
      </c>
      <c r="D1169" s="385" t="s">
        <v>6627</v>
      </c>
    </row>
    <row r="1170" spans="1:4" x14ac:dyDescent="0.25">
      <c r="A1170" s="384" t="s">
        <v>7788</v>
      </c>
      <c r="B1170" s="384" t="s">
        <v>7789</v>
      </c>
      <c r="C1170" s="384" t="s">
        <v>75</v>
      </c>
      <c r="D1170" s="385" t="s">
        <v>5916</v>
      </c>
    </row>
    <row r="1171" spans="1:4" x14ac:dyDescent="0.25">
      <c r="A1171" s="384" t="s">
        <v>7790</v>
      </c>
      <c r="B1171" s="384" t="s">
        <v>7791</v>
      </c>
      <c r="C1171" s="384" t="s">
        <v>75</v>
      </c>
      <c r="D1171" s="385" t="s">
        <v>7792</v>
      </c>
    </row>
    <row r="1172" spans="1:4" x14ac:dyDescent="0.25">
      <c r="A1172" s="384" t="s">
        <v>7793</v>
      </c>
      <c r="B1172" s="384" t="s">
        <v>7794</v>
      </c>
      <c r="C1172" s="384" t="s">
        <v>75</v>
      </c>
      <c r="D1172" s="385" t="s">
        <v>7795</v>
      </c>
    </row>
    <row r="1173" spans="1:4" x14ac:dyDescent="0.25">
      <c r="A1173" s="384" t="s">
        <v>7796</v>
      </c>
      <c r="B1173" s="384" t="s">
        <v>7797</v>
      </c>
      <c r="C1173" s="384" t="s">
        <v>75</v>
      </c>
      <c r="D1173" s="385" t="s">
        <v>7798</v>
      </c>
    </row>
    <row r="1174" spans="1:4" x14ac:dyDescent="0.25">
      <c r="A1174" s="384" t="s">
        <v>7799</v>
      </c>
      <c r="B1174" s="384" t="s">
        <v>7800</v>
      </c>
      <c r="C1174" s="384" t="s">
        <v>75</v>
      </c>
      <c r="D1174" s="385" t="s">
        <v>7801</v>
      </c>
    </row>
    <row r="1175" spans="1:4" x14ac:dyDescent="0.25">
      <c r="A1175" s="384" t="s">
        <v>7802</v>
      </c>
      <c r="B1175" s="384" t="s">
        <v>7803</v>
      </c>
      <c r="C1175" s="384" t="s">
        <v>75</v>
      </c>
      <c r="D1175" s="385" t="s">
        <v>7804</v>
      </c>
    </row>
    <row r="1176" spans="1:4" x14ac:dyDescent="0.25">
      <c r="A1176" s="384" t="s">
        <v>7805</v>
      </c>
      <c r="B1176" s="384" t="s">
        <v>7806</v>
      </c>
      <c r="C1176" s="384" t="s">
        <v>75</v>
      </c>
      <c r="D1176" s="385" t="s">
        <v>7807</v>
      </c>
    </row>
    <row r="1177" spans="1:4" x14ac:dyDescent="0.25">
      <c r="A1177" s="384" t="s">
        <v>7808</v>
      </c>
      <c r="B1177" s="384" t="s">
        <v>7809</v>
      </c>
      <c r="C1177" s="384" t="s">
        <v>75</v>
      </c>
      <c r="D1177" s="385" t="s">
        <v>7810</v>
      </c>
    </row>
    <row r="1178" spans="1:4" x14ac:dyDescent="0.25">
      <c r="A1178" s="384" t="s">
        <v>7811</v>
      </c>
      <c r="B1178" s="384" t="s">
        <v>7812</v>
      </c>
      <c r="C1178" s="384" t="s">
        <v>75</v>
      </c>
      <c r="D1178" s="385" t="s">
        <v>7813</v>
      </c>
    </row>
    <row r="1179" spans="1:4" x14ac:dyDescent="0.25">
      <c r="A1179" s="384" t="s">
        <v>7814</v>
      </c>
      <c r="B1179" s="384" t="s">
        <v>7815</v>
      </c>
      <c r="C1179" s="384" t="s">
        <v>75</v>
      </c>
      <c r="D1179" s="385" t="s">
        <v>7566</v>
      </c>
    </row>
    <row r="1180" spans="1:4" x14ac:dyDescent="0.25">
      <c r="A1180" s="384" t="s">
        <v>7816</v>
      </c>
      <c r="B1180" s="384" t="s">
        <v>7817</v>
      </c>
      <c r="C1180" s="384" t="s">
        <v>75</v>
      </c>
      <c r="D1180" s="385" t="s">
        <v>6198</v>
      </c>
    </row>
    <row r="1181" spans="1:4" x14ac:dyDescent="0.25">
      <c r="A1181" s="384" t="s">
        <v>7818</v>
      </c>
      <c r="B1181" s="384" t="s">
        <v>7819</v>
      </c>
      <c r="C1181" s="384" t="s">
        <v>75</v>
      </c>
      <c r="D1181" s="385" t="s">
        <v>6896</v>
      </c>
    </row>
    <row r="1182" spans="1:4" x14ac:dyDescent="0.25">
      <c r="A1182" s="384" t="s">
        <v>7820</v>
      </c>
      <c r="B1182" s="384" t="s">
        <v>7821</v>
      </c>
      <c r="C1182" s="384" t="s">
        <v>75</v>
      </c>
      <c r="D1182" s="385" t="s">
        <v>7822</v>
      </c>
    </row>
    <row r="1183" spans="1:4" x14ac:dyDescent="0.25">
      <c r="A1183" s="384" t="s">
        <v>7823</v>
      </c>
      <c r="B1183" s="384" t="s">
        <v>7824</v>
      </c>
      <c r="C1183" s="384" t="s">
        <v>75</v>
      </c>
      <c r="D1183" s="385" t="s">
        <v>4814</v>
      </c>
    </row>
    <row r="1184" spans="1:4" x14ac:dyDescent="0.25">
      <c r="A1184" s="384" t="s">
        <v>7825</v>
      </c>
      <c r="B1184" s="384" t="s">
        <v>7826</v>
      </c>
      <c r="C1184" s="384" t="s">
        <v>75</v>
      </c>
      <c r="D1184" s="385" t="s">
        <v>7827</v>
      </c>
    </row>
    <row r="1185" spans="1:4" x14ac:dyDescent="0.25">
      <c r="A1185" s="384" t="s">
        <v>7828</v>
      </c>
      <c r="B1185" s="384" t="s">
        <v>7829</v>
      </c>
      <c r="C1185" s="384" t="s">
        <v>75</v>
      </c>
      <c r="D1185" s="385" t="s">
        <v>7830</v>
      </c>
    </row>
    <row r="1186" spans="1:4" x14ac:dyDescent="0.25">
      <c r="A1186" s="384" t="s">
        <v>7831</v>
      </c>
      <c r="B1186" s="384" t="s">
        <v>7832</v>
      </c>
      <c r="C1186" s="384" t="s">
        <v>75</v>
      </c>
      <c r="D1186" s="385" t="s">
        <v>7833</v>
      </c>
    </row>
    <row r="1187" spans="1:4" x14ac:dyDescent="0.25">
      <c r="A1187" s="384" t="s">
        <v>7834</v>
      </c>
      <c r="B1187" s="384" t="s">
        <v>7835</v>
      </c>
      <c r="C1187" s="384" t="s">
        <v>75</v>
      </c>
      <c r="D1187" s="385" t="s">
        <v>7836</v>
      </c>
    </row>
    <row r="1188" spans="1:4" x14ac:dyDescent="0.25">
      <c r="A1188" s="384" t="s">
        <v>7837</v>
      </c>
      <c r="B1188" s="384" t="s">
        <v>7838</v>
      </c>
      <c r="C1188" s="384" t="s">
        <v>75</v>
      </c>
      <c r="D1188" s="385" t="s">
        <v>7839</v>
      </c>
    </row>
    <row r="1189" spans="1:4" x14ac:dyDescent="0.25">
      <c r="A1189" s="384" t="s">
        <v>7840</v>
      </c>
      <c r="B1189" s="384" t="s">
        <v>7841</v>
      </c>
      <c r="C1189" s="384" t="s">
        <v>75</v>
      </c>
      <c r="D1189" s="385" t="s">
        <v>7839</v>
      </c>
    </row>
    <row r="1190" spans="1:4" x14ac:dyDescent="0.25">
      <c r="A1190" s="384" t="s">
        <v>7842</v>
      </c>
      <c r="B1190" s="384" t="s">
        <v>7843</v>
      </c>
      <c r="C1190" s="384" t="s">
        <v>75</v>
      </c>
      <c r="D1190" s="385" t="s">
        <v>6595</v>
      </c>
    </row>
    <row r="1191" spans="1:4" x14ac:dyDescent="0.25">
      <c r="A1191" s="384" t="s">
        <v>7844</v>
      </c>
      <c r="B1191" s="384" t="s">
        <v>7845</v>
      </c>
      <c r="C1191" s="384" t="s">
        <v>75</v>
      </c>
      <c r="D1191" s="385" t="s">
        <v>7846</v>
      </c>
    </row>
    <row r="1192" spans="1:4" x14ac:dyDescent="0.25">
      <c r="A1192" s="384" t="s">
        <v>7847</v>
      </c>
      <c r="B1192" s="384" t="s">
        <v>7848</v>
      </c>
      <c r="C1192" s="384" t="s">
        <v>75</v>
      </c>
      <c r="D1192" s="385" t="s">
        <v>7849</v>
      </c>
    </row>
    <row r="1193" spans="1:4" x14ac:dyDescent="0.25">
      <c r="A1193" s="384" t="s">
        <v>7850</v>
      </c>
      <c r="B1193" s="384" t="s">
        <v>7851</v>
      </c>
      <c r="C1193" s="384" t="s">
        <v>75</v>
      </c>
      <c r="D1193" s="385" t="s">
        <v>7852</v>
      </c>
    </row>
    <row r="1194" spans="1:4" x14ac:dyDescent="0.25">
      <c r="A1194" s="384" t="s">
        <v>7853</v>
      </c>
      <c r="B1194" s="384" t="s">
        <v>7854</v>
      </c>
      <c r="C1194" s="384" t="s">
        <v>75</v>
      </c>
      <c r="D1194" s="385" t="s">
        <v>7855</v>
      </c>
    </row>
    <row r="1195" spans="1:4" x14ac:dyDescent="0.25">
      <c r="A1195" s="384" t="s">
        <v>7856</v>
      </c>
      <c r="B1195" s="384" t="s">
        <v>7857</v>
      </c>
      <c r="C1195" s="384" t="s">
        <v>75</v>
      </c>
      <c r="D1195" s="385" t="s">
        <v>7855</v>
      </c>
    </row>
    <row r="1196" spans="1:4" x14ac:dyDescent="0.25">
      <c r="A1196" s="384" t="s">
        <v>7858</v>
      </c>
      <c r="B1196" s="384" t="s">
        <v>7859</v>
      </c>
      <c r="C1196" s="384" t="s">
        <v>75</v>
      </c>
      <c r="D1196" s="385" t="s">
        <v>7860</v>
      </c>
    </row>
    <row r="1197" spans="1:4" x14ac:dyDescent="0.25">
      <c r="A1197" s="384" t="s">
        <v>7861</v>
      </c>
      <c r="B1197" s="384" t="s">
        <v>7862</v>
      </c>
      <c r="C1197" s="384" t="s">
        <v>75</v>
      </c>
      <c r="D1197" s="385" t="s">
        <v>7863</v>
      </c>
    </row>
    <row r="1198" spans="1:4" x14ac:dyDescent="0.25">
      <c r="A1198" s="384" t="s">
        <v>7864</v>
      </c>
      <c r="B1198" s="384" t="s">
        <v>7865</v>
      </c>
      <c r="C1198" s="384" t="s">
        <v>75</v>
      </c>
      <c r="D1198" s="385" t="s">
        <v>7866</v>
      </c>
    </row>
    <row r="1199" spans="1:4" x14ac:dyDescent="0.25">
      <c r="A1199" s="384" t="s">
        <v>7867</v>
      </c>
      <c r="B1199" s="384" t="s">
        <v>7868</v>
      </c>
      <c r="C1199" s="384" t="s">
        <v>75</v>
      </c>
      <c r="D1199" s="385" t="s">
        <v>7566</v>
      </c>
    </row>
    <row r="1200" spans="1:4" x14ac:dyDescent="0.25">
      <c r="A1200" s="384" t="s">
        <v>7869</v>
      </c>
      <c r="B1200" s="384" t="s">
        <v>7870</v>
      </c>
      <c r="C1200" s="384" t="s">
        <v>75</v>
      </c>
      <c r="D1200" s="385" t="s">
        <v>7388</v>
      </c>
    </row>
    <row r="1201" spans="1:4" x14ac:dyDescent="0.25">
      <c r="A1201" s="384" t="s">
        <v>7871</v>
      </c>
      <c r="B1201" s="384" t="s">
        <v>7872</v>
      </c>
      <c r="C1201" s="384" t="s">
        <v>75</v>
      </c>
      <c r="D1201" s="385" t="s">
        <v>7873</v>
      </c>
    </row>
    <row r="1202" spans="1:4" x14ac:dyDescent="0.25">
      <c r="A1202" s="384" t="s">
        <v>7874</v>
      </c>
      <c r="B1202" s="384" t="s">
        <v>7875</v>
      </c>
      <c r="C1202" s="384" t="s">
        <v>75</v>
      </c>
      <c r="D1202" s="385" t="s">
        <v>7407</v>
      </c>
    </row>
    <row r="1203" spans="1:4" x14ac:dyDescent="0.25">
      <c r="A1203" s="384" t="s">
        <v>7876</v>
      </c>
      <c r="B1203" s="384" t="s">
        <v>7877</v>
      </c>
      <c r="C1203" s="384" t="s">
        <v>75</v>
      </c>
      <c r="D1203" s="385" t="s">
        <v>7292</v>
      </c>
    </row>
    <row r="1204" spans="1:4" x14ac:dyDescent="0.25">
      <c r="A1204" s="384" t="s">
        <v>7878</v>
      </c>
      <c r="B1204" s="384" t="s">
        <v>7879</v>
      </c>
      <c r="C1204" s="384" t="s">
        <v>75</v>
      </c>
      <c r="D1204" s="385" t="s">
        <v>7576</v>
      </c>
    </row>
    <row r="1205" spans="1:4" x14ac:dyDescent="0.25">
      <c r="A1205" s="384" t="s">
        <v>7880</v>
      </c>
      <c r="B1205" s="384" t="s">
        <v>7881</v>
      </c>
      <c r="C1205" s="384" t="s">
        <v>75</v>
      </c>
      <c r="D1205" s="385" t="s">
        <v>7882</v>
      </c>
    </row>
    <row r="1206" spans="1:4" x14ac:dyDescent="0.25">
      <c r="A1206" s="384" t="s">
        <v>7883</v>
      </c>
      <c r="B1206" s="384" t="s">
        <v>7884</v>
      </c>
      <c r="C1206" s="384" t="s">
        <v>75</v>
      </c>
      <c r="D1206" s="385" t="s">
        <v>5823</v>
      </c>
    </row>
    <row r="1207" spans="1:4" x14ac:dyDescent="0.25">
      <c r="A1207" s="384" t="s">
        <v>7885</v>
      </c>
      <c r="B1207" s="384" t="s">
        <v>7886</v>
      </c>
      <c r="C1207" s="384" t="s">
        <v>75</v>
      </c>
      <c r="D1207" s="385" t="s">
        <v>7855</v>
      </c>
    </row>
    <row r="1208" spans="1:4" x14ac:dyDescent="0.25">
      <c r="A1208" s="384" t="s">
        <v>7887</v>
      </c>
      <c r="B1208" s="384" t="s">
        <v>7888</v>
      </c>
      <c r="C1208" s="384" t="s">
        <v>75</v>
      </c>
      <c r="D1208" s="385" t="s">
        <v>6225</v>
      </c>
    </row>
    <row r="1209" spans="1:4" x14ac:dyDescent="0.25">
      <c r="A1209" s="384" t="s">
        <v>7889</v>
      </c>
      <c r="B1209" s="384" t="s">
        <v>7890</v>
      </c>
      <c r="C1209" s="384" t="s">
        <v>75</v>
      </c>
      <c r="D1209" s="385" t="s">
        <v>7891</v>
      </c>
    </row>
    <row r="1210" spans="1:4" x14ac:dyDescent="0.25">
      <c r="A1210" s="384" t="s">
        <v>7892</v>
      </c>
      <c r="B1210" s="384" t="s">
        <v>7893</v>
      </c>
      <c r="C1210" s="384" t="s">
        <v>75</v>
      </c>
      <c r="D1210" s="385" t="s">
        <v>7894</v>
      </c>
    </row>
    <row r="1211" spans="1:4" x14ac:dyDescent="0.25">
      <c r="A1211" s="384" t="s">
        <v>7895</v>
      </c>
      <c r="B1211" s="384" t="s">
        <v>7896</v>
      </c>
      <c r="C1211" s="384" t="s">
        <v>75</v>
      </c>
      <c r="D1211" s="385" t="s">
        <v>7827</v>
      </c>
    </row>
    <row r="1212" spans="1:4" x14ac:dyDescent="0.25">
      <c r="A1212" s="384" t="s">
        <v>7897</v>
      </c>
      <c r="B1212" s="384" t="s">
        <v>7898</v>
      </c>
      <c r="C1212" s="384" t="s">
        <v>75</v>
      </c>
      <c r="D1212" s="385" t="s">
        <v>7833</v>
      </c>
    </row>
    <row r="1213" spans="1:4" x14ac:dyDescent="0.25">
      <c r="A1213" s="384" t="s">
        <v>7899</v>
      </c>
      <c r="B1213" s="384" t="s">
        <v>7900</v>
      </c>
      <c r="C1213" s="384" t="s">
        <v>75</v>
      </c>
      <c r="D1213" s="385" t="s">
        <v>7901</v>
      </c>
    </row>
    <row r="1214" spans="1:4" x14ac:dyDescent="0.25">
      <c r="A1214" s="384" t="s">
        <v>7902</v>
      </c>
      <c r="B1214" s="384" t="s">
        <v>7903</v>
      </c>
      <c r="C1214" s="384" t="s">
        <v>75</v>
      </c>
      <c r="D1214" s="385" t="s">
        <v>7904</v>
      </c>
    </row>
    <row r="1215" spans="1:4" x14ac:dyDescent="0.25">
      <c r="A1215" s="384" t="s">
        <v>7905</v>
      </c>
      <c r="B1215" s="384" t="s">
        <v>7906</v>
      </c>
      <c r="C1215" s="384" t="s">
        <v>75</v>
      </c>
      <c r="D1215" s="385" t="s">
        <v>7907</v>
      </c>
    </row>
    <row r="1216" spans="1:4" x14ac:dyDescent="0.25">
      <c r="A1216" s="384" t="s">
        <v>7908</v>
      </c>
      <c r="B1216" s="384" t="s">
        <v>7909</v>
      </c>
      <c r="C1216" s="384" t="s">
        <v>75</v>
      </c>
      <c r="D1216" s="385" t="s">
        <v>7910</v>
      </c>
    </row>
    <row r="1217" spans="1:4" x14ac:dyDescent="0.25">
      <c r="A1217" s="384" t="s">
        <v>7911</v>
      </c>
      <c r="B1217" s="384" t="s">
        <v>7912</v>
      </c>
      <c r="C1217" s="384" t="s">
        <v>75</v>
      </c>
      <c r="D1217" s="385" t="s">
        <v>7913</v>
      </c>
    </row>
    <row r="1218" spans="1:4" x14ac:dyDescent="0.25">
      <c r="A1218" s="384" t="s">
        <v>7914</v>
      </c>
      <c r="B1218" s="384" t="s">
        <v>7915</v>
      </c>
      <c r="C1218" s="384" t="s">
        <v>83</v>
      </c>
      <c r="D1218" s="385" t="s">
        <v>7916</v>
      </c>
    </row>
    <row r="1219" spans="1:4" x14ac:dyDescent="0.25">
      <c r="A1219" s="384" t="s">
        <v>7917</v>
      </c>
      <c r="B1219" s="384" t="s">
        <v>7918</v>
      </c>
      <c r="C1219" s="384" t="s">
        <v>83</v>
      </c>
      <c r="D1219" s="385" t="s">
        <v>7919</v>
      </c>
    </row>
    <row r="1220" spans="1:4" x14ac:dyDescent="0.25">
      <c r="A1220" s="384" t="s">
        <v>7920</v>
      </c>
      <c r="B1220" s="384" t="s">
        <v>7921</v>
      </c>
      <c r="C1220" s="384" t="s">
        <v>83</v>
      </c>
      <c r="D1220" s="385" t="s">
        <v>7922</v>
      </c>
    </row>
    <row r="1221" spans="1:4" x14ac:dyDescent="0.25">
      <c r="A1221" s="384" t="s">
        <v>7923</v>
      </c>
      <c r="B1221" s="384" t="s">
        <v>7924</v>
      </c>
      <c r="C1221" s="384" t="s">
        <v>83</v>
      </c>
      <c r="D1221" s="385" t="s">
        <v>7925</v>
      </c>
    </row>
    <row r="1222" spans="1:4" x14ac:dyDescent="0.25">
      <c r="A1222" s="384" t="s">
        <v>7926</v>
      </c>
      <c r="B1222" s="384" t="s">
        <v>7927</v>
      </c>
      <c r="C1222" s="384" t="s">
        <v>2884</v>
      </c>
      <c r="D1222" s="385" t="s">
        <v>7928</v>
      </c>
    </row>
    <row r="1223" spans="1:4" x14ac:dyDescent="0.25">
      <c r="A1223" s="384" t="s">
        <v>7929</v>
      </c>
      <c r="B1223" s="384" t="s">
        <v>7930</v>
      </c>
      <c r="C1223" s="384" t="s">
        <v>2884</v>
      </c>
      <c r="D1223" s="385" t="s">
        <v>7931</v>
      </c>
    </row>
    <row r="1224" spans="1:4" x14ac:dyDescent="0.25">
      <c r="A1224" s="384" t="s">
        <v>7932</v>
      </c>
      <c r="B1224" s="384" t="s">
        <v>7933</v>
      </c>
      <c r="C1224" s="384" t="s">
        <v>2884</v>
      </c>
      <c r="D1224" s="385" t="s">
        <v>7934</v>
      </c>
    </row>
    <row r="1225" spans="1:4" x14ac:dyDescent="0.25">
      <c r="A1225" s="384" t="s">
        <v>7935</v>
      </c>
      <c r="B1225" s="384" t="s">
        <v>7936</v>
      </c>
      <c r="C1225" s="384" t="s">
        <v>2884</v>
      </c>
      <c r="D1225" s="385" t="s">
        <v>7937</v>
      </c>
    </row>
    <row r="1226" spans="1:4" x14ac:dyDescent="0.25">
      <c r="A1226" s="384" t="s">
        <v>7938</v>
      </c>
      <c r="B1226" s="384" t="s">
        <v>7939</v>
      </c>
      <c r="C1226" s="384" t="s">
        <v>2884</v>
      </c>
      <c r="D1226" s="385" t="s">
        <v>7940</v>
      </c>
    </row>
    <row r="1227" spans="1:4" x14ac:dyDescent="0.25">
      <c r="A1227" s="384" t="s">
        <v>7941</v>
      </c>
      <c r="B1227" s="384" t="s">
        <v>7942</v>
      </c>
      <c r="C1227" s="384" t="s">
        <v>2884</v>
      </c>
      <c r="D1227" s="385" t="s">
        <v>7943</v>
      </c>
    </row>
    <row r="1228" spans="1:4" x14ac:dyDescent="0.25">
      <c r="A1228" s="384" t="s">
        <v>7944</v>
      </c>
      <c r="B1228" s="384" t="s">
        <v>7945</v>
      </c>
      <c r="C1228" s="384" t="s">
        <v>83</v>
      </c>
      <c r="D1228" s="385" t="s">
        <v>7946</v>
      </c>
    </row>
    <row r="1229" spans="1:4" x14ac:dyDescent="0.25">
      <c r="A1229" s="384" t="s">
        <v>7947</v>
      </c>
      <c r="B1229" s="384" t="s">
        <v>7948</v>
      </c>
      <c r="C1229" s="384" t="s">
        <v>83</v>
      </c>
      <c r="D1229" s="385" t="s">
        <v>7949</v>
      </c>
    </row>
    <row r="1230" spans="1:4" x14ac:dyDescent="0.25">
      <c r="A1230" s="384" t="s">
        <v>7950</v>
      </c>
      <c r="B1230" s="384" t="s">
        <v>7951</v>
      </c>
      <c r="C1230" s="384" t="s">
        <v>83</v>
      </c>
      <c r="D1230" s="385" t="s">
        <v>7952</v>
      </c>
    </row>
    <row r="1231" spans="1:4" x14ac:dyDescent="0.25">
      <c r="A1231" s="384" t="s">
        <v>7953</v>
      </c>
      <c r="B1231" s="384" t="s">
        <v>7954</v>
      </c>
      <c r="C1231" s="384" t="s">
        <v>83</v>
      </c>
      <c r="D1231" s="385" t="s">
        <v>7955</v>
      </c>
    </row>
    <row r="1232" spans="1:4" x14ac:dyDescent="0.25">
      <c r="A1232" s="384" t="s">
        <v>7956</v>
      </c>
      <c r="B1232" s="384" t="s">
        <v>7957</v>
      </c>
      <c r="C1232" s="384" t="s">
        <v>83</v>
      </c>
      <c r="D1232" s="385" t="s">
        <v>7958</v>
      </c>
    </row>
    <row r="1233" spans="1:4" x14ac:dyDescent="0.25">
      <c r="A1233" s="384" t="s">
        <v>7959</v>
      </c>
      <c r="B1233" s="384" t="s">
        <v>7960</v>
      </c>
      <c r="C1233" s="384" t="s">
        <v>83</v>
      </c>
      <c r="D1233" s="385" t="s">
        <v>7961</v>
      </c>
    </row>
    <row r="1234" spans="1:4" x14ac:dyDescent="0.25">
      <c r="A1234" s="384" t="s">
        <v>7962</v>
      </c>
      <c r="B1234" s="384" t="s">
        <v>7963</v>
      </c>
      <c r="C1234" s="384" t="s">
        <v>83</v>
      </c>
      <c r="D1234" s="385" t="s">
        <v>7964</v>
      </c>
    </row>
    <row r="1235" spans="1:4" x14ac:dyDescent="0.25">
      <c r="A1235" s="384" t="s">
        <v>7965</v>
      </c>
      <c r="B1235" s="384" t="s">
        <v>7966</v>
      </c>
      <c r="C1235" s="384" t="s">
        <v>83</v>
      </c>
      <c r="D1235" s="385" t="s">
        <v>7967</v>
      </c>
    </row>
    <row r="1236" spans="1:4" x14ac:dyDescent="0.25">
      <c r="A1236" s="384" t="s">
        <v>7968</v>
      </c>
      <c r="B1236" s="384" t="s">
        <v>7969</v>
      </c>
      <c r="C1236" s="384" t="s">
        <v>83</v>
      </c>
      <c r="D1236" s="385" t="s">
        <v>7970</v>
      </c>
    </row>
    <row r="1237" spans="1:4" x14ac:dyDescent="0.25">
      <c r="A1237" s="384" t="s">
        <v>7971</v>
      </c>
      <c r="B1237" s="384" t="s">
        <v>7972</v>
      </c>
      <c r="C1237" s="384" t="s">
        <v>83</v>
      </c>
      <c r="D1237" s="385" t="s">
        <v>7973</v>
      </c>
    </row>
    <row r="1238" spans="1:4" x14ac:dyDescent="0.25">
      <c r="A1238" s="384" t="s">
        <v>7974</v>
      </c>
      <c r="B1238" s="384" t="s">
        <v>7975</v>
      </c>
      <c r="C1238" s="384" t="s">
        <v>83</v>
      </c>
      <c r="D1238" s="385" t="s">
        <v>7976</v>
      </c>
    </row>
    <row r="1239" spans="1:4" x14ac:dyDescent="0.25">
      <c r="A1239" s="384" t="s">
        <v>7977</v>
      </c>
      <c r="B1239" s="384" t="s">
        <v>7978</v>
      </c>
      <c r="C1239" s="384" t="s">
        <v>83</v>
      </c>
      <c r="D1239" s="385" t="s">
        <v>7979</v>
      </c>
    </row>
    <row r="1240" spans="1:4" x14ac:dyDescent="0.25">
      <c r="A1240" s="384" t="s">
        <v>7980</v>
      </c>
      <c r="B1240" s="384" t="s">
        <v>7981</v>
      </c>
      <c r="C1240" s="384" t="s">
        <v>83</v>
      </c>
      <c r="D1240" s="385" t="s">
        <v>7982</v>
      </c>
    </row>
    <row r="1241" spans="1:4" x14ac:dyDescent="0.25">
      <c r="A1241" s="384" t="s">
        <v>7983</v>
      </c>
      <c r="B1241" s="384" t="s">
        <v>7984</v>
      </c>
      <c r="C1241" s="384" t="s">
        <v>83</v>
      </c>
      <c r="D1241" s="385" t="s">
        <v>7985</v>
      </c>
    </row>
    <row r="1242" spans="1:4" x14ac:dyDescent="0.25">
      <c r="A1242" s="384" t="s">
        <v>7986</v>
      </c>
      <c r="B1242" s="384" t="s">
        <v>7987</v>
      </c>
      <c r="C1242" s="384" t="s">
        <v>83</v>
      </c>
      <c r="D1242" s="385" t="s">
        <v>7988</v>
      </c>
    </row>
    <row r="1243" spans="1:4" x14ac:dyDescent="0.25">
      <c r="A1243" s="384" t="s">
        <v>7989</v>
      </c>
      <c r="B1243" s="384" t="s">
        <v>7990</v>
      </c>
      <c r="C1243" s="384" t="s">
        <v>83</v>
      </c>
      <c r="D1243" s="385" t="s">
        <v>7991</v>
      </c>
    </row>
    <row r="1244" spans="1:4" x14ac:dyDescent="0.25">
      <c r="A1244" s="384" t="s">
        <v>7992</v>
      </c>
      <c r="B1244" s="384" t="s">
        <v>7993</v>
      </c>
      <c r="C1244" s="384" t="s">
        <v>83</v>
      </c>
      <c r="D1244" s="385" t="s">
        <v>7994</v>
      </c>
    </row>
    <row r="1245" spans="1:4" x14ac:dyDescent="0.25">
      <c r="A1245" s="384" t="s">
        <v>7995</v>
      </c>
      <c r="B1245" s="384" t="s">
        <v>7996</v>
      </c>
      <c r="C1245" s="384" t="s">
        <v>83</v>
      </c>
      <c r="D1245" s="385" t="s">
        <v>7997</v>
      </c>
    </row>
    <row r="1246" spans="1:4" x14ac:dyDescent="0.25">
      <c r="A1246" s="384" t="s">
        <v>7998</v>
      </c>
      <c r="B1246" s="384" t="s">
        <v>7999</v>
      </c>
      <c r="C1246" s="384" t="s">
        <v>83</v>
      </c>
      <c r="D1246" s="385" t="s">
        <v>8000</v>
      </c>
    </row>
    <row r="1247" spans="1:4" x14ac:dyDescent="0.25">
      <c r="A1247" s="384" t="s">
        <v>8001</v>
      </c>
      <c r="B1247" s="384" t="s">
        <v>8002</v>
      </c>
      <c r="C1247" s="384" t="s">
        <v>83</v>
      </c>
      <c r="D1247" s="385" t="s">
        <v>8003</v>
      </c>
    </row>
    <row r="1248" spans="1:4" x14ac:dyDescent="0.25">
      <c r="A1248" s="384" t="s">
        <v>8004</v>
      </c>
      <c r="B1248" s="384" t="s">
        <v>8005</v>
      </c>
      <c r="C1248" s="384" t="s">
        <v>2884</v>
      </c>
      <c r="D1248" s="385" t="s">
        <v>8006</v>
      </c>
    </row>
    <row r="1249" spans="1:4" x14ac:dyDescent="0.25">
      <c r="A1249" s="384" t="s">
        <v>8007</v>
      </c>
      <c r="B1249" s="384" t="s">
        <v>8008</v>
      </c>
      <c r="C1249" s="384" t="s">
        <v>2884</v>
      </c>
      <c r="D1249" s="385" t="s">
        <v>8009</v>
      </c>
    </row>
    <row r="1250" spans="1:4" x14ac:dyDescent="0.25">
      <c r="A1250" s="384" t="s">
        <v>8010</v>
      </c>
      <c r="B1250" s="384" t="s">
        <v>8011</v>
      </c>
      <c r="C1250" s="384" t="s">
        <v>2884</v>
      </c>
      <c r="D1250" s="385" t="s">
        <v>8012</v>
      </c>
    </row>
    <row r="1251" spans="1:4" x14ac:dyDescent="0.25">
      <c r="A1251" s="384" t="s">
        <v>8013</v>
      </c>
      <c r="B1251" s="384" t="s">
        <v>8014</v>
      </c>
      <c r="C1251" s="384" t="s">
        <v>2884</v>
      </c>
      <c r="D1251" s="385" t="s">
        <v>8006</v>
      </c>
    </row>
    <row r="1252" spans="1:4" x14ac:dyDescent="0.25">
      <c r="A1252" s="384" t="s">
        <v>8015</v>
      </c>
      <c r="B1252" s="384" t="s">
        <v>8016</v>
      </c>
      <c r="C1252" s="384" t="s">
        <v>2884</v>
      </c>
      <c r="D1252" s="385" t="s">
        <v>8017</v>
      </c>
    </row>
    <row r="1253" spans="1:4" x14ac:dyDescent="0.25">
      <c r="A1253" s="384" t="s">
        <v>8018</v>
      </c>
      <c r="B1253" s="384" t="s">
        <v>8019</v>
      </c>
      <c r="C1253" s="384" t="s">
        <v>2884</v>
      </c>
      <c r="D1253" s="385" t="s">
        <v>8020</v>
      </c>
    </row>
    <row r="1254" spans="1:4" x14ac:dyDescent="0.25">
      <c r="A1254" s="384" t="s">
        <v>8021</v>
      </c>
      <c r="B1254" s="384" t="s">
        <v>8022</v>
      </c>
      <c r="C1254" s="384" t="s">
        <v>2884</v>
      </c>
      <c r="D1254" s="385" t="s">
        <v>8023</v>
      </c>
    </row>
    <row r="1255" spans="1:4" x14ac:dyDescent="0.25">
      <c r="A1255" s="384" t="s">
        <v>8024</v>
      </c>
      <c r="B1255" s="384" t="s">
        <v>8025</v>
      </c>
      <c r="C1255" s="384" t="s">
        <v>2884</v>
      </c>
      <c r="D1255" s="385" t="s">
        <v>8026</v>
      </c>
    </row>
    <row r="1256" spans="1:4" x14ac:dyDescent="0.25">
      <c r="A1256" s="384" t="s">
        <v>8027</v>
      </c>
      <c r="B1256" s="384" t="s">
        <v>8028</v>
      </c>
      <c r="C1256" s="384" t="s">
        <v>2884</v>
      </c>
      <c r="D1256" s="385" t="s">
        <v>8012</v>
      </c>
    </row>
    <row r="1257" spans="1:4" x14ac:dyDescent="0.25">
      <c r="A1257" s="384" t="s">
        <v>8029</v>
      </c>
      <c r="B1257" s="384" t="s">
        <v>8030</v>
      </c>
      <c r="C1257" s="384" t="s">
        <v>2884</v>
      </c>
      <c r="D1257" s="385" t="s">
        <v>8031</v>
      </c>
    </row>
    <row r="1258" spans="1:4" x14ac:dyDescent="0.25">
      <c r="A1258" s="384" t="s">
        <v>8032</v>
      </c>
      <c r="B1258" s="384" t="s">
        <v>8033</v>
      </c>
      <c r="C1258" s="384" t="s">
        <v>2884</v>
      </c>
      <c r="D1258" s="385" t="s">
        <v>8034</v>
      </c>
    </row>
    <row r="1259" spans="1:4" x14ac:dyDescent="0.25">
      <c r="A1259" s="384" t="s">
        <v>8035</v>
      </c>
      <c r="B1259" s="384" t="s">
        <v>8036</v>
      </c>
      <c r="C1259" s="384" t="s">
        <v>2884</v>
      </c>
      <c r="D1259" s="385" t="s">
        <v>8037</v>
      </c>
    </row>
    <row r="1260" spans="1:4" x14ac:dyDescent="0.25">
      <c r="A1260" s="384" t="s">
        <v>8038</v>
      </c>
      <c r="B1260" s="384" t="s">
        <v>8039</v>
      </c>
      <c r="C1260" s="384" t="s">
        <v>2884</v>
      </c>
      <c r="D1260" s="385" t="s">
        <v>8040</v>
      </c>
    </row>
    <row r="1261" spans="1:4" x14ac:dyDescent="0.25">
      <c r="A1261" s="384" t="s">
        <v>8041</v>
      </c>
      <c r="B1261" s="384" t="s">
        <v>8042</v>
      </c>
      <c r="C1261" s="384" t="s">
        <v>2884</v>
      </c>
      <c r="D1261" s="385" t="s">
        <v>8043</v>
      </c>
    </row>
    <row r="1262" spans="1:4" x14ac:dyDescent="0.25">
      <c r="A1262" s="384" t="s">
        <v>8044</v>
      </c>
      <c r="B1262" s="384" t="s">
        <v>8045</v>
      </c>
      <c r="C1262" s="384" t="s">
        <v>2884</v>
      </c>
      <c r="D1262" s="385" t="s">
        <v>8046</v>
      </c>
    </row>
    <row r="1263" spans="1:4" x14ac:dyDescent="0.25">
      <c r="A1263" s="384" t="s">
        <v>8047</v>
      </c>
      <c r="B1263" s="384" t="s">
        <v>8048</v>
      </c>
      <c r="C1263" s="384" t="s">
        <v>2884</v>
      </c>
      <c r="D1263" s="385" t="s">
        <v>8049</v>
      </c>
    </row>
    <row r="1264" spans="1:4" x14ac:dyDescent="0.25">
      <c r="A1264" s="384" t="s">
        <v>8050</v>
      </c>
      <c r="B1264" s="384" t="s">
        <v>8051</v>
      </c>
      <c r="C1264" s="384" t="s">
        <v>2884</v>
      </c>
      <c r="D1264" s="385" t="s">
        <v>8052</v>
      </c>
    </row>
    <row r="1265" spans="1:4" x14ac:dyDescent="0.25">
      <c r="A1265" s="384" t="s">
        <v>8053</v>
      </c>
      <c r="B1265" s="384" t="s">
        <v>8054</v>
      </c>
      <c r="C1265" s="384" t="s">
        <v>2884</v>
      </c>
      <c r="D1265" s="385" t="s">
        <v>8055</v>
      </c>
    </row>
    <row r="1266" spans="1:4" x14ac:dyDescent="0.25">
      <c r="A1266" s="384" t="s">
        <v>8056</v>
      </c>
      <c r="B1266" s="384" t="s">
        <v>8057</v>
      </c>
      <c r="C1266" s="384" t="s">
        <v>2884</v>
      </c>
      <c r="D1266" s="385" t="s">
        <v>8058</v>
      </c>
    </row>
    <row r="1267" spans="1:4" x14ac:dyDescent="0.25">
      <c r="A1267" s="384" t="s">
        <v>8059</v>
      </c>
      <c r="B1267" s="384" t="s">
        <v>8060</v>
      </c>
      <c r="C1267" s="384" t="s">
        <v>2884</v>
      </c>
      <c r="D1267" s="385" t="s">
        <v>8061</v>
      </c>
    </row>
    <row r="1268" spans="1:4" x14ac:dyDescent="0.25">
      <c r="A1268" s="384" t="s">
        <v>8062</v>
      </c>
      <c r="B1268" s="384" t="s">
        <v>8063</v>
      </c>
      <c r="C1268" s="384" t="s">
        <v>2884</v>
      </c>
      <c r="D1268" s="385" t="s">
        <v>8064</v>
      </c>
    </row>
    <row r="1269" spans="1:4" x14ac:dyDescent="0.25">
      <c r="A1269" s="384" t="s">
        <v>8065</v>
      </c>
      <c r="B1269" s="384" t="s">
        <v>8066</v>
      </c>
      <c r="C1269" s="384" t="s">
        <v>2884</v>
      </c>
      <c r="D1269" s="385" t="s">
        <v>8067</v>
      </c>
    </row>
    <row r="1270" spans="1:4" x14ac:dyDescent="0.25">
      <c r="A1270" s="384" t="s">
        <v>8068</v>
      </c>
      <c r="B1270" s="384" t="s">
        <v>8069</v>
      </c>
      <c r="C1270" s="384" t="s">
        <v>2884</v>
      </c>
      <c r="D1270" s="385" t="s">
        <v>8070</v>
      </c>
    </row>
    <row r="1271" spans="1:4" x14ac:dyDescent="0.25">
      <c r="A1271" s="384" t="s">
        <v>8071</v>
      </c>
      <c r="B1271" s="384" t="s">
        <v>8072</v>
      </c>
      <c r="C1271" s="384" t="s">
        <v>2884</v>
      </c>
      <c r="D1271" s="385" t="s">
        <v>8073</v>
      </c>
    </row>
    <row r="1272" spans="1:4" x14ac:dyDescent="0.25">
      <c r="A1272" s="384" t="s">
        <v>8074</v>
      </c>
      <c r="B1272" s="384" t="s">
        <v>8075</v>
      </c>
      <c r="C1272" s="384" t="s">
        <v>2884</v>
      </c>
      <c r="D1272" s="385" t="s">
        <v>8076</v>
      </c>
    </row>
    <row r="1273" spans="1:4" x14ac:dyDescent="0.25">
      <c r="A1273" s="384" t="s">
        <v>8077</v>
      </c>
      <c r="B1273" s="384" t="s">
        <v>8078</v>
      </c>
      <c r="C1273" s="384" t="s">
        <v>82</v>
      </c>
      <c r="D1273" s="385" t="s">
        <v>8079</v>
      </c>
    </row>
    <row r="1274" spans="1:4" x14ac:dyDescent="0.25">
      <c r="A1274" s="384" t="s">
        <v>8080</v>
      </c>
      <c r="B1274" s="384" t="s">
        <v>8081</v>
      </c>
      <c r="C1274" s="384" t="s">
        <v>2884</v>
      </c>
      <c r="D1274" s="385" t="s">
        <v>8082</v>
      </c>
    </row>
    <row r="1275" spans="1:4" x14ac:dyDescent="0.25">
      <c r="A1275" s="384" t="s">
        <v>8083</v>
      </c>
      <c r="B1275" s="384" t="s">
        <v>8084</v>
      </c>
      <c r="C1275" s="384" t="s">
        <v>83</v>
      </c>
      <c r="D1275" s="385" t="s">
        <v>8085</v>
      </c>
    </row>
    <row r="1276" spans="1:4" x14ac:dyDescent="0.25">
      <c r="A1276" s="384" t="s">
        <v>8086</v>
      </c>
      <c r="B1276" s="384" t="s">
        <v>8087</v>
      </c>
      <c r="C1276" s="384" t="s">
        <v>2884</v>
      </c>
      <c r="D1276" s="385" t="s">
        <v>8067</v>
      </c>
    </row>
    <row r="1277" spans="1:4" x14ac:dyDescent="0.25">
      <c r="A1277" s="384" t="s">
        <v>8088</v>
      </c>
      <c r="B1277" s="384" t="s">
        <v>8089</v>
      </c>
      <c r="C1277" s="384" t="s">
        <v>2884</v>
      </c>
      <c r="D1277" s="385" t="s">
        <v>8070</v>
      </c>
    </row>
    <row r="1278" spans="1:4" x14ac:dyDescent="0.25">
      <c r="A1278" s="384" t="s">
        <v>8090</v>
      </c>
      <c r="B1278" s="384" t="s">
        <v>8091</v>
      </c>
      <c r="C1278" s="384" t="s">
        <v>2884</v>
      </c>
      <c r="D1278" s="385" t="s">
        <v>8067</v>
      </c>
    </row>
    <row r="1279" spans="1:4" x14ac:dyDescent="0.25">
      <c r="A1279" s="384" t="s">
        <v>8092</v>
      </c>
      <c r="B1279" s="384" t="s">
        <v>8093</v>
      </c>
      <c r="C1279" s="384" t="s">
        <v>2884</v>
      </c>
      <c r="D1279" s="385" t="s">
        <v>8070</v>
      </c>
    </row>
    <row r="1280" spans="1:4" x14ac:dyDescent="0.25">
      <c r="A1280" s="384" t="s">
        <v>8094</v>
      </c>
      <c r="B1280" s="384" t="s">
        <v>8095</v>
      </c>
      <c r="C1280" s="384" t="s">
        <v>2884</v>
      </c>
      <c r="D1280" s="385" t="s">
        <v>8073</v>
      </c>
    </row>
    <row r="1281" spans="1:4" x14ac:dyDescent="0.25">
      <c r="A1281" s="384" t="s">
        <v>8096</v>
      </c>
      <c r="B1281" s="384" t="s">
        <v>8097</v>
      </c>
      <c r="C1281" s="384" t="s">
        <v>2884</v>
      </c>
      <c r="D1281" s="385" t="s">
        <v>8076</v>
      </c>
    </row>
    <row r="1282" spans="1:4" x14ac:dyDescent="0.25">
      <c r="A1282" s="384" t="s">
        <v>8098</v>
      </c>
      <c r="B1282" s="384" t="s">
        <v>8099</v>
      </c>
      <c r="C1282" s="384" t="s">
        <v>2884</v>
      </c>
      <c r="D1282" s="385" t="s">
        <v>8073</v>
      </c>
    </row>
    <row r="1283" spans="1:4" x14ac:dyDescent="0.25">
      <c r="A1283" s="384" t="s">
        <v>8100</v>
      </c>
      <c r="B1283" s="384" t="s">
        <v>8101</v>
      </c>
      <c r="C1283" s="384" t="s">
        <v>2884</v>
      </c>
      <c r="D1283" s="385" t="s">
        <v>8076</v>
      </c>
    </row>
    <row r="1284" spans="1:4" x14ac:dyDescent="0.25">
      <c r="A1284" s="384" t="s">
        <v>8102</v>
      </c>
      <c r="B1284" s="384" t="s">
        <v>8103</v>
      </c>
      <c r="C1284" s="384" t="s">
        <v>2884</v>
      </c>
      <c r="D1284" s="385" t="s">
        <v>8104</v>
      </c>
    </row>
    <row r="1285" spans="1:4" x14ac:dyDescent="0.25">
      <c r="A1285" s="384" t="s">
        <v>8105</v>
      </c>
      <c r="B1285" s="384" t="s">
        <v>8106</v>
      </c>
      <c r="C1285" s="384" t="s">
        <v>2884</v>
      </c>
      <c r="D1285" s="385" t="s">
        <v>8107</v>
      </c>
    </row>
    <row r="1286" spans="1:4" x14ac:dyDescent="0.25">
      <c r="A1286" s="384" t="s">
        <v>8108</v>
      </c>
      <c r="B1286" s="384" t="s">
        <v>8109</v>
      </c>
      <c r="C1286" s="384" t="s">
        <v>2884</v>
      </c>
      <c r="D1286" s="385" t="s">
        <v>8110</v>
      </c>
    </row>
    <row r="1287" spans="1:4" x14ac:dyDescent="0.25">
      <c r="A1287" s="384" t="s">
        <v>8111</v>
      </c>
      <c r="B1287" s="384" t="s">
        <v>8112</v>
      </c>
      <c r="C1287" s="384" t="s">
        <v>2884</v>
      </c>
      <c r="D1287" s="385" t="s">
        <v>8113</v>
      </c>
    </row>
    <row r="1288" spans="1:4" x14ac:dyDescent="0.25">
      <c r="A1288" s="384" t="s">
        <v>8114</v>
      </c>
      <c r="B1288" s="384" t="s">
        <v>8115</v>
      </c>
      <c r="C1288" s="384" t="s">
        <v>2884</v>
      </c>
      <c r="D1288" s="385" t="s">
        <v>8116</v>
      </c>
    </row>
    <row r="1289" spans="1:4" x14ac:dyDescent="0.25">
      <c r="A1289" s="384" t="s">
        <v>8117</v>
      </c>
      <c r="B1289" s="384" t="s">
        <v>8118</v>
      </c>
      <c r="C1289" s="384" t="s">
        <v>82</v>
      </c>
      <c r="D1289" s="385" t="s">
        <v>8119</v>
      </c>
    </row>
    <row r="1290" spans="1:4" x14ac:dyDescent="0.25">
      <c r="A1290" s="384" t="s">
        <v>8120</v>
      </c>
      <c r="B1290" s="384" t="s">
        <v>8121</v>
      </c>
      <c r="C1290" s="384" t="s">
        <v>82</v>
      </c>
      <c r="D1290" s="385" t="s">
        <v>8122</v>
      </c>
    </row>
    <row r="1291" spans="1:4" x14ac:dyDescent="0.25">
      <c r="A1291" s="384" t="s">
        <v>8123</v>
      </c>
      <c r="B1291" s="384" t="s">
        <v>8124</v>
      </c>
      <c r="C1291" s="384" t="s">
        <v>82</v>
      </c>
      <c r="D1291" s="385" t="s">
        <v>8125</v>
      </c>
    </row>
    <row r="1292" spans="1:4" x14ac:dyDescent="0.25">
      <c r="A1292" s="384" t="s">
        <v>8126</v>
      </c>
      <c r="B1292" s="384" t="s">
        <v>8127</v>
      </c>
      <c r="C1292" s="384" t="s">
        <v>82</v>
      </c>
      <c r="D1292" s="385" t="s">
        <v>8128</v>
      </c>
    </row>
    <row r="1293" spans="1:4" x14ac:dyDescent="0.25">
      <c r="A1293" s="384" t="s">
        <v>8129</v>
      </c>
      <c r="B1293" s="384" t="s">
        <v>8130</v>
      </c>
      <c r="C1293" s="384" t="s">
        <v>82</v>
      </c>
      <c r="D1293" s="385" t="s">
        <v>8131</v>
      </c>
    </row>
    <row r="1294" spans="1:4" x14ac:dyDescent="0.25">
      <c r="A1294" s="384" t="s">
        <v>8132</v>
      </c>
      <c r="B1294" s="384" t="s">
        <v>8133</v>
      </c>
      <c r="C1294" s="384" t="s">
        <v>82</v>
      </c>
      <c r="D1294" s="385" t="s">
        <v>8134</v>
      </c>
    </row>
    <row r="1295" spans="1:4" x14ac:dyDescent="0.25">
      <c r="A1295" s="384" t="s">
        <v>8135</v>
      </c>
      <c r="B1295" s="384" t="s">
        <v>8136</v>
      </c>
      <c r="C1295" s="384" t="s">
        <v>82</v>
      </c>
      <c r="D1295" s="385" t="s">
        <v>8137</v>
      </c>
    </row>
    <row r="1296" spans="1:4" x14ac:dyDescent="0.25">
      <c r="A1296" s="384" t="s">
        <v>8138</v>
      </c>
      <c r="B1296" s="384" t="s">
        <v>8139</v>
      </c>
      <c r="C1296" s="384" t="s">
        <v>82</v>
      </c>
      <c r="D1296" s="385" t="s">
        <v>8140</v>
      </c>
    </row>
    <row r="1297" spans="1:4" x14ac:dyDescent="0.25">
      <c r="A1297" s="384" t="s">
        <v>8141</v>
      </c>
      <c r="B1297" s="384" t="s">
        <v>8142</v>
      </c>
      <c r="C1297" s="384" t="s">
        <v>2884</v>
      </c>
      <c r="D1297" s="385" t="s">
        <v>5030</v>
      </c>
    </row>
    <row r="1298" spans="1:4" x14ac:dyDescent="0.25">
      <c r="A1298" s="384" t="s">
        <v>8143</v>
      </c>
      <c r="B1298" s="384" t="s">
        <v>8144</v>
      </c>
      <c r="C1298" s="384" t="s">
        <v>2884</v>
      </c>
      <c r="D1298" s="385" t="s">
        <v>8145</v>
      </c>
    </row>
    <row r="1299" spans="1:4" x14ac:dyDescent="0.25">
      <c r="A1299" s="384" t="s">
        <v>8146</v>
      </c>
      <c r="B1299" s="384" t="s">
        <v>8147</v>
      </c>
      <c r="C1299" s="384" t="s">
        <v>2884</v>
      </c>
      <c r="D1299" s="385" t="s">
        <v>8148</v>
      </c>
    </row>
    <row r="1300" spans="1:4" x14ac:dyDescent="0.25">
      <c r="A1300" s="384" t="s">
        <v>8149</v>
      </c>
      <c r="B1300" s="384" t="s">
        <v>8150</v>
      </c>
      <c r="C1300" s="384" t="s">
        <v>2884</v>
      </c>
      <c r="D1300" s="385" t="s">
        <v>8151</v>
      </c>
    </row>
    <row r="1301" spans="1:4" x14ac:dyDescent="0.25">
      <c r="A1301" s="384" t="s">
        <v>8152</v>
      </c>
      <c r="B1301" s="384" t="s">
        <v>8153</v>
      </c>
      <c r="C1301" s="384" t="s">
        <v>82</v>
      </c>
      <c r="D1301" s="385" t="s">
        <v>8154</v>
      </c>
    </row>
    <row r="1302" spans="1:4" x14ac:dyDescent="0.25">
      <c r="A1302" s="384" t="s">
        <v>8155</v>
      </c>
      <c r="B1302" s="384" t="s">
        <v>8156</v>
      </c>
      <c r="C1302" s="384" t="s">
        <v>82</v>
      </c>
      <c r="D1302" s="385" t="s">
        <v>8157</v>
      </c>
    </row>
    <row r="1303" spans="1:4" x14ac:dyDescent="0.25">
      <c r="A1303" s="384" t="s">
        <v>8158</v>
      </c>
      <c r="B1303" s="384" t="s">
        <v>8159</v>
      </c>
      <c r="C1303" s="384" t="s">
        <v>82</v>
      </c>
      <c r="D1303" s="385" t="s">
        <v>8160</v>
      </c>
    </row>
    <row r="1304" spans="1:4" x14ac:dyDescent="0.25">
      <c r="A1304" s="384" t="s">
        <v>8161</v>
      </c>
      <c r="B1304" s="384" t="s">
        <v>8162</v>
      </c>
      <c r="C1304" s="384" t="s">
        <v>82</v>
      </c>
      <c r="D1304" s="385" t="s">
        <v>8163</v>
      </c>
    </row>
    <row r="1305" spans="1:4" x14ac:dyDescent="0.25">
      <c r="A1305" s="384" t="s">
        <v>8164</v>
      </c>
      <c r="B1305" s="384" t="s">
        <v>8165</v>
      </c>
      <c r="C1305" s="384" t="s">
        <v>82</v>
      </c>
      <c r="D1305" s="385" t="s">
        <v>8166</v>
      </c>
    </row>
    <row r="1306" spans="1:4" x14ac:dyDescent="0.25">
      <c r="A1306" s="384" t="s">
        <v>8167</v>
      </c>
      <c r="B1306" s="384" t="s">
        <v>8168</v>
      </c>
      <c r="C1306" s="384" t="s">
        <v>82</v>
      </c>
      <c r="D1306" s="385" t="s">
        <v>8169</v>
      </c>
    </row>
    <row r="1307" spans="1:4" x14ac:dyDescent="0.25">
      <c r="A1307" s="384" t="s">
        <v>8170</v>
      </c>
      <c r="B1307" s="384" t="s">
        <v>8171</v>
      </c>
      <c r="C1307" s="384" t="s">
        <v>2884</v>
      </c>
      <c r="D1307" s="385" t="s">
        <v>8172</v>
      </c>
    </row>
    <row r="1308" spans="1:4" x14ac:dyDescent="0.25">
      <c r="A1308" s="384" t="s">
        <v>8173</v>
      </c>
      <c r="B1308" s="384" t="s">
        <v>8174</v>
      </c>
      <c r="C1308" s="384" t="s">
        <v>83</v>
      </c>
      <c r="D1308" s="385" t="s">
        <v>8175</v>
      </c>
    </row>
    <row r="1309" spans="1:4" x14ac:dyDescent="0.25">
      <c r="A1309" s="384" t="s">
        <v>8176</v>
      </c>
      <c r="B1309" s="384" t="s">
        <v>8177</v>
      </c>
      <c r="C1309" s="384" t="s">
        <v>83</v>
      </c>
      <c r="D1309" s="385" t="s">
        <v>8178</v>
      </c>
    </row>
    <row r="1310" spans="1:4" x14ac:dyDescent="0.25">
      <c r="A1310" s="384" t="s">
        <v>8179</v>
      </c>
      <c r="B1310" s="384" t="s">
        <v>8180</v>
      </c>
      <c r="C1310" s="384" t="s">
        <v>83</v>
      </c>
      <c r="D1310" s="385" t="s">
        <v>8181</v>
      </c>
    </row>
    <row r="1311" spans="1:4" x14ac:dyDescent="0.25">
      <c r="A1311" s="384" t="s">
        <v>8182</v>
      </c>
      <c r="B1311" s="384" t="s">
        <v>8183</v>
      </c>
      <c r="C1311" s="384" t="s">
        <v>83</v>
      </c>
      <c r="D1311" s="385" t="s">
        <v>8184</v>
      </c>
    </row>
    <row r="1312" spans="1:4" x14ac:dyDescent="0.25">
      <c r="A1312" s="384" t="s">
        <v>8185</v>
      </c>
      <c r="B1312" s="384" t="s">
        <v>8186</v>
      </c>
      <c r="C1312" s="384" t="s">
        <v>2884</v>
      </c>
      <c r="D1312" s="385" t="s">
        <v>8187</v>
      </c>
    </row>
    <row r="1313" spans="1:4" x14ac:dyDescent="0.25">
      <c r="A1313" s="384" t="s">
        <v>8188</v>
      </c>
      <c r="B1313" s="384" t="s">
        <v>8189</v>
      </c>
      <c r="C1313" s="384" t="s">
        <v>2884</v>
      </c>
      <c r="D1313" s="385" t="s">
        <v>8190</v>
      </c>
    </row>
    <row r="1314" spans="1:4" x14ac:dyDescent="0.25">
      <c r="A1314" s="384" t="s">
        <v>8191</v>
      </c>
      <c r="B1314" s="384" t="s">
        <v>8192</v>
      </c>
      <c r="C1314" s="384" t="s">
        <v>2884</v>
      </c>
      <c r="D1314" s="385" t="s">
        <v>8193</v>
      </c>
    </row>
    <row r="1315" spans="1:4" x14ac:dyDescent="0.25">
      <c r="A1315" s="384" t="s">
        <v>8194</v>
      </c>
      <c r="B1315" s="384" t="s">
        <v>8195</v>
      </c>
      <c r="C1315" s="384" t="s">
        <v>2884</v>
      </c>
      <c r="D1315" s="385" t="s">
        <v>8196</v>
      </c>
    </row>
    <row r="1316" spans="1:4" x14ac:dyDescent="0.25">
      <c r="A1316" s="384" t="s">
        <v>8197</v>
      </c>
      <c r="B1316" s="384" t="s">
        <v>8198</v>
      </c>
      <c r="C1316" s="384" t="s">
        <v>2884</v>
      </c>
      <c r="D1316" s="385" t="s">
        <v>8199</v>
      </c>
    </row>
    <row r="1317" spans="1:4" x14ac:dyDescent="0.25">
      <c r="A1317" s="384" t="s">
        <v>8200</v>
      </c>
      <c r="B1317" s="384" t="s">
        <v>8201</v>
      </c>
      <c r="C1317" s="384" t="s">
        <v>2884</v>
      </c>
      <c r="D1317" s="385" t="s">
        <v>8202</v>
      </c>
    </row>
    <row r="1318" spans="1:4" x14ac:dyDescent="0.25">
      <c r="A1318" s="384" t="s">
        <v>8203</v>
      </c>
      <c r="B1318" s="384" t="s">
        <v>8204</v>
      </c>
      <c r="C1318" s="384" t="s">
        <v>2884</v>
      </c>
      <c r="D1318" s="385" t="s">
        <v>8205</v>
      </c>
    </row>
    <row r="1319" spans="1:4" x14ac:dyDescent="0.25">
      <c r="A1319" s="384" t="s">
        <v>8206</v>
      </c>
      <c r="B1319" s="384" t="s">
        <v>8207</v>
      </c>
      <c r="C1319" s="384" t="s">
        <v>2884</v>
      </c>
      <c r="D1319" s="385" t="s">
        <v>8208</v>
      </c>
    </row>
    <row r="1320" spans="1:4" x14ac:dyDescent="0.25">
      <c r="A1320" s="384" t="s">
        <v>8209</v>
      </c>
      <c r="B1320" s="384" t="s">
        <v>8210</v>
      </c>
      <c r="C1320" s="384" t="s">
        <v>2884</v>
      </c>
      <c r="D1320" s="385" t="s">
        <v>8211</v>
      </c>
    </row>
    <row r="1321" spans="1:4" x14ac:dyDescent="0.25">
      <c r="A1321" s="384" t="s">
        <v>8212</v>
      </c>
      <c r="B1321" s="384" t="s">
        <v>8213</v>
      </c>
      <c r="C1321" s="384" t="s">
        <v>2884</v>
      </c>
      <c r="D1321" s="385" t="s">
        <v>8214</v>
      </c>
    </row>
    <row r="1322" spans="1:4" x14ac:dyDescent="0.25">
      <c r="A1322" s="384" t="s">
        <v>8215</v>
      </c>
      <c r="B1322" s="384" t="s">
        <v>8216</v>
      </c>
      <c r="C1322" s="384" t="s">
        <v>2884</v>
      </c>
      <c r="D1322" s="385" t="s">
        <v>8217</v>
      </c>
    </row>
    <row r="1323" spans="1:4" x14ac:dyDescent="0.25">
      <c r="A1323" s="384" t="s">
        <v>8218</v>
      </c>
      <c r="B1323" s="384" t="s">
        <v>8219</v>
      </c>
      <c r="C1323" s="384" t="s">
        <v>2884</v>
      </c>
      <c r="D1323" s="385" t="s">
        <v>8220</v>
      </c>
    </row>
    <row r="1324" spans="1:4" x14ac:dyDescent="0.25">
      <c r="A1324" s="384" t="s">
        <v>8221</v>
      </c>
      <c r="B1324" s="384" t="s">
        <v>8222</v>
      </c>
      <c r="C1324" s="384" t="s">
        <v>2884</v>
      </c>
      <c r="D1324" s="385" t="s">
        <v>8223</v>
      </c>
    </row>
    <row r="1325" spans="1:4" x14ac:dyDescent="0.25">
      <c r="A1325" s="384" t="s">
        <v>8224</v>
      </c>
      <c r="B1325" s="384" t="s">
        <v>8225</v>
      </c>
      <c r="C1325" s="384" t="s">
        <v>2884</v>
      </c>
      <c r="D1325" s="385" t="s">
        <v>8226</v>
      </c>
    </row>
    <row r="1326" spans="1:4" x14ac:dyDescent="0.25">
      <c r="A1326" s="384" t="s">
        <v>8227</v>
      </c>
      <c r="B1326" s="384" t="s">
        <v>8228</v>
      </c>
      <c r="C1326" s="384" t="s">
        <v>83</v>
      </c>
      <c r="D1326" s="385" t="s">
        <v>8229</v>
      </c>
    </row>
    <row r="1327" spans="1:4" x14ac:dyDescent="0.25">
      <c r="A1327" s="384" t="s">
        <v>8230</v>
      </c>
      <c r="B1327" s="384" t="s">
        <v>8231</v>
      </c>
      <c r="C1327" s="384" t="s">
        <v>83</v>
      </c>
      <c r="D1327" s="385" t="s">
        <v>8232</v>
      </c>
    </row>
    <row r="1328" spans="1:4" x14ac:dyDescent="0.25">
      <c r="A1328" s="384" t="s">
        <v>8233</v>
      </c>
      <c r="B1328" s="384" t="s">
        <v>8234</v>
      </c>
      <c r="C1328" s="384" t="s">
        <v>83</v>
      </c>
      <c r="D1328" s="385" t="s">
        <v>8235</v>
      </c>
    </row>
    <row r="1329" spans="1:4" x14ac:dyDescent="0.25">
      <c r="A1329" s="384" t="s">
        <v>8236</v>
      </c>
      <c r="B1329" s="384" t="s">
        <v>8237</v>
      </c>
      <c r="C1329" s="384" t="s">
        <v>83</v>
      </c>
      <c r="D1329" s="385" t="s">
        <v>8238</v>
      </c>
    </row>
    <row r="1330" spans="1:4" x14ac:dyDescent="0.25">
      <c r="A1330" s="384" t="s">
        <v>8239</v>
      </c>
      <c r="B1330" s="384" t="s">
        <v>8240</v>
      </c>
      <c r="C1330" s="384" t="s">
        <v>83</v>
      </c>
      <c r="D1330" s="385" t="s">
        <v>8241</v>
      </c>
    </row>
    <row r="1331" spans="1:4" x14ac:dyDescent="0.25">
      <c r="A1331" s="384" t="s">
        <v>8242</v>
      </c>
      <c r="B1331" s="384" t="s">
        <v>8243</v>
      </c>
      <c r="C1331" s="384" t="s">
        <v>83</v>
      </c>
      <c r="D1331" s="385" t="s">
        <v>8244</v>
      </c>
    </row>
    <row r="1332" spans="1:4" x14ac:dyDescent="0.25">
      <c r="A1332" s="384" t="s">
        <v>8245</v>
      </c>
      <c r="B1332" s="384" t="s">
        <v>8246</v>
      </c>
      <c r="C1332" s="384" t="s">
        <v>77</v>
      </c>
      <c r="D1332" s="385" t="s">
        <v>8247</v>
      </c>
    </row>
    <row r="1333" spans="1:4" x14ac:dyDescent="0.25">
      <c r="A1333" s="384" t="s">
        <v>8248</v>
      </c>
      <c r="B1333" s="384" t="s">
        <v>8249</v>
      </c>
      <c r="C1333" s="384" t="s">
        <v>83</v>
      </c>
      <c r="D1333" s="385" t="s">
        <v>8250</v>
      </c>
    </row>
    <row r="1334" spans="1:4" x14ac:dyDescent="0.25">
      <c r="A1334" s="384" t="s">
        <v>8251</v>
      </c>
      <c r="B1334" s="384" t="s">
        <v>8252</v>
      </c>
      <c r="C1334" s="384" t="s">
        <v>83</v>
      </c>
      <c r="D1334" s="385" t="s">
        <v>8253</v>
      </c>
    </row>
    <row r="1335" spans="1:4" x14ac:dyDescent="0.25">
      <c r="A1335" s="384" t="s">
        <v>8254</v>
      </c>
      <c r="B1335" s="384" t="s">
        <v>8255</v>
      </c>
      <c r="C1335" s="384" t="s">
        <v>83</v>
      </c>
      <c r="D1335" s="385" t="s">
        <v>8256</v>
      </c>
    </row>
    <row r="1336" spans="1:4" x14ac:dyDescent="0.25">
      <c r="A1336" s="384" t="s">
        <v>8257</v>
      </c>
      <c r="B1336" s="384" t="s">
        <v>8258</v>
      </c>
      <c r="C1336" s="384" t="s">
        <v>83</v>
      </c>
      <c r="D1336" s="385" t="s">
        <v>8259</v>
      </c>
    </row>
    <row r="1337" spans="1:4" x14ac:dyDescent="0.25">
      <c r="A1337" s="384" t="s">
        <v>8260</v>
      </c>
      <c r="B1337" s="384" t="s">
        <v>8261</v>
      </c>
      <c r="C1337" s="384" t="s">
        <v>83</v>
      </c>
      <c r="D1337" s="385" t="s">
        <v>8229</v>
      </c>
    </row>
    <row r="1338" spans="1:4" x14ac:dyDescent="0.25">
      <c r="A1338" s="384" t="s">
        <v>8262</v>
      </c>
      <c r="B1338" s="384" t="s">
        <v>8263</v>
      </c>
      <c r="C1338" s="384" t="s">
        <v>83</v>
      </c>
      <c r="D1338" s="385" t="s">
        <v>8264</v>
      </c>
    </row>
    <row r="1339" spans="1:4" x14ac:dyDescent="0.25">
      <c r="A1339" s="384" t="s">
        <v>8265</v>
      </c>
      <c r="B1339" s="384" t="s">
        <v>8266</v>
      </c>
      <c r="C1339" s="384" t="s">
        <v>83</v>
      </c>
      <c r="D1339" s="385" t="s">
        <v>8267</v>
      </c>
    </row>
    <row r="1340" spans="1:4" x14ac:dyDescent="0.25">
      <c r="A1340" s="384" t="s">
        <v>8268</v>
      </c>
      <c r="B1340" s="384" t="s">
        <v>8269</v>
      </c>
      <c r="C1340" s="384" t="s">
        <v>83</v>
      </c>
      <c r="D1340" s="385" t="s">
        <v>8270</v>
      </c>
    </row>
    <row r="1341" spans="1:4" x14ac:dyDescent="0.25">
      <c r="A1341" s="384" t="s">
        <v>8271</v>
      </c>
      <c r="B1341" s="384" t="s">
        <v>8272</v>
      </c>
      <c r="C1341" s="384" t="s">
        <v>83</v>
      </c>
      <c r="D1341" s="385" t="s">
        <v>8273</v>
      </c>
    </row>
    <row r="1342" spans="1:4" x14ac:dyDescent="0.25">
      <c r="A1342" s="384" t="s">
        <v>8274</v>
      </c>
      <c r="B1342" s="384" t="s">
        <v>8275</v>
      </c>
      <c r="C1342" s="384" t="s">
        <v>83</v>
      </c>
      <c r="D1342" s="385" t="s">
        <v>8276</v>
      </c>
    </row>
    <row r="1343" spans="1:4" x14ac:dyDescent="0.25">
      <c r="A1343" s="384" t="s">
        <v>8277</v>
      </c>
      <c r="B1343" s="384" t="s">
        <v>8278</v>
      </c>
      <c r="C1343" s="384" t="s">
        <v>83</v>
      </c>
      <c r="D1343" s="385" t="s">
        <v>8279</v>
      </c>
    </row>
    <row r="1344" spans="1:4" x14ac:dyDescent="0.25">
      <c r="A1344" s="384" t="s">
        <v>8280</v>
      </c>
      <c r="B1344" s="384" t="s">
        <v>8281</v>
      </c>
      <c r="C1344" s="384" t="s">
        <v>83</v>
      </c>
      <c r="D1344" s="385" t="s">
        <v>8282</v>
      </c>
    </row>
    <row r="1345" spans="1:4" x14ac:dyDescent="0.25">
      <c r="A1345" s="384" t="s">
        <v>8283</v>
      </c>
      <c r="B1345" s="384" t="s">
        <v>8284</v>
      </c>
      <c r="C1345" s="384" t="s">
        <v>83</v>
      </c>
      <c r="D1345" s="385" t="s">
        <v>8285</v>
      </c>
    </row>
    <row r="1346" spans="1:4" x14ac:dyDescent="0.25">
      <c r="A1346" s="384" t="s">
        <v>8286</v>
      </c>
      <c r="B1346" s="384" t="s">
        <v>8287</v>
      </c>
      <c r="C1346" s="384" t="s">
        <v>83</v>
      </c>
      <c r="D1346" s="385" t="s">
        <v>8288</v>
      </c>
    </row>
    <row r="1347" spans="1:4" x14ac:dyDescent="0.25">
      <c r="A1347" s="384" t="s">
        <v>8289</v>
      </c>
      <c r="B1347" s="384" t="s">
        <v>8290</v>
      </c>
      <c r="C1347" s="384" t="s">
        <v>83</v>
      </c>
      <c r="D1347" s="385" t="s">
        <v>8291</v>
      </c>
    </row>
    <row r="1348" spans="1:4" x14ac:dyDescent="0.25">
      <c r="A1348" s="384" t="s">
        <v>8292</v>
      </c>
      <c r="B1348" s="384" t="s">
        <v>8293</v>
      </c>
      <c r="C1348" s="384" t="s">
        <v>83</v>
      </c>
      <c r="D1348" s="385" t="s">
        <v>8294</v>
      </c>
    </row>
    <row r="1349" spans="1:4" x14ac:dyDescent="0.25">
      <c r="A1349" s="384" t="s">
        <v>8295</v>
      </c>
      <c r="B1349" s="384" t="s">
        <v>8296</v>
      </c>
      <c r="C1349" s="384" t="s">
        <v>83</v>
      </c>
      <c r="D1349" s="385" t="s">
        <v>8297</v>
      </c>
    </row>
    <row r="1350" spans="1:4" x14ac:dyDescent="0.25">
      <c r="A1350" s="384" t="s">
        <v>8298</v>
      </c>
      <c r="B1350" s="384" t="s">
        <v>8299</v>
      </c>
      <c r="C1350" s="384" t="s">
        <v>83</v>
      </c>
      <c r="D1350" s="385" t="s">
        <v>8300</v>
      </c>
    </row>
    <row r="1351" spans="1:4" x14ac:dyDescent="0.25">
      <c r="A1351" s="384" t="s">
        <v>8301</v>
      </c>
      <c r="B1351" s="384" t="s">
        <v>8302</v>
      </c>
      <c r="C1351" s="384" t="s">
        <v>83</v>
      </c>
      <c r="D1351" s="385" t="s">
        <v>8303</v>
      </c>
    </row>
    <row r="1352" spans="1:4" x14ac:dyDescent="0.25">
      <c r="A1352" s="384" t="s">
        <v>8304</v>
      </c>
      <c r="B1352" s="384" t="s">
        <v>8305</v>
      </c>
      <c r="C1352" s="384" t="s">
        <v>83</v>
      </c>
      <c r="D1352" s="385" t="s">
        <v>8306</v>
      </c>
    </row>
    <row r="1353" spans="1:4" x14ac:dyDescent="0.25">
      <c r="A1353" s="384" t="s">
        <v>8307</v>
      </c>
      <c r="B1353" s="384" t="s">
        <v>8308</v>
      </c>
      <c r="C1353" s="384" t="s">
        <v>83</v>
      </c>
      <c r="D1353" s="385" t="s">
        <v>8309</v>
      </c>
    </row>
    <row r="1354" spans="1:4" x14ac:dyDescent="0.25">
      <c r="A1354" s="384" t="s">
        <v>8310</v>
      </c>
      <c r="B1354" s="384" t="s">
        <v>8311</v>
      </c>
      <c r="C1354" s="384" t="s">
        <v>83</v>
      </c>
      <c r="D1354" s="385" t="s">
        <v>8312</v>
      </c>
    </row>
    <row r="1355" spans="1:4" x14ac:dyDescent="0.25">
      <c r="A1355" s="384" t="s">
        <v>8313</v>
      </c>
      <c r="B1355" s="384" t="s">
        <v>8314</v>
      </c>
      <c r="C1355" s="384" t="s">
        <v>83</v>
      </c>
      <c r="D1355" s="385" t="s">
        <v>8315</v>
      </c>
    </row>
    <row r="1356" spans="1:4" x14ac:dyDescent="0.25">
      <c r="A1356" s="384" t="s">
        <v>8316</v>
      </c>
      <c r="B1356" s="384" t="s">
        <v>8317</v>
      </c>
      <c r="C1356" s="384" t="s">
        <v>83</v>
      </c>
      <c r="D1356" s="385" t="s">
        <v>8318</v>
      </c>
    </row>
    <row r="1357" spans="1:4" x14ac:dyDescent="0.25">
      <c r="A1357" s="384" t="s">
        <v>8319</v>
      </c>
      <c r="B1357" s="384" t="s">
        <v>8320</v>
      </c>
      <c r="C1357" s="384" t="s">
        <v>83</v>
      </c>
      <c r="D1357" s="385" t="s">
        <v>8321</v>
      </c>
    </row>
    <row r="1358" spans="1:4" x14ac:dyDescent="0.25">
      <c r="A1358" s="384" t="s">
        <v>8322</v>
      </c>
      <c r="B1358" s="384" t="s">
        <v>8323</v>
      </c>
      <c r="C1358" s="384" t="s">
        <v>83</v>
      </c>
      <c r="D1358" s="385" t="s">
        <v>8324</v>
      </c>
    </row>
    <row r="1359" spans="1:4" x14ac:dyDescent="0.25">
      <c r="A1359" s="384" t="s">
        <v>8325</v>
      </c>
      <c r="B1359" s="384" t="s">
        <v>8326</v>
      </c>
      <c r="C1359" s="384" t="s">
        <v>83</v>
      </c>
      <c r="D1359" s="385" t="s">
        <v>8327</v>
      </c>
    </row>
    <row r="1360" spans="1:4" x14ac:dyDescent="0.25">
      <c r="A1360" s="384" t="s">
        <v>8328</v>
      </c>
      <c r="B1360" s="384" t="s">
        <v>8329</v>
      </c>
      <c r="C1360" s="384" t="s">
        <v>83</v>
      </c>
      <c r="D1360" s="385" t="s">
        <v>8330</v>
      </c>
    </row>
    <row r="1361" spans="1:4" x14ac:dyDescent="0.25">
      <c r="A1361" s="384" t="s">
        <v>8331</v>
      </c>
      <c r="B1361" s="384" t="s">
        <v>8332</v>
      </c>
      <c r="C1361" s="384" t="s">
        <v>83</v>
      </c>
      <c r="D1361" s="385" t="s">
        <v>8333</v>
      </c>
    </row>
    <row r="1362" spans="1:4" x14ac:dyDescent="0.25">
      <c r="A1362" s="384" t="s">
        <v>8334</v>
      </c>
      <c r="B1362" s="384" t="s">
        <v>8335</v>
      </c>
      <c r="C1362" s="384" t="s">
        <v>83</v>
      </c>
      <c r="D1362" s="385" t="s">
        <v>8336</v>
      </c>
    </row>
    <row r="1363" spans="1:4" x14ac:dyDescent="0.25">
      <c r="A1363" s="384" t="s">
        <v>8337</v>
      </c>
      <c r="B1363" s="384" t="s">
        <v>8338</v>
      </c>
      <c r="C1363" s="384" t="s">
        <v>83</v>
      </c>
      <c r="D1363" s="385" t="s">
        <v>8339</v>
      </c>
    </row>
    <row r="1364" spans="1:4" x14ac:dyDescent="0.25">
      <c r="A1364" s="384" t="s">
        <v>8340</v>
      </c>
      <c r="B1364" s="384" t="s">
        <v>8341</v>
      </c>
      <c r="C1364" s="384" t="s">
        <v>83</v>
      </c>
      <c r="D1364" s="385" t="s">
        <v>8342</v>
      </c>
    </row>
    <row r="1365" spans="1:4" x14ac:dyDescent="0.25">
      <c r="A1365" s="384" t="s">
        <v>8343</v>
      </c>
      <c r="B1365" s="384" t="s">
        <v>8344</v>
      </c>
      <c r="C1365" s="384" t="s">
        <v>83</v>
      </c>
      <c r="D1365" s="385" t="s">
        <v>8345</v>
      </c>
    </row>
    <row r="1366" spans="1:4" x14ac:dyDescent="0.25">
      <c r="A1366" s="384" t="s">
        <v>8346</v>
      </c>
      <c r="B1366" s="384" t="s">
        <v>8347</v>
      </c>
      <c r="C1366" s="384" t="s">
        <v>83</v>
      </c>
      <c r="D1366" s="385" t="s">
        <v>8348</v>
      </c>
    </row>
    <row r="1367" spans="1:4" x14ac:dyDescent="0.25">
      <c r="A1367" s="384" t="s">
        <v>8349</v>
      </c>
      <c r="B1367" s="384" t="s">
        <v>8350</v>
      </c>
      <c r="C1367" s="384" t="s">
        <v>77</v>
      </c>
      <c r="D1367" s="385" t="s">
        <v>8351</v>
      </c>
    </row>
    <row r="1368" spans="1:4" x14ac:dyDescent="0.25">
      <c r="A1368" s="384" t="s">
        <v>8352</v>
      </c>
      <c r="B1368" s="384" t="s">
        <v>8353</v>
      </c>
      <c r="C1368" s="384" t="s">
        <v>77</v>
      </c>
      <c r="D1368" s="385" t="s">
        <v>8354</v>
      </c>
    </row>
    <row r="1369" spans="1:4" x14ac:dyDescent="0.25">
      <c r="A1369" s="384" t="s">
        <v>8355</v>
      </c>
      <c r="B1369" s="384" t="s">
        <v>8356</v>
      </c>
      <c r="C1369" s="384" t="s">
        <v>2884</v>
      </c>
      <c r="D1369" s="385" t="s">
        <v>8009</v>
      </c>
    </row>
    <row r="1370" spans="1:4" x14ac:dyDescent="0.25">
      <c r="A1370" s="384" t="s">
        <v>8357</v>
      </c>
      <c r="B1370" s="384" t="s">
        <v>8358</v>
      </c>
      <c r="C1370" s="384" t="s">
        <v>2884</v>
      </c>
      <c r="D1370" s="385" t="s">
        <v>8359</v>
      </c>
    </row>
    <row r="1371" spans="1:4" x14ac:dyDescent="0.25">
      <c r="A1371" s="384" t="s">
        <v>8360</v>
      </c>
      <c r="B1371" s="384" t="s">
        <v>8361</v>
      </c>
      <c r="C1371" s="384" t="s">
        <v>82</v>
      </c>
      <c r="D1371" s="385" t="s">
        <v>8362</v>
      </c>
    </row>
    <row r="1372" spans="1:4" x14ac:dyDescent="0.25">
      <c r="A1372" s="384" t="s">
        <v>8363</v>
      </c>
      <c r="B1372" s="384" t="s">
        <v>8364</v>
      </c>
      <c r="C1372" s="384" t="s">
        <v>82</v>
      </c>
      <c r="D1372" s="385" t="s">
        <v>8365</v>
      </c>
    </row>
    <row r="1373" spans="1:4" x14ac:dyDescent="0.25">
      <c r="A1373" s="384" t="s">
        <v>8366</v>
      </c>
      <c r="B1373" s="384" t="s">
        <v>8367</v>
      </c>
      <c r="C1373" s="384" t="s">
        <v>82</v>
      </c>
      <c r="D1373" s="385" t="s">
        <v>8368</v>
      </c>
    </row>
    <row r="1374" spans="1:4" x14ac:dyDescent="0.25">
      <c r="A1374" s="384" t="s">
        <v>8369</v>
      </c>
      <c r="B1374" s="384" t="s">
        <v>8370</v>
      </c>
      <c r="C1374" s="384" t="s">
        <v>82</v>
      </c>
      <c r="D1374" s="385" t="s">
        <v>8371</v>
      </c>
    </row>
    <row r="1375" spans="1:4" x14ac:dyDescent="0.25">
      <c r="A1375" s="384" t="s">
        <v>8372</v>
      </c>
      <c r="B1375" s="384" t="s">
        <v>8373</v>
      </c>
      <c r="C1375" s="384" t="s">
        <v>82</v>
      </c>
      <c r="D1375" s="385" t="s">
        <v>8374</v>
      </c>
    </row>
    <row r="1376" spans="1:4" x14ac:dyDescent="0.25">
      <c r="A1376" s="384" t="s">
        <v>8375</v>
      </c>
      <c r="B1376" s="384" t="s">
        <v>8376</v>
      </c>
      <c r="C1376" s="384" t="s">
        <v>82</v>
      </c>
      <c r="D1376" s="385" t="s">
        <v>8377</v>
      </c>
    </row>
    <row r="1377" spans="1:4" x14ac:dyDescent="0.25">
      <c r="A1377" s="384" t="s">
        <v>8378</v>
      </c>
      <c r="B1377" s="384" t="s">
        <v>8379</v>
      </c>
      <c r="C1377" s="384" t="s">
        <v>82</v>
      </c>
      <c r="D1377" s="385" t="s">
        <v>8380</v>
      </c>
    </row>
    <row r="1378" spans="1:4" x14ac:dyDescent="0.25">
      <c r="A1378" s="384" t="s">
        <v>8381</v>
      </c>
      <c r="B1378" s="384" t="s">
        <v>8382</v>
      </c>
      <c r="C1378" s="384" t="s">
        <v>82</v>
      </c>
      <c r="D1378" s="385" t="s">
        <v>8383</v>
      </c>
    </row>
    <row r="1379" spans="1:4" x14ac:dyDescent="0.25">
      <c r="A1379" s="384" t="s">
        <v>8384</v>
      </c>
      <c r="B1379" s="384" t="s">
        <v>8385</v>
      </c>
      <c r="C1379" s="384" t="s">
        <v>82</v>
      </c>
      <c r="D1379" s="385" t="s">
        <v>8386</v>
      </c>
    </row>
    <row r="1380" spans="1:4" x14ac:dyDescent="0.25">
      <c r="A1380" s="384" t="s">
        <v>8387</v>
      </c>
      <c r="B1380" s="384" t="s">
        <v>8388</v>
      </c>
      <c r="C1380" s="384" t="s">
        <v>82</v>
      </c>
      <c r="D1380" s="385" t="s">
        <v>8389</v>
      </c>
    </row>
    <row r="1381" spans="1:4" x14ac:dyDescent="0.25">
      <c r="A1381" s="384" t="s">
        <v>8390</v>
      </c>
      <c r="B1381" s="384" t="s">
        <v>8391</v>
      </c>
      <c r="C1381" s="384" t="s">
        <v>82</v>
      </c>
      <c r="D1381" s="385" t="s">
        <v>8392</v>
      </c>
    </row>
    <row r="1382" spans="1:4" x14ac:dyDescent="0.25">
      <c r="A1382" s="384" t="s">
        <v>8393</v>
      </c>
      <c r="B1382" s="384" t="s">
        <v>8394</v>
      </c>
      <c r="C1382" s="384" t="s">
        <v>82</v>
      </c>
      <c r="D1382" s="385" t="s">
        <v>8395</v>
      </c>
    </row>
    <row r="1383" spans="1:4" x14ac:dyDescent="0.25">
      <c r="A1383" s="384" t="s">
        <v>8396</v>
      </c>
      <c r="B1383" s="384" t="s">
        <v>8397</v>
      </c>
      <c r="C1383" s="384" t="s">
        <v>82</v>
      </c>
      <c r="D1383" s="385" t="s">
        <v>8398</v>
      </c>
    </row>
    <row r="1384" spans="1:4" x14ac:dyDescent="0.25">
      <c r="A1384" s="384" t="s">
        <v>8399</v>
      </c>
      <c r="B1384" s="384" t="s">
        <v>8400</v>
      </c>
      <c r="C1384" s="384" t="s">
        <v>82</v>
      </c>
      <c r="D1384" s="385" t="s">
        <v>8401</v>
      </c>
    </row>
    <row r="1385" spans="1:4" x14ac:dyDescent="0.25">
      <c r="A1385" s="384" t="s">
        <v>8402</v>
      </c>
      <c r="B1385" s="384" t="s">
        <v>8403</v>
      </c>
      <c r="C1385" s="384" t="s">
        <v>82</v>
      </c>
      <c r="D1385" s="385" t="s">
        <v>8404</v>
      </c>
    </row>
    <row r="1386" spans="1:4" x14ac:dyDescent="0.25">
      <c r="A1386" s="384" t="s">
        <v>8405</v>
      </c>
      <c r="B1386" s="384" t="s">
        <v>8406</v>
      </c>
      <c r="C1386" s="384" t="s">
        <v>82</v>
      </c>
      <c r="D1386" s="385" t="s">
        <v>8407</v>
      </c>
    </row>
    <row r="1387" spans="1:4" x14ac:dyDescent="0.25">
      <c r="A1387" s="384" t="s">
        <v>8408</v>
      </c>
      <c r="B1387" s="384" t="s">
        <v>8409</v>
      </c>
      <c r="C1387" s="384" t="s">
        <v>82</v>
      </c>
      <c r="D1387" s="385" t="s">
        <v>8410</v>
      </c>
    </row>
    <row r="1388" spans="1:4" x14ac:dyDescent="0.25">
      <c r="A1388" s="384" t="s">
        <v>8411</v>
      </c>
      <c r="B1388" s="384" t="s">
        <v>8412</v>
      </c>
      <c r="C1388" s="384" t="s">
        <v>82</v>
      </c>
      <c r="D1388" s="385" t="s">
        <v>8413</v>
      </c>
    </row>
    <row r="1389" spans="1:4" x14ac:dyDescent="0.25">
      <c r="A1389" s="384" t="s">
        <v>8414</v>
      </c>
      <c r="B1389" s="384" t="s">
        <v>8415</v>
      </c>
      <c r="C1389" s="384" t="s">
        <v>82</v>
      </c>
      <c r="D1389" s="385" t="s">
        <v>8416</v>
      </c>
    </row>
    <row r="1390" spans="1:4" x14ac:dyDescent="0.25">
      <c r="A1390" s="384" t="s">
        <v>8417</v>
      </c>
      <c r="B1390" s="384" t="s">
        <v>8418</v>
      </c>
      <c r="C1390" s="384" t="s">
        <v>82</v>
      </c>
      <c r="D1390" s="385" t="s">
        <v>8419</v>
      </c>
    </row>
    <row r="1391" spans="1:4" x14ac:dyDescent="0.25">
      <c r="A1391" s="384" t="s">
        <v>8420</v>
      </c>
      <c r="B1391" s="384" t="s">
        <v>8421</v>
      </c>
      <c r="C1391" s="384" t="s">
        <v>82</v>
      </c>
      <c r="D1391" s="385" t="s">
        <v>8422</v>
      </c>
    </row>
    <row r="1392" spans="1:4" x14ac:dyDescent="0.25">
      <c r="A1392" s="384" t="s">
        <v>8423</v>
      </c>
      <c r="B1392" s="384" t="s">
        <v>8424</v>
      </c>
      <c r="C1392" s="384" t="s">
        <v>82</v>
      </c>
      <c r="D1392" s="385" t="s">
        <v>8425</v>
      </c>
    </row>
    <row r="1393" spans="1:4" x14ac:dyDescent="0.25">
      <c r="A1393" s="384" t="s">
        <v>8426</v>
      </c>
      <c r="B1393" s="384" t="s">
        <v>8427</v>
      </c>
      <c r="C1393" s="384" t="s">
        <v>82</v>
      </c>
      <c r="D1393" s="385" t="s">
        <v>8428</v>
      </c>
    </row>
    <row r="1394" spans="1:4" x14ac:dyDescent="0.25">
      <c r="A1394" s="384" t="s">
        <v>8429</v>
      </c>
      <c r="B1394" s="384" t="s">
        <v>8430</v>
      </c>
      <c r="C1394" s="384" t="s">
        <v>83</v>
      </c>
      <c r="D1394" s="385" t="s">
        <v>8431</v>
      </c>
    </row>
    <row r="1395" spans="1:4" x14ac:dyDescent="0.25">
      <c r="A1395" s="384" t="s">
        <v>8432</v>
      </c>
      <c r="B1395" s="384" t="s">
        <v>8433</v>
      </c>
      <c r="C1395" s="384" t="s">
        <v>83</v>
      </c>
      <c r="D1395" s="385" t="s">
        <v>8434</v>
      </c>
    </row>
    <row r="1396" spans="1:4" x14ac:dyDescent="0.25">
      <c r="A1396" s="384" t="s">
        <v>8435</v>
      </c>
      <c r="B1396" s="384" t="s">
        <v>8436</v>
      </c>
      <c r="C1396" s="384" t="s">
        <v>83</v>
      </c>
      <c r="D1396" s="385" t="s">
        <v>8437</v>
      </c>
    </row>
    <row r="1397" spans="1:4" x14ac:dyDescent="0.25">
      <c r="A1397" s="384" t="s">
        <v>8438</v>
      </c>
      <c r="B1397" s="384" t="s">
        <v>8439</v>
      </c>
      <c r="C1397" s="384" t="s">
        <v>2884</v>
      </c>
      <c r="D1397" s="385" t="s">
        <v>8440</v>
      </c>
    </row>
    <row r="1398" spans="1:4" x14ac:dyDescent="0.25">
      <c r="A1398" s="384" t="s">
        <v>8441</v>
      </c>
      <c r="B1398" s="384" t="s">
        <v>8442</v>
      </c>
      <c r="C1398" s="384" t="s">
        <v>2884</v>
      </c>
      <c r="D1398" s="385" t="s">
        <v>8443</v>
      </c>
    </row>
    <row r="1399" spans="1:4" x14ac:dyDescent="0.25">
      <c r="A1399" s="384" t="s">
        <v>8444</v>
      </c>
      <c r="B1399" s="384" t="s">
        <v>8445</v>
      </c>
      <c r="C1399" s="384" t="s">
        <v>2884</v>
      </c>
      <c r="D1399" s="385" t="s">
        <v>8446</v>
      </c>
    </row>
    <row r="1400" spans="1:4" x14ac:dyDescent="0.25">
      <c r="A1400" s="384" t="s">
        <v>8447</v>
      </c>
      <c r="B1400" s="384" t="s">
        <v>8448</v>
      </c>
      <c r="C1400" s="384" t="s">
        <v>76</v>
      </c>
      <c r="D1400" s="385" t="s">
        <v>8449</v>
      </c>
    </row>
    <row r="1401" spans="1:4" x14ac:dyDescent="0.25">
      <c r="A1401" s="384" t="s">
        <v>8450</v>
      </c>
      <c r="B1401" s="384" t="s">
        <v>8451</v>
      </c>
      <c r="C1401" s="384" t="s">
        <v>76</v>
      </c>
      <c r="D1401" s="385" t="s">
        <v>8452</v>
      </c>
    </row>
    <row r="1402" spans="1:4" x14ac:dyDescent="0.25">
      <c r="A1402" s="384" t="s">
        <v>8453</v>
      </c>
      <c r="B1402" s="384" t="s">
        <v>8454</v>
      </c>
      <c r="C1402" s="384" t="s">
        <v>76</v>
      </c>
      <c r="D1402" s="385" t="s">
        <v>8455</v>
      </c>
    </row>
    <row r="1403" spans="1:4" x14ac:dyDescent="0.25">
      <c r="A1403" s="384" t="s">
        <v>8456</v>
      </c>
      <c r="B1403" s="384" t="s">
        <v>8457</v>
      </c>
      <c r="C1403" s="384" t="s">
        <v>76</v>
      </c>
      <c r="D1403" s="385" t="s">
        <v>8458</v>
      </c>
    </row>
    <row r="1404" spans="1:4" x14ac:dyDescent="0.25">
      <c r="A1404" s="384" t="s">
        <v>8459</v>
      </c>
      <c r="B1404" s="384" t="s">
        <v>8460</v>
      </c>
      <c r="C1404" s="384" t="s">
        <v>82</v>
      </c>
      <c r="D1404" s="385" t="s">
        <v>8461</v>
      </c>
    </row>
    <row r="1405" spans="1:4" x14ac:dyDescent="0.25">
      <c r="A1405" s="384" t="s">
        <v>8462</v>
      </c>
      <c r="B1405" s="384" t="s">
        <v>8463</v>
      </c>
      <c r="C1405" s="384" t="s">
        <v>82</v>
      </c>
      <c r="D1405" s="385" t="s">
        <v>8464</v>
      </c>
    </row>
    <row r="1406" spans="1:4" x14ac:dyDescent="0.25">
      <c r="A1406" s="384" t="s">
        <v>8465</v>
      </c>
      <c r="B1406" s="384" t="s">
        <v>8466</v>
      </c>
      <c r="C1406" s="384" t="s">
        <v>83</v>
      </c>
      <c r="D1406" s="385" t="s">
        <v>8467</v>
      </c>
    </row>
    <row r="1407" spans="1:4" x14ac:dyDescent="0.25">
      <c r="A1407" s="384" t="s">
        <v>8468</v>
      </c>
      <c r="B1407" s="384" t="s">
        <v>8469</v>
      </c>
      <c r="C1407" s="384" t="s">
        <v>83</v>
      </c>
      <c r="D1407" s="385" t="s">
        <v>8470</v>
      </c>
    </row>
    <row r="1408" spans="1:4" x14ac:dyDescent="0.25">
      <c r="A1408" s="384" t="s">
        <v>8471</v>
      </c>
      <c r="B1408" s="384" t="s">
        <v>8472</v>
      </c>
      <c r="C1408" s="384" t="s">
        <v>83</v>
      </c>
      <c r="D1408" s="385" t="s">
        <v>8473</v>
      </c>
    </row>
    <row r="1409" spans="1:4" x14ac:dyDescent="0.25">
      <c r="A1409" s="384" t="s">
        <v>8474</v>
      </c>
      <c r="B1409" s="384" t="s">
        <v>8475</v>
      </c>
      <c r="C1409" s="384" t="s">
        <v>76</v>
      </c>
      <c r="D1409" s="385" t="s">
        <v>8476</v>
      </c>
    </row>
    <row r="1410" spans="1:4" x14ac:dyDescent="0.25">
      <c r="A1410" s="384" t="s">
        <v>8477</v>
      </c>
      <c r="B1410" s="384" t="s">
        <v>8478</v>
      </c>
      <c r="C1410" s="384" t="s">
        <v>76</v>
      </c>
      <c r="D1410" s="385" t="s">
        <v>8479</v>
      </c>
    </row>
    <row r="1411" spans="1:4" x14ac:dyDescent="0.25">
      <c r="A1411" s="384" t="s">
        <v>8480</v>
      </c>
      <c r="B1411" s="384" t="s">
        <v>8481</v>
      </c>
      <c r="C1411" s="384" t="s">
        <v>76</v>
      </c>
      <c r="D1411" s="385" t="s">
        <v>8482</v>
      </c>
    </row>
    <row r="1412" spans="1:4" x14ac:dyDescent="0.25">
      <c r="A1412" s="384" t="s">
        <v>8483</v>
      </c>
      <c r="B1412" s="384" t="s">
        <v>8484</v>
      </c>
      <c r="C1412" s="384" t="s">
        <v>76</v>
      </c>
      <c r="D1412" s="385" t="s">
        <v>8485</v>
      </c>
    </row>
    <row r="1413" spans="1:4" x14ac:dyDescent="0.25">
      <c r="A1413" s="384" t="s">
        <v>8486</v>
      </c>
      <c r="B1413" s="384" t="s">
        <v>8487</v>
      </c>
      <c r="C1413" s="384" t="s">
        <v>76</v>
      </c>
      <c r="D1413" s="385" t="s">
        <v>8488</v>
      </c>
    </row>
    <row r="1414" spans="1:4" x14ac:dyDescent="0.25">
      <c r="A1414" s="384" t="s">
        <v>8489</v>
      </c>
      <c r="B1414" s="384" t="s">
        <v>8490</v>
      </c>
      <c r="C1414" s="384" t="s">
        <v>76</v>
      </c>
      <c r="D1414" s="385" t="s">
        <v>8491</v>
      </c>
    </row>
    <row r="1415" spans="1:4" x14ac:dyDescent="0.25">
      <c r="A1415" s="384" t="s">
        <v>8492</v>
      </c>
      <c r="B1415" s="384" t="s">
        <v>8493</v>
      </c>
      <c r="C1415" s="384" t="s">
        <v>76</v>
      </c>
      <c r="D1415" s="385" t="s">
        <v>8494</v>
      </c>
    </row>
    <row r="1416" spans="1:4" x14ac:dyDescent="0.25">
      <c r="A1416" s="384" t="s">
        <v>8495</v>
      </c>
      <c r="B1416" s="384" t="s">
        <v>8496</v>
      </c>
      <c r="C1416" s="384" t="s">
        <v>76</v>
      </c>
      <c r="D1416" s="385" t="s">
        <v>8497</v>
      </c>
    </row>
    <row r="1417" spans="1:4" x14ac:dyDescent="0.25">
      <c r="A1417" s="384" t="s">
        <v>8498</v>
      </c>
      <c r="B1417" s="384" t="s">
        <v>8499</v>
      </c>
      <c r="C1417" s="384" t="s">
        <v>76</v>
      </c>
      <c r="D1417" s="385" t="s">
        <v>8500</v>
      </c>
    </row>
    <row r="1418" spans="1:4" x14ac:dyDescent="0.25">
      <c r="A1418" s="384" t="s">
        <v>8501</v>
      </c>
      <c r="B1418" s="384" t="s">
        <v>8502</v>
      </c>
      <c r="C1418" s="384" t="s">
        <v>76</v>
      </c>
      <c r="D1418" s="385" t="s">
        <v>8503</v>
      </c>
    </row>
    <row r="1419" spans="1:4" x14ac:dyDescent="0.25">
      <c r="A1419" s="384" t="s">
        <v>8504</v>
      </c>
      <c r="B1419" s="384" t="s">
        <v>8505</v>
      </c>
      <c r="C1419" s="384" t="s">
        <v>76</v>
      </c>
      <c r="D1419" s="385" t="s">
        <v>8506</v>
      </c>
    </row>
    <row r="1420" spans="1:4" x14ac:dyDescent="0.25">
      <c r="A1420" s="384" t="s">
        <v>8507</v>
      </c>
      <c r="B1420" s="384" t="s">
        <v>8508</v>
      </c>
      <c r="C1420" s="384" t="s">
        <v>76</v>
      </c>
      <c r="D1420" s="385" t="s">
        <v>8509</v>
      </c>
    </row>
    <row r="1421" spans="1:4" x14ac:dyDescent="0.25">
      <c r="A1421" s="384" t="s">
        <v>8510</v>
      </c>
      <c r="B1421" s="384" t="s">
        <v>8511</v>
      </c>
      <c r="C1421" s="384" t="s">
        <v>2884</v>
      </c>
      <c r="D1421" s="385" t="s">
        <v>8512</v>
      </c>
    </row>
    <row r="1422" spans="1:4" x14ac:dyDescent="0.25">
      <c r="A1422" s="384" t="s">
        <v>8513</v>
      </c>
      <c r="B1422" s="384" t="s">
        <v>8514</v>
      </c>
      <c r="C1422" s="384" t="s">
        <v>2884</v>
      </c>
      <c r="D1422" s="385" t="s">
        <v>8515</v>
      </c>
    </row>
    <row r="1423" spans="1:4" x14ac:dyDescent="0.25">
      <c r="A1423" s="384" t="s">
        <v>8516</v>
      </c>
      <c r="B1423" s="384" t="s">
        <v>8517</v>
      </c>
      <c r="C1423" s="384" t="s">
        <v>2884</v>
      </c>
      <c r="D1423" s="385" t="s">
        <v>8518</v>
      </c>
    </row>
    <row r="1424" spans="1:4" x14ac:dyDescent="0.25">
      <c r="A1424" s="384" t="s">
        <v>8519</v>
      </c>
      <c r="B1424" s="384" t="s">
        <v>8520</v>
      </c>
      <c r="C1424" s="384" t="s">
        <v>76</v>
      </c>
      <c r="D1424" s="385" t="s">
        <v>8521</v>
      </c>
    </row>
    <row r="1425" spans="1:4" x14ac:dyDescent="0.25">
      <c r="A1425" s="384" t="s">
        <v>8522</v>
      </c>
      <c r="B1425" s="384" t="s">
        <v>8523</v>
      </c>
      <c r="C1425" s="384" t="s">
        <v>2884</v>
      </c>
      <c r="D1425" s="385" t="s">
        <v>8524</v>
      </c>
    </row>
    <row r="1426" spans="1:4" x14ac:dyDescent="0.25">
      <c r="A1426" s="384" t="s">
        <v>8525</v>
      </c>
      <c r="B1426" s="384" t="s">
        <v>8526</v>
      </c>
      <c r="C1426" s="384" t="s">
        <v>2884</v>
      </c>
      <c r="D1426" s="385" t="s">
        <v>8527</v>
      </c>
    </row>
    <row r="1427" spans="1:4" x14ac:dyDescent="0.25">
      <c r="A1427" s="384" t="s">
        <v>8528</v>
      </c>
      <c r="B1427" s="384" t="s">
        <v>8529</v>
      </c>
      <c r="C1427" s="384" t="s">
        <v>2884</v>
      </c>
      <c r="D1427" s="385" t="s">
        <v>8530</v>
      </c>
    </row>
    <row r="1428" spans="1:4" x14ac:dyDescent="0.25">
      <c r="A1428" s="384" t="s">
        <v>8531</v>
      </c>
      <c r="B1428" s="384" t="s">
        <v>8532</v>
      </c>
      <c r="C1428" s="384" t="s">
        <v>2884</v>
      </c>
      <c r="D1428" s="385" t="s">
        <v>8533</v>
      </c>
    </row>
    <row r="1429" spans="1:4" x14ac:dyDescent="0.25">
      <c r="A1429" s="384" t="s">
        <v>8534</v>
      </c>
      <c r="B1429" s="384" t="s">
        <v>8535</v>
      </c>
      <c r="C1429" s="384" t="s">
        <v>2884</v>
      </c>
      <c r="D1429" s="385" t="s">
        <v>8536</v>
      </c>
    </row>
    <row r="1430" spans="1:4" x14ac:dyDescent="0.25">
      <c r="A1430" s="384" t="s">
        <v>8537</v>
      </c>
      <c r="B1430" s="384" t="s">
        <v>8538</v>
      </c>
      <c r="C1430" s="384" t="s">
        <v>2884</v>
      </c>
      <c r="D1430" s="385" t="s">
        <v>8539</v>
      </c>
    </row>
    <row r="1431" spans="1:4" x14ac:dyDescent="0.25">
      <c r="A1431" s="384" t="s">
        <v>8540</v>
      </c>
      <c r="B1431" s="384" t="s">
        <v>8541</v>
      </c>
      <c r="C1431" s="384" t="s">
        <v>2884</v>
      </c>
      <c r="D1431" s="385" t="s">
        <v>8542</v>
      </c>
    </row>
    <row r="1432" spans="1:4" x14ac:dyDescent="0.25">
      <c r="A1432" s="384" t="s">
        <v>8543</v>
      </c>
      <c r="B1432" s="384" t="s">
        <v>8544</v>
      </c>
      <c r="C1432" s="384" t="s">
        <v>2884</v>
      </c>
      <c r="D1432" s="385" t="s">
        <v>8545</v>
      </c>
    </row>
    <row r="1433" spans="1:4" x14ac:dyDescent="0.25">
      <c r="A1433" s="384" t="s">
        <v>8546</v>
      </c>
      <c r="B1433" s="384" t="s">
        <v>8547</v>
      </c>
      <c r="C1433" s="384" t="s">
        <v>2884</v>
      </c>
      <c r="D1433" s="385" t="s">
        <v>8548</v>
      </c>
    </row>
    <row r="1434" spans="1:4" x14ac:dyDescent="0.25">
      <c r="A1434" s="384" t="s">
        <v>8549</v>
      </c>
      <c r="B1434" s="384" t="s">
        <v>8550</v>
      </c>
      <c r="C1434" s="384" t="s">
        <v>2884</v>
      </c>
      <c r="D1434" s="385" t="s">
        <v>8551</v>
      </c>
    </row>
    <row r="1435" spans="1:4" x14ac:dyDescent="0.25">
      <c r="A1435" s="384" t="s">
        <v>8552</v>
      </c>
      <c r="B1435" s="384" t="s">
        <v>8553</v>
      </c>
      <c r="C1435" s="384" t="s">
        <v>2884</v>
      </c>
      <c r="D1435" s="385" t="s">
        <v>8554</v>
      </c>
    </row>
    <row r="1436" spans="1:4" x14ac:dyDescent="0.25">
      <c r="A1436" s="384" t="s">
        <v>8555</v>
      </c>
      <c r="B1436" s="384" t="s">
        <v>8556</v>
      </c>
      <c r="C1436" s="384" t="s">
        <v>2884</v>
      </c>
      <c r="D1436" s="385" t="s">
        <v>8557</v>
      </c>
    </row>
    <row r="1437" spans="1:4" x14ac:dyDescent="0.25">
      <c r="A1437" s="384" t="s">
        <v>8558</v>
      </c>
      <c r="B1437" s="384" t="s">
        <v>8559</v>
      </c>
      <c r="C1437" s="384" t="s">
        <v>2884</v>
      </c>
      <c r="D1437" s="385" t="s">
        <v>8560</v>
      </c>
    </row>
    <row r="1438" spans="1:4" x14ac:dyDescent="0.25">
      <c r="A1438" s="384" t="s">
        <v>8561</v>
      </c>
      <c r="B1438" s="384" t="s">
        <v>8562</v>
      </c>
      <c r="C1438" s="384" t="s">
        <v>2884</v>
      </c>
      <c r="D1438" s="385" t="s">
        <v>8563</v>
      </c>
    </row>
    <row r="1439" spans="1:4" x14ac:dyDescent="0.25">
      <c r="A1439" s="384" t="s">
        <v>8564</v>
      </c>
      <c r="B1439" s="384" t="s">
        <v>8565</v>
      </c>
      <c r="C1439" s="384" t="s">
        <v>2884</v>
      </c>
      <c r="D1439" s="385" t="s">
        <v>8566</v>
      </c>
    </row>
    <row r="1440" spans="1:4" x14ac:dyDescent="0.25">
      <c r="A1440" s="384" t="s">
        <v>8567</v>
      </c>
      <c r="B1440" s="384" t="s">
        <v>8568</v>
      </c>
      <c r="C1440" s="384" t="s">
        <v>2884</v>
      </c>
      <c r="D1440" s="385" t="s">
        <v>8569</v>
      </c>
    </row>
    <row r="1441" spans="1:4" x14ac:dyDescent="0.25">
      <c r="A1441" s="384" t="s">
        <v>8570</v>
      </c>
      <c r="B1441" s="384" t="s">
        <v>8571</v>
      </c>
      <c r="C1441" s="384" t="s">
        <v>2884</v>
      </c>
      <c r="D1441" s="385" t="s">
        <v>8572</v>
      </c>
    </row>
    <row r="1442" spans="1:4" x14ac:dyDescent="0.25">
      <c r="A1442" s="384" t="s">
        <v>8573</v>
      </c>
      <c r="B1442" s="384" t="s">
        <v>8574</v>
      </c>
      <c r="C1442" s="384" t="s">
        <v>2884</v>
      </c>
      <c r="D1442" s="385" t="s">
        <v>8575</v>
      </c>
    </row>
    <row r="1443" spans="1:4" x14ac:dyDescent="0.25">
      <c r="A1443" s="384" t="s">
        <v>8576</v>
      </c>
      <c r="B1443" s="384" t="s">
        <v>8577</v>
      </c>
      <c r="C1443" s="384" t="s">
        <v>2884</v>
      </c>
      <c r="D1443" s="385" t="s">
        <v>8578</v>
      </c>
    </row>
    <row r="1444" spans="1:4" x14ac:dyDescent="0.25">
      <c r="A1444" s="384" t="s">
        <v>8579</v>
      </c>
      <c r="B1444" s="384" t="s">
        <v>8580</v>
      </c>
      <c r="C1444" s="384" t="s">
        <v>2884</v>
      </c>
      <c r="D1444" s="385" t="s">
        <v>5627</v>
      </c>
    </row>
    <row r="1445" spans="1:4" x14ac:dyDescent="0.25">
      <c r="A1445" s="384" t="s">
        <v>8581</v>
      </c>
      <c r="B1445" s="384" t="s">
        <v>8582</v>
      </c>
      <c r="C1445" s="384" t="s">
        <v>2884</v>
      </c>
      <c r="D1445" s="385" t="s">
        <v>8583</v>
      </c>
    </row>
    <row r="1446" spans="1:4" x14ac:dyDescent="0.25">
      <c r="A1446" s="384" t="s">
        <v>8584</v>
      </c>
      <c r="B1446" s="384" t="s">
        <v>8585</v>
      </c>
      <c r="C1446" s="384" t="s">
        <v>2884</v>
      </c>
      <c r="D1446" s="385" t="s">
        <v>8586</v>
      </c>
    </row>
    <row r="1447" spans="1:4" x14ac:dyDescent="0.25">
      <c r="A1447" s="384" t="s">
        <v>8587</v>
      </c>
      <c r="B1447" s="384" t="s">
        <v>8588</v>
      </c>
      <c r="C1447" s="384" t="s">
        <v>2884</v>
      </c>
      <c r="D1447" s="385" t="s">
        <v>8589</v>
      </c>
    </row>
    <row r="1448" spans="1:4" x14ac:dyDescent="0.25">
      <c r="A1448" s="384" t="s">
        <v>8590</v>
      </c>
      <c r="B1448" s="384" t="s">
        <v>8591</v>
      </c>
      <c r="C1448" s="384" t="s">
        <v>2884</v>
      </c>
      <c r="D1448" s="385" t="s">
        <v>8592</v>
      </c>
    </row>
    <row r="1449" spans="1:4" x14ac:dyDescent="0.25">
      <c r="A1449" s="384" t="s">
        <v>8593</v>
      </c>
      <c r="B1449" s="384" t="s">
        <v>8594</v>
      </c>
      <c r="C1449" s="384" t="s">
        <v>2884</v>
      </c>
      <c r="D1449" s="385" t="s">
        <v>8595</v>
      </c>
    </row>
    <row r="1450" spans="1:4" x14ac:dyDescent="0.25">
      <c r="A1450" s="384" t="s">
        <v>8596</v>
      </c>
      <c r="B1450" s="384" t="s">
        <v>8597</v>
      </c>
      <c r="C1450" s="384" t="s">
        <v>2884</v>
      </c>
      <c r="D1450" s="385" t="s">
        <v>8598</v>
      </c>
    </row>
    <row r="1451" spans="1:4" x14ac:dyDescent="0.25">
      <c r="A1451" s="384" t="s">
        <v>8599</v>
      </c>
      <c r="B1451" s="384" t="s">
        <v>8600</v>
      </c>
      <c r="C1451" s="384" t="s">
        <v>2884</v>
      </c>
      <c r="D1451" s="385" t="s">
        <v>8601</v>
      </c>
    </row>
    <row r="1452" spans="1:4" x14ac:dyDescent="0.25">
      <c r="A1452" s="384" t="s">
        <v>8602</v>
      </c>
      <c r="B1452" s="384" t="s">
        <v>8603</v>
      </c>
      <c r="C1452" s="384" t="s">
        <v>2884</v>
      </c>
      <c r="D1452" s="385" t="s">
        <v>8604</v>
      </c>
    </row>
    <row r="1453" spans="1:4" x14ac:dyDescent="0.25">
      <c r="A1453" s="384" t="s">
        <v>8605</v>
      </c>
      <c r="B1453" s="384" t="s">
        <v>8606</v>
      </c>
      <c r="C1453" s="384" t="s">
        <v>2884</v>
      </c>
      <c r="D1453" s="385" t="s">
        <v>8607</v>
      </c>
    </row>
    <row r="1454" spans="1:4" x14ac:dyDescent="0.25">
      <c r="A1454" s="384" t="s">
        <v>8608</v>
      </c>
      <c r="B1454" s="384" t="s">
        <v>8609</v>
      </c>
      <c r="C1454" s="384" t="s">
        <v>2884</v>
      </c>
      <c r="D1454" s="385" t="s">
        <v>8610</v>
      </c>
    </row>
    <row r="1455" spans="1:4" x14ac:dyDescent="0.25">
      <c r="A1455" s="384" t="s">
        <v>8611</v>
      </c>
      <c r="B1455" s="384" t="s">
        <v>8612</v>
      </c>
      <c r="C1455" s="384" t="s">
        <v>2884</v>
      </c>
      <c r="D1455" s="385" t="s">
        <v>8613</v>
      </c>
    </row>
    <row r="1456" spans="1:4" x14ac:dyDescent="0.25">
      <c r="A1456" s="384" t="s">
        <v>8614</v>
      </c>
      <c r="B1456" s="384" t="s">
        <v>8615</v>
      </c>
      <c r="C1456" s="384" t="s">
        <v>2884</v>
      </c>
      <c r="D1456" s="385" t="s">
        <v>8616</v>
      </c>
    </row>
    <row r="1457" spans="1:4" x14ac:dyDescent="0.25">
      <c r="A1457" s="384" t="s">
        <v>8617</v>
      </c>
      <c r="B1457" s="384" t="s">
        <v>8618</v>
      </c>
      <c r="C1457" s="384" t="s">
        <v>82</v>
      </c>
      <c r="D1457" s="385" t="s">
        <v>8619</v>
      </c>
    </row>
    <row r="1458" spans="1:4" x14ac:dyDescent="0.25">
      <c r="A1458" s="384" t="s">
        <v>8620</v>
      </c>
      <c r="B1458" s="384" t="s">
        <v>8621</v>
      </c>
      <c r="C1458" s="384" t="s">
        <v>82</v>
      </c>
      <c r="D1458" s="385" t="s">
        <v>8622</v>
      </c>
    </row>
    <row r="1459" spans="1:4" x14ac:dyDescent="0.25">
      <c r="A1459" s="384" t="s">
        <v>8623</v>
      </c>
      <c r="B1459" s="384" t="s">
        <v>8624</v>
      </c>
      <c r="C1459" s="384" t="s">
        <v>82</v>
      </c>
      <c r="D1459" s="385" t="s">
        <v>8625</v>
      </c>
    </row>
    <row r="1460" spans="1:4" x14ac:dyDescent="0.25">
      <c r="A1460" s="384" t="s">
        <v>8626</v>
      </c>
      <c r="B1460" s="384" t="s">
        <v>8627</v>
      </c>
      <c r="C1460" s="384" t="s">
        <v>82</v>
      </c>
      <c r="D1460" s="385" t="s">
        <v>8628</v>
      </c>
    </row>
    <row r="1461" spans="1:4" x14ac:dyDescent="0.25">
      <c r="A1461" s="384" t="s">
        <v>8629</v>
      </c>
      <c r="B1461" s="384" t="s">
        <v>8630</v>
      </c>
      <c r="C1461" s="384" t="s">
        <v>82</v>
      </c>
      <c r="D1461" s="385" t="s">
        <v>8631</v>
      </c>
    </row>
    <row r="1462" spans="1:4" x14ac:dyDescent="0.25">
      <c r="A1462" s="384" t="s">
        <v>8632</v>
      </c>
      <c r="B1462" s="384" t="s">
        <v>8633</v>
      </c>
      <c r="C1462" s="384" t="s">
        <v>82</v>
      </c>
      <c r="D1462" s="385" t="s">
        <v>8634</v>
      </c>
    </row>
    <row r="1463" spans="1:4" x14ac:dyDescent="0.25">
      <c r="A1463" s="384" t="s">
        <v>8635</v>
      </c>
      <c r="B1463" s="384" t="s">
        <v>8636</v>
      </c>
      <c r="C1463" s="384" t="s">
        <v>82</v>
      </c>
      <c r="D1463" s="385" t="s">
        <v>8637</v>
      </c>
    </row>
    <row r="1464" spans="1:4" x14ac:dyDescent="0.25">
      <c r="A1464" s="384" t="s">
        <v>8638</v>
      </c>
      <c r="B1464" s="384" t="s">
        <v>8639</v>
      </c>
      <c r="C1464" s="384" t="s">
        <v>82</v>
      </c>
      <c r="D1464" s="385" t="s">
        <v>8640</v>
      </c>
    </row>
    <row r="1465" spans="1:4" x14ac:dyDescent="0.25">
      <c r="A1465" s="384" t="s">
        <v>8641</v>
      </c>
      <c r="B1465" s="384" t="s">
        <v>8642</v>
      </c>
      <c r="C1465" s="384" t="s">
        <v>82</v>
      </c>
      <c r="D1465" s="385" t="s">
        <v>8643</v>
      </c>
    </row>
    <row r="1466" spans="1:4" x14ac:dyDescent="0.25">
      <c r="A1466" s="384" t="s">
        <v>8644</v>
      </c>
      <c r="B1466" s="384" t="s">
        <v>8645</v>
      </c>
      <c r="C1466" s="384" t="s">
        <v>82</v>
      </c>
      <c r="D1466" s="385" t="s">
        <v>8646</v>
      </c>
    </row>
    <row r="1467" spans="1:4" x14ac:dyDescent="0.25">
      <c r="A1467" s="384" t="s">
        <v>8647</v>
      </c>
      <c r="B1467" s="384" t="s">
        <v>8648</v>
      </c>
      <c r="C1467" s="384" t="s">
        <v>82</v>
      </c>
      <c r="D1467" s="385" t="s">
        <v>8649</v>
      </c>
    </row>
    <row r="1468" spans="1:4" x14ac:dyDescent="0.25">
      <c r="A1468" s="384" t="s">
        <v>8650</v>
      </c>
      <c r="B1468" s="384" t="s">
        <v>8651</v>
      </c>
      <c r="C1468" s="384" t="s">
        <v>82</v>
      </c>
      <c r="D1468" s="385" t="s">
        <v>8652</v>
      </c>
    </row>
    <row r="1469" spans="1:4" x14ac:dyDescent="0.25">
      <c r="A1469" s="384" t="s">
        <v>8653</v>
      </c>
      <c r="B1469" s="384" t="s">
        <v>8654</v>
      </c>
      <c r="C1469" s="384" t="s">
        <v>82</v>
      </c>
      <c r="D1469" s="385" t="s">
        <v>8655</v>
      </c>
    </row>
    <row r="1470" spans="1:4" x14ac:dyDescent="0.25">
      <c r="A1470" s="384" t="s">
        <v>8656</v>
      </c>
      <c r="B1470" s="384" t="s">
        <v>8657</v>
      </c>
      <c r="C1470" s="384" t="s">
        <v>82</v>
      </c>
      <c r="D1470" s="385" t="s">
        <v>8658</v>
      </c>
    </row>
    <row r="1471" spans="1:4" x14ac:dyDescent="0.25">
      <c r="A1471" s="384" t="s">
        <v>8659</v>
      </c>
      <c r="B1471" s="384" t="s">
        <v>8660</v>
      </c>
      <c r="C1471" s="384" t="s">
        <v>82</v>
      </c>
      <c r="D1471" s="385" t="s">
        <v>8661</v>
      </c>
    </row>
    <row r="1472" spans="1:4" x14ac:dyDescent="0.25">
      <c r="A1472" s="384" t="s">
        <v>8662</v>
      </c>
      <c r="B1472" s="384" t="s">
        <v>8663</v>
      </c>
      <c r="C1472" s="384" t="s">
        <v>82</v>
      </c>
      <c r="D1472" s="385" t="s">
        <v>8664</v>
      </c>
    </row>
    <row r="1473" spans="1:4" x14ac:dyDescent="0.25">
      <c r="A1473" s="384" t="s">
        <v>8665</v>
      </c>
      <c r="B1473" s="384" t="s">
        <v>8666</v>
      </c>
      <c r="C1473" s="384" t="s">
        <v>82</v>
      </c>
      <c r="D1473" s="385" t="s">
        <v>8667</v>
      </c>
    </row>
    <row r="1474" spans="1:4" x14ac:dyDescent="0.25">
      <c r="A1474" s="384" t="s">
        <v>8668</v>
      </c>
      <c r="B1474" s="384" t="s">
        <v>8669</v>
      </c>
      <c r="C1474" s="384" t="s">
        <v>82</v>
      </c>
      <c r="D1474" s="385" t="s">
        <v>8670</v>
      </c>
    </row>
    <row r="1475" spans="1:4" x14ac:dyDescent="0.25">
      <c r="A1475" s="384" t="s">
        <v>8671</v>
      </c>
      <c r="B1475" s="384" t="s">
        <v>8672</v>
      </c>
      <c r="C1475" s="384" t="s">
        <v>82</v>
      </c>
      <c r="D1475" s="385" t="s">
        <v>8673</v>
      </c>
    </row>
    <row r="1476" spans="1:4" x14ac:dyDescent="0.25">
      <c r="A1476" s="384" t="s">
        <v>8674</v>
      </c>
      <c r="B1476" s="384" t="s">
        <v>8675</v>
      </c>
      <c r="C1476" s="384" t="s">
        <v>82</v>
      </c>
      <c r="D1476" s="385" t="s">
        <v>8676</v>
      </c>
    </row>
    <row r="1477" spans="1:4" x14ac:dyDescent="0.25">
      <c r="A1477" s="384" t="s">
        <v>8677</v>
      </c>
      <c r="B1477" s="384" t="s">
        <v>8678</v>
      </c>
      <c r="C1477" s="384" t="s">
        <v>83</v>
      </c>
      <c r="D1477" s="385" t="s">
        <v>8026</v>
      </c>
    </row>
    <row r="1478" spans="1:4" x14ac:dyDescent="0.25">
      <c r="A1478" s="384" t="s">
        <v>8679</v>
      </c>
      <c r="B1478" s="384" t="s">
        <v>8680</v>
      </c>
      <c r="C1478" s="384" t="s">
        <v>2884</v>
      </c>
      <c r="D1478" s="385" t="s">
        <v>8681</v>
      </c>
    </row>
    <row r="1479" spans="1:4" x14ac:dyDescent="0.25">
      <c r="A1479" s="384" t="s">
        <v>8682</v>
      </c>
      <c r="B1479" s="384" t="s">
        <v>8683</v>
      </c>
      <c r="C1479" s="384" t="s">
        <v>2884</v>
      </c>
      <c r="D1479" s="385" t="s">
        <v>8684</v>
      </c>
    </row>
    <row r="1480" spans="1:4" x14ac:dyDescent="0.25">
      <c r="A1480" s="384" t="s">
        <v>8685</v>
      </c>
      <c r="B1480" s="384" t="s">
        <v>8686</v>
      </c>
      <c r="C1480" s="384" t="s">
        <v>2884</v>
      </c>
      <c r="D1480" s="385" t="s">
        <v>8687</v>
      </c>
    </row>
    <row r="1481" spans="1:4" x14ac:dyDescent="0.25">
      <c r="A1481" s="384" t="s">
        <v>8688</v>
      </c>
      <c r="B1481" s="384" t="s">
        <v>8689</v>
      </c>
      <c r="C1481" s="384" t="s">
        <v>2884</v>
      </c>
      <c r="D1481" s="385" t="s">
        <v>8690</v>
      </c>
    </row>
    <row r="1482" spans="1:4" x14ac:dyDescent="0.25">
      <c r="A1482" s="384" t="s">
        <v>8691</v>
      </c>
      <c r="B1482" s="384" t="s">
        <v>8692</v>
      </c>
      <c r="C1482" s="384" t="s">
        <v>2884</v>
      </c>
      <c r="D1482" s="385" t="s">
        <v>8693</v>
      </c>
    </row>
    <row r="1483" spans="1:4" x14ac:dyDescent="0.25">
      <c r="A1483" s="384" t="s">
        <v>8694</v>
      </c>
      <c r="B1483" s="384" t="s">
        <v>8695</v>
      </c>
      <c r="C1483" s="384" t="s">
        <v>77</v>
      </c>
      <c r="D1483" s="385" t="s">
        <v>7901</v>
      </c>
    </row>
    <row r="1484" spans="1:4" x14ac:dyDescent="0.25">
      <c r="A1484" s="384" t="s">
        <v>8696</v>
      </c>
      <c r="B1484" s="384" t="s">
        <v>8697</v>
      </c>
      <c r="C1484" s="384" t="s">
        <v>77</v>
      </c>
      <c r="D1484" s="385" t="s">
        <v>8698</v>
      </c>
    </row>
    <row r="1485" spans="1:4" x14ac:dyDescent="0.25">
      <c r="A1485" s="384" t="s">
        <v>8699</v>
      </c>
      <c r="B1485" s="384" t="s">
        <v>8700</v>
      </c>
      <c r="C1485" s="384" t="s">
        <v>77</v>
      </c>
      <c r="D1485" s="385" t="s">
        <v>8701</v>
      </c>
    </row>
    <row r="1486" spans="1:4" x14ac:dyDescent="0.25">
      <c r="A1486" s="384" t="s">
        <v>8702</v>
      </c>
      <c r="B1486" s="384" t="s">
        <v>8703</v>
      </c>
      <c r="C1486" s="384" t="s">
        <v>77</v>
      </c>
      <c r="D1486" s="385" t="s">
        <v>8704</v>
      </c>
    </row>
    <row r="1487" spans="1:4" x14ac:dyDescent="0.25">
      <c r="A1487" s="384" t="s">
        <v>8705</v>
      </c>
      <c r="B1487" s="384" t="s">
        <v>8706</v>
      </c>
      <c r="C1487" s="384" t="s">
        <v>77</v>
      </c>
      <c r="D1487" s="385" t="s">
        <v>8707</v>
      </c>
    </row>
    <row r="1488" spans="1:4" x14ac:dyDescent="0.25">
      <c r="A1488" s="384" t="s">
        <v>8708</v>
      </c>
      <c r="B1488" s="384" t="s">
        <v>8709</v>
      </c>
      <c r="C1488" s="384" t="s">
        <v>77</v>
      </c>
      <c r="D1488" s="385" t="s">
        <v>8710</v>
      </c>
    </row>
    <row r="1489" spans="1:4" x14ac:dyDescent="0.25">
      <c r="A1489" s="384" t="s">
        <v>8711</v>
      </c>
      <c r="B1489" s="384" t="s">
        <v>8712</v>
      </c>
      <c r="C1489" s="384" t="s">
        <v>77</v>
      </c>
      <c r="D1489" s="385" t="s">
        <v>8713</v>
      </c>
    </row>
    <row r="1490" spans="1:4" x14ac:dyDescent="0.25">
      <c r="A1490" s="384" t="s">
        <v>8714</v>
      </c>
      <c r="B1490" s="384" t="s">
        <v>8715</v>
      </c>
      <c r="C1490" s="384" t="s">
        <v>76</v>
      </c>
      <c r="D1490" s="385" t="s">
        <v>8716</v>
      </c>
    </row>
    <row r="1491" spans="1:4" x14ac:dyDescent="0.25">
      <c r="A1491" s="384" t="s">
        <v>8717</v>
      </c>
      <c r="B1491" s="384" t="s">
        <v>8718</v>
      </c>
      <c r="C1491" s="384" t="s">
        <v>82</v>
      </c>
      <c r="D1491" s="385" t="s">
        <v>8719</v>
      </c>
    </row>
    <row r="1492" spans="1:4" x14ac:dyDescent="0.25">
      <c r="A1492" s="384" t="s">
        <v>8720</v>
      </c>
      <c r="B1492" s="384" t="s">
        <v>8721</v>
      </c>
      <c r="C1492" s="384" t="s">
        <v>82</v>
      </c>
      <c r="D1492" s="385" t="s">
        <v>8722</v>
      </c>
    </row>
    <row r="1493" spans="1:4" x14ac:dyDescent="0.25">
      <c r="A1493" s="384" t="s">
        <v>8723</v>
      </c>
      <c r="B1493" s="384" t="s">
        <v>8724</v>
      </c>
      <c r="C1493" s="384" t="s">
        <v>82</v>
      </c>
      <c r="D1493" s="385" t="s">
        <v>8725</v>
      </c>
    </row>
    <row r="1494" spans="1:4" x14ac:dyDescent="0.25">
      <c r="A1494" s="384" t="s">
        <v>8726</v>
      </c>
      <c r="B1494" s="384" t="s">
        <v>8727</v>
      </c>
      <c r="C1494" s="384" t="s">
        <v>82</v>
      </c>
      <c r="D1494" s="385" t="s">
        <v>8728</v>
      </c>
    </row>
    <row r="1495" spans="1:4" x14ac:dyDescent="0.25">
      <c r="A1495" s="384" t="s">
        <v>8729</v>
      </c>
      <c r="B1495" s="384" t="s">
        <v>8730</v>
      </c>
      <c r="C1495" s="384" t="s">
        <v>82</v>
      </c>
      <c r="D1495" s="385" t="s">
        <v>8731</v>
      </c>
    </row>
    <row r="1496" spans="1:4" x14ac:dyDescent="0.25">
      <c r="A1496" s="384" t="s">
        <v>8732</v>
      </c>
      <c r="B1496" s="384" t="s">
        <v>8733</v>
      </c>
      <c r="C1496" s="384" t="s">
        <v>82</v>
      </c>
      <c r="D1496" s="385" t="s">
        <v>8734</v>
      </c>
    </row>
    <row r="1497" spans="1:4" x14ac:dyDescent="0.25">
      <c r="A1497" s="384" t="s">
        <v>8735</v>
      </c>
      <c r="B1497" s="384" t="s">
        <v>8736</v>
      </c>
      <c r="C1497" s="384" t="s">
        <v>82</v>
      </c>
      <c r="D1497" s="385" t="s">
        <v>8737</v>
      </c>
    </row>
    <row r="1498" spans="1:4" x14ac:dyDescent="0.25">
      <c r="A1498" s="384" t="s">
        <v>8738</v>
      </c>
      <c r="B1498" s="384" t="s">
        <v>8739</v>
      </c>
      <c r="C1498" s="384" t="s">
        <v>82</v>
      </c>
      <c r="D1498" s="385" t="s">
        <v>8740</v>
      </c>
    </row>
    <row r="1499" spans="1:4" x14ac:dyDescent="0.25">
      <c r="A1499" s="384" t="s">
        <v>8741</v>
      </c>
      <c r="B1499" s="384" t="s">
        <v>8742</v>
      </c>
      <c r="C1499" s="384" t="s">
        <v>82</v>
      </c>
      <c r="D1499" s="385" t="s">
        <v>8743</v>
      </c>
    </row>
    <row r="1500" spans="1:4" x14ac:dyDescent="0.25">
      <c r="A1500" s="384" t="s">
        <v>8744</v>
      </c>
      <c r="B1500" s="384" t="s">
        <v>8745</v>
      </c>
      <c r="C1500" s="384" t="s">
        <v>82</v>
      </c>
      <c r="D1500" s="385" t="s">
        <v>8746</v>
      </c>
    </row>
    <row r="1501" spans="1:4" x14ac:dyDescent="0.25">
      <c r="A1501" s="384" t="s">
        <v>8747</v>
      </c>
      <c r="B1501" s="384" t="s">
        <v>8748</v>
      </c>
      <c r="C1501" s="384" t="s">
        <v>82</v>
      </c>
      <c r="D1501" s="385" t="s">
        <v>8749</v>
      </c>
    </row>
    <row r="1502" spans="1:4" x14ac:dyDescent="0.25">
      <c r="A1502" s="384" t="s">
        <v>8750</v>
      </c>
      <c r="B1502" s="384" t="s">
        <v>8751</v>
      </c>
      <c r="C1502" s="384" t="s">
        <v>82</v>
      </c>
      <c r="D1502" s="385" t="s">
        <v>8752</v>
      </c>
    </row>
    <row r="1503" spans="1:4" x14ac:dyDescent="0.25">
      <c r="A1503" s="384" t="s">
        <v>8753</v>
      </c>
      <c r="B1503" s="384" t="s">
        <v>8754</v>
      </c>
      <c r="C1503" s="384" t="s">
        <v>83</v>
      </c>
      <c r="D1503" s="385" t="s">
        <v>8755</v>
      </c>
    </row>
    <row r="1504" spans="1:4" x14ac:dyDescent="0.25">
      <c r="A1504" s="384" t="s">
        <v>8756</v>
      </c>
      <c r="B1504" s="384" t="s">
        <v>8757</v>
      </c>
      <c r="C1504" s="384" t="s">
        <v>83</v>
      </c>
      <c r="D1504" s="385" t="s">
        <v>8758</v>
      </c>
    </row>
    <row r="1505" spans="1:4" x14ac:dyDescent="0.25">
      <c r="A1505" s="384" t="s">
        <v>8759</v>
      </c>
      <c r="B1505" s="384" t="s">
        <v>8760</v>
      </c>
      <c r="C1505" s="384" t="s">
        <v>83</v>
      </c>
      <c r="D1505" s="385" t="s">
        <v>8761</v>
      </c>
    </row>
    <row r="1506" spans="1:4" x14ac:dyDescent="0.25">
      <c r="A1506" s="384" t="s">
        <v>8762</v>
      </c>
      <c r="B1506" s="384" t="s">
        <v>8763</v>
      </c>
      <c r="C1506" s="384" t="s">
        <v>83</v>
      </c>
      <c r="D1506" s="385" t="s">
        <v>8764</v>
      </c>
    </row>
    <row r="1507" spans="1:4" x14ac:dyDescent="0.25">
      <c r="A1507" s="384" t="s">
        <v>8765</v>
      </c>
      <c r="B1507" s="384" t="s">
        <v>8766</v>
      </c>
      <c r="C1507" s="384" t="s">
        <v>83</v>
      </c>
      <c r="D1507" s="385" t="s">
        <v>8767</v>
      </c>
    </row>
    <row r="1508" spans="1:4" x14ac:dyDescent="0.25">
      <c r="A1508" s="384" t="s">
        <v>8768</v>
      </c>
      <c r="B1508" s="384" t="s">
        <v>8769</v>
      </c>
      <c r="C1508" s="384" t="s">
        <v>83</v>
      </c>
      <c r="D1508" s="385" t="s">
        <v>8770</v>
      </c>
    </row>
    <row r="1509" spans="1:4" x14ac:dyDescent="0.25">
      <c r="A1509" s="384" t="s">
        <v>8771</v>
      </c>
      <c r="B1509" s="384" t="s">
        <v>8772</v>
      </c>
      <c r="C1509" s="384" t="s">
        <v>83</v>
      </c>
      <c r="D1509" s="385" t="s">
        <v>8773</v>
      </c>
    </row>
    <row r="1510" spans="1:4" x14ac:dyDescent="0.25">
      <c r="A1510" s="384" t="s">
        <v>8774</v>
      </c>
      <c r="B1510" s="384" t="s">
        <v>8775</v>
      </c>
      <c r="C1510" s="384" t="s">
        <v>83</v>
      </c>
      <c r="D1510" s="385" t="s">
        <v>8776</v>
      </c>
    </row>
    <row r="1511" spans="1:4" x14ac:dyDescent="0.25">
      <c r="A1511" s="384" t="s">
        <v>8777</v>
      </c>
      <c r="B1511" s="384" t="s">
        <v>8778</v>
      </c>
      <c r="C1511" s="384" t="s">
        <v>83</v>
      </c>
      <c r="D1511" s="385" t="s">
        <v>8779</v>
      </c>
    </row>
    <row r="1512" spans="1:4" x14ac:dyDescent="0.25">
      <c r="A1512" s="384" t="s">
        <v>8780</v>
      </c>
      <c r="B1512" s="384" t="s">
        <v>8781</v>
      </c>
      <c r="C1512" s="384" t="s">
        <v>83</v>
      </c>
      <c r="D1512" s="385" t="s">
        <v>8782</v>
      </c>
    </row>
    <row r="1513" spans="1:4" x14ac:dyDescent="0.25">
      <c r="A1513" s="384" t="s">
        <v>8783</v>
      </c>
      <c r="B1513" s="384" t="s">
        <v>8784</v>
      </c>
      <c r="C1513" s="384" t="s">
        <v>83</v>
      </c>
      <c r="D1513" s="385" t="s">
        <v>8785</v>
      </c>
    </row>
    <row r="1514" spans="1:4" x14ac:dyDescent="0.25">
      <c r="A1514" s="384" t="s">
        <v>8786</v>
      </c>
      <c r="B1514" s="384" t="s">
        <v>8787</v>
      </c>
      <c r="C1514" s="384" t="s">
        <v>83</v>
      </c>
      <c r="D1514" s="385" t="s">
        <v>8788</v>
      </c>
    </row>
    <row r="1515" spans="1:4" x14ac:dyDescent="0.25">
      <c r="A1515" s="384" t="s">
        <v>8789</v>
      </c>
      <c r="B1515" s="384" t="s">
        <v>8790</v>
      </c>
      <c r="C1515" s="384" t="s">
        <v>83</v>
      </c>
      <c r="D1515" s="385" t="s">
        <v>8791</v>
      </c>
    </row>
    <row r="1516" spans="1:4" x14ac:dyDescent="0.25">
      <c r="A1516" s="384" t="s">
        <v>8792</v>
      </c>
      <c r="B1516" s="384" t="s">
        <v>8793</v>
      </c>
      <c r="C1516" s="384" t="s">
        <v>83</v>
      </c>
      <c r="D1516" s="385" t="s">
        <v>8794</v>
      </c>
    </row>
    <row r="1517" spans="1:4" x14ac:dyDescent="0.25">
      <c r="A1517" s="384" t="s">
        <v>8795</v>
      </c>
      <c r="B1517" s="384" t="s">
        <v>8796</v>
      </c>
      <c r="C1517" s="384" t="s">
        <v>83</v>
      </c>
      <c r="D1517" s="385" t="s">
        <v>8797</v>
      </c>
    </row>
    <row r="1518" spans="1:4" x14ac:dyDescent="0.25">
      <c r="A1518" s="384" t="s">
        <v>8798</v>
      </c>
      <c r="B1518" s="384" t="s">
        <v>8799</v>
      </c>
      <c r="C1518" s="384" t="s">
        <v>83</v>
      </c>
      <c r="D1518" s="385" t="s">
        <v>8800</v>
      </c>
    </row>
    <row r="1519" spans="1:4" x14ac:dyDescent="0.25">
      <c r="A1519" s="384" t="s">
        <v>8801</v>
      </c>
      <c r="B1519" s="384" t="s">
        <v>8802</v>
      </c>
      <c r="C1519" s="384" t="s">
        <v>83</v>
      </c>
      <c r="D1519" s="385" t="s">
        <v>8803</v>
      </c>
    </row>
    <row r="1520" spans="1:4" x14ac:dyDescent="0.25">
      <c r="A1520" s="384" t="s">
        <v>8804</v>
      </c>
      <c r="B1520" s="384" t="s">
        <v>8805</v>
      </c>
      <c r="C1520" s="384" t="s">
        <v>83</v>
      </c>
      <c r="D1520" s="385" t="s">
        <v>8806</v>
      </c>
    </row>
    <row r="1521" spans="1:4" x14ac:dyDescent="0.25">
      <c r="A1521" s="384" t="s">
        <v>8807</v>
      </c>
      <c r="B1521" s="384" t="s">
        <v>8808</v>
      </c>
      <c r="C1521" s="384" t="s">
        <v>83</v>
      </c>
      <c r="D1521" s="385" t="s">
        <v>8809</v>
      </c>
    </row>
    <row r="1522" spans="1:4" x14ac:dyDescent="0.25">
      <c r="A1522" s="384" t="s">
        <v>8810</v>
      </c>
      <c r="B1522" s="384" t="s">
        <v>8811</v>
      </c>
      <c r="C1522" s="384" t="s">
        <v>83</v>
      </c>
      <c r="D1522" s="385" t="s">
        <v>8812</v>
      </c>
    </row>
    <row r="1523" spans="1:4" x14ac:dyDescent="0.25">
      <c r="A1523" s="384" t="s">
        <v>8813</v>
      </c>
      <c r="B1523" s="384" t="s">
        <v>8814</v>
      </c>
      <c r="C1523" s="384" t="s">
        <v>83</v>
      </c>
      <c r="D1523" s="385" t="s">
        <v>8815</v>
      </c>
    </row>
    <row r="1524" spans="1:4" x14ac:dyDescent="0.25">
      <c r="A1524" s="384" t="s">
        <v>8816</v>
      </c>
      <c r="B1524" s="384" t="s">
        <v>8817</v>
      </c>
      <c r="C1524" s="384" t="s">
        <v>83</v>
      </c>
      <c r="D1524" s="385" t="s">
        <v>8818</v>
      </c>
    </row>
    <row r="1525" spans="1:4" x14ac:dyDescent="0.25">
      <c r="A1525" s="384" t="s">
        <v>8819</v>
      </c>
      <c r="B1525" s="384" t="s">
        <v>8820</v>
      </c>
      <c r="C1525" s="384" t="s">
        <v>83</v>
      </c>
      <c r="D1525" s="385" t="s">
        <v>8821</v>
      </c>
    </row>
    <row r="1526" spans="1:4" x14ac:dyDescent="0.25">
      <c r="A1526" s="384" t="s">
        <v>8822</v>
      </c>
      <c r="B1526" s="384" t="s">
        <v>8823</v>
      </c>
      <c r="C1526" s="384" t="s">
        <v>83</v>
      </c>
      <c r="D1526" s="385" t="s">
        <v>8824</v>
      </c>
    </row>
    <row r="1527" spans="1:4" x14ac:dyDescent="0.25">
      <c r="A1527" s="384" t="s">
        <v>8825</v>
      </c>
      <c r="B1527" s="384" t="s">
        <v>8826</v>
      </c>
      <c r="C1527" s="384" t="s">
        <v>83</v>
      </c>
      <c r="D1527" s="385" t="s">
        <v>8827</v>
      </c>
    </row>
    <row r="1528" spans="1:4" x14ac:dyDescent="0.25">
      <c r="A1528" s="384" t="s">
        <v>8828</v>
      </c>
      <c r="B1528" s="384" t="s">
        <v>8829</v>
      </c>
      <c r="C1528" s="384" t="s">
        <v>83</v>
      </c>
      <c r="D1528" s="385" t="s">
        <v>8830</v>
      </c>
    </row>
    <row r="1529" spans="1:4" x14ac:dyDescent="0.25">
      <c r="A1529" s="384" t="s">
        <v>8831</v>
      </c>
      <c r="B1529" s="384" t="s">
        <v>8832</v>
      </c>
      <c r="C1529" s="384" t="s">
        <v>83</v>
      </c>
      <c r="D1529" s="385" t="s">
        <v>8833</v>
      </c>
    </row>
    <row r="1530" spans="1:4" x14ac:dyDescent="0.25">
      <c r="A1530" s="384" t="s">
        <v>8834</v>
      </c>
      <c r="B1530" s="384" t="s">
        <v>8835</v>
      </c>
      <c r="C1530" s="384" t="s">
        <v>83</v>
      </c>
      <c r="D1530" s="385" t="s">
        <v>8836</v>
      </c>
    </row>
    <row r="1531" spans="1:4" x14ac:dyDescent="0.25">
      <c r="A1531" s="384" t="s">
        <v>8837</v>
      </c>
      <c r="B1531" s="384" t="s">
        <v>8838</v>
      </c>
      <c r="C1531" s="384" t="s">
        <v>82</v>
      </c>
      <c r="D1531" s="385" t="s">
        <v>8839</v>
      </c>
    </row>
    <row r="1532" spans="1:4" x14ac:dyDescent="0.25">
      <c r="A1532" s="384" t="s">
        <v>8840</v>
      </c>
      <c r="B1532" s="384" t="s">
        <v>8841</v>
      </c>
      <c r="C1532" s="384" t="s">
        <v>82</v>
      </c>
      <c r="D1532" s="385" t="s">
        <v>8842</v>
      </c>
    </row>
    <row r="1533" spans="1:4" x14ac:dyDescent="0.25">
      <c r="A1533" s="384" t="s">
        <v>8843</v>
      </c>
      <c r="B1533" s="384" t="s">
        <v>8844</v>
      </c>
      <c r="C1533" s="384" t="s">
        <v>82</v>
      </c>
      <c r="D1533" s="385" t="s">
        <v>8845</v>
      </c>
    </row>
    <row r="1534" spans="1:4" x14ac:dyDescent="0.25">
      <c r="A1534" s="384" t="s">
        <v>8846</v>
      </c>
      <c r="B1534" s="384" t="s">
        <v>8847</v>
      </c>
      <c r="C1534" s="384" t="s">
        <v>82</v>
      </c>
      <c r="D1534" s="385" t="s">
        <v>8848</v>
      </c>
    </row>
    <row r="1535" spans="1:4" x14ac:dyDescent="0.25">
      <c r="A1535" s="384" t="s">
        <v>8849</v>
      </c>
      <c r="B1535" s="384" t="s">
        <v>8850</v>
      </c>
      <c r="C1535" s="384" t="s">
        <v>83</v>
      </c>
      <c r="D1535" s="385" t="s">
        <v>8851</v>
      </c>
    </row>
    <row r="1536" spans="1:4" x14ac:dyDescent="0.25">
      <c r="A1536" s="384" t="s">
        <v>8852</v>
      </c>
      <c r="B1536" s="384" t="s">
        <v>8853</v>
      </c>
      <c r="C1536" s="384" t="s">
        <v>82</v>
      </c>
      <c r="D1536" s="385" t="s">
        <v>8854</v>
      </c>
    </row>
    <row r="1537" spans="1:4" x14ac:dyDescent="0.25">
      <c r="A1537" s="384" t="s">
        <v>8855</v>
      </c>
      <c r="B1537" s="384" t="s">
        <v>8856</v>
      </c>
      <c r="C1537" s="384" t="s">
        <v>82</v>
      </c>
      <c r="D1537" s="385" t="s">
        <v>8857</v>
      </c>
    </row>
    <row r="1538" spans="1:4" x14ac:dyDescent="0.25">
      <c r="A1538" s="384" t="s">
        <v>8858</v>
      </c>
      <c r="B1538" s="384" t="s">
        <v>8859</v>
      </c>
      <c r="C1538" s="384" t="s">
        <v>83</v>
      </c>
      <c r="D1538" s="385" t="s">
        <v>8860</v>
      </c>
    </row>
    <row r="1539" spans="1:4" x14ac:dyDescent="0.25">
      <c r="A1539" s="384" t="s">
        <v>8861</v>
      </c>
      <c r="B1539" s="384" t="s">
        <v>8862</v>
      </c>
      <c r="C1539" s="384" t="s">
        <v>82</v>
      </c>
      <c r="D1539" s="385" t="s">
        <v>8863</v>
      </c>
    </row>
    <row r="1540" spans="1:4" x14ac:dyDescent="0.25">
      <c r="A1540" s="384" t="s">
        <v>8864</v>
      </c>
      <c r="B1540" s="384" t="s">
        <v>8865</v>
      </c>
      <c r="C1540" s="384" t="s">
        <v>83</v>
      </c>
      <c r="D1540" s="385" t="s">
        <v>8866</v>
      </c>
    </row>
    <row r="1541" spans="1:4" x14ac:dyDescent="0.25">
      <c r="A1541" s="384" t="s">
        <v>8867</v>
      </c>
      <c r="B1541" s="384" t="s">
        <v>8868</v>
      </c>
      <c r="C1541" s="384" t="s">
        <v>82</v>
      </c>
      <c r="D1541" s="385" t="s">
        <v>8869</v>
      </c>
    </row>
    <row r="1542" spans="1:4" x14ac:dyDescent="0.25">
      <c r="A1542" s="384" t="s">
        <v>8870</v>
      </c>
      <c r="B1542" s="384" t="s">
        <v>8871</v>
      </c>
      <c r="C1542" s="384" t="s">
        <v>83</v>
      </c>
      <c r="D1542" s="385" t="s">
        <v>8872</v>
      </c>
    </row>
    <row r="1543" spans="1:4" x14ac:dyDescent="0.25">
      <c r="A1543" s="384" t="s">
        <v>8873</v>
      </c>
      <c r="B1543" s="384" t="s">
        <v>8874</v>
      </c>
      <c r="C1543" s="384" t="s">
        <v>82</v>
      </c>
      <c r="D1543" s="385" t="s">
        <v>8875</v>
      </c>
    </row>
    <row r="1544" spans="1:4" x14ac:dyDescent="0.25">
      <c r="A1544" s="384" t="s">
        <v>8876</v>
      </c>
      <c r="B1544" s="384" t="s">
        <v>8877</v>
      </c>
      <c r="C1544" s="384" t="s">
        <v>82</v>
      </c>
      <c r="D1544" s="385" t="s">
        <v>8878</v>
      </c>
    </row>
    <row r="1545" spans="1:4" x14ac:dyDescent="0.25">
      <c r="A1545" s="384" t="s">
        <v>8879</v>
      </c>
      <c r="B1545" s="384" t="s">
        <v>8880</v>
      </c>
      <c r="C1545" s="384" t="s">
        <v>82</v>
      </c>
      <c r="D1545" s="385" t="s">
        <v>8881</v>
      </c>
    </row>
    <row r="1546" spans="1:4" x14ac:dyDescent="0.25">
      <c r="A1546" s="384" t="s">
        <v>8882</v>
      </c>
      <c r="B1546" s="384" t="s">
        <v>8883</v>
      </c>
      <c r="C1546" s="384" t="s">
        <v>83</v>
      </c>
      <c r="D1546" s="385" t="s">
        <v>8884</v>
      </c>
    </row>
    <row r="1547" spans="1:4" x14ac:dyDescent="0.25">
      <c r="A1547" s="384" t="s">
        <v>8885</v>
      </c>
      <c r="B1547" s="384" t="s">
        <v>8886</v>
      </c>
      <c r="C1547" s="384" t="s">
        <v>82</v>
      </c>
      <c r="D1547" s="385" t="s">
        <v>8887</v>
      </c>
    </row>
    <row r="1548" spans="1:4" x14ac:dyDescent="0.25">
      <c r="A1548" s="384" t="s">
        <v>8888</v>
      </c>
      <c r="B1548" s="384" t="s">
        <v>8889</v>
      </c>
      <c r="C1548" s="384" t="s">
        <v>82</v>
      </c>
      <c r="D1548" s="385" t="s">
        <v>8890</v>
      </c>
    </row>
    <row r="1549" spans="1:4" x14ac:dyDescent="0.25">
      <c r="A1549" s="384" t="s">
        <v>8891</v>
      </c>
      <c r="B1549" s="384" t="s">
        <v>8892</v>
      </c>
      <c r="C1549" s="384" t="s">
        <v>83</v>
      </c>
      <c r="D1549" s="385" t="s">
        <v>8893</v>
      </c>
    </row>
    <row r="1550" spans="1:4" x14ac:dyDescent="0.25">
      <c r="A1550" s="384" t="s">
        <v>8894</v>
      </c>
      <c r="B1550" s="384" t="s">
        <v>8895</v>
      </c>
      <c r="C1550" s="384" t="s">
        <v>82</v>
      </c>
      <c r="D1550" s="385" t="s">
        <v>8896</v>
      </c>
    </row>
    <row r="1551" spans="1:4" x14ac:dyDescent="0.25">
      <c r="A1551" s="384" t="s">
        <v>8897</v>
      </c>
      <c r="B1551" s="384" t="s">
        <v>8898</v>
      </c>
      <c r="C1551" s="384" t="s">
        <v>83</v>
      </c>
      <c r="D1551" s="385" t="s">
        <v>8899</v>
      </c>
    </row>
    <row r="1552" spans="1:4" x14ac:dyDescent="0.25">
      <c r="A1552" s="384" t="s">
        <v>8900</v>
      </c>
      <c r="B1552" s="384" t="s">
        <v>8901</v>
      </c>
      <c r="C1552" s="384" t="s">
        <v>82</v>
      </c>
      <c r="D1552" s="385" t="s">
        <v>8878</v>
      </c>
    </row>
    <row r="1553" spans="1:4" x14ac:dyDescent="0.25">
      <c r="A1553" s="384" t="s">
        <v>8902</v>
      </c>
      <c r="B1553" s="384" t="s">
        <v>8903</v>
      </c>
      <c r="C1553" s="384" t="s">
        <v>83</v>
      </c>
      <c r="D1553" s="385" t="s">
        <v>8904</v>
      </c>
    </row>
    <row r="1554" spans="1:4" x14ac:dyDescent="0.25">
      <c r="A1554" s="384" t="s">
        <v>8905</v>
      </c>
      <c r="B1554" s="384" t="s">
        <v>8906</v>
      </c>
      <c r="C1554" s="384" t="s">
        <v>82</v>
      </c>
      <c r="D1554" s="385" t="s">
        <v>8881</v>
      </c>
    </row>
    <row r="1555" spans="1:4" x14ac:dyDescent="0.25">
      <c r="A1555" s="384" t="s">
        <v>8907</v>
      </c>
      <c r="B1555" s="384" t="s">
        <v>8908</v>
      </c>
      <c r="C1555" s="384" t="s">
        <v>83</v>
      </c>
      <c r="D1555" s="385" t="s">
        <v>8909</v>
      </c>
    </row>
    <row r="1556" spans="1:4" x14ac:dyDescent="0.25">
      <c r="A1556" s="384" t="s">
        <v>8910</v>
      </c>
      <c r="B1556" s="384" t="s">
        <v>8911</v>
      </c>
      <c r="C1556" s="384" t="s">
        <v>82</v>
      </c>
      <c r="D1556" s="385" t="s">
        <v>8887</v>
      </c>
    </row>
    <row r="1557" spans="1:4" x14ac:dyDescent="0.25">
      <c r="A1557" s="384" t="s">
        <v>8912</v>
      </c>
      <c r="B1557" s="384" t="s">
        <v>8913</v>
      </c>
      <c r="C1557" s="384" t="s">
        <v>83</v>
      </c>
      <c r="D1557" s="385" t="s">
        <v>8914</v>
      </c>
    </row>
    <row r="1558" spans="1:4" x14ac:dyDescent="0.25">
      <c r="A1558" s="384" t="s">
        <v>8915</v>
      </c>
      <c r="B1558" s="384" t="s">
        <v>8916</v>
      </c>
      <c r="C1558" s="384" t="s">
        <v>82</v>
      </c>
      <c r="D1558" s="385" t="s">
        <v>8890</v>
      </c>
    </row>
    <row r="1559" spans="1:4" x14ac:dyDescent="0.25">
      <c r="A1559" s="384" t="s">
        <v>8917</v>
      </c>
      <c r="B1559" s="384" t="s">
        <v>8918</v>
      </c>
      <c r="C1559" s="384" t="s">
        <v>83</v>
      </c>
      <c r="D1559" s="385" t="s">
        <v>8919</v>
      </c>
    </row>
    <row r="1560" spans="1:4" x14ac:dyDescent="0.25">
      <c r="A1560" s="384" t="s">
        <v>8920</v>
      </c>
      <c r="B1560" s="384" t="s">
        <v>8921</v>
      </c>
      <c r="C1560" s="384" t="s">
        <v>82</v>
      </c>
      <c r="D1560" s="385" t="s">
        <v>8896</v>
      </c>
    </row>
    <row r="1561" spans="1:4" x14ac:dyDescent="0.25">
      <c r="A1561" s="384" t="s">
        <v>8922</v>
      </c>
      <c r="B1561" s="384" t="s">
        <v>8923</v>
      </c>
      <c r="C1561" s="384" t="s">
        <v>83</v>
      </c>
      <c r="D1561" s="385" t="s">
        <v>8924</v>
      </c>
    </row>
    <row r="1562" spans="1:4" x14ac:dyDescent="0.25">
      <c r="A1562" s="384" t="s">
        <v>8925</v>
      </c>
      <c r="B1562" s="384" t="s">
        <v>8926</v>
      </c>
      <c r="C1562" s="384" t="s">
        <v>82</v>
      </c>
      <c r="D1562" s="385" t="s">
        <v>8927</v>
      </c>
    </row>
    <row r="1563" spans="1:4" x14ac:dyDescent="0.25">
      <c r="A1563" s="384" t="s">
        <v>8928</v>
      </c>
      <c r="B1563" s="384" t="s">
        <v>8929</v>
      </c>
      <c r="C1563" s="384" t="s">
        <v>83</v>
      </c>
      <c r="D1563" s="385" t="s">
        <v>8930</v>
      </c>
    </row>
    <row r="1564" spans="1:4" x14ac:dyDescent="0.25">
      <c r="A1564" s="384" t="s">
        <v>8931</v>
      </c>
      <c r="B1564" s="384" t="s">
        <v>8932</v>
      </c>
      <c r="C1564" s="384" t="s">
        <v>82</v>
      </c>
      <c r="D1564" s="385" t="s">
        <v>8933</v>
      </c>
    </row>
    <row r="1565" spans="1:4" x14ac:dyDescent="0.25">
      <c r="A1565" s="384" t="s">
        <v>8934</v>
      </c>
      <c r="B1565" s="384" t="s">
        <v>8935</v>
      </c>
      <c r="C1565" s="384" t="s">
        <v>83</v>
      </c>
      <c r="D1565" s="385" t="s">
        <v>8936</v>
      </c>
    </row>
    <row r="1566" spans="1:4" x14ac:dyDescent="0.25">
      <c r="A1566" s="384" t="s">
        <v>8937</v>
      </c>
      <c r="B1566" s="384" t="s">
        <v>8938</v>
      </c>
      <c r="C1566" s="384" t="s">
        <v>82</v>
      </c>
      <c r="D1566" s="385" t="s">
        <v>8939</v>
      </c>
    </row>
    <row r="1567" spans="1:4" x14ac:dyDescent="0.25">
      <c r="A1567" s="384" t="s">
        <v>8940</v>
      </c>
      <c r="B1567" s="384" t="s">
        <v>8941</v>
      </c>
      <c r="C1567" s="384" t="s">
        <v>83</v>
      </c>
      <c r="D1567" s="385" t="s">
        <v>8942</v>
      </c>
    </row>
    <row r="1568" spans="1:4" x14ac:dyDescent="0.25">
      <c r="A1568" s="384" t="s">
        <v>8943</v>
      </c>
      <c r="B1568" s="384" t="s">
        <v>8944</v>
      </c>
      <c r="C1568" s="384" t="s">
        <v>82</v>
      </c>
      <c r="D1568" s="385" t="s">
        <v>8945</v>
      </c>
    </row>
    <row r="1569" spans="1:4" x14ac:dyDescent="0.25">
      <c r="A1569" s="384" t="s">
        <v>8946</v>
      </c>
      <c r="B1569" s="384" t="s">
        <v>8947</v>
      </c>
      <c r="C1569" s="384" t="s">
        <v>83</v>
      </c>
      <c r="D1569" s="385" t="s">
        <v>8948</v>
      </c>
    </row>
    <row r="1570" spans="1:4" x14ac:dyDescent="0.25">
      <c r="A1570" s="384" t="s">
        <v>8949</v>
      </c>
      <c r="B1570" s="384" t="s">
        <v>8950</v>
      </c>
      <c r="C1570" s="384" t="s">
        <v>82</v>
      </c>
      <c r="D1570" s="385" t="s">
        <v>8927</v>
      </c>
    </row>
    <row r="1571" spans="1:4" x14ac:dyDescent="0.25">
      <c r="A1571" s="384" t="s">
        <v>8951</v>
      </c>
      <c r="B1571" s="384" t="s">
        <v>8952</v>
      </c>
      <c r="C1571" s="384" t="s">
        <v>83</v>
      </c>
      <c r="D1571" s="385" t="s">
        <v>8953</v>
      </c>
    </row>
    <row r="1572" spans="1:4" x14ac:dyDescent="0.25">
      <c r="A1572" s="384" t="s">
        <v>8954</v>
      </c>
      <c r="B1572" s="384" t="s">
        <v>8955</v>
      </c>
      <c r="C1572" s="384" t="s">
        <v>82</v>
      </c>
      <c r="D1572" s="385" t="s">
        <v>8956</v>
      </c>
    </row>
    <row r="1573" spans="1:4" x14ac:dyDescent="0.25">
      <c r="A1573" s="384" t="s">
        <v>8957</v>
      </c>
      <c r="B1573" s="384" t="s">
        <v>8958</v>
      </c>
      <c r="C1573" s="384" t="s">
        <v>83</v>
      </c>
      <c r="D1573" s="385" t="s">
        <v>8959</v>
      </c>
    </row>
    <row r="1574" spans="1:4" x14ac:dyDescent="0.25">
      <c r="A1574" s="384" t="s">
        <v>8960</v>
      </c>
      <c r="B1574" s="384" t="s">
        <v>8961</v>
      </c>
      <c r="C1574" s="384" t="s">
        <v>82</v>
      </c>
      <c r="D1574" s="385" t="s">
        <v>8962</v>
      </c>
    </row>
    <row r="1575" spans="1:4" x14ac:dyDescent="0.25">
      <c r="A1575" s="384" t="s">
        <v>8963</v>
      </c>
      <c r="B1575" s="384" t="s">
        <v>8964</v>
      </c>
      <c r="C1575" s="384" t="s">
        <v>83</v>
      </c>
      <c r="D1575" s="385" t="s">
        <v>8965</v>
      </c>
    </row>
    <row r="1576" spans="1:4" x14ac:dyDescent="0.25">
      <c r="A1576" s="384" t="s">
        <v>8966</v>
      </c>
      <c r="B1576" s="384" t="s">
        <v>8967</v>
      </c>
      <c r="C1576" s="384" t="s">
        <v>82</v>
      </c>
      <c r="D1576" s="385" t="s">
        <v>8968</v>
      </c>
    </row>
    <row r="1577" spans="1:4" x14ac:dyDescent="0.25">
      <c r="A1577" s="384" t="s">
        <v>8969</v>
      </c>
      <c r="B1577" s="384" t="s">
        <v>8970</v>
      </c>
      <c r="C1577" s="384" t="s">
        <v>83</v>
      </c>
      <c r="D1577" s="385" t="s">
        <v>8971</v>
      </c>
    </row>
    <row r="1578" spans="1:4" x14ac:dyDescent="0.25">
      <c r="A1578" s="384" t="s">
        <v>8972</v>
      </c>
      <c r="B1578" s="384" t="s">
        <v>8973</v>
      </c>
      <c r="C1578" s="384" t="s">
        <v>82</v>
      </c>
      <c r="D1578" s="385" t="s">
        <v>8956</v>
      </c>
    </row>
    <row r="1579" spans="1:4" x14ac:dyDescent="0.25">
      <c r="A1579" s="384" t="s">
        <v>8974</v>
      </c>
      <c r="B1579" s="384" t="s">
        <v>8975</v>
      </c>
      <c r="C1579" s="384" t="s">
        <v>83</v>
      </c>
      <c r="D1579" s="385" t="s">
        <v>8976</v>
      </c>
    </row>
    <row r="1580" spans="1:4" x14ac:dyDescent="0.25">
      <c r="A1580" s="384" t="s">
        <v>8977</v>
      </c>
      <c r="B1580" s="384" t="s">
        <v>8978</v>
      </c>
      <c r="C1580" s="384" t="s">
        <v>82</v>
      </c>
      <c r="D1580" s="385" t="s">
        <v>8979</v>
      </c>
    </row>
    <row r="1581" spans="1:4" x14ac:dyDescent="0.25">
      <c r="A1581" s="384" t="s">
        <v>8980</v>
      </c>
      <c r="B1581" s="384" t="s">
        <v>8981</v>
      </c>
      <c r="C1581" s="384" t="s">
        <v>83</v>
      </c>
      <c r="D1581" s="385" t="s">
        <v>8982</v>
      </c>
    </row>
    <row r="1582" spans="1:4" x14ac:dyDescent="0.25">
      <c r="A1582" s="384" t="s">
        <v>8983</v>
      </c>
      <c r="B1582" s="384" t="s">
        <v>8984</v>
      </c>
      <c r="C1582" s="384" t="s">
        <v>82</v>
      </c>
      <c r="D1582" s="385" t="s">
        <v>8985</v>
      </c>
    </row>
    <row r="1583" spans="1:4" x14ac:dyDescent="0.25">
      <c r="A1583" s="384" t="s">
        <v>8986</v>
      </c>
      <c r="B1583" s="384" t="s">
        <v>8987</v>
      </c>
      <c r="C1583" s="384" t="s">
        <v>83</v>
      </c>
      <c r="D1583" s="385" t="s">
        <v>8988</v>
      </c>
    </row>
    <row r="1584" spans="1:4" x14ac:dyDescent="0.25">
      <c r="A1584" s="384" t="s">
        <v>8989</v>
      </c>
      <c r="B1584" s="384" t="s">
        <v>8990</v>
      </c>
      <c r="C1584" s="384" t="s">
        <v>82</v>
      </c>
      <c r="D1584" s="385" t="s">
        <v>8979</v>
      </c>
    </row>
    <row r="1585" spans="1:4" x14ac:dyDescent="0.25">
      <c r="A1585" s="384" t="s">
        <v>8991</v>
      </c>
      <c r="B1585" s="384" t="s">
        <v>8992</v>
      </c>
      <c r="C1585" s="384" t="s">
        <v>83</v>
      </c>
      <c r="D1585" s="385" t="s">
        <v>8993</v>
      </c>
    </row>
    <row r="1586" spans="1:4" x14ac:dyDescent="0.25">
      <c r="A1586" s="384" t="s">
        <v>8994</v>
      </c>
      <c r="B1586" s="384" t="s">
        <v>8995</v>
      </c>
      <c r="C1586" s="384" t="s">
        <v>82</v>
      </c>
      <c r="D1586" s="385" t="s">
        <v>8996</v>
      </c>
    </row>
    <row r="1587" spans="1:4" x14ac:dyDescent="0.25">
      <c r="A1587" s="384" t="s">
        <v>8997</v>
      </c>
      <c r="B1587" s="384" t="s">
        <v>8998</v>
      </c>
      <c r="C1587" s="384" t="s">
        <v>83</v>
      </c>
      <c r="D1587" s="385" t="s">
        <v>8999</v>
      </c>
    </row>
    <row r="1588" spans="1:4" x14ac:dyDescent="0.25">
      <c r="A1588" s="384" t="s">
        <v>9000</v>
      </c>
      <c r="B1588" s="384" t="s">
        <v>9001</v>
      </c>
      <c r="C1588" s="384" t="s">
        <v>82</v>
      </c>
      <c r="D1588" s="385" t="s">
        <v>8996</v>
      </c>
    </row>
    <row r="1589" spans="1:4" x14ac:dyDescent="0.25">
      <c r="A1589" s="384" t="s">
        <v>9002</v>
      </c>
      <c r="B1589" s="384" t="s">
        <v>9003</v>
      </c>
      <c r="C1589" s="384" t="s">
        <v>83</v>
      </c>
      <c r="D1589" s="385" t="s">
        <v>9004</v>
      </c>
    </row>
    <row r="1590" spans="1:4" x14ac:dyDescent="0.25">
      <c r="A1590" s="384" t="s">
        <v>9005</v>
      </c>
      <c r="B1590" s="384" t="s">
        <v>9006</v>
      </c>
      <c r="C1590" s="384" t="s">
        <v>82</v>
      </c>
      <c r="D1590" s="385" t="s">
        <v>9007</v>
      </c>
    </row>
    <row r="1591" spans="1:4" x14ac:dyDescent="0.25">
      <c r="A1591" s="384" t="s">
        <v>9008</v>
      </c>
      <c r="B1591" s="384" t="s">
        <v>9009</v>
      </c>
      <c r="C1591" s="384" t="s">
        <v>83</v>
      </c>
      <c r="D1591" s="385" t="s">
        <v>9010</v>
      </c>
    </row>
    <row r="1592" spans="1:4" x14ac:dyDescent="0.25">
      <c r="A1592" s="384" t="s">
        <v>9011</v>
      </c>
      <c r="B1592" s="384" t="s">
        <v>9012</v>
      </c>
      <c r="C1592" s="384" t="s">
        <v>82</v>
      </c>
      <c r="D1592" s="385" t="s">
        <v>9013</v>
      </c>
    </row>
    <row r="1593" spans="1:4" x14ac:dyDescent="0.25">
      <c r="A1593" s="384" t="s">
        <v>9014</v>
      </c>
      <c r="B1593" s="384" t="s">
        <v>9015</v>
      </c>
      <c r="C1593" s="384" t="s">
        <v>82</v>
      </c>
      <c r="D1593" s="385" t="s">
        <v>9016</v>
      </c>
    </row>
    <row r="1594" spans="1:4" x14ac:dyDescent="0.25">
      <c r="A1594" s="384" t="s">
        <v>9017</v>
      </c>
      <c r="B1594" s="384" t="s">
        <v>9018</v>
      </c>
      <c r="C1594" s="384" t="s">
        <v>82</v>
      </c>
      <c r="D1594" s="385" t="s">
        <v>9019</v>
      </c>
    </row>
    <row r="1595" spans="1:4" x14ac:dyDescent="0.25">
      <c r="A1595" s="384" t="s">
        <v>9020</v>
      </c>
      <c r="B1595" s="384" t="s">
        <v>9021</v>
      </c>
      <c r="C1595" s="384" t="s">
        <v>83</v>
      </c>
      <c r="D1595" s="385" t="s">
        <v>9022</v>
      </c>
    </row>
    <row r="1596" spans="1:4" x14ac:dyDescent="0.25">
      <c r="A1596" s="384" t="s">
        <v>9023</v>
      </c>
      <c r="B1596" s="384" t="s">
        <v>9024</v>
      </c>
      <c r="C1596" s="384" t="s">
        <v>83</v>
      </c>
      <c r="D1596" s="385" t="s">
        <v>9025</v>
      </c>
    </row>
    <row r="1597" spans="1:4" x14ac:dyDescent="0.25">
      <c r="A1597" s="384" t="s">
        <v>9026</v>
      </c>
      <c r="B1597" s="384" t="s">
        <v>9027</v>
      </c>
      <c r="C1597" s="384" t="s">
        <v>83</v>
      </c>
      <c r="D1597" s="385" t="s">
        <v>9028</v>
      </c>
    </row>
    <row r="1598" spans="1:4" x14ac:dyDescent="0.25">
      <c r="A1598" s="384" t="s">
        <v>9029</v>
      </c>
      <c r="B1598" s="384" t="s">
        <v>9030</v>
      </c>
      <c r="C1598" s="384" t="s">
        <v>83</v>
      </c>
      <c r="D1598" s="385" t="s">
        <v>9031</v>
      </c>
    </row>
    <row r="1599" spans="1:4" x14ac:dyDescent="0.25">
      <c r="A1599" s="384" t="s">
        <v>9032</v>
      </c>
      <c r="B1599" s="384" t="s">
        <v>9033</v>
      </c>
      <c r="C1599" s="384" t="s">
        <v>82</v>
      </c>
      <c r="D1599" s="385" t="s">
        <v>9034</v>
      </c>
    </row>
    <row r="1600" spans="1:4" x14ac:dyDescent="0.25">
      <c r="A1600" s="384" t="s">
        <v>9035</v>
      </c>
      <c r="B1600" s="384" t="s">
        <v>9036</v>
      </c>
      <c r="C1600" s="384" t="s">
        <v>83</v>
      </c>
      <c r="D1600" s="385" t="s">
        <v>9037</v>
      </c>
    </row>
    <row r="1601" spans="1:4" x14ac:dyDescent="0.25">
      <c r="A1601" s="384" t="s">
        <v>9038</v>
      </c>
      <c r="B1601" s="384" t="s">
        <v>9039</v>
      </c>
      <c r="C1601" s="384" t="s">
        <v>83</v>
      </c>
      <c r="D1601" s="385" t="s">
        <v>9040</v>
      </c>
    </row>
    <row r="1602" spans="1:4" x14ac:dyDescent="0.25">
      <c r="A1602" s="384" t="s">
        <v>9041</v>
      </c>
      <c r="B1602" s="384" t="s">
        <v>9042</v>
      </c>
      <c r="C1602" s="384" t="s">
        <v>83</v>
      </c>
      <c r="D1602" s="385" t="s">
        <v>9043</v>
      </c>
    </row>
    <row r="1603" spans="1:4" x14ac:dyDescent="0.25">
      <c r="A1603" s="384" t="s">
        <v>9044</v>
      </c>
      <c r="B1603" s="384" t="s">
        <v>9045</v>
      </c>
      <c r="C1603" s="384" t="s">
        <v>83</v>
      </c>
      <c r="D1603" s="385" t="s">
        <v>9046</v>
      </c>
    </row>
    <row r="1604" spans="1:4" x14ac:dyDescent="0.25">
      <c r="A1604" s="384" t="s">
        <v>9047</v>
      </c>
      <c r="B1604" s="384" t="s">
        <v>9048</v>
      </c>
      <c r="C1604" s="384" t="s">
        <v>83</v>
      </c>
      <c r="D1604" s="385" t="s">
        <v>9049</v>
      </c>
    </row>
    <row r="1605" spans="1:4" x14ac:dyDescent="0.25">
      <c r="A1605" s="384" t="s">
        <v>9050</v>
      </c>
      <c r="B1605" s="384" t="s">
        <v>9051</v>
      </c>
      <c r="C1605" s="384" t="s">
        <v>83</v>
      </c>
      <c r="D1605" s="385" t="s">
        <v>9052</v>
      </c>
    </row>
    <row r="1606" spans="1:4" x14ac:dyDescent="0.25">
      <c r="A1606" s="384" t="s">
        <v>9053</v>
      </c>
      <c r="B1606" s="384" t="s">
        <v>9054</v>
      </c>
      <c r="C1606" s="384" t="s">
        <v>83</v>
      </c>
      <c r="D1606" s="385" t="s">
        <v>9055</v>
      </c>
    </row>
    <row r="1607" spans="1:4" x14ac:dyDescent="0.25">
      <c r="A1607" s="384" t="s">
        <v>9056</v>
      </c>
      <c r="B1607" s="384" t="s">
        <v>9057</v>
      </c>
      <c r="C1607" s="384" t="s">
        <v>83</v>
      </c>
      <c r="D1607" s="385" t="s">
        <v>9058</v>
      </c>
    </row>
    <row r="1608" spans="1:4" x14ac:dyDescent="0.25">
      <c r="A1608" s="384" t="s">
        <v>9059</v>
      </c>
      <c r="B1608" s="384" t="s">
        <v>9060</v>
      </c>
      <c r="C1608" s="384" t="s">
        <v>83</v>
      </c>
      <c r="D1608" s="385" t="s">
        <v>9061</v>
      </c>
    </row>
    <row r="1609" spans="1:4" x14ac:dyDescent="0.25">
      <c r="A1609" s="384" t="s">
        <v>9062</v>
      </c>
      <c r="B1609" s="384" t="s">
        <v>9063</v>
      </c>
      <c r="C1609" s="384" t="s">
        <v>83</v>
      </c>
      <c r="D1609" s="385" t="s">
        <v>9064</v>
      </c>
    </row>
    <row r="1610" spans="1:4" x14ac:dyDescent="0.25">
      <c r="A1610" s="384" t="s">
        <v>9065</v>
      </c>
      <c r="B1610" s="384" t="s">
        <v>9066</v>
      </c>
      <c r="C1610" s="384" t="s">
        <v>83</v>
      </c>
      <c r="D1610" s="385" t="s">
        <v>9067</v>
      </c>
    </row>
    <row r="1611" spans="1:4" x14ac:dyDescent="0.25">
      <c r="A1611" s="384" t="s">
        <v>9068</v>
      </c>
      <c r="B1611" s="384" t="s">
        <v>9069</v>
      </c>
      <c r="C1611" s="384" t="s">
        <v>83</v>
      </c>
      <c r="D1611" s="385" t="s">
        <v>9070</v>
      </c>
    </row>
    <row r="1612" spans="1:4" x14ac:dyDescent="0.25">
      <c r="A1612" s="384" t="s">
        <v>9071</v>
      </c>
      <c r="B1612" s="384" t="s">
        <v>9072</v>
      </c>
      <c r="C1612" s="384" t="s">
        <v>83</v>
      </c>
      <c r="D1612" s="385" t="s">
        <v>8851</v>
      </c>
    </row>
    <row r="1613" spans="1:4" x14ac:dyDescent="0.25">
      <c r="A1613" s="384" t="s">
        <v>9073</v>
      </c>
      <c r="B1613" s="384" t="s">
        <v>9074</v>
      </c>
      <c r="C1613" s="384" t="s">
        <v>83</v>
      </c>
      <c r="D1613" s="385" t="s">
        <v>9075</v>
      </c>
    </row>
    <row r="1614" spans="1:4" x14ac:dyDescent="0.25">
      <c r="A1614" s="384" t="s">
        <v>9076</v>
      </c>
      <c r="B1614" s="384" t="s">
        <v>9077</v>
      </c>
      <c r="C1614" s="384" t="s">
        <v>83</v>
      </c>
      <c r="D1614" s="385" t="s">
        <v>9078</v>
      </c>
    </row>
    <row r="1615" spans="1:4" x14ac:dyDescent="0.25">
      <c r="A1615" s="384" t="s">
        <v>9079</v>
      </c>
      <c r="B1615" s="384" t="s">
        <v>9080</v>
      </c>
      <c r="C1615" s="384" t="s">
        <v>83</v>
      </c>
      <c r="D1615" s="385" t="s">
        <v>9081</v>
      </c>
    </row>
    <row r="1616" spans="1:4" x14ac:dyDescent="0.25">
      <c r="A1616" s="384" t="s">
        <v>9082</v>
      </c>
      <c r="B1616" s="384" t="s">
        <v>9083</v>
      </c>
      <c r="C1616" s="384" t="s">
        <v>83</v>
      </c>
      <c r="D1616" s="385" t="s">
        <v>9084</v>
      </c>
    </row>
    <row r="1617" spans="1:4" x14ac:dyDescent="0.25">
      <c r="A1617" s="384" t="s">
        <v>9085</v>
      </c>
      <c r="B1617" s="384" t="s">
        <v>9086</v>
      </c>
      <c r="C1617" s="384" t="s">
        <v>83</v>
      </c>
      <c r="D1617" s="385" t="s">
        <v>9087</v>
      </c>
    </row>
    <row r="1618" spans="1:4" x14ac:dyDescent="0.25">
      <c r="A1618" s="384" t="s">
        <v>9088</v>
      </c>
      <c r="B1618" s="384" t="s">
        <v>9089</v>
      </c>
      <c r="C1618" s="384" t="s">
        <v>83</v>
      </c>
      <c r="D1618" s="385" t="s">
        <v>9090</v>
      </c>
    </row>
    <row r="1619" spans="1:4" x14ac:dyDescent="0.25">
      <c r="A1619" s="384" t="s">
        <v>9091</v>
      </c>
      <c r="B1619" s="384" t="s">
        <v>9092</v>
      </c>
      <c r="C1619" s="384" t="s">
        <v>83</v>
      </c>
      <c r="D1619" s="385" t="s">
        <v>9093</v>
      </c>
    </row>
    <row r="1620" spans="1:4" x14ac:dyDescent="0.25">
      <c r="A1620" s="384" t="s">
        <v>9094</v>
      </c>
      <c r="B1620" s="384" t="s">
        <v>9095</v>
      </c>
      <c r="C1620" s="384" t="s">
        <v>83</v>
      </c>
      <c r="D1620" s="385" t="s">
        <v>9096</v>
      </c>
    </row>
    <row r="1621" spans="1:4" x14ac:dyDescent="0.25">
      <c r="A1621" s="384" t="s">
        <v>9097</v>
      </c>
      <c r="B1621" s="384" t="s">
        <v>9098</v>
      </c>
      <c r="C1621" s="384" t="s">
        <v>83</v>
      </c>
      <c r="D1621" s="385" t="s">
        <v>9099</v>
      </c>
    </row>
    <row r="1622" spans="1:4" x14ac:dyDescent="0.25">
      <c r="A1622" s="384" t="s">
        <v>9100</v>
      </c>
      <c r="B1622" s="384" t="s">
        <v>9101</v>
      </c>
      <c r="C1622" s="384" t="s">
        <v>82</v>
      </c>
      <c r="D1622" s="385" t="s">
        <v>9102</v>
      </c>
    </row>
    <row r="1623" spans="1:4" x14ac:dyDescent="0.25">
      <c r="A1623" s="384" t="s">
        <v>9103</v>
      </c>
      <c r="B1623" s="384" t="s">
        <v>9104</v>
      </c>
      <c r="C1623" s="384" t="s">
        <v>82</v>
      </c>
      <c r="D1623" s="385" t="s">
        <v>9105</v>
      </c>
    </row>
    <row r="1624" spans="1:4" x14ac:dyDescent="0.25">
      <c r="A1624" s="384" t="s">
        <v>9106</v>
      </c>
      <c r="B1624" s="384" t="s">
        <v>9107</v>
      </c>
      <c r="C1624" s="384" t="s">
        <v>83</v>
      </c>
      <c r="D1624" s="385" t="s">
        <v>9108</v>
      </c>
    </row>
    <row r="1625" spans="1:4" x14ac:dyDescent="0.25">
      <c r="A1625" s="384" t="s">
        <v>9109</v>
      </c>
      <c r="B1625" s="384" t="s">
        <v>9110</v>
      </c>
      <c r="C1625" s="384" t="s">
        <v>82</v>
      </c>
      <c r="D1625" s="385" t="s">
        <v>9111</v>
      </c>
    </row>
    <row r="1626" spans="1:4" x14ac:dyDescent="0.25">
      <c r="A1626" s="384" t="s">
        <v>9112</v>
      </c>
      <c r="B1626" s="384" t="s">
        <v>9113</v>
      </c>
      <c r="C1626" s="384" t="s">
        <v>83</v>
      </c>
      <c r="D1626" s="385" t="s">
        <v>9114</v>
      </c>
    </row>
    <row r="1627" spans="1:4" x14ac:dyDescent="0.25">
      <c r="A1627" s="384" t="s">
        <v>9115</v>
      </c>
      <c r="B1627" s="384" t="s">
        <v>9116</v>
      </c>
      <c r="C1627" s="384" t="s">
        <v>82</v>
      </c>
      <c r="D1627" s="385" t="s">
        <v>9117</v>
      </c>
    </row>
    <row r="1628" spans="1:4" x14ac:dyDescent="0.25">
      <c r="A1628" s="384" t="s">
        <v>9118</v>
      </c>
      <c r="B1628" s="384" t="s">
        <v>9119</v>
      </c>
      <c r="C1628" s="384" t="s">
        <v>82</v>
      </c>
      <c r="D1628" s="385" t="s">
        <v>9120</v>
      </c>
    </row>
    <row r="1629" spans="1:4" x14ac:dyDescent="0.25">
      <c r="A1629" s="384" t="s">
        <v>9121</v>
      </c>
      <c r="B1629" s="384" t="s">
        <v>9122</v>
      </c>
      <c r="C1629" s="384" t="s">
        <v>83</v>
      </c>
      <c r="D1629" s="385" t="s">
        <v>9123</v>
      </c>
    </row>
    <row r="1630" spans="1:4" x14ac:dyDescent="0.25">
      <c r="A1630" s="384" t="s">
        <v>9124</v>
      </c>
      <c r="B1630" s="384" t="s">
        <v>9125</v>
      </c>
      <c r="C1630" s="384" t="s">
        <v>82</v>
      </c>
      <c r="D1630" s="385" t="s">
        <v>9126</v>
      </c>
    </row>
    <row r="1631" spans="1:4" x14ac:dyDescent="0.25">
      <c r="A1631" s="384" t="s">
        <v>9127</v>
      </c>
      <c r="B1631" s="384" t="s">
        <v>9128</v>
      </c>
      <c r="C1631" s="384" t="s">
        <v>83</v>
      </c>
      <c r="D1631" s="385" t="s">
        <v>9129</v>
      </c>
    </row>
    <row r="1632" spans="1:4" x14ac:dyDescent="0.25">
      <c r="A1632" s="384" t="s">
        <v>9130</v>
      </c>
      <c r="B1632" s="384" t="s">
        <v>9131</v>
      </c>
      <c r="C1632" s="384" t="s">
        <v>82</v>
      </c>
      <c r="D1632" s="385" t="s">
        <v>9132</v>
      </c>
    </row>
    <row r="1633" spans="1:4" x14ac:dyDescent="0.25">
      <c r="A1633" s="384" t="s">
        <v>9133</v>
      </c>
      <c r="B1633" s="384" t="s">
        <v>9134</v>
      </c>
      <c r="C1633" s="384" t="s">
        <v>83</v>
      </c>
      <c r="D1633" s="385" t="s">
        <v>9135</v>
      </c>
    </row>
    <row r="1634" spans="1:4" x14ac:dyDescent="0.25">
      <c r="A1634" s="384" t="s">
        <v>9136</v>
      </c>
      <c r="B1634" s="384" t="s">
        <v>9137</v>
      </c>
      <c r="C1634" s="384" t="s">
        <v>83</v>
      </c>
      <c r="D1634" s="385" t="s">
        <v>9138</v>
      </c>
    </row>
    <row r="1635" spans="1:4" x14ac:dyDescent="0.25">
      <c r="A1635" s="384" t="s">
        <v>9139</v>
      </c>
      <c r="B1635" s="384" t="s">
        <v>9140</v>
      </c>
      <c r="C1635" s="384" t="s">
        <v>82</v>
      </c>
      <c r="D1635" s="385" t="s">
        <v>9141</v>
      </c>
    </row>
    <row r="1636" spans="1:4" x14ac:dyDescent="0.25">
      <c r="A1636" s="384" t="s">
        <v>9142</v>
      </c>
      <c r="B1636" s="384" t="s">
        <v>9143</v>
      </c>
      <c r="C1636" s="384" t="s">
        <v>82</v>
      </c>
      <c r="D1636" s="385" t="s">
        <v>9144</v>
      </c>
    </row>
    <row r="1637" spans="1:4" x14ac:dyDescent="0.25">
      <c r="A1637" s="384" t="s">
        <v>9145</v>
      </c>
      <c r="B1637" s="384" t="s">
        <v>9146</v>
      </c>
      <c r="C1637" s="384" t="s">
        <v>83</v>
      </c>
      <c r="D1637" s="385" t="s">
        <v>9147</v>
      </c>
    </row>
    <row r="1638" spans="1:4" x14ac:dyDescent="0.25">
      <c r="A1638" s="384" t="s">
        <v>9148</v>
      </c>
      <c r="B1638" s="384" t="s">
        <v>9149</v>
      </c>
      <c r="C1638" s="384" t="s">
        <v>82</v>
      </c>
      <c r="D1638" s="385" t="s">
        <v>9105</v>
      </c>
    </row>
    <row r="1639" spans="1:4" x14ac:dyDescent="0.25">
      <c r="A1639" s="384" t="s">
        <v>9150</v>
      </c>
      <c r="B1639" s="384" t="s">
        <v>9151</v>
      </c>
      <c r="C1639" s="384" t="s">
        <v>83</v>
      </c>
      <c r="D1639" s="385" t="s">
        <v>9152</v>
      </c>
    </row>
    <row r="1640" spans="1:4" x14ac:dyDescent="0.25">
      <c r="A1640" s="384" t="s">
        <v>9153</v>
      </c>
      <c r="B1640" s="384" t="s">
        <v>9154</v>
      </c>
      <c r="C1640" s="384" t="s">
        <v>83</v>
      </c>
      <c r="D1640" s="385" t="s">
        <v>9155</v>
      </c>
    </row>
    <row r="1641" spans="1:4" x14ac:dyDescent="0.25">
      <c r="A1641" s="384" t="s">
        <v>9156</v>
      </c>
      <c r="B1641" s="384" t="s">
        <v>9157</v>
      </c>
      <c r="C1641" s="384" t="s">
        <v>82</v>
      </c>
      <c r="D1641" s="385" t="s">
        <v>9120</v>
      </c>
    </row>
    <row r="1642" spans="1:4" x14ac:dyDescent="0.25">
      <c r="A1642" s="384" t="s">
        <v>9158</v>
      </c>
      <c r="B1642" s="384" t="s">
        <v>9159</v>
      </c>
      <c r="C1642" s="384" t="s">
        <v>83</v>
      </c>
      <c r="D1642" s="385" t="s">
        <v>9160</v>
      </c>
    </row>
    <row r="1643" spans="1:4" x14ac:dyDescent="0.25">
      <c r="A1643" s="384" t="s">
        <v>9161</v>
      </c>
      <c r="B1643" s="384" t="s">
        <v>9162</v>
      </c>
      <c r="C1643" s="384" t="s">
        <v>83</v>
      </c>
      <c r="D1643" s="385" t="s">
        <v>9163</v>
      </c>
    </row>
    <row r="1644" spans="1:4" x14ac:dyDescent="0.25">
      <c r="A1644" s="384" t="s">
        <v>9164</v>
      </c>
      <c r="B1644" s="384" t="s">
        <v>9165</v>
      </c>
      <c r="C1644" s="384" t="s">
        <v>83</v>
      </c>
      <c r="D1644" s="385" t="s">
        <v>9166</v>
      </c>
    </row>
    <row r="1645" spans="1:4" x14ac:dyDescent="0.25">
      <c r="A1645" s="384" t="s">
        <v>9167</v>
      </c>
      <c r="B1645" s="384" t="s">
        <v>9168</v>
      </c>
      <c r="C1645" s="384" t="s">
        <v>83</v>
      </c>
      <c r="D1645" s="385" t="s">
        <v>9169</v>
      </c>
    </row>
    <row r="1646" spans="1:4" x14ac:dyDescent="0.25">
      <c r="A1646" s="384" t="s">
        <v>9170</v>
      </c>
      <c r="B1646" s="384" t="s">
        <v>9171</v>
      </c>
      <c r="C1646" s="384" t="s">
        <v>83</v>
      </c>
      <c r="D1646" s="385" t="s">
        <v>9172</v>
      </c>
    </row>
    <row r="1647" spans="1:4" x14ac:dyDescent="0.25">
      <c r="A1647" s="384" t="s">
        <v>9173</v>
      </c>
      <c r="B1647" s="384" t="s">
        <v>9174</v>
      </c>
      <c r="C1647" s="384" t="s">
        <v>83</v>
      </c>
      <c r="D1647" s="385" t="s">
        <v>9175</v>
      </c>
    </row>
    <row r="1648" spans="1:4" x14ac:dyDescent="0.25">
      <c r="A1648" s="384" t="s">
        <v>9176</v>
      </c>
      <c r="B1648" s="384" t="s">
        <v>9177</v>
      </c>
      <c r="C1648" s="384" t="s">
        <v>82</v>
      </c>
      <c r="D1648" s="385" t="s">
        <v>9178</v>
      </c>
    </row>
    <row r="1649" spans="1:4" x14ac:dyDescent="0.25">
      <c r="A1649" s="384" t="s">
        <v>9179</v>
      </c>
      <c r="B1649" s="384" t="s">
        <v>9180</v>
      </c>
      <c r="C1649" s="384" t="s">
        <v>82</v>
      </c>
      <c r="D1649" s="385" t="s">
        <v>9144</v>
      </c>
    </row>
    <row r="1650" spans="1:4" x14ac:dyDescent="0.25">
      <c r="A1650" s="384" t="s">
        <v>9181</v>
      </c>
      <c r="B1650" s="384" t="s">
        <v>9182</v>
      </c>
      <c r="C1650" s="384" t="s">
        <v>82</v>
      </c>
      <c r="D1650" s="385" t="s">
        <v>9183</v>
      </c>
    </row>
    <row r="1651" spans="1:4" x14ac:dyDescent="0.25">
      <c r="A1651" s="384" t="s">
        <v>9184</v>
      </c>
      <c r="B1651" s="384" t="s">
        <v>9185</v>
      </c>
      <c r="C1651" s="384" t="s">
        <v>83</v>
      </c>
      <c r="D1651" s="385" t="s">
        <v>9186</v>
      </c>
    </row>
    <row r="1652" spans="1:4" x14ac:dyDescent="0.25">
      <c r="A1652" s="384" t="s">
        <v>9187</v>
      </c>
      <c r="B1652" s="384" t="s">
        <v>9188</v>
      </c>
      <c r="C1652" s="384" t="s">
        <v>83</v>
      </c>
      <c r="D1652" s="385" t="s">
        <v>9189</v>
      </c>
    </row>
    <row r="1653" spans="1:4" x14ac:dyDescent="0.25">
      <c r="A1653" s="384" t="s">
        <v>9190</v>
      </c>
      <c r="B1653" s="384" t="s">
        <v>9191</v>
      </c>
      <c r="C1653" s="384" t="s">
        <v>82</v>
      </c>
      <c r="D1653" s="385" t="s">
        <v>9178</v>
      </c>
    </row>
    <row r="1654" spans="1:4" x14ac:dyDescent="0.25">
      <c r="A1654" s="384" t="s">
        <v>9192</v>
      </c>
      <c r="B1654" s="384" t="s">
        <v>9193</v>
      </c>
      <c r="C1654" s="384" t="s">
        <v>82</v>
      </c>
      <c r="D1654" s="385" t="s">
        <v>9194</v>
      </c>
    </row>
    <row r="1655" spans="1:4" x14ac:dyDescent="0.25">
      <c r="A1655" s="384" t="s">
        <v>9195</v>
      </c>
      <c r="B1655" s="384" t="s">
        <v>9196</v>
      </c>
      <c r="C1655" s="384" t="s">
        <v>82</v>
      </c>
      <c r="D1655" s="385" t="s">
        <v>9197</v>
      </c>
    </row>
    <row r="1656" spans="1:4" x14ac:dyDescent="0.25">
      <c r="A1656" s="384" t="s">
        <v>9198</v>
      </c>
      <c r="B1656" s="384" t="s">
        <v>9199</v>
      </c>
      <c r="C1656" s="384" t="s">
        <v>83</v>
      </c>
      <c r="D1656" s="385" t="s">
        <v>9200</v>
      </c>
    </row>
    <row r="1657" spans="1:4" x14ac:dyDescent="0.25">
      <c r="A1657" s="384" t="s">
        <v>9201</v>
      </c>
      <c r="B1657" s="384" t="s">
        <v>9202</v>
      </c>
      <c r="C1657" s="384" t="s">
        <v>83</v>
      </c>
      <c r="D1657" s="385" t="s">
        <v>9203</v>
      </c>
    </row>
    <row r="1658" spans="1:4" x14ac:dyDescent="0.25">
      <c r="A1658" s="384" t="s">
        <v>9204</v>
      </c>
      <c r="B1658" s="384" t="s">
        <v>9205</v>
      </c>
      <c r="C1658" s="384" t="s">
        <v>83</v>
      </c>
      <c r="D1658" s="385" t="s">
        <v>9206</v>
      </c>
    </row>
    <row r="1659" spans="1:4" x14ac:dyDescent="0.25">
      <c r="A1659" s="384" t="s">
        <v>9207</v>
      </c>
      <c r="B1659" s="384" t="s">
        <v>9208</v>
      </c>
      <c r="C1659" s="384" t="s">
        <v>83</v>
      </c>
      <c r="D1659" s="385" t="s">
        <v>9209</v>
      </c>
    </row>
    <row r="1660" spans="1:4" x14ac:dyDescent="0.25">
      <c r="A1660" s="384" t="s">
        <v>9210</v>
      </c>
      <c r="B1660" s="384" t="s">
        <v>9211</v>
      </c>
      <c r="C1660" s="384" t="s">
        <v>82</v>
      </c>
      <c r="D1660" s="385" t="s">
        <v>9212</v>
      </c>
    </row>
    <row r="1661" spans="1:4" x14ac:dyDescent="0.25">
      <c r="A1661" s="384" t="s">
        <v>9213</v>
      </c>
      <c r="B1661" s="384" t="s">
        <v>9214</v>
      </c>
      <c r="C1661" s="384" t="s">
        <v>82</v>
      </c>
      <c r="D1661" s="385" t="s">
        <v>9215</v>
      </c>
    </row>
    <row r="1662" spans="1:4" x14ac:dyDescent="0.25">
      <c r="A1662" s="384" t="s">
        <v>9216</v>
      </c>
      <c r="B1662" s="384" t="s">
        <v>9217</v>
      </c>
      <c r="C1662" s="384" t="s">
        <v>83</v>
      </c>
      <c r="D1662" s="385" t="s">
        <v>9218</v>
      </c>
    </row>
    <row r="1663" spans="1:4" x14ac:dyDescent="0.25">
      <c r="A1663" s="384" t="s">
        <v>9219</v>
      </c>
      <c r="B1663" s="384" t="s">
        <v>9220</v>
      </c>
      <c r="C1663" s="384" t="s">
        <v>82</v>
      </c>
      <c r="D1663" s="385" t="s">
        <v>9221</v>
      </c>
    </row>
    <row r="1664" spans="1:4" x14ac:dyDescent="0.25">
      <c r="A1664" s="384" t="s">
        <v>9222</v>
      </c>
      <c r="B1664" s="384" t="s">
        <v>9223</v>
      </c>
      <c r="C1664" s="384" t="s">
        <v>83</v>
      </c>
      <c r="D1664" s="385" t="s">
        <v>9224</v>
      </c>
    </row>
    <row r="1665" spans="1:4" x14ac:dyDescent="0.25">
      <c r="A1665" s="384" t="s">
        <v>9225</v>
      </c>
      <c r="B1665" s="384" t="s">
        <v>9226</v>
      </c>
      <c r="C1665" s="384" t="s">
        <v>82</v>
      </c>
      <c r="D1665" s="385" t="s">
        <v>9227</v>
      </c>
    </row>
    <row r="1666" spans="1:4" x14ac:dyDescent="0.25">
      <c r="A1666" s="384" t="s">
        <v>9228</v>
      </c>
      <c r="B1666" s="384" t="s">
        <v>9229</v>
      </c>
      <c r="C1666" s="384" t="s">
        <v>83</v>
      </c>
      <c r="D1666" s="385" t="s">
        <v>9230</v>
      </c>
    </row>
    <row r="1667" spans="1:4" x14ac:dyDescent="0.25">
      <c r="A1667" s="384" t="s">
        <v>9231</v>
      </c>
      <c r="B1667" s="384" t="s">
        <v>9232</v>
      </c>
      <c r="C1667" s="384" t="s">
        <v>82</v>
      </c>
      <c r="D1667" s="385" t="s">
        <v>9233</v>
      </c>
    </row>
    <row r="1668" spans="1:4" x14ac:dyDescent="0.25">
      <c r="A1668" s="384" t="s">
        <v>9234</v>
      </c>
      <c r="B1668" s="384" t="s">
        <v>9235</v>
      </c>
      <c r="C1668" s="384" t="s">
        <v>82</v>
      </c>
      <c r="D1668" s="385" t="s">
        <v>9236</v>
      </c>
    </row>
    <row r="1669" spans="1:4" x14ac:dyDescent="0.25">
      <c r="A1669" s="384" t="s">
        <v>9237</v>
      </c>
      <c r="B1669" s="384" t="s">
        <v>9238</v>
      </c>
      <c r="C1669" s="384" t="s">
        <v>83</v>
      </c>
      <c r="D1669" s="385" t="s">
        <v>9239</v>
      </c>
    </row>
    <row r="1670" spans="1:4" x14ac:dyDescent="0.25">
      <c r="A1670" s="384" t="s">
        <v>9240</v>
      </c>
      <c r="B1670" s="384" t="s">
        <v>9241</v>
      </c>
      <c r="C1670" s="384" t="s">
        <v>82</v>
      </c>
      <c r="D1670" s="385" t="s">
        <v>9242</v>
      </c>
    </row>
    <row r="1671" spans="1:4" x14ac:dyDescent="0.25">
      <c r="A1671" s="384" t="s">
        <v>9243</v>
      </c>
      <c r="B1671" s="384" t="s">
        <v>9244</v>
      </c>
      <c r="C1671" s="384" t="s">
        <v>83</v>
      </c>
      <c r="D1671" s="385" t="s">
        <v>9245</v>
      </c>
    </row>
    <row r="1672" spans="1:4" x14ac:dyDescent="0.25">
      <c r="A1672" s="384" t="s">
        <v>9246</v>
      </c>
      <c r="B1672" s="384" t="s">
        <v>9247</v>
      </c>
      <c r="C1672" s="384" t="s">
        <v>83</v>
      </c>
      <c r="D1672" s="385" t="s">
        <v>9248</v>
      </c>
    </row>
    <row r="1673" spans="1:4" x14ac:dyDescent="0.25">
      <c r="A1673" s="384" t="s">
        <v>9249</v>
      </c>
      <c r="B1673" s="384" t="s">
        <v>9250</v>
      </c>
      <c r="C1673" s="384" t="s">
        <v>82</v>
      </c>
      <c r="D1673" s="385" t="s">
        <v>9251</v>
      </c>
    </row>
    <row r="1674" spans="1:4" x14ac:dyDescent="0.25">
      <c r="A1674" s="384" t="s">
        <v>9252</v>
      </c>
      <c r="B1674" s="384" t="s">
        <v>9253</v>
      </c>
      <c r="C1674" s="384" t="s">
        <v>83</v>
      </c>
      <c r="D1674" s="385" t="s">
        <v>9254</v>
      </c>
    </row>
    <row r="1675" spans="1:4" x14ac:dyDescent="0.25">
      <c r="A1675" s="384" t="s">
        <v>9255</v>
      </c>
      <c r="B1675" s="384" t="s">
        <v>9256</v>
      </c>
      <c r="C1675" s="384" t="s">
        <v>82</v>
      </c>
      <c r="D1675" s="385" t="s">
        <v>9257</v>
      </c>
    </row>
    <row r="1676" spans="1:4" x14ac:dyDescent="0.25">
      <c r="A1676" s="384" t="s">
        <v>9258</v>
      </c>
      <c r="B1676" s="384" t="s">
        <v>9259</v>
      </c>
      <c r="C1676" s="384" t="s">
        <v>83</v>
      </c>
      <c r="D1676" s="385" t="s">
        <v>9260</v>
      </c>
    </row>
    <row r="1677" spans="1:4" x14ac:dyDescent="0.25">
      <c r="A1677" s="384" t="s">
        <v>9261</v>
      </c>
      <c r="B1677" s="384" t="s">
        <v>9262</v>
      </c>
      <c r="C1677" s="384" t="s">
        <v>82</v>
      </c>
      <c r="D1677" s="385" t="s">
        <v>9251</v>
      </c>
    </row>
    <row r="1678" spans="1:4" x14ac:dyDescent="0.25">
      <c r="A1678" s="384" t="s">
        <v>9263</v>
      </c>
      <c r="B1678" s="384" t="s">
        <v>9264</v>
      </c>
      <c r="C1678" s="384" t="s">
        <v>82</v>
      </c>
      <c r="D1678" s="385" t="s">
        <v>9265</v>
      </c>
    </row>
    <row r="1679" spans="1:4" x14ac:dyDescent="0.25">
      <c r="A1679" s="384" t="s">
        <v>9266</v>
      </c>
      <c r="B1679" s="384" t="s">
        <v>9267</v>
      </c>
      <c r="C1679" s="384" t="s">
        <v>83</v>
      </c>
      <c r="D1679" s="385" t="s">
        <v>9268</v>
      </c>
    </row>
    <row r="1680" spans="1:4" x14ac:dyDescent="0.25">
      <c r="A1680" s="384" t="s">
        <v>9269</v>
      </c>
      <c r="B1680" s="384" t="s">
        <v>9270</v>
      </c>
      <c r="C1680" s="384" t="s">
        <v>82</v>
      </c>
      <c r="D1680" s="385" t="s">
        <v>9271</v>
      </c>
    </row>
    <row r="1681" spans="1:4" x14ac:dyDescent="0.25">
      <c r="A1681" s="384" t="s">
        <v>9272</v>
      </c>
      <c r="B1681" s="384" t="s">
        <v>9273</v>
      </c>
      <c r="C1681" s="384" t="s">
        <v>83</v>
      </c>
      <c r="D1681" s="385" t="s">
        <v>9274</v>
      </c>
    </row>
    <row r="1682" spans="1:4" x14ac:dyDescent="0.25">
      <c r="A1682" s="384" t="s">
        <v>9275</v>
      </c>
      <c r="B1682" s="384" t="s">
        <v>9276</v>
      </c>
      <c r="C1682" s="384" t="s">
        <v>82</v>
      </c>
      <c r="D1682" s="385" t="s">
        <v>9271</v>
      </c>
    </row>
    <row r="1683" spans="1:4" x14ac:dyDescent="0.25">
      <c r="A1683" s="384" t="s">
        <v>9277</v>
      </c>
      <c r="B1683" s="384" t="s">
        <v>9278</v>
      </c>
      <c r="C1683" s="384" t="s">
        <v>83</v>
      </c>
      <c r="D1683" s="385" t="s">
        <v>9279</v>
      </c>
    </row>
    <row r="1684" spans="1:4" x14ac:dyDescent="0.25">
      <c r="A1684" s="384" t="s">
        <v>9280</v>
      </c>
      <c r="B1684" s="384" t="s">
        <v>9281</v>
      </c>
      <c r="C1684" s="384" t="s">
        <v>83</v>
      </c>
      <c r="D1684" s="385" t="s">
        <v>9282</v>
      </c>
    </row>
    <row r="1685" spans="1:4" x14ac:dyDescent="0.25">
      <c r="A1685" s="384" t="s">
        <v>9283</v>
      </c>
      <c r="B1685" s="384" t="s">
        <v>9284</v>
      </c>
      <c r="C1685" s="384" t="s">
        <v>82</v>
      </c>
      <c r="D1685" s="385" t="s">
        <v>9285</v>
      </c>
    </row>
    <row r="1686" spans="1:4" x14ac:dyDescent="0.25">
      <c r="A1686" s="384" t="s">
        <v>9286</v>
      </c>
      <c r="B1686" s="384" t="s">
        <v>9287</v>
      </c>
      <c r="C1686" s="384" t="s">
        <v>83</v>
      </c>
      <c r="D1686" s="385" t="s">
        <v>9288</v>
      </c>
    </row>
    <row r="1687" spans="1:4" x14ac:dyDescent="0.25">
      <c r="A1687" s="384" t="s">
        <v>9289</v>
      </c>
      <c r="B1687" s="384" t="s">
        <v>9290</v>
      </c>
      <c r="C1687" s="384" t="s">
        <v>82</v>
      </c>
      <c r="D1687" s="385" t="s">
        <v>9291</v>
      </c>
    </row>
    <row r="1688" spans="1:4" x14ac:dyDescent="0.25">
      <c r="A1688" s="384" t="s">
        <v>9292</v>
      </c>
      <c r="B1688" s="384" t="s">
        <v>9293</v>
      </c>
      <c r="C1688" s="384" t="s">
        <v>82</v>
      </c>
      <c r="D1688" s="385" t="s">
        <v>9294</v>
      </c>
    </row>
    <row r="1689" spans="1:4" x14ac:dyDescent="0.25">
      <c r="A1689" s="384" t="s">
        <v>9295</v>
      </c>
      <c r="B1689" s="384" t="s">
        <v>9296</v>
      </c>
      <c r="C1689" s="384" t="s">
        <v>82</v>
      </c>
      <c r="D1689" s="385" t="s">
        <v>9297</v>
      </c>
    </row>
    <row r="1690" spans="1:4" x14ac:dyDescent="0.25">
      <c r="A1690" s="384" t="s">
        <v>9298</v>
      </c>
      <c r="B1690" s="384" t="s">
        <v>9299</v>
      </c>
      <c r="C1690" s="384" t="s">
        <v>83</v>
      </c>
      <c r="D1690" s="385" t="s">
        <v>9300</v>
      </c>
    </row>
    <row r="1691" spans="1:4" x14ac:dyDescent="0.25">
      <c r="A1691" s="384" t="s">
        <v>9301</v>
      </c>
      <c r="B1691" s="384" t="s">
        <v>9302</v>
      </c>
      <c r="C1691" s="384" t="s">
        <v>82</v>
      </c>
      <c r="D1691" s="385" t="s">
        <v>9303</v>
      </c>
    </row>
    <row r="1692" spans="1:4" x14ac:dyDescent="0.25">
      <c r="A1692" s="384" t="s">
        <v>9304</v>
      </c>
      <c r="B1692" s="384" t="s">
        <v>9305</v>
      </c>
      <c r="C1692" s="384" t="s">
        <v>83</v>
      </c>
      <c r="D1692" s="385" t="s">
        <v>9306</v>
      </c>
    </row>
    <row r="1693" spans="1:4" x14ac:dyDescent="0.25">
      <c r="A1693" s="384" t="s">
        <v>9307</v>
      </c>
      <c r="B1693" s="384" t="s">
        <v>9308</v>
      </c>
      <c r="C1693" s="384" t="s">
        <v>82</v>
      </c>
      <c r="D1693" s="385" t="s">
        <v>9236</v>
      </c>
    </row>
    <row r="1694" spans="1:4" x14ac:dyDescent="0.25">
      <c r="A1694" s="384" t="s">
        <v>9309</v>
      </c>
      <c r="B1694" s="384" t="s">
        <v>9310</v>
      </c>
      <c r="C1694" s="384" t="s">
        <v>83</v>
      </c>
      <c r="D1694" s="385" t="s">
        <v>9311</v>
      </c>
    </row>
    <row r="1695" spans="1:4" x14ac:dyDescent="0.25">
      <c r="A1695" s="384" t="s">
        <v>9312</v>
      </c>
      <c r="B1695" s="384" t="s">
        <v>9313</v>
      </c>
      <c r="C1695" s="384" t="s">
        <v>82</v>
      </c>
      <c r="D1695" s="385" t="s">
        <v>9242</v>
      </c>
    </row>
    <row r="1696" spans="1:4" x14ac:dyDescent="0.25">
      <c r="A1696" s="384" t="s">
        <v>9314</v>
      </c>
      <c r="B1696" s="384" t="s">
        <v>9315</v>
      </c>
      <c r="C1696" s="384" t="s">
        <v>83</v>
      </c>
      <c r="D1696" s="385" t="s">
        <v>9316</v>
      </c>
    </row>
    <row r="1697" spans="1:4" x14ac:dyDescent="0.25">
      <c r="A1697" s="384" t="s">
        <v>9317</v>
      </c>
      <c r="B1697" s="384" t="s">
        <v>9318</v>
      </c>
      <c r="C1697" s="384" t="s">
        <v>82</v>
      </c>
      <c r="D1697" s="385" t="s">
        <v>9319</v>
      </c>
    </row>
    <row r="1698" spans="1:4" x14ac:dyDescent="0.25">
      <c r="A1698" s="384" t="s">
        <v>9320</v>
      </c>
      <c r="B1698" s="384" t="s">
        <v>9321</v>
      </c>
      <c r="C1698" s="384" t="s">
        <v>83</v>
      </c>
      <c r="D1698" s="385" t="s">
        <v>9322</v>
      </c>
    </row>
    <row r="1699" spans="1:4" x14ac:dyDescent="0.25">
      <c r="A1699" s="384" t="s">
        <v>9323</v>
      </c>
      <c r="B1699" s="384" t="s">
        <v>9324</v>
      </c>
      <c r="C1699" s="384" t="s">
        <v>83</v>
      </c>
      <c r="D1699" s="385" t="s">
        <v>9325</v>
      </c>
    </row>
    <row r="1700" spans="1:4" x14ac:dyDescent="0.25">
      <c r="A1700" s="384" t="s">
        <v>9326</v>
      </c>
      <c r="B1700" s="384" t="s">
        <v>9327</v>
      </c>
      <c r="C1700" s="384" t="s">
        <v>83</v>
      </c>
      <c r="D1700" s="385" t="s">
        <v>9328</v>
      </c>
    </row>
    <row r="1701" spans="1:4" x14ac:dyDescent="0.25">
      <c r="A1701" s="384" t="s">
        <v>9329</v>
      </c>
      <c r="B1701" s="384" t="s">
        <v>9330</v>
      </c>
      <c r="C1701" s="384" t="s">
        <v>83</v>
      </c>
      <c r="D1701" s="385" t="s">
        <v>9331</v>
      </c>
    </row>
    <row r="1702" spans="1:4" x14ac:dyDescent="0.25">
      <c r="A1702" s="384" t="s">
        <v>9332</v>
      </c>
      <c r="B1702" s="384" t="s">
        <v>9333</v>
      </c>
      <c r="C1702" s="384" t="s">
        <v>83</v>
      </c>
      <c r="D1702" s="385" t="s">
        <v>9334</v>
      </c>
    </row>
    <row r="1703" spans="1:4" x14ac:dyDescent="0.25">
      <c r="A1703" s="384" t="s">
        <v>9335</v>
      </c>
      <c r="B1703" s="384" t="s">
        <v>9336</v>
      </c>
      <c r="C1703" s="384" t="s">
        <v>83</v>
      </c>
      <c r="D1703" s="385" t="s">
        <v>9337</v>
      </c>
    </row>
    <row r="1704" spans="1:4" x14ac:dyDescent="0.25">
      <c r="A1704" s="384" t="s">
        <v>9338</v>
      </c>
      <c r="B1704" s="384" t="s">
        <v>9339</v>
      </c>
      <c r="C1704" s="384" t="s">
        <v>83</v>
      </c>
      <c r="D1704" s="385" t="s">
        <v>9340</v>
      </c>
    </row>
    <row r="1705" spans="1:4" x14ac:dyDescent="0.25">
      <c r="A1705" s="384" t="s">
        <v>9341</v>
      </c>
      <c r="B1705" s="384" t="s">
        <v>9342</v>
      </c>
      <c r="C1705" s="384" t="s">
        <v>83</v>
      </c>
      <c r="D1705" s="385" t="s">
        <v>9343</v>
      </c>
    </row>
    <row r="1706" spans="1:4" x14ac:dyDescent="0.25">
      <c r="A1706" s="384" t="s">
        <v>9344</v>
      </c>
      <c r="B1706" s="384" t="s">
        <v>9345</v>
      </c>
      <c r="C1706" s="384" t="s">
        <v>83</v>
      </c>
      <c r="D1706" s="385" t="s">
        <v>9346</v>
      </c>
    </row>
    <row r="1707" spans="1:4" x14ac:dyDescent="0.25">
      <c r="A1707" s="384" t="s">
        <v>9347</v>
      </c>
      <c r="B1707" s="384" t="s">
        <v>9348</v>
      </c>
      <c r="C1707" s="384" t="s">
        <v>83</v>
      </c>
      <c r="D1707" s="385" t="s">
        <v>9349</v>
      </c>
    </row>
    <row r="1708" spans="1:4" x14ac:dyDescent="0.25">
      <c r="A1708" s="384" t="s">
        <v>9350</v>
      </c>
      <c r="B1708" s="384" t="s">
        <v>9351</v>
      </c>
      <c r="C1708" s="384" t="s">
        <v>82</v>
      </c>
      <c r="D1708" s="385" t="s">
        <v>9352</v>
      </c>
    </row>
    <row r="1709" spans="1:4" x14ac:dyDescent="0.25">
      <c r="A1709" s="384" t="s">
        <v>9353</v>
      </c>
      <c r="B1709" s="384" t="s">
        <v>9354</v>
      </c>
      <c r="C1709" s="384" t="s">
        <v>82</v>
      </c>
      <c r="D1709" s="385" t="s">
        <v>9355</v>
      </c>
    </row>
    <row r="1710" spans="1:4" x14ac:dyDescent="0.25">
      <c r="A1710" s="384" t="s">
        <v>9356</v>
      </c>
      <c r="B1710" s="384" t="s">
        <v>9357</v>
      </c>
      <c r="C1710" s="384" t="s">
        <v>82</v>
      </c>
      <c r="D1710" s="385" t="s">
        <v>9358</v>
      </c>
    </row>
    <row r="1711" spans="1:4" x14ac:dyDescent="0.25">
      <c r="A1711" s="384" t="s">
        <v>9359</v>
      </c>
      <c r="B1711" s="384" t="s">
        <v>9360</v>
      </c>
      <c r="C1711" s="384" t="s">
        <v>82</v>
      </c>
      <c r="D1711" s="385" t="s">
        <v>9361</v>
      </c>
    </row>
    <row r="1712" spans="1:4" x14ac:dyDescent="0.25">
      <c r="A1712" s="384" t="s">
        <v>9362</v>
      </c>
      <c r="B1712" s="384" t="s">
        <v>9363</v>
      </c>
      <c r="C1712" s="384" t="s">
        <v>82</v>
      </c>
      <c r="D1712" s="385" t="s">
        <v>9364</v>
      </c>
    </row>
    <row r="1713" spans="1:4" x14ac:dyDescent="0.25">
      <c r="A1713" s="384" t="s">
        <v>9365</v>
      </c>
      <c r="B1713" s="384" t="s">
        <v>9366</v>
      </c>
      <c r="C1713" s="384" t="s">
        <v>82</v>
      </c>
      <c r="D1713" s="385" t="s">
        <v>9367</v>
      </c>
    </row>
    <row r="1714" spans="1:4" x14ac:dyDescent="0.25">
      <c r="A1714" s="384" t="s">
        <v>9368</v>
      </c>
      <c r="B1714" s="384" t="s">
        <v>9369</v>
      </c>
      <c r="C1714" s="384" t="s">
        <v>82</v>
      </c>
      <c r="D1714" s="385" t="s">
        <v>9370</v>
      </c>
    </row>
    <row r="1715" spans="1:4" x14ac:dyDescent="0.25">
      <c r="A1715" s="384" t="s">
        <v>9371</v>
      </c>
      <c r="B1715" s="384" t="s">
        <v>9372</v>
      </c>
      <c r="C1715" s="384" t="s">
        <v>82</v>
      </c>
      <c r="D1715" s="385" t="s">
        <v>9373</v>
      </c>
    </row>
    <row r="1716" spans="1:4" x14ac:dyDescent="0.25">
      <c r="A1716" s="384" t="s">
        <v>9374</v>
      </c>
      <c r="B1716" s="384" t="s">
        <v>9375</v>
      </c>
      <c r="C1716" s="384" t="s">
        <v>82</v>
      </c>
      <c r="D1716" s="385" t="s">
        <v>9376</v>
      </c>
    </row>
    <row r="1717" spans="1:4" x14ac:dyDescent="0.25">
      <c r="A1717" s="384" t="s">
        <v>9377</v>
      </c>
      <c r="B1717" s="384" t="s">
        <v>9378</v>
      </c>
      <c r="C1717" s="384" t="s">
        <v>82</v>
      </c>
      <c r="D1717" s="385" t="s">
        <v>9379</v>
      </c>
    </row>
    <row r="1718" spans="1:4" x14ac:dyDescent="0.25">
      <c r="A1718" s="384" t="s">
        <v>9380</v>
      </c>
      <c r="B1718" s="384" t="s">
        <v>9381</v>
      </c>
      <c r="C1718" s="384" t="s">
        <v>82</v>
      </c>
      <c r="D1718" s="385" t="s">
        <v>9382</v>
      </c>
    </row>
    <row r="1719" spans="1:4" x14ac:dyDescent="0.25">
      <c r="A1719" s="384" t="s">
        <v>9383</v>
      </c>
      <c r="B1719" s="384" t="s">
        <v>9384</v>
      </c>
      <c r="C1719" s="384" t="s">
        <v>82</v>
      </c>
      <c r="D1719" s="385" t="s">
        <v>9385</v>
      </c>
    </row>
    <row r="1720" spans="1:4" x14ac:dyDescent="0.25">
      <c r="A1720" s="384" t="s">
        <v>9386</v>
      </c>
      <c r="B1720" s="384" t="s">
        <v>9387</v>
      </c>
      <c r="C1720" s="384" t="s">
        <v>82</v>
      </c>
      <c r="D1720" s="385" t="s">
        <v>9388</v>
      </c>
    </row>
    <row r="1721" spans="1:4" x14ac:dyDescent="0.25">
      <c r="A1721" s="384" t="s">
        <v>9389</v>
      </c>
      <c r="B1721" s="384" t="s">
        <v>9390</v>
      </c>
      <c r="C1721" s="384" t="s">
        <v>82</v>
      </c>
      <c r="D1721" s="385" t="s">
        <v>9391</v>
      </c>
    </row>
    <row r="1722" spans="1:4" x14ac:dyDescent="0.25">
      <c r="A1722" s="384" t="s">
        <v>9392</v>
      </c>
      <c r="B1722" s="384" t="s">
        <v>9393</v>
      </c>
      <c r="C1722" s="384" t="s">
        <v>82</v>
      </c>
      <c r="D1722" s="385" t="s">
        <v>9394</v>
      </c>
    </row>
    <row r="1723" spans="1:4" x14ac:dyDescent="0.25">
      <c r="A1723" s="384" t="s">
        <v>9395</v>
      </c>
      <c r="B1723" s="384" t="s">
        <v>9396</v>
      </c>
      <c r="C1723" s="384" t="s">
        <v>82</v>
      </c>
      <c r="D1723" s="385" t="s">
        <v>9397</v>
      </c>
    </row>
    <row r="1724" spans="1:4" x14ac:dyDescent="0.25">
      <c r="A1724" s="384" t="s">
        <v>9398</v>
      </c>
      <c r="B1724" s="384" t="s">
        <v>9399</v>
      </c>
      <c r="C1724" s="384" t="s">
        <v>82</v>
      </c>
      <c r="D1724" s="385" t="s">
        <v>9400</v>
      </c>
    </row>
    <row r="1725" spans="1:4" x14ac:dyDescent="0.25">
      <c r="A1725" s="384" t="s">
        <v>9401</v>
      </c>
      <c r="B1725" s="384" t="s">
        <v>9402</v>
      </c>
      <c r="C1725" s="384" t="s">
        <v>82</v>
      </c>
      <c r="D1725" s="385" t="s">
        <v>9382</v>
      </c>
    </row>
    <row r="1726" spans="1:4" x14ac:dyDescent="0.25">
      <c r="A1726" s="384" t="s">
        <v>9403</v>
      </c>
      <c r="B1726" s="384" t="s">
        <v>9404</v>
      </c>
      <c r="C1726" s="384" t="s">
        <v>82</v>
      </c>
      <c r="D1726" s="385" t="s">
        <v>4550</v>
      </c>
    </row>
    <row r="1727" spans="1:4" x14ac:dyDescent="0.25">
      <c r="A1727" s="384" t="s">
        <v>9405</v>
      </c>
      <c r="B1727" s="384" t="s">
        <v>9406</v>
      </c>
      <c r="C1727" s="384" t="s">
        <v>82</v>
      </c>
      <c r="D1727" s="385" t="s">
        <v>9407</v>
      </c>
    </row>
    <row r="1728" spans="1:4" x14ac:dyDescent="0.25">
      <c r="A1728" s="384" t="s">
        <v>9408</v>
      </c>
      <c r="B1728" s="384" t="s">
        <v>9409</v>
      </c>
      <c r="C1728" s="384" t="s">
        <v>82</v>
      </c>
      <c r="D1728" s="385" t="s">
        <v>9410</v>
      </c>
    </row>
    <row r="1729" spans="1:4" x14ac:dyDescent="0.25">
      <c r="A1729" s="384" t="s">
        <v>9411</v>
      </c>
      <c r="B1729" s="384" t="s">
        <v>9412</v>
      </c>
      <c r="C1729" s="384" t="s">
        <v>82</v>
      </c>
      <c r="D1729" s="385" t="s">
        <v>9413</v>
      </c>
    </row>
    <row r="1730" spans="1:4" x14ac:dyDescent="0.25">
      <c r="A1730" s="384" t="s">
        <v>9414</v>
      </c>
      <c r="B1730" s="384" t="s">
        <v>9415</v>
      </c>
      <c r="C1730" s="384" t="s">
        <v>82</v>
      </c>
      <c r="D1730" s="385" t="s">
        <v>9416</v>
      </c>
    </row>
    <row r="1731" spans="1:4" x14ac:dyDescent="0.25">
      <c r="A1731" s="384" t="s">
        <v>9417</v>
      </c>
      <c r="B1731" s="384" t="s">
        <v>9418</v>
      </c>
      <c r="C1731" s="384" t="s">
        <v>82</v>
      </c>
      <c r="D1731" s="385" t="s">
        <v>9419</v>
      </c>
    </row>
    <row r="1732" spans="1:4" x14ac:dyDescent="0.25">
      <c r="A1732" s="384" t="s">
        <v>9420</v>
      </c>
      <c r="B1732" s="384" t="s">
        <v>9421</v>
      </c>
      <c r="C1732" s="384" t="s">
        <v>82</v>
      </c>
      <c r="D1732" s="385" t="s">
        <v>9422</v>
      </c>
    </row>
    <row r="1733" spans="1:4" x14ac:dyDescent="0.25">
      <c r="A1733" s="384" t="s">
        <v>9423</v>
      </c>
      <c r="B1733" s="384" t="s">
        <v>9424</v>
      </c>
      <c r="C1733" s="384" t="s">
        <v>82</v>
      </c>
      <c r="D1733" s="385" t="s">
        <v>9425</v>
      </c>
    </row>
    <row r="1734" spans="1:4" x14ac:dyDescent="0.25">
      <c r="A1734" s="384" t="s">
        <v>9426</v>
      </c>
      <c r="B1734" s="384" t="s">
        <v>9427</v>
      </c>
      <c r="C1734" s="384" t="s">
        <v>82</v>
      </c>
      <c r="D1734" s="385" t="s">
        <v>9428</v>
      </c>
    </row>
    <row r="1735" spans="1:4" x14ac:dyDescent="0.25">
      <c r="A1735" s="384" t="s">
        <v>9429</v>
      </c>
      <c r="B1735" s="384" t="s">
        <v>9430</v>
      </c>
      <c r="C1735" s="384" t="s">
        <v>82</v>
      </c>
      <c r="D1735" s="385" t="s">
        <v>9431</v>
      </c>
    </row>
    <row r="1736" spans="1:4" x14ac:dyDescent="0.25">
      <c r="A1736" s="384" t="s">
        <v>9432</v>
      </c>
      <c r="B1736" s="384" t="s">
        <v>9433</v>
      </c>
      <c r="C1736" s="384" t="s">
        <v>82</v>
      </c>
      <c r="D1736" s="385" t="s">
        <v>9434</v>
      </c>
    </row>
    <row r="1737" spans="1:4" x14ac:dyDescent="0.25">
      <c r="A1737" s="384" t="s">
        <v>9435</v>
      </c>
      <c r="B1737" s="384" t="s">
        <v>9436</v>
      </c>
      <c r="C1737" s="384" t="s">
        <v>82</v>
      </c>
      <c r="D1737" s="385" t="s">
        <v>9437</v>
      </c>
    </row>
    <row r="1738" spans="1:4" x14ac:dyDescent="0.25">
      <c r="A1738" s="384" t="s">
        <v>9438</v>
      </c>
      <c r="B1738" s="384" t="s">
        <v>9439</v>
      </c>
      <c r="C1738" s="384" t="s">
        <v>82</v>
      </c>
      <c r="D1738" s="385" t="s">
        <v>9440</v>
      </c>
    </row>
    <row r="1739" spans="1:4" x14ac:dyDescent="0.25">
      <c r="A1739" s="384" t="s">
        <v>9441</v>
      </c>
      <c r="B1739" s="384" t="s">
        <v>9442</v>
      </c>
      <c r="C1739" s="384" t="s">
        <v>82</v>
      </c>
      <c r="D1739" s="385" t="s">
        <v>9443</v>
      </c>
    </row>
    <row r="1740" spans="1:4" x14ac:dyDescent="0.25">
      <c r="A1740" s="384" t="s">
        <v>9444</v>
      </c>
      <c r="B1740" s="384" t="s">
        <v>9445</v>
      </c>
      <c r="C1740" s="384" t="s">
        <v>2884</v>
      </c>
      <c r="D1740" s="385" t="s">
        <v>9446</v>
      </c>
    </row>
    <row r="1741" spans="1:4" x14ac:dyDescent="0.25">
      <c r="A1741" s="384" t="s">
        <v>9447</v>
      </c>
      <c r="B1741" s="384" t="s">
        <v>9448</v>
      </c>
      <c r="C1741" s="384" t="s">
        <v>77</v>
      </c>
      <c r="D1741" s="385" t="s">
        <v>9449</v>
      </c>
    </row>
    <row r="1742" spans="1:4" x14ac:dyDescent="0.25">
      <c r="A1742" s="384" t="s">
        <v>9450</v>
      </c>
      <c r="B1742" s="384" t="s">
        <v>9451</v>
      </c>
      <c r="C1742" s="384" t="s">
        <v>77</v>
      </c>
      <c r="D1742" s="385" t="s">
        <v>7531</v>
      </c>
    </row>
    <row r="1743" spans="1:4" x14ac:dyDescent="0.25">
      <c r="A1743" s="384" t="s">
        <v>9452</v>
      </c>
      <c r="B1743" s="384" t="s">
        <v>9453</v>
      </c>
      <c r="C1743" s="384" t="s">
        <v>77</v>
      </c>
      <c r="D1743" s="385" t="s">
        <v>9454</v>
      </c>
    </row>
    <row r="1744" spans="1:4" x14ac:dyDescent="0.25">
      <c r="A1744" s="384" t="s">
        <v>9455</v>
      </c>
      <c r="B1744" s="384" t="s">
        <v>9456</v>
      </c>
      <c r="C1744" s="384" t="s">
        <v>77</v>
      </c>
      <c r="D1744" s="385" t="s">
        <v>9457</v>
      </c>
    </row>
    <row r="1745" spans="1:4" x14ac:dyDescent="0.25">
      <c r="A1745" s="384" t="s">
        <v>9458</v>
      </c>
      <c r="B1745" s="384" t="s">
        <v>9459</v>
      </c>
      <c r="C1745" s="384" t="s">
        <v>77</v>
      </c>
      <c r="D1745" s="385" t="s">
        <v>9460</v>
      </c>
    </row>
    <row r="1746" spans="1:4" x14ac:dyDescent="0.25">
      <c r="A1746" s="384" t="s">
        <v>9461</v>
      </c>
      <c r="B1746" s="384" t="s">
        <v>9462</v>
      </c>
      <c r="C1746" s="384" t="s">
        <v>77</v>
      </c>
      <c r="D1746" s="385" t="s">
        <v>9463</v>
      </c>
    </row>
    <row r="1747" spans="1:4" x14ac:dyDescent="0.25">
      <c r="A1747" s="384" t="s">
        <v>9464</v>
      </c>
      <c r="B1747" s="384" t="s">
        <v>9465</v>
      </c>
      <c r="C1747" s="384" t="s">
        <v>77</v>
      </c>
      <c r="D1747" s="385" t="s">
        <v>9466</v>
      </c>
    </row>
    <row r="1748" spans="1:4" x14ac:dyDescent="0.25">
      <c r="A1748" s="384" t="s">
        <v>9467</v>
      </c>
      <c r="B1748" s="384" t="s">
        <v>9468</v>
      </c>
      <c r="C1748" s="384" t="s">
        <v>77</v>
      </c>
      <c r="D1748" s="385" t="s">
        <v>9469</v>
      </c>
    </row>
    <row r="1749" spans="1:4" x14ac:dyDescent="0.25">
      <c r="A1749" s="384" t="s">
        <v>9470</v>
      </c>
      <c r="B1749" s="384" t="s">
        <v>9471</v>
      </c>
      <c r="C1749" s="384" t="s">
        <v>76</v>
      </c>
      <c r="D1749" s="385" t="s">
        <v>9472</v>
      </c>
    </row>
    <row r="1750" spans="1:4" x14ac:dyDescent="0.25">
      <c r="A1750" s="384" t="s">
        <v>9473</v>
      </c>
      <c r="B1750" s="384" t="s">
        <v>9474</v>
      </c>
      <c r="C1750" s="384" t="s">
        <v>83</v>
      </c>
      <c r="D1750" s="385" t="s">
        <v>9475</v>
      </c>
    </row>
    <row r="1751" spans="1:4" x14ac:dyDescent="0.25">
      <c r="A1751" s="384" t="s">
        <v>9476</v>
      </c>
      <c r="B1751" s="384" t="s">
        <v>9477</v>
      </c>
      <c r="C1751" s="384" t="s">
        <v>83</v>
      </c>
      <c r="D1751" s="385" t="s">
        <v>9478</v>
      </c>
    </row>
    <row r="1752" spans="1:4" x14ac:dyDescent="0.25">
      <c r="A1752" s="384" t="s">
        <v>9479</v>
      </c>
      <c r="B1752" s="384" t="s">
        <v>9480</v>
      </c>
      <c r="C1752" s="384" t="s">
        <v>83</v>
      </c>
      <c r="D1752" s="385" t="s">
        <v>9481</v>
      </c>
    </row>
    <row r="1753" spans="1:4" x14ac:dyDescent="0.25">
      <c r="A1753" s="384" t="s">
        <v>9482</v>
      </c>
      <c r="B1753" s="384" t="s">
        <v>9483</v>
      </c>
      <c r="C1753" s="384" t="s">
        <v>83</v>
      </c>
      <c r="D1753" s="385" t="s">
        <v>9484</v>
      </c>
    </row>
    <row r="1754" spans="1:4" x14ac:dyDescent="0.25">
      <c r="A1754" s="384" t="s">
        <v>9485</v>
      </c>
      <c r="B1754" s="384" t="s">
        <v>9486</v>
      </c>
      <c r="C1754" s="384" t="s">
        <v>83</v>
      </c>
      <c r="D1754" s="385" t="s">
        <v>9487</v>
      </c>
    </row>
    <row r="1755" spans="1:4" x14ac:dyDescent="0.25">
      <c r="A1755" s="384" t="s">
        <v>9488</v>
      </c>
      <c r="B1755" s="384" t="s">
        <v>9489</v>
      </c>
      <c r="C1755" s="384" t="s">
        <v>83</v>
      </c>
      <c r="D1755" s="385" t="s">
        <v>9490</v>
      </c>
    </row>
    <row r="1756" spans="1:4" x14ac:dyDescent="0.25">
      <c r="A1756" s="384" t="s">
        <v>9491</v>
      </c>
      <c r="B1756" s="384" t="s">
        <v>9492</v>
      </c>
      <c r="C1756" s="384" t="s">
        <v>83</v>
      </c>
      <c r="D1756" s="385" t="s">
        <v>9493</v>
      </c>
    </row>
    <row r="1757" spans="1:4" x14ac:dyDescent="0.25">
      <c r="A1757" s="384" t="s">
        <v>9494</v>
      </c>
      <c r="B1757" s="384" t="s">
        <v>9495</v>
      </c>
      <c r="C1757" s="384" t="s">
        <v>83</v>
      </c>
      <c r="D1757" s="385" t="s">
        <v>9496</v>
      </c>
    </row>
    <row r="1758" spans="1:4" x14ac:dyDescent="0.25">
      <c r="A1758" s="384" t="s">
        <v>9497</v>
      </c>
      <c r="B1758" s="384" t="s">
        <v>9498</v>
      </c>
      <c r="C1758" s="384" t="s">
        <v>83</v>
      </c>
      <c r="D1758" s="385" t="s">
        <v>9499</v>
      </c>
    </row>
    <row r="1759" spans="1:4" x14ac:dyDescent="0.25">
      <c r="A1759" s="384" t="s">
        <v>9500</v>
      </c>
      <c r="B1759" s="384" t="s">
        <v>9501</v>
      </c>
      <c r="C1759" s="384" t="s">
        <v>83</v>
      </c>
      <c r="D1759" s="385" t="s">
        <v>9502</v>
      </c>
    </row>
    <row r="1760" spans="1:4" x14ac:dyDescent="0.25">
      <c r="A1760" s="384" t="s">
        <v>9503</v>
      </c>
      <c r="B1760" s="384" t="s">
        <v>9504</v>
      </c>
      <c r="C1760" s="384" t="s">
        <v>83</v>
      </c>
      <c r="D1760" s="385" t="s">
        <v>9505</v>
      </c>
    </row>
    <row r="1761" spans="1:4" x14ac:dyDescent="0.25">
      <c r="A1761" s="384" t="s">
        <v>9506</v>
      </c>
      <c r="B1761" s="384" t="s">
        <v>9507</v>
      </c>
      <c r="C1761" s="384" t="s">
        <v>83</v>
      </c>
      <c r="D1761" s="385" t="s">
        <v>9508</v>
      </c>
    </row>
    <row r="1762" spans="1:4" x14ac:dyDescent="0.25">
      <c r="A1762" s="384" t="s">
        <v>9509</v>
      </c>
      <c r="B1762" s="384" t="s">
        <v>9510</v>
      </c>
      <c r="C1762" s="384" t="s">
        <v>83</v>
      </c>
      <c r="D1762" s="385" t="s">
        <v>9511</v>
      </c>
    </row>
    <row r="1763" spans="1:4" x14ac:dyDescent="0.25">
      <c r="A1763" s="384" t="s">
        <v>9512</v>
      </c>
      <c r="B1763" s="384" t="s">
        <v>9513</v>
      </c>
      <c r="C1763" s="384" t="s">
        <v>83</v>
      </c>
      <c r="D1763" s="385" t="s">
        <v>9514</v>
      </c>
    </row>
    <row r="1764" spans="1:4" x14ac:dyDescent="0.25">
      <c r="A1764" s="384" t="s">
        <v>9515</v>
      </c>
      <c r="B1764" s="384" t="s">
        <v>9516</v>
      </c>
      <c r="C1764" s="384" t="s">
        <v>83</v>
      </c>
      <c r="D1764" s="385" t="s">
        <v>9517</v>
      </c>
    </row>
    <row r="1765" spans="1:4" x14ac:dyDescent="0.25">
      <c r="A1765" s="384" t="s">
        <v>9518</v>
      </c>
      <c r="B1765" s="384" t="s">
        <v>9519</v>
      </c>
      <c r="C1765" s="384" t="s">
        <v>83</v>
      </c>
      <c r="D1765" s="385" t="s">
        <v>9520</v>
      </c>
    </row>
    <row r="1766" spans="1:4" x14ac:dyDescent="0.25">
      <c r="A1766" s="384" t="s">
        <v>9521</v>
      </c>
      <c r="B1766" s="384" t="s">
        <v>9522</v>
      </c>
      <c r="C1766" s="384" t="s">
        <v>83</v>
      </c>
      <c r="D1766" s="385" t="s">
        <v>9523</v>
      </c>
    </row>
    <row r="1767" spans="1:4" x14ac:dyDescent="0.25">
      <c r="A1767" s="384" t="s">
        <v>9524</v>
      </c>
      <c r="B1767" s="384" t="s">
        <v>9525</v>
      </c>
      <c r="C1767" s="384" t="s">
        <v>83</v>
      </c>
      <c r="D1767" s="385" t="s">
        <v>9526</v>
      </c>
    </row>
    <row r="1768" spans="1:4" x14ac:dyDescent="0.25">
      <c r="A1768" s="384" t="s">
        <v>9527</v>
      </c>
      <c r="B1768" s="384" t="s">
        <v>9528</v>
      </c>
      <c r="C1768" s="384" t="s">
        <v>83</v>
      </c>
      <c r="D1768" s="385" t="s">
        <v>9529</v>
      </c>
    </row>
    <row r="1769" spans="1:4" x14ac:dyDescent="0.25">
      <c r="A1769" s="384" t="s">
        <v>9530</v>
      </c>
      <c r="B1769" s="384" t="s">
        <v>9531</v>
      </c>
      <c r="C1769" s="384" t="s">
        <v>83</v>
      </c>
      <c r="D1769" s="385" t="s">
        <v>9532</v>
      </c>
    </row>
    <row r="1770" spans="1:4" x14ac:dyDescent="0.25">
      <c r="A1770" s="384" t="s">
        <v>9533</v>
      </c>
      <c r="B1770" s="384" t="s">
        <v>9534</v>
      </c>
      <c r="C1770" s="384" t="s">
        <v>83</v>
      </c>
      <c r="D1770" s="385" t="s">
        <v>9535</v>
      </c>
    </row>
    <row r="1771" spans="1:4" x14ac:dyDescent="0.25">
      <c r="A1771" s="384" t="s">
        <v>9536</v>
      </c>
      <c r="B1771" s="384" t="s">
        <v>9537</v>
      </c>
      <c r="C1771" s="384" t="s">
        <v>83</v>
      </c>
      <c r="D1771" s="385" t="s">
        <v>9538</v>
      </c>
    </row>
    <row r="1772" spans="1:4" x14ac:dyDescent="0.25">
      <c r="A1772" s="384" t="s">
        <v>9539</v>
      </c>
      <c r="B1772" s="384" t="s">
        <v>9540</v>
      </c>
      <c r="C1772" s="384" t="s">
        <v>83</v>
      </c>
      <c r="D1772" s="385" t="s">
        <v>9541</v>
      </c>
    </row>
    <row r="1773" spans="1:4" x14ac:dyDescent="0.25">
      <c r="A1773" s="384" t="s">
        <v>9542</v>
      </c>
      <c r="B1773" s="384" t="s">
        <v>9543</v>
      </c>
      <c r="C1773" s="384" t="s">
        <v>83</v>
      </c>
      <c r="D1773" s="385" t="s">
        <v>9544</v>
      </c>
    </row>
    <row r="1774" spans="1:4" x14ac:dyDescent="0.25">
      <c r="A1774" s="384" t="s">
        <v>9545</v>
      </c>
      <c r="B1774" s="384" t="s">
        <v>9546</v>
      </c>
      <c r="C1774" s="384" t="s">
        <v>83</v>
      </c>
      <c r="D1774" s="385" t="s">
        <v>9547</v>
      </c>
    </row>
    <row r="1775" spans="1:4" x14ac:dyDescent="0.25">
      <c r="A1775" s="384" t="s">
        <v>9548</v>
      </c>
      <c r="B1775" s="384" t="s">
        <v>9549</v>
      </c>
      <c r="C1775" s="384" t="s">
        <v>83</v>
      </c>
      <c r="D1775" s="385" t="s">
        <v>9550</v>
      </c>
    </row>
    <row r="1776" spans="1:4" x14ac:dyDescent="0.25">
      <c r="A1776" s="384" t="s">
        <v>9551</v>
      </c>
      <c r="B1776" s="384" t="s">
        <v>9552</v>
      </c>
      <c r="C1776" s="384" t="s">
        <v>83</v>
      </c>
      <c r="D1776" s="385" t="s">
        <v>9553</v>
      </c>
    </row>
    <row r="1777" spans="1:4" x14ac:dyDescent="0.25">
      <c r="A1777" s="384" t="s">
        <v>9554</v>
      </c>
      <c r="B1777" s="384" t="s">
        <v>9555</v>
      </c>
      <c r="C1777" s="384" t="s">
        <v>83</v>
      </c>
      <c r="D1777" s="385" t="s">
        <v>9556</v>
      </c>
    </row>
    <row r="1778" spans="1:4" x14ac:dyDescent="0.25">
      <c r="A1778" s="384" t="s">
        <v>9557</v>
      </c>
      <c r="B1778" s="384" t="s">
        <v>9558</v>
      </c>
      <c r="C1778" s="384" t="s">
        <v>83</v>
      </c>
      <c r="D1778" s="385" t="s">
        <v>9559</v>
      </c>
    </row>
    <row r="1779" spans="1:4" x14ac:dyDescent="0.25">
      <c r="A1779" s="384" t="s">
        <v>9560</v>
      </c>
      <c r="B1779" s="384" t="s">
        <v>9561</v>
      </c>
      <c r="C1779" s="384" t="s">
        <v>83</v>
      </c>
      <c r="D1779" s="385" t="s">
        <v>9562</v>
      </c>
    </row>
    <row r="1780" spans="1:4" x14ac:dyDescent="0.25">
      <c r="A1780" s="384" t="s">
        <v>9563</v>
      </c>
      <c r="B1780" s="384" t="s">
        <v>9564</v>
      </c>
      <c r="C1780" s="384" t="s">
        <v>83</v>
      </c>
      <c r="D1780" s="385" t="s">
        <v>9565</v>
      </c>
    </row>
    <row r="1781" spans="1:4" x14ac:dyDescent="0.25">
      <c r="A1781" s="384" t="s">
        <v>9566</v>
      </c>
      <c r="B1781" s="384" t="s">
        <v>9567</v>
      </c>
      <c r="C1781" s="384" t="s">
        <v>83</v>
      </c>
      <c r="D1781" s="385" t="s">
        <v>9568</v>
      </c>
    </row>
    <row r="1782" spans="1:4" x14ac:dyDescent="0.25">
      <c r="A1782" s="384" t="s">
        <v>9569</v>
      </c>
      <c r="B1782" s="384" t="s">
        <v>9570</v>
      </c>
      <c r="C1782" s="384" t="s">
        <v>83</v>
      </c>
      <c r="D1782" s="385" t="s">
        <v>9571</v>
      </c>
    </row>
    <row r="1783" spans="1:4" x14ac:dyDescent="0.25">
      <c r="A1783" s="384" t="s">
        <v>9572</v>
      </c>
      <c r="B1783" s="384" t="s">
        <v>9573</v>
      </c>
      <c r="C1783" s="384" t="s">
        <v>83</v>
      </c>
      <c r="D1783" s="385" t="s">
        <v>9574</v>
      </c>
    </row>
    <row r="1784" spans="1:4" x14ac:dyDescent="0.25">
      <c r="A1784" s="384" t="s">
        <v>9575</v>
      </c>
      <c r="B1784" s="384" t="s">
        <v>9576</v>
      </c>
      <c r="C1784" s="384" t="s">
        <v>83</v>
      </c>
      <c r="D1784" s="385" t="s">
        <v>9577</v>
      </c>
    </row>
    <row r="1785" spans="1:4" x14ac:dyDescent="0.25">
      <c r="A1785" s="384" t="s">
        <v>9578</v>
      </c>
      <c r="B1785" s="384" t="s">
        <v>9579</v>
      </c>
      <c r="C1785" s="384" t="s">
        <v>83</v>
      </c>
      <c r="D1785" s="385" t="s">
        <v>9580</v>
      </c>
    </row>
    <row r="1786" spans="1:4" x14ac:dyDescent="0.25">
      <c r="A1786" s="384" t="s">
        <v>9581</v>
      </c>
      <c r="B1786" s="384" t="s">
        <v>9582</v>
      </c>
      <c r="C1786" s="384" t="s">
        <v>83</v>
      </c>
      <c r="D1786" s="385" t="s">
        <v>9583</v>
      </c>
    </row>
    <row r="1787" spans="1:4" x14ac:dyDescent="0.25">
      <c r="A1787" s="384" t="s">
        <v>9584</v>
      </c>
      <c r="B1787" s="384" t="s">
        <v>9585</v>
      </c>
      <c r="C1787" s="384" t="s">
        <v>83</v>
      </c>
      <c r="D1787" s="385" t="s">
        <v>9583</v>
      </c>
    </row>
    <row r="1788" spans="1:4" x14ac:dyDescent="0.25">
      <c r="A1788" s="384" t="s">
        <v>9586</v>
      </c>
      <c r="B1788" s="384" t="s">
        <v>9587</v>
      </c>
      <c r="C1788" s="384" t="s">
        <v>83</v>
      </c>
      <c r="D1788" s="385" t="s">
        <v>9588</v>
      </c>
    </row>
    <row r="1789" spans="1:4" x14ac:dyDescent="0.25">
      <c r="A1789" s="384" t="s">
        <v>9589</v>
      </c>
      <c r="B1789" s="384" t="s">
        <v>9590</v>
      </c>
      <c r="C1789" s="384" t="s">
        <v>83</v>
      </c>
      <c r="D1789" s="385" t="s">
        <v>9588</v>
      </c>
    </row>
    <row r="1790" spans="1:4" x14ac:dyDescent="0.25">
      <c r="A1790" s="384" t="s">
        <v>9591</v>
      </c>
      <c r="B1790" s="384" t="s">
        <v>9592</v>
      </c>
      <c r="C1790" s="384" t="s">
        <v>83</v>
      </c>
      <c r="D1790" s="385" t="s">
        <v>9593</v>
      </c>
    </row>
    <row r="1791" spans="1:4" x14ac:dyDescent="0.25">
      <c r="A1791" s="384" t="s">
        <v>9594</v>
      </c>
      <c r="B1791" s="384" t="s">
        <v>9595</v>
      </c>
      <c r="C1791" s="384" t="s">
        <v>83</v>
      </c>
      <c r="D1791" s="385" t="s">
        <v>9596</v>
      </c>
    </row>
    <row r="1792" spans="1:4" x14ac:dyDescent="0.25">
      <c r="A1792" s="384" t="s">
        <v>9597</v>
      </c>
      <c r="B1792" s="384" t="s">
        <v>9598</v>
      </c>
      <c r="C1792" s="384" t="s">
        <v>83</v>
      </c>
      <c r="D1792" s="385" t="s">
        <v>9583</v>
      </c>
    </row>
    <row r="1793" spans="1:4" x14ac:dyDescent="0.25">
      <c r="A1793" s="384" t="s">
        <v>9599</v>
      </c>
      <c r="B1793" s="384" t="s">
        <v>9600</v>
      </c>
      <c r="C1793" s="384" t="s">
        <v>83</v>
      </c>
      <c r="D1793" s="385" t="s">
        <v>9601</v>
      </c>
    </row>
    <row r="1794" spans="1:4" x14ac:dyDescent="0.25">
      <c r="A1794" s="384" t="s">
        <v>9602</v>
      </c>
      <c r="B1794" s="384" t="s">
        <v>9603</v>
      </c>
      <c r="C1794" s="384" t="s">
        <v>83</v>
      </c>
      <c r="D1794" s="385" t="s">
        <v>9604</v>
      </c>
    </row>
    <row r="1795" spans="1:4" x14ac:dyDescent="0.25">
      <c r="A1795" s="384" t="s">
        <v>9605</v>
      </c>
      <c r="B1795" s="384" t="s">
        <v>9606</v>
      </c>
      <c r="C1795" s="384" t="s">
        <v>83</v>
      </c>
      <c r="D1795" s="385" t="s">
        <v>9607</v>
      </c>
    </row>
    <row r="1796" spans="1:4" x14ac:dyDescent="0.25">
      <c r="A1796" s="384" t="s">
        <v>9608</v>
      </c>
      <c r="B1796" s="384" t="s">
        <v>9609</v>
      </c>
      <c r="C1796" s="384" t="s">
        <v>83</v>
      </c>
      <c r="D1796" s="385" t="s">
        <v>9610</v>
      </c>
    </row>
    <row r="1797" spans="1:4" x14ac:dyDescent="0.25">
      <c r="A1797" s="384" t="s">
        <v>9611</v>
      </c>
      <c r="B1797" s="384" t="s">
        <v>9612</v>
      </c>
      <c r="C1797" s="384" t="s">
        <v>83</v>
      </c>
      <c r="D1797" s="385" t="s">
        <v>9613</v>
      </c>
    </row>
    <row r="1798" spans="1:4" x14ac:dyDescent="0.25">
      <c r="A1798" s="384" t="s">
        <v>9614</v>
      </c>
      <c r="B1798" s="384" t="s">
        <v>9615</v>
      </c>
      <c r="C1798" s="384" t="s">
        <v>83</v>
      </c>
      <c r="D1798" s="385" t="s">
        <v>9601</v>
      </c>
    </row>
    <row r="1799" spans="1:4" x14ac:dyDescent="0.25">
      <c r="A1799" s="384" t="s">
        <v>9616</v>
      </c>
      <c r="B1799" s="384" t="s">
        <v>9617</v>
      </c>
      <c r="C1799" s="384" t="s">
        <v>83</v>
      </c>
      <c r="D1799" s="385" t="s">
        <v>9618</v>
      </c>
    </row>
    <row r="1800" spans="1:4" x14ac:dyDescent="0.25">
      <c r="A1800" s="384" t="s">
        <v>9619</v>
      </c>
      <c r="B1800" s="384" t="s">
        <v>9620</v>
      </c>
      <c r="C1800" s="384" t="s">
        <v>83</v>
      </c>
      <c r="D1800" s="385" t="s">
        <v>9607</v>
      </c>
    </row>
    <row r="1801" spans="1:4" x14ac:dyDescent="0.25">
      <c r="A1801" s="384" t="s">
        <v>9621</v>
      </c>
      <c r="B1801" s="384" t="s">
        <v>9622</v>
      </c>
      <c r="C1801" s="384" t="s">
        <v>83</v>
      </c>
      <c r="D1801" s="385" t="s">
        <v>9623</v>
      </c>
    </row>
    <row r="1802" spans="1:4" x14ac:dyDescent="0.25">
      <c r="A1802" s="384" t="s">
        <v>9624</v>
      </c>
      <c r="B1802" s="384" t="s">
        <v>9625</v>
      </c>
      <c r="C1802" s="384" t="s">
        <v>83</v>
      </c>
      <c r="D1802" s="385" t="s">
        <v>9626</v>
      </c>
    </row>
    <row r="1803" spans="1:4" x14ac:dyDescent="0.25">
      <c r="A1803" s="384" t="s">
        <v>9627</v>
      </c>
      <c r="B1803" s="384" t="s">
        <v>9628</v>
      </c>
      <c r="C1803" s="384" t="s">
        <v>83</v>
      </c>
      <c r="D1803" s="385" t="s">
        <v>9629</v>
      </c>
    </row>
    <row r="1804" spans="1:4" x14ac:dyDescent="0.25">
      <c r="A1804" s="384" t="s">
        <v>9630</v>
      </c>
      <c r="B1804" s="384" t="s">
        <v>9631</v>
      </c>
      <c r="C1804" s="384" t="s">
        <v>83</v>
      </c>
      <c r="D1804" s="385" t="s">
        <v>9632</v>
      </c>
    </row>
    <row r="1805" spans="1:4" x14ac:dyDescent="0.25">
      <c r="A1805" s="384" t="s">
        <v>9633</v>
      </c>
      <c r="B1805" s="384" t="s">
        <v>9634</v>
      </c>
      <c r="C1805" s="384" t="s">
        <v>83</v>
      </c>
      <c r="D1805" s="385" t="s">
        <v>9635</v>
      </c>
    </row>
    <row r="1806" spans="1:4" x14ac:dyDescent="0.25">
      <c r="A1806" s="384" t="s">
        <v>9636</v>
      </c>
      <c r="B1806" s="384" t="s">
        <v>9637</v>
      </c>
      <c r="C1806" s="384" t="s">
        <v>83</v>
      </c>
      <c r="D1806" s="385" t="s">
        <v>9638</v>
      </c>
    </row>
    <row r="1807" spans="1:4" x14ac:dyDescent="0.25">
      <c r="A1807" s="384" t="s">
        <v>9639</v>
      </c>
      <c r="B1807" s="384" t="s">
        <v>9640</v>
      </c>
      <c r="C1807" s="384" t="s">
        <v>83</v>
      </c>
      <c r="D1807" s="385" t="s">
        <v>9641</v>
      </c>
    </row>
    <row r="1808" spans="1:4" x14ac:dyDescent="0.25">
      <c r="A1808" s="384" t="s">
        <v>9642</v>
      </c>
      <c r="B1808" s="384" t="s">
        <v>9643</v>
      </c>
      <c r="C1808" s="384" t="s">
        <v>83</v>
      </c>
      <c r="D1808" s="385" t="s">
        <v>9644</v>
      </c>
    </row>
    <row r="1809" spans="1:4" x14ac:dyDescent="0.25">
      <c r="A1809" s="384" t="s">
        <v>9645</v>
      </c>
      <c r="B1809" s="384" t="s">
        <v>9646</v>
      </c>
      <c r="C1809" s="384" t="s">
        <v>83</v>
      </c>
      <c r="D1809" s="385" t="s">
        <v>9647</v>
      </c>
    </row>
    <row r="1810" spans="1:4" x14ac:dyDescent="0.25">
      <c r="A1810" s="384" t="s">
        <v>9648</v>
      </c>
      <c r="B1810" s="384" t="s">
        <v>9649</v>
      </c>
      <c r="C1810" s="384" t="s">
        <v>83</v>
      </c>
      <c r="D1810" s="385" t="s">
        <v>9650</v>
      </c>
    </row>
    <row r="1811" spans="1:4" x14ac:dyDescent="0.25">
      <c r="A1811" s="384" t="s">
        <v>9651</v>
      </c>
      <c r="B1811" s="384" t="s">
        <v>9652</v>
      </c>
      <c r="C1811" s="384" t="s">
        <v>83</v>
      </c>
      <c r="D1811" s="385" t="s">
        <v>9653</v>
      </c>
    </row>
    <row r="1812" spans="1:4" x14ac:dyDescent="0.25">
      <c r="A1812" s="384" t="s">
        <v>9654</v>
      </c>
      <c r="B1812" s="384" t="s">
        <v>9655</v>
      </c>
      <c r="C1812" s="384" t="s">
        <v>83</v>
      </c>
      <c r="D1812" s="385" t="s">
        <v>9656</v>
      </c>
    </row>
    <row r="1813" spans="1:4" x14ac:dyDescent="0.25">
      <c r="A1813" s="384" t="s">
        <v>9657</v>
      </c>
      <c r="B1813" s="384" t="s">
        <v>9658</v>
      </c>
      <c r="C1813" s="384" t="s">
        <v>83</v>
      </c>
      <c r="D1813" s="385" t="s">
        <v>9659</v>
      </c>
    </row>
    <row r="1814" spans="1:4" x14ac:dyDescent="0.25">
      <c r="A1814" s="384" t="s">
        <v>9660</v>
      </c>
      <c r="B1814" s="384" t="s">
        <v>9661</v>
      </c>
      <c r="C1814" s="384" t="s">
        <v>83</v>
      </c>
      <c r="D1814" s="385" t="s">
        <v>9662</v>
      </c>
    </row>
    <row r="1815" spans="1:4" x14ac:dyDescent="0.25">
      <c r="A1815" s="384" t="s">
        <v>9663</v>
      </c>
      <c r="B1815" s="384" t="s">
        <v>9664</v>
      </c>
      <c r="C1815" s="384" t="s">
        <v>83</v>
      </c>
      <c r="D1815" s="385" t="s">
        <v>9665</v>
      </c>
    </row>
    <row r="1816" spans="1:4" x14ac:dyDescent="0.25">
      <c r="A1816" s="384" t="s">
        <v>9666</v>
      </c>
      <c r="B1816" s="384" t="s">
        <v>9667</v>
      </c>
      <c r="C1816" s="384" t="s">
        <v>2884</v>
      </c>
      <c r="D1816" s="385" t="s">
        <v>9668</v>
      </c>
    </row>
    <row r="1817" spans="1:4" x14ac:dyDescent="0.25">
      <c r="A1817" s="384" t="s">
        <v>9669</v>
      </c>
      <c r="B1817" s="384" t="s">
        <v>9670</v>
      </c>
      <c r="C1817" s="384" t="s">
        <v>2884</v>
      </c>
      <c r="D1817" s="385" t="s">
        <v>9671</v>
      </c>
    </row>
    <row r="1818" spans="1:4" x14ac:dyDescent="0.25">
      <c r="A1818" s="384" t="s">
        <v>9672</v>
      </c>
      <c r="B1818" s="384" t="s">
        <v>9673</v>
      </c>
      <c r="C1818" s="384" t="s">
        <v>2884</v>
      </c>
      <c r="D1818" s="385" t="s">
        <v>9674</v>
      </c>
    </row>
    <row r="1819" spans="1:4" x14ac:dyDescent="0.25">
      <c r="A1819" s="384" t="s">
        <v>9675</v>
      </c>
      <c r="B1819" s="384" t="s">
        <v>9676</v>
      </c>
      <c r="C1819" s="384" t="s">
        <v>2884</v>
      </c>
      <c r="D1819" s="385" t="s">
        <v>9677</v>
      </c>
    </row>
    <row r="1820" spans="1:4" x14ac:dyDescent="0.25">
      <c r="A1820" s="384" t="s">
        <v>9678</v>
      </c>
      <c r="B1820" s="384" t="s">
        <v>9679</v>
      </c>
      <c r="C1820" s="384" t="s">
        <v>2884</v>
      </c>
      <c r="D1820" s="385" t="s">
        <v>8145</v>
      </c>
    </row>
    <row r="1821" spans="1:4" x14ac:dyDescent="0.25">
      <c r="A1821" s="384" t="s">
        <v>9680</v>
      </c>
      <c r="B1821" s="384" t="s">
        <v>9681</v>
      </c>
      <c r="C1821" s="384" t="s">
        <v>2884</v>
      </c>
      <c r="D1821" s="385" t="s">
        <v>9682</v>
      </c>
    </row>
    <row r="1822" spans="1:4" x14ac:dyDescent="0.25">
      <c r="A1822" s="384" t="s">
        <v>9683</v>
      </c>
      <c r="B1822" s="384" t="s">
        <v>9684</v>
      </c>
      <c r="C1822" s="384" t="s">
        <v>2884</v>
      </c>
      <c r="D1822" s="385" t="s">
        <v>9685</v>
      </c>
    </row>
    <row r="1823" spans="1:4" x14ac:dyDescent="0.25">
      <c r="A1823" s="384" t="s">
        <v>9686</v>
      </c>
      <c r="B1823" s="384" t="s">
        <v>9687</v>
      </c>
      <c r="C1823" s="384" t="s">
        <v>2884</v>
      </c>
      <c r="D1823" s="385" t="s">
        <v>9688</v>
      </c>
    </row>
    <row r="1824" spans="1:4" x14ac:dyDescent="0.25">
      <c r="A1824" s="384" t="s">
        <v>9689</v>
      </c>
      <c r="B1824" s="384" t="s">
        <v>9690</v>
      </c>
      <c r="C1824" s="384" t="s">
        <v>2884</v>
      </c>
      <c r="D1824" s="385" t="s">
        <v>9691</v>
      </c>
    </row>
    <row r="1825" spans="1:4" x14ac:dyDescent="0.25">
      <c r="A1825" s="384" t="s">
        <v>9692</v>
      </c>
      <c r="B1825" s="384" t="s">
        <v>9693</v>
      </c>
      <c r="C1825" s="384" t="s">
        <v>2884</v>
      </c>
      <c r="D1825" s="385" t="s">
        <v>9694</v>
      </c>
    </row>
    <row r="1826" spans="1:4" x14ac:dyDescent="0.25">
      <c r="A1826" s="384" t="s">
        <v>9695</v>
      </c>
      <c r="B1826" s="384" t="s">
        <v>9696</v>
      </c>
      <c r="C1826" s="384" t="s">
        <v>2884</v>
      </c>
      <c r="D1826" s="385" t="s">
        <v>9697</v>
      </c>
    </row>
    <row r="1827" spans="1:4" x14ac:dyDescent="0.25">
      <c r="A1827" s="384" t="s">
        <v>9698</v>
      </c>
      <c r="B1827" s="384" t="s">
        <v>9699</v>
      </c>
      <c r="C1827" s="384" t="s">
        <v>2884</v>
      </c>
      <c r="D1827" s="385" t="s">
        <v>9700</v>
      </c>
    </row>
    <row r="1828" spans="1:4" x14ac:dyDescent="0.25">
      <c r="A1828" s="384" t="s">
        <v>9701</v>
      </c>
      <c r="B1828" s="384" t="s">
        <v>9702</v>
      </c>
      <c r="C1828" s="384" t="s">
        <v>2884</v>
      </c>
      <c r="D1828" s="385" t="s">
        <v>9413</v>
      </c>
    </row>
    <row r="1829" spans="1:4" x14ac:dyDescent="0.25">
      <c r="A1829" s="384" t="s">
        <v>9703</v>
      </c>
      <c r="B1829" s="384" t="s">
        <v>9704</v>
      </c>
      <c r="C1829" s="384" t="s">
        <v>2884</v>
      </c>
      <c r="D1829" s="385" t="s">
        <v>9705</v>
      </c>
    </row>
    <row r="1830" spans="1:4" x14ac:dyDescent="0.25">
      <c r="A1830" s="384" t="s">
        <v>9706</v>
      </c>
      <c r="B1830" s="384" t="s">
        <v>9707</v>
      </c>
      <c r="C1830" s="384" t="s">
        <v>2884</v>
      </c>
      <c r="D1830" s="385" t="s">
        <v>9708</v>
      </c>
    </row>
    <row r="1831" spans="1:4" x14ac:dyDescent="0.25">
      <c r="A1831" s="384" t="s">
        <v>9709</v>
      </c>
      <c r="B1831" s="384" t="s">
        <v>9710</v>
      </c>
      <c r="C1831" s="384" t="s">
        <v>2884</v>
      </c>
      <c r="D1831" s="385" t="s">
        <v>9711</v>
      </c>
    </row>
    <row r="1832" spans="1:4" x14ac:dyDescent="0.25">
      <c r="A1832" s="384" t="s">
        <v>9712</v>
      </c>
      <c r="B1832" s="384" t="s">
        <v>9713</v>
      </c>
      <c r="C1832" s="384" t="s">
        <v>2884</v>
      </c>
      <c r="D1832" s="385" t="s">
        <v>6127</v>
      </c>
    </row>
    <row r="1833" spans="1:4" x14ac:dyDescent="0.25">
      <c r="A1833" s="384" t="s">
        <v>9714</v>
      </c>
      <c r="B1833" s="384" t="s">
        <v>9715</v>
      </c>
      <c r="C1833" s="384" t="s">
        <v>2884</v>
      </c>
      <c r="D1833" s="385" t="s">
        <v>9716</v>
      </c>
    </row>
    <row r="1834" spans="1:4" x14ac:dyDescent="0.25">
      <c r="A1834" s="384" t="s">
        <v>9717</v>
      </c>
      <c r="B1834" s="384" t="s">
        <v>9718</v>
      </c>
      <c r="C1834" s="384" t="s">
        <v>2884</v>
      </c>
      <c r="D1834" s="385" t="s">
        <v>9719</v>
      </c>
    </row>
    <row r="1835" spans="1:4" x14ac:dyDescent="0.25">
      <c r="A1835" s="384" t="s">
        <v>9720</v>
      </c>
      <c r="B1835" s="384" t="s">
        <v>9721</v>
      </c>
      <c r="C1835" s="384" t="s">
        <v>2884</v>
      </c>
      <c r="D1835" s="385" t="s">
        <v>9722</v>
      </c>
    </row>
    <row r="1836" spans="1:4" x14ac:dyDescent="0.25">
      <c r="A1836" s="384" t="s">
        <v>9723</v>
      </c>
      <c r="B1836" s="384" t="s">
        <v>9724</v>
      </c>
      <c r="C1836" s="384" t="s">
        <v>2884</v>
      </c>
      <c r="D1836" s="385" t="s">
        <v>9725</v>
      </c>
    </row>
    <row r="1837" spans="1:4" x14ac:dyDescent="0.25">
      <c r="A1837" s="384" t="s">
        <v>9726</v>
      </c>
      <c r="B1837" s="384" t="s">
        <v>9727</v>
      </c>
      <c r="C1837" s="384" t="s">
        <v>2884</v>
      </c>
      <c r="D1837" s="385" t="s">
        <v>9728</v>
      </c>
    </row>
    <row r="1838" spans="1:4" x14ac:dyDescent="0.25">
      <c r="A1838" s="384" t="s">
        <v>9729</v>
      </c>
      <c r="B1838" s="384" t="s">
        <v>9730</v>
      </c>
      <c r="C1838" s="384" t="s">
        <v>2884</v>
      </c>
      <c r="D1838" s="385" t="s">
        <v>9731</v>
      </c>
    </row>
    <row r="1839" spans="1:4" x14ac:dyDescent="0.25">
      <c r="A1839" s="384" t="s">
        <v>9732</v>
      </c>
      <c r="B1839" s="384" t="s">
        <v>9733</v>
      </c>
      <c r="C1839" s="384" t="s">
        <v>2884</v>
      </c>
      <c r="D1839" s="385" t="s">
        <v>9734</v>
      </c>
    </row>
    <row r="1840" spans="1:4" x14ac:dyDescent="0.25">
      <c r="A1840" s="384" t="s">
        <v>9735</v>
      </c>
      <c r="B1840" s="384" t="s">
        <v>9736</v>
      </c>
      <c r="C1840" s="384" t="s">
        <v>2884</v>
      </c>
      <c r="D1840" s="385" t="s">
        <v>9737</v>
      </c>
    </row>
    <row r="1841" spans="1:4" x14ac:dyDescent="0.25">
      <c r="A1841" s="384" t="s">
        <v>9738</v>
      </c>
      <c r="B1841" s="384" t="s">
        <v>9739</v>
      </c>
      <c r="C1841" s="384" t="s">
        <v>2884</v>
      </c>
      <c r="D1841" s="385" t="s">
        <v>9740</v>
      </c>
    </row>
    <row r="1842" spans="1:4" x14ac:dyDescent="0.25">
      <c r="A1842" s="384" t="s">
        <v>9741</v>
      </c>
      <c r="B1842" s="384" t="s">
        <v>9742</v>
      </c>
      <c r="C1842" s="384" t="s">
        <v>2884</v>
      </c>
      <c r="D1842" s="385" t="s">
        <v>9743</v>
      </c>
    </row>
    <row r="1843" spans="1:4" x14ac:dyDescent="0.25">
      <c r="A1843" s="384" t="s">
        <v>9744</v>
      </c>
      <c r="B1843" s="384" t="s">
        <v>9745</v>
      </c>
      <c r="C1843" s="384" t="s">
        <v>2884</v>
      </c>
      <c r="D1843" s="385" t="s">
        <v>5788</v>
      </c>
    </row>
    <row r="1844" spans="1:4" x14ac:dyDescent="0.25">
      <c r="A1844" s="384" t="s">
        <v>9746</v>
      </c>
      <c r="B1844" s="384" t="s">
        <v>9747</v>
      </c>
      <c r="C1844" s="384" t="s">
        <v>2884</v>
      </c>
      <c r="D1844" s="385" t="s">
        <v>9748</v>
      </c>
    </row>
    <row r="1845" spans="1:4" x14ac:dyDescent="0.25">
      <c r="A1845" s="384" t="s">
        <v>9749</v>
      </c>
      <c r="B1845" s="384" t="s">
        <v>9750</v>
      </c>
      <c r="C1845" s="384" t="s">
        <v>2884</v>
      </c>
      <c r="D1845" s="385" t="s">
        <v>9751</v>
      </c>
    </row>
    <row r="1846" spans="1:4" x14ac:dyDescent="0.25">
      <c r="A1846" s="384" t="s">
        <v>9752</v>
      </c>
      <c r="B1846" s="384" t="s">
        <v>9753</v>
      </c>
      <c r="C1846" s="384" t="s">
        <v>83</v>
      </c>
      <c r="D1846" s="385" t="s">
        <v>9754</v>
      </c>
    </row>
    <row r="1847" spans="1:4" x14ac:dyDescent="0.25">
      <c r="A1847" s="384" t="s">
        <v>9755</v>
      </c>
      <c r="B1847" s="384" t="s">
        <v>9756</v>
      </c>
      <c r="C1847" s="384" t="s">
        <v>83</v>
      </c>
      <c r="D1847" s="385" t="s">
        <v>9757</v>
      </c>
    </row>
    <row r="1848" spans="1:4" x14ac:dyDescent="0.25">
      <c r="A1848" s="384" t="s">
        <v>9758</v>
      </c>
      <c r="B1848" s="384" t="s">
        <v>9759</v>
      </c>
      <c r="C1848" s="384" t="s">
        <v>83</v>
      </c>
      <c r="D1848" s="385" t="s">
        <v>9760</v>
      </c>
    </row>
    <row r="1849" spans="1:4" x14ac:dyDescent="0.25">
      <c r="A1849" s="384" t="s">
        <v>9761</v>
      </c>
      <c r="B1849" s="384" t="s">
        <v>9762</v>
      </c>
      <c r="C1849" s="384" t="s">
        <v>83</v>
      </c>
      <c r="D1849" s="385" t="s">
        <v>9763</v>
      </c>
    </row>
    <row r="1850" spans="1:4" x14ac:dyDescent="0.25">
      <c r="A1850" s="384" t="s">
        <v>9764</v>
      </c>
      <c r="B1850" s="384" t="s">
        <v>9765</v>
      </c>
      <c r="C1850" s="384" t="s">
        <v>83</v>
      </c>
      <c r="D1850" s="385" t="s">
        <v>9766</v>
      </c>
    </row>
    <row r="1851" spans="1:4" x14ac:dyDescent="0.25">
      <c r="A1851" s="384" t="s">
        <v>9767</v>
      </c>
      <c r="B1851" s="384" t="s">
        <v>9768</v>
      </c>
      <c r="C1851" s="384" t="s">
        <v>83</v>
      </c>
      <c r="D1851" s="385" t="s">
        <v>9769</v>
      </c>
    </row>
    <row r="1852" spans="1:4" x14ac:dyDescent="0.25">
      <c r="A1852" s="384" t="s">
        <v>9770</v>
      </c>
      <c r="B1852" s="384" t="s">
        <v>9771</v>
      </c>
      <c r="C1852" s="384" t="s">
        <v>83</v>
      </c>
      <c r="D1852" s="385" t="s">
        <v>9772</v>
      </c>
    </row>
    <row r="1853" spans="1:4" x14ac:dyDescent="0.25">
      <c r="A1853" s="384" t="s">
        <v>9773</v>
      </c>
      <c r="B1853" s="384" t="s">
        <v>9774</v>
      </c>
      <c r="C1853" s="384" t="s">
        <v>83</v>
      </c>
      <c r="D1853" s="385" t="s">
        <v>9775</v>
      </c>
    </row>
    <row r="1854" spans="1:4" x14ac:dyDescent="0.25">
      <c r="A1854" s="384" t="s">
        <v>9776</v>
      </c>
      <c r="B1854" s="384" t="s">
        <v>9777</v>
      </c>
      <c r="C1854" s="384" t="s">
        <v>83</v>
      </c>
      <c r="D1854" s="385" t="s">
        <v>9778</v>
      </c>
    </row>
    <row r="1855" spans="1:4" x14ac:dyDescent="0.25">
      <c r="A1855" s="384" t="s">
        <v>9779</v>
      </c>
      <c r="B1855" s="384" t="s">
        <v>9780</v>
      </c>
      <c r="C1855" s="384" t="s">
        <v>83</v>
      </c>
      <c r="D1855" s="385" t="s">
        <v>9781</v>
      </c>
    </row>
    <row r="1856" spans="1:4" x14ac:dyDescent="0.25">
      <c r="A1856" s="384" t="s">
        <v>9782</v>
      </c>
      <c r="B1856" s="384" t="s">
        <v>9783</v>
      </c>
      <c r="C1856" s="384" t="s">
        <v>83</v>
      </c>
      <c r="D1856" s="385" t="s">
        <v>9784</v>
      </c>
    </row>
    <row r="1857" spans="1:4" x14ac:dyDescent="0.25">
      <c r="A1857" s="384" t="s">
        <v>9785</v>
      </c>
      <c r="B1857" s="384" t="s">
        <v>9786</v>
      </c>
      <c r="C1857" s="384" t="s">
        <v>83</v>
      </c>
      <c r="D1857" s="385" t="s">
        <v>9787</v>
      </c>
    </row>
    <row r="1858" spans="1:4" x14ac:dyDescent="0.25">
      <c r="A1858" s="384" t="s">
        <v>9788</v>
      </c>
      <c r="B1858" s="384" t="s">
        <v>9789</v>
      </c>
      <c r="C1858" s="384" t="s">
        <v>83</v>
      </c>
      <c r="D1858" s="385" t="s">
        <v>9790</v>
      </c>
    </row>
    <row r="1859" spans="1:4" x14ac:dyDescent="0.25">
      <c r="A1859" s="384" t="s">
        <v>9791</v>
      </c>
      <c r="B1859" s="384" t="s">
        <v>9792</v>
      </c>
      <c r="C1859" s="384" t="s">
        <v>83</v>
      </c>
      <c r="D1859" s="385" t="s">
        <v>9793</v>
      </c>
    </row>
    <row r="1860" spans="1:4" x14ac:dyDescent="0.25">
      <c r="A1860" s="384" t="s">
        <v>9794</v>
      </c>
      <c r="B1860" s="384" t="s">
        <v>9795</v>
      </c>
      <c r="C1860" s="384" t="s">
        <v>83</v>
      </c>
      <c r="D1860" s="385" t="s">
        <v>9796</v>
      </c>
    </row>
    <row r="1861" spans="1:4" x14ac:dyDescent="0.25">
      <c r="A1861" s="384" t="s">
        <v>9797</v>
      </c>
      <c r="B1861" s="384" t="s">
        <v>9798</v>
      </c>
      <c r="C1861" s="384" t="s">
        <v>83</v>
      </c>
      <c r="D1861" s="385" t="s">
        <v>9799</v>
      </c>
    </row>
    <row r="1862" spans="1:4" x14ac:dyDescent="0.25">
      <c r="A1862" s="384" t="s">
        <v>9800</v>
      </c>
      <c r="B1862" s="384" t="s">
        <v>9801</v>
      </c>
      <c r="C1862" s="384" t="s">
        <v>83</v>
      </c>
      <c r="D1862" s="385" t="s">
        <v>9802</v>
      </c>
    </row>
    <row r="1863" spans="1:4" x14ac:dyDescent="0.25">
      <c r="A1863" s="384" t="s">
        <v>9803</v>
      </c>
      <c r="B1863" s="384" t="s">
        <v>9804</v>
      </c>
      <c r="C1863" s="384" t="s">
        <v>83</v>
      </c>
      <c r="D1863" s="385" t="s">
        <v>9805</v>
      </c>
    </row>
    <row r="1864" spans="1:4" x14ac:dyDescent="0.25">
      <c r="A1864" s="384" t="s">
        <v>9806</v>
      </c>
      <c r="B1864" s="384" t="s">
        <v>9807</v>
      </c>
      <c r="C1864" s="384" t="s">
        <v>83</v>
      </c>
      <c r="D1864" s="385" t="s">
        <v>9808</v>
      </c>
    </row>
    <row r="1865" spans="1:4" x14ac:dyDescent="0.25">
      <c r="A1865" s="384" t="s">
        <v>9809</v>
      </c>
      <c r="B1865" s="384" t="s">
        <v>9810</v>
      </c>
      <c r="C1865" s="384" t="s">
        <v>83</v>
      </c>
      <c r="D1865" s="385" t="s">
        <v>9811</v>
      </c>
    </row>
    <row r="1866" spans="1:4" x14ac:dyDescent="0.25">
      <c r="A1866" s="384" t="s">
        <v>9812</v>
      </c>
      <c r="B1866" s="384" t="s">
        <v>9813</v>
      </c>
      <c r="C1866" s="384" t="s">
        <v>83</v>
      </c>
      <c r="D1866" s="385" t="s">
        <v>9814</v>
      </c>
    </row>
    <row r="1867" spans="1:4" x14ac:dyDescent="0.25">
      <c r="A1867" s="384" t="s">
        <v>9815</v>
      </c>
      <c r="B1867" s="384" t="s">
        <v>9816</v>
      </c>
      <c r="C1867" s="384" t="s">
        <v>83</v>
      </c>
      <c r="D1867" s="385" t="s">
        <v>9817</v>
      </c>
    </row>
    <row r="1868" spans="1:4" x14ac:dyDescent="0.25">
      <c r="A1868" s="384" t="s">
        <v>9818</v>
      </c>
      <c r="B1868" s="384" t="s">
        <v>9819</v>
      </c>
      <c r="C1868" s="384" t="s">
        <v>83</v>
      </c>
      <c r="D1868" s="385" t="s">
        <v>9820</v>
      </c>
    </row>
    <row r="1869" spans="1:4" x14ac:dyDescent="0.25">
      <c r="A1869" s="384" t="s">
        <v>9821</v>
      </c>
      <c r="B1869" s="384" t="s">
        <v>9822</v>
      </c>
      <c r="C1869" s="384" t="s">
        <v>83</v>
      </c>
      <c r="D1869" s="385" t="s">
        <v>9823</v>
      </c>
    </row>
    <row r="1870" spans="1:4" x14ac:dyDescent="0.25">
      <c r="A1870" s="384" t="s">
        <v>9824</v>
      </c>
      <c r="B1870" s="384" t="s">
        <v>9825</v>
      </c>
      <c r="C1870" s="384" t="s">
        <v>83</v>
      </c>
      <c r="D1870" s="385" t="s">
        <v>9826</v>
      </c>
    </row>
    <row r="1871" spans="1:4" x14ac:dyDescent="0.25">
      <c r="A1871" s="384" t="s">
        <v>9827</v>
      </c>
      <c r="B1871" s="384" t="s">
        <v>9828</v>
      </c>
      <c r="C1871" s="384" t="s">
        <v>83</v>
      </c>
      <c r="D1871" s="385" t="s">
        <v>9829</v>
      </c>
    </row>
    <row r="1872" spans="1:4" x14ac:dyDescent="0.25">
      <c r="A1872" s="384" t="s">
        <v>9830</v>
      </c>
      <c r="B1872" s="384" t="s">
        <v>9831</v>
      </c>
      <c r="C1872" s="384" t="s">
        <v>83</v>
      </c>
      <c r="D1872" s="385" t="s">
        <v>9832</v>
      </c>
    </row>
    <row r="1873" spans="1:4" x14ac:dyDescent="0.25">
      <c r="A1873" s="384" t="s">
        <v>9833</v>
      </c>
      <c r="B1873" s="384" t="s">
        <v>9834</v>
      </c>
      <c r="C1873" s="384" t="s">
        <v>83</v>
      </c>
      <c r="D1873" s="385" t="s">
        <v>9835</v>
      </c>
    </row>
    <row r="1874" spans="1:4" x14ac:dyDescent="0.25">
      <c r="A1874" s="384" t="s">
        <v>9836</v>
      </c>
      <c r="B1874" s="384" t="s">
        <v>9837</v>
      </c>
      <c r="C1874" s="384" t="s">
        <v>83</v>
      </c>
      <c r="D1874" s="385" t="s">
        <v>9838</v>
      </c>
    </row>
    <row r="1875" spans="1:4" x14ac:dyDescent="0.25">
      <c r="A1875" s="384" t="s">
        <v>9839</v>
      </c>
      <c r="B1875" s="384" t="s">
        <v>9840</v>
      </c>
      <c r="C1875" s="384" t="s">
        <v>83</v>
      </c>
      <c r="D1875" s="385" t="s">
        <v>9841</v>
      </c>
    </row>
    <row r="1876" spans="1:4" x14ac:dyDescent="0.25">
      <c r="A1876" s="384" t="s">
        <v>9842</v>
      </c>
      <c r="B1876" s="384" t="s">
        <v>9843</v>
      </c>
      <c r="C1876" s="384" t="s">
        <v>83</v>
      </c>
      <c r="D1876" s="385" t="s">
        <v>9844</v>
      </c>
    </row>
    <row r="1877" spans="1:4" x14ac:dyDescent="0.25">
      <c r="A1877" s="384" t="s">
        <v>9845</v>
      </c>
      <c r="B1877" s="384" t="s">
        <v>9846</v>
      </c>
      <c r="C1877" s="384" t="s">
        <v>83</v>
      </c>
      <c r="D1877" s="385" t="s">
        <v>9847</v>
      </c>
    </row>
    <row r="1878" spans="1:4" x14ac:dyDescent="0.25">
      <c r="A1878" s="384" t="s">
        <v>9848</v>
      </c>
      <c r="B1878" s="384" t="s">
        <v>9849</v>
      </c>
      <c r="C1878" s="384" t="s">
        <v>83</v>
      </c>
      <c r="D1878" s="385" t="s">
        <v>9850</v>
      </c>
    </row>
    <row r="1879" spans="1:4" x14ac:dyDescent="0.25">
      <c r="A1879" s="384" t="s">
        <v>9851</v>
      </c>
      <c r="B1879" s="384" t="s">
        <v>9852</v>
      </c>
      <c r="C1879" s="384" t="s">
        <v>83</v>
      </c>
      <c r="D1879" s="385" t="s">
        <v>9853</v>
      </c>
    </row>
    <row r="1880" spans="1:4" x14ac:dyDescent="0.25">
      <c r="A1880" s="384" t="s">
        <v>9854</v>
      </c>
      <c r="B1880" s="384" t="s">
        <v>9855</v>
      </c>
      <c r="C1880" s="384" t="s">
        <v>83</v>
      </c>
      <c r="D1880" s="385" t="s">
        <v>9856</v>
      </c>
    </row>
    <row r="1881" spans="1:4" x14ac:dyDescent="0.25">
      <c r="A1881" s="384" t="s">
        <v>9857</v>
      </c>
      <c r="B1881" s="384" t="s">
        <v>9858</v>
      </c>
      <c r="C1881" s="384" t="s">
        <v>83</v>
      </c>
      <c r="D1881" s="385" t="s">
        <v>9859</v>
      </c>
    </row>
    <row r="1882" spans="1:4" x14ac:dyDescent="0.25">
      <c r="A1882" s="384" t="s">
        <v>9860</v>
      </c>
      <c r="B1882" s="384" t="s">
        <v>9861</v>
      </c>
      <c r="C1882" s="384" t="s">
        <v>83</v>
      </c>
      <c r="D1882" s="385" t="s">
        <v>9862</v>
      </c>
    </row>
    <row r="1883" spans="1:4" x14ac:dyDescent="0.25">
      <c r="A1883" s="384" t="s">
        <v>9863</v>
      </c>
      <c r="B1883" s="384" t="s">
        <v>9864</v>
      </c>
      <c r="C1883" s="384" t="s">
        <v>83</v>
      </c>
      <c r="D1883" s="385" t="s">
        <v>9865</v>
      </c>
    </row>
    <row r="1884" spans="1:4" x14ac:dyDescent="0.25">
      <c r="A1884" s="384" t="s">
        <v>9866</v>
      </c>
      <c r="B1884" s="384" t="s">
        <v>9867</v>
      </c>
      <c r="C1884" s="384" t="s">
        <v>83</v>
      </c>
      <c r="D1884" s="385" t="s">
        <v>9868</v>
      </c>
    </row>
    <row r="1885" spans="1:4" x14ac:dyDescent="0.25">
      <c r="A1885" s="384" t="s">
        <v>9869</v>
      </c>
      <c r="B1885" s="384" t="s">
        <v>9870</v>
      </c>
      <c r="C1885" s="384" t="s">
        <v>83</v>
      </c>
      <c r="D1885" s="385" t="s">
        <v>9871</v>
      </c>
    </row>
    <row r="1886" spans="1:4" x14ac:dyDescent="0.25">
      <c r="A1886" s="384" t="s">
        <v>9872</v>
      </c>
      <c r="B1886" s="384" t="s">
        <v>9873</v>
      </c>
      <c r="C1886" s="384" t="s">
        <v>83</v>
      </c>
      <c r="D1886" s="385" t="s">
        <v>9874</v>
      </c>
    </row>
    <row r="1887" spans="1:4" x14ac:dyDescent="0.25">
      <c r="A1887" s="384" t="s">
        <v>9875</v>
      </c>
      <c r="B1887" s="384" t="s">
        <v>9876</v>
      </c>
      <c r="C1887" s="384" t="s">
        <v>83</v>
      </c>
      <c r="D1887" s="385" t="s">
        <v>9877</v>
      </c>
    </row>
    <row r="1888" spans="1:4" x14ac:dyDescent="0.25">
      <c r="A1888" s="384" t="s">
        <v>9878</v>
      </c>
      <c r="B1888" s="384" t="s">
        <v>9879</v>
      </c>
      <c r="C1888" s="384" t="s">
        <v>83</v>
      </c>
      <c r="D1888" s="385" t="s">
        <v>9880</v>
      </c>
    </row>
    <row r="1889" spans="1:4" x14ac:dyDescent="0.25">
      <c r="A1889" s="384" t="s">
        <v>9881</v>
      </c>
      <c r="B1889" s="384" t="s">
        <v>9882</v>
      </c>
      <c r="C1889" s="384" t="s">
        <v>83</v>
      </c>
      <c r="D1889" s="385" t="s">
        <v>9883</v>
      </c>
    </row>
    <row r="1890" spans="1:4" x14ac:dyDescent="0.25">
      <c r="A1890" s="384" t="s">
        <v>9884</v>
      </c>
      <c r="B1890" s="384" t="s">
        <v>9885</v>
      </c>
      <c r="C1890" s="384" t="s">
        <v>83</v>
      </c>
      <c r="D1890" s="385" t="s">
        <v>9886</v>
      </c>
    </row>
    <row r="1891" spans="1:4" x14ac:dyDescent="0.25">
      <c r="A1891" s="384" t="s">
        <v>9887</v>
      </c>
      <c r="B1891" s="384" t="s">
        <v>9888</v>
      </c>
      <c r="C1891" s="384" t="s">
        <v>83</v>
      </c>
      <c r="D1891" s="385" t="s">
        <v>9889</v>
      </c>
    </row>
    <row r="1892" spans="1:4" x14ac:dyDescent="0.25">
      <c r="A1892" s="384" t="s">
        <v>9890</v>
      </c>
      <c r="B1892" s="384" t="s">
        <v>9891</v>
      </c>
      <c r="C1892" s="384" t="s">
        <v>83</v>
      </c>
      <c r="D1892" s="385" t="s">
        <v>9892</v>
      </c>
    </row>
    <row r="1893" spans="1:4" x14ac:dyDescent="0.25">
      <c r="A1893" s="384" t="s">
        <v>9893</v>
      </c>
      <c r="B1893" s="384" t="s">
        <v>9894</v>
      </c>
      <c r="C1893" s="384" t="s">
        <v>83</v>
      </c>
      <c r="D1893" s="385" t="s">
        <v>9895</v>
      </c>
    </row>
    <row r="1894" spans="1:4" x14ac:dyDescent="0.25">
      <c r="A1894" s="384" t="s">
        <v>9896</v>
      </c>
      <c r="B1894" s="384" t="s">
        <v>9897</v>
      </c>
      <c r="C1894" s="384" t="s">
        <v>83</v>
      </c>
      <c r="D1894" s="385" t="s">
        <v>9898</v>
      </c>
    </row>
    <row r="1895" spans="1:4" x14ac:dyDescent="0.25">
      <c r="A1895" s="384" t="s">
        <v>9899</v>
      </c>
      <c r="B1895" s="384" t="s">
        <v>9900</v>
      </c>
      <c r="C1895" s="384" t="s">
        <v>83</v>
      </c>
      <c r="D1895" s="385" t="s">
        <v>9901</v>
      </c>
    </row>
    <row r="1896" spans="1:4" x14ac:dyDescent="0.25">
      <c r="A1896" s="384" t="s">
        <v>9902</v>
      </c>
      <c r="B1896" s="384" t="s">
        <v>9903</v>
      </c>
      <c r="C1896" s="384" t="s">
        <v>83</v>
      </c>
      <c r="D1896" s="385" t="s">
        <v>9814</v>
      </c>
    </row>
    <row r="1897" spans="1:4" x14ac:dyDescent="0.25">
      <c r="A1897" s="384" t="s">
        <v>9904</v>
      </c>
      <c r="B1897" s="384" t="s">
        <v>9905</v>
      </c>
      <c r="C1897" s="384" t="s">
        <v>83</v>
      </c>
      <c r="D1897" s="385" t="s">
        <v>9906</v>
      </c>
    </row>
    <row r="1898" spans="1:4" x14ac:dyDescent="0.25">
      <c r="A1898" s="384" t="s">
        <v>9907</v>
      </c>
      <c r="B1898" s="384" t="s">
        <v>9908</v>
      </c>
      <c r="C1898" s="384" t="s">
        <v>83</v>
      </c>
      <c r="D1898" s="385" t="s">
        <v>9909</v>
      </c>
    </row>
    <row r="1899" spans="1:4" x14ac:dyDescent="0.25">
      <c r="A1899" s="384" t="s">
        <v>9910</v>
      </c>
      <c r="B1899" s="384" t="s">
        <v>9911</v>
      </c>
      <c r="C1899" s="384" t="s">
        <v>83</v>
      </c>
      <c r="D1899" s="385" t="s">
        <v>9912</v>
      </c>
    </row>
    <row r="1900" spans="1:4" x14ac:dyDescent="0.25">
      <c r="A1900" s="384" t="s">
        <v>9913</v>
      </c>
      <c r="B1900" s="384" t="s">
        <v>9914</v>
      </c>
      <c r="C1900" s="384" t="s">
        <v>83</v>
      </c>
      <c r="D1900" s="385" t="s">
        <v>9915</v>
      </c>
    </row>
    <row r="1901" spans="1:4" x14ac:dyDescent="0.25">
      <c r="A1901" s="384" t="s">
        <v>9916</v>
      </c>
      <c r="B1901" s="384" t="s">
        <v>9917</v>
      </c>
      <c r="C1901" s="384" t="s">
        <v>83</v>
      </c>
      <c r="D1901" s="385" t="s">
        <v>9918</v>
      </c>
    </row>
    <row r="1902" spans="1:4" x14ac:dyDescent="0.25">
      <c r="A1902" s="384" t="s">
        <v>9919</v>
      </c>
      <c r="B1902" s="384" t="s">
        <v>9920</v>
      </c>
      <c r="C1902" s="384" t="s">
        <v>83</v>
      </c>
      <c r="D1902" s="385" t="s">
        <v>9921</v>
      </c>
    </row>
    <row r="1903" spans="1:4" x14ac:dyDescent="0.25">
      <c r="A1903" s="384" t="s">
        <v>9922</v>
      </c>
      <c r="B1903" s="384" t="s">
        <v>9923</v>
      </c>
      <c r="C1903" s="384" t="s">
        <v>83</v>
      </c>
      <c r="D1903" s="385" t="s">
        <v>9924</v>
      </c>
    </row>
    <row r="1904" spans="1:4" x14ac:dyDescent="0.25">
      <c r="A1904" s="384" t="s">
        <v>9925</v>
      </c>
      <c r="B1904" s="384" t="s">
        <v>9926</v>
      </c>
      <c r="C1904" s="384" t="s">
        <v>83</v>
      </c>
      <c r="D1904" s="385" t="s">
        <v>9927</v>
      </c>
    </row>
    <row r="1905" spans="1:4" x14ac:dyDescent="0.25">
      <c r="A1905" s="384" t="s">
        <v>9928</v>
      </c>
      <c r="B1905" s="384" t="s">
        <v>9929</v>
      </c>
      <c r="C1905" s="384" t="s">
        <v>83</v>
      </c>
      <c r="D1905" s="385" t="s">
        <v>9930</v>
      </c>
    </row>
    <row r="1906" spans="1:4" x14ac:dyDescent="0.25">
      <c r="A1906" s="384" t="s">
        <v>9931</v>
      </c>
      <c r="B1906" s="384" t="s">
        <v>9932</v>
      </c>
      <c r="C1906" s="384" t="s">
        <v>83</v>
      </c>
      <c r="D1906" s="385" t="s">
        <v>9933</v>
      </c>
    </row>
    <row r="1907" spans="1:4" x14ac:dyDescent="0.25">
      <c r="A1907" s="384" t="s">
        <v>9934</v>
      </c>
      <c r="B1907" s="384" t="s">
        <v>9935</v>
      </c>
      <c r="C1907" s="384" t="s">
        <v>83</v>
      </c>
      <c r="D1907" s="385" t="s">
        <v>9936</v>
      </c>
    </row>
    <row r="1908" spans="1:4" x14ac:dyDescent="0.25">
      <c r="A1908" s="384" t="s">
        <v>9937</v>
      </c>
      <c r="B1908" s="384" t="s">
        <v>9938</v>
      </c>
      <c r="C1908" s="384" t="s">
        <v>83</v>
      </c>
      <c r="D1908" s="385" t="s">
        <v>9939</v>
      </c>
    </row>
    <row r="1909" spans="1:4" x14ac:dyDescent="0.25">
      <c r="A1909" s="384" t="s">
        <v>9940</v>
      </c>
      <c r="B1909" s="384" t="s">
        <v>9941</v>
      </c>
      <c r="C1909" s="384" t="s">
        <v>83</v>
      </c>
      <c r="D1909" s="385" t="s">
        <v>9942</v>
      </c>
    </row>
    <row r="1910" spans="1:4" x14ac:dyDescent="0.25">
      <c r="A1910" s="384" t="s">
        <v>9943</v>
      </c>
      <c r="B1910" s="384" t="s">
        <v>9944</v>
      </c>
      <c r="C1910" s="384" t="s">
        <v>83</v>
      </c>
      <c r="D1910" s="385" t="s">
        <v>9945</v>
      </c>
    </row>
    <row r="1911" spans="1:4" x14ac:dyDescent="0.25">
      <c r="A1911" s="384" t="s">
        <v>9946</v>
      </c>
      <c r="B1911" s="384" t="s">
        <v>9947</v>
      </c>
      <c r="C1911" s="384" t="s">
        <v>83</v>
      </c>
      <c r="D1911" s="385" t="s">
        <v>9948</v>
      </c>
    </row>
    <row r="1912" spans="1:4" x14ac:dyDescent="0.25">
      <c r="A1912" s="384" t="s">
        <v>9949</v>
      </c>
      <c r="B1912" s="384" t="s">
        <v>9950</v>
      </c>
      <c r="C1912" s="384" t="s">
        <v>83</v>
      </c>
      <c r="D1912" s="385" t="s">
        <v>9951</v>
      </c>
    </row>
    <row r="1913" spans="1:4" x14ac:dyDescent="0.25">
      <c r="A1913" s="384" t="s">
        <v>9952</v>
      </c>
      <c r="B1913" s="384" t="s">
        <v>9953</v>
      </c>
      <c r="C1913" s="384" t="s">
        <v>83</v>
      </c>
      <c r="D1913" s="385" t="s">
        <v>9954</v>
      </c>
    </row>
    <row r="1914" spans="1:4" x14ac:dyDescent="0.25">
      <c r="A1914" s="384" t="s">
        <v>9955</v>
      </c>
      <c r="B1914" s="384" t="s">
        <v>9956</v>
      </c>
      <c r="C1914" s="384" t="s">
        <v>83</v>
      </c>
      <c r="D1914" s="385" t="s">
        <v>9957</v>
      </c>
    </row>
    <row r="1915" spans="1:4" x14ac:dyDescent="0.25">
      <c r="A1915" s="384" t="s">
        <v>9958</v>
      </c>
      <c r="B1915" s="384" t="s">
        <v>9959</v>
      </c>
      <c r="C1915" s="384" t="s">
        <v>83</v>
      </c>
      <c r="D1915" s="385" t="s">
        <v>9948</v>
      </c>
    </row>
    <row r="1916" spans="1:4" x14ac:dyDescent="0.25">
      <c r="A1916" s="384" t="s">
        <v>9960</v>
      </c>
      <c r="B1916" s="384" t="s">
        <v>9961</v>
      </c>
      <c r="C1916" s="384" t="s">
        <v>83</v>
      </c>
      <c r="D1916" s="385" t="s">
        <v>9962</v>
      </c>
    </row>
    <row r="1917" spans="1:4" x14ac:dyDescent="0.25">
      <c r="A1917" s="384" t="s">
        <v>9963</v>
      </c>
      <c r="B1917" s="384" t="s">
        <v>9964</v>
      </c>
      <c r="C1917" s="384" t="s">
        <v>83</v>
      </c>
      <c r="D1917" s="385" t="s">
        <v>9965</v>
      </c>
    </row>
    <row r="1918" spans="1:4" x14ac:dyDescent="0.25">
      <c r="A1918" s="384" t="s">
        <v>9966</v>
      </c>
      <c r="B1918" s="384" t="s">
        <v>9967</v>
      </c>
      <c r="C1918" s="384" t="s">
        <v>83</v>
      </c>
      <c r="D1918" s="385" t="s">
        <v>9968</v>
      </c>
    </row>
    <row r="1919" spans="1:4" x14ac:dyDescent="0.25">
      <c r="A1919" s="384" t="s">
        <v>9969</v>
      </c>
      <c r="B1919" s="384" t="s">
        <v>9970</v>
      </c>
      <c r="C1919" s="384" t="s">
        <v>83</v>
      </c>
      <c r="D1919" s="385" t="s">
        <v>9971</v>
      </c>
    </row>
    <row r="1920" spans="1:4" x14ac:dyDescent="0.25">
      <c r="A1920" s="384" t="s">
        <v>9972</v>
      </c>
      <c r="B1920" s="384" t="s">
        <v>9973</v>
      </c>
      <c r="C1920" s="384" t="s">
        <v>83</v>
      </c>
      <c r="D1920" s="385" t="s">
        <v>9974</v>
      </c>
    </row>
    <row r="1921" spans="1:4" x14ac:dyDescent="0.25">
      <c r="A1921" s="384" t="s">
        <v>9975</v>
      </c>
      <c r="B1921" s="384" t="s">
        <v>9976</v>
      </c>
      <c r="C1921" s="384" t="s">
        <v>83</v>
      </c>
      <c r="D1921" s="385" t="s">
        <v>9977</v>
      </c>
    </row>
    <row r="1922" spans="1:4" x14ac:dyDescent="0.25">
      <c r="A1922" s="384" t="s">
        <v>9978</v>
      </c>
      <c r="B1922" s="384" t="s">
        <v>9979</v>
      </c>
      <c r="C1922" s="384" t="s">
        <v>83</v>
      </c>
      <c r="D1922" s="385" t="s">
        <v>9980</v>
      </c>
    </row>
    <row r="1923" spans="1:4" x14ac:dyDescent="0.25">
      <c r="A1923" s="384" t="s">
        <v>9981</v>
      </c>
      <c r="B1923" s="384" t="s">
        <v>9982</v>
      </c>
      <c r="C1923" s="384" t="s">
        <v>83</v>
      </c>
      <c r="D1923" s="385" t="s">
        <v>9983</v>
      </c>
    </row>
    <row r="1924" spans="1:4" x14ac:dyDescent="0.25">
      <c r="A1924" s="384" t="s">
        <v>9984</v>
      </c>
      <c r="B1924" s="384" t="s">
        <v>9985</v>
      </c>
      <c r="C1924" s="384" t="s">
        <v>82</v>
      </c>
      <c r="D1924" s="385" t="s">
        <v>9986</v>
      </c>
    </row>
    <row r="1925" spans="1:4" x14ac:dyDescent="0.25">
      <c r="A1925" s="384" t="s">
        <v>9987</v>
      </c>
      <c r="B1925" s="384" t="s">
        <v>9988</v>
      </c>
      <c r="C1925" s="384" t="s">
        <v>82</v>
      </c>
      <c r="D1925" s="385" t="s">
        <v>9989</v>
      </c>
    </row>
    <row r="1926" spans="1:4" x14ac:dyDescent="0.25">
      <c r="A1926" s="384" t="s">
        <v>9990</v>
      </c>
      <c r="B1926" s="384" t="s">
        <v>9991</v>
      </c>
      <c r="C1926" s="384" t="s">
        <v>83</v>
      </c>
      <c r="D1926" s="385" t="s">
        <v>9992</v>
      </c>
    </row>
    <row r="1927" spans="1:4" x14ac:dyDescent="0.25">
      <c r="A1927" s="384" t="s">
        <v>9993</v>
      </c>
      <c r="B1927" s="384" t="s">
        <v>9994</v>
      </c>
      <c r="C1927" s="384" t="s">
        <v>83</v>
      </c>
      <c r="D1927" s="385" t="s">
        <v>9995</v>
      </c>
    </row>
    <row r="1928" spans="1:4" x14ac:dyDescent="0.25">
      <c r="A1928" s="384" t="s">
        <v>9996</v>
      </c>
      <c r="B1928" s="384" t="s">
        <v>9997</v>
      </c>
      <c r="C1928" s="384" t="s">
        <v>83</v>
      </c>
      <c r="D1928" s="385" t="s">
        <v>9998</v>
      </c>
    </row>
    <row r="1929" spans="1:4" x14ac:dyDescent="0.25">
      <c r="A1929" s="384" t="s">
        <v>9999</v>
      </c>
      <c r="B1929" s="384" t="s">
        <v>10000</v>
      </c>
      <c r="C1929" s="384" t="s">
        <v>83</v>
      </c>
      <c r="D1929" s="385" t="s">
        <v>10001</v>
      </c>
    </row>
    <row r="1930" spans="1:4" x14ac:dyDescent="0.25">
      <c r="A1930" s="384" t="s">
        <v>10002</v>
      </c>
      <c r="B1930" s="384" t="s">
        <v>10003</v>
      </c>
      <c r="C1930" s="384" t="s">
        <v>83</v>
      </c>
      <c r="D1930" s="385" t="s">
        <v>10004</v>
      </c>
    </row>
    <row r="1931" spans="1:4" x14ac:dyDescent="0.25">
      <c r="A1931" s="384" t="s">
        <v>10005</v>
      </c>
      <c r="B1931" s="384" t="s">
        <v>10006</v>
      </c>
      <c r="C1931" s="384" t="s">
        <v>83</v>
      </c>
      <c r="D1931" s="385" t="s">
        <v>10007</v>
      </c>
    </row>
    <row r="1932" spans="1:4" x14ac:dyDescent="0.25">
      <c r="A1932" s="384" t="s">
        <v>10008</v>
      </c>
      <c r="B1932" s="384" t="s">
        <v>10009</v>
      </c>
      <c r="C1932" s="384" t="s">
        <v>83</v>
      </c>
      <c r="D1932" s="385" t="s">
        <v>10010</v>
      </c>
    </row>
    <row r="1933" spans="1:4" x14ac:dyDescent="0.25">
      <c r="A1933" s="384" t="s">
        <v>10011</v>
      </c>
      <c r="B1933" s="384" t="s">
        <v>10012</v>
      </c>
      <c r="C1933" s="384" t="s">
        <v>83</v>
      </c>
      <c r="D1933" s="385" t="s">
        <v>10013</v>
      </c>
    </row>
    <row r="1934" spans="1:4" x14ac:dyDescent="0.25">
      <c r="A1934" s="384" t="s">
        <v>10014</v>
      </c>
      <c r="B1934" s="384" t="s">
        <v>10015</v>
      </c>
      <c r="C1934" s="384" t="s">
        <v>83</v>
      </c>
      <c r="D1934" s="385" t="s">
        <v>10016</v>
      </c>
    </row>
    <row r="1935" spans="1:4" x14ac:dyDescent="0.25">
      <c r="A1935" s="384" t="s">
        <v>10017</v>
      </c>
      <c r="B1935" s="384" t="s">
        <v>10018</v>
      </c>
      <c r="C1935" s="384" t="s">
        <v>83</v>
      </c>
      <c r="D1935" s="385" t="s">
        <v>10019</v>
      </c>
    </row>
    <row r="1936" spans="1:4" x14ac:dyDescent="0.25">
      <c r="A1936" s="384" t="s">
        <v>10020</v>
      </c>
      <c r="B1936" s="384" t="s">
        <v>10021</v>
      </c>
      <c r="C1936" s="384" t="s">
        <v>83</v>
      </c>
      <c r="D1936" s="385" t="s">
        <v>10022</v>
      </c>
    </row>
    <row r="1937" spans="1:4" x14ac:dyDescent="0.25">
      <c r="A1937" s="384" t="s">
        <v>10023</v>
      </c>
      <c r="B1937" s="384" t="s">
        <v>10024</v>
      </c>
      <c r="C1937" s="384" t="s">
        <v>83</v>
      </c>
      <c r="D1937" s="385" t="s">
        <v>10025</v>
      </c>
    </row>
    <row r="1938" spans="1:4" x14ac:dyDescent="0.25">
      <c r="A1938" s="384" t="s">
        <v>10026</v>
      </c>
      <c r="B1938" s="384" t="s">
        <v>10027</v>
      </c>
      <c r="C1938" s="384" t="s">
        <v>83</v>
      </c>
      <c r="D1938" s="385" t="s">
        <v>10028</v>
      </c>
    </row>
    <row r="1939" spans="1:4" x14ac:dyDescent="0.25">
      <c r="A1939" s="384" t="s">
        <v>10029</v>
      </c>
      <c r="B1939" s="384" t="s">
        <v>10030</v>
      </c>
      <c r="C1939" s="384" t="s">
        <v>83</v>
      </c>
      <c r="D1939" s="385" t="s">
        <v>10031</v>
      </c>
    </row>
    <row r="1940" spans="1:4" x14ac:dyDescent="0.25">
      <c r="A1940" s="384" t="s">
        <v>10032</v>
      </c>
      <c r="B1940" s="384" t="s">
        <v>10033</v>
      </c>
      <c r="C1940" s="384" t="s">
        <v>83</v>
      </c>
      <c r="D1940" s="385" t="s">
        <v>10034</v>
      </c>
    </row>
    <row r="1941" spans="1:4" x14ac:dyDescent="0.25">
      <c r="A1941" s="384" t="s">
        <v>10035</v>
      </c>
      <c r="B1941" s="384" t="s">
        <v>10036</v>
      </c>
      <c r="C1941" s="384" t="s">
        <v>83</v>
      </c>
      <c r="D1941" s="385" t="s">
        <v>10037</v>
      </c>
    </row>
    <row r="1942" spans="1:4" x14ac:dyDescent="0.25">
      <c r="A1942" s="384" t="s">
        <v>10038</v>
      </c>
      <c r="B1942" s="384" t="s">
        <v>10039</v>
      </c>
      <c r="C1942" s="384" t="s">
        <v>83</v>
      </c>
      <c r="D1942" s="385" t="s">
        <v>10040</v>
      </c>
    </row>
    <row r="1943" spans="1:4" x14ac:dyDescent="0.25">
      <c r="A1943" s="384" t="s">
        <v>10041</v>
      </c>
      <c r="B1943" s="384" t="s">
        <v>10042</v>
      </c>
      <c r="C1943" s="384" t="s">
        <v>83</v>
      </c>
      <c r="D1943" s="385" t="s">
        <v>10043</v>
      </c>
    </row>
    <row r="1944" spans="1:4" x14ac:dyDescent="0.25">
      <c r="A1944" s="384" t="s">
        <v>10044</v>
      </c>
      <c r="B1944" s="384" t="s">
        <v>10045</v>
      </c>
      <c r="C1944" s="384" t="s">
        <v>83</v>
      </c>
      <c r="D1944" s="385" t="s">
        <v>10046</v>
      </c>
    </row>
    <row r="1945" spans="1:4" x14ac:dyDescent="0.25">
      <c r="A1945" s="384" t="s">
        <v>10047</v>
      </c>
      <c r="B1945" s="384" t="s">
        <v>10048</v>
      </c>
      <c r="C1945" s="384" t="s">
        <v>83</v>
      </c>
      <c r="D1945" s="385" t="s">
        <v>10049</v>
      </c>
    </row>
    <row r="1946" spans="1:4" x14ac:dyDescent="0.25">
      <c r="A1946" s="384" t="s">
        <v>10050</v>
      </c>
      <c r="B1946" s="384" t="s">
        <v>10051</v>
      </c>
      <c r="C1946" s="384" t="s">
        <v>83</v>
      </c>
      <c r="D1946" s="385" t="s">
        <v>10052</v>
      </c>
    </row>
    <row r="1947" spans="1:4" x14ac:dyDescent="0.25">
      <c r="A1947" s="384" t="s">
        <v>10053</v>
      </c>
      <c r="B1947" s="384" t="s">
        <v>10054</v>
      </c>
      <c r="C1947" s="384" t="s">
        <v>83</v>
      </c>
      <c r="D1947" s="385" t="s">
        <v>10055</v>
      </c>
    </row>
    <row r="1948" spans="1:4" x14ac:dyDescent="0.25">
      <c r="A1948" s="384" t="s">
        <v>10056</v>
      </c>
      <c r="B1948" s="384" t="s">
        <v>10057</v>
      </c>
      <c r="C1948" s="384" t="s">
        <v>83</v>
      </c>
      <c r="D1948" s="385" t="s">
        <v>10058</v>
      </c>
    </row>
    <row r="1949" spans="1:4" x14ac:dyDescent="0.25">
      <c r="A1949" s="384" t="s">
        <v>10059</v>
      </c>
      <c r="B1949" s="384" t="s">
        <v>10060</v>
      </c>
      <c r="C1949" s="384" t="s">
        <v>83</v>
      </c>
      <c r="D1949" s="385" t="s">
        <v>10061</v>
      </c>
    </row>
    <row r="1950" spans="1:4" x14ac:dyDescent="0.25">
      <c r="A1950" s="384" t="s">
        <v>10062</v>
      </c>
      <c r="B1950" s="384" t="s">
        <v>10063</v>
      </c>
      <c r="C1950" s="384" t="s">
        <v>83</v>
      </c>
      <c r="D1950" s="385" t="s">
        <v>10064</v>
      </c>
    </row>
    <row r="1951" spans="1:4" x14ac:dyDescent="0.25">
      <c r="A1951" s="384" t="s">
        <v>10065</v>
      </c>
      <c r="B1951" s="384" t="s">
        <v>10066</v>
      </c>
      <c r="C1951" s="384" t="s">
        <v>83</v>
      </c>
      <c r="D1951" s="385" t="s">
        <v>10067</v>
      </c>
    </row>
    <row r="1952" spans="1:4" x14ac:dyDescent="0.25">
      <c r="A1952" s="384" t="s">
        <v>10068</v>
      </c>
      <c r="B1952" s="384" t="s">
        <v>10069</v>
      </c>
      <c r="C1952" s="384" t="s">
        <v>2884</v>
      </c>
      <c r="D1952" s="385" t="s">
        <v>10070</v>
      </c>
    </row>
    <row r="1953" spans="1:4" x14ac:dyDescent="0.25">
      <c r="A1953" s="384" t="s">
        <v>10071</v>
      </c>
      <c r="B1953" s="384" t="s">
        <v>10072</v>
      </c>
      <c r="C1953" s="384" t="s">
        <v>2884</v>
      </c>
      <c r="D1953" s="385" t="s">
        <v>10073</v>
      </c>
    </row>
    <row r="1954" spans="1:4" x14ac:dyDescent="0.25">
      <c r="A1954" s="384" t="s">
        <v>10074</v>
      </c>
      <c r="B1954" s="384" t="s">
        <v>10075</v>
      </c>
      <c r="C1954" s="384" t="s">
        <v>2884</v>
      </c>
      <c r="D1954" s="385" t="s">
        <v>10076</v>
      </c>
    </row>
    <row r="1955" spans="1:4" x14ac:dyDescent="0.25">
      <c r="A1955" s="384" t="s">
        <v>10077</v>
      </c>
      <c r="B1955" s="384" t="s">
        <v>10078</v>
      </c>
      <c r="C1955" s="384" t="s">
        <v>2884</v>
      </c>
      <c r="D1955" s="385" t="s">
        <v>10079</v>
      </c>
    </row>
    <row r="1956" spans="1:4" x14ac:dyDescent="0.25">
      <c r="A1956" s="384" t="s">
        <v>10080</v>
      </c>
      <c r="B1956" s="384" t="s">
        <v>10081</v>
      </c>
      <c r="C1956" s="384" t="s">
        <v>2884</v>
      </c>
      <c r="D1956" s="385" t="s">
        <v>10082</v>
      </c>
    </row>
    <row r="1957" spans="1:4" x14ac:dyDescent="0.25">
      <c r="A1957" s="384" t="s">
        <v>10083</v>
      </c>
      <c r="B1957" s="384" t="s">
        <v>10084</v>
      </c>
      <c r="C1957" s="384" t="s">
        <v>2884</v>
      </c>
      <c r="D1957" s="385" t="s">
        <v>10085</v>
      </c>
    </row>
    <row r="1958" spans="1:4" x14ac:dyDescent="0.25">
      <c r="A1958" s="384" t="s">
        <v>10086</v>
      </c>
      <c r="B1958" s="384" t="s">
        <v>10087</v>
      </c>
      <c r="C1958" s="384" t="s">
        <v>2884</v>
      </c>
      <c r="D1958" s="385" t="s">
        <v>10088</v>
      </c>
    </row>
    <row r="1959" spans="1:4" x14ac:dyDescent="0.25">
      <c r="A1959" s="384" t="s">
        <v>10089</v>
      </c>
      <c r="B1959" s="384" t="s">
        <v>10090</v>
      </c>
      <c r="C1959" s="384" t="s">
        <v>2884</v>
      </c>
      <c r="D1959" s="385" t="s">
        <v>10091</v>
      </c>
    </row>
    <row r="1960" spans="1:4" x14ac:dyDescent="0.25">
      <c r="A1960" s="384" t="s">
        <v>10092</v>
      </c>
      <c r="B1960" s="384" t="s">
        <v>10093</v>
      </c>
      <c r="C1960" s="384" t="s">
        <v>2884</v>
      </c>
      <c r="D1960" s="385" t="s">
        <v>10094</v>
      </c>
    </row>
    <row r="1961" spans="1:4" x14ac:dyDescent="0.25">
      <c r="A1961" s="384" t="s">
        <v>10095</v>
      </c>
      <c r="B1961" s="384" t="s">
        <v>10096</v>
      </c>
      <c r="C1961" s="384" t="s">
        <v>2884</v>
      </c>
      <c r="D1961" s="385" t="s">
        <v>10097</v>
      </c>
    </row>
    <row r="1962" spans="1:4" x14ac:dyDescent="0.25">
      <c r="A1962" s="384" t="s">
        <v>10098</v>
      </c>
      <c r="B1962" s="384" t="s">
        <v>10099</v>
      </c>
      <c r="C1962" s="384" t="s">
        <v>2884</v>
      </c>
      <c r="D1962" s="385" t="s">
        <v>10100</v>
      </c>
    </row>
    <row r="1963" spans="1:4" x14ac:dyDescent="0.25">
      <c r="A1963" s="384" t="s">
        <v>10101</v>
      </c>
      <c r="B1963" s="384" t="s">
        <v>10102</v>
      </c>
      <c r="C1963" s="384" t="s">
        <v>82</v>
      </c>
      <c r="D1963" s="385" t="s">
        <v>10103</v>
      </c>
    </row>
    <row r="1964" spans="1:4" x14ac:dyDescent="0.25">
      <c r="A1964" s="384" t="s">
        <v>10104</v>
      </c>
      <c r="B1964" s="384" t="s">
        <v>10105</v>
      </c>
      <c r="C1964" s="384" t="s">
        <v>82</v>
      </c>
      <c r="D1964" s="385" t="s">
        <v>10106</v>
      </c>
    </row>
    <row r="1965" spans="1:4" x14ac:dyDescent="0.25">
      <c r="A1965" s="384" t="s">
        <v>10107</v>
      </c>
      <c r="B1965" s="384" t="s">
        <v>10108</v>
      </c>
      <c r="C1965" s="384" t="s">
        <v>82</v>
      </c>
      <c r="D1965" s="385" t="s">
        <v>10109</v>
      </c>
    </row>
    <row r="1966" spans="1:4" x14ac:dyDescent="0.25">
      <c r="A1966" s="384" t="s">
        <v>10110</v>
      </c>
      <c r="B1966" s="384" t="s">
        <v>10111</v>
      </c>
      <c r="C1966" s="384" t="s">
        <v>82</v>
      </c>
      <c r="D1966" s="385" t="s">
        <v>10112</v>
      </c>
    </row>
    <row r="1967" spans="1:4" x14ac:dyDescent="0.25">
      <c r="A1967" s="384" t="s">
        <v>10113</v>
      </c>
      <c r="B1967" s="384" t="s">
        <v>10114</v>
      </c>
      <c r="C1967" s="384" t="s">
        <v>82</v>
      </c>
      <c r="D1967" s="385" t="s">
        <v>10115</v>
      </c>
    </row>
    <row r="1968" spans="1:4" x14ac:dyDescent="0.25">
      <c r="A1968" s="384" t="s">
        <v>10116</v>
      </c>
      <c r="B1968" s="384" t="s">
        <v>10117</v>
      </c>
      <c r="C1968" s="384" t="s">
        <v>82</v>
      </c>
      <c r="D1968" s="385" t="s">
        <v>10118</v>
      </c>
    </row>
    <row r="1969" spans="1:4" x14ac:dyDescent="0.25">
      <c r="A1969" s="384" t="s">
        <v>10119</v>
      </c>
      <c r="B1969" s="384" t="s">
        <v>10120</v>
      </c>
      <c r="C1969" s="384" t="s">
        <v>82</v>
      </c>
      <c r="D1969" s="385" t="s">
        <v>10121</v>
      </c>
    </row>
    <row r="1970" spans="1:4" x14ac:dyDescent="0.25">
      <c r="A1970" s="384" t="s">
        <v>10122</v>
      </c>
      <c r="B1970" s="384" t="s">
        <v>10123</v>
      </c>
      <c r="C1970" s="384" t="s">
        <v>2884</v>
      </c>
      <c r="D1970" s="385" t="s">
        <v>10124</v>
      </c>
    </row>
    <row r="1971" spans="1:4" x14ac:dyDescent="0.25">
      <c r="A1971" s="384" t="s">
        <v>10125</v>
      </c>
      <c r="B1971" s="384" t="s">
        <v>10126</v>
      </c>
      <c r="C1971" s="384" t="s">
        <v>2884</v>
      </c>
      <c r="D1971" s="385" t="s">
        <v>10127</v>
      </c>
    </row>
    <row r="1972" spans="1:4" x14ac:dyDescent="0.25">
      <c r="A1972" s="384" t="s">
        <v>10128</v>
      </c>
      <c r="B1972" s="384" t="s">
        <v>10129</v>
      </c>
      <c r="C1972" s="384" t="s">
        <v>83</v>
      </c>
      <c r="D1972" s="385" t="s">
        <v>10130</v>
      </c>
    </row>
    <row r="1973" spans="1:4" x14ac:dyDescent="0.25">
      <c r="A1973" s="384" t="s">
        <v>10131</v>
      </c>
      <c r="B1973" s="384" t="s">
        <v>10132</v>
      </c>
      <c r="C1973" s="384" t="s">
        <v>2884</v>
      </c>
      <c r="D1973" s="385" t="s">
        <v>10133</v>
      </c>
    </row>
    <row r="1974" spans="1:4" x14ac:dyDescent="0.25">
      <c r="A1974" s="384" t="s">
        <v>10134</v>
      </c>
      <c r="B1974" s="384" t="s">
        <v>10135</v>
      </c>
      <c r="C1974" s="384" t="s">
        <v>2884</v>
      </c>
      <c r="D1974" s="385" t="s">
        <v>10136</v>
      </c>
    </row>
    <row r="1975" spans="1:4" x14ac:dyDescent="0.25">
      <c r="A1975" s="384" t="s">
        <v>10137</v>
      </c>
      <c r="B1975" s="384" t="s">
        <v>10138</v>
      </c>
      <c r="C1975" s="384" t="s">
        <v>83</v>
      </c>
      <c r="D1975" s="385" t="s">
        <v>10139</v>
      </c>
    </row>
    <row r="1976" spans="1:4" x14ac:dyDescent="0.25">
      <c r="A1976" s="384" t="s">
        <v>10140</v>
      </c>
      <c r="B1976" s="384" t="s">
        <v>10141</v>
      </c>
      <c r="C1976" s="384" t="s">
        <v>83</v>
      </c>
      <c r="D1976" s="385" t="s">
        <v>10142</v>
      </c>
    </row>
    <row r="1977" spans="1:4" x14ac:dyDescent="0.25">
      <c r="A1977" s="384" t="s">
        <v>10143</v>
      </c>
      <c r="B1977" s="384" t="s">
        <v>10144</v>
      </c>
      <c r="C1977" s="384" t="s">
        <v>83</v>
      </c>
      <c r="D1977" s="385" t="s">
        <v>10145</v>
      </c>
    </row>
    <row r="1978" spans="1:4" x14ac:dyDescent="0.25">
      <c r="A1978" s="384" t="s">
        <v>10146</v>
      </c>
      <c r="B1978" s="384" t="s">
        <v>10147</v>
      </c>
      <c r="C1978" s="384" t="s">
        <v>2884</v>
      </c>
      <c r="D1978" s="385" t="s">
        <v>10148</v>
      </c>
    </row>
    <row r="1979" spans="1:4" x14ac:dyDescent="0.25">
      <c r="A1979" s="384" t="s">
        <v>10149</v>
      </c>
      <c r="B1979" s="384" t="s">
        <v>10150</v>
      </c>
      <c r="C1979" s="384" t="s">
        <v>83</v>
      </c>
      <c r="D1979" s="385" t="s">
        <v>10151</v>
      </c>
    </row>
    <row r="1980" spans="1:4" x14ac:dyDescent="0.25">
      <c r="A1980" s="384" t="s">
        <v>10152</v>
      </c>
      <c r="B1980" s="384" t="s">
        <v>10153</v>
      </c>
      <c r="C1980" s="384" t="s">
        <v>83</v>
      </c>
      <c r="D1980" s="385" t="s">
        <v>10154</v>
      </c>
    </row>
    <row r="1981" spans="1:4" x14ac:dyDescent="0.25">
      <c r="A1981" s="384" t="s">
        <v>10155</v>
      </c>
      <c r="B1981" s="384" t="s">
        <v>10156</v>
      </c>
      <c r="C1981" s="384" t="s">
        <v>83</v>
      </c>
      <c r="D1981" s="385" t="s">
        <v>10157</v>
      </c>
    </row>
    <row r="1982" spans="1:4" x14ac:dyDescent="0.25">
      <c r="A1982" s="384" t="s">
        <v>10158</v>
      </c>
      <c r="B1982" s="384" t="s">
        <v>10159</v>
      </c>
      <c r="C1982" s="384" t="s">
        <v>83</v>
      </c>
      <c r="D1982" s="385" t="s">
        <v>10160</v>
      </c>
    </row>
    <row r="1983" spans="1:4" x14ac:dyDescent="0.25">
      <c r="A1983" s="384" t="s">
        <v>10161</v>
      </c>
      <c r="B1983" s="384" t="s">
        <v>10162</v>
      </c>
      <c r="C1983" s="384" t="s">
        <v>83</v>
      </c>
      <c r="D1983" s="385" t="s">
        <v>10163</v>
      </c>
    </row>
    <row r="1984" spans="1:4" x14ac:dyDescent="0.25">
      <c r="A1984" s="384" t="s">
        <v>10164</v>
      </c>
      <c r="B1984" s="384" t="s">
        <v>10165</v>
      </c>
      <c r="C1984" s="384" t="s">
        <v>83</v>
      </c>
      <c r="D1984" s="385" t="s">
        <v>10166</v>
      </c>
    </row>
    <row r="1985" spans="1:4" x14ac:dyDescent="0.25">
      <c r="A1985" s="384" t="s">
        <v>10167</v>
      </c>
      <c r="B1985" s="384" t="s">
        <v>10168</v>
      </c>
      <c r="C1985" s="384" t="s">
        <v>83</v>
      </c>
      <c r="D1985" s="385" t="s">
        <v>10169</v>
      </c>
    </row>
    <row r="1986" spans="1:4" x14ac:dyDescent="0.25">
      <c r="A1986" s="384" t="s">
        <v>10170</v>
      </c>
      <c r="B1986" s="384" t="s">
        <v>10171</v>
      </c>
      <c r="C1986" s="384" t="s">
        <v>83</v>
      </c>
      <c r="D1986" s="385" t="s">
        <v>10172</v>
      </c>
    </row>
    <row r="1987" spans="1:4" x14ac:dyDescent="0.25">
      <c r="A1987" s="384" t="s">
        <v>10173</v>
      </c>
      <c r="B1987" s="384" t="s">
        <v>10174</v>
      </c>
      <c r="C1987" s="384" t="s">
        <v>83</v>
      </c>
      <c r="D1987" s="385" t="s">
        <v>10175</v>
      </c>
    </row>
    <row r="1988" spans="1:4" x14ac:dyDescent="0.25">
      <c r="A1988" s="384" t="s">
        <v>10176</v>
      </c>
      <c r="B1988" s="384" t="s">
        <v>10177</v>
      </c>
      <c r="C1988" s="384" t="s">
        <v>83</v>
      </c>
      <c r="D1988" s="385" t="s">
        <v>10178</v>
      </c>
    </row>
    <row r="1989" spans="1:4" x14ac:dyDescent="0.25">
      <c r="A1989" s="384" t="s">
        <v>10179</v>
      </c>
      <c r="B1989" s="384" t="s">
        <v>10180</v>
      </c>
      <c r="C1989" s="384" t="s">
        <v>2884</v>
      </c>
      <c r="D1989" s="385" t="s">
        <v>10181</v>
      </c>
    </row>
    <row r="1990" spans="1:4" x14ac:dyDescent="0.25">
      <c r="A1990" s="384" t="s">
        <v>10182</v>
      </c>
      <c r="B1990" s="384" t="s">
        <v>10183</v>
      </c>
      <c r="C1990" s="384" t="s">
        <v>2884</v>
      </c>
      <c r="D1990" s="385" t="s">
        <v>10184</v>
      </c>
    </row>
    <row r="1991" spans="1:4" x14ac:dyDescent="0.25">
      <c r="A1991" s="384" t="s">
        <v>10185</v>
      </c>
      <c r="B1991" s="384" t="s">
        <v>10186</v>
      </c>
      <c r="C1991" s="384" t="s">
        <v>2884</v>
      </c>
      <c r="D1991" s="385" t="s">
        <v>10187</v>
      </c>
    </row>
    <row r="1992" spans="1:4" x14ac:dyDescent="0.25">
      <c r="A1992" s="384" t="s">
        <v>10188</v>
      </c>
      <c r="B1992" s="384" t="s">
        <v>10189</v>
      </c>
      <c r="C1992" s="384" t="s">
        <v>2884</v>
      </c>
      <c r="D1992" s="385" t="s">
        <v>10190</v>
      </c>
    </row>
    <row r="1993" spans="1:4" x14ac:dyDescent="0.25">
      <c r="A1993" s="384" t="s">
        <v>10191</v>
      </c>
      <c r="B1993" s="384" t="s">
        <v>10192</v>
      </c>
      <c r="C1993" s="384" t="s">
        <v>2884</v>
      </c>
      <c r="D1993" s="385" t="s">
        <v>10193</v>
      </c>
    </row>
    <row r="1994" spans="1:4" x14ac:dyDescent="0.25">
      <c r="A1994" s="384" t="s">
        <v>10194</v>
      </c>
      <c r="B1994" s="384" t="s">
        <v>10195</v>
      </c>
      <c r="C1994" s="384" t="s">
        <v>2884</v>
      </c>
      <c r="D1994" s="385" t="s">
        <v>10196</v>
      </c>
    </row>
    <row r="1995" spans="1:4" x14ac:dyDescent="0.25">
      <c r="A1995" s="384" t="s">
        <v>10197</v>
      </c>
      <c r="B1995" s="384" t="s">
        <v>10198</v>
      </c>
      <c r="C1995" s="384" t="s">
        <v>2884</v>
      </c>
      <c r="D1995" s="385" t="s">
        <v>10199</v>
      </c>
    </row>
    <row r="1996" spans="1:4" x14ac:dyDescent="0.25">
      <c r="A1996" s="384" t="s">
        <v>10200</v>
      </c>
      <c r="B1996" s="384" t="s">
        <v>10201</v>
      </c>
      <c r="C1996" s="384" t="s">
        <v>2884</v>
      </c>
      <c r="D1996" s="385" t="s">
        <v>10202</v>
      </c>
    </row>
    <row r="1997" spans="1:4" x14ac:dyDescent="0.25">
      <c r="A1997" s="384" t="s">
        <v>10203</v>
      </c>
      <c r="B1997" s="384" t="s">
        <v>10204</v>
      </c>
      <c r="C1997" s="384" t="s">
        <v>2884</v>
      </c>
      <c r="D1997" s="385" t="s">
        <v>10205</v>
      </c>
    </row>
    <row r="1998" spans="1:4" x14ac:dyDescent="0.25">
      <c r="A1998" s="384" t="s">
        <v>10206</v>
      </c>
      <c r="B1998" s="384" t="s">
        <v>10207</v>
      </c>
      <c r="C1998" s="384" t="s">
        <v>2884</v>
      </c>
      <c r="D1998" s="385" t="s">
        <v>10208</v>
      </c>
    </row>
    <row r="1999" spans="1:4" x14ac:dyDescent="0.25">
      <c r="A1999" s="384" t="s">
        <v>10209</v>
      </c>
      <c r="B1999" s="384" t="s">
        <v>10210</v>
      </c>
      <c r="C1999" s="384" t="s">
        <v>2884</v>
      </c>
      <c r="D1999" s="385" t="s">
        <v>10211</v>
      </c>
    </row>
    <row r="2000" spans="1:4" x14ac:dyDescent="0.25">
      <c r="A2000" s="384" t="s">
        <v>10212</v>
      </c>
      <c r="B2000" s="384" t="s">
        <v>10213</v>
      </c>
      <c r="C2000" s="384" t="s">
        <v>2884</v>
      </c>
      <c r="D2000" s="385" t="s">
        <v>10214</v>
      </c>
    </row>
    <row r="2001" spans="1:4" x14ac:dyDescent="0.25">
      <c r="A2001" s="384" t="s">
        <v>10215</v>
      </c>
      <c r="B2001" s="384" t="s">
        <v>10216</v>
      </c>
      <c r="C2001" s="384" t="s">
        <v>2884</v>
      </c>
      <c r="D2001" s="385" t="s">
        <v>10217</v>
      </c>
    </row>
    <row r="2002" spans="1:4" x14ac:dyDescent="0.25">
      <c r="A2002" s="384" t="s">
        <v>10218</v>
      </c>
      <c r="B2002" s="384" t="s">
        <v>10219</v>
      </c>
      <c r="C2002" s="384" t="s">
        <v>2884</v>
      </c>
      <c r="D2002" s="385" t="s">
        <v>10220</v>
      </c>
    </row>
    <row r="2003" spans="1:4" x14ac:dyDescent="0.25">
      <c r="A2003" s="384" t="s">
        <v>10221</v>
      </c>
      <c r="B2003" s="384" t="s">
        <v>10222</v>
      </c>
      <c r="C2003" s="384" t="s">
        <v>2884</v>
      </c>
      <c r="D2003" s="385" t="s">
        <v>10223</v>
      </c>
    </row>
    <row r="2004" spans="1:4" x14ac:dyDescent="0.25">
      <c r="A2004" s="384" t="s">
        <v>10224</v>
      </c>
      <c r="B2004" s="384" t="s">
        <v>10225</v>
      </c>
      <c r="C2004" s="384" t="s">
        <v>2884</v>
      </c>
      <c r="D2004" s="385" t="s">
        <v>10226</v>
      </c>
    </row>
    <row r="2005" spans="1:4" x14ac:dyDescent="0.25">
      <c r="A2005" s="384" t="s">
        <v>10227</v>
      </c>
      <c r="B2005" s="384" t="s">
        <v>10228</v>
      </c>
      <c r="C2005" s="384" t="s">
        <v>2884</v>
      </c>
      <c r="D2005" s="385" t="s">
        <v>10229</v>
      </c>
    </row>
    <row r="2006" spans="1:4" x14ac:dyDescent="0.25">
      <c r="A2006" s="384" t="s">
        <v>10230</v>
      </c>
      <c r="B2006" s="384" t="s">
        <v>10231</v>
      </c>
      <c r="C2006" s="384" t="s">
        <v>2884</v>
      </c>
      <c r="D2006" s="385" t="s">
        <v>10232</v>
      </c>
    </row>
    <row r="2007" spans="1:4" x14ac:dyDescent="0.25">
      <c r="A2007" s="384" t="s">
        <v>10233</v>
      </c>
      <c r="B2007" s="384" t="s">
        <v>10234</v>
      </c>
      <c r="C2007" s="384" t="s">
        <v>2884</v>
      </c>
      <c r="D2007" s="385" t="s">
        <v>10235</v>
      </c>
    </row>
    <row r="2008" spans="1:4" x14ac:dyDescent="0.25">
      <c r="A2008" s="384" t="s">
        <v>10236</v>
      </c>
      <c r="B2008" s="384" t="s">
        <v>10237</v>
      </c>
      <c r="C2008" s="384" t="s">
        <v>2884</v>
      </c>
      <c r="D2008" s="385" t="s">
        <v>10238</v>
      </c>
    </row>
    <row r="2009" spans="1:4" x14ac:dyDescent="0.25">
      <c r="A2009" s="384" t="s">
        <v>10239</v>
      </c>
      <c r="B2009" s="384" t="s">
        <v>10240</v>
      </c>
      <c r="C2009" s="384" t="s">
        <v>2884</v>
      </c>
      <c r="D2009" s="385" t="s">
        <v>10241</v>
      </c>
    </row>
    <row r="2010" spans="1:4" x14ac:dyDescent="0.25">
      <c r="A2010" s="384" t="s">
        <v>10242</v>
      </c>
      <c r="B2010" s="384" t="s">
        <v>10243</v>
      </c>
      <c r="C2010" s="384" t="s">
        <v>2884</v>
      </c>
      <c r="D2010" s="385" t="s">
        <v>10244</v>
      </c>
    </row>
    <row r="2011" spans="1:4" x14ac:dyDescent="0.25">
      <c r="A2011" s="384" t="s">
        <v>10245</v>
      </c>
      <c r="B2011" s="384" t="s">
        <v>10246</v>
      </c>
      <c r="C2011" s="384" t="s">
        <v>2884</v>
      </c>
      <c r="D2011" s="385" t="s">
        <v>10247</v>
      </c>
    </row>
    <row r="2012" spans="1:4" x14ac:dyDescent="0.25">
      <c r="A2012" s="384" t="s">
        <v>10248</v>
      </c>
      <c r="B2012" s="384" t="s">
        <v>10249</v>
      </c>
      <c r="C2012" s="384" t="s">
        <v>2884</v>
      </c>
      <c r="D2012" s="385" t="s">
        <v>10250</v>
      </c>
    </row>
    <row r="2013" spans="1:4" x14ac:dyDescent="0.25">
      <c r="A2013" s="384" t="s">
        <v>10251</v>
      </c>
      <c r="B2013" s="384" t="s">
        <v>10252</v>
      </c>
      <c r="C2013" s="384" t="s">
        <v>2884</v>
      </c>
      <c r="D2013" s="385" t="s">
        <v>10253</v>
      </c>
    </row>
    <row r="2014" spans="1:4" x14ac:dyDescent="0.25">
      <c r="A2014" s="384" t="s">
        <v>10254</v>
      </c>
      <c r="B2014" s="384" t="s">
        <v>10255</v>
      </c>
      <c r="C2014" s="384" t="s">
        <v>2884</v>
      </c>
      <c r="D2014" s="385" t="s">
        <v>10256</v>
      </c>
    </row>
    <row r="2015" spans="1:4" x14ac:dyDescent="0.25">
      <c r="A2015" s="384" t="s">
        <v>10257</v>
      </c>
      <c r="B2015" s="384" t="s">
        <v>10258</v>
      </c>
      <c r="C2015" s="384" t="s">
        <v>2884</v>
      </c>
      <c r="D2015" s="385" t="s">
        <v>10259</v>
      </c>
    </row>
    <row r="2016" spans="1:4" x14ac:dyDescent="0.25">
      <c r="A2016" s="384" t="s">
        <v>10260</v>
      </c>
      <c r="B2016" s="384" t="s">
        <v>10261</v>
      </c>
      <c r="C2016" s="384" t="s">
        <v>2884</v>
      </c>
      <c r="D2016" s="385" t="s">
        <v>10262</v>
      </c>
    </row>
    <row r="2017" spans="1:4" x14ac:dyDescent="0.25">
      <c r="A2017" s="384" t="s">
        <v>10263</v>
      </c>
      <c r="B2017" s="384" t="s">
        <v>10264</v>
      </c>
      <c r="C2017" s="384" t="s">
        <v>83</v>
      </c>
      <c r="D2017" s="385" t="s">
        <v>10265</v>
      </c>
    </row>
    <row r="2018" spans="1:4" x14ac:dyDescent="0.25">
      <c r="A2018" s="384" t="s">
        <v>10266</v>
      </c>
      <c r="B2018" s="384" t="s">
        <v>10267</v>
      </c>
      <c r="C2018" s="384" t="s">
        <v>83</v>
      </c>
      <c r="D2018" s="385" t="s">
        <v>10268</v>
      </c>
    </row>
    <row r="2019" spans="1:4" x14ac:dyDescent="0.25">
      <c r="A2019" s="384" t="s">
        <v>10269</v>
      </c>
      <c r="B2019" s="384" t="s">
        <v>10270</v>
      </c>
      <c r="C2019" s="384" t="s">
        <v>83</v>
      </c>
      <c r="D2019" s="385" t="s">
        <v>10271</v>
      </c>
    </row>
    <row r="2020" spans="1:4" x14ac:dyDescent="0.25">
      <c r="A2020" s="384" t="s">
        <v>10272</v>
      </c>
      <c r="B2020" s="384" t="s">
        <v>10273</v>
      </c>
      <c r="C2020" s="384" t="s">
        <v>83</v>
      </c>
      <c r="D2020" s="385" t="s">
        <v>10274</v>
      </c>
    </row>
    <row r="2021" spans="1:4" x14ac:dyDescent="0.25">
      <c r="A2021" s="384" t="s">
        <v>10275</v>
      </c>
      <c r="B2021" s="384" t="s">
        <v>10276</v>
      </c>
      <c r="C2021" s="384" t="s">
        <v>2884</v>
      </c>
      <c r="D2021" s="385" t="s">
        <v>10277</v>
      </c>
    </row>
    <row r="2022" spans="1:4" x14ac:dyDescent="0.25">
      <c r="A2022" s="384" t="s">
        <v>10278</v>
      </c>
      <c r="B2022" s="384" t="s">
        <v>10279</v>
      </c>
      <c r="C2022" s="384" t="s">
        <v>2884</v>
      </c>
      <c r="D2022" s="385" t="s">
        <v>10280</v>
      </c>
    </row>
    <row r="2023" spans="1:4" x14ac:dyDescent="0.25">
      <c r="A2023" s="384" t="s">
        <v>10281</v>
      </c>
      <c r="B2023" s="384" t="s">
        <v>10282</v>
      </c>
      <c r="C2023" s="384" t="s">
        <v>2884</v>
      </c>
      <c r="D2023" s="385" t="s">
        <v>10283</v>
      </c>
    </row>
    <row r="2024" spans="1:4" x14ac:dyDescent="0.25">
      <c r="A2024" s="384" t="s">
        <v>10284</v>
      </c>
      <c r="B2024" s="384" t="s">
        <v>10285</v>
      </c>
      <c r="C2024" s="384" t="s">
        <v>2884</v>
      </c>
      <c r="D2024" s="385" t="s">
        <v>10286</v>
      </c>
    </row>
    <row r="2025" spans="1:4" x14ac:dyDescent="0.25">
      <c r="A2025" s="384" t="s">
        <v>10287</v>
      </c>
      <c r="B2025" s="384" t="s">
        <v>10288</v>
      </c>
      <c r="C2025" s="384" t="s">
        <v>2884</v>
      </c>
      <c r="D2025" s="385" t="s">
        <v>10289</v>
      </c>
    </row>
    <row r="2026" spans="1:4" x14ac:dyDescent="0.25">
      <c r="A2026" s="384" t="s">
        <v>10290</v>
      </c>
      <c r="B2026" s="384" t="s">
        <v>10291</v>
      </c>
      <c r="C2026" s="384" t="s">
        <v>2884</v>
      </c>
      <c r="D2026" s="385" t="s">
        <v>10292</v>
      </c>
    </row>
    <row r="2027" spans="1:4" x14ac:dyDescent="0.25">
      <c r="A2027" s="384" t="s">
        <v>10293</v>
      </c>
      <c r="B2027" s="384" t="s">
        <v>10294</v>
      </c>
      <c r="C2027" s="384" t="s">
        <v>2884</v>
      </c>
      <c r="D2027" s="385" t="s">
        <v>10295</v>
      </c>
    </row>
    <row r="2028" spans="1:4" x14ac:dyDescent="0.25">
      <c r="A2028" s="384" t="s">
        <v>10296</v>
      </c>
      <c r="B2028" s="384" t="s">
        <v>10297</v>
      </c>
      <c r="C2028" s="384" t="s">
        <v>2884</v>
      </c>
      <c r="D2028" s="385" t="s">
        <v>10298</v>
      </c>
    </row>
    <row r="2029" spans="1:4" x14ac:dyDescent="0.25">
      <c r="A2029" s="384" t="s">
        <v>10299</v>
      </c>
      <c r="B2029" s="384" t="s">
        <v>10300</v>
      </c>
      <c r="C2029" s="384" t="s">
        <v>82</v>
      </c>
      <c r="D2029" s="385" t="s">
        <v>10301</v>
      </c>
    </row>
    <row r="2030" spans="1:4" x14ac:dyDescent="0.25">
      <c r="A2030" s="384" t="s">
        <v>10302</v>
      </c>
      <c r="B2030" s="384" t="s">
        <v>10303</v>
      </c>
      <c r="C2030" s="384" t="s">
        <v>82</v>
      </c>
      <c r="D2030" s="385" t="s">
        <v>10304</v>
      </c>
    </row>
    <row r="2031" spans="1:4" x14ac:dyDescent="0.25">
      <c r="A2031" s="384" t="s">
        <v>10305</v>
      </c>
      <c r="B2031" s="384" t="s">
        <v>10306</v>
      </c>
      <c r="C2031" s="384" t="s">
        <v>2884</v>
      </c>
      <c r="D2031" s="385" t="s">
        <v>10307</v>
      </c>
    </row>
    <row r="2032" spans="1:4" x14ac:dyDescent="0.25">
      <c r="A2032" s="384" t="s">
        <v>10308</v>
      </c>
      <c r="B2032" s="384" t="s">
        <v>10309</v>
      </c>
      <c r="C2032" s="384" t="s">
        <v>76</v>
      </c>
      <c r="D2032" s="385" t="s">
        <v>10310</v>
      </c>
    </row>
    <row r="2033" spans="1:4" x14ac:dyDescent="0.25">
      <c r="A2033" s="384" t="s">
        <v>10311</v>
      </c>
      <c r="B2033" s="384" t="s">
        <v>10312</v>
      </c>
      <c r="C2033" s="384" t="s">
        <v>76</v>
      </c>
      <c r="D2033" s="385" t="s">
        <v>10313</v>
      </c>
    </row>
    <row r="2034" spans="1:4" x14ac:dyDescent="0.25">
      <c r="A2034" s="384" t="s">
        <v>10314</v>
      </c>
      <c r="B2034" s="384" t="s">
        <v>10315</v>
      </c>
      <c r="C2034" s="384" t="s">
        <v>76</v>
      </c>
      <c r="D2034" s="385" t="s">
        <v>10316</v>
      </c>
    </row>
    <row r="2035" spans="1:4" x14ac:dyDescent="0.25">
      <c r="A2035" s="384" t="s">
        <v>10317</v>
      </c>
      <c r="B2035" s="384" t="s">
        <v>10318</v>
      </c>
      <c r="C2035" s="384" t="s">
        <v>76</v>
      </c>
      <c r="D2035" s="385" t="s">
        <v>10319</v>
      </c>
    </row>
    <row r="2036" spans="1:4" x14ac:dyDescent="0.25">
      <c r="A2036" s="384" t="s">
        <v>10320</v>
      </c>
      <c r="B2036" s="384" t="s">
        <v>10321</v>
      </c>
      <c r="C2036" s="384" t="s">
        <v>76</v>
      </c>
      <c r="D2036" s="385" t="s">
        <v>10322</v>
      </c>
    </row>
    <row r="2037" spans="1:4" x14ac:dyDescent="0.25">
      <c r="A2037" s="384" t="s">
        <v>10323</v>
      </c>
      <c r="B2037" s="384" t="s">
        <v>10324</v>
      </c>
      <c r="C2037" s="384" t="s">
        <v>76</v>
      </c>
      <c r="D2037" s="385" t="s">
        <v>10325</v>
      </c>
    </row>
    <row r="2038" spans="1:4" x14ac:dyDescent="0.25">
      <c r="A2038" s="384" t="s">
        <v>10326</v>
      </c>
      <c r="B2038" s="384" t="s">
        <v>10327</v>
      </c>
      <c r="C2038" s="384" t="s">
        <v>76</v>
      </c>
      <c r="D2038" s="385" t="s">
        <v>10328</v>
      </c>
    </row>
    <row r="2039" spans="1:4" x14ac:dyDescent="0.25">
      <c r="A2039" s="384" t="s">
        <v>10329</v>
      </c>
      <c r="B2039" s="384" t="s">
        <v>10330</v>
      </c>
      <c r="C2039" s="384" t="s">
        <v>76</v>
      </c>
      <c r="D2039" s="385" t="s">
        <v>10331</v>
      </c>
    </row>
    <row r="2040" spans="1:4" x14ac:dyDescent="0.25">
      <c r="A2040" s="384" t="s">
        <v>10332</v>
      </c>
      <c r="B2040" s="384" t="s">
        <v>10333</v>
      </c>
      <c r="C2040" s="384" t="s">
        <v>76</v>
      </c>
      <c r="D2040" s="385" t="s">
        <v>10334</v>
      </c>
    </row>
    <row r="2041" spans="1:4" x14ac:dyDescent="0.25">
      <c r="A2041" s="384" t="s">
        <v>10335</v>
      </c>
      <c r="B2041" s="384" t="s">
        <v>10336</v>
      </c>
      <c r="C2041" s="384" t="s">
        <v>76</v>
      </c>
      <c r="D2041" s="385" t="s">
        <v>10337</v>
      </c>
    </row>
    <row r="2042" spans="1:4" x14ac:dyDescent="0.25">
      <c r="A2042" s="384" t="s">
        <v>10338</v>
      </c>
      <c r="B2042" s="384" t="s">
        <v>10339</v>
      </c>
      <c r="C2042" s="384" t="s">
        <v>76</v>
      </c>
      <c r="D2042" s="385" t="s">
        <v>10340</v>
      </c>
    </row>
    <row r="2043" spans="1:4" x14ac:dyDescent="0.25">
      <c r="A2043" s="384" t="s">
        <v>10341</v>
      </c>
      <c r="B2043" s="384" t="s">
        <v>10342</v>
      </c>
      <c r="C2043" s="384" t="s">
        <v>76</v>
      </c>
      <c r="D2043" s="385" t="s">
        <v>10343</v>
      </c>
    </row>
    <row r="2044" spans="1:4" x14ac:dyDescent="0.25">
      <c r="A2044" s="384" t="s">
        <v>10344</v>
      </c>
      <c r="B2044" s="384" t="s">
        <v>10345</v>
      </c>
      <c r="C2044" s="384" t="s">
        <v>76</v>
      </c>
      <c r="D2044" s="385" t="s">
        <v>10346</v>
      </c>
    </row>
    <row r="2045" spans="1:4" x14ac:dyDescent="0.25">
      <c r="A2045" s="384" t="s">
        <v>10347</v>
      </c>
      <c r="B2045" s="384" t="s">
        <v>10348</v>
      </c>
      <c r="C2045" s="384" t="s">
        <v>76</v>
      </c>
      <c r="D2045" s="385" t="s">
        <v>10349</v>
      </c>
    </row>
    <row r="2046" spans="1:4" x14ac:dyDescent="0.25">
      <c r="A2046" s="384" t="s">
        <v>10350</v>
      </c>
      <c r="B2046" s="384" t="s">
        <v>10351</v>
      </c>
      <c r="C2046" s="384" t="s">
        <v>76</v>
      </c>
      <c r="D2046" s="385" t="s">
        <v>10352</v>
      </c>
    </row>
    <row r="2047" spans="1:4" x14ac:dyDescent="0.25">
      <c r="A2047" s="384" t="s">
        <v>10353</v>
      </c>
      <c r="B2047" s="384" t="s">
        <v>10354</v>
      </c>
      <c r="C2047" s="384" t="s">
        <v>76</v>
      </c>
      <c r="D2047" s="385" t="s">
        <v>10355</v>
      </c>
    </row>
    <row r="2048" spans="1:4" x14ac:dyDescent="0.25">
      <c r="A2048" s="384" t="s">
        <v>10356</v>
      </c>
      <c r="B2048" s="384" t="s">
        <v>10357</v>
      </c>
      <c r="C2048" s="384" t="s">
        <v>76</v>
      </c>
      <c r="D2048" s="385" t="s">
        <v>10358</v>
      </c>
    </row>
    <row r="2049" spans="1:4" x14ac:dyDescent="0.25">
      <c r="A2049" s="384" t="s">
        <v>10359</v>
      </c>
      <c r="B2049" s="384" t="s">
        <v>10360</v>
      </c>
      <c r="C2049" s="384" t="s">
        <v>76</v>
      </c>
      <c r="D2049" s="385" t="s">
        <v>10361</v>
      </c>
    </row>
    <row r="2050" spans="1:4" x14ac:dyDescent="0.25">
      <c r="A2050" s="384" t="s">
        <v>10362</v>
      </c>
      <c r="B2050" s="384" t="s">
        <v>10363</v>
      </c>
      <c r="C2050" s="384" t="s">
        <v>83</v>
      </c>
      <c r="D2050" s="385" t="s">
        <v>10364</v>
      </c>
    </row>
    <row r="2051" spans="1:4" x14ac:dyDescent="0.25">
      <c r="A2051" s="384" t="s">
        <v>10365</v>
      </c>
      <c r="B2051" s="384" t="s">
        <v>10366</v>
      </c>
      <c r="C2051" s="384" t="s">
        <v>83</v>
      </c>
      <c r="D2051" s="385" t="s">
        <v>10367</v>
      </c>
    </row>
    <row r="2052" spans="1:4" x14ac:dyDescent="0.25">
      <c r="A2052" s="384" t="s">
        <v>10368</v>
      </c>
      <c r="B2052" s="384" t="s">
        <v>10369</v>
      </c>
      <c r="C2052" s="384" t="s">
        <v>83</v>
      </c>
      <c r="D2052" s="385" t="s">
        <v>10370</v>
      </c>
    </row>
    <row r="2053" spans="1:4" x14ac:dyDescent="0.25">
      <c r="A2053" s="384" t="s">
        <v>10371</v>
      </c>
      <c r="B2053" s="384" t="s">
        <v>10372</v>
      </c>
      <c r="C2053" s="384" t="s">
        <v>83</v>
      </c>
      <c r="D2053" s="385" t="s">
        <v>10373</v>
      </c>
    </row>
    <row r="2054" spans="1:4" x14ac:dyDescent="0.25">
      <c r="A2054" s="384" t="s">
        <v>10374</v>
      </c>
      <c r="B2054" s="384" t="s">
        <v>10375</v>
      </c>
      <c r="C2054" s="384" t="s">
        <v>83</v>
      </c>
      <c r="D2054" s="385" t="s">
        <v>10376</v>
      </c>
    </row>
    <row r="2055" spans="1:4" x14ac:dyDescent="0.25">
      <c r="A2055" s="384" t="s">
        <v>10377</v>
      </c>
      <c r="B2055" s="384" t="s">
        <v>10378</v>
      </c>
      <c r="C2055" s="384" t="s">
        <v>83</v>
      </c>
      <c r="D2055" s="385" t="s">
        <v>10379</v>
      </c>
    </row>
    <row r="2056" spans="1:4" x14ac:dyDescent="0.25">
      <c r="A2056" s="384" t="s">
        <v>10380</v>
      </c>
      <c r="B2056" s="384" t="s">
        <v>10381</v>
      </c>
      <c r="C2056" s="384" t="s">
        <v>83</v>
      </c>
      <c r="D2056" s="385" t="s">
        <v>10382</v>
      </c>
    </row>
    <row r="2057" spans="1:4" x14ac:dyDescent="0.25">
      <c r="A2057" s="384" t="s">
        <v>10383</v>
      </c>
      <c r="B2057" s="384" t="s">
        <v>10384</v>
      </c>
      <c r="C2057" s="384" t="s">
        <v>83</v>
      </c>
      <c r="D2057" s="385" t="s">
        <v>4838</v>
      </c>
    </row>
    <row r="2058" spans="1:4" x14ac:dyDescent="0.25">
      <c r="A2058" s="384" t="s">
        <v>10385</v>
      </c>
      <c r="B2058" s="384" t="s">
        <v>10386</v>
      </c>
      <c r="C2058" s="384" t="s">
        <v>82</v>
      </c>
      <c r="D2058" s="385" t="s">
        <v>10387</v>
      </c>
    </row>
    <row r="2059" spans="1:4" x14ac:dyDescent="0.25">
      <c r="A2059" s="384" t="s">
        <v>10388</v>
      </c>
      <c r="B2059" s="384" t="s">
        <v>10389</v>
      </c>
      <c r="C2059" s="384" t="s">
        <v>82</v>
      </c>
      <c r="D2059" s="385" t="s">
        <v>10390</v>
      </c>
    </row>
    <row r="2060" spans="1:4" x14ac:dyDescent="0.25">
      <c r="A2060" s="384" t="s">
        <v>10391</v>
      </c>
      <c r="B2060" s="384" t="s">
        <v>10392</v>
      </c>
      <c r="C2060" s="384" t="s">
        <v>82</v>
      </c>
      <c r="D2060" s="385" t="s">
        <v>10393</v>
      </c>
    </row>
    <row r="2061" spans="1:4" x14ac:dyDescent="0.25">
      <c r="A2061" s="384" t="s">
        <v>10394</v>
      </c>
      <c r="B2061" s="384" t="s">
        <v>10395</v>
      </c>
      <c r="C2061" s="384" t="s">
        <v>82</v>
      </c>
      <c r="D2061" s="385" t="s">
        <v>10396</v>
      </c>
    </row>
    <row r="2062" spans="1:4" x14ac:dyDescent="0.25">
      <c r="A2062" s="384" t="s">
        <v>10397</v>
      </c>
      <c r="B2062" s="384" t="s">
        <v>10398</v>
      </c>
      <c r="C2062" s="384" t="s">
        <v>82</v>
      </c>
      <c r="D2062" s="385" t="s">
        <v>10399</v>
      </c>
    </row>
    <row r="2063" spans="1:4" x14ac:dyDescent="0.25">
      <c r="A2063" s="384" t="s">
        <v>10400</v>
      </c>
      <c r="B2063" s="384" t="s">
        <v>10401</v>
      </c>
      <c r="C2063" s="384" t="s">
        <v>82</v>
      </c>
      <c r="D2063" s="385" t="s">
        <v>10402</v>
      </c>
    </row>
    <row r="2064" spans="1:4" x14ac:dyDescent="0.25">
      <c r="A2064" s="384" t="s">
        <v>10403</v>
      </c>
      <c r="B2064" s="384" t="s">
        <v>10404</v>
      </c>
      <c r="C2064" s="384" t="s">
        <v>82</v>
      </c>
      <c r="D2064" s="385" t="s">
        <v>10405</v>
      </c>
    </row>
    <row r="2065" spans="1:4" x14ac:dyDescent="0.25">
      <c r="A2065" s="384" t="s">
        <v>10406</v>
      </c>
      <c r="B2065" s="384" t="s">
        <v>10407</v>
      </c>
      <c r="C2065" s="384" t="s">
        <v>82</v>
      </c>
      <c r="D2065" s="385" t="s">
        <v>10408</v>
      </c>
    </row>
    <row r="2066" spans="1:4" x14ac:dyDescent="0.25">
      <c r="A2066" s="384" t="s">
        <v>10409</v>
      </c>
      <c r="B2066" s="384" t="s">
        <v>10410</v>
      </c>
      <c r="C2066" s="384" t="s">
        <v>77</v>
      </c>
      <c r="D2066" s="385" t="s">
        <v>10411</v>
      </c>
    </row>
    <row r="2067" spans="1:4" x14ac:dyDescent="0.25">
      <c r="A2067" s="384" t="s">
        <v>10412</v>
      </c>
      <c r="B2067" s="384" t="s">
        <v>10413</v>
      </c>
      <c r="C2067" s="384" t="s">
        <v>77</v>
      </c>
      <c r="D2067" s="385" t="s">
        <v>7692</v>
      </c>
    </row>
    <row r="2068" spans="1:4" x14ac:dyDescent="0.25">
      <c r="A2068" s="384" t="s">
        <v>10414</v>
      </c>
      <c r="B2068" s="384" t="s">
        <v>10415</v>
      </c>
      <c r="C2068" s="384" t="s">
        <v>77</v>
      </c>
      <c r="D2068" s="385" t="s">
        <v>10416</v>
      </c>
    </row>
    <row r="2069" spans="1:4" x14ac:dyDescent="0.25">
      <c r="A2069" s="384" t="s">
        <v>10417</v>
      </c>
      <c r="B2069" s="384" t="s">
        <v>10418</v>
      </c>
      <c r="C2069" s="384" t="s">
        <v>77</v>
      </c>
      <c r="D2069" s="385" t="s">
        <v>10419</v>
      </c>
    </row>
    <row r="2070" spans="1:4" x14ac:dyDescent="0.25">
      <c r="A2070" s="384" t="s">
        <v>10420</v>
      </c>
      <c r="B2070" s="384" t="s">
        <v>10421</v>
      </c>
      <c r="C2070" s="384" t="s">
        <v>77</v>
      </c>
      <c r="D2070" s="385" t="s">
        <v>10422</v>
      </c>
    </row>
    <row r="2071" spans="1:4" x14ac:dyDescent="0.25">
      <c r="A2071" s="384" t="s">
        <v>10423</v>
      </c>
      <c r="B2071" s="384" t="s">
        <v>10424</v>
      </c>
      <c r="C2071" s="384" t="s">
        <v>82</v>
      </c>
      <c r="D2071" s="385" t="s">
        <v>10425</v>
      </c>
    </row>
    <row r="2072" spans="1:4" x14ac:dyDescent="0.25">
      <c r="A2072" s="384" t="s">
        <v>10426</v>
      </c>
      <c r="B2072" s="384" t="s">
        <v>10427</v>
      </c>
      <c r="C2072" s="384" t="s">
        <v>82</v>
      </c>
      <c r="D2072" s="385" t="s">
        <v>10428</v>
      </c>
    </row>
    <row r="2073" spans="1:4" x14ac:dyDescent="0.25">
      <c r="A2073" s="384" t="s">
        <v>10429</v>
      </c>
      <c r="B2073" s="384" t="s">
        <v>10430</v>
      </c>
      <c r="C2073" s="384" t="s">
        <v>82</v>
      </c>
      <c r="D2073" s="385" t="s">
        <v>10431</v>
      </c>
    </row>
    <row r="2074" spans="1:4" x14ac:dyDescent="0.25">
      <c r="A2074" s="384" t="s">
        <v>10432</v>
      </c>
      <c r="B2074" s="384" t="s">
        <v>10433</v>
      </c>
      <c r="C2074" s="384" t="s">
        <v>82</v>
      </c>
      <c r="D2074" s="385" t="s">
        <v>10434</v>
      </c>
    </row>
    <row r="2075" spans="1:4" x14ac:dyDescent="0.25">
      <c r="A2075" s="384" t="s">
        <v>10435</v>
      </c>
      <c r="B2075" s="384" t="s">
        <v>10436</v>
      </c>
      <c r="C2075" s="384" t="s">
        <v>82</v>
      </c>
      <c r="D2075" s="385" t="s">
        <v>8545</v>
      </c>
    </row>
    <row r="2076" spans="1:4" x14ac:dyDescent="0.25">
      <c r="A2076" s="384" t="s">
        <v>10437</v>
      </c>
      <c r="B2076" s="384" t="s">
        <v>10438</v>
      </c>
      <c r="C2076" s="384" t="s">
        <v>82</v>
      </c>
      <c r="D2076" s="385" t="s">
        <v>10439</v>
      </c>
    </row>
    <row r="2077" spans="1:4" x14ac:dyDescent="0.25">
      <c r="A2077" s="384" t="s">
        <v>10440</v>
      </c>
      <c r="B2077" s="384" t="s">
        <v>10441</v>
      </c>
      <c r="C2077" s="384" t="s">
        <v>82</v>
      </c>
      <c r="D2077" s="385" t="s">
        <v>10442</v>
      </c>
    </row>
    <row r="2078" spans="1:4" x14ac:dyDescent="0.25">
      <c r="A2078" s="384" t="s">
        <v>10443</v>
      </c>
      <c r="B2078" s="384" t="s">
        <v>10444</v>
      </c>
      <c r="C2078" s="384" t="s">
        <v>82</v>
      </c>
      <c r="D2078" s="385" t="s">
        <v>10445</v>
      </c>
    </row>
    <row r="2079" spans="1:4" x14ac:dyDescent="0.25">
      <c r="A2079" s="384" t="s">
        <v>10446</v>
      </c>
      <c r="B2079" s="384" t="s">
        <v>10447</v>
      </c>
      <c r="C2079" s="384" t="s">
        <v>82</v>
      </c>
      <c r="D2079" s="385" t="s">
        <v>10448</v>
      </c>
    </row>
    <row r="2080" spans="1:4" x14ac:dyDescent="0.25">
      <c r="A2080" s="384" t="s">
        <v>10449</v>
      </c>
      <c r="B2080" s="384" t="s">
        <v>10450</v>
      </c>
      <c r="C2080" s="384" t="s">
        <v>83</v>
      </c>
      <c r="D2080" s="385" t="s">
        <v>10451</v>
      </c>
    </row>
    <row r="2081" spans="1:4" x14ac:dyDescent="0.25">
      <c r="A2081" s="384" t="s">
        <v>10452</v>
      </c>
      <c r="B2081" s="384" t="s">
        <v>10453</v>
      </c>
      <c r="C2081" s="384" t="s">
        <v>83</v>
      </c>
      <c r="D2081" s="385" t="s">
        <v>9440</v>
      </c>
    </row>
    <row r="2082" spans="1:4" x14ac:dyDescent="0.25">
      <c r="A2082" s="384" t="s">
        <v>10454</v>
      </c>
      <c r="B2082" s="384" t="s">
        <v>10455</v>
      </c>
      <c r="C2082" s="384" t="s">
        <v>83</v>
      </c>
      <c r="D2082" s="385" t="s">
        <v>10456</v>
      </c>
    </row>
    <row r="2083" spans="1:4" x14ac:dyDescent="0.25">
      <c r="A2083" s="384" t="s">
        <v>10457</v>
      </c>
      <c r="B2083" s="384" t="s">
        <v>10458</v>
      </c>
      <c r="C2083" s="384" t="s">
        <v>2884</v>
      </c>
      <c r="D2083" s="385" t="s">
        <v>10459</v>
      </c>
    </row>
    <row r="2084" spans="1:4" x14ac:dyDescent="0.25">
      <c r="A2084" s="384" t="s">
        <v>10460</v>
      </c>
      <c r="B2084" s="384" t="s">
        <v>10461</v>
      </c>
      <c r="C2084" s="384" t="s">
        <v>2884</v>
      </c>
      <c r="D2084" s="385" t="s">
        <v>10462</v>
      </c>
    </row>
    <row r="2085" spans="1:4" x14ac:dyDescent="0.25">
      <c r="A2085" s="384" t="s">
        <v>10463</v>
      </c>
      <c r="B2085" s="384" t="s">
        <v>10464</v>
      </c>
      <c r="C2085" s="384" t="s">
        <v>76</v>
      </c>
      <c r="D2085" s="385" t="s">
        <v>10465</v>
      </c>
    </row>
    <row r="2086" spans="1:4" x14ac:dyDescent="0.25">
      <c r="A2086" s="384" t="s">
        <v>10466</v>
      </c>
      <c r="B2086" s="384" t="s">
        <v>10467</v>
      </c>
      <c r="C2086" s="384" t="s">
        <v>2884</v>
      </c>
      <c r="D2086" s="385" t="s">
        <v>10468</v>
      </c>
    </row>
    <row r="2087" spans="1:4" x14ac:dyDescent="0.25">
      <c r="A2087" s="384" t="s">
        <v>10469</v>
      </c>
      <c r="B2087" s="384" t="s">
        <v>10470</v>
      </c>
      <c r="C2087" s="384" t="s">
        <v>2884</v>
      </c>
      <c r="D2087" s="385" t="s">
        <v>7718</v>
      </c>
    </row>
    <row r="2088" spans="1:4" x14ac:dyDescent="0.25">
      <c r="A2088" s="384" t="s">
        <v>10471</v>
      </c>
      <c r="B2088" s="384" t="s">
        <v>10472</v>
      </c>
      <c r="C2088" s="384" t="s">
        <v>76</v>
      </c>
      <c r="D2088" s="385" t="s">
        <v>10473</v>
      </c>
    </row>
    <row r="2089" spans="1:4" x14ac:dyDescent="0.25">
      <c r="A2089" s="384" t="s">
        <v>10474</v>
      </c>
      <c r="B2089" s="384" t="s">
        <v>10475</v>
      </c>
      <c r="C2089" s="384" t="s">
        <v>76</v>
      </c>
      <c r="D2089" s="385" t="s">
        <v>10476</v>
      </c>
    </row>
    <row r="2090" spans="1:4" x14ac:dyDescent="0.25">
      <c r="A2090" s="384" t="s">
        <v>10477</v>
      </c>
      <c r="B2090" s="384" t="s">
        <v>10478</v>
      </c>
      <c r="C2090" s="384" t="s">
        <v>76</v>
      </c>
      <c r="D2090" s="385" t="s">
        <v>10479</v>
      </c>
    </row>
    <row r="2091" spans="1:4" x14ac:dyDescent="0.25">
      <c r="A2091" s="384" t="s">
        <v>10480</v>
      </c>
      <c r="B2091" s="384" t="s">
        <v>10481</v>
      </c>
      <c r="C2091" s="384" t="s">
        <v>76</v>
      </c>
      <c r="D2091" s="385" t="s">
        <v>10482</v>
      </c>
    </row>
    <row r="2092" spans="1:4" x14ac:dyDescent="0.25">
      <c r="A2092" s="384" t="s">
        <v>10483</v>
      </c>
      <c r="B2092" s="384" t="s">
        <v>10484</v>
      </c>
      <c r="C2092" s="384" t="s">
        <v>76</v>
      </c>
      <c r="D2092" s="385" t="s">
        <v>10485</v>
      </c>
    </row>
    <row r="2093" spans="1:4" x14ac:dyDescent="0.25">
      <c r="A2093" s="384" t="s">
        <v>10486</v>
      </c>
      <c r="B2093" s="384" t="s">
        <v>10487</v>
      </c>
      <c r="C2093" s="384" t="s">
        <v>76</v>
      </c>
      <c r="D2093" s="385" t="s">
        <v>10488</v>
      </c>
    </row>
    <row r="2094" spans="1:4" x14ac:dyDescent="0.25">
      <c r="A2094" s="384" t="s">
        <v>10489</v>
      </c>
      <c r="B2094" s="384" t="s">
        <v>10490</v>
      </c>
      <c r="C2094" s="384" t="s">
        <v>2884</v>
      </c>
      <c r="D2094" s="385" t="s">
        <v>10491</v>
      </c>
    </row>
    <row r="2095" spans="1:4" x14ac:dyDescent="0.25">
      <c r="A2095" s="384" t="s">
        <v>10492</v>
      </c>
      <c r="B2095" s="384" t="s">
        <v>10493</v>
      </c>
      <c r="C2095" s="384" t="s">
        <v>2884</v>
      </c>
      <c r="D2095" s="385" t="s">
        <v>6562</v>
      </c>
    </row>
    <row r="2096" spans="1:4" x14ac:dyDescent="0.25">
      <c r="A2096" s="384" t="s">
        <v>10494</v>
      </c>
      <c r="B2096" s="384" t="s">
        <v>10495</v>
      </c>
      <c r="C2096" s="384" t="s">
        <v>2884</v>
      </c>
      <c r="D2096" s="385" t="s">
        <v>10496</v>
      </c>
    </row>
    <row r="2097" spans="1:4" x14ac:dyDescent="0.25">
      <c r="A2097" s="384" t="s">
        <v>10497</v>
      </c>
      <c r="B2097" s="384" t="s">
        <v>10498</v>
      </c>
      <c r="C2097" s="384" t="s">
        <v>2884</v>
      </c>
      <c r="D2097" s="385" t="s">
        <v>10499</v>
      </c>
    </row>
    <row r="2098" spans="1:4" x14ac:dyDescent="0.25">
      <c r="A2098" s="384" t="s">
        <v>10500</v>
      </c>
      <c r="B2098" s="384" t="s">
        <v>10501</v>
      </c>
      <c r="C2098" s="384" t="s">
        <v>77</v>
      </c>
      <c r="D2098" s="385" t="s">
        <v>4862</v>
      </c>
    </row>
    <row r="2099" spans="1:4" x14ac:dyDescent="0.25">
      <c r="A2099" s="384" t="s">
        <v>10502</v>
      </c>
      <c r="B2099" s="384" t="s">
        <v>10503</v>
      </c>
      <c r="C2099" s="384" t="s">
        <v>77</v>
      </c>
      <c r="D2099" s="385" t="s">
        <v>10504</v>
      </c>
    </row>
    <row r="2100" spans="1:4" x14ac:dyDescent="0.25">
      <c r="A2100" s="384" t="s">
        <v>10505</v>
      </c>
      <c r="B2100" s="384" t="s">
        <v>10506</v>
      </c>
      <c r="C2100" s="384" t="s">
        <v>77</v>
      </c>
      <c r="D2100" s="385" t="s">
        <v>10507</v>
      </c>
    </row>
    <row r="2101" spans="1:4" x14ac:dyDescent="0.25">
      <c r="A2101" s="384" t="s">
        <v>10508</v>
      </c>
      <c r="B2101" s="384" t="s">
        <v>10509</v>
      </c>
      <c r="C2101" s="384" t="s">
        <v>77</v>
      </c>
      <c r="D2101" s="385" t="s">
        <v>10510</v>
      </c>
    </row>
    <row r="2102" spans="1:4" x14ac:dyDescent="0.25">
      <c r="A2102" s="384" t="s">
        <v>10511</v>
      </c>
      <c r="B2102" s="384" t="s">
        <v>10512</v>
      </c>
      <c r="C2102" s="384" t="s">
        <v>77</v>
      </c>
      <c r="D2102" s="385" t="s">
        <v>10513</v>
      </c>
    </row>
    <row r="2103" spans="1:4" x14ac:dyDescent="0.25">
      <c r="A2103" s="384" t="s">
        <v>10514</v>
      </c>
      <c r="B2103" s="384" t="s">
        <v>10515</v>
      </c>
      <c r="C2103" s="384" t="s">
        <v>77</v>
      </c>
      <c r="D2103" s="385" t="s">
        <v>10516</v>
      </c>
    </row>
    <row r="2104" spans="1:4" x14ac:dyDescent="0.25">
      <c r="A2104" s="384" t="s">
        <v>10517</v>
      </c>
      <c r="B2104" s="384" t="s">
        <v>10518</v>
      </c>
      <c r="C2104" s="384" t="s">
        <v>76</v>
      </c>
      <c r="D2104" s="385" t="s">
        <v>10519</v>
      </c>
    </row>
    <row r="2105" spans="1:4" x14ac:dyDescent="0.25">
      <c r="A2105" s="384" t="s">
        <v>10520</v>
      </c>
      <c r="B2105" s="384" t="s">
        <v>10521</v>
      </c>
      <c r="C2105" s="384" t="s">
        <v>2884</v>
      </c>
      <c r="D2105" s="385" t="s">
        <v>10522</v>
      </c>
    </row>
    <row r="2106" spans="1:4" x14ac:dyDescent="0.25">
      <c r="A2106" s="384" t="s">
        <v>10523</v>
      </c>
      <c r="B2106" s="384" t="s">
        <v>10524</v>
      </c>
      <c r="C2106" s="384" t="s">
        <v>2884</v>
      </c>
      <c r="D2106" s="385" t="s">
        <v>10525</v>
      </c>
    </row>
    <row r="2107" spans="1:4" x14ac:dyDescent="0.25">
      <c r="A2107" s="384" t="s">
        <v>10526</v>
      </c>
      <c r="B2107" s="384" t="s">
        <v>10527</v>
      </c>
      <c r="C2107" s="384" t="s">
        <v>2884</v>
      </c>
      <c r="D2107" s="385" t="s">
        <v>10528</v>
      </c>
    </row>
    <row r="2108" spans="1:4" x14ac:dyDescent="0.25">
      <c r="A2108" s="384" t="s">
        <v>10529</v>
      </c>
      <c r="B2108" s="384" t="s">
        <v>10530</v>
      </c>
      <c r="C2108" s="384" t="s">
        <v>2884</v>
      </c>
      <c r="D2108" s="385" t="s">
        <v>10531</v>
      </c>
    </row>
    <row r="2109" spans="1:4" x14ac:dyDescent="0.25">
      <c r="A2109" s="384" t="s">
        <v>10532</v>
      </c>
      <c r="B2109" s="384" t="s">
        <v>10533</v>
      </c>
      <c r="C2109" s="384" t="s">
        <v>76</v>
      </c>
      <c r="D2109" s="385" t="s">
        <v>10534</v>
      </c>
    </row>
    <row r="2110" spans="1:4" x14ac:dyDescent="0.25">
      <c r="A2110" s="384" t="s">
        <v>10535</v>
      </c>
      <c r="B2110" s="384" t="s">
        <v>10536</v>
      </c>
      <c r="C2110" s="384" t="s">
        <v>76</v>
      </c>
      <c r="D2110" s="385" t="s">
        <v>5609</v>
      </c>
    </row>
    <row r="2111" spans="1:4" x14ac:dyDescent="0.25">
      <c r="A2111" s="384" t="s">
        <v>10537</v>
      </c>
      <c r="B2111" s="384" t="s">
        <v>10538</v>
      </c>
      <c r="C2111" s="384" t="s">
        <v>76</v>
      </c>
      <c r="D2111" s="385" t="s">
        <v>10539</v>
      </c>
    </row>
    <row r="2112" spans="1:4" x14ac:dyDescent="0.25">
      <c r="A2112" s="384" t="s">
        <v>10540</v>
      </c>
      <c r="B2112" s="384" t="s">
        <v>10541</v>
      </c>
      <c r="C2112" s="384" t="s">
        <v>2884</v>
      </c>
      <c r="D2112" s="385" t="s">
        <v>10542</v>
      </c>
    </row>
    <row r="2113" spans="1:4" x14ac:dyDescent="0.25">
      <c r="A2113" s="384" t="s">
        <v>10543</v>
      </c>
      <c r="B2113" s="384" t="s">
        <v>10544</v>
      </c>
      <c r="C2113" s="384" t="s">
        <v>2884</v>
      </c>
      <c r="D2113" s="385" t="s">
        <v>10545</v>
      </c>
    </row>
    <row r="2114" spans="1:4" x14ac:dyDescent="0.25">
      <c r="A2114" s="384" t="s">
        <v>10546</v>
      </c>
      <c r="B2114" s="384" t="s">
        <v>10547</v>
      </c>
      <c r="C2114" s="384" t="s">
        <v>2884</v>
      </c>
      <c r="D2114" s="385" t="s">
        <v>10548</v>
      </c>
    </row>
    <row r="2115" spans="1:4" x14ac:dyDescent="0.25">
      <c r="A2115" s="384" t="s">
        <v>10549</v>
      </c>
      <c r="B2115" s="384" t="s">
        <v>10550</v>
      </c>
      <c r="C2115" s="384" t="s">
        <v>2884</v>
      </c>
      <c r="D2115" s="385" t="s">
        <v>10551</v>
      </c>
    </row>
    <row r="2116" spans="1:4" x14ac:dyDescent="0.25">
      <c r="A2116" s="384" t="s">
        <v>10552</v>
      </c>
      <c r="B2116" s="384" t="s">
        <v>10553</v>
      </c>
      <c r="C2116" s="384" t="s">
        <v>2884</v>
      </c>
      <c r="D2116" s="385" t="s">
        <v>10554</v>
      </c>
    </row>
    <row r="2117" spans="1:4" x14ac:dyDescent="0.25">
      <c r="A2117" s="384" t="s">
        <v>10555</v>
      </c>
      <c r="B2117" s="384" t="s">
        <v>10556</v>
      </c>
      <c r="C2117" s="384" t="s">
        <v>2884</v>
      </c>
      <c r="D2117" s="385" t="s">
        <v>10557</v>
      </c>
    </row>
    <row r="2118" spans="1:4" x14ac:dyDescent="0.25">
      <c r="A2118" s="384" t="s">
        <v>10558</v>
      </c>
      <c r="B2118" s="384" t="s">
        <v>10559</v>
      </c>
      <c r="C2118" s="384" t="s">
        <v>2884</v>
      </c>
      <c r="D2118" s="385" t="s">
        <v>10560</v>
      </c>
    </row>
    <row r="2119" spans="1:4" x14ac:dyDescent="0.25">
      <c r="A2119" s="384" t="s">
        <v>10561</v>
      </c>
      <c r="B2119" s="384" t="s">
        <v>10562</v>
      </c>
      <c r="C2119" s="384" t="s">
        <v>2884</v>
      </c>
      <c r="D2119" s="385" t="s">
        <v>10563</v>
      </c>
    </row>
    <row r="2120" spans="1:4" x14ac:dyDescent="0.25">
      <c r="A2120" s="384" t="s">
        <v>10564</v>
      </c>
      <c r="B2120" s="384" t="s">
        <v>10565</v>
      </c>
      <c r="C2120" s="384" t="s">
        <v>2884</v>
      </c>
      <c r="D2120" s="385" t="s">
        <v>10566</v>
      </c>
    </row>
    <row r="2121" spans="1:4" x14ac:dyDescent="0.25">
      <c r="A2121" s="384" t="s">
        <v>10567</v>
      </c>
      <c r="B2121" s="384" t="s">
        <v>10568</v>
      </c>
      <c r="C2121" s="384" t="s">
        <v>2884</v>
      </c>
      <c r="D2121" s="385" t="s">
        <v>10569</v>
      </c>
    </row>
    <row r="2122" spans="1:4" x14ac:dyDescent="0.25">
      <c r="A2122" s="384" t="s">
        <v>10570</v>
      </c>
      <c r="B2122" s="384" t="s">
        <v>10571</v>
      </c>
      <c r="C2122" s="384" t="s">
        <v>2884</v>
      </c>
      <c r="D2122" s="385" t="s">
        <v>10572</v>
      </c>
    </row>
    <row r="2123" spans="1:4" x14ac:dyDescent="0.25">
      <c r="A2123" s="384" t="s">
        <v>10573</v>
      </c>
      <c r="B2123" s="384" t="s">
        <v>10574</v>
      </c>
      <c r="C2123" s="384" t="s">
        <v>2884</v>
      </c>
      <c r="D2123" s="385" t="s">
        <v>10575</v>
      </c>
    </row>
    <row r="2124" spans="1:4" x14ac:dyDescent="0.25">
      <c r="A2124" s="384" t="s">
        <v>10576</v>
      </c>
      <c r="B2124" s="384" t="s">
        <v>10577</v>
      </c>
      <c r="C2124" s="384" t="s">
        <v>2884</v>
      </c>
      <c r="D2124" s="385" t="s">
        <v>10578</v>
      </c>
    </row>
    <row r="2125" spans="1:4" x14ac:dyDescent="0.25">
      <c r="A2125" s="384" t="s">
        <v>10579</v>
      </c>
      <c r="B2125" s="384" t="s">
        <v>10580</v>
      </c>
      <c r="C2125" s="384" t="s">
        <v>2884</v>
      </c>
      <c r="D2125" s="385" t="s">
        <v>10581</v>
      </c>
    </row>
    <row r="2126" spans="1:4" x14ac:dyDescent="0.25">
      <c r="A2126" s="384" t="s">
        <v>10582</v>
      </c>
      <c r="B2126" s="384" t="s">
        <v>10583</v>
      </c>
      <c r="C2126" s="384" t="s">
        <v>2884</v>
      </c>
      <c r="D2126" s="385" t="s">
        <v>10584</v>
      </c>
    </row>
    <row r="2127" spans="1:4" x14ac:dyDescent="0.25">
      <c r="A2127" s="384" t="s">
        <v>10585</v>
      </c>
      <c r="B2127" s="384" t="s">
        <v>10586</v>
      </c>
      <c r="C2127" s="384" t="s">
        <v>2884</v>
      </c>
      <c r="D2127" s="385" t="s">
        <v>10587</v>
      </c>
    </row>
    <row r="2128" spans="1:4" x14ac:dyDescent="0.25">
      <c r="A2128" s="384" t="s">
        <v>10588</v>
      </c>
      <c r="B2128" s="384" t="s">
        <v>10589</v>
      </c>
      <c r="C2128" s="384" t="s">
        <v>2884</v>
      </c>
      <c r="D2128" s="385" t="s">
        <v>10590</v>
      </c>
    </row>
    <row r="2129" spans="1:4" x14ac:dyDescent="0.25">
      <c r="A2129" s="384" t="s">
        <v>10591</v>
      </c>
      <c r="B2129" s="384" t="s">
        <v>10592</v>
      </c>
      <c r="C2129" s="384" t="s">
        <v>2884</v>
      </c>
      <c r="D2129" s="385" t="s">
        <v>10593</v>
      </c>
    </row>
    <row r="2130" spans="1:4" x14ac:dyDescent="0.25">
      <c r="A2130" s="384" t="s">
        <v>10594</v>
      </c>
      <c r="B2130" s="384" t="s">
        <v>10595</v>
      </c>
      <c r="C2130" s="384" t="s">
        <v>82</v>
      </c>
      <c r="D2130" s="385" t="s">
        <v>10596</v>
      </c>
    </row>
    <row r="2131" spans="1:4" x14ac:dyDescent="0.25">
      <c r="A2131" s="384" t="s">
        <v>10597</v>
      </c>
      <c r="B2131" s="384" t="s">
        <v>10598</v>
      </c>
      <c r="C2131" s="384" t="s">
        <v>82</v>
      </c>
      <c r="D2131" s="385" t="s">
        <v>10599</v>
      </c>
    </row>
    <row r="2132" spans="1:4" x14ac:dyDescent="0.25">
      <c r="A2132" s="384" t="s">
        <v>10600</v>
      </c>
      <c r="B2132" s="384" t="s">
        <v>10601</v>
      </c>
      <c r="C2132" s="384" t="s">
        <v>2884</v>
      </c>
      <c r="D2132" s="385" t="s">
        <v>10602</v>
      </c>
    </row>
    <row r="2133" spans="1:4" x14ac:dyDescent="0.25">
      <c r="A2133" s="384" t="s">
        <v>10603</v>
      </c>
      <c r="B2133" s="384" t="s">
        <v>10604</v>
      </c>
      <c r="C2133" s="384" t="s">
        <v>2884</v>
      </c>
      <c r="D2133" s="385" t="s">
        <v>10605</v>
      </c>
    </row>
    <row r="2134" spans="1:4" x14ac:dyDescent="0.25">
      <c r="A2134" s="384" t="s">
        <v>10606</v>
      </c>
      <c r="B2134" s="384" t="s">
        <v>10607</v>
      </c>
      <c r="C2134" s="384" t="s">
        <v>2884</v>
      </c>
      <c r="D2134" s="385" t="s">
        <v>10608</v>
      </c>
    </row>
    <row r="2135" spans="1:4" x14ac:dyDescent="0.25">
      <c r="A2135" s="384" t="s">
        <v>10609</v>
      </c>
      <c r="B2135" s="384" t="s">
        <v>10610</v>
      </c>
      <c r="C2135" s="384" t="s">
        <v>2884</v>
      </c>
      <c r="D2135" s="385" t="s">
        <v>10611</v>
      </c>
    </row>
    <row r="2136" spans="1:4" x14ac:dyDescent="0.25">
      <c r="A2136" s="384" t="s">
        <v>10612</v>
      </c>
      <c r="B2136" s="384" t="s">
        <v>10613</v>
      </c>
      <c r="C2136" s="384" t="s">
        <v>2884</v>
      </c>
      <c r="D2136" s="385" t="s">
        <v>10614</v>
      </c>
    </row>
    <row r="2137" spans="1:4" x14ac:dyDescent="0.25">
      <c r="A2137" s="384" t="s">
        <v>10615</v>
      </c>
      <c r="B2137" s="384" t="s">
        <v>10616</v>
      </c>
      <c r="C2137" s="384" t="s">
        <v>2884</v>
      </c>
      <c r="D2137" s="385" t="s">
        <v>10617</v>
      </c>
    </row>
    <row r="2138" spans="1:4" x14ac:dyDescent="0.25">
      <c r="A2138" s="384" t="s">
        <v>10618</v>
      </c>
      <c r="B2138" s="384" t="s">
        <v>10619</v>
      </c>
      <c r="C2138" s="384" t="s">
        <v>2884</v>
      </c>
      <c r="D2138" s="385" t="s">
        <v>8137</v>
      </c>
    </row>
    <row r="2139" spans="1:4" x14ac:dyDescent="0.25">
      <c r="A2139" s="384" t="s">
        <v>10620</v>
      </c>
      <c r="B2139" s="384" t="s">
        <v>10621</v>
      </c>
      <c r="C2139" s="384" t="s">
        <v>2884</v>
      </c>
      <c r="D2139" s="385" t="s">
        <v>10622</v>
      </c>
    </row>
    <row r="2140" spans="1:4" x14ac:dyDescent="0.25">
      <c r="A2140" s="384" t="s">
        <v>10623</v>
      </c>
      <c r="B2140" s="384" t="s">
        <v>10624</v>
      </c>
      <c r="C2140" s="384" t="s">
        <v>2884</v>
      </c>
      <c r="D2140" s="385" t="s">
        <v>10625</v>
      </c>
    </row>
    <row r="2141" spans="1:4" x14ac:dyDescent="0.25">
      <c r="A2141" s="384" t="s">
        <v>10626</v>
      </c>
      <c r="B2141" s="384" t="s">
        <v>10627</v>
      </c>
      <c r="C2141" s="384" t="s">
        <v>2884</v>
      </c>
      <c r="D2141" s="385" t="s">
        <v>10628</v>
      </c>
    </row>
    <row r="2142" spans="1:4" x14ac:dyDescent="0.25">
      <c r="A2142" s="384" t="s">
        <v>10629</v>
      </c>
      <c r="B2142" s="384" t="s">
        <v>10630</v>
      </c>
      <c r="C2142" s="384" t="s">
        <v>2884</v>
      </c>
      <c r="D2142" s="385" t="s">
        <v>10631</v>
      </c>
    </row>
    <row r="2143" spans="1:4" x14ac:dyDescent="0.25">
      <c r="A2143" s="384" t="s">
        <v>10632</v>
      </c>
      <c r="B2143" s="384" t="s">
        <v>10633</v>
      </c>
      <c r="C2143" s="384" t="s">
        <v>2884</v>
      </c>
      <c r="D2143" s="385" t="s">
        <v>10634</v>
      </c>
    </row>
    <row r="2144" spans="1:4" x14ac:dyDescent="0.25">
      <c r="A2144" s="384" t="s">
        <v>10635</v>
      </c>
      <c r="B2144" s="384" t="s">
        <v>10636</v>
      </c>
      <c r="C2144" s="384" t="s">
        <v>2884</v>
      </c>
      <c r="D2144" s="385" t="s">
        <v>10637</v>
      </c>
    </row>
    <row r="2145" spans="1:4" x14ac:dyDescent="0.25">
      <c r="A2145" s="384" t="s">
        <v>10638</v>
      </c>
      <c r="B2145" s="384" t="s">
        <v>10639</v>
      </c>
      <c r="C2145" s="384" t="s">
        <v>2884</v>
      </c>
      <c r="D2145" s="385" t="s">
        <v>10640</v>
      </c>
    </row>
    <row r="2146" spans="1:4" x14ac:dyDescent="0.25">
      <c r="A2146" s="384" t="s">
        <v>10641</v>
      </c>
      <c r="B2146" s="384" t="s">
        <v>10642</v>
      </c>
      <c r="C2146" s="384" t="s">
        <v>2884</v>
      </c>
      <c r="D2146" s="385" t="s">
        <v>10643</v>
      </c>
    </row>
    <row r="2147" spans="1:4" x14ac:dyDescent="0.25">
      <c r="A2147" s="384" t="s">
        <v>10644</v>
      </c>
      <c r="B2147" s="384" t="s">
        <v>10645</v>
      </c>
      <c r="C2147" s="384" t="s">
        <v>2884</v>
      </c>
      <c r="D2147" s="385" t="s">
        <v>10646</v>
      </c>
    </row>
    <row r="2148" spans="1:4" x14ac:dyDescent="0.25">
      <c r="A2148" s="384" t="s">
        <v>10647</v>
      </c>
      <c r="B2148" s="384" t="s">
        <v>10648</v>
      </c>
      <c r="C2148" s="384" t="s">
        <v>2884</v>
      </c>
      <c r="D2148" s="385" t="s">
        <v>10649</v>
      </c>
    </row>
    <row r="2149" spans="1:4" x14ac:dyDescent="0.25">
      <c r="A2149" s="384" t="s">
        <v>10650</v>
      </c>
      <c r="B2149" s="384" t="s">
        <v>10651</v>
      </c>
      <c r="C2149" s="384" t="s">
        <v>2884</v>
      </c>
      <c r="D2149" s="385" t="s">
        <v>10652</v>
      </c>
    </row>
    <row r="2150" spans="1:4" x14ac:dyDescent="0.25">
      <c r="A2150" s="384" t="s">
        <v>10653</v>
      </c>
      <c r="B2150" s="384" t="s">
        <v>10654</v>
      </c>
      <c r="C2150" s="384" t="s">
        <v>2884</v>
      </c>
      <c r="D2150" s="385" t="s">
        <v>10655</v>
      </c>
    </row>
    <row r="2151" spans="1:4" x14ac:dyDescent="0.25">
      <c r="A2151" s="384" t="s">
        <v>10656</v>
      </c>
      <c r="B2151" s="384" t="s">
        <v>10657</v>
      </c>
      <c r="C2151" s="384" t="s">
        <v>2884</v>
      </c>
      <c r="D2151" s="385" t="s">
        <v>10658</v>
      </c>
    </row>
    <row r="2152" spans="1:4" x14ac:dyDescent="0.25">
      <c r="A2152" s="384" t="s">
        <v>10659</v>
      </c>
      <c r="B2152" s="384" t="s">
        <v>10660</v>
      </c>
      <c r="C2152" s="384" t="s">
        <v>2884</v>
      </c>
      <c r="D2152" s="385" t="s">
        <v>10661</v>
      </c>
    </row>
    <row r="2153" spans="1:4" x14ac:dyDescent="0.25">
      <c r="A2153" s="384" t="s">
        <v>10662</v>
      </c>
      <c r="B2153" s="384" t="s">
        <v>10663</v>
      </c>
      <c r="C2153" s="384" t="s">
        <v>2884</v>
      </c>
      <c r="D2153" s="385" t="s">
        <v>10664</v>
      </c>
    </row>
    <row r="2154" spans="1:4" x14ac:dyDescent="0.25">
      <c r="A2154" s="384" t="s">
        <v>10665</v>
      </c>
      <c r="B2154" s="384" t="s">
        <v>10666</v>
      </c>
      <c r="C2154" s="384" t="s">
        <v>2884</v>
      </c>
      <c r="D2154" s="385" t="s">
        <v>10667</v>
      </c>
    </row>
    <row r="2155" spans="1:4" x14ac:dyDescent="0.25">
      <c r="A2155" s="384" t="s">
        <v>10668</v>
      </c>
      <c r="B2155" s="384" t="s">
        <v>10669</v>
      </c>
      <c r="C2155" s="384" t="s">
        <v>2884</v>
      </c>
      <c r="D2155" s="385" t="s">
        <v>10670</v>
      </c>
    </row>
    <row r="2156" spans="1:4" x14ac:dyDescent="0.25">
      <c r="A2156" s="384" t="s">
        <v>10671</v>
      </c>
      <c r="B2156" s="384" t="s">
        <v>10672</v>
      </c>
      <c r="C2156" s="384" t="s">
        <v>2884</v>
      </c>
      <c r="D2156" s="385" t="s">
        <v>10673</v>
      </c>
    </row>
    <row r="2157" spans="1:4" x14ac:dyDescent="0.25">
      <c r="A2157" s="384" t="s">
        <v>10674</v>
      </c>
      <c r="B2157" s="384" t="s">
        <v>10675</v>
      </c>
      <c r="C2157" s="384" t="s">
        <v>2884</v>
      </c>
      <c r="D2157" s="385" t="s">
        <v>10676</v>
      </c>
    </row>
    <row r="2158" spans="1:4" x14ac:dyDescent="0.25">
      <c r="A2158" s="384" t="s">
        <v>10677</v>
      </c>
      <c r="B2158" s="384" t="s">
        <v>10678</v>
      </c>
      <c r="C2158" s="384" t="s">
        <v>2884</v>
      </c>
      <c r="D2158" s="385" t="s">
        <v>10679</v>
      </c>
    </row>
    <row r="2159" spans="1:4" x14ac:dyDescent="0.25">
      <c r="A2159" s="384" t="s">
        <v>10680</v>
      </c>
      <c r="B2159" s="384" t="s">
        <v>10681</v>
      </c>
      <c r="C2159" s="384" t="s">
        <v>2884</v>
      </c>
      <c r="D2159" s="385" t="s">
        <v>10682</v>
      </c>
    </row>
    <row r="2160" spans="1:4" x14ac:dyDescent="0.25">
      <c r="A2160" s="384" t="s">
        <v>10683</v>
      </c>
      <c r="B2160" s="384" t="s">
        <v>10684</v>
      </c>
      <c r="C2160" s="384" t="s">
        <v>2884</v>
      </c>
      <c r="D2160" s="385" t="s">
        <v>10685</v>
      </c>
    </row>
    <row r="2161" spans="1:4" x14ac:dyDescent="0.25">
      <c r="A2161" s="384" t="s">
        <v>10686</v>
      </c>
      <c r="B2161" s="384" t="s">
        <v>10687</v>
      </c>
      <c r="C2161" s="384" t="s">
        <v>2884</v>
      </c>
      <c r="D2161" s="385" t="s">
        <v>10688</v>
      </c>
    </row>
    <row r="2162" spans="1:4" x14ac:dyDescent="0.25">
      <c r="A2162" s="384" t="s">
        <v>10689</v>
      </c>
      <c r="B2162" s="384" t="s">
        <v>10690</v>
      </c>
      <c r="C2162" s="384" t="s">
        <v>2884</v>
      </c>
      <c r="D2162" s="385" t="s">
        <v>8592</v>
      </c>
    </row>
    <row r="2163" spans="1:4" x14ac:dyDescent="0.25">
      <c r="A2163" s="384" t="s">
        <v>10691</v>
      </c>
      <c r="B2163" s="384" t="s">
        <v>10692</v>
      </c>
      <c r="C2163" s="384" t="s">
        <v>2884</v>
      </c>
      <c r="D2163" s="385" t="s">
        <v>10693</v>
      </c>
    </row>
    <row r="2164" spans="1:4" x14ac:dyDescent="0.25">
      <c r="A2164" s="384" t="s">
        <v>10694</v>
      </c>
      <c r="B2164" s="384" t="s">
        <v>10695</v>
      </c>
      <c r="C2164" s="384" t="s">
        <v>2884</v>
      </c>
      <c r="D2164" s="385" t="s">
        <v>10696</v>
      </c>
    </row>
    <row r="2165" spans="1:4" x14ac:dyDescent="0.25">
      <c r="A2165" s="384" t="s">
        <v>10697</v>
      </c>
      <c r="B2165" s="384" t="s">
        <v>10698</v>
      </c>
      <c r="C2165" s="384" t="s">
        <v>2884</v>
      </c>
      <c r="D2165" s="385" t="s">
        <v>10699</v>
      </c>
    </row>
    <row r="2166" spans="1:4" x14ac:dyDescent="0.25">
      <c r="A2166" s="384" t="s">
        <v>10700</v>
      </c>
      <c r="B2166" s="384" t="s">
        <v>10701</v>
      </c>
      <c r="C2166" s="384" t="s">
        <v>2884</v>
      </c>
      <c r="D2166" s="385" t="s">
        <v>10702</v>
      </c>
    </row>
    <row r="2167" spans="1:4" x14ac:dyDescent="0.25">
      <c r="A2167" s="384" t="s">
        <v>10703</v>
      </c>
      <c r="B2167" s="384" t="s">
        <v>10704</v>
      </c>
      <c r="C2167" s="384" t="s">
        <v>2884</v>
      </c>
      <c r="D2167" s="385" t="s">
        <v>10705</v>
      </c>
    </row>
    <row r="2168" spans="1:4" x14ac:dyDescent="0.25">
      <c r="A2168" s="384" t="s">
        <v>10706</v>
      </c>
      <c r="B2168" s="384" t="s">
        <v>10707</v>
      </c>
      <c r="C2168" s="384" t="s">
        <v>2884</v>
      </c>
      <c r="D2168" s="385" t="s">
        <v>10708</v>
      </c>
    </row>
    <row r="2169" spans="1:4" x14ac:dyDescent="0.25">
      <c r="A2169" s="384" t="s">
        <v>10709</v>
      </c>
      <c r="B2169" s="384" t="s">
        <v>10710</v>
      </c>
      <c r="C2169" s="384" t="s">
        <v>2884</v>
      </c>
      <c r="D2169" s="385" t="s">
        <v>10711</v>
      </c>
    </row>
    <row r="2170" spans="1:4" x14ac:dyDescent="0.25">
      <c r="A2170" s="384" t="s">
        <v>10712</v>
      </c>
      <c r="B2170" s="384" t="s">
        <v>10713</v>
      </c>
      <c r="C2170" s="384" t="s">
        <v>2884</v>
      </c>
      <c r="D2170" s="385" t="s">
        <v>10714</v>
      </c>
    </row>
    <row r="2171" spans="1:4" x14ac:dyDescent="0.25">
      <c r="A2171" s="384" t="s">
        <v>10715</v>
      </c>
      <c r="B2171" s="384" t="s">
        <v>10716</v>
      </c>
      <c r="C2171" s="384" t="s">
        <v>2884</v>
      </c>
      <c r="D2171" s="385" t="s">
        <v>10717</v>
      </c>
    </row>
    <row r="2172" spans="1:4" x14ac:dyDescent="0.25">
      <c r="A2172" s="384" t="s">
        <v>10718</v>
      </c>
      <c r="B2172" s="384" t="s">
        <v>10719</v>
      </c>
      <c r="C2172" s="384" t="s">
        <v>2884</v>
      </c>
      <c r="D2172" s="385" t="s">
        <v>10720</v>
      </c>
    </row>
    <row r="2173" spans="1:4" x14ac:dyDescent="0.25">
      <c r="A2173" s="384" t="s">
        <v>10721</v>
      </c>
      <c r="B2173" s="384" t="s">
        <v>10722</v>
      </c>
      <c r="C2173" s="384" t="s">
        <v>2884</v>
      </c>
      <c r="D2173" s="385" t="s">
        <v>10723</v>
      </c>
    </row>
    <row r="2174" spans="1:4" x14ac:dyDescent="0.25">
      <c r="A2174" s="384" t="s">
        <v>10724</v>
      </c>
      <c r="B2174" s="384" t="s">
        <v>10725</v>
      </c>
      <c r="C2174" s="384" t="s">
        <v>2884</v>
      </c>
      <c r="D2174" s="385" t="s">
        <v>10726</v>
      </c>
    </row>
    <row r="2175" spans="1:4" x14ac:dyDescent="0.25">
      <c r="A2175" s="384" t="s">
        <v>10727</v>
      </c>
      <c r="B2175" s="384" t="s">
        <v>10728</v>
      </c>
      <c r="C2175" s="384" t="s">
        <v>2884</v>
      </c>
      <c r="D2175" s="385" t="s">
        <v>10729</v>
      </c>
    </row>
    <row r="2176" spans="1:4" x14ac:dyDescent="0.25">
      <c r="A2176" s="384" t="s">
        <v>10730</v>
      </c>
      <c r="B2176" s="384" t="s">
        <v>10731</v>
      </c>
      <c r="C2176" s="384" t="s">
        <v>2884</v>
      </c>
      <c r="D2176" s="385" t="s">
        <v>10732</v>
      </c>
    </row>
    <row r="2177" spans="1:4" x14ac:dyDescent="0.25">
      <c r="A2177" s="384" t="s">
        <v>10733</v>
      </c>
      <c r="B2177" s="384" t="s">
        <v>10734</v>
      </c>
      <c r="C2177" s="384" t="s">
        <v>2884</v>
      </c>
      <c r="D2177" s="385" t="s">
        <v>10735</v>
      </c>
    </row>
    <row r="2178" spans="1:4" x14ac:dyDescent="0.25">
      <c r="A2178" s="384" t="s">
        <v>10736</v>
      </c>
      <c r="B2178" s="384" t="s">
        <v>10737</v>
      </c>
      <c r="C2178" s="384" t="s">
        <v>2884</v>
      </c>
      <c r="D2178" s="385" t="s">
        <v>10738</v>
      </c>
    </row>
    <row r="2179" spans="1:4" x14ac:dyDescent="0.25">
      <c r="A2179" s="384" t="s">
        <v>10739</v>
      </c>
      <c r="B2179" s="384" t="s">
        <v>10740</v>
      </c>
      <c r="C2179" s="384" t="s">
        <v>2884</v>
      </c>
      <c r="D2179" s="385" t="s">
        <v>10741</v>
      </c>
    </row>
    <row r="2180" spans="1:4" x14ac:dyDescent="0.25">
      <c r="A2180" s="384" t="s">
        <v>10742</v>
      </c>
      <c r="B2180" s="384" t="s">
        <v>10743</v>
      </c>
      <c r="C2180" s="384" t="s">
        <v>2884</v>
      </c>
      <c r="D2180" s="385" t="s">
        <v>10744</v>
      </c>
    </row>
    <row r="2181" spans="1:4" x14ac:dyDescent="0.25">
      <c r="A2181" s="384" t="s">
        <v>10745</v>
      </c>
      <c r="B2181" s="384" t="s">
        <v>10746</v>
      </c>
      <c r="C2181" s="384" t="s">
        <v>2884</v>
      </c>
      <c r="D2181" s="385" t="s">
        <v>10747</v>
      </c>
    </row>
    <row r="2182" spans="1:4" x14ac:dyDescent="0.25">
      <c r="A2182" s="384" t="s">
        <v>10748</v>
      </c>
      <c r="B2182" s="384" t="s">
        <v>10749</v>
      </c>
      <c r="C2182" s="384" t="s">
        <v>2884</v>
      </c>
      <c r="D2182" s="385" t="s">
        <v>10750</v>
      </c>
    </row>
    <row r="2183" spans="1:4" x14ac:dyDescent="0.25">
      <c r="A2183" s="384" t="s">
        <v>10751</v>
      </c>
      <c r="B2183" s="384" t="s">
        <v>10752</v>
      </c>
      <c r="C2183" s="384" t="s">
        <v>2884</v>
      </c>
      <c r="D2183" s="385" t="s">
        <v>10753</v>
      </c>
    </row>
    <row r="2184" spans="1:4" x14ac:dyDescent="0.25">
      <c r="A2184" s="384" t="s">
        <v>10754</v>
      </c>
      <c r="B2184" s="384" t="s">
        <v>10755</v>
      </c>
      <c r="C2184" s="384" t="s">
        <v>2884</v>
      </c>
      <c r="D2184" s="385" t="s">
        <v>10756</v>
      </c>
    </row>
    <row r="2185" spans="1:4" x14ac:dyDescent="0.25">
      <c r="A2185" s="384" t="s">
        <v>10757</v>
      </c>
      <c r="B2185" s="384" t="s">
        <v>10758</v>
      </c>
      <c r="C2185" s="384" t="s">
        <v>2884</v>
      </c>
      <c r="D2185" s="385" t="s">
        <v>10759</v>
      </c>
    </row>
    <row r="2186" spans="1:4" x14ac:dyDescent="0.25">
      <c r="A2186" s="384" t="s">
        <v>10760</v>
      </c>
      <c r="B2186" s="384" t="s">
        <v>10761</v>
      </c>
      <c r="C2186" s="384" t="s">
        <v>2884</v>
      </c>
      <c r="D2186" s="385" t="s">
        <v>10762</v>
      </c>
    </row>
    <row r="2187" spans="1:4" x14ac:dyDescent="0.25">
      <c r="A2187" s="384" t="s">
        <v>10763</v>
      </c>
      <c r="B2187" s="384" t="s">
        <v>10764</v>
      </c>
      <c r="C2187" s="384" t="s">
        <v>2884</v>
      </c>
      <c r="D2187" s="385" t="s">
        <v>10765</v>
      </c>
    </row>
    <row r="2188" spans="1:4" x14ac:dyDescent="0.25">
      <c r="A2188" s="384" t="s">
        <v>10766</v>
      </c>
      <c r="B2188" s="384" t="s">
        <v>10767</v>
      </c>
      <c r="C2188" s="384" t="s">
        <v>2884</v>
      </c>
      <c r="D2188" s="385" t="s">
        <v>10768</v>
      </c>
    </row>
    <row r="2189" spans="1:4" x14ac:dyDescent="0.25">
      <c r="A2189" s="384" t="s">
        <v>10769</v>
      </c>
      <c r="B2189" s="384" t="s">
        <v>10770</v>
      </c>
      <c r="C2189" s="384" t="s">
        <v>2884</v>
      </c>
      <c r="D2189" s="385" t="s">
        <v>10771</v>
      </c>
    </row>
    <row r="2190" spans="1:4" x14ac:dyDescent="0.25">
      <c r="A2190" s="384" t="s">
        <v>10772</v>
      </c>
      <c r="B2190" s="384" t="s">
        <v>10773</v>
      </c>
      <c r="C2190" s="384" t="s">
        <v>2884</v>
      </c>
      <c r="D2190" s="385" t="s">
        <v>10774</v>
      </c>
    </row>
    <row r="2191" spans="1:4" x14ac:dyDescent="0.25">
      <c r="A2191" s="384" t="s">
        <v>10775</v>
      </c>
      <c r="B2191" s="384" t="s">
        <v>10776</v>
      </c>
      <c r="C2191" s="384" t="s">
        <v>2884</v>
      </c>
      <c r="D2191" s="385" t="s">
        <v>10777</v>
      </c>
    </row>
    <row r="2192" spans="1:4" x14ac:dyDescent="0.25">
      <c r="A2192" s="384" t="s">
        <v>10778</v>
      </c>
      <c r="B2192" s="384" t="s">
        <v>10779</v>
      </c>
      <c r="C2192" s="384" t="s">
        <v>2884</v>
      </c>
      <c r="D2192" s="385" t="s">
        <v>10780</v>
      </c>
    </row>
    <row r="2193" spans="1:4" x14ac:dyDescent="0.25">
      <c r="A2193" s="384" t="s">
        <v>10781</v>
      </c>
      <c r="B2193" s="384" t="s">
        <v>10782</v>
      </c>
      <c r="C2193" s="384" t="s">
        <v>2884</v>
      </c>
      <c r="D2193" s="385" t="s">
        <v>10783</v>
      </c>
    </row>
    <row r="2194" spans="1:4" x14ac:dyDescent="0.25">
      <c r="A2194" s="384" t="s">
        <v>10784</v>
      </c>
      <c r="B2194" s="384" t="s">
        <v>10785</v>
      </c>
      <c r="C2194" s="384" t="s">
        <v>2884</v>
      </c>
      <c r="D2194" s="385" t="s">
        <v>10786</v>
      </c>
    </row>
    <row r="2195" spans="1:4" x14ac:dyDescent="0.25">
      <c r="A2195" s="384" t="s">
        <v>10787</v>
      </c>
      <c r="B2195" s="384" t="s">
        <v>10788</v>
      </c>
      <c r="C2195" s="384" t="s">
        <v>2884</v>
      </c>
      <c r="D2195" s="385" t="s">
        <v>10789</v>
      </c>
    </row>
    <row r="2196" spans="1:4" x14ac:dyDescent="0.25">
      <c r="A2196" s="384" t="s">
        <v>10790</v>
      </c>
      <c r="B2196" s="384" t="s">
        <v>10791</v>
      </c>
      <c r="C2196" s="384" t="s">
        <v>2884</v>
      </c>
      <c r="D2196" s="385" t="s">
        <v>10792</v>
      </c>
    </row>
    <row r="2197" spans="1:4" x14ac:dyDescent="0.25">
      <c r="A2197" s="384" t="s">
        <v>10793</v>
      </c>
      <c r="B2197" s="384" t="s">
        <v>10794</v>
      </c>
      <c r="C2197" s="384" t="s">
        <v>2884</v>
      </c>
      <c r="D2197" s="385" t="s">
        <v>10795</v>
      </c>
    </row>
    <row r="2198" spans="1:4" x14ac:dyDescent="0.25">
      <c r="A2198" s="384" t="s">
        <v>10796</v>
      </c>
      <c r="B2198" s="384" t="s">
        <v>10797</v>
      </c>
      <c r="C2198" s="384" t="s">
        <v>2884</v>
      </c>
      <c r="D2198" s="385" t="s">
        <v>10798</v>
      </c>
    </row>
    <row r="2199" spans="1:4" x14ac:dyDescent="0.25">
      <c r="A2199" s="384" t="s">
        <v>10799</v>
      </c>
      <c r="B2199" s="384" t="s">
        <v>10800</v>
      </c>
      <c r="C2199" s="384" t="s">
        <v>2884</v>
      </c>
      <c r="D2199" s="385" t="s">
        <v>10801</v>
      </c>
    </row>
    <row r="2200" spans="1:4" x14ac:dyDescent="0.25">
      <c r="A2200" s="384" t="s">
        <v>10802</v>
      </c>
      <c r="B2200" s="384" t="s">
        <v>10803</v>
      </c>
      <c r="C2200" s="384" t="s">
        <v>2884</v>
      </c>
      <c r="D2200" s="385" t="s">
        <v>10804</v>
      </c>
    </row>
    <row r="2201" spans="1:4" x14ac:dyDescent="0.25">
      <c r="A2201" s="384" t="s">
        <v>10805</v>
      </c>
      <c r="B2201" s="384" t="s">
        <v>10806</v>
      </c>
      <c r="C2201" s="384" t="s">
        <v>2884</v>
      </c>
      <c r="D2201" s="385" t="s">
        <v>10807</v>
      </c>
    </row>
    <row r="2202" spans="1:4" x14ac:dyDescent="0.25">
      <c r="A2202" s="384" t="s">
        <v>10808</v>
      </c>
      <c r="B2202" s="384" t="s">
        <v>10809</v>
      </c>
      <c r="C2202" s="384" t="s">
        <v>2884</v>
      </c>
      <c r="D2202" s="385" t="s">
        <v>10810</v>
      </c>
    </row>
    <row r="2203" spans="1:4" x14ac:dyDescent="0.25">
      <c r="A2203" s="384" t="s">
        <v>10811</v>
      </c>
      <c r="B2203" s="384" t="s">
        <v>10812</v>
      </c>
      <c r="C2203" s="384" t="s">
        <v>2884</v>
      </c>
      <c r="D2203" s="385" t="s">
        <v>10813</v>
      </c>
    </row>
    <row r="2204" spans="1:4" x14ac:dyDescent="0.25">
      <c r="A2204" s="384" t="s">
        <v>10814</v>
      </c>
      <c r="B2204" s="384" t="s">
        <v>10815</v>
      </c>
      <c r="C2204" s="384" t="s">
        <v>2884</v>
      </c>
      <c r="D2204" s="385" t="s">
        <v>10816</v>
      </c>
    </row>
    <row r="2205" spans="1:4" x14ac:dyDescent="0.25">
      <c r="A2205" s="384" t="s">
        <v>10817</v>
      </c>
      <c r="B2205" s="384" t="s">
        <v>10818</v>
      </c>
      <c r="C2205" s="384" t="s">
        <v>2884</v>
      </c>
      <c r="D2205" s="385" t="s">
        <v>10819</v>
      </c>
    </row>
    <row r="2206" spans="1:4" x14ac:dyDescent="0.25">
      <c r="A2206" s="384" t="s">
        <v>10820</v>
      </c>
      <c r="B2206" s="384" t="s">
        <v>10821</v>
      </c>
      <c r="C2206" s="384" t="s">
        <v>2884</v>
      </c>
      <c r="D2206" s="385" t="s">
        <v>10822</v>
      </c>
    </row>
    <row r="2207" spans="1:4" x14ac:dyDescent="0.25">
      <c r="A2207" s="384" t="s">
        <v>10823</v>
      </c>
      <c r="B2207" s="384" t="s">
        <v>10824</v>
      </c>
      <c r="C2207" s="384" t="s">
        <v>2884</v>
      </c>
      <c r="D2207" s="385" t="s">
        <v>10825</v>
      </c>
    </row>
    <row r="2208" spans="1:4" x14ac:dyDescent="0.25">
      <c r="A2208" s="384" t="s">
        <v>10826</v>
      </c>
      <c r="B2208" s="384" t="s">
        <v>10827</v>
      </c>
      <c r="C2208" s="384" t="s">
        <v>2884</v>
      </c>
      <c r="D2208" s="385" t="s">
        <v>10828</v>
      </c>
    </row>
    <row r="2209" spans="1:4" x14ac:dyDescent="0.25">
      <c r="A2209" s="384" t="s">
        <v>10829</v>
      </c>
      <c r="B2209" s="384" t="s">
        <v>10830</v>
      </c>
      <c r="C2209" s="384" t="s">
        <v>2884</v>
      </c>
      <c r="D2209" s="385" t="s">
        <v>10831</v>
      </c>
    </row>
    <row r="2210" spans="1:4" x14ac:dyDescent="0.25">
      <c r="A2210" s="384" t="s">
        <v>10832</v>
      </c>
      <c r="B2210" s="384" t="s">
        <v>10833</v>
      </c>
      <c r="C2210" s="384" t="s">
        <v>2884</v>
      </c>
      <c r="D2210" s="385" t="s">
        <v>10834</v>
      </c>
    </row>
    <row r="2211" spans="1:4" x14ac:dyDescent="0.25">
      <c r="A2211" s="384" t="s">
        <v>10835</v>
      </c>
      <c r="B2211" s="384" t="s">
        <v>10836</v>
      </c>
      <c r="C2211" s="384" t="s">
        <v>2884</v>
      </c>
      <c r="D2211" s="385" t="s">
        <v>10837</v>
      </c>
    </row>
    <row r="2212" spans="1:4" x14ac:dyDescent="0.25">
      <c r="A2212" s="384" t="s">
        <v>10838</v>
      </c>
      <c r="B2212" s="384" t="s">
        <v>10839</v>
      </c>
      <c r="C2212" s="384" t="s">
        <v>2884</v>
      </c>
      <c r="D2212" s="385" t="s">
        <v>10840</v>
      </c>
    </row>
    <row r="2213" spans="1:4" x14ac:dyDescent="0.25">
      <c r="A2213" s="384" t="s">
        <v>10841</v>
      </c>
      <c r="B2213" s="384" t="s">
        <v>10842</v>
      </c>
      <c r="C2213" s="384" t="s">
        <v>2884</v>
      </c>
      <c r="D2213" s="385" t="s">
        <v>10843</v>
      </c>
    </row>
    <row r="2214" spans="1:4" x14ac:dyDescent="0.25">
      <c r="A2214" s="384" t="s">
        <v>10844</v>
      </c>
      <c r="B2214" s="384" t="s">
        <v>10845</v>
      </c>
      <c r="C2214" s="384" t="s">
        <v>2884</v>
      </c>
      <c r="D2214" s="385" t="s">
        <v>10846</v>
      </c>
    </row>
    <row r="2215" spans="1:4" x14ac:dyDescent="0.25">
      <c r="A2215" s="384" t="s">
        <v>10847</v>
      </c>
      <c r="B2215" s="384" t="s">
        <v>10848</v>
      </c>
      <c r="C2215" s="384" t="s">
        <v>2884</v>
      </c>
      <c r="D2215" s="385" t="s">
        <v>10849</v>
      </c>
    </row>
    <row r="2216" spans="1:4" x14ac:dyDescent="0.25">
      <c r="A2216" s="384" t="s">
        <v>10850</v>
      </c>
      <c r="B2216" s="384" t="s">
        <v>10851</v>
      </c>
      <c r="C2216" s="384" t="s">
        <v>2884</v>
      </c>
      <c r="D2216" s="385" t="s">
        <v>10852</v>
      </c>
    </row>
    <row r="2217" spans="1:4" x14ac:dyDescent="0.25">
      <c r="A2217" s="384" t="s">
        <v>10853</v>
      </c>
      <c r="B2217" s="384" t="s">
        <v>10854</v>
      </c>
      <c r="C2217" s="384" t="s">
        <v>2884</v>
      </c>
      <c r="D2217" s="385" t="s">
        <v>10855</v>
      </c>
    </row>
    <row r="2218" spans="1:4" x14ac:dyDescent="0.25">
      <c r="A2218" s="384" t="s">
        <v>10856</v>
      </c>
      <c r="B2218" s="384" t="s">
        <v>10857</v>
      </c>
      <c r="C2218" s="384" t="s">
        <v>2884</v>
      </c>
      <c r="D2218" s="385" t="s">
        <v>10858</v>
      </c>
    </row>
    <row r="2219" spans="1:4" x14ac:dyDescent="0.25">
      <c r="A2219" s="384" t="s">
        <v>10859</v>
      </c>
      <c r="B2219" s="384" t="s">
        <v>10860</v>
      </c>
      <c r="C2219" s="384" t="s">
        <v>2884</v>
      </c>
      <c r="D2219" s="385" t="s">
        <v>10861</v>
      </c>
    </row>
    <row r="2220" spans="1:4" x14ac:dyDescent="0.25">
      <c r="A2220" s="384" t="s">
        <v>10862</v>
      </c>
      <c r="B2220" s="384" t="s">
        <v>10863</v>
      </c>
      <c r="C2220" s="384" t="s">
        <v>2884</v>
      </c>
      <c r="D2220" s="385" t="s">
        <v>10864</v>
      </c>
    </row>
    <row r="2221" spans="1:4" x14ac:dyDescent="0.25">
      <c r="A2221" s="384" t="s">
        <v>10865</v>
      </c>
      <c r="B2221" s="384" t="s">
        <v>10866</v>
      </c>
      <c r="C2221" s="384" t="s">
        <v>2884</v>
      </c>
      <c r="D2221" s="385" t="s">
        <v>10867</v>
      </c>
    </row>
    <row r="2222" spans="1:4" x14ac:dyDescent="0.25">
      <c r="A2222" s="384" t="s">
        <v>10868</v>
      </c>
      <c r="B2222" s="384" t="s">
        <v>10869</v>
      </c>
      <c r="C2222" s="384" t="s">
        <v>2884</v>
      </c>
      <c r="D2222" s="385" t="s">
        <v>10870</v>
      </c>
    </row>
    <row r="2223" spans="1:4" x14ac:dyDescent="0.25">
      <c r="A2223" s="384" t="s">
        <v>10871</v>
      </c>
      <c r="B2223" s="384" t="s">
        <v>10872</v>
      </c>
      <c r="C2223" s="384" t="s">
        <v>2884</v>
      </c>
      <c r="D2223" s="385" t="s">
        <v>10873</v>
      </c>
    </row>
    <row r="2224" spans="1:4" x14ac:dyDescent="0.25">
      <c r="A2224" s="384" t="s">
        <v>10874</v>
      </c>
      <c r="B2224" s="384" t="s">
        <v>10875</v>
      </c>
      <c r="C2224" s="384" t="s">
        <v>2884</v>
      </c>
      <c r="D2224" s="385" t="s">
        <v>10876</v>
      </c>
    </row>
    <row r="2225" spans="1:4" x14ac:dyDescent="0.25">
      <c r="A2225" s="384" t="s">
        <v>10877</v>
      </c>
      <c r="B2225" s="384" t="s">
        <v>10878</v>
      </c>
      <c r="C2225" s="384" t="s">
        <v>2884</v>
      </c>
      <c r="D2225" s="385" t="s">
        <v>10879</v>
      </c>
    </row>
    <row r="2226" spans="1:4" x14ac:dyDescent="0.25">
      <c r="A2226" s="384" t="s">
        <v>10880</v>
      </c>
      <c r="B2226" s="384" t="s">
        <v>10881</v>
      </c>
      <c r="C2226" s="384" t="s">
        <v>2884</v>
      </c>
      <c r="D2226" s="385" t="s">
        <v>10882</v>
      </c>
    </row>
    <row r="2227" spans="1:4" x14ac:dyDescent="0.25">
      <c r="A2227" s="384" t="s">
        <v>10883</v>
      </c>
      <c r="B2227" s="384" t="s">
        <v>10884</v>
      </c>
      <c r="C2227" s="384" t="s">
        <v>2884</v>
      </c>
      <c r="D2227" s="385" t="s">
        <v>10885</v>
      </c>
    </row>
    <row r="2228" spans="1:4" x14ac:dyDescent="0.25">
      <c r="A2228" s="384" t="s">
        <v>10886</v>
      </c>
      <c r="B2228" s="384" t="s">
        <v>10887</v>
      </c>
      <c r="C2228" s="384" t="s">
        <v>2884</v>
      </c>
      <c r="D2228" s="385" t="s">
        <v>10888</v>
      </c>
    </row>
    <row r="2229" spans="1:4" x14ac:dyDescent="0.25">
      <c r="A2229" s="384" t="s">
        <v>10889</v>
      </c>
      <c r="B2229" s="384" t="s">
        <v>10890</v>
      </c>
      <c r="C2229" s="384" t="s">
        <v>2884</v>
      </c>
      <c r="D2229" s="385" t="s">
        <v>10891</v>
      </c>
    </row>
    <row r="2230" spans="1:4" x14ac:dyDescent="0.25">
      <c r="A2230" s="384" t="s">
        <v>10892</v>
      </c>
      <c r="B2230" s="384" t="s">
        <v>10893</v>
      </c>
      <c r="C2230" s="384" t="s">
        <v>2884</v>
      </c>
      <c r="D2230" s="385" t="s">
        <v>10894</v>
      </c>
    </row>
    <row r="2231" spans="1:4" x14ac:dyDescent="0.25">
      <c r="A2231" s="384" t="s">
        <v>10895</v>
      </c>
      <c r="B2231" s="384" t="s">
        <v>10896</v>
      </c>
      <c r="C2231" s="384" t="s">
        <v>2884</v>
      </c>
      <c r="D2231" s="385" t="s">
        <v>10897</v>
      </c>
    </row>
    <row r="2232" spans="1:4" x14ac:dyDescent="0.25">
      <c r="A2232" s="384" t="s">
        <v>10898</v>
      </c>
      <c r="B2232" s="384" t="s">
        <v>10899</v>
      </c>
      <c r="C2232" s="384" t="s">
        <v>2884</v>
      </c>
      <c r="D2232" s="385" t="s">
        <v>10900</v>
      </c>
    </row>
    <row r="2233" spans="1:4" x14ac:dyDescent="0.25">
      <c r="A2233" s="384" t="s">
        <v>10901</v>
      </c>
      <c r="B2233" s="384" t="s">
        <v>10902</v>
      </c>
      <c r="C2233" s="384" t="s">
        <v>77</v>
      </c>
      <c r="D2233" s="385" t="s">
        <v>10903</v>
      </c>
    </row>
    <row r="2234" spans="1:4" x14ac:dyDescent="0.25">
      <c r="A2234" s="384" t="s">
        <v>10904</v>
      </c>
      <c r="B2234" s="384" t="s">
        <v>10905</v>
      </c>
      <c r="C2234" s="384" t="s">
        <v>2884</v>
      </c>
      <c r="D2234" s="385" t="s">
        <v>10906</v>
      </c>
    </row>
    <row r="2235" spans="1:4" x14ac:dyDescent="0.25">
      <c r="A2235" s="384" t="s">
        <v>10907</v>
      </c>
      <c r="B2235" s="384" t="s">
        <v>10908</v>
      </c>
      <c r="C2235" s="384" t="s">
        <v>82</v>
      </c>
      <c r="D2235" s="385" t="s">
        <v>10909</v>
      </c>
    </row>
    <row r="2236" spans="1:4" x14ac:dyDescent="0.25">
      <c r="A2236" s="384" t="s">
        <v>10910</v>
      </c>
      <c r="B2236" s="384" t="s">
        <v>10911</v>
      </c>
      <c r="C2236" s="384" t="s">
        <v>76</v>
      </c>
      <c r="D2236" s="385" t="s">
        <v>7708</v>
      </c>
    </row>
    <row r="2237" spans="1:4" x14ac:dyDescent="0.25">
      <c r="A2237" s="384" t="s">
        <v>10912</v>
      </c>
      <c r="B2237" s="384" t="s">
        <v>10913</v>
      </c>
      <c r="C2237" s="384" t="s">
        <v>76</v>
      </c>
      <c r="D2237" s="385" t="s">
        <v>10914</v>
      </c>
    </row>
    <row r="2238" spans="1:4" x14ac:dyDescent="0.25">
      <c r="A2238" s="384" t="s">
        <v>10915</v>
      </c>
      <c r="B2238" s="384" t="s">
        <v>10916</v>
      </c>
      <c r="C2238" s="384" t="s">
        <v>2884</v>
      </c>
      <c r="D2238" s="385" t="s">
        <v>10917</v>
      </c>
    </row>
    <row r="2239" spans="1:4" x14ac:dyDescent="0.25">
      <c r="A2239" s="384" t="s">
        <v>10918</v>
      </c>
      <c r="B2239" s="384" t="s">
        <v>10919</v>
      </c>
      <c r="C2239" s="384" t="s">
        <v>2884</v>
      </c>
      <c r="D2239" s="385" t="s">
        <v>10920</v>
      </c>
    </row>
    <row r="2240" spans="1:4" x14ac:dyDescent="0.25">
      <c r="A2240" s="384" t="s">
        <v>10921</v>
      </c>
      <c r="B2240" s="384" t="s">
        <v>10922</v>
      </c>
      <c r="C2240" s="384" t="s">
        <v>2884</v>
      </c>
      <c r="D2240" s="385" t="s">
        <v>10923</v>
      </c>
    </row>
    <row r="2241" spans="1:4" x14ac:dyDescent="0.25">
      <c r="A2241" s="384" t="s">
        <v>10924</v>
      </c>
      <c r="B2241" s="384" t="s">
        <v>10925</v>
      </c>
      <c r="C2241" s="384" t="s">
        <v>2884</v>
      </c>
      <c r="D2241" s="385" t="s">
        <v>10926</v>
      </c>
    </row>
    <row r="2242" spans="1:4" x14ac:dyDescent="0.25">
      <c r="A2242" s="384" t="s">
        <v>10927</v>
      </c>
      <c r="B2242" s="384" t="s">
        <v>10928</v>
      </c>
      <c r="C2242" s="384" t="s">
        <v>2884</v>
      </c>
      <c r="D2242" s="385" t="s">
        <v>10929</v>
      </c>
    </row>
    <row r="2243" spans="1:4" x14ac:dyDescent="0.25">
      <c r="A2243" s="384" t="s">
        <v>10930</v>
      </c>
      <c r="B2243" s="384" t="s">
        <v>10931</v>
      </c>
      <c r="C2243" s="384" t="s">
        <v>2884</v>
      </c>
      <c r="D2243" s="385" t="s">
        <v>10932</v>
      </c>
    </row>
    <row r="2244" spans="1:4" x14ac:dyDescent="0.25">
      <c r="A2244" s="384" t="s">
        <v>10933</v>
      </c>
      <c r="B2244" s="384" t="s">
        <v>10934</v>
      </c>
      <c r="C2244" s="384" t="s">
        <v>2884</v>
      </c>
      <c r="D2244" s="385" t="s">
        <v>10935</v>
      </c>
    </row>
    <row r="2245" spans="1:4" x14ac:dyDescent="0.25">
      <c r="A2245" s="384" t="s">
        <v>10936</v>
      </c>
      <c r="B2245" s="384" t="s">
        <v>10937</v>
      </c>
      <c r="C2245" s="384" t="s">
        <v>2884</v>
      </c>
      <c r="D2245" s="385" t="s">
        <v>10938</v>
      </c>
    </row>
    <row r="2246" spans="1:4" x14ac:dyDescent="0.25">
      <c r="A2246" s="384" t="s">
        <v>10939</v>
      </c>
      <c r="B2246" s="384" t="s">
        <v>10940</v>
      </c>
      <c r="C2246" s="384" t="s">
        <v>2884</v>
      </c>
      <c r="D2246" s="385" t="s">
        <v>10941</v>
      </c>
    </row>
    <row r="2247" spans="1:4" x14ac:dyDescent="0.25">
      <c r="A2247" s="384" t="s">
        <v>10942</v>
      </c>
      <c r="B2247" s="384" t="s">
        <v>10943</v>
      </c>
      <c r="C2247" s="384" t="s">
        <v>2884</v>
      </c>
      <c r="D2247" s="385" t="s">
        <v>10944</v>
      </c>
    </row>
    <row r="2248" spans="1:4" x14ac:dyDescent="0.25">
      <c r="A2248" s="384" t="s">
        <v>10945</v>
      </c>
      <c r="B2248" s="384" t="s">
        <v>10946</v>
      </c>
      <c r="C2248" s="384" t="s">
        <v>2884</v>
      </c>
      <c r="D2248" s="385" t="s">
        <v>10947</v>
      </c>
    </row>
    <row r="2249" spans="1:4" x14ac:dyDescent="0.25">
      <c r="A2249" s="384" t="s">
        <v>10948</v>
      </c>
      <c r="B2249" s="384" t="s">
        <v>10949</v>
      </c>
      <c r="C2249" s="384" t="s">
        <v>2884</v>
      </c>
      <c r="D2249" s="385" t="s">
        <v>10950</v>
      </c>
    </row>
    <row r="2250" spans="1:4" x14ac:dyDescent="0.25">
      <c r="A2250" s="384" t="s">
        <v>10951</v>
      </c>
      <c r="B2250" s="384" t="s">
        <v>10952</v>
      </c>
      <c r="C2250" s="384" t="s">
        <v>2884</v>
      </c>
      <c r="D2250" s="385" t="s">
        <v>10953</v>
      </c>
    </row>
    <row r="2251" spans="1:4" x14ac:dyDescent="0.25">
      <c r="A2251" s="384" t="s">
        <v>10954</v>
      </c>
      <c r="B2251" s="384" t="s">
        <v>10955</v>
      </c>
      <c r="C2251" s="384" t="s">
        <v>2884</v>
      </c>
      <c r="D2251" s="385" t="s">
        <v>10956</v>
      </c>
    </row>
    <row r="2252" spans="1:4" x14ac:dyDescent="0.25">
      <c r="A2252" s="384" t="s">
        <v>10957</v>
      </c>
      <c r="B2252" s="384" t="s">
        <v>10958</v>
      </c>
      <c r="C2252" s="384" t="s">
        <v>2884</v>
      </c>
      <c r="D2252" s="385" t="s">
        <v>10959</v>
      </c>
    </row>
    <row r="2253" spans="1:4" x14ac:dyDescent="0.25">
      <c r="A2253" s="384" t="s">
        <v>10960</v>
      </c>
      <c r="B2253" s="384" t="s">
        <v>10961</v>
      </c>
      <c r="C2253" s="384" t="s">
        <v>2884</v>
      </c>
      <c r="D2253" s="385" t="s">
        <v>10962</v>
      </c>
    </row>
    <row r="2254" spans="1:4" x14ac:dyDescent="0.25">
      <c r="A2254" s="384" t="s">
        <v>10963</v>
      </c>
      <c r="B2254" s="384" t="s">
        <v>10964</v>
      </c>
      <c r="C2254" s="384" t="s">
        <v>2884</v>
      </c>
      <c r="D2254" s="385" t="s">
        <v>10965</v>
      </c>
    </row>
    <row r="2255" spans="1:4" x14ac:dyDescent="0.25">
      <c r="A2255" s="384" t="s">
        <v>10966</v>
      </c>
      <c r="B2255" s="384" t="s">
        <v>10967</v>
      </c>
      <c r="C2255" s="384" t="s">
        <v>2884</v>
      </c>
      <c r="D2255" s="385" t="s">
        <v>10968</v>
      </c>
    </row>
    <row r="2256" spans="1:4" x14ac:dyDescent="0.25">
      <c r="A2256" s="384" t="s">
        <v>10969</v>
      </c>
      <c r="B2256" s="384" t="s">
        <v>10970</v>
      </c>
      <c r="C2256" s="384" t="s">
        <v>2884</v>
      </c>
      <c r="D2256" s="385" t="s">
        <v>10971</v>
      </c>
    </row>
    <row r="2257" spans="1:4" x14ac:dyDescent="0.25">
      <c r="A2257" s="384" t="s">
        <v>10972</v>
      </c>
      <c r="B2257" s="384" t="s">
        <v>10973</v>
      </c>
      <c r="C2257" s="384" t="s">
        <v>2884</v>
      </c>
      <c r="D2257" s="385" t="s">
        <v>10974</v>
      </c>
    </row>
    <row r="2258" spans="1:4" x14ac:dyDescent="0.25">
      <c r="A2258" s="384" t="s">
        <v>10975</v>
      </c>
      <c r="B2258" s="384" t="s">
        <v>10976</v>
      </c>
      <c r="C2258" s="384" t="s">
        <v>2884</v>
      </c>
      <c r="D2258" s="385" t="s">
        <v>10977</v>
      </c>
    </row>
    <row r="2259" spans="1:4" x14ac:dyDescent="0.25">
      <c r="A2259" s="384" t="s">
        <v>10978</v>
      </c>
      <c r="B2259" s="384" t="s">
        <v>10979</v>
      </c>
      <c r="C2259" s="384" t="s">
        <v>2884</v>
      </c>
      <c r="D2259" s="385" t="s">
        <v>10980</v>
      </c>
    </row>
    <row r="2260" spans="1:4" x14ac:dyDescent="0.25">
      <c r="A2260" s="384" t="s">
        <v>10981</v>
      </c>
      <c r="B2260" s="384" t="s">
        <v>10982</v>
      </c>
      <c r="C2260" s="384" t="s">
        <v>2884</v>
      </c>
      <c r="D2260" s="385" t="s">
        <v>10983</v>
      </c>
    </row>
    <row r="2261" spans="1:4" x14ac:dyDescent="0.25">
      <c r="A2261" s="384" t="s">
        <v>10984</v>
      </c>
      <c r="B2261" s="384" t="s">
        <v>10985</v>
      </c>
      <c r="C2261" s="384" t="s">
        <v>2884</v>
      </c>
      <c r="D2261" s="385" t="s">
        <v>10986</v>
      </c>
    </row>
    <row r="2262" spans="1:4" x14ac:dyDescent="0.25">
      <c r="A2262" s="384" t="s">
        <v>10987</v>
      </c>
      <c r="B2262" s="384" t="s">
        <v>10988</v>
      </c>
      <c r="C2262" s="384" t="s">
        <v>2884</v>
      </c>
      <c r="D2262" s="385" t="s">
        <v>10989</v>
      </c>
    </row>
    <row r="2263" spans="1:4" x14ac:dyDescent="0.25">
      <c r="A2263" s="384" t="s">
        <v>10990</v>
      </c>
      <c r="B2263" s="384" t="s">
        <v>10991</v>
      </c>
      <c r="C2263" s="384" t="s">
        <v>2884</v>
      </c>
      <c r="D2263" s="385" t="s">
        <v>10992</v>
      </c>
    </row>
    <row r="2264" spans="1:4" x14ac:dyDescent="0.25">
      <c r="A2264" s="384" t="s">
        <v>10993</v>
      </c>
      <c r="B2264" s="384" t="s">
        <v>10994</v>
      </c>
      <c r="C2264" s="384" t="s">
        <v>2884</v>
      </c>
      <c r="D2264" s="385" t="s">
        <v>10995</v>
      </c>
    </row>
    <row r="2265" spans="1:4" x14ac:dyDescent="0.25">
      <c r="A2265" s="384" t="s">
        <v>10996</v>
      </c>
      <c r="B2265" s="384" t="s">
        <v>10997</v>
      </c>
      <c r="C2265" s="384" t="s">
        <v>2884</v>
      </c>
      <c r="D2265" s="385" t="s">
        <v>10998</v>
      </c>
    </row>
    <row r="2266" spans="1:4" x14ac:dyDescent="0.25">
      <c r="A2266" s="384" t="s">
        <v>10999</v>
      </c>
      <c r="B2266" s="384" t="s">
        <v>11000</v>
      </c>
      <c r="C2266" s="384" t="s">
        <v>2884</v>
      </c>
      <c r="D2266" s="385" t="s">
        <v>11001</v>
      </c>
    </row>
    <row r="2267" spans="1:4" x14ac:dyDescent="0.25">
      <c r="A2267" s="384" t="s">
        <v>11002</v>
      </c>
      <c r="B2267" s="384" t="s">
        <v>11003</v>
      </c>
      <c r="C2267" s="384" t="s">
        <v>2884</v>
      </c>
      <c r="D2267" s="385" t="s">
        <v>11004</v>
      </c>
    </row>
    <row r="2268" spans="1:4" x14ac:dyDescent="0.25">
      <c r="A2268" s="384" t="s">
        <v>11005</v>
      </c>
      <c r="B2268" s="384" t="s">
        <v>11006</v>
      </c>
      <c r="C2268" s="384" t="s">
        <v>2884</v>
      </c>
      <c r="D2268" s="385" t="s">
        <v>11007</v>
      </c>
    </row>
    <row r="2269" spans="1:4" x14ac:dyDescent="0.25">
      <c r="A2269" s="384" t="s">
        <v>11008</v>
      </c>
      <c r="B2269" s="384" t="s">
        <v>11009</v>
      </c>
      <c r="C2269" s="384" t="s">
        <v>2884</v>
      </c>
      <c r="D2269" s="385" t="s">
        <v>11010</v>
      </c>
    </row>
    <row r="2270" spans="1:4" x14ac:dyDescent="0.25">
      <c r="A2270" s="384" t="s">
        <v>11011</v>
      </c>
      <c r="B2270" s="384" t="s">
        <v>11012</v>
      </c>
      <c r="C2270" s="384" t="s">
        <v>2884</v>
      </c>
      <c r="D2270" s="385" t="s">
        <v>11013</v>
      </c>
    </row>
    <row r="2271" spans="1:4" x14ac:dyDescent="0.25">
      <c r="A2271" s="384" t="s">
        <v>11014</v>
      </c>
      <c r="B2271" s="384" t="s">
        <v>11015</v>
      </c>
      <c r="C2271" s="384" t="s">
        <v>2884</v>
      </c>
      <c r="D2271" s="385" t="s">
        <v>11016</v>
      </c>
    </row>
    <row r="2272" spans="1:4" x14ac:dyDescent="0.25">
      <c r="A2272" s="384" t="s">
        <v>11017</v>
      </c>
      <c r="B2272" s="384" t="s">
        <v>11018</v>
      </c>
      <c r="C2272" s="384" t="s">
        <v>2884</v>
      </c>
      <c r="D2272" s="385" t="s">
        <v>11019</v>
      </c>
    </row>
    <row r="2273" spans="1:4" x14ac:dyDescent="0.25">
      <c r="A2273" s="384" t="s">
        <v>11020</v>
      </c>
      <c r="B2273" s="384" t="s">
        <v>11021</v>
      </c>
      <c r="C2273" s="384" t="s">
        <v>2884</v>
      </c>
      <c r="D2273" s="385" t="s">
        <v>11022</v>
      </c>
    </row>
    <row r="2274" spans="1:4" x14ac:dyDescent="0.25">
      <c r="A2274" s="384" t="s">
        <v>11023</v>
      </c>
      <c r="B2274" s="384" t="s">
        <v>11024</v>
      </c>
      <c r="C2274" s="384" t="s">
        <v>2884</v>
      </c>
      <c r="D2274" s="385" t="s">
        <v>11025</v>
      </c>
    </row>
    <row r="2275" spans="1:4" x14ac:dyDescent="0.25">
      <c r="A2275" s="384" t="s">
        <v>11026</v>
      </c>
      <c r="B2275" s="384" t="s">
        <v>11027</v>
      </c>
      <c r="C2275" s="384" t="s">
        <v>2884</v>
      </c>
      <c r="D2275" s="385" t="s">
        <v>11028</v>
      </c>
    </row>
    <row r="2276" spans="1:4" x14ac:dyDescent="0.25">
      <c r="A2276" s="384" t="s">
        <v>11029</v>
      </c>
      <c r="B2276" s="384" t="s">
        <v>11030</v>
      </c>
      <c r="C2276" s="384" t="s">
        <v>2884</v>
      </c>
      <c r="D2276" s="385" t="s">
        <v>10578</v>
      </c>
    </row>
    <row r="2277" spans="1:4" x14ac:dyDescent="0.25">
      <c r="A2277" s="384" t="s">
        <v>11031</v>
      </c>
      <c r="B2277" s="384" t="s">
        <v>11032</v>
      </c>
      <c r="C2277" s="384" t="s">
        <v>2884</v>
      </c>
      <c r="D2277" s="385" t="s">
        <v>11033</v>
      </c>
    </row>
    <row r="2278" spans="1:4" x14ac:dyDescent="0.25">
      <c r="A2278" s="384" t="s">
        <v>11034</v>
      </c>
      <c r="B2278" s="384" t="s">
        <v>11035</v>
      </c>
      <c r="C2278" s="384" t="s">
        <v>2884</v>
      </c>
      <c r="D2278" s="385" t="s">
        <v>11036</v>
      </c>
    </row>
    <row r="2279" spans="1:4" x14ac:dyDescent="0.25">
      <c r="A2279" s="384" t="s">
        <v>11037</v>
      </c>
      <c r="B2279" s="384" t="s">
        <v>11038</v>
      </c>
      <c r="C2279" s="384" t="s">
        <v>2884</v>
      </c>
      <c r="D2279" s="385" t="s">
        <v>11039</v>
      </c>
    </row>
    <row r="2280" spans="1:4" x14ac:dyDescent="0.25">
      <c r="A2280" s="384" t="s">
        <v>11040</v>
      </c>
      <c r="B2280" s="384" t="s">
        <v>11041</v>
      </c>
      <c r="C2280" s="384" t="s">
        <v>2884</v>
      </c>
      <c r="D2280" s="385" t="s">
        <v>11042</v>
      </c>
    </row>
    <row r="2281" spans="1:4" x14ac:dyDescent="0.25">
      <c r="A2281" s="384" t="s">
        <v>11043</v>
      </c>
      <c r="B2281" s="384" t="s">
        <v>11044</v>
      </c>
      <c r="C2281" s="384" t="s">
        <v>2884</v>
      </c>
      <c r="D2281" s="385" t="s">
        <v>11045</v>
      </c>
    </row>
    <row r="2282" spans="1:4" x14ac:dyDescent="0.25">
      <c r="A2282" s="384" t="s">
        <v>11046</v>
      </c>
      <c r="B2282" s="384" t="s">
        <v>11047</v>
      </c>
      <c r="C2282" s="384" t="s">
        <v>2884</v>
      </c>
      <c r="D2282" s="385" t="s">
        <v>11048</v>
      </c>
    </row>
    <row r="2283" spans="1:4" x14ac:dyDescent="0.25">
      <c r="A2283" s="384" t="s">
        <v>11049</v>
      </c>
      <c r="B2283" s="384" t="s">
        <v>11050</v>
      </c>
      <c r="C2283" s="384" t="s">
        <v>2884</v>
      </c>
      <c r="D2283" s="385" t="s">
        <v>11051</v>
      </c>
    </row>
    <row r="2284" spans="1:4" x14ac:dyDescent="0.25">
      <c r="A2284" s="384" t="s">
        <v>11052</v>
      </c>
      <c r="B2284" s="384" t="s">
        <v>11053</v>
      </c>
      <c r="C2284" s="384" t="s">
        <v>2884</v>
      </c>
      <c r="D2284" s="385" t="s">
        <v>11054</v>
      </c>
    </row>
    <row r="2285" spans="1:4" x14ac:dyDescent="0.25">
      <c r="A2285" s="384" t="s">
        <v>11055</v>
      </c>
      <c r="B2285" s="384" t="s">
        <v>11056</v>
      </c>
      <c r="C2285" s="384" t="s">
        <v>2884</v>
      </c>
      <c r="D2285" s="385" t="s">
        <v>11057</v>
      </c>
    </row>
    <row r="2286" spans="1:4" x14ac:dyDescent="0.25">
      <c r="A2286" s="384" t="s">
        <v>11058</v>
      </c>
      <c r="B2286" s="384" t="s">
        <v>11059</v>
      </c>
      <c r="C2286" s="384" t="s">
        <v>2884</v>
      </c>
      <c r="D2286" s="385" t="s">
        <v>11060</v>
      </c>
    </row>
    <row r="2287" spans="1:4" x14ac:dyDescent="0.25">
      <c r="A2287" s="384" t="s">
        <v>11061</v>
      </c>
      <c r="B2287" s="384" t="s">
        <v>11062</v>
      </c>
      <c r="C2287" s="384" t="s">
        <v>2884</v>
      </c>
      <c r="D2287" s="385" t="s">
        <v>11063</v>
      </c>
    </row>
    <row r="2288" spans="1:4" x14ac:dyDescent="0.25">
      <c r="A2288" s="384" t="s">
        <v>11064</v>
      </c>
      <c r="B2288" s="384" t="s">
        <v>11065</v>
      </c>
      <c r="C2288" s="384" t="s">
        <v>2884</v>
      </c>
      <c r="D2288" s="385" t="s">
        <v>11066</v>
      </c>
    </row>
    <row r="2289" spans="1:4" x14ac:dyDescent="0.25">
      <c r="A2289" s="384" t="s">
        <v>11067</v>
      </c>
      <c r="B2289" s="384" t="s">
        <v>11068</v>
      </c>
      <c r="C2289" s="384" t="s">
        <v>2884</v>
      </c>
      <c r="D2289" s="385" t="s">
        <v>11069</v>
      </c>
    </row>
    <row r="2290" spans="1:4" x14ac:dyDescent="0.25">
      <c r="A2290" s="384" t="s">
        <v>11070</v>
      </c>
      <c r="B2290" s="384" t="s">
        <v>11071</v>
      </c>
      <c r="C2290" s="384" t="s">
        <v>2884</v>
      </c>
      <c r="D2290" s="385" t="s">
        <v>11072</v>
      </c>
    </row>
    <row r="2291" spans="1:4" x14ac:dyDescent="0.25">
      <c r="A2291" s="384" t="s">
        <v>11073</v>
      </c>
      <c r="B2291" s="384" t="s">
        <v>11074</v>
      </c>
      <c r="C2291" s="384" t="s">
        <v>2884</v>
      </c>
      <c r="D2291" s="385" t="s">
        <v>11075</v>
      </c>
    </row>
    <row r="2292" spans="1:4" x14ac:dyDescent="0.25">
      <c r="A2292" s="384" t="s">
        <v>11076</v>
      </c>
      <c r="B2292" s="384" t="s">
        <v>11077</v>
      </c>
      <c r="C2292" s="384" t="s">
        <v>2884</v>
      </c>
      <c r="D2292" s="385" t="s">
        <v>11078</v>
      </c>
    </row>
    <row r="2293" spans="1:4" x14ac:dyDescent="0.25">
      <c r="A2293" s="384" t="s">
        <v>11079</v>
      </c>
      <c r="B2293" s="384" t="s">
        <v>11080</v>
      </c>
      <c r="C2293" s="384" t="s">
        <v>2884</v>
      </c>
      <c r="D2293" s="385" t="s">
        <v>11081</v>
      </c>
    </row>
    <row r="2294" spans="1:4" x14ac:dyDescent="0.25">
      <c r="A2294" s="384" t="s">
        <v>11082</v>
      </c>
      <c r="B2294" s="384" t="s">
        <v>11083</v>
      </c>
      <c r="C2294" s="384" t="s">
        <v>2884</v>
      </c>
      <c r="D2294" s="385" t="s">
        <v>11084</v>
      </c>
    </row>
    <row r="2295" spans="1:4" x14ac:dyDescent="0.25">
      <c r="A2295" s="384" t="s">
        <v>11085</v>
      </c>
      <c r="B2295" s="384" t="s">
        <v>11086</v>
      </c>
      <c r="C2295" s="384" t="s">
        <v>2884</v>
      </c>
      <c r="D2295" s="385" t="s">
        <v>11087</v>
      </c>
    </row>
    <row r="2296" spans="1:4" x14ac:dyDescent="0.25">
      <c r="A2296" s="384" t="s">
        <v>11088</v>
      </c>
      <c r="B2296" s="384" t="s">
        <v>11089</v>
      </c>
      <c r="C2296" s="384" t="s">
        <v>2884</v>
      </c>
      <c r="D2296" s="385" t="s">
        <v>11090</v>
      </c>
    </row>
    <row r="2297" spans="1:4" x14ac:dyDescent="0.25">
      <c r="A2297" s="384" t="s">
        <v>11091</v>
      </c>
      <c r="B2297" s="384" t="s">
        <v>11092</v>
      </c>
      <c r="C2297" s="384" t="s">
        <v>2884</v>
      </c>
      <c r="D2297" s="385" t="s">
        <v>11093</v>
      </c>
    </row>
    <row r="2298" spans="1:4" x14ac:dyDescent="0.25">
      <c r="A2298" s="384" t="s">
        <v>11094</v>
      </c>
      <c r="B2298" s="384" t="s">
        <v>11095</v>
      </c>
      <c r="C2298" s="384" t="s">
        <v>2884</v>
      </c>
      <c r="D2298" s="385" t="s">
        <v>11096</v>
      </c>
    </row>
    <row r="2299" spans="1:4" x14ac:dyDescent="0.25">
      <c r="A2299" s="384" t="s">
        <v>11097</v>
      </c>
      <c r="B2299" s="384" t="s">
        <v>11098</v>
      </c>
      <c r="C2299" s="384" t="s">
        <v>2884</v>
      </c>
      <c r="D2299" s="385" t="s">
        <v>11099</v>
      </c>
    </row>
    <row r="2300" spans="1:4" x14ac:dyDescent="0.25">
      <c r="A2300" s="384" t="s">
        <v>11100</v>
      </c>
      <c r="B2300" s="384" t="s">
        <v>11101</v>
      </c>
      <c r="C2300" s="384" t="s">
        <v>2884</v>
      </c>
      <c r="D2300" s="385" t="s">
        <v>11102</v>
      </c>
    </row>
    <row r="2301" spans="1:4" x14ac:dyDescent="0.25">
      <c r="A2301" s="384" t="s">
        <v>11103</v>
      </c>
      <c r="B2301" s="384" t="s">
        <v>11104</v>
      </c>
      <c r="C2301" s="384" t="s">
        <v>2884</v>
      </c>
      <c r="D2301" s="385" t="s">
        <v>11105</v>
      </c>
    </row>
    <row r="2302" spans="1:4" x14ac:dyDescent="0.25">
      <c r="A2302" s="384" t="s">
        <v>11106</v>
      </c>
      <c r="B2302" s="384" t="s">
        <v>11107</v>
      </c>
      <c r="C2302" s="384" t="s">
        <v>2884</v>
      </c>
      <c r="D2302" s="385" t="s">
        <v>11108</v>
      </c>
    </row>
    <row r="2303" spans="1:4" x14ac:dyDescent="0.25">
      <c r="A2303" s="384" t="s">
        <v>11109</v>
      </c>
      <c r="B2303" s="384" t="s">
        <v>11110</v>
      </c>
      <c r="C2303" s="384" t="s">
        <v>2884</v>
      </c>
      <c r="D2303" s="385" t="s">
        <v>11111</v>
      </c>
    </row>
    <row r="2304" spans="1:4" x14ac:dyDescent="0.25">
      <c r="A2304" s="384" t="s">
        <v>11112</v>
      </c>
      <c r="B2304" s="384" t="s">
        <v>11113</v>
      </c>
      <c r="C2304" s="384" t="s">
        <v>2884</v>
      </c>
      <c r="D2304" s="385" t="s">
        <v>11114</v>
      </c>
    </row>
    <row r="2305" spans="1:4" x14ac:dyDescent="0.25">
      <c r="A2305" s="384" t="s">
        <v>11115</v>
      </c>
      <c r="B2305" s="384" t="s">
        <v>11116</v>
      </c>
      <c r="C2305" s="384" t="s">
        <v>2884</v>
      </c>
      <c r="D2305" s="385" t="s">
        <v>11117</v>
      </c>
    </row>
    <row r="2306" spans="1:4" x14ac:dyDescent="0.25">
      <c r="A2306" s="384" t="s">
        <v>11118</v>
      </c>
      <c r="B2306" s="384" t="s">
        <v>11119</v>
      </c>
      <c r="C2306" s="384" t="s">
        <v>2884</v>
      </c>
      <c r="D2306" s="385" t="s">
        <v>11120</v>
      </c>
    </row>
    <row r="2307" spans="1:4" x14ac:dyDescent="0.25">
      <c r="A2307" s="384" t="s">
        <v>11121</v>
      </c>
      <c r="B2307" s="384" t="s">
        <v>11122</v>
      </c>
      <c r="C2307" s="384" t="s">
        <v>2884</v>
      </c>
      <c r="D2307" s="385" t="s">
        <v>11123</v>
      </c>
    </row>
    <row r="2308" spans="1:4" x14ac:dyDescent="0.25">
      <c r="A2308" s="384" t="s">
        <v>11124</v>
      </c>
      <c r="B2308" s="384" t="s">
        <v>11125</v>
      </c>
      <c r="C2308" s="384" t="s">
        <v>2884</v>
      </c>
      <c r="D2308" s="385" t="s">
        <v>11126</v>
      </c>
    </row>
    <row r="2309" spans="1:4" x14ac:dyDescent="0.25">
      <c r="A2309" s="384" t="s">
        <v>11127</v>
      </c>
      <c r="B2309" s="384" t="s">
        <v>11128</v>
      </c>
      <c r="C2309" s="384" t="s">
        <v>2884</v>
      </c>
      <c r="D2309" s="385" t="s">
        <v>11129</v>
      </c>
    </row>
    <row r="2310" spans="1:4" x14ac:dyDescent="0.25">
      <c r="A2310" s="384" t="s">
        <v>11130</v>
      </c>
      <c r="B2310" s="384" t="s">
        <v>11131</v>
      </c>
      <c r="C2310" s="384" t="s">
        <v>2884</v>
      </c>
      <c r="D2310" s="385" t="s">
        <v>11132</v>
      </c>
    </row>
    <row r="2311" spans="1:4" x14ac:dyDescent="0.25">
      <c r="A2311" s="384" t="s">
        <v>11133</v>
      </c>
      <c r="B2311" s="384" t="s">
        <v>11134</v>
      </c>
      <c r="C2311" s="384" t="s">
        <v>2884</v>
      </c>
      <c r="D2311" s="385" t="s">
        <v>11135</v>
      </c>
    </row>
    <row r="2312" spans="1:4" x14ac:dyDescent="0.25">
      <c r="A2312" s="384" t="s">
        <v>11136</v>
      </c>
      <c r="B2312" s="384" t="s">
        <v>11137</v>
      </c>
      <c r="C2312" s="384" t="s">
        <v>76</v>
      </c>
      <c r="D2312" s="385" t="s">
        <v>11138</v>
      </c>
    </row>
    <row r="2313" spans="1:4" x14ac:dyDescent="0.25">
      <c r="A2313" s="384" t="s">
        <v>11139</v>
      </c>
      <c r="B2313" s="384" t="s">
        <v>11140</v>
      </c>
      <c r="C2313" s="384" t="s">
        <v>76</v>
      </c>
      <c r="D2313" s="385" t="s">
        <v>11141</v>
      </c>
    </row>
    <row r="2314" spans="1:4" x14ac:dyDescent="0.25">
      <c r="A2314" s="384" t="s">
        <v>11142</v>
      </c>
      <c r="B2314" s="384" t="s">
        <v>11143</v>
      </c>
      <c r="C2314" s="384" t="s">
        <v>76</v>
      </c>
      <c r="D2314" s="385" t="s">
        <v>11144</v>
      </c>
    </row>
    <row r="2315" spans="1:4" x14ac:dyDescent="0.25">
      <c r="A2315" s="384" t="s">
        <v>11145</v>
      </c>
      <c r="B2315" s="384" t="s">
        <v>11146</v>
      </c>
      <c r="C2315" s="384" t="s">
        <v>76</v>
      </c>
      <c r="D2315" s="385" t="s">
        <v>11147</v>
      </c>
    </row>
    <row r="2316" spans="1:4" x14ac:dyDescent="0.25">
      <c r="A2316" s="384" t="s">
        <v>11148</v>
      </c>
      <c r="B2316" s="384" t="s">
        <v>11149</v>
      </c>
      <c r="C2316" s="384" t="s">
        <v>76</v>
      </c>
      <c r="D2316" s="385" t="s">
        <v>11150</v>
      </c>
    </row>
    <row r="2317" spans="1:4" x14ac:dyDescent="0.25">
      <c r="A2317" s="384" t="s">
        <v>11151</v>
      </c>
      <c r="B2317" s="384" t="s">
        <v>11152</v>
      </c>
      <c r="C2317" s="384" t="s">
        <v>76</v>
      </c>
      <c r="D2317" s="385" t="s">
        <v>11153</v>
      </c>
    </row>
    <row r="2318" spans="1:4" x14ac:dyDescent="0.25">
      <c r="A2318" s="384" t="s">
        <v>11154</v>
      </c>
      <c r="B2318" s="384" t="s">
        <v>11155</v>
      </c>
      <c r="C2318" s="384" t="s">
        <v>76</v>
      </c>
      <c r="D2318" s="385" t="s">
        <v>11156</v>
      </c>
    </row>
    <row r="2319" spans="1:4" x14ac:dyDescent="0.25">
      <c r="A2319" s="384" t="s">
        <v>11157</v>
      </c>
      <c r="B2319" s="384" t="s">
        <v>11158</v>
      </c>
      <c r="C2319" s="384" t="s">
        <v>76</v>
      </c>
      <c r="D2319" s="385" t="s">
        <v>11159</v>
      </c>
    </row>
    <row r="2320" spans="1:4" x14ac:dyDescent="0.25">
      <c r="A2320" s="384" t="s">
        <v>11160</v>
      </c>
      <c r="B2320" s="384" t="s">
        <v>11161</v>
      </c>
      <c r="C2320" s="384" t="s">
        <v>2884</v>
      </c>
      <c r="D2320" s="385" t="s">
        <v>11162</v>
      </c>
    </row>
    <row r="2321" spans="1:4" x14ac:dyDescent="0.25">
      <c r="A2321" s="384" t="s">
        <v>11163</v>
      </c>
      <c r="B2321" s="384" t="s">
        <v>11164</v>
      </c>
      <c r="C2321" s="384" t="s">
        <v>2884</v>
      </c>
      <c r="D2321" s="385" t="s">
        <v>11165</v>
      </c>
    </row>
    <row r="2322" spans="1:4" x14ac:dyDescent="0.25">
      <c r="A2322" s="384" t="s">
        <v>11166</v>
      </c>
      <c r="B2322" s="384" t="s">
        <v>11167</v>
      </c>
      <c r="C2322" s="384" t="s">
        <v>2884</v>
      </c>
      <c r="D2322" s="385" t="s">
        <v>11168</v>
      </c>
    </row>
    <row r="2323" spans="1:4" x14ac:dyDescent="0.25">
      <c r="A2323" s="384" t="s">
        <v>11169</v>
      </c>
      <c r="B2323" s="384" t="s">
        <v>11170</v>
      </c>
      <c r="C2323" s="384" t="s">
        <v>2884</v>
      </c>
      <c r="D2323" s="385" t="s">
        <v>11171</v>
      </c>
    </row>
    <row r="2324" spans="1:4" x14ac:dyDescent="0.25">
      <c r="A2324" s="384" t="s">
        <v>11172</v>
      </c>
      <c r="B2324" s="384" t="s">
        <v>11173</v>
      </c>
      <c r="C2324" s="384" t="s">
        <v>2884</v>
      </c>
      <c r="D2324" s="385" t="s">
        <v>11174</v>
      </c>
    </row>
    <row r="2325" spans="1:4" x14ac:dyDescent="0.25">
      <c r="A2325" s="384" t="s">
        <v>11175</v>
      </c>
      <c r="B2325" s="384" t="s">
        <v>11176</v>
      </c>
      <c r="C2325" s="384" t="s">
        <v>2884</v>
      </c>
      <c r="D2325" s="385" t="s">
        <v>11177</v>
      </c>
    </row>
    <row r="2326" spans="1:4" x14ac:dyDescent="0.25">
      <c r="A2326" s="384" t="s">
        <v>11178</v>
      </c>
      <c r="B2326" s="384" t="s">
        <v>11179</v>
      </c>
      <c r="C2326" s="384" t="s">
        <v>77</v>
      </c>
      <c r="D2326" s="385" t="s">
        <v>8148</v>
      </c>
    </row>
    <row r="2327" spans="1:4" x14ac:dyDescent="0.25">
      <c r="A2327" s="384" t="s">
        <v>11180</v>
      </c>
      <c r="B2327" s="384" t="s">
        <v>11181</v>
      </c>
      <c r="C2327" s="384" t="s">
        <v>77</v>
      </c>
      <c r="D2327" s="385" t="s">
        <v>11182</v>
      </c>
    </row>
    <row r="2328" spans="1:4" x14ac:dyDescent="0.25">
      <c r="A2328" s="384" t="s">
        <v>11183</v>
      </c>
      <c r="B2328" s="384" t="s">
        <v>11184</v>
      </c>
      <c r="C2328" s="384" t="s">
        <v>77</v>
      </c>
      <c r="D2328" s="385" t="s">
        <v>11185</v>
      </c>
    </row>
    <row r="2329" spans="1:4" x14ac:dyDescent="0.25">
      <c r="A2329" s="384" t="s">
        <v>11186</v>
      </c>
      <c r="B2329" s="384" t="s">
        <v>11187</v>
      </c>
      <c r="C2329" s="384" t="s">
        <v>77</v>
      </c>
      <c r="D2329" s="385" t="s">
        <v>11188</v>
      </c>
    </row>
    <row r="2330" spans="1:4" x14ac:dyDescent="0.25">
      <c r="A2330" s="384" t="s">
        <v>11189</v>
      </c>
      <c r="B2330" s="384" t="s">
        <v>11190</v>
      </c>
      <c r="C2330" s="384" t="s">
        <v>77</v>
      </c>
      <c r="D2330" s="385" t="s">
        <v>11191</v>
      </c>
    </row>
    <row r="2331" spans="1:4" x14ac:dyDescent="0.25">
      <c r="A2331" s="384" t="s">
        <v>11192</v>
      </c>
      <c r="B2331" s="384" t="s">
        <v>11193</v>
      </c>
      <c r="C2331" s="384" t="s">
        <v>77</v>
      </c>
      <c r="D2331" s="385" t="s">
        <v>11194</v>
      </c>
    </row>
    <row r="2332" spans="1:4" x14ac:dyDescent="0.25">
      <c r="A2332" s="384" t="s">
        <v>11195</v>
      </c>
      <c r="B2332" s="384" t="s">
        <v>11196</v>
      </c>
      <c r="C2332" s="384" t="s">
        <v>77</v>
      </c>
      <c r="D2332" s="385" t="s">
        <v>11197</v>
      </c>
    </row>
    <row r="2333" spans="1:4" x14ac:dyDescent="0.25">
      <c r="A2333" s="384" t="s">
        <v>11198</v>
      </c>
      <c r="B2333" s="384" t="s">
        <v>11199</v>
      </c>
      <c r="C2333" s="384" t="s">
        <v>77</v>
      </c>
      <c r="D2333" s="385" t="s">
        <v>11200</v>
      </c>
    </row>
    <row r="2334" spans="1:4" x14ac:dyDescent="0.25">
      <c r="A2334" s="384" t="s">
        <v>11201</v>
      </c>
      <c r="B2334" s="384" t="s">
        <v>11202</v>
      </c>
      <c r="C2334" s="384" t="s">
        <v>77</v>
      </c>
      <c r="D2334" s="385" t="s">
        <v>11203</v>
      </c>
    </row>
    <row r="2335" spans="1:4" x14ac:dyDescent="0.25">
      <c r="A2335" s="384" t="s">
        <v>11204</v>
      </c>
      <c r="B2335" s="384" t="s">
        <v>11205</v>
      </c>
      <c r="C2335" s="384" t="s">
        <v>77</v>
      </c>
      <c r="D2335" s="385" t="s">
        <v>11206</v>
      </c>
    </row>
    <row r="2336" spans="1:4" x14ac:dyDescent="0.25">
      <c r="A2336" s="384" t="s">
        <v>11207</v>
      </c>
      <c r="B2336" s="384" t="s">
        <v>11208</v>
      </c>
      <c r="C2336" s="384" t="s">
        <v>77</v>
      </c>
      <c r="D2336" s="385" t="s">
        <v>8082</v>
      </c>
    </row>
    <row r="2337" spans="1:4" x14ac:dyDescent="0.25">
      <c r="A2337" s="384" t="s">
        <v>11209</v>
      </c>
      <c r="B2337" s="384" t="s">
        <v>11210</v>
      </c>
      <c r="C2337" s="384" t="s">
        <v>77</v>
      </c>
      <c r="D2337" s="385" t="s">
        <v>11211</v>
      </c>
    </row>
    <row r="2338" spans="1:4" x14ac:dyDescent="0.25">
      <c r="A2338" s="384" t="s">
        <v>11212</v>
      </c>
      <c r="B2338" s="384" t="s">
        <v>11213</v>
      </c>
      <c r="C2338" s="384" t="s">
        <v>77</v>
      </c>
      <c r="D2338" s="385" t="s">
        <v>11214</v>
      </c>
    </row>
    <row r="2339" spans="1:4" x14ac:dyDescent="0.25">
      <c r="A2339" s="384" t="s">
        <v>11215</v>
      </c>
      <c r="B2339" s="384" t="s">
        <v>11216</v>
      </c>
      <c r="C2339" s="384" t="s">
        <v>77</v>
      </c>
      <c r="D2339" s="385" t="s">
        <v>11217</v>
      </c>
    </row>
    <row r="2340" spans="1:4" x14ac:dyDescent="0.25">
      <c r="A2340" s="384" t="s">
        <v>11218</v>
      </c>
      <c r="B2340" s="384" t="s">
        <v>11219</v>
      </c>
      <c r="C2340" s="384" t="s">
        <v>77</v>
      </c>
      <c r="D2340" s="385" t="s">
        <v>11220</v>
      </c>
    </row>
    <row r="2341" spans="1:4" x14ac:dyDescent="0.25">
      <c r="A2341" s="384" t="s">
        <v>11221</v>
      </c>
      <c r="B2341" s="384" t="s">
        <v>11222</v>
      </c>
      <c r="C2341" s="384" t="s">
        <v>77</v>
      </c>
      <c r="D2341" s="385" t="s">
        <v>7071</v>
      </c>
    </row>
    <row r="2342" spans="1:4" x14ac:dyDescent="0.25">
      <c r="A2342" s="384" t="s">
        <v>11223</v>
      </c>
      <c r="B2342" s="384" t="s">
        <v>11224</v>
      </c>
      <c r="C2342" s="384" t="s">
        <v>77</v>
      </c>
      <c r="D2342" s="385" t="s">
        <v>11225</v>
      </c>
    </row>
    <row r="2343" spans="1:4" x14ac:dyDescent="0.25">
      <c r="A2343" s="384" t="s">
        <v>11226</v>
      </c>
      <c r="B2343" s="384" t="s">
        <v>11227</v>
      </c>
      <c r="C2343" s="384" t="s">
        <v>77</v>
      </c>
      <c r="D2343" s="385" t="s">
        <v>11228</v>
      </c>
    </row>
    <row r="2344" spans="1:4" x14ac:dyDescent="0.25">
      <c r="A2344" s="384" t="s">
        <v>11229</v>
      </c>
      <c r="B2344" s="384" t="s">
        <v>11230</v>
      </c>
      <c r="C2344" s="384" t="s">
        <v>77</v>
      </c>
      <c r="D2344" s="385" t="s">
        <v>11231</v>
      </c>
    </row>
    <row r="2345" spans="1:4" x14ac:dyDescent="0.25">
      <c r="A2345" s="384" t="s">
        <v>11232</v>
      </c>
      <c r="B2345" s="384" t="s">
        <v>11233</v>
      </c>
      <c r="C2345" s="384" t="s">
        <v>77</v>
      </c>
      <c r="D2345" s="385" t="s">
        <v>11234</v>
      </c>
    </row>
    <row r="2346" spans="1:4" x14ac:dyDescent="0.25">
      <c r="A2346" s="384" t="s">
        <v>11235</v>
      </c>
      <c r="B2346" s="384" t="s">
        <v>11236</v>
      </c>
      <c r="C2346" s="384" t="s">
        <v>77</v>
      </c>
      <c r="D2346" s="385" t="s">
        <v>11237</v>
      </c>
    </row>
    <row r="2347" spans="1:4" x14ac:dyDescent="0.25">
      <c r="A2347" s="384" t="s">
        <v>11238</v>
      </c>
      <c r="B2347" s="384" t="s">
        <v>11239</v>
      </c>
      <c r="C2347" s="384" t="s">
        <v>77</v>
      </c>
      <c r="D2347" s="385" t="s">
        <v>11240</v>
      </c>
    </row>
    <row r="2348" spans="1:4" x14ac:dyDescent="0.25">
      <c r="A2348" s="384" t="s">
        <v>11241</v>
      </c>
      <c r="B2348" s="384" t="s">
        <v>11242</v>
      </c>
      <c r="C2348" s="384" t="s">
        <v>77</v>
      </c>
      <c r="D2348" s="385" t="s">
        <v>11243</v>
      </c>
    </row>
    <row r="2349" spans="1:4" x14ac:dyDescent="0.25">
      <c r="A2349" s="384" t="s">
        <v>11244</v>
      </c>
      <c r="B2349" s="384" t="s">
        <v>11245</v>
      </c>
      <c r="C2349" s="384" t="s">
        <v>77</v>
      </c>
      <c r="D2349" s="385" t="s">
        <v>11246</v>
      </c>
    </row>
    <row r="2350" spans="1:4" x14ac:dyDescent="0.25">
      <c r="A2350" s="384" t="s">
        <v>11247</v>
      </c>
      <c r="B2350" s="384" t="s">
        <v>11248</v>
      </c>
      <c r="C2350" s="384" t="s">
        <v>77</v>
      </c>
      <c r="D2350" s="385" t="s">
        <v>9449</v>
      </c>
    </row>
    <row r="2351" spans="1:4" x14ac:dyDescent="0.25">
      <c r="A2351" s="384" t="s">
        <v>11249</v>
      </c>
      <c r="B2351" s="384" t="s">
        <v>11250</v>
      </c>
      <c r="C2351" s="384" t="s">
        <v>77</v>
      </c>
      <c r="D2351" s="385" t="s">
        <v>11251</v>
      </c>
    </row>
    <row r="2352" spans="1:4" x14ac:dyDescent="0.25">
      <c r="A2352" s="384" t="s">
        <v>11252</v>
      </c>
      <c r="B2352" s="384" t="s">
        <v>11253</v>
      </c>
      <c r="C2352" s="384" t="s">
        <v>77</v>
      </c>
      <c r="D2352" s="385" t="s">
        <v>11254</v>
      </c>
    </row>
    <row r="2353" spans="1:4" x14ac:dyDescent="0.25">
      <c r="A2353" s="384" t="s">
        <v>11255</v>
      </c>
      <c r="B2353" s="384" t="s">
        <v>11256</v>
      </c>
      <c r="C2353" s="384" t="s">
        <v>77</v>
      </c>
      <c r="D2353" s="385" t="s">
        <v>11257</v>
      </c>
    </row>
    <row r="2354" spans="1:4" x14ac:dyDescent="0.25">
      <c r="A2354" s="384" t="s">
        <v>11258</v>
      </c>
      <c r="B2354" s="384" t="s">
        <v>11259</v>
      </c>
      <c r="C2354" s="384" t="s">
        <v>77</v>
      </c>
      <c r="D2354" s="385" t="s">
        <v>10468</v>
      </c>
    </row>
    <row r="2355" spans="1:4" x14ac:dyDescent="0.25">
      <c r="A2355" s="384" t="s">
        <v>11260</v>
      </c>
      <c r="B2355" s="384" t="s">
        <v>11261</v>
      </c>
      <c r="C2355" s="384" t="s">
        <v>77</v>
      </c>
      <c r="D2355" s="385" t="s">
        <v>11262</v>
      </c>
    </row>
    <row r="2356" spans="1:4" x14ac:dyDescent="0.25">
      <c r="A2356" s="384" t="s">
        <v>11263</v>
      </c>
      <c r="B2356" s="384" t="s">
        <v>11264</v>
      </c>
      <c r="C2356" s="384" t="s">
        <v>77</v>
      </c>
      <c r="D2356" s="385" t="s">
        <v>11265</v>
      </c>
    </row>
    <row r="2357" spans="1:4" x14ac:dyDescent="0.25">
      <c r="A2357" s="384" t="s">
        <v>11266</v>
      </c>
      <c r="B2357" s="384" t="s">
        <v>11267</v>
      </c>
      <c r="C2357" s="384" t="s">
        <v>77</v>
      </c>
      <c r="D2357" s="385" t="s">
        <v>11268</v>
      </c>
    </row>
    <row r="2358" spans="1:4" x14ac:dyDescent="0.25">
      <c r="A2358" s="384" t="s">
        <v>11269</v>
      </c>
      <c r="B2358" s="384" t="s">
        <v>11270</v>
      </c>
      <c r="C2358" s="384" t="s">
        <v>77</v>
      </c>
      <c r="D2358" s="385" t="s">
        <v>11271</v>
      </c>
    </row>
    <row r="2359" spans="1:4" x14ac:dyDescent="0.25">
      <c r="A2359" s="384" t="s">
        <v>11272</v>
      </c>
      <c r="B2359" s="384" t="s">
        <v>11273</v>
      </c>
      <c r="C2359" s="384" t="s">
        <v>77</v>
      </c>
      <c r="D2359" s="385" t="s">
        <v>7755</v>
      </c>
    </row>
    <row r="2360" spans="1:4" x14ac:dyDescent="0.25">
      <c r="A2360" s="384" t="s">
        <v>11274</v>
      </c>
      <c r="B2360" s="384" t="s">
        <v>11275</v>
      </c>
      <c r="C2360" s="384" t="s">
        <v>77</v>
      </c>
      <c r="D2360" s="385" t="s">
        <v>11276</v>
      </c>
    </row>
    <row r="2361" spans="1:4" x14ac:dyDescent="0.25">
      <c r="A2361" s="384" t="s">
        <v>11277</v>
      </c>
      <c r="B2361" s="384" t="s">
        <v>11278</v>
      </c>
      <c r="C2361" s="384" t="s">
        <v>77</v>
      </c>
      <c r="D2361" s="385" t="s">
        <v>11279</v>
      </c>
    </row>
    <row r="2362" spans="1:4" x14ac:dyDescent="0.25">
      <c r="A2362" s="384" t="s">
        <v>11280</v>
      </c>
      <c r="B2362" s="384" t="s">
        <v>11281</v>
      </c>
      <c r="C2362" s="384" t="s">
        <v>77</v>
      </c>
      <c r="D2362" s="385" t="s">
        <v>11282</v>
      </c>
    </row>
    <row r="2363" spans="1:4" x14ac:dyDescent="0.25">
      <c r="A2363" s="384" t="s">
        <v>11283</v>
      </c>
      <c r="B2363" s="384" t="s">
        <v>11284</v>
      </c>
      <c r="C2363" s="384" t="s">
        <v>77</v>
      </c>
      <c r="D2363" s="385" t="s">
        <v>11285</v>
      </c>
    </row>
    <row r="2364" spans="1:4" x14ac:dyDescent="0.25">
      <c r="A2364" s="384" t="s">
        <v>11286</v>
      </c>
      <c r="B2364" s="384" t="s">
        <v>11287</v>
      </c>
      <c r="C2364" s="384" t="s">
        <v>77</v>
      </c>
      <c r="D2364" s="385" t="s">
        <v>11288</v>
      </c>
    </row>
    <row r="2365" spans="1:4" x14ac:dyDescent="0.25">
      <c r="A2365" s="384" t="s">
        <v>11289</v>
      </c>
      <c r="B2365" s="384" t="s">
        <v>11290</v>
      </c>
      <c r="C2365" s="384" t="s">
        <v>77</v>
      </c>
      <c r="D2365" s="385" t="s">
        <v>11291</v>
      </c>
    </row>
    <row r="2366" spans="1:4" x14ac:dyDescent="0.25">
      <c r="A2366" s="384" t="s">
        <v>11292</v>
      </c>
      <c r="B2366" s="384" t="s">
        <v>11293</v>
      </c>
      <c r="C2366" s="384" t="s">
        <v>77</v>
      </c>
      <c r="D2366" s="385" t="s">
        <v>4850</v>
      </c>
    </row>
    <row r="2367" spans="1:4" x14ac:dyDescent="0.25">
      <c r="A2367" s="384" t="s">
        <v>11294</v>
      </c>
      <c r="B2367" s="384" t="s">
        <v>11295</v>
      </c>
      <c r="C2367" s="384" t="s">
        <v>77</v>
      </c>
      <c r="D2367" s="385" t="s">
        <v>11296</v>
      </c>
    </row>
    <row r="2368" spans="1:4" x14ac:dyDescent="0.25">
      <c r="A2368" s="384" t="s">
        <v>11297</v>
      </c>
      <c r="B2368" s="384" t="s">
        <v>11298</v>
      </c>
      <c r="C2368" s="384" t="s">
        <v>77</v>
      </c>
      <c r="D2368" s="385" t="s">
        <v>11299</v>
      </c>
    </row>
    <row r="2369" spans="1:4" x14ac:dyDescent="0.25">
      <c r="A2369" s="384" t="s">
        <v>11300</v>
      </c>
      <c r="B2369" s="384" t="s">
        <v>11301</v>
      </c>
      <c r="C2369" s="384" t="s">
        <v>77</v>
      </c>
      <c r="D2369" s="385" t="s">
        <v>11302</v>
      </c>
    </row>
    <row r="2370" spans="1:4" x14ac:dyDescent="0.25">
      <c r="A2370" s="384" t="s">
        <v>11303</v>
      </c>
      <c r="B2370" s="384" t="s">
        <v>11304</v>
      </c>
      <c r="C2370" s="384" t="s">
        <v>77</v>
      </c>
      <c r="D2370" s="385" t="s">
        <v>11305</v>
      </c>
    </row>
    <row r="2371" spans="1:4" x14ac:dyDescent="0.25">
      <c r="A2371" s="384" t="s">
        <v>11306</v>
      </c>
      <c r="B2371" s="384" t="s">
        <v>11307</v>
      </c>
      <c r="C2371" s="384" t="s">
        <v>77</v>
      </c>
      <c r="D2371" s="385" t="s">
        <v>11308</v>
      </c>
    </row>
    <row r="2372" spans="1:4" x14ac:dyDescent="0.25">
      <c r="A2372" s="384" t="s">
        <v>11309</v>
      </c>
      <c r="B2372" s="384" t="s">
        <v>11310</v>
      </c>
      <c r="C2372" s="384" t="s">
        <v>77</v>
      </c>
      <c r="D2372" s="385" t="s">
        <v>11240</v>
      </c>
    </row>
    <row r="2373" spans="1:4" x14ac:dyDescent="0.25">
      <c r="A2373" s="384" t="s">
        <v>11311</v>
      </c>
      <c r="B2373" s="384" t="s">
        <v>11312</v>
      </c>
      <c r="C2373" s="384" t="s">
        <v>77</v>
      </c>
      <c r="D2373" s="385" t="s">
        <v>11313</v>
      </c>
    </row>
    <row r="2374" spans="1:4" x14ac:dyDescent="0.25">
      <c r="A2374" s="384" t="s">
        <v>11314</v>
      </c>
      <c r="B2374" s="384" t="s">
        <v>11315</v>
      </c>
      <c r="C2374" s="384" t="s">
        <v>77</v>
      </c>
      <c r="D2374" s="385" t="s">
        <v>11316</v>
      </c>
    </row>
    <row r="2375" spans="1:4" x14ac:dyDescent="0.25">
      <c r="A2375" s="384" t="s">
        <v>11317</v>
      </c>
      <c r="B2375" s="384" t="s">
        <v>11318</v>
      </c>
      <c r="C2375" s="384" t="s">
        <v>77</v>
      </c>
      <c r="D2375" s="385" t="s">
        <v>11319</v>
      </c>
    </row>
    <row r="2376" spans="1:4" x14ac:dyDescent="0.25">
      <c r="A2376" s="384" t="s">
        <v>11320</v>
      </c>
      <c r="B2376" s="384" t="s">
        <v>11321</v>
      </c>
      <c r="C2376" s="384" t="s">
        <v>77</v>
      </c>
      <c r="D2376" s="385" t="s">
        <v>11322</v>
      </c>
    </row>
    <row r="2377" spans="1:4" x14ac:dyDescent="0.25">
      <c r="A2377" s="384" t="s">
        <v>11323</v>
      </c>
      <c r="B2377" s="384" t="s">
        <v>11324</v>
      </c>
      <c r="C2377" s="384" t="s">
        <v>77</v>
      </c>
      <c r="D2377" s="385" t="s">
        <v>11325</v>
      </c>
    </row>
    <row r="2378" spans="1:4" x14ac:dyDescent="0.25">
      <c r="A2378" s="384" t="s">
        <v>11326</v>
      </c>
      <c r="B2378" s="384" t="s">
        <v>11327</v>
      </c>
      <c r="C2378" s="384" t="s">
        <v>77</v>
      </c>
      <c r="D2378" s="385" t="s">
        <v>5636</v>
      </c>
    </row>
    <row r="2379" spans="1:4" x14ac:dyDescent="0.25">
      <c r="A2379" s="384" t="s">
        <v>11328</v>
      </c>
      <c r="B2379" s="384" t="s">
        <v>11329</v>
      </c>
      <c r="C2379" s="384" t="s">
        <v>77</v>
      </c>
      <c r="D2379" s="385" t="s">
        <v>11330</v>
      </c>
    </row>
    <row r="2380" spans="1:4" x14ac:dyDescent="0.25">
      <c r="A2380" s="384" t="s">
        <v>11331</v>
      </c>
      <c r="B2380" s="384" t="s">
        <v>11332</v>
      </c>
      <c r="C2380" s="384" t="s">
        <v>77</v>
      </c>
      <c r="D2380" s="385" t="s">
        <v>11333</v>
      </c>
    </row>
    <row r="2381" spans="1:4" x14ac:dyDescent="0.25">
      <c r="A2381" s="384" t="s">
        <v>11334</v>
      </c>
      <c r="B2381" s="384" t="s">
        <v>11335</v>
      </c>
      <c r="C2381" s="384" t="s">
        <v>77</v>
      </c>
      <c r="D2381" s="385" t="s">
        <v>11237</v>
      </c>
    </row>
    <row r="2382" spans="1:4" x14ac:dyDescent="0.25">
      <c r="A2382" s="384" t="s">
        <v>11336</v>
      </c>
      <c r="B2382" s="384" t="s">
        <v>11337</v>
      </c>
      <c r="C2382" s="384" t="s">
        <v>77</v>
      </c>
      <c r="D2382" s="385" t="s">
        <v>11338</v>
      </c>
    </row>
    <row r="2383" spans="1:4" x14ac:dyDescent="0.25">
      <c r="A2383" s="384" t="s">
        <v>11339</v>
      </c>
      <c r="B2383" s="384" t="s">
        <v>11340</v>
      </c>
      <c r="C2383" s="384" t="s">
        <v>77</v>
      </c>
      <c r="D2383" s="385" t="s">
        <v>11341</v>
      </c>
    </row>
    <row r="2384" spans="1:4" x14ac:dyDescent="0.25">
      <c r="A2384" s="384" t="s">
        <v>11342</v>
      </c>
      <c r="B2384" s="384" t="s">
        <v>11343</v>
      </c>
      <c r="C2384" s="384" t="s">
        <v>77</v>
      </c>
      <c r="D2384" s="385" t="s">
        <v>11344</v>
      </c>
    </row>
    <row r="2385" spans="1:4" x14ac:dyDescent="0.25">
      <c r="A2385" s="384" t="s">
        <v>11345</v>
      </c>
      <c r="B2385" s="384" t="s">
        <v>11346</v>
      </c>
      <c r="C2385" s="384" t="s">
        <v>77</v>
      </c>
      <c r="D2385" s="385" t="s">
        <v>11347</v>
      </c>
    </row>
    <row r="2386" spans="1:4" x14ac:dyDescent="0.25">
      <c r="A2386" s="384" t="s">
        <v>11348</v>
      </c>
      <c r="B2386" s="384" t="s">
        <v>11349</v>
      </c>
      <c r="C2386" s="384" t="s">
        <v>77</v>
      </c>
      <c r="D2386" s="385" t="s">
        <v>11350</v>
      </c>
    </row>
    <row r="2387" spans="1:4" x14ac:dyDescent="0.25">
      <c r="A2387" s="384" t="s">
        <v>11351</v>
      </c>
      <c r="B2387" s="384" t="s">
        <v>11352</v>
      </c>
      <c r="C2387" s="384" t="s">
        <v>77</v>
      </c>
      <c r="D2387" s="385" t="s">
        <v>11353</v>
      </c>
    </row>
    <row r="2388" spans="1:4" x14ac:dyDescent="0.25">
      <c r="A2388" s="384" t="s">
        <v>11354</v>
      </c>
      <c r="B2388" s="384" t="s">
        <v>11355</v>
      </c>
      <c r="C2388" s="384" t="s">
        <v>77</v>
      </c>
      <c r="D2388" s="385" t="s">
        <v>11356</v>
      </c>
    </row>
    <row r="2389" spans="1:4" x14ac:dyDescent="0.25">
      <c r="A2389" s="384" t="s">
        <v>11357</v>
      </c>
      <c r="B2389" s="384" t="s">
        <v>11358</v>
      </c>
      <c r="C2389" s="384" t="s">
        <v>77</v>
      </c>
      <c r="D2389" s="385" t="s">
        <v>11359</v>
      </c>
    </row>
    <row r="2390" spans="1:4" x14ac:dyDescent="0.25">
      <c r="A2390" s="384" t="s">
        <v>11360</v>
      </c>
      <c r="B2390" s="384" t="s">
        <v>11361</v>
      </c>
      <c r="C2390" s="384" t="s">
        <v>77</v>
      </c>
      <c r="D2390" s="385" t="s">
        <v>11362</v>
      </c>
    </row>
    <row r="2391" spans="1:4" x14ac:dyDescent="0.25">
      <c r="A2391" s="384" t="s">
        <v>11363</v>
      </c>
      <c r="B2391" s="384" t="s">
        <v>11364</v>
      </c>
      <c r="C2391" s="384" t="s">
        <v>77</v>
      </c>
      <c r="D2391" s="385" t="s">
        <v>11365</v>
      </c>
    </row>
    <row r="2392" spans="1:4" x14ac:dyDescent="0.25">
      <c r="A2392" s="384" t="s">
        <v>11366</v>
      </c>
      <c r="B2392" s="384" t="s">
        <v>11367</v>
      </c>
      <c r="C2392" s="384" t="s">
        <v>77</v>
      </c>
      <c r="D2392" s="385" t="s">
        <v>11368</v>
      </c>
    </row>
    <row r="2393" spans="1:4" x14ac:dyDescent="0.25">
      <c r="A2393" s="384" t="s">
        <v>11369</v>
      </c>
      <c r="B2393" s="384" t="s">
        <v>11370</v>
      </c>
      <c r="C2393" s="384" t="s">
        <v>77</v>
      </c>
      <c r="D2393" s="385" t="s">
        <v>11371</v>
      </c>
    </row>
    <row r="2394" spans="1:4" x14ac:dyDescent="0.25">
      <c r="A2394" s="384" t="s">
        <v>11372</v>
      </c>
      <c r="B2394" s="384" t="s">
        <v>11373</v>
      </c>
      <c r="C2394" s="384" t="s">
        <v>77</v>
      </c>
      <c r="D2394" s="385" t="s">
        <v>11374</v>
      </c>
    </row>
    <row r="2395" spans="1:4" x14ac:dyDescent="0.25">
      <c r="A2395" s="384" t="s">
        <v>11375</v>
      </c>
      <c r="B2395" s="384" t="s">
        <v>11376</v>
      </c>
      <c r="C2395" s="384" t="s">
        <v>77</v>
      </c>
      <c r="D2395" s="385" t="s">
        <v>11377</v>
      </c>
    </row>
    <row r="2396" spans="1:4" x14ac:dyDescent="0.25">
      <c r="A2396" s="384" t="s">
        <v>11378</v>
      </c>
      <c r="B2396" s="384" t="s">
        <v>11379</v>
      </c>
      <c r="C2396" s="384" t="s">
        <v>77</v>
      </c>
      <c r="D2396" s="385" t="s">
        <v>11268</v>
      </c>
    </row>
    <row r="2397" spans="1:4" x14ac:dyDescent="0.25">
      <c r="A2397" s="384" t="s">
        <v>11380</v>
      </c>
      <c r="B2397" s="384" t="s">
        <v>11381</v>
      </c>
      <c r="C2397" s="384" t="s">
        <v>77</v>
      </c>
      <c r="D2397" s="385" t="s">
        <v>11382</v>
      </c>
    </row>
    <row r="2398" spans="1:4" x14ac:dyDescent="0.25">
      <c r="A2398" s="384" t="s">
        <v>11383</v>
      </c>
      <c r="B2398" s="384" t="s">
        <v>11384</v>
      </c>
      <c r="C2398" s="384" t="s">
        <v>77</v>
      </c>
      <c r="D2398" s="385" t="s">
        <v>4523</v>
      </c>
    </row>
    <row r="2399" spans="1:4" x14ac:dyDescent="0.25">
      <c r="A2399" s="384" t="s">
        <v>11385</v>
      </c>
      <c r="B2399" s="384" t="s">
        <v>11386</v>
      </c>
      <c r="C2399" s="384" t="s">
        <v>77</v>
      </c>
      <c r="D2399" s="385" t="s">
        <v>11387</v>
      </c>
    </row>
    <row r="2400" spans="1:4" x14ac:dyDescent="0.25">
      <c r="A2400" s="384" t="s">
        <v>11388</v>
      </c>
      <c r="B2400" s="384" t="s">
        <v>11389</v>
      </c>
      <c r="C2400" s="384" t="s">
        <v>77</v>
      </c>
      <c r="D2400" s="385" t="s">
        <v>4814</v>
      </c>
    </row>
    <row r="2401" spans="1:4" x14ac:dyDescent="0.25">
      <c r="A2401" s="384" t="s">
        <v>11390</v>
      </c>
      <c r="B2401" s="384" t="s">
        <v>11391</v>
      </c>
      <c r="C2401" s="384" t="s">
        <v>77</v>
      </c>
      <c r="D2401" s="385" t="s">
        <v>11392</v>
      </c>
    </row>
    <row r="2402" spans="1:4" x14ac:dyDescent="0.25">
      <c r="A2402" s="384" t="s">
        <v>11393</v>
      </c>
      <c r="B2402" s="384" t="s">
        <v>11394</v>
      </c>
      <c r="C2402" s="384" t="s">
        <v>77</v>
      </c>
      <c r="D2402" s="385" t="s">
        <v>11395</v>
      </c>
    </row>
    <row r="2403" spans="1:4" x14ac:dyDescent="0.25">
      <c r="A2403" s="384" t="s">
        <v>11396</v>
      </c>
      <c r="B2403" s="384" t="s">
        <v>11397</v>
      </c>
      <c r="C2403" s="384" t="s">
        <v>77</v>
      </c>
      <c r="D2403" s="385" t="s">
        <v>11398</v>
      </c>
    </row>
    <row r="2404" spans="1:4" x14ac:dyDescent="0.25">
      <c r="A2404" s="384" t="s">
        <v>11399</v>
      </c>
      <c r="B2404" s="384" t="s">
        <v>11400</v>
      </c>
      <c r="C2404" s="384" t="s">
        <v>77</v>
      </c>
      <c r="D2404" s="385" t="s">
        <v>11401</v>
      </c>
    </row>
    <row r="2405" spans="1:4" x14ac:dyDescent="0.25">
      <c r="A2405" s="384" t="s">
        <v>11402</v>
      </c>
      <c r="B2405" s="384" t="s">
        <v>11403</v>
      </c>
      <c r="C2405" s="384" t="s">
        <v>77</v>
      </c>
      <c r="D2405" s="385" t="s">
        <v>11404</v>
      </c>
    </row>
    <row r="2406" spans="1:4" x14ac:dyDescent="0.25">
      <c r="A2406" s="384" t="s">
        <v>11405</v>
      </c>
      <c r="B2406" s="384" t="s">
        <v>11406</v>
      </c>
      <c r="C2406" s="384" t="s">
        <v>77</v>
      </c>
      <c r="D2406" s="385" t="s">
        <v>11407</v>
      </c>
    </row>
    <row r="2407" spans="1:4" x14ac:dyDescent="0.25">
      <c r="A2407" s="384" t="s">
        <v>11408</v>
      </c>
      <c r="B2407" s="384" t="s">
        <v>11409</v>
      </c>
      <c r="C2407" s="384" t="s">
        <v>77</v>
      </c>
      <c r="D2407" s="385" t="s">
        <v>11410</v>
      </c>
    </row>
    <row r="2408" spans="1:4" x14ac:dyDescent="0.25">
      <c r="A2408" s="384" t="s">
        <v>11411</v>
      </c>
      <c r="B2408" s="384" t="s">
        <v>11412</v>
      </c>
      <c r="C2408" s="384" t="s">
        <v>77</v>
      </c>
      <c r="D2408" s="385" t="s">
        <v>11413</v>
      </c>
    </row>
    <row r="2409" spans="1:4" x14ac:dyDescent="0.25">
      <c r="A2409" s="384" t="s">
        <v>11414</v>
      </c>
      <c r="B2409" s="384" t="s">
        <v>11415</v>
      </c>
      <c r="C2409" s="384" t="s">
        <v>77</v>
      </c>
      <c r="D2409" s="385" t="s">
        <v>11416</v>
      </c>
    </row>
    <row r="2410" spans="1:4" x14ac:dyDescent="0.25">
      <c r="A2410" s="384" t="s">
        <v>11417</v>
      </c>
      <c r="B2410" s="384" t="s">
        <v>11418</v>
      </c>
      <c r="C2410" s="384" t="s">
        <v>77</v>
      </c>
      <c r="D2410" s="385" t="s">
        <v>11419</v>
      </c>
    </row>
    <row r="2411" spans="1:4" x14ac:dyDescent="0.25">
      <c r="A2411" s="384" t="s">
        <v>11420</v>
      </c>
      <c r="B2411" s="384" t="s">
        <v>11421</v>
      </c>
      <c r="C2411" s="384" t="s">
        <v>77</v>
      </c>
      <c r="D2411" s="385" t="s">
        <v>11422</v>
      </c>
    </row>
    <row r="2412" spans="1:4" x14ac:dyDescent="0.25">
      <c r="A2412" s="384" t="s">
        <v>11423</v>
      </c>
      <c r="B2412" s="384" t="s">
        <v>11424</v>
      </c>
      <c r="C2412" s="384" t="s">
        <v>77</v>
      </c>
      <c r="D2412" s="385" t="s">
        <v>11425</v>
      </c>
    </row>
    <row r="2413" spans="1:4" x14ac:dyDescent="0.25">
      <c r="A2413" s="384" t="s">
        <v>11426</v>
      </c>
      <c r="B2413" s="384" t="s">
        <v>11427</v>
      </c>
      <c r="C2413" s="384" t="s">
        <v>77</v>
      </c>
      <c r="D2413" s="385" t="s">
        <v>11428</v>
      </c>
    </row>
    <row r="2414" spans="1:4" x14ac:dyDescent="0.25">
      <c r="A2414" s="384" t="s">
        <v>11429</v>
      </c>
      <c r="B2414" s="384" t="s">
        <v>11430</v>
      </c>
      <c r="C2414" s="384" t="s">
        <v>77</v>
      </c>
      <c r="D2414" s="385" t="s">
        <v>11431</v>
      </c>
    </row>
    <row r="2415" spans="1:4" x14ac:dyDescent="0.25">
      <c r="A2415" s="384" t="s">
        <v>11432</v>
      </c>
      <c r="B2415" s="384" t="s">
        <v>11433</v>
      </c>
      <c r="C2415" s="384" t="s">
        <v>77</v>
      </c>
      <c r="D2415" s="385" t="s">
        <v>11434</v>
      </c>
    </row>
    <row r="2416" spans="1:4" x14ac:dyDescent="0.25">
      <c r="A2416" s="384" t="s">
        <v>11435</v>
      </c>
      <c r="B2416" s="384" t="s">
        <v>11436</v>
      </c>
      <c r="C2416" s="384" t="s">
        <v>77</v>
      </c>
      <c r="D2416" s="385" t="s">
        <v>11437</v>
      </c>
    </row>
    <row r="2417" spans="1:4" x14ac:dyDescent="0.25">
      <c r="A2417" s="384" t="s">
        <v>11438</v>
      </c>
      <c r="B2417" s="384" t="s">
        <v>11439</v>
      </c>
      <c r="C2417" s="384" t="s">
        <v>77</v>
      </c>
      <c r="D2417" s="385" t="s">
        <v>11440</v>
      </c>
    </row>
    <row r="2418" spans="1:4" x14ac:dyDescent="0.25">
      <c r="A2418" s="384" t="s">
        <v>11441</v>
      </c>
      <c r="B2418" s="384" t="s">
        <v>11442</v>
      </c>
      <c r="C2418" s="384" t="s">
        <v>77</v>
      </c>
      <c r="D2418" s="385" t="s">
        <v>11443</v>
      </c>
    </row>
    <row r="2419" spans="1:4" x14ac:dyDescent="0.25">
      <c r="A2419" s="384" t="s">
        <v>11444</v>
      </c>
      <c r="B2419" s="384" t="s">
        <v>11445</v>
      </c>
      <c r="C2419" s="384" t="s">
        <v>77</v>
      </c>
      <c r="D2419" s="385" t="s">
        <v>11446</v>
      </c>
    </row>
    <row r="2420" spans="1:4" x14ac:dyDescent="0.25">
      <c r="A2420" s="384" t="s">
        <v>11447</v>
      </c>
      <c r="B2420" s="384" t="s">
        <v>11448</v>
      </c>
      <c r="C2420" s="384" t="s">
        <v>77</v>
      </c>
      <c r="D2420" s="385" t="s">
        <v>11449</v>
      </c>
    </row>
    <row r="2421" spans="1:4" x14ac:dyDescent="0.25">
      <c r="A2421" s="384" t="s">
        <v>11450</v>
      </c>
      <c r="B2421" s="384" t="s">
        <v>11451</v>
      </c>
      <c r="C2421" s="384" t="s">
        <v>77</v>
      </c>
      <c r="D2421" s="385" t="s">
        <v>11452</v>
      </c>
    </row>
    <row r="2422" spans="1:4" x14ac:dyDescent="0.25">
      <c r="A2422" s="384" t="s">
        <v>11453</v>
      </c>
      <c r="B2422" s="384" t="s">
        <v>11454</v>
      </c>
      <c r="C2422" s="384" t="s">
        <v>77</v>
      </c>
      <c r="D2422" s="385" t="s">
        <v>11455</v>
      </c>
    </row>
    <row r="2423" spans="1:4" x14ac:dyDescent="0.25">
      <c r="A2423" s="384" t="s">
        <v>11456</v>
      </c>
      <c r="B2423" s="384" t="s">
        <v>11457</v>
      </c>
      <c r="C2423" s="384" t="s">
        <v>77</v>
      </c>
      <c r="D2423" s="385" t="s">
        <v>11458</v>
      </c>
    </row>
    <row r="2424" spans="1:4" x14ac:dyDescent="0.25">
      <c r="A2424" s="384" t="s">
        <v>11459</v>
      </c>
      <c r="B2424" s="384" t="s">
        <v>11460</v>
      </c>
      <c r="C2424" s="384" t="s">
        <v>77</v>
      </c>
      <c r="D2424" s="385" t="s">
        <v>11461</v>
      </c>
    </row>
    <row r="2425" spans="1:4" x14ac:dyDescent="0.25">
      <c r="A2425" s="384" t="s">
        <v>11462</v>
      </c>
      <c r="B2425" s="384" t="s">
        <v>11463</v>
      </c>
      <c r="C2425" s="384" t="s">
        <v>77</v>
      </c>
      <c r="D2425" s="385" t="s">
        <v>11464</v>
      </c>
    </row>
    <row r="2426" spans="1:4" x14ac:dyDescent="0.25">
      <c r="A2426" s="384" t="s">
        <v>11465</v>
      </c>
      <c r="B2426" s="384" t="s">
        <v>11466</v>
      </c>
      <c r="C2426" s="384" t="s">
        <v>77</v>
      </c>
      <c r="D2426" s="385" t="s">
        <v>11467</v>
      </c>
    </row>
    <row r="2427" spans="1:4" x14ac:dyDescent="0.25">
      <c r="A2427" s="384" t="s">
        <v>11468</v>
      </c>
      <c r="B2427" s="384" t="s">
        <v>11469</v>
      </c>
      <c r="C2427" s="384" t="s">
        <v>77</v>
      </c>
      <c r="D2427" s="385" t="s">
        <v>11470</v>
      </c>
    </row>
    <row r="2428" spans="1:4" x14ac:dyDescent="0.25">
      <c r="A2428" s="384" t="s">
        <v>11471</v>
      </c>
      <c r="B2428" s="384" t="s">
        <v>11472</v>
      </c>
      <c r="C2428" s="384" t="s">
        <v>77</v>
      </c>
      <c r="D2428" s="385" t="s">
        <v>11473</v>
      </c>
    </row>
    <row r="2429" spans="1:4" x14ac:dyDescent="0.25">
      <c r="A2429" s="384" t="s">
        <v>11474</v>
      </c>
      <c r="B2429" s="384" t="s">
        <v>11475</v>
      </c>
      <c r="C2429" s="384" t="s">
        <v>77</v>
      </c>
      <c r="D2429" s="385" t="s">
        <v>11476</v>
      </c>
    </row>
    <row r="2430" spans="1:4" x14ac:dyDescent="0.25">
      <c r="A2430" s="384" t="s">
        <v>11477</v>
      </c>
      <c r="B2430" s="384" t="s">
        <v>11478</v>
      </c>
      <c r="C2430" s="384" t="s">
        <v>77</v>
      </c>
      <c r="D2430" s="385" t="s">
        <v>11333</v>
      </c>
    </row>
    <row r="2431" spans="1:4" x14ac:dyDescent="0.25">
      <c r="A2431" s="384" t="s">
        <v>11479</v>
      </c>
      <c r="B2431" s="384" t="s">
        <v>11480</v>
      </c>
      <c r="C2431" s="384" t="s">
        <v>77</v>
      </c>
      <c r="D2431" s="385" t="s">
        <v>11481</v>
      </c>
    </row>
    <row r="2432" spans="1:4" x14ac:dyDescent="0.25">
      <c r="A2432" s="384" t="s">
        <v>11482</v>
      </c>
      <c r="B2432" s="384" t="s">
        <v>11483</v>
      </c>
      <c r="C2432" s="384" t="s">
        <v>77</v>
      </c>
      <c r="D2432" s="385" t="s">
        <v>8371</v>
      </c>
    </row>
    <row r="2433" spans="1:4" x14ac:dyDescent="0.25">
      <c r="A2433" s="384" t="s">
        <v>11484</v>
      </c>
      <c r="B2433" s="384" t="s">
        <v>11485</v>
      </c>
      <c r="C2433" s="384" t="s">
        <v>77</v>
      </c>
      <c r="D2433" s="385" t="s">
        <v>11486</v>
      </c>
    </row>
    <row r="2434" spans="1:4" x14ac:dyDescent="0.25">
      <c r="A2434" s="384" t="s">
        <v>11487</v>
      </c>
      <c r="B2434" s="384" t="s">
        <v>11488</v>
      </c>
      <c r="C2434" s="384" t="s">
        <v>77</v>
      </c>
      <c r="D2434" s="385" t="s">
        <v>7090</v>
      </c>
    </row>
    <row r="2435" spans="1:4" x14ac:dyDescent="0.25">
      <c r="A2435" s="384" t="s">
        <v>11489</v>
      </c>
      <c r="B2435" s="384" t="s">
        <v>11490</v>
      </c>
      <c r="C2435" s="384" t="s">
        <v>77</v>
      </c>
      <c r="D2435" s="385" t="s">
        <v>11319</v>
      </c>
    </row>
    <row r="2436" spans="1:4" x14ac:dyDescent="0.25">
      <c r="A2436" s="384" t="s">
        <v>11491</v>
      </c>
      <c r="B2436" s="384" t="s">
        <v>11492</v>
      </c>
      <c r="C2436" s="384" t="s">
        <v>77</v>
      </c>
      <c r="D2436" s="385" t="s">
        <v>11493</v>
      </c>
    </row>
    <row r="2437" spans="1:4" x14ac:dyDescent="0.25">
      <c r="A2437" s="384" t="s">
        <v>11494</v>
      </c>
      <c r="B2437" s="384" t="s">
        <v>11495</v>
      </c>
      <c r="C2437" s="384" t="s">
        <v>77</v>
      </c>
      <c r="D2437" s="385" t="s">
        <v>11496</v>
      </c>
    </row>
    <row r="2438" spans="1:4" x14ac:dyDescent="0.25">
      <c r="A2438" s="384" t="s">
        <v>11497</v>
      </c>
      <c r="B2438" s="384" t="s">
        <v>11498</v>
      </c>
      <c r="C2438" s="384" t="s">
        <v>77</v>
      </c>
      <c r="D2438" s="385" t="s">
        <v>11499</v>
      </c>
    </row>
    <row r="2439" spans="1:4" x14ac:dyDescent="0.25">
      <c r="A2439" s="384" t="s">
        <v>11500</v>
      </c>
      <c r="B2439" s="384" t="s">
        <v>11501</v>
      </c>
      <c r="C2439" s="384" t="s">
        <v>77</v>
      </c>
      <c r="D2439" s="385" t="s">
        <v>7185</v>
      </c>
    </row>
    <row r="2440" spans="1:4" x14ac:dyDescent="0.25">
      <c r="A2440" s="384" t="s">
        <v>11502</v>
      </c>
      <c r="B2440" s="384" t="s">
        <v>11503</v>
      </c>
      <c r="C2440" s="384" t="s">
        <v>77</v>
      </c>
      <c r="D2440" s="385" t="s">
        <v>11504</v>
      </c>
    </row>
    <row r="2441" spans="1:4" x14ac:dyDescent="0.25">
      <c r="A2441" s="384" t="s">
        <v>11505</v>
      </c>
      <c r="B2441" s="384" t="s">
        <v>11506</v>
      </c>
      <c r="C2441" s="384" t="s">
        <v>77</v>
      </c>
      <c r="D2441" s="385" t="s">
        <v>11395</v>
      </c>
    </row>
    <row r="2442" spans="1:4" x14ac:dyDescent="0.25">
      <c r="A2442" s="384" t="s">
        <v>11507</v>
      </c>
      <c r="B2442" s="384" t="s">
        <v>11508</v>
      </c>
      <c r="C2442" s="384" t="s">
        <v>77</v>
      </c>
      <c r="D2442" s="385" t="s">
        <v>11509</v>
      </c>
    </row>
    <row r="2443" spans="1:4" x14ac:dyDescent="0.25">
      <c r="A2443" s="384" t="s">
        <v>11510</v>
      </c>
      <c r="B2443" s="384" t="s">
        <v>11511</v>
      </c>
      <c r="C2443" s="384" t="s">
        <v>77</v>
      </c>
      <c r="D2443" s="385" t="s">
        <v>11512</v>
      </c>
    </row>
    <row r="2444" spans="1:4" x14ac:dyDescent="0.25">
      <c r="A2444" s="384" t="s">
        <v>11513</v>
      </c>
      <c r="B2444" s="384" t="s">
        <v>11514</v>
      </c>
      <c r="C2444" s="384" t="s">
        <v>77</v>
      </c>
      <c r="D2444" s="385" t="s">
        <v>11515</v>
      </c>
    </row>
    <row r="2445" spans="1:4" x14ac:dyDescent="0.25">
      <c r="A2445" s="384" t="s">
        <v>11516</v>
      </c>
      <c r="B2445" s="384" t="s">
        <v>11517</v>
      </c>
      <c r="C2445" s="384" t="s">
        <v>77</v>
      </c>
      <c r="D2445" s="385" t="s">
        <v>11518</v>
      </c>
    </row>
    <row r="2446" spans="1:4" x14ac:dyDescent="0.25">
      <c r="A2446" s="384" t="s">
        <v>11519</v>
      </c>
      <c r="B2446" s="384" t="s">
        <v>11520</v>
      </c>
      <c r="C2446" s="384" t="s">
        <v>77</v>
      </c>
      <c r="D2446" s="385" t="s">
        <v>11521</v>
      </c>
    </row>
    <row r="2447" spans="1:4" x14ac:dyDescent="0.25">
      <c r="A2447" s="384" t="s">
        <v>11522</v>
      </c>
      <c r="B2447" s="384" t="s">
        <v>11523</v>
      </c>
      <c r="C2447" s="384" t="s">
        <v>77</v>
      </c>
      <c r="D2447" s="385" t="s">
        <v>11524</v>
      </c>
    </row>
    <row r="2448" spans="1:4" x14ac:dyDescent="0.25">
      <c r="A2448" s="384" t="s">
        <v>11525</v>
      </c>
      <c r="B2448" s="384" t="s">
        <v>11526</v>
      </c>
      <c r="C2448" s="384" t="s">
        <v>76</v>
      </c>
      <c r="D2448" s="385" t="s">
        <v>11527</v>
      </c>
    </row>
    <row r="2449" spans="1:4" x14ac:dyDescent="0.25">
      <c r="A2449" s="384" t="s">
        <v>11528</v>
      </c>
      <c r="B2449" s="384" t="s">
        <v>11529</v>
      </c>
      <c r="C2449" s="384" t="s">
        <v>76</v>
      </c>
      <c r="D2449" s="385" t="s">
        <v>11530</v>
      </c>
    </row>
    <row r="2450" spans="1:4" x14ac:dyDescent="0.25">
      <c r="A2450" s="384" t="s">
        <v>11531</v>
      </c>
      <c r="B2450" s="384" t="s">
        <v>11532</v>
      </c>
      <c r="C2450" s="384" t="s">
        <v>76</v>
      </c>
      <c r="D2450" s="385" t="s">
        <v>11533</v>
      </c>
    </row>
    <row r="2451" spans="1:4" x14ac:dyDescent="0.25">
      <c r="A2451" s="384" t="s">
        <v>11534</v>
      </c>
      <c r="B2451" s="384" t="s">
        <v>11535</v>
      </c>
      <c r="C2451" s="384" t="s">
        <v>76</v>
      </c>
      <c r="D2451" s="385" t="s">
        <v>11536</v>
      </c>
    </row>
    <row r="2452" spans="1:4" x14ac:dyDescent="0.25">
      <c r="A2452" s="384" t="s">
        <v>11537</v>
      </c>
      <c r="B2452" s="384" t="s">
        <v>11538</v>
      </c>
      <c r="C2452" s="384" t="s">
        <v>76</v>
      </c>
      <c r="D2452" s="385" t="s">
        <v>11539</v>
      </c>
    </row>
    <row r="2453" spans="1:4" x14ac:dyDescent="0.25">
      <c r="A2453" s="384" t="s">
        <v>11540</v>
      </c>
      <c r="B2453" s="384" t="s">
        <v>11541</v>
      </c>
      <c r="C2453" s="384" t="s">
        <v>76</v>
      </c>
      <c r="D2453" s="385" t="s">
        <v>11542</v>
      </c>
    </row>
    <row r="2454" spans="1:4" x14ac:dyDescent="0.25">
      <c r="A2454" s="384" t="s">
        <v>11543</v>
      </c>
      <c r="B2454" s="384" t="s">
        <v>11544</v>
      </c>
      <c r="C2454" s="384" t="s">
        <v>76</v>
      </c>
      <c r="D2454" s="385" t="s">
        <v>11545</v>
      </c>
    </row>
    <row r="2455" spans="1:4" x14ac:dyDescent="0.25">
      <c r="A2455" s="384" t="s">
        <v>11546</v>
      </c>
      <c r="B2455" s="384" t="s">
        <v>11547</v>
      </c>
      <c r="C2455" s="384" t="s">
        <v>76</v>
      </c>
      <c r="D2455" s="385" t="s">
        <v>11548</v>
      </c>
    </row>
    <row r="2456" spans="1:4" x14ac:dyDescent="0.25">
      <c r="A2456" s="384" t="s">
        <v>11549</v>
      </c>
      <c r="B2456" s="384" t="s">
        <v>11550</v>
      </c>
      <c r="C2456" s="384" t="s">
        <v>76</v>
      </c>
      <c r="D2456" s="385" t="s">
        <v>11551</v>
      </c>
    </row>
    <row r="2457" spans="1:4" x14ac:dyDescent="0.25">
      <c r="A2457" s="384" t="s">
        <v>11552</v>
      </c>
      <c r="B2457" s="384" t="s">
        <v>11553</v>
      </c>
      <c r="C2457" s="384" t="s">
        <v>76</v>
      </c>
      <c r="D2457" s="385" t="s">
        <v>11554</v>
      </c>
    </row>
    <row r="2458" spans="1:4" x14ac:dyDescent="0.25">
      <c r="A2458" s="384" t="s">
        <v>11555</v>
      </c>
      <c r="B2458" s="384" t="s">
        <v>11556</v>
      </c>
      <c r="C2458" s="384" t="s">
        <v>76</v>
      </c>
      <c r="D2458" s="385" t="s">
        <v>11557</v>
      </c>
    </row>
    <row r="2459" spans="1:4" x14ac:dyDescent="0.25">
      <c r="A2459" s="384" t="s">
        <v>11558</v>
      </c>
      <c r="B2459" s="384" t="s">
        <v>11559</v>
      </c>
      <c r="C2459" s="384" t="s">
        <v>76</v>
      </c>
      <c r="D2459" s="385" t="s">
        <v>11560</v>
      </c>
    </row>
    <row r="2460" spans="1:4" x14ac:dyDescent="0.25">
      <c r="A2460" s="384" t="s">
        <v>11561</v>
      </c>
      <c r="B2460" s="384" t="s">
        <v>11562</v>
      </c>
      <c r="C2460" s="384" t="s">
        <v>76</v>
      </c>
      <c r="D2460" s="385" t="s">
        <v>11563</v>
      </c>
    </row>
    <row r="2461" spans="1:4" x14ac:dyDescent="0.25">
      <c r="A2461" s="384" t="s">
        <v>11564</v>
      </c>
      <c r="B2461" s="384" t="s">
        <v>11565</v>
      </c>
      <c r="C2461" s="384" t="s">
        <v>76</v>
      </c>
      <c r="D2461" s="385" t="s">
        <v>11566</v>
      </c>
    </row>
    <row r="2462" spans="1:4" x14ac:dyDescent="0.25">
      <c r="A2462" s="384" t="s">
        <v>11567</v>
      </c>
      <c r="B2462" s="384" t="s">
        <v>11568</v>
      </c>
      <c r="C2462" s="384" t="s">
        <v>76</v>
      </c>
      <c r="D2462" s="385" t="s">
        <v>11569</v>
      </c>
    </row>
    <row r="2463" spans="1:4" x14ac:dyDescent="0.25">
      <c r="A2463" s="384" t="s">
        <v>11570</v>
      </c>
      <c r="B2463" s="384" t="s">
        <v>11571</v>
      </c>
      <c r="C2463" s="384" t="s">
        <v>76</v>
      </c>
      <c r="D2463" s="385" t="s">
        <v>11572</v>
      </c>
    </row>
    <row r="2464" spans="1:4" x14ac:dyDescent="0.25">
      <c r="A2464" s="384" t="s">
        <v>11573</v>
      </c>
      <c r="B2464" s="384" t="s">
        <v>11574</v>
      </c>
      <c r="C2464" s="384" t="s">
        <v>76</v>
      </c>
      <c r="D2464" s="385" t="s">
        <v>11575</v>
      </c>
    </row>
    <row r="2465" spans="1:4" x14ac:dyDescent="0.25">
      <c r="A2465" s="384" t="s">
        <v>11576</v>
      </c>
      <c r="B2465" s="384" t="s">
        <v>11577</v>
      </c>
      <c r="C2465" s="384" t="s">
        <v>76</v>
      </c>
      <c r="D2465" s="385" t="s">
        <v>11578</v>
      </c>
    </row>
    <row r="2466" spans="1:4" x14ac:dyDescent="0.25">
      <c r="A2466" s="384" t="s">
        <v>11579</v>
      </c>
      <c r="B2466" s="384" t="s">
        <v>11580</v>
      </c>
      <c r="C2466" s="384" t="s">
        <v>76</v>
      </c>
      <c r="D2466" s="385" t="s">
        <v>11581</v>
      </c>
    </row>
    <row r="2467" spans="1:4" x14ac:dyDescent="0.25">
      <c r="A2467" s="384" t="s">
        <v>11582</v>
      </c>
      <c r="B2467" s="384" t="s">
        <v>11583</v>
      </c>
      <c r="C2467" s="384" t="s">
        <v>76</v>
      </c>
      <c r="D2467" s="385" t="s">
        <v>11584</v>
      </c>
    </row>
    <row r="2468" spans="1:4" x14ac:dyDescent="0.25">
      <c r="A2468" s="384" t="s">
        <v>11585</v>
      </c>
      <c r="B2468" s="384" t="s">
        <v>11586</v>
      </c>
      <c r="C2468" s="384" t="s">
        <v>76</v>
      </c>
      <c r="D2468" s="385" t="s">
        <v>11587</v>
      </c>
    </row>
    <row r="2469" spans="1:4" x14ac:dyDescent="0.25">
      <c r="A2469" s="384" t="s">
        <v>11588</v>
      </c>
      <c r="B2469" s="384" t="s">
        <v>11589</v>
      </c>
      <c r="C2469" s="384" t="s">
        <v>76</v>
      </c>
      <c r="D2469" s="385" t="s">
        <v>11590</v>
      </c>
    </row>
    <row r="2470" spans="1:4" x14ac:dyDescent="0.25">
      <c r="A2470" s="384" t="s">
        <v>11591</v>
      </c>
      <c r="B2470" s="384" t="s">
        <v>11592</v>
      </c>
      <c r="C2470" s="384" t="s">
        <v>76</v>
      </c>
      <c r="D2470" s="385" t="s">
        <v>11593</v>
      </c>
    </row>
    <row r="2471" spans="1:4" x14ac:dyDescent="0.25">
      <c r="A2471" s="384" t="s">
        <v>11594</v>
      </c>
      <c r="B2471" s="384" t="s">
        <v>11595</v>
      </c>
      <c r="C2471" s="384" t="s">
        <v>76</v>
      </c>
      <c r="D2471" s="385" t="s">
        <v>11596</v>
      </c>
    </row>
    <row r="2472" spans="1:4" x14ac:dyDescent="0.25">
      <c r="A2472" s="384" t="s">
        <v>11597</v>
      </c>
      <c r="B2472" s="384" t="s">
        <v>11598</v>
      </c>
      <c r="C2472" s="384" t="s">
        <v>76</v>
      </c>
      <c r="D2472" s="385" t="s">
        <v>11599</v>
      </c>
    </row>
    <row r="2473" spans="1:4" x14ac:dyDescent="0.25">
      <c r="A2473" s="384" t="s">
        <v>11600</v>
      </c>
      <c r="B2473" s="384" t="s">
        <v>11601</v>
      </c>
      <c r="C2473" s="384" t="s">
        <v>76</v>
      </c>
      <c r="D2473" s="385" t="s">
        <v>11602</v>
      </c>
    </row>
    <row r="2474" spans="1:4" x14ac:dyDescent="0.25">
      <c r="A2474" s="384" t="s">
        <v>11603</v>
      </c>
      <c r="B2474" s="384" t="s">
        <v>11604</v>
      </c>
      <c r="C2474" s="384" t="s">
        <v>76</v>
      </c>
      <c r="D2474" s="385" t="s">
        <v>11605</v>
      </c>
    </row>
    <row r="2475" spans="1:4" x14ac:dyDescent="0.25">
      <c r="A2475" s="384" t="s">
        <v>11606</v>
      </c>
      <c r="B2475" s="384" t="s">
        <v>11607</v>
      </c>
      <c r="C2475" s="384" t="s">
        <v>76</v>
      </c>
      <c r="D2475" s="385" t="s">
        <v>11608</v>
      </c>
    </row>
    <row r="2476" spans="1:4" x14ac:dyDescent="0.25">
      <c r="A2476" s="384" t="s">
        <v>11609</v>
      </c>
      <c r="B2476" s="384" t="s">
        <v>11610</v>
      </c>
      <c r="C2476" s="384" t="s">
        <v>76</v>
      </c>
      <c r="D2476" s="385" t="s">
        <v>11611</v>
      </c>
    </row>
    <row r="2477" spans="1:4" x14ac:dyDescent="0.25">
      <c r="A2477" s="384" t="s">
        <v>11612</v>
      </c>
      <c r="B2477" s="384" t="s">
        <v>11613</v>
      </c>
      <c r="C2477" s="384" t="s">
        <v>76</v>
      </c>
      <c r="D2477" s="385" t="s">
        <v>11614</v>
      </c>
    </row>
    <row r="2478" spans="1:4" x14ac:dyDescent="0.25">
      <c r="A2478" s="384" t="s">
        <v>11615</v>
      </c>
      <c r="B2478" s="384" t="s">
        <v>11616</v>
      </c>
      <c r="C2478" s="384" t="s">
        <v>76</v>
      </c>
      <c r="D2478" s="385" t="s">
        <v>11617</v>
      </c>
    </row>
    <row r="2479" spans="1:4" x14ac:dyDescent="0.25">
      <c r="A2479" s="384" t="s">
        <v>11618</v>
      </c>
      <c r="B2479" s="384" t="s">
        <v>11619</v>
      </c>
      <c r="C2479" s="384" t="s">
        <v>76</v>
      </c>
      <c r="D2479" s="385" t="s">
        <v>11620</v>
      </c>
    </row>
    <row r="2480" spans="1:4" x14ac:dyDescent="0.25">
      <c r="A2480" s="384" t="s">
        <v>11621</v>
      </c>
      <c r="B2480" s="384" t="s">
        <v>11622</v>
      </c>
      <c r="C2480" s="384" t="s">
        <v>76</v>
      </c>
      <c r="D2480" s="385" t="s">
        <v>11623</v>
      </c>
    </row>
    <row r="2481" spans="1:4" x14ac:dyDescent="0.25">
      <c r="A2481" s="384" t="s">
        <v>11624</v>
      </c>
      <c r="B2481" s="384" t="s">
        <v>11625</v>
      </c>
      <c r="C2481" s="384" t="s">
        <v>76</v>
      </c>
      <c r="D2481" s="385" t="s">
        <v>11626</v>
      </c>
    </row>
    <row r="2482" spans="1:4" x14ac:dyDescent="0.25">
      <c r="A2482" s="384" t="s">
        <v>11627</v>
      </c>
      <c r="B2482" s="384" t="s">
        <v>11628</v>
      </c>
      <c r="C2482" s="384" t="s">
        <v>76</v>
      </c>
      <c r="D2482" s="385" t="s">
        <v>11629</v>
      </c>
    </row>
    <row r="2483" spans="1:4" x14ac:dyDescent="0.25">
      <c r="A2483" s="384" t="s">
        <v>11630</v>
      </c>
      <c r="B2483" s="384" t="s">
        <v>11631</v>
      </c>
      <c r="C2483" s="384" t="s">
        <v>76</v>
      </c>
      <c r="D2483" s="385" t="s">
        <v>11632</v>
      </c>
    </row>
    <row r="2484" spans="1:4" x14ac:dyDescent="0.25">
      <c r="A2484" s="384" t="s">
        <v>11633</v>
      </c>
      <c r="B2484" s="384" t="s">
        <v>11634</v>
      </c>
      <c r="C2484" s="384" t="s">
        <v>76</v>
      </c>
      <c r="D2484" s="385" t="s">
        <v>11635</v>
      </c>
    </row>
    <row r="2485" spans="1:4" x14ac:dyDescent="0.25">
      <c r="A2485" s="384" t="s">
        <v>11636</v>
      </c>
      <c r="B2485" s="384" t="s">
        <v>11637</v>
      </c>
      <c r="C2485" s="384" t="s">
        <v>76</v>
      </c>
      <c r="D2485" s="385" t="s">
        <v>11638</v>
      </c>
    </row>
    <row r="2486" spans="1:4" x14ac:dyDescent="0.25">
      <c r="A2486" s="384" t="s">
        <v>11639</v>
      </c>
      <c r="B2486" s="384" t="s">
        <v>11640</v>
      </c>
      <c r="C2486" s="384" t="s">
        <v>76</v>
      </c>
      <c r="D2486" s="385" t="s">
        <v>11641</v>
      </c>
    </row>
    <row r="2487" spans="1:4" x14ac:dyDescent="0.25">
      <c r="A2487" s="384" t="s">
        <v>11642</v>
      </c>
      <c r="B2487" s="384" t="s">
        <v>11643</v>
      </c>
      <c r="C2487" s="384" t="s">
        <v>76</v>
      </c>
      <c r="D2487" s="385" t="s">
        <v>11644</v>
      </c>
    </row>
    <row r="2488" spans="1:4" x14ac:dyDescent="0.25">
      <c r="A2488" s="384" t="s">
        <v>11645</v>
      </c>
      <c r="B2488" s="384" t="s">
        <v>11646</v>
      </c>
      <c r="C2488" s="384" t="s">
        <v>76</v>
      </c>
      <c r="D2488" s="385" t="s">
        <v>11647</v>
      </c>
    </row>
    <row r="2489" spans="1:4" x14ac:dyDescent="0.25">
      <c r="A2489" s="384" t="s">
        <v>11648</v>
      </c>
      <c r="B2489" s="384" t="s">
        <v>11649</v>
      </c>
      <c r="C2489" s="384" t="s">
        <v>76</v>
      </c>
      <c r="D2489" s="385" t="s">
        <v>11650</v>
      </c>
    </row>
    <row r="2490" spans="1:4" x14ac:dyDescent="0.25">
      <c r="A2490" s="384" t="s">
        <v>11651</v>
      </c>
      <c r="B2490" s="384" t="s">
        <v>11652</v>
      </c>
      <c r="C2490" s="384" t="s">
        <v>76</v>
      </c>
      <c r="D2490" s="385" t="s">
        <v>11653</v>
      </c>
    </row>
    <row r="2491" spans="1:4" x14ac:dyDescent="0.25">
      <c r="A2491" s="384" t="s">
        <v>11654</v>
      </c>
      <c r="B2491" s="384" t="s">
        <v>11655</v>
      </c>
      <c r="C2491" s="384" t="s">
        <v>76</v>
      </c>
      <c r="D2491" s="385" t="s">
        <v>11656</v>
      </c>
    </row>
    <row r="2492" spans="1:4" x14ac:dyDescent="0.25">
      <c r="A2492" s="384" t="s">
        <v>11657</v>
      </c>
      <c r="B2492" s="384" t="s">
        <v>11658</v>
      </c>
      <c r="C2492" s="384" t="s">
        <v>76</v>
      </c>
      <c r="D2492" s="385" t="s">
        <v>11659</v>
      </c>
    </row>
    <row r="2493" spans="1:4" x14ac:dyDescent="0.25">
      <c r="A2493" s="384" t="s">
        <v>11660</v>
      </c>
      <c r="B2493" s="384" t="s">
        <v>11661</v>
      </c>
      <c r="C2493" s="384" t="s">
        <v>76</v>
      </c>
      <c r="D2493" s="385" t="s">
        <v>11662</v>
      </c>
    </row>
    <row r="2494" spans="1:4" x14ac:dyDescent="0.25">
      <c r="A2494" s="384" t="s">
        <v>11663</v>
      </c>
      <c r="B2494" s="384" t="s">
        <v>11664</v>
      </c>
      <c r="C2494" s="384" t="s">
        <v>76</v>
      </c>
      <c r="D2494" s="385" t="s">
        <v>11665</v>
      </c>
    </row>
    <row r="2495" spans="1:4" x14ac:dyDescent="0.25">
      <c r="A2495" s="384" t="s">
        <v>11666</v>
      </c>
      <c r="B2495" s="384" t="s">
        <v>11667</v>
      </c>
      <c r="C2495" s="384" t="s">
        <v>76</v>
      </c>
      <c r="D2495" s="385" t="s">
        <v>11668</v>
      </c>
    </row>
    <row r="2496" spans="1:4" x14ac:dyDescent="0.25">
      <c r="A2496" s="384" t="s">
        <v>11669</v>
      </c>
      <c r="B2496" s="384" t="s">
        <v>11670</v>
      </c>
      <c r="C2496" s="384" t="s">
        <v>76</v>
      </c>
      <c r="D2496" s="385" t="s">
        <v>11671</v>
      </c>
    </row>
    <row r="2497" spans="1:4" x14ac:dyDescent="0.25">
      <c r="A2497" s="384" t="s">
        <v>11672</v>
      </c>
      <c r="B2497" s="384" t="s">
        <v>11673</v>
      </c>
      <c r="C2497" s="384" t="s">
        <v>76</v>
      </c>
      <c r="D2497" s="385" t="s">
        <v>11674</v>
      </c>
    </row>
    <row r="2498" spans="1:4" x14ac:dyDescent="0.25">
      <c r="A2498" s="384" t="s">
        <v>11675</v>
      </c>
      <c r="B2498" s="384" t="s">
        <v>11676</v>
      </c>
      <c r="C2498" s="384" t="s">
        <v>76</v>
      </c>
      <c r="D2498" s="385" t="s">
        <v>11677</v>
      </c>
    </row>
    <row r="2499" spans="1:4" x14ac:dyDescent="0.25">
      <c r="A2499" s="384" t="s">
        <v>11678</v>
      </c>
      <c r="B2499" s="384" t="s">
        <v>11679</v>
      </c>
      <c r="C2499" s="384" t="s">
        <v>76</v>
      </c>
      <c r="D2499" s="385" t="s">
        <v>11680</v>
      </c>
    </row>
    <row r="2500" spans="1:4" x14ac:dyDescent="0.25">
      <c r="A2500" s="384" t="s">
        <v>11681</v>
      </c>
      <c r="B2500" s="384" t="s">
        <v>11682</v>
      </c>
      <c r="C2500" s="384" t="s">
        <v>76</v>
      </c>
      <c r="D2500" s="385" t="s">
        <v>11683</v>
      </c>
    </row>
    <row r="2501" spans="1:4" x14ac:dyDescent="0.25">
      <c r="A2501" s="384" t="s">
        <v>11684</v>
      </c>
      <c r="B2501" s="384" t="s">
        <v>11685</v>
      </c>
      <c r="C2501" s="384" t="s">
        <v>76</v>
      </c>
      <c r="D2501" s="385" t="s">
        <v>11686</v>
      </c>
    </row>
    <row r="2502" spans="1:4" x14ac:dyDescent="0.25">
      <c r="A2502" s="384" t="s">
        <v>11687</v>
      </c>
      <c r="B2502" s="384" t="s">
        <v>11688</v>
      </c>
      <c r="C2502" s="384" t="s">
        <v>76</v>
      </c>
      <c r="D2502" s="385" t="s">
        <v>11689</v>
      </c>
    </row>
    <row r="2503" spans="1:4" x14ac:dyDescent="0.25">
      <c r="A2503" s="384" t="s">
        <v>11690</v>
      </c>
      <c r="B2503" s="384" t="s">
        <v>11691</v>
      </c>
      <c r="C2503" s="384" t="s">
        <v>76</v>
      </c>
      <c r="D2503" s="385" t="s">
        <v>11692</v>
      </c>
    </row>
    <row r="2504" spans="1:4" x14ac:dyDescent="0.25">
      <c r="A2504" s="384" t="s">
        <v>11693</v>
      </c>
      <c r="B2504" s="384" t="s">
        <v>11694</v>
      </c>
      <c r="C2504" s="384" t="s">
        <v>76</v>
      </c>
      <c r="D2504" s="385" t="s">
        <v>11695</v>
      </c>
    </row>
    <row r="2505" spans="1:4" x14ac:dyDescent="0.25">
      <c r="A2505" s="384" t="s">
        <v>11696</v>
      </c>
      <c r="B2505" s="384" t="s">
        <v>11697</v>
      </c>
      <c r="C2505" s="384" t="s">
        <v>76</v>
      </c>
      <c r="D2505" s="385" t="s">
        <v>11698</v>
      </c>
    </row>
    <row r="2506" spans="1:4" x14ac:dyDescent="0.25">
      <c r="A2506" s="384" t="s">
        <v>11699</v>
      </c>
      <c r="B2506" s="384" t="s">
        <v>11700</v>
      </c>
      <c r="C2506" s="384" t="s">
        <v>76</v>
      </c>
      <c r="D2506" s="385" t="s">
        <v>11701</v>
      </c>
    </row>
    <row r="2507" spans="1:4" x14ac:dyDescent="0.25">
      <c r="A2507" s="384" t="s">
        <v>11702</v>
      </c>
      <c r="B2507" s="384" t="s">
        <v>11703</v>
      </c>
      <c r="C2507" s="384" t="s">
        <v>76</v>
      </c>
      <c r="D2507" s="385" t="s">
        <v>11704</v>
      </c>
    </row>
    <row r="2508" spans="1:4" x14ac:dyDescent="0.25">
      <c r="A2508" s="384" t="s">
        <v>11705</v>
      </c>
      <c r="B2508" s="384" t="s">
        <v>11706</v>
      </c>
      <c r="C2508" s="384" t="s">
        <v>76</v>
      </c>
      <c r="D2508" s="385" t="s">
        <v>11707</v>
      </c>
    </row>
    <row r="2509" spans="1:4" x14ac:dyDescent="0.25">
      <c r="A2509" s="384" t="s">
        <v>11708</v>
      </c>
      <c r="B2509" s="384" t="s">
        <v>11709</v>
      </c>
      <c r="C2509" s="384" t="s">
        <v>76</v>
      </c>
      <c r="D2509" s="385" t="s">
        <v>11710</v>
      </c>
    </row>
    <row r="2510" spans="1:4" x14ac:dyDescent="0.25">
      <c r="A2510" s="384" t="s">
        <v>11711</v>
      </c>
      <c r="B2510" s="384" t="s">
        <v>11712</v>
      </c>
      <c r="C2510" s="384" t="s">
        <v>76</v>
      </c>
      <c r="D2510" s="385" t="s">
        <v>11713</v>
      </c>
    </row>
    <row r="2511" spans="1:4" x14ac:dyDescent="0.25">
      <c r="A2511" s="384" t="s">
        <v>11714</v>
      </c>
      <c r="B2511" s="384" t="s">
        <v>11715</v>
      </c>
      <c r="C2511" s="384" t="s">
        <v>76</v>
      </c>
      <c r="D2511" s="385" t="s">
        <v>11716</v>
      </c>
    </row>
    <row r="2512" spans="1:4" x14ac:dyDescent="0.25">
      <c r="A2512" s="384" t="s">
        <v>11717</v>
      </c>
      <c r="B2512" s="384" t="s">
        <v>11718</v>
      </c>
      <c r="C2512" s="384" t="s">
        <v>76</v>
      </c>
      <c r="D2512" s="385" t="s">
        <v>11719</v>
      </c>
    </row>
    <row r="2513" spans="1:4" x14ac:dyDescent="0.25">
      <c r="A2513" s="384" t="s">
        <v>11720</v>
      </c>
      <c r="B2513" s="384" t="s">
        <v>11721</v>
      </c>
      <c r="C2513" s="384" t="s">
        <v>76</v>
      </c>
      <c r="D2513" s="385" t="s">
        <v>11722</v>
      </c>
    </row>
    <row r="2514" spans="1:4" x14ac:dyDescent="0.25">
      <c r="A2514" s="384" t="s">
        <v>11723</v>
      </c>
      <c r="B2514" s="384" t="s">
        <v>11724</v>
      </c>
      <c r="C2514" s="384" t="s">
        <v>76</v>
      </c>
      <c r="D2514" s="385" t="s">
        <v>11725</v>
      </c>
    </row>
    <row r="2515" spans="1:4" x14ac:dyDescent="0.25">
      <c r="A2515" s="384" t="s">
        <v>11726</v>
      </c>
      <c r="B2515" s="384" t="s">
        <v>11727</v>
      </c>
      <c r="C2515" s="384" t="s">
        <v>76</v>
      </c>
      <c r="D2515" s="385" t="s">
        <v>11728</v>
      </c>
    </row>
    <row r="2516" spans="1:4" x14ac:dyDescent="0.25">
      <c r="A2516" s="384" t="s">
        <v>11729</v>
      </c>
      <c r="B2516" s="384" t="s">
        <v>11730</v>
      </c>
      <c r="C2516" s="384" t="s">
        <v>76</v>
      </c>
      <c r="D2516" s="385" t="s">
        <v>11731</v>
      </c>
    </row>
    <row r="2517" spans="1:4" x14ac:dyDescent="0.25">
      <c r="A2517" s="384" t="s">
        <v>11732</v>
      </c>
      <c r="B2517" s="384" t="s">
        <v>11733</v>
      </c>
      <c r="C2517" s="384" t="s">
        <v>76</v>
      </c>
      <c r="D2517" s="385" t="s">
        <v>11734</v>
      </c>
    </row>
    <row r="2518" spans="1:4" x14ac:dyDescent="0.25">
      <c r="A2518" s="384" t="s">
        <v>11735</v>
      </c>
      <c r="B2518" s="384" t="s">
        <v>11736</v>
      </c>
      <c r="C2518" s="384" t="s">
        <v>76</v>
      </c>
      <c r="D2518" s="385" t="s">
        <v>11737</v>
      </c>
    </row>
    <row r="2519" spans="1:4" x14ac:dyDescent="0.25">
      <c r="A2519" s="384" t="s">
        <v>11738</v>
      </c>
      <c r="B2519" s="384" t="s">
        <v>11739</v>
      </c>
      <c r="C2519" s="384" t="s">
        <v>76</v>
      </c>
      <c r="D2519" s="385" t="s">
        <v>11740</v>
      </c>
    </row>
    <row r="2520" spans="1:4" x14ac:dyDescent="0.25">
      <c r="A2520" s="384" t="s">
        <v>11741</v>
      </c>
      <c r="B2520" s="384" t="s">
        <v>11742</v>
      </c>
      <c r="C2520" s="384" t="s">
        <v>76</v>
      </c>
      <c r="D2520" s="385" t="s">
        <v>11743</v>
      </c>
    </row>
    <row r="2521" spans="1:4" x14ac:dyDescent="0.25">
      <c r="A2521" s="384" t="s">
        <v>11744</v>
      </c>
      <c r="B2521" s="384" t="s">
        <v>11745</v>
      </c>
      <c r="C2521" s="384" t="s">
        <v>76</v>
      </c>
      <c r="D2521" s="385" t="s">
        <v>11746</v>
      </c>
    </row>
    <row r="2522" spans="1:4" x14ac:dyDescent="0.25">
      <c r="A2522" s="384" t="s">
        <v>11747</v>
      </c>
      <c r="B2522" s="384" t="s">
        <v>11748</v>
      </c>
      <c r="C2522" s="384" t="s">
        <v>76</v>
      </c>
      <c r="D2522" s="385" t="s">
        <v>11749</v>
      </c>
    </row>
    <row r="2523" spans="1:4" x14ac:dyDescent="0.25">
      <c r="A2523" s="384" t="s">
        <v>11750</v>
      </c>
      <c r="B2523" s="384" t="s">
        <v>11751</v>
      </c>
      <c r="C2523" s="384" t="s">
        <v>76</v>
      </c>
      <c r="D2523" s="385" t="s">
        <v>11752</v>
      </c>
    </row>
    <row r="2524" spans="1:4" x14ac:dyDescent="0.25">
      <c r="A2524" s="384" t="s">
        <v>11753</v>
      </c>
      <c r="B2524" s="384" t="s">
        <v>11754</v>
      </c>
      <c r="C2524" s="384" t="s">
        <v>76</v>
      </c>
      <c r="D2524" s="385" t="s">
        <v>11755</v>
      </c>
    </row>
    <row r="2525" spans="1:4" x14ac:dyDescent="0.25">
      <c r="A2525" s="384" t="s">
        <v>11756</v>
      </c>
      <c r="B2525" s="384" t="s">
        <v>11757</v>
      </c>
      <c r="C2525" s="384" t="s">
        <v>76</v>
      </c>
      <c r="D2525" s="385" t="s">
        <v>11758</v>
      </c>
    </row>
    <row r="2526" spans="1:4" x14ac:dyDescent="0.25">
      <c r="A2526" s="384" t="s">
        <v>11759</v>
      </c>
      <c r="B2526" s="384" t="s">
        <v>11760</v>
      </c>
      <c r="C2526" s="384" t="s">
        <v>76</v>
      </c>
      <c r="D2526" s="385" t="s">
        <v>11761</v>
      </c>
    </row>
    <row r="2527" spans="1:4" x14ac:dyDescent="0.25">
      <c r="A2527" s="384" t="s">
        <v>11762</v>
      </c>
      <c r="B2527" s="384" t="s">
        <v>11763</v>
      </c>
      <c r="C2527" s="384" t="s">
        <v>76</v>
      </c>
      <c r="D2527" s="385" t="s">
        <v>11764</v>
      </c>
    </row>
    <row r="2528" spans="1:4" x14ac:dyDescent="0.25">
      <c r="A2528" s="384" t="s">
        <v>11765</v>
      </c>
      <c r="B2528" s="384" t="s">
        <v>11766</v>
      </c>
      <c r="C2528" s="384" t="s">
        <v>76</v>
      </c>
      <c r="D2528" s="385" t="s">
        <v>11767</v>
      </c>
    </row>
    <row r="2529" spans="1:4" x14ac:dyDescent="0.25">
      <c r="A2529" s="384" t="s">
        <v>11768</v>
      </c>
      <c r="B2529" s="384" t="s">
        <v>11769</v>
      </c>
      <c r="C2529" s="384" t="s">
        <v>2884</v>
      </c>
      <c r="D2529" s="385" t="s">
        <v>11770</v>
      </c>
    </row>
    <row r="2530" spans="1:4" x14ac:dyDescent="0.25">
      <c r="A2530" s="384" t="s">
        <v>11771</v>
      </c>
      <c r="B2530" s="384" t="s">
        <v>11772</v>
      </c>
      <c r="C2530" s="384" t="s">
        <v>2884</v>
      </c>
      <c r="D2530" s="385" t="s">
        <v>11773</v>
      </c>
    </row>
    <row r="2531" spans="1:4" x14ac:dyDescent="0.25">
      <c r="A2531" s="384" t="s">
        <v>11774</v>
      </c>
      <c r="B2531" s="384" t="s">
        <v>11775</v>
      </c>
      <c r="C2531" s="384" t="s">
        <v>76</v>
      </c>
      <c r="D2531" s="385" t="s">
        <v>11776</v>
      </c>
    </row>
    <row r="2532" spans="1:4" x14ac:dyDescent="0.25">
      <c r="A2532" s="384" t="s">
        <v>11777</v>
      </c>
      <c r="B2532" s="384" t="s">
        <v>11778</v>
      </c>
      <c r="C2532" s="384" t="s">
        <v>76</v>
      </c>
      <c r="D2532" s="385" t="s">
        <v>11779</v>
      </c>
    </row>
    <row r="2533" spans="1:4" x14ac:dyDescent="0.25">
      <c r="A2533" s="384" t="s">
        <v>11780</v>
      </c>
      <c r="B2533" s="384" t="s">
        <v>11781</v>
      </c>
      <c r="C2533" s="384" t="s">
        <v>82</v>
      </c>
      <c r="D2533" s="385" t="s">
        <v>11782</v>
      </c>
    </row>
    <row r="2534" spans="1:4" x14ac:dyDescent="0.25">
      <c r="A2534" s="384" t="s">
        <v>11783</v>
      </c>
      <c r="B2534" s="384" t="s">
        <v>11784</v>
      </c>
      <c r="C2534" s="384" t="s">
        <v>82</v>
      </c>
      <c r="D2534" s="385" t="s">
        <v>7324</v>
      </c>
    </row>
    <row r="2535" spans="1:4" x14ac:dyDescent="0.25">
      <c r="A2535" s="384" t="s">
        <v>11785</v>
      </c>
      <c r="B2535" s="384" t="s">
        <v>11786</v>
      </c>
      <c r="C2535" s="384" t="s">
        <v>82</v>
      </c>
      <c r="D2535" s="385" t="s">
        <v>11787</v>
      </c>
    </row>
    <row r="2536" spans="1:4" x14ac:dyDescent="0.25">
      <c r="A2536" s="384" t="s">
        <v>11788</v>
      </c>
      <c r="B2536" s="384" t="s">
        <v>11789</v>
      </c>
      <c r="C2536" s="384" t="s">
        <v>82</v>
      </c>
      <c r="D2536" s="385" t="s">
        <v>11790</v>
      </c>
    </row>
    <row r="2537" spans="1:4" x14ac:dyDescent="0.25">
      <c r="A2537" s="384" t="s">
        <v>11791</v>
      </c>
      <c r="B2537" s="384" t="s">
        <v>11792</v>
      </c>
      <c r="C2537" s="384" t="s">
        <v>82</v>
      </c>
      <c r="D2537" s="385" t="s">
        <v>11793</v>
      </c>
    </row>
    <row r="2538" spans="1:4" x14ac:dyDescent="0.25">
      <c r="A2538" s="384" t="s">
        <v>11794</v>
      </c>
      <c r="B2538" s="384" t="s">
        <v>11795</v>
      </c>
      <c r="C2538" s="384" t="s">
        <v>82</v>
      </c>
      <c r="D2538" s="385" t="s">
        <v>11796</v>
      </c>
    </row>
    <row r="2539" spans="1:4" x14ac:dyDescent="0.25">
      <c r="A2539" s="384" t="s">
        <v>11797</v>
      </c>
      <c r="B2539" s="384" t="s">
        <v>11798</v>
      </c>
      <c r="C2539" s="384" t="s">
        <v>82</v>
      </c>
      <c r="D2539" s="385" t="s">
        <v>11799</v>
      </c>
    </row>
    <row r="2540" spans="1:4" x14ac:dyDescent="0.25">
      <c r="A2540" s="384" t="s">
        <v>11800</v>
      </c>
      <c r="B2540" s="384" t="s">
        <v>11801</v>
      </c>
      <c r="C2540" s="384" t="s">
        <v>82</v>
      </c>
      <c r="D2540" s="385" t="s">
        <v>11802</v>
      </c>
    </row>
    <row r="2541" spans="1:4" x14ac:dyDescent="0.25">
      <c r="A2541" s="384" t="s">
        <v>11803</v>
      </c>
      <c r="B2541" s="384" t="s">
        <v>11804</v>
      </c>
      <c r="C2541" s="384" t="s">
        <v>82</v>
      </c>
      <c r="D2541" s="385" t="s">
        <v>11805</v>
      </c>
    </row>
    <row r="2542" spans="1:4" x14ac:dyDescent="0.25">
      <c r="A2542" s="384" t="s">
        <v>11806</v>
      </c>
      <c r="B2542" s="384" t="s">
        <v>11807</v>
      </c>
      <c r="C2542" s="384" t="s">
        <v>82</v>
      </c>
      <c r="D2542" s="385" t="s">
        <v>11808</v>
      </c>
    </row>
    <row r="2543" spans="1:4" x14ac:dyDescent="0.25">
      <c r="A2543" s="384" t="s">
        <v>11809</v>
      </c>
      <c r="B2543" s="384" t="s">
        <v>11810</v>
      </c>
      <c r="C2543" s="384" t="s">
        <v>82</v>
      </c>
      <c r="D2543" s="385" t="s">
        <v>11811</v>
      </c>
    </row>
    <row r="2544" spans="1:4" x14ac:dyDescent="0.25">
      <c r="A2544" s="384" t="s">
        <v>11812</v>
      </c>
      <c r="B2544" s="384" t="s">
        <v>11813</v>
      </c>
      <c r="C2544" s="384" t="s">
        <v>82</v>
      </c>
      <c r="D2544" s="385" t="s">
        <v>11814</v>
      </c>
    </row>
    <row r="2545" spans="1:4" x14ac:dyDescent="0.25">
      <c r="A2545" s="384" t="s">
        <v>11815</v>
      </c>
      <c r="B2545" s="384" t="s">
        <v>11816</v>
      </c>
      <c r="C2545" s="384" t="s">
        <v>82</v>
      </c>
      <c r="D2545" s="385" t="s">
        <v>11817</v>
      </c>
    </row>
    <row r="2546" spans="1:4" x14ac:dyDescent="0.25">
      <c r="A2546" s="384" t="s">
        <v>11818</v>
      </c>
      <c r="B2546" s="384" t="s">
        <v>11819</v>
      </c>
      <c r="C2546" s="384" t="s">
        <v>82</v>
      </c>
      <c r="D2546" s="385" t="s">
        <v>11820</v>
      </c>
    </row>
    <row r="2547" spans="1:4" x14ac:dyDescent="0.25">
      <c r="A2547" s="384" t="s">
        <v>11821</v>
      </c>
      <c r="B2547" s="384" t="s">
        <v>11822</v>
      </c>
      <c r="C2547" s="384" t="s">
        <v>82</v>
      </c>
      <c r="D2547" s="385" t="s">
        <v>11823</v>
      </c>
    </row>
    <row r="2548" spans="1:4" x14ac:dyDescent="0.25">
      <c r="A2548" s="384" t="s">
        <v>11824</v>
      </c>
      <c r="B2548" s="384" t="s">
        <v>11825</v>
      </c>
      <c r="C2548" s="384" t="s">
        <v>82</v>
      </c>
      <c r="D2548" s="385" t="s">
        <v>11826</v>
      </c>
    </row>
    <row r="2549" spans="1:4" x14ac:dyDescent="0.25">
      <c r="A2549" s="384" t="s">
        <v>11827</v>
      </c>
      <c r="B2549" s="384" t="s">
        <v>11828</v>
      </c>
      <c r="C2549" s="384" t="s">
        <v>82</v>
      </c>
      <c r="D2549" s="385" t="s">
        <v>11829</v>
      </c>
    </row>
    <row r="2550" spans="1:4" x14ac:dyDescent="0.25">
      <c r="A2550" s="384" t="s">
        <v>11830</v>
      </c>
      <c r="B2550" s="384" t="s">
        <v>11831</v>
      </c>
      <c r="C2550" s="384" t="s">
        <v>82</v>
      </c>
      <c r="D2550" s="385" t="s">
        <v>11832</v>
      </c>
    </row>
    <row r="2551" spans="1:4" x14ac:dyDescent="0.25">
      <c r="A2551" s="384" t="s">
        <v>11833</v>
      </c>
      <c r="B2551" s="384" t="s">
        <v>11834</v>
      </c>
      <c r="C2551" s="384" t="s">
        <v>82</v>
      </c>
      <c r="D2551" s="385" t="s">
        <v>11835</v>
      </c>
    </row>
    <row r="2552" spans="1:4" x14ac:dyDescent="0.25">
      <c r="A2552" s="384" t="s">
        <v>11836</v>
      </c>
      <c r="B2552" s="384" t="s">
        <v>11837</v>
      </c>
      <c r="C2552" s="384" t="s">
        <v>82</v>
      </c>
      <c r="D2552" s="385" t="s">
        <v>11838</v>
      </c>
    </row>
    <row r="2553" spans="1:4" x14ac:dyDescent="0.25">
      <c r="A2553" s="384" t="s">
        <v>11839</v>
      </c>
      <c r="B2553" s="384" t="s">
        <v>11840</v>
      </c>
      <c r="C2553" s="384" t="s">
        <v>82</v>
      </c>
      <c r="D2553" s="385" t="s">
        <v>11841</v>
      </c>
    </row>
    <row r="2554" spans="1:4" x14ac:dyDescent="0.25">
      <c r="A2554" s="384" t="s">
        <v>11842</v>
      </c>
      <c r="B2554" s="384" t="s">
        <v>11843</v>
      </c>
      <c r="C2554" s="384" t="s">
        <v>82</v>
      </c>
      <c r="D2554" s="385" t="s">
        <v>11844</v>
      </c>
    </row>
    <row r="2555" spans="1:4" x14ac:dyDescent="0.25">
      <c r="A2555" s="384" t="s">
        <v>11845</v>
      </c>
      <c r="B2555" s="384" t="s">
        <v>11846</v>
      </c>
      <c r="C2555" s="384" t="s">
        <v>82</v>
      </c>
      <c r="D2555" s="385" t="s">
        <v>11847</v>
      </c>
    </row>
    <row r="2556" spans="1:4" x14ac:dyDescent="0.25">
      <c r="A2556" s="384" t="s">
        <v>11848</v>
      </c>
      <c r="B2556" s="384" t="s">
        <v>11849</v>
      </c>
      <c r="C2556" s="384" t="s">
        <v>82</v>
      </c>
      <c r="D2556" s="385" t="s">
        <v>11850</v>
      </c>
    </row>
    <row r="2557" spans="1:4" x14ac:dyDescent="0.25">
      <c r="A2557" s="384" t="s">
        <v>11851</v>
      </c>
      <c r="B2557" s="384" t="s">
        <v>11852</v>
      </c>
      <c r="C2557" s="384" t="s">
        <v>82</v>
      </c>
      <c r="D2557" s="385" t="s">
        <v>11853</v>
      </c>
    </row>
    <row r="2558" spans="1:4" x14ac:dyDescent="0.25">
      <c r="A2558" s="384" t="s">
        <v>11854</v>
      </c>
      <c r="B2558" s="384" t="s">
        <v>11855</v>
      </c>
      <c r="C2558" s="384" t="s">
        <v>82</v>
      </c>
      <c r="D2558" s="385" t="s">
        <v>11856</v>
      </c>
    </row>
    <row r="2559" spans="1:4" x14ac:dyDescent="0.25">
      <c r="A2559" s="384" t="s">
        <v>11857</v>
      </c>
      <c r="B2559" s="384" t="s">
        <v>11858</v>
      </c>
      <c r="C2559" s="384" t="s">
        <v>82</v>
      </c>
      <c r="D2559" s="385" t="s">
        <v>11859</v>
      </c>
    </row>
    <row r="2560" spans="1:4" x14ac:dyDescent="0.25">
      <c r="A2560" s="384" t="s">
        <v>11860</v>
      </c>
      <c r="B2560" s="384" t="s">
        <v>11861</v>
      </c>
      <c r="C2560" s="384" t="s">
        <v>76</v>
      </c>
      <c r="D2560" s="385" t="s">
        <v>11862</v>
      </c>
    </row>
    <row r="2561" spans="1:4" x14ac:dyDescent="0.25">
      <c r="A2561" s="384" t="s">
        <v>11863</v>
      </c>
      <c r="B2561" s="384" t="s">
        <v>11864</v>
      </c>
      <c r="C2561" s="384" t="s">
        <v>76</v>
      </c>
      <c r="D2561" s="385" t="s">
        <v>11865</v>
      </c>
    </row>
    <row r="2562" spans="1:4" x14ac:dyDescent="0.25">
      <c r="A2562" s="384" t="s">
        <v>11866</v>
      </c>
      <c r="B2562" s="384" t="s">
        <v>11867</v>
      </c>
      <c r="C2562" s="384" t="s">
        <v>76</v>
      </c>
      <c r="D2562" s="385" t="s">
        <v>11868</v>
      </c>
    </row>
    <row r="2563" spans="1:4" x14ac:dyDescent="0.25">
      <c r="A2563" s="384" t="s">
        <v>11869</v>
      </c>
      <c r="B2563" s="384" t="s">
        <v>11870</v>
      </c>
      <c r="C2563" s="384" t="s">
        <v>76</v>
      </c>
      <c r="D2563" s="385" t="s">
        <v>11871</v>
      </c>
    </row>
    <row r="2564" spans="1:4" x14ac:dyDescent="0.25">
      <c r="A2564" s="384" t="s">
        <v>11872</v>
      </c>
      <c r="B2564" s="384" t="s">
        <v>11873</v>
      </c>
      <c r="C2564" s="384" t="s">
        <v>76</v>
      </c>
      <c r="D2564" s="385" t="s">
        <v>11874</v>
      </c>
    </row>
    <row r="2565" spans="1:4" x14ac:dyDescent="0.25">
      <c r="A2565" s="384" t="s">
        <v>11875</v>
      </c>
      <c r="B2565" s="384" t="s">
        <v>11876</v>
      </c>
      <c r="C2565" s="384" t="s">
        <v>76</v>
      </c>
      <c r="D2565" s="385" t="s">
        <v>11877</v>
      </c>
    </row>
    <row r="2566" spans="1:4" x14ac:dyDescent="0.25">
      <c r="A2566" s="384" t="s">
        <v>11878</v>
      </c>
      <c r="B2566" s="384" t="s">
        <v>11879</v>
      </c>
      <c r="C2566" s="384" t="s">
        <v>76</v>
      </c>
      <c r="D2566" s="385" t="s">
        <v>11880</v>
      </c>
    </row>
    <row r="2567" spans="1:4" x14ac:dyDescent="0.25">
      <c r="A2567" s="384" t="s">
        <v>11881</v>
      </c>
      <c r="B2567" s="384" t="s">
        <v>11882</v>
      </c>
      <c r="C2567" s="384" t="s">
        <v>76</v>
      </c>
      <c r="D2567" s="385" t="s">
        <v>11883</v>
      </c>
    </row>
    <row r="2568" spans="1:4" x14ac:dyDescent="0.25">
      <c r="A2568" s="384" t="s">
        <v>11884</v>
      </c>
      <c r="B2568" s="384" t="s">
        <v>11885</v>
      </c>
      <c r="C2568" s="384" t="s">
        <v>76</v>
      </c>
      <c r="D2568" s="385" t="s">
        <v>11886</v>
      </c>
    </row>
    <row r="2569" spans="1:4" x14ac:dyDescent="0.25">
      <c r="A2569" s="384" t="s">
        <v>11887</v>
      </c>
      <c r="B2569" s="384" t="s">
        <v>11888</v>
      </c>
      <c r="C2569" s="384" t="s">
        <v>76</v>
      </c>
      <c r="D2569" s="385" t="s">
        <v>11889</v>
      </c>
    </row>
    <row r="2570" spans="1:4" x14ac:dyDescent="0.25">
      <c r="A2570" s="384" t="s">
        <v>11890</v>
      </c>
      <c r="B2570" s="384" t="s">
        <v>11891</v>
      </c>
      <c r="C2570" s="384" t="s">
        <v>76</v>
      </c>
      <c r="D2570" s="385" t="s">
        <v>11892</v>
      </c>
    </row>
    <row r="2571" spans="1:4" x14ac:dyDescent="0.25">
      <c r="A2571" s="384" t="s">
        <v>11893</v>
      </c>
      <c r="B2571" s="384" t="s">
        <v>11894</v>
      </c>
      <c r="C2571" s="384" t="s">
        <v>76</v>
      </c>
      <c r="D2571" s="385" t="s">
        <v>11895</v>
      </c>
    </row>
    <row r="2572" spans="1:4" x14ac:dyDescent="0.25">
      <c r="A2572" s="384" t="s">
        <v>11896</v>
      </c>
      <c r="B2572" s="384" t="s">
        <v>11897</v>
      </c>
      <c r="C2572" s="384" t="s">
        <v>76</v>
      </c>
      <c r="D2572" s="385" t="s">
        <v>11898</v>
      </c>
    </row>
    <row r="2573" spans="1:4" x14ac:dyDescent="0.25">
      <c r="A2573" s="384" t="s">
        <v>11899</v>
      </c>
      <c r="B2573" s="384" t="s">
        <v>11900</v>
      </c>
      <c r="C2573" s="384" t="s">
        <v>76</v>
      </c>
      <c r="D2573" s="385" t="s">
        <v>11901</v>
      </c>
    </row>
    <row r="2574" spans="1:4" x14ac:dyDescent="0.25">
      <c r="A2574" s="384" t="s">
        <v>11902</v>
      </c>
      <c r="B2574" s="384" t="s">
        <v>11903</v>
      </c>
      <c r="C2574" s="384" t="s">
        <v>76</v>
      </c>
      <c r="D2574" s="385" t="s">
        <v>11904</v>
      </c>
    </row>
    <row r="2575" spans="1:4" x14ac:dyDescent="0.25">
      <c r="A2575" s="384" t="s">
        <v>11905</v>
      </c>
      <c r="B2575" s="384" t="s">
        <v>11906</v>
      </c>
      <c r="C2575" s="384" t="s">
        <v>2884</v>
      </c>
      <c r="D2575" s="385" t="s">
        <v>11907</v>
      </c>
    </row>
    <row r="2576" spans="1:4" x14ac:dyDescent="0.25">
      <c r="A2576" s="384" t="s">
        <v>11908</v>
      </c>
      <c r="B2576" s="384" t="s">
        <v>11909</v>
      </c>
      <c r="C2576" s="384" t="s">
        <v>2884</v>
      </c>
      <c r="D2576" s="385" t="s">
        <v>11910</v>
      </c>
    </row>
    <row r="2577" spans="1:4" x14ac:dyDescent="0.25">
      <c r="A2577" s="384" t="s">
        <v>11911</v>
      </c>
      <c r="B2577" s="384" t="s">
        <v>11912</v>
      </c>
      <c r="C2577" s="384" t="s">
        <v>2884</v>
      </c>
      <c r="D2577" s="385" t="s">
        <v>11913</v>
      </c>
    </row>
    <row r="2578" spans="1:4" x14ac:dyDescent="0.25">
      <c r="A2578" s="384" t="s">
        <v>11914</v>
      </c>
      <c r="B2578" s="384" t="s">
        <v>11915</v>
      </c>
      <c r="C2578" s="384" t="s">
        <v>2884</v>
      </c>
      <c r="D2578" s="385" t="s">
        <v>11916</v>
      </c>
    </row>
    <row r="2579" spans="1:4" x14ac:dyDescent="0.25">
      <c r="A2579" s="384" t="s">
        <v>11917</v>
      </c>
      <c r="B2579" s="384" t="s">
        <v>11918</v>
      </c>
      <c r="C2579" s="384" t="s">
        <v>2884</v>
      </c>
      <c r="D2579" s="385" t="s">
        <v>11919</v>
      </c>
    </row>
    <row r="2580" spans="1:4" x14ac:dyDescent="0.25">
      <c r="A2580" s="384" t="s">
        <v>11920</v>
      </c>
      <c r="B2580" s="384" t="s">
        <v>11921</v>
      </c>
      <c r="C2580" s="384" t="s">
        <v>2884</v>
      </c>
      <c r="D2580" s="385" t="s">
        <v>11922</v>
      </c>
    </row>
    <row r="2581" spans="1:4" x14ac:dyDescent="0.25">
      <c r="A2581" s="384" t="s">
        <v>11923</v>
      </c>
      <c r="B2581" s="384" t="s">
        <v>11924</v>
      </c>
      <c r="C2581" s="384" t="s">
        <v>2884</v>
      </c>
      <c r="D2581" s="385" t="s">
        <v>11925</v>
      </c>
    </row>
    <row r="2582" spans="1:4" x14ac:dyDescent="0.25">
      <c r="A2582" s="384" t="s">
        <v>11926</v>
      </c>
      <c r="B2582" s="384" t="s">
        <v>11927</v>
      </c>
      <c r="C2582" s="384" t="s">
        <v>2884</v>
      </c>
      <c r="D2582" s="385" t="s">
        <v>11928</v>
      </c>
    </row>
    <row r="2583" spans="1:4" x14ac:dyDescent="0.25">
      <c r="A2583" s="384" t="s">
        <v>11929</v>
      </c>
      <c r="B2583" s="384" t="s">
        <v>11930</v>
      </c>
      <c r="C2583" s="384" t="s">
        <v>2884</v>
      </c>
      <c r="D2583" s="385" t="s">
        <v>11931</v>
      </c>
    </row>
    <row r="2584" spans="1:4" x14ac:dyDescent="0.25">
      <c r="A2584" s="384" t="s">
        <v>11932</v>
      </c>
      <c r="B2584" s="384" t="s">
        <v>11933</v>
      </c>
      <c r="C2584" s="384" t="s">
        <v>2884</v>
      </c>
      <c r="D2584" s="385" t="s">
        <v>11934</v>
      </c>
    </row>
    <row r="2585" spans="1:4" x14ac:dyDescent="0.25">
      <c r="A2585" s="384" t="s">
        <v>11935</v>
      </c>
      <c r="B2585" s="384" t="s">
        <v>11936</v>
      </c>
      <c r="C2585" s="384" t="s">
        <v>2884</v>
      </c>
      <c r="D2585" s="385" t="s">
        <v>11937</v>
      </c>
    </row>
    <row r="2586" spans="1:4" x14ac:dyDescent="0.25">
      <c r="A2586" s="384" t="s">
        <v>11938</v>
      </c>
      <c r="B2586" s="384" t="s">
        <v>11939</v>
      </c>
      <c r="C2586" s="384" t="s">
        <v>2884</v>
      </c>
      <c r="D2586" s="385" t="s">
        <v>11940</v>
      </c>
    </row>
    <row r="2587" spans="1:4" x14ac:dyDescent="0.25">
      <c r="A2587" s="384" t="s">
        <v>11941</v>
      </c>
      <c r="B2587" s="384" t="s">
        <v>11942</v>
      </c>
      <c r="C2587" s="384" t="s">
        <v>82</v>
      </c>
      <c r="D2587" s="385" t="s">
        <v>11943</v>
      </c>
    </row>
    <row r="2588" spans="1:4" x14ac:dyDescent="0.25">
      <c r="A2588" s="384" t="s">
        <v>11944</v>
      </c>
      <c r="B2588" s="384" t="s">
        <v>11945</v>
      </c>
      <c r="C2588" s="384" t="s">
        <v>82</v>
      </c>
      <c r="D2588" s="385" t="s">
        <v>11946</v>
      </c>
    </row>
    <row r="2589" spans="1:4" x14ac:dyDescent="0.25">
      <c r="A2589" s="384" t="s">
        <v>11947</v>
      </c>
      <c r="B2589" s="384" t="s">
        <v>11948</v>
      </c>
      <c r="C2589" s="384" t="s">
        <v>82</v>
      </c>
      <c r="D2589" s="385" t="s">
        <v>11949</v>
      </c>
    </row>
    <row r="2590" spans="1:4" x14ac:dyDescent="0.25">
      <c r="A2590" s="384" t="s">
        <v>11950</v>
      </c>
      <c r="B2590" s="384" t="s">
        <v>11951</v>
      </c>
      <c r="C2590" s="384" t="s">
        <v>82</v>
      </c>
      <c r="D2590" s="385" t="s">
        <v>11952</v>
      </c>
    </row>
    <row r="2591" spans="1:4" x14ac:dyDescent="0.25">
      <c r="A2591" s="384" t="s">
        <v>11953</v>
      </c>
      <c r="B2591" s="384" t="s">
        <v>11954</v>
      </c>
      <c r="C2591" s="384" t="s">
        <v>82</v>
      </c>
      <c r="D2591" s="385" t="s">
        <v>11955</v>
      </c>
    </row>
    <row r="2592" spans="1:4" x14ac:dyDescent="0.25">
      <c r="A2592" s="384" t="s">
        <v>11956</v>
      </c>
      <c r="B2592" s="384" t="s">
        <v>11957</v>
      </c>
      <c r="C2592" s="384" t="s">
        <v>82</v>
      </c>
      <c r="D2592" s="385" t="s">
        <v>11958</v>
      </c>
    </row>
    <row r="2593" spans="1:4" x14ac:dyDescent="0.25">
      <c r="A2593" s="384" t="s">
        <v>11959</v>
      </c>
      <c r="B2593" s="384" t="s">
        <v>11960</v>
      </c>
      <c r="C2593" s="384" t="s">
        <v>82</v>
      </c>
      <c r="D2593" s="385" t="s">
        <v>11961</v>
      </c>
    </row>
    <row r="2594" spans="1:4" x14ac:dyDescent="0.25">
      <c r="A2594" s="384" t="s">
        <v>11962</v>
      </c>
      <c r="B2594" s="384" t="s">
        <v>11963</v>
      </c>
      <c r="C2594" s="384" t="s">
        <v>82</v>
      </c>
      <c r="D2594" s="385" t="s">
        <v>11964</v>
      </c>
    </row>
    <row r="2595" spans="1:4" x14ac:dyDescent="0.25">
      <c r="A2595" s="384" t="s">
        <v>11965</v>
      </c>
      <c r="B2595" s="384" t="s">
        <v>11966</v>
      </c>
      <c r="C2595" s="384" t="s">
        <v>82</v>
      </c>
      <c r="D2595" s="385" t="s">
        <v>11967</v>
      </c>
    </row>
    <row r="2596" spans="1:4" x14ac:dyDescent="0.25">
      <c r="A2596" s="384" t="s">
        <v>11968</v>
      </c>
      <c r="B2596" s="384" t="s">
        <v>11969</v>
      </c>
      <c r="C2596" s="384" t="s">
        <v>82</v>
      </c>
      <c r="D2596" s="385" t="s">
        <v>11970</v>
      </c>
    </row>
    <row r="2597" spans="1:4" x14ac:dyDescent="0.25">
      <c r="A2597" s="384" t="s">
        <v>11971</v>
      </c>
      <c r="B2597" s="384" t="s">
        <v>11972</v>
      </c>
      <c r="C2597" s="384" t="s">
        <v>82</v>
      </c>
      <c r="D2597" s="385" t="s">
        <v>11973</v>
      </c>
    </row>
    <row r="2598" spans="1:4" x14ac:dyDescent="0.25">
      <c r="A2598" s="384" t="s">
        <v>11974</v>
      </c>
      <c r="B2598" s="384" t="s">
        <v>11975</v>
      </c>
      <c r="C2598" s="384" t="s">
        <v>77</v>
      </c>
      <c r="D2598" s="385" t="s">
        <v>11976</v>
      </c>
    </row>
    <row r="2599" spans="1:4" x14ac:dyDescent="0.25">
      <c r="A2599" s="384" t="s">
        <v>11977</v>
      </c>
      <c r="B2599" s="384" t="s">
        <v>11978</v>
      </c>
      <c r="C2599" s="384" t="s">
        <v>77</v>
      </c>
      <c r="D2599" s="385" t="s">
        <v>4832</v>
      </c>
    </row>
    <row r="2600" spans="1:4" x14ac:dyDescent="0.25">
      <c r="A2600" s="384" t="s">
        <v>11979</v>
      </c>
      <c r="B2600" s="384" t="s">
        <v>11980</v>
      </c>
      <c r="C2600" s="384" t="s">
        <v>77</v>
      </c>
      <c r="D2600" s="385" t="s">
        <v>11981</v>
      </c>
    </row>
    <row r="2601" spans="1:4" x14ac:dyDescent="0.25">
      <c r="A2601" s="384" t="s">
        <v>11982</v>
      </c>
      <c r="B2601" s="384" t="s">
        <v>11983</v>
      </c>
      <c r="C2601" s="384" t="s">
        <v>77</v>
      </c>
      <c r="D2601" s="385" t="s">
        <v>11984</v>
      </c>
    </row>
    <row r="2602" spans="1:4" x14ac:dyDescent="0.25">
      <c r="A2602" s="384" t="s">
        <v>11985</v>
      </c>
      <c r="B2602" s="384" t="s">
        <v>11986</v>
      </c>
      <c r="C2602" s="384" t="s">
        <v>77</v>
      </c>
      <c r="D2602" s="385" t="s">
        <v>11987</v>
      </c>
    </row>
    <row r="2603" spans="1:4" x14ac:dyDescent="0.25">
      <c r="A2603" s="384" t="s">
        <v>11988</v>
      </c>
      <c r="B2603" s="384" t="s">
        <v>11989</v>
      </c>
      <c r="C2603" s="384" t="s">
        <v>77</v>
      </c>
      <c r="D2603" s="385" t="s">
        <v>11990</v>
      </c>
    </row>
    <row r="2604" spans="1:4" x14ac:dyDescent="0.25">
      <c r="A2604" s="384" t="s">
        <v>11991</v>
      </c>
      <c r="B2604" s="384" t="s">
        <v>11992</v>
      </c>
      <c r="C2604" s="384" t="s">
        <v>77</v>
      </c>
      <c r="D2604" s="385" t="s">
        <v>11993</v>
      </c>
    </row>
    <row r="2605" spans="1:4" x14ac:dyDescent="0.25">
      <c r="A2605" s="384" t="s">
        <v>11994</v>
      </c>
      <c r="B2605" s="384" t="s">
        <v>11995</v>
      </c>
      <c r="C2605" s="384" t="s">
        <v>77</v>
      </c>
      <c r="D2605" s="385" t="s">
        <v>11996</v>
      </c>
    </row>
    <row r="2606" spans="1:4" x14ac:dyDescent="0.25">
      <c r="A2606" s="384" t="s">
        <v>11997</v>
      </c>
      <c r="B2606" s="384" t="s">
        <v>11998</v>
      </c>
      <c r="C2606" s="384" t="s">
        <v>77</v>
      </c>
      <c r="D2606" s="385" t="s">
        <v>11999</v>
      </c>
    </row>
    <row r="2607" spans="1:4" x14ac:dyDescent="0.25">
      <c r="A2607" s="384" t="s">
        <v>12000</v>
      </c>
      <c r="B2607" s="384" t="s">
        <v>12001</v>
      </c>
      <c r="C2607" s="384" t="s">
        <v>77</v>
      </c>
      <c r="D2607" s="385" t="s">
        <v>12002</v>
      </c>
    </row>
    <row r="2608" spans="1:4" x14ac:dyDescent="0.25">
      <c r="A2608" s="384" t="s">
        <v>12003</v>
      </c>
      <c r="B2608" s="384" t="s">
        <v>12004</v>
      </c>
      <c r="C2608" s="384" t="s">
        <v>77</v>
      </c>
      <c r="D2608" s="385" t="s">
        <v>12005</v>
      </c>
    </row>
    <row r="2609" spans="1:4" x14ac:dyDescent="0.25">
      <c r="A2609" s="384" t="s">
        <v>12006</v>
      </c>
      <c r="B2609" s="384" t="s">
        <v>12007</v>
      </c>
      <c r="C2609" s="384" t="s">
        <v>77</v>
      </c>
      <c r="D2609" s="385" t="s">
        <v>12008</v>
      </c>
    </row>
    <row r="2610" spans="1:4" x14ac:dyDescent="0.25">
      <c r="A2610" s="384" t="s">
        <v>12009</v>
      </c>
      <c r="B2610" s="384" t="s">
        <v>12010</v>
      </c>
      <c r="C2610" s="384" t="s">
        <v>77</v>
      </c>
      <c r="D2610" s="385" t="s">
        <v>12011</v>
      </c>
    </row>
    <row r="2611" spans="1:4" x14ac:dyDescent="0.25">
      <c r="A2611" s="384" t="s">
        <v>12012</v>
      </c>
      <c r="B2611" s="384" t="s">
        <v>12013</v>
      </c>
      <c r="C2611" s="384" t="s">
        <v>77</v>
      </c>
      <c r="D2611" s="385" t="s">
        <v>12014</v>
      </c>
    </row>
    <row r="2612" spans="1:4" x14ac:dyDescent="0.25">
      <c r="A2612" s="384" t="s">
        <v>12015</v>
      </c>
      <c r="B2612" s="384" t="s">
        <v>12016</v>
      </c>
      <c r="C2612" s="384" t="s">
        <v>77</v>
      </c>
      <c r="D2612" s="385" t="s">
        <v>12017</v>
      </c>
    </row>
    <row r="2613" spans="1:4" x14ac:dyDescent="0.25">
      <c r="A2613" s="384" t="s">
        <v>12018</v>
      </c>
      <c r="B2613" s="384" t="s">
        <v>12019</v>
      </c>
      <c r="C2613" s="384" t="s">
        <v>77</v>
      </c>
      <c r="D2613" s="385" t="s">
        <v>12020</v>
      </c>
    </row>
    <row r="2614" spans="1:4" x14ac:dyDescent="0.25">
      <c r="A2614" s="384" t="s">
        <v>12021</v>
      </c>
      <c r="B2614" s="384" t="s">
        <v>12022</v>
      </c>
      <c r="C2614" s="384" t="s">
        <v>2884</v>
      </c>
      <c r="D2614" s="385" t="s">
        <v>12023</v>
      </c>
    </row>
    <row r="2615" spans="1:4" x14ac:dyDescent="0.25">
      <c r="A2615" s="384" t="s">
        <v>12024</v>
      </c>
      <c r="B2615" s="384" t="s">
        <v>12025</v>
      </c>
      <c r="C2615" s="384" t="s">
        <v>2884</v>
      </c>
      <c r="D2615" s="385" t="s">
        <v>12026</v>
      </c>
    </row>
    <row r="2616" spans="1:4" x14ac:dyDescent="0.25">
      <c r="A2616" s="384" t="s">
        <v>12027</v>
      </c>
      <c r="B2616" s="384" t="s">
        <v>12028</v>
      </c>
      <c r="C2616" s="384" t="s">
        <v>2884</v>
      </c>
      <c r="D2616" s="385" t="s">
        <v>4541</v>
      </c>
    </row>
    <row r="2617" spans="1:4" x14ac:dyDescent="0.25">
      <c r="A2617" s="384" t="s">
        <v>12029</v>
      </c>
      <c r="B2617" s="384" t="s">
        <v>12030</v>
      </c>
      <c r="C2617" s="384" t="s">
        <v>2884</v>
      </c>
      <c r="D2617" s="385" t="s">
        <v>12031</v>
      </c>
    </row>
    <row r="2618" spans="1:4" x14ac:dyDescent="0.25">
      <c r="A2618" s="384" t="s">
        <v>12032</v>
      </c>
      <c r="B2618" s="384" t="s">
        <v>12033</v>
      </c>
      <c r="C2618" s="384" t="s">
        <v>2884</v>
      </c>
      <c r="D2618" s="385" t="s">
        <v>12034</v>
      </c>
    </row>
    <row r="2619" spans="1:4" x14ac:dyDescent="0.25">
      <c r="A2619" s="384" t="s">
        <v>12035</v>
      </c>
      <c r="B2619" s="384" t="s">
        <v>12036</v>
      </c>
      <c r="C2619" s="384" t="s">
        <v>83</v>
      </c>
      <c r="D2619" s="385" t="s">
        <v>6702</v>
      </c>
    </row>
    <row r="2620" spans="1:4" x14ac:dyDescent="0.25">
      <c r="A2620" s="384" t="s">
        <v>12037</v>
      </c>
      <c r="B2620" s="384" t="s">
        <v>12038</v>
      </c>
      <c r="C2620" s="384" t="s">
        <v>82</v>
      </c>
      <c r="D2620" s="385" t="s">
        <v>12039</v>
      </c>
    </row>
    <row r="2621" spans="1:4" x14ac:dyDescent="0.25">
      <c r="A2621" s="384" t="s">
        <v>12040</v>
      </c>
      <c r="B2621" s="384" t="s">
        <v>12041</v>
      </c>
      <c r="C2621" s="384" t="s">
        <v>2884</v>
      </c>
      <c r="D2621" s="385" t="s">
        <v>12042</v>
      </c>
    </row>
    <row r="2622" spans="1:4" x14ac:dyDescent="0.25">
      <c r="A2622" s="384" t="s">
        <v>12043</v>
      </c>
      <c r="B2622" s="384" t="s">
        <v>12044</v>
      </c>
      <c r="C2622" s="384" t="s">
        <v>2884</v>
      </c>
      <c r="D2622" s="385" t="s">
        <v>12045</v>
      </c>
    </row>
    <row r="2623" spans="1:4" x14ac:dyDescent="0.25">
      <c r="A2623" s="384" t="s">
        <v>12046</v>
      </c>
      <c r="B2623" s="384" t="s">
        <v>12047</v>
      </c>
      <c r="C2623" s="384" t="s">
        <v>2884</v>
      </c>
      <c r="D2623" s="385" t="s">
        <v>12048</v>
      </c>
    </row>
    <row r="2624" spans="1:4" x14ac:dyDescent="0.25">
      <c r="A2624" s="384" t="s">
        <v>12049</v>
      </c>
      <c r="B2624" s="384" t="s">
        <v>12050</v>
      </c>
      <c r="C2624" s="384" t="s">
        <v>2884</v>
      </c>
      <c r="D2624" s="385" t="s">
        <v>12051</v>
      </c>
    </row>
    <row r="2625" spans="1:4" x14ac:dyDescent="0.25">
      <c r="A2625" s="384" t="s">
        <v>12052</v>
      </c>
      <c r="B2625" s="384" t="s">
        <v>12053</v>
      </c>
      <c r="C2625" s="384" t="s">
        <v>2884</v>
      </c>
      <c r="D2625" s="385" t="s">
        <v>12054</v>
      </c>
    </row>
    <row r="2626" spans="1:4" x14ac:dyDescent="0.25">
      <c r="A2626" s="384" t="s">
        <v>12055</v>
      </c>
      <c r="B2626" s="384" t="s">
        <v>12056</v>
      </c>
      <c r="C2626" s="384" t="s">
        <v>2884</v>
      </c>
      <c r="D2626" s="385" t="s">
        <v>12057</v>
      </c>
    </row>
    <row r="2627" spans="1:4" x14ac:dyDescent="0.25">
      <c r="A2627" s="384" t="s">
        <v>12058</v>
      </c>
      <c r="B2627" s="384" t="s">
        <v>12059</v>
      </c>
      <c r="C2627" s="384" t="s">
        <v>2884</v>
      </c>
      <c r="D2627" s="385" t="s">
        <v>12060</v>
      </c>
    </row>
    <row r="2628" spans="1:4" x14ac:dyDescent="0.25">
      <c r="A2628" s="384" t="s">
        <v>12061</v>
      </c>
      <c r="B2628" s="384" t="s">
        <v>12062</v>
      </c>
      <c r="C2628" s="384" t="s">
        <v>2884</v>
      </c>
      <c r="D2628" s="385" t="s">
        <v>12063</v>
      </c>
    </row>
    <row r="2629" spans="1:4" x14ac:dyDescent="0.25">
      <c r="A2629" s="384" t="s">
        <v>12064</v>
      </c>
      <c r="B2629" s="384" t="s">
        <v>12065</v>
      </c>
      <c r="C2629" s="384" t="s">
        <v>2884</v>
      </c>
      <c r="D2629" s="385" t="s">
        <v>12066</v>
      </c>
    </row>
    <row r="2630" spans="1:4" x14ac:dyDescent="0.25">
      <c r="A2630" s="384" t="s">
        <v>12067</v>
      </c>
      <c r="B2630" s="384" t="s">
        <v>12068</v>
      </c>
      <c r="C2630" s="384" t="s">
        <v>2884</v>
      </c>
      <c r="D2630" s="385" t="s">
        <v>12069</v>
      </c>
    </row>
    <row r="2631" spans="1:4" x14ac:dyDescent="0.25">
      <c r="A2631" s="384" t="s">
        <v>12070</v>
      </c>
      <c r="B2631" s="384" t="s">
        <v>12071</v>
      </c>
      <c r="C2631" s="384" t="s">
        <v>2884</v>
      </c>
      <c r="D2631" s="385" t="s">
        <v>12072</v>
      </c>
    </row>
    <row r="2632" spans="1:4" x14ac:dyDescent="0.25">
      <c r="A2632" s="384" t="s">
        <v>12073</v>
      </c>
      <c r="B2632" s="384" t="s">
        <v>12074</v>
      </c>
      <c r="C2632" s="384" t="s">
        <v>2884</v>
      </c>
      <c r="D2632" s="385" t="s">
        <v>7671</v>
      </c>
    </row>
    <row r="2633" spans="1:4" x14ac:dyDescent="0.25">
      <c r="A2633" s="384" t="s">
        <v>12075</v>
      </c>
      <c r="B2633" s="384" t="s">
        <v>12076</v>
      </c>
      <c r="C2633" s="384" t="s">
        <v>2884</v>
      </c>
      <c r="D2633" s="385" t="s">
        <v>12077</v>
      </c>
    </row>
    <row r="2634" spans="1:4" x14ac:dyDescent="0.25">
      <c r="A2634" s="384" t="s">
        <v>12078</v>
      </c>
      <c r="B2634" s="384" t="s">
        <v>12079</v>
      </c>
      <c r="C2634" s="384" t="s">
        <v>2884</v>
      </c>
      <c r="D2634" s="385" t="s">
        <v>12080</v>
      </c>
    </row>
    <row r="2635" spans="1:4" x14ac:dyDescent="0.25">
      <c r="A2635" s="384" t="s">
        <v>12081</v>
      </c>
      <c r="B2635" s="384" t="s">
        <v>12082</v>
      </c>
      <c r="C2635" s="384" t="s">
        <v>2884</v>
      </c>
      <c r="D2635" s="385" t="s">
        <v>12083</v>
      </c>
    </row>
    <row r="2636" spans="1:4" x14ac:dyDescent="0.25">
      <c r="A2636" s="384" t="s">
        <v>12084</v>
      </c>
      <c r="B2636" s="384" t="s">
        <v>12085</v>
      </c>
      <c r="C2636" s="384" t="s">
        <v>2884</v>
      </c>
      <c r="D2636" s="385" t="s">
        <v>12086</v>
      </c>
    </row>
    <row r="2637" spans="1:4" x14ac:dyDescent="0.25">
      <c r="A2637" s="384" t="s">
        <v>12087</v>
      </c>
      <c r="B2637" s="384" t="s">
        <v>12088</v>
      </c>
      <c r="C2637" s="384" t="s">
        <v>82</v>
      </c>
      <c r="D2637" s="385" t="s">
        <v>12089</v>
      </c>
    </row>
    <row r="2638" spans="1:4" x14ac:dyDescent="0.25">
      <c r="A2638" s="384" t="s">
        <v>12090</v>
      </c>
      <c r="B2638" s="384" t="s">
        <v>12091</v>
      </c>
      <c r="C2638" s="384" t="s">
        <v>82</v>
      </c>
      <c r="D2638" s="385" t="s">
        <v>12092</v>
      </c>
    </row>
    <row r="2639" spans="1:4" x14ac:dyDescent="0.25">
      <c r="A2639" s="384" t="s">
        <v>12093</v>
      </c>
      <c r="B2639" s="384" t="s">
        <v>12094</v>
      </c>
      <c r="C2639" s="384" t="s">
        <v>82</v>
      </c>
      <c r="D2639" s="385" t="s">
        <v>7407</v>
      </c>
    </row>
    <row r="2640" spans="1:4" x14ac:dyDescent="0.25">
      <c r="A2640" s="384" t="s">
        <v>12095</v>
      </c>
      <c r="B2640" s="384" t="s">
        <v>12096</v>
      </c>
      <c r="C2640" s="384" t="s">
        <v>82</v>
      </c>
      <c r="D2640" s="385" t="s">
        <v>12097</v>
      </c>
    </row>
    <row r="2641" spans="1:4" x14ac:dyDescent="0.25">
      <c r="A2641" s="384" t="s">
        <v>12098</v>
      </c>
      <c r="B2641" s="384" t="s">
        <v>12099</v>
      </c>
      <c r="C2641" s="384" t="s">
        <v>82</v>
      </c>
      <c r="D2641" s="385" t="s">
        <v>12100</v>
      </c>
    </row>
    <row r="2642" spans="1:4" x14ac:dyDescent="0.25">
      <c r="A2642" s="384" t="s">
        <v>12101</v>
      </c>
      <c r="B2642" s="384" t="s">
        <v>12102</v>
      </c>
      <c r="C2642" s="384" t="s">
        <v>82</v>
      </c>
      <c r="D2642" s="385" t="s">
        <v>7071</v>
      </c>
    </row>
    <row r="2643" spans="1:4" x14ac:dyDescent="0.25">
      <c r="A2643" s="384" t="s">
        <v>12103</v>
      </c>
      <c r="B2643" s="384" t="s">
        <v>12104</v>
      </c>
      <c r="C2643" s="384" t="s">
        <v>82</v>
      </c>
      <c r="D2643" s="385" t="s">
        <v>12105</v>
      </c>
    </row>
    <row r="2644" spans="1:4" x14ac:dyDescent="0.25">
      <c r="A2644" s="384" t="s">
        <v>12106</v>
      </c>
      <c r="B2644" s="384" t="s">
        <v>12107</v>
      </c>
      <c r="C2644" s="384" t="s">
        <v>82</v>
      </c>
      <c r="D2644" s="385" t="s">
        <v>5066</v>
      </c>
    </row>
    <row r="2645" spans="1:4" x14ac:dyDescent="0.25">
      <c r="A2645" s="384" t="s">
        <v>12108</v>
      </c>
      <c r="B2645" s="384" t="s">
        <v>12109</v>
      </c>
      <c r="C2645" s="384" t="s">
        <v>82</v>
      </c>
      <c r="D2645" s="385" t="s">
        <v>12110</v>
      </c>
    </row>
    <row r="2646" spans="1:4" x14ac:dyDescent="0.25">
      <c r="A2646" s="384" t="s">
        <v>12111</v>
      </c>
      <c r="B2646" s="384" t="s">
        <v>12112</v>
      </c>
      <c r="C2646" s="384" t="s">
        <v>82</v>
      </c>
      <c r="D2646" s="385" t="s">
        <v>6884</v>
      </c>
    </row>
    <row r="2647" spans="1:4" x14ac:dyDescent="0.25">
      <c r="A2647" s="384" t="s">
        <v>12113</v>
      </c>
      <c r="B2647" s="384" t="s">
        <v>12114</v>
      </c>
      <c r="C2647" s="384" t="s">
        <v>82</v>
      </c>
      <c r="D2647" s="385" t="s">
        <v>12115</v>
      </c>
    </row>
    <row r="2648" spans="1:4" x14ac:dyDescent="0.25">
      <c r="A2648" s="384" t="s">
        <v>12116</v>
      </c>
      <c r="B2648" s="384" t="s">
        <v>12117</v>
      </c>
      <c r="C2648" s="384" t="s">
        <v>82</v>
      </c>
      <c r="D2648" s="385" t="s">
        <v>12118</v>
      </c>
    </row>
    <row r="2649" spans="1:4" x14ac:dyDescent="0.25">
      <c r="A2649" s="384" t="s">
        <v>12119</v>
      </c>
      <c r="B2649" s="384" t="s">
        <v>12120</v>
      </c>
      <c r="C2649" s="384" t="s">
        <v>82</v>
      </c>
      <c r="D2649" s="385" t="s">
        <v>12121</v>
      </c>
    </row>
    <row r="2650" spans="1:4" x14ac:dyDescent="0.25">
      <c r="A2650" s="384" t="s">
        <v>12122</v>
      </c>
      <c r="B2650" s="384" t="s">
        <v>12123</v>
      </c>
      <c r="C2650" s="384" t="s">
        <v>82</v>
      </c>
      <c r="D2650" s="385" t="s">
        <v>12124</v>
      </c>
    </row>
    <row r="2651" spans="1:4" x14ac:dyDescent="0.25">
      <c r="A2651" s="384" t="s">
        <v>12125</v>
      </c>
      <c r="B2651" s="384" t="s">
        <v>12126</v>
      </c>
      <c r="C2651" s="384" t="s">
        <v>82</v>
      </c>
      <c r="D2651" s="385" t="s">
        <v>12127</v>
      </c>
    </row>
    <row r="2652" spans="1:4" x14ac:dyDescent="0.25">
      <c r="A2652" s="384" t="s">
        <v>12128</v>
      </c>
      <c r="B2652" s="384" t="s">
        <v>12129</v>
      </c>
      <c r="C2652" s="384" t="s">
        <v>82</v>
      </c>
      <c r="D2652" s="385" t="s">
        <v>12089</v>
      </c>
    </row>
    <row r="2653" spans="1:4" x14ac:dyDescent="0.25">
      <c r="A2653" s="384" t="s">
        <v>12130</v>
      </c>
      <c r="B2653" s="384" t="s">
        <v>12131</v>
      </c>
      <c r="C2653" s="384" t="s">
        <v>82</v>
      </c>
      <c r="D2653" s="385" t="s">
        <v>12132</v>
      </c>
    </row>
    <row r="2654" spans="1:4" x14ac:dyDescent="0.25">
      <c r="A2654" s="384" t="s">
        <v>12133</v>
      </c>
      <c r="B2654" s="384" t="s">
        <v>12134</v>
      </c>
      <c r="C2654" s="384" t="s">
        <v>82</v>
      </c>
      <c r="D2654" s="385" t="s">
        <v>12135</v>
      </c>
    </row>
    <row r="2655" spans="1:4" x14ac:dyDescent="0.25">
      <c r="A2655" s="384" t="s">
        <v>12136</v>
      </c>
      <c r="B2655" s="384" t="s">
        <v>12137</v>
      </c>
      <c r="C2655" s="384" t="s">
        <v>82</v>
      </c>
      <c r="D2655" s="385" t="s">
        <v>12138</v>
      </c>
    </row>
    <row r="2656" spans="1:4" x14ac:dyDescent="0.25">
      <c r="A2656" s="384" t="s">
        <v>12139</v>
      </c>
      <c r="B2656" s="384" t="s">
        <v>12140</v>
      </c>
      <c r="C2656" s="384" t="s">
        <v>82</v>
      </c>
      <c r="D2656" s="385" t="s">
        <v>7407</v>
      </c>
    </row>
    <row r="2657" spans="1:4" x14ac:dyDescent="0.25">
      <c r="A2657" s="384" t="s">
        <v>12141</v>
      </c>
      <c r="B2657" s="384" t="s">
        <v>12142</v>
      </c>
      <c r="C2657" s="384" t="s">
        <v>82</v>
      </c>
      <c r="D2657" s="385" t="s">
        <v>12143</v>
      </c>
    </row>
    <row r="2658" spans="1:4" x14ac:dyDescent="0.25">
      <c r="A2658" s="384" t="s">
        <v>12144</v>
      </c>
      <c r="B2658" s="384" t="s">
        <v>12145</v>
      </c>
      <c r="C2658" s="384" t="s">
        <v>82</v>
      </c>
      <c r="D2658" s="385" t="s">
        <v>12146</v>
      </c>
    </row>
    <row r="2659" spans="1:4" x14ac:dyDescent="0.25">
      <c r="A2659" s="384" t="s">
        <v>12147</v>
      </c>
      <c r="B2659" s="384" t="s">
        <v>12148</v>
      </c>
      <c r="C2659" s="384" t="s">
        <v>82</v>
      </c>
      <c r="D2659" s="385" t="s">
        <v>5465</v>
      </c>
    </row>
    <row r="2660" spans="1:4" x14ac:dyDescent="0.25">
      <c r="A2660" s="384" t="s">
        <v>12149</v>
      </c>
      <c r="B2660" s="384" t="s">
        <v>12150</v>
      </c>
      <c r="C2660" s="384" t="s">
        <v>82</v>
      </c>
      <c r="D2660" s="385" t="s">
        <v>12151</v>
      </c>
    </row>
    <row r="2661" spans="1:4" x14ac:dyDescent="0.25">
      <c r="A2661" s="384" t="s">
        <v>12152</v>
      </c>
      <c r="B2661" s="384" t="s">
        <v>12153</v>
      </c>
      <c r="C2661" s="384" t="s">
        <v>82</v>
      </c>
      <c r="D2661" s="385" t="s">
        <v>12154</v>
      </c>
    </row>
    <row r="2662" spans="1:4" x14ac:dyDescent="0.25">
      <c r="A2662" s="384" t="s">
        <v>12155</v>
      </c>
      <c r="B2662" s="384" t="s">
        <v>12156</v>
      </c>
      <c r="C2662" s="384" t="s">
        <v>82</v>
      </c>
      <c r="D2662" s="385" t="s">
        <v>12157</v>
      </c>
    </row>
    <row r="2663" spans="1:4" x14ac:dyDescent="0.25">
      <c r="A2663" s="384" t="s">
        <v>12158</v>
      </c>
      <c r="B2663" s="384" t="s">
        <v>12159</v>
      </c>
      <c r="C2663" s="384" t="s">
        <v>82</v>
      </c>
      <c r="D2663" s="385" t="s">
        <v>12160</v>
      </c>
    </row>
    <row r="2664" spans="1:4" x14ac:dyDescent="0.25">
      <c r="A2664" s="384" t="s">
        <v>12161</v>
      </c>
      <c r="B2664" s="384" t="s">
        <v>12162</v>
      </c>
      <c r="C2664" s="384" t="s">
        <v>82</v>
      </c>
      <c r="D2664" s="385" t="s">
        <v>5832</v>
      </c>
    </row>
    <row r="2665" spans="1:4" x14ac:dyDescent="0.25">
      <c r="A2665" s="384" t="s">
        <v>12163</v>
      </c>
      <c r="B2665" s="384" t="s">
        <v>12164</v>
      </c>
      <c r="C2665" s="384" t="s">
        <v>82</v>
      </c>
      <c r="D2665" s="385" t="s">
        <v>12165</v>
      </c>
    </row>
    <row r="2666" spans="1:4" x14ac:dyDescent="0.25">
      <c r="A2666" s="384" t="s">
        <v>12166</v>
      </c>
      <c r="B2666" s="384" t="s">
        <v>12167</v>
      </c>
      <c r="C2666" s="384" t="s">
        <v>82</v>
      </c>
      <c r="D2666" s="385" t="s">
        <v>12168</v>
      </c>
    </row>
    <row r="2667" spans="1:4" x14ac:dyDescent="0.25">
      <c r="A2667" s="384" t="s">
        <v>12169</v>
      </c>
      <c r="B2667" s="384" t="s">
        <v>12170</v>
      </c>
      <c r="C2667" s="384" t="s">
        <v>82</v>
      </c>
      <c r="D2667" s="385" t="s">
        <v>12171</v>
      </c>
    </row>
    <row r="2668" spans="1:4" x14ac:dyDescent="0.25">
      <c r="A2668" s="384" t="s">
        <v>12172</v>
      </c>
      <c r="B2668" s="384" t="s">
        <v>12173</v>
      </c>
      <c r="C2668" s="384" t="s">
        <v>82</v>
      </c>
      <c r="D2668" s="385" t="s">
        <v>12174</v>
      </c>
    </row>
    <row r="2669" spans="1:4" x14ac:dyDescent="0.25">
      <c r="A2669" s="384" t="s">
        <v>12175</v>
      </c>
      <c r="B2669" s="384" t="s">
        <v>12176</v>
      </c>
      <c r="C2669" s="384" t="s">
        <v>82</v>
      </c>
      <c r="D2669" s="385" t="s">
        <v>12177</v>
      </c>
    </row>
    <row r="2670" spans="1:4" x14ac:dyDescent="0.25">
      <c r="A2670" s="384" t="s">
        <v>12178</v>
      </c>
      <c r="B2670" s="384" t="s">
        <v>12179</v>
      </c>
      <c r="C2670" s="384" t="s">
        <v>82</v>
      </c>
      <c r="D2670" s="385" t="s">
        <v>12180</v>
      </c>
    </row>
    <row r="2671" spans="1:4" x14ac:dyDescent="0.25">
      <c r="A2671" s="384" t="s">
        <v>12181</v>
      </c>
      <c r="B2671" s="384" t="s">
        <v>12182</v>
      </c>
      <c r="C2671" s="384" t="s">
        <v>82</v>
      </c>
      <c r="D2671" s="385" t="s">
        <v>12183</v>
      </c>
    </row>
    <row r="2672" spans="1:4" x14ac:dyDescent="0.25">
      <c r="A2672" s="384" t="s">
        <v>12184</v>
      </c>
      <c r="B2672" s="384" t="s">
        <v>12185</v>
      </c>
      <c r="C2672" s="384" t="s">
        <v>82</v>
      </c>
      <c r="D2672" s="385" t="s">
        <v>12186</v>
      </c>
    </row>
    <row r="2673" spans="1:4" x14ac:dyDescent="0.25">
      <c r="A2673" s="384" t="s">
        <v>12187</v>
      </c>
      <c r="B2673" s="384" t="s">
        <v>12188</v>
      </c>
      <c r="C2673" s="384" t="s">
        <v>82</v>
      </c>
      <c r="D2673" s="385" t="s">
        <v>12189</v>
      </c>
    </row>
    <row r="2674" spans="1:4" x14ac:dyDescent="0.25">
      <c r="A2674" s="384" t="s">
        <v>12190</v>
      </c>
      <c r="B2674" s="384" t="s">
        <v>12191</v>
      </c>
      <c r="C2674" s="384" t="s">
        <v>82</v>
      </c>
      <c r="D2674" s="385" t="s">
        <v>7729</v>
      </c>
    </row>
    <row r="2675" spans="1:4" x14ac:dyDescent="0.25">
      <c r="A2675" s="384" t="s">
        <v>12192</v>
      </c>
      <c r="B2675" s="384" t="s">
        <v>12193</v>
      </c>
      <c r="C2675" s="384" t="s">
        <v>82</v>
      </c>
      <c r="D2675" s="385" t="s">
        <v>11200</v>
      </c>
    </row>
    <row r="2676" spans="1:4" x14ac:dyDescent="0.25">
      <c r="A2676" s="384" t="s">
        <v>12194</v>
      </c>
      <c r="B2676" s="384" t="s">
        <v>12195</v>
      </c>
      <c r="C2676" s="384" t="s">
        <v>82</v>
      </c>
      <c r="D2676" s="385" t="s">
        <v>12196</v>
      </c>
    </row>
    <row r="2677" spans="1:4" x14ac:dyDescent="0.25">
      <c r="A2677" s="384" t="s">
        <v>12197</v>
      </c>
      <c r="B2677" s="384" t="s">
        <v>12198</v>
      </c>
      <c r="C2677" s="384" t="s">
        <v>82</v>
      </c>
      <c r="D2677" s="385" t="s">
        <v>12199</v>
      </c>
    </row>
    <row r="2678" spans="1:4" x14ac:dyDescent="0.25">
      <c r="A2678" s="384" t="s">
        <v>12200</v>
      </c>
      <c r="B2678" s="384" t="s">
        <v>12201</v>
      </c>
      <c r="C2678" s="384" t="s">
        <v>82</v>
      </c>
      <c r="D2678" s="385" t="s">
        <v>12202</v>
      </c>
    </row>
    <row r="2679" spans="1:4" x14ac:dyDescent="0.25">
      <c r="A2679" s="384" t="s">
        <v>12203</v>
      </c>
      <c r="B2679" s="384" t="s">
        <v>12204</v>
      </c>
      <c r="C2679" s="384" t="s">
        <v>82</v>
      </c>
      <c r="D2679" s="385" t="s">
        <v>12205</v>
      </c>
    </row>
    <row r="2680" spans="1:4" x14ac:dyDescent="0.25">
      <c r="A2680" s="384" t="s">
        <v>12206</v>
      </c>
      <c r="B2680" s="384" t="s">
        <v>12207</v>
      </c>
      <c r="C2680" s="384" t="s">
        <v>82</v>
      </c>
      <c r="D2680" s="385" t="s">
        <v>12208</v>
      </c>
    </row>
    <row r="2681" spans="1:4" x14ac:dyDescent="0.25">
      <c r="A2681" s="384" t="s">
        <v>12209</v>
      </c>
      <c r="B2681" s="384" t="s">
        <v>12210</v>
      </c>
      <c r="C2681" s="384" t="s">
        <v>82</v>
      </c>
      <c r="D2681" s="385" t="s">
        <v>12211</v>
      </c>
    </row>
    <row r="2682" spans="1:4" x14ac:dyDescent="0.25">
      <c r="A2682" s="384" t="s">
        <v>12212</v>
      </c>
      <c r="B2682" s="384" t="s">
        <v>12213</v>
      </c>
      <c r="C2682" s="384" t="s">
        <v>82</v>
      </c>
      <c r="D2682" s="385" t="s">
        <v>12214</v>
      </c>
    </row>
    <row r="2683" spans="1:4" x14ac:dyDescent="0.25">
      <c r="A2683" s="384" t="s">
        <v>12215</v>
      </c>
      <c r="B2683" s="384" t="s">
        <v>12216</v>
      </c>
      <c r="C2683" s="384" t="s">
        <v>82</v>
      </c>
      <c r="D2683" s="385" t="s">
        <v>12217</v>
      </c>
    </row>
    <row r="2684" spans="1:4" x14ac:dyDescent="0.25">
      <c r="A2684" s="384" t="s">
        <v>12218</v>
      </c>
      <c r="B2684" s="384" t="s">
        <v>12219</v>
      </c>
      <c r="C2684" s="384" t="s">
        <v>82</v>
      </c>
      <c r="D2684" s="385" t="s">
        <v>12220</v>
      </c>
    </row>
    <row r="2685" spans="1:4" x14ac:dyDescent="0.25">
      <c r="A2685" s="384" t="s">
        <v>12221</v>
      </c>
      <c r="B2685" s="384" t="s">
        <v>12222</v>
      </c>
      <c r="C2685" s="384" t="s">
        <v>82</v>
      </c>
      <c r="D2685" s="385" t="s">
        <v>12223</v>
      </c>
    </row>
    <row r="2686" spans="1:4" x14ac:dyDescent="0.25">
      <c r="A2686" s="384" t="s">
        <v>12224</v>
      </c>
      <c r="B2686" s="384" t="s">
        <v>12225</v>
      </c>
      <c r="C2686" s="384" t="s">
        <v>82</v>
      </c>
      <c r="D2686" s="385" t="s">
        <v>12226</v>
      </c>
    </row>
    <row r="2687" spans="1:4" x14ac:dyDescent="0.25">
      <c r="A2687" s="384" t="s">
        <v>12227</v>
      </c>
      <c r="B2687" s="384" t="s">
        <v>12228</v>
      </c>
      <c r="C2687" s="384" t="s">
        <v>83</v>
      </c>
      <c r="D2687" s="385" t="s">
        <v>12229</v>
      </c>
    </row>
    <row r="2688" spans="1:4" x14ac:dyDescent="0.25">
      <c r="A2688" s="384" t="s">
        <v>12230</v>
      </c>
      <c r="B2688" s="384" t="s">
        <v>12231</v>
      </c>
      <c r="C2688" s="384" t="s">
        <v>82</v>
      </c>
      <c r="D2688" s="385" t="s">
        <v>12232</v>
      </c>
    </row>
    <row r="2689" spans="1:4" x14ac:dyDescent="0.25">
      <c r="A2689" s="384" t="s">
        <v>12233</v>
      </c>
      <c r="B2689" s="384" t="s">
        <v>12234</v>
      </c>
      <c r="C2689" s="384" t="s">
        <v>82</v>
      </c>
      <c r="D2689" s="385" t="s">
        <v>12235</v>
      </c>
    </row>
    <row r="2690" spans="1:4" x14ac:dyDescent="0.25">
      <c r="A2690" s="384" t="s">
        <v>12236</v>
      </c>
      <c r="B2690" s="384" t="s">
        <v>12237</v>
      </c>
      <c r="C2690" s="384" t="s">
        <v>82</v>
      </c>
      <c r="D2690" s="385" t="s">
        <v>7772</v>
      </c>
    </row>
    <row r="2691" spans="1:4" x14ac:dyDescent="0.25">
      <c r="A2691" s="384" t="s">
        <v>12238</v>
      </c>
      <c r="B2691" s="384" t="s">
        <v>12239</v>
      </c>
      <c r="C2691" s="384" t="s">
        <v>82</v>
      </c>
      <c r="D2691" s="385" t="s">
        <v>12240</v>
      </c>
    </row>
    <row r="2692" spans="1:4" x14ac:dyDescent="0.25">
      <c r="A2692" s="384" t="s">
        <v>12241</v>
      </c>
      <c r="B2692" s="384" t="s">
        <v>12242</v>
      </c>
      <c r="C2692" s="384" t="s">
        <v>82</v>
      </c>
      <c r="D2692" s="385" t="s">
        <v>6048</v>
      </c>
    </row>
    <row r="2693" spans="1:4" x14ac:dyDescent="0.25">
      <c r="A2693" s="384" t="s">
        <v>12243</v>
      </c>
      <c r="B2693" s="384" t="s">
        <v>12244</v>
      </c>
      <c r="C2693" s="384" t="s">
        <v>82</v>
      </c>
      <c r="D2693" s="385" t="s">
        <v>12245</v>
      </c>
    </row>
    <row r="2694" spans="1:4" x14ac:dyDescent="0.25">
      <c r="A2694" s="384" t="s">
        <v>12246</v>
      </c>
      <c r="B2694" s="384" t="s">
        <v>12247</v>
      </c>
      <c r="C2694" s="384" t="s">
        <v>82</v>
      </c>
      <c r="D2694" s="385" t="s">
        <v>12248</v>
      </c>
    </row>
    <row r="2695" spans="1:4" x14ac:dyDescent="0.25">
      <c r="A2695" s="384" t="s">
        <v>12249</v>
      </c>
      <c r="B2695" s="384" t="s">
        <v>12250</v>
      </c>
      <c r="C2695" s="384" t="s">
        <v>82</v>
      </c>
      <c r="D2695" s="385" t="s">
        <v>12251</v>
      </c>
    </row>
    <row r="2696" spans="1:4" x14ac:dyDescent="0.25">
      <c r="A2696" s="384" t="s">
        <v>12252</v>
      </c>
      <c r="B2696" s="384" t="s">
        <v>12253</v>
      </c>
      <c r="C2696" s="384" t="s">
        <v>82</v>
      </c>
      <c r="D2696" s="385" t="s">
        <v>12254</v>
      </c>
    </row>
    <row r="2697" spans="1:4" x14ac:dyDescent="0.25">
      <c r="A2697" s="384" t="s">
        <v>12255</v>
      </c>
      <c r="B2697" s="384" t="s">
        <v>12256</v>
      </c>
      <c r="C2697" s="384" t="s">
        <v>82</v>
      </c>
      <c r="D2697" s="385" t="s">
        <v>5465</v>
      </c>
    </row>
    <row r="2698" spans="1:4" x14ac:dyDescent="0.25">
      <c r="A2698" s="384" t="s">
        <v>12257</v>
      </c>
      <c r="B2698" s="384" t="s">
        <v>12258</v>
      </c>
      <c r="C2698" s="384" t="s">
        <v>82</v>
      </c>
      <c r="D2698" s="385" t="s">
        <v>12259</v>
      </c>
    </row>
    <row r="2699" spans="1:4" x14ac:dyDescent="0.25">
      <c r="A2699" s="384" t="s">
        <v>12260</v>
      </c>
      <c r="B2699" s="384" t="s">
        <v>12261</v>
      </c>
      <c r="C2699" s="384" t="s">
        <v>82</v>
      </c>
      <c r="D2699" s="385" t="s">
        <v>12262</v>
      </c>
    </row>
    <row r="2700" spans="1:4" x14ac:dyDescent="0.25">
      <c r="A2700" s="384" t="s">
        <v>12263</v>
      </c>
      <c r="B2700" s="384" t="s">
        <v>12264</v>
      </c>
      <c r="C2700" s="384" t="s">
        <v>83</v>
      </c>
      <c r="D2700" s="385" t="s">
        <v>12265</v>
      </c>
    </row>
    <row r="2701" spans="1:4" x14ac:dyDescent="0.25">
      <c r="A2701" s="384" t="s">
        <v>12266</v>
      </c>
      <c r="B2701" s="384" t="s">
        <v>12267</v>
      </c>
      <c r="C2701" s="384" t="s">
        <v>83</v>
      </c>
      <c r="D2701" s="385" t="s">
        <v>7443</v>
      </c>
    </row>
    <row r="2702" spans="1:4" x14ac:dyDescent="0.25">
      <c r="A2702" s="384" t="s">
        <v>12268</v>
      </c>
      <c r="B2702" s="384" t="s">
        <v>12269</v>
      </c>
      <c r="C2702" s="384" t="s">
        <v>83</v>
      </c>
      <c r="D2702" s="385" t="s">
        <v>12270</v>
      </c>
    </row>
    <row r="2703" spans="1:4" x14ac:dyDescent="0.25">
      <c r="A2703" s="384" t="s">
        <v>12271</v>
      </c>
      <c r="B2703" s="384" t="s">
        <v>12272</v>
      </c>
      <c r="C2703" s="384" t="s">
        <v>83</v>
      </c>
      <c r="D2703" s="385" t="s">
        <v>5636</v>
      </c>
    </row>
    <row r="2704" spans="1:4" x14ac:dyDescent="0.25">
      <c r="A2704" s="384" t="s">
        <v>12273</v>
      </c>
      <c r="B2704" s="384" t="s">
        <v>12274</v>
      </c>
      <c r="C2704" s="384" t="s">
        <v>83</v>
      </c>
      <c r="D2704" s="385" t="s">
        <v>12275</v>
      </c>
    </row>
    <row r="2705" spans="1:4" x14ac:dyDescent="0.25">
      <c r="A2705" s="384" t="s">
        <v>12276</v>
      </c>
      <c r="B2705" s="384" t="s">
        <v>12277</v>
      </c>
      <c r="C2705" s="384" t="s">
        <v>83</v>
      </c>
      <c r="D2705" s="385" t="s">
        <v>12278</v>
      </c>
    </row>
    <row r="2706" spans="1:4" x14ac:dyDescent="0.25">
      <c r="A2706" s="384" t="s">
        <v>12279</v>
      </c>
      <c r="B2706" s="384" t="s">
        <v>12280</v>
      </c>
      <c r="C2706" s="384" t="s">
        <v>83</v>
      </c>
      <c r="D2706" s="385" t="s">
        <v>12281</v>
      </c>
    </row>
    <row r="2707" spans="1:4" x14ac:dyDescent="0.25">
      <c r="A2707" s="384" t="s">
        <v>12282</v>
      </c>
      <c r="B2707" s="384" t="s">
        <v>12283</v>
      </c>
      <c r="C2707" s="384" t="s">
        <v>83</v>
      </c>
      <c r="D2707" s="385" t="s">
        <v>12284</v>
      </c>
    </row>
    <row r="2708" spans="1:4" x14ac:dyDescent="0.25">
      <c r="A2708" s="384" t="s">
        <v>12285</v>
      </c>
      <c r="B2708" s="384" t="s">
        <v>12286</v>
      </c>
      <c r="C2708" s="384" t="s">
        <v>83</v>
      </c>
      <c r="D2708" s="385" t="s">
        <v>6665</v>
      </c>
    </row>
    <row r="2709" spans="1:4" x14ac:dyDescent="0.25">
      <c r="A2709" s="384" t="s">
        <v>12287</v>
      </c>
      <c r="B2709" s="384" t="s">
        <v>12288</v>
      </c>
      <c r="C2709" s="384" t="s">
        <v>83</v>
      </c>
      <c r="D2709" s="385" t="s">
        <v>12289</v>
      </c>
    </row>
    <row r="2710" spans="1:4" x14ac:dyDescent="0.25">
      <c r="A2710" s="384" t="s">
        <v>12290</v>
      </c>
      <c r="B2710" s="384" t="s">
        <v>12291</v>
      </c>
      <c r="C2710" s="384" t="s">
        <v>83</v>
      </c>
      <c r="D2710" s="385" t="s">
        <v>12292</v>
      </c>
    </row>
    <row r="2711" spans="1:4" x14ac:dyDescent="0.25">
      <c r="A2711" s="384" t="s">
        <v>12293</v>
      </c>
      <c r="B2711" s="384" t="s">
        <v>12294</v>
      </c>
      <c r="C2711" s="384" t="s">
        <v>83</v>
      </c>
      <c r="D2711" s="385" t="s">
        <v>12295</v>
      </c>
    </row>
    <row r="2712" spans="1:4" x14ac:dyDescent="0.25">
      <c r="A2712" s="384" t="s">
        <v>12296</v>
      </c>
      <c r="B2712" s="384" t="s">
        <v>12297</v>
      </c>
      <c r="C2712" s="384" t="s">
        <v>83</v>
      </c>
      <c r="D2712" s="385" t="s">
        <v>12298</v>
      </c>
    </row>
    <row r="2713" spans="1:4" x14ac:dyDescent="0.25">
      <c r="A2713" s="384" t="s">
        <v>12299</v>
      </c>
      <c r="B2713" s="384" t="s">
        <v>12300</v>
      </c>
      <c r="C2713" s="384" t="s">
        <v>83</v>
      </c>
      <c r="D2713" s="385" t="s">
        <v>4796</v>
      </c>
    </row>
    <row r="2714" spans="1:4" x14ac:dyDescent="0.25">
      <c r="A2714" s="384" t="s">
        <v>12301</v>
      </c>
      <c r="B2714" s="384" t="s">
        <v>12302</v>
      </c>
      <c r="C2714" s="384" t="s">
        <v>83</v>
      </c>
      <c r="D2714" s="385" t="s">
        <v>12303</v>
      </c>
    </row>
    <row r="2715" spans="1:4" x14ac:dyDescent="0.25">
      <c r="A2715" s="384" t="s">
        <v>12304</v>
      </c>
      <c r="B2715" s="384" t="s">
        <v>12305</v>
      </c>
      <c r="C2715" s="384" t="s">
        <v>83</v>
      </c>
      <c r="D2715" s="385" t="s">
        <v>12306</v>
      </c>
    </row>
    <row r="2716" spans="1:4" x14ac:dyDescent="0.25">
      <c r="A2716" s="384" t="s">
        <v>12307</v>
      </c>
      <c r="B2716" s="384" t="s">
        <v>12308</v>
      </c>
      <c r="C2716" s="384" t="s">
        <v>83</v>
      </c>
      <c r="D2716" s="385" t="s">
        <v>12309</v>
      </c>
    </row>
    <row r="2717" spans="1:4" x14ac:dyDescent="0.25">
      <c r="A2717" s="384" t="s">
        <v>12310</v>
      </c>
      <c r="B2717" s="384" t="s">
        <v>12311</v>
      </c>
      <c r="C2717" s="384" t="s">
        <v>83</v>
      </c>
      <c r="D2717" s="385" t="s">
        <v>12312</v>
      </c>
    </row>
    <row r="2718" spans="1:4" x14ac:dyDescent="0.25">
      <c r="A2718" s="384" t="s">
        <v>12313</v>
      </c>
      <c r="B2718" s="384" t="s">
        <v>12314</v>
      </c>
      <c r="C2718" s="384" t="s">
        <v>83</v>
      </c>
      <c r="D2718" s="385" t="s">
        <v>8055</v>
      </c>
    </row>
    <row r="2719" spans="1:4" x14ac:dyDescent="0.25">
      <c r="A2719" s="384" t="s">
        <v>12315</v>
      </c>
      <c r="B2719" s="384" t="s">
        <v>12316</v>
      </c>
      <c r="C2719" s="384" t="s">
        <v>83</v>
      </c>
      <c r="D2719" s="385" t="s">
        <v>12317</v>
      </c>
    </row>
    <row r="2720" spans="1:4" x14ac:dyDescent="0.25">
      <c r="A2720" s="384" t="s">
        <v>12318</v>
      </c>
      <c r="B2720" s="384" t="s">
        <v>12319</v>
      </c>
      <c r="C2720" s="384" t="s">
        <v>83</v>
      </c>
      <c r="D2720" s="385" t="s">
        <v>12320</v>
      </c>
    </row>
    <row r="2721" spans="1:4" x14ac:dyDescent="0.25">
      <c r="A2721" s="384" t="s">
        <v>12321</v>
      </c>
      <c r="B2721" s="384" t="s">
        <v>12322</v>
      </c>
      <c r="C2721" s="384" t="s">
        <v>83</v>
      </c>
      <c r="D2721" s="385" t="s">
        <v>12323</v>
      </c>
    </row>
    <row r="2722" spans="1:4" x14ac:dyDescent="0.25">
      <c r="A2722" s="384" t="s">
        <v>12324</v>
      </c>
      <c r="B2722" s="384" t="s">
        <v>12325</v>
      </c>
      <c r="C2722" s="384" t="s">
        <v>83</v>
      </c>
      <c r="D2722" s="385" t="s">
        <v>12326</v>
      </c>
    </row>
    <row r="2723" spans="1:4" x14ac:dyDescent="0.25">
      <c r="A2723" s="384" t="s">
        <v>12327</v>
      </c>
      <c r="B2723" s="384" t="s">
        <v>12328</v>
      </c>
      <c r="C2723" s="384" t="s">
        <v>83</v>
      </c>
      <c r="D2723" s="385" t="s">
        <v>12329</v>
      </c>
    </row>
    <row r="2724" spans="1:4" x14ac:dyDescent="0.25">
      <c r="A2724" s="384" t="s">
        <v>12330</v>
      </c>
      <c r="B2724" s="384" t="s">
        <v>12331</v>
      </c>
      <c r="C2724" s="384" t="s">
        <v>83</v>
      </c>
      <c r="D2724" s="385" t="s">
        <v>12332</v>
      </c>
    </row>
    <row r="2725" spans="1:4" x14ac:dyDescent="0.25">
      <c r="A2725" s="384" t="s">
        <v>12333</v>
      </c>
      <c r="B2725" s="384" t="s">
        <v>12334</v>
      </c>
      <c r="C2725" s="384" t="s">
        <v>83</v>
      </c>
      <c r="D2725" s="385" t="s">
        <v>7144</v>
      </c>
    </row>
    <row r="2726" spans="1:4" x14ac:dyDescent="0.25">
      <c r="A2726" s="384" t="s">
        <v>12335</v>
      </c>
      <c r="B2726" s="384" t="s">
        <v>12336</v>
      </c>
      <c r="C2726" s="384" t="s">
        <v>83</v>
      </c>
      <c r="D2726" s="385" t="s">
        <v>12337</v>
      </c>
    </row>
    <row r="2727" spans="1:4" x14ac:dyDescent="0.25">
      <c r="A2727" s="384" t="s">
        <v>12338</v>
      </c>
      <c r="B2727" s="384" t="s">
        <v>12339</v>
      </c>
      <c r="C2727" s="384" t="s">
        <v>83</v>
      </c>
      <c r="D2727" s="385" t="s">
        <v>12340</v>
      </c>
    </row>
    <row r="2728" spans="1:4" x14ac:dyDescent="0.25">
      <c r="A2728" s="384" t="s">
        <v>12341</v>
      </c>
      <c r="B2728" s="384" t="s">
        <v>12342</v>
      </c>
      <c r="C2728" s="384" t="s">
        <v>83</v>
      </c>
      <c r="D2728" s="385" t="s">
        <v>12343</v>
      </c>
    </row>
    <row r="2729" spans="1:4" x14ac:dyDescent="0.25">
      <c r="A2729" s="384" t="s">
        <v>12344</v>
      </c>
      <c r="B2729" s="384" t="s">
        <v>12345</v>
      </c>
      <c r="C2729" s="384" t="s">
        <v>83</v>
      </c>
      <c r="D2729" s="385" t="s">
        <v>9460</v>
      </c>
    </row>
    <row r="2730" spans="1:4" x14ac:dyDescent="0.25">
      <c r="A2730" s="384" t="s">
        <v>12346</v>
      </c>
      <c r="B2730" s="384" t="s">
        <v>12347</v>
      </c>
      <c r="C2730" s="384" t="s">
        <v>83</v>
      </c>
      <c r="D2730" s="385" t="s">
        <v>5576</v>
      </c>
    </row>
    <row r="2731" spans="1:4" x14ac:dyDescent="0.25">
      <c r="A2731" s="384" t="s">
        <v>12348</v>
      </c>
      <c r="B2731" s="384" t="s">
        <v>12349</v>
      </c>
      <c r="C2731" s="384" t="s">
        <v>83</v>
      </c>
      <c r="D2731" s="385" t="s">
        <v>12350</v>
      </c>
    </row>
    <row r="2732" spans="1:4" x14ac:dyDescent="0.25">
      <c r="A2732" s="384" t="s">
        <v>12351</v>
      </c>
      <c r="B2732" s="384" t="s">
        <v>12352</v>
      </c>
      <c r="C2732" s="384" t="s">
        <v>83</v>
      </c>
      <c r="D2732" s="385" t="s">
        <v>12353</v>
      </c>
    </row>
    <row r="2733" spans="1:4" x14ac:dyDescent="0.25">
      <c r="A2733" s="384" t="s">
        <v>12354</v>
      </c>
      <c r="B2733" s="384" t="s">
        <v>12355</v>
      </c>
      <c r="C2733" s="384" t="s">
        <v>83</v>
      </c>
      <c r="D2733" s="385" t="s">
        <v>12356</v>
      </c>
    </row>
    <row r="2734" spans="1:4" x14ac:dyDescent="0.25">
      <c r="A2734" s="384" t="s">
        <v>12357</v>
      </c>
      <c r="B2734" s="384" t="s">
        <v>12358</v>
      </c>
      <c r="C2734" s="384" t="s">
        <v>83</v>
      </c>
      <c r="D2734" s="385" t="s">
        <v>12359</v>
      </c>
    </row>
    <row r="2735" spans="1:4" x14ac:dyDescent="0.25">
      <c r="A2735" s="384" t="s">
        <v>12360</v>
      </c>
      <c r="B2735" s="384" t="s">
        <v>12361</v>
      </c>
      <c r="C2735" s="384" t="s">
        <v>83</v>
      </c>
      <c r="D2735" s="385" t="s">
        <v>12362</v>
      </c>
    </row>
    <row r="2736" spans="1:4" x14ac:dyDescent="0.25">
      <c r="A2736" s="384" t="s">
        <v>12363</v>
      </c>
      <c r="B2736" s="384" t="s">
        <v>12364</v>
      </c>
      <c r="C2736" s="384" t="s">
        <v>83</v>
      </c>
      <c r="D2736" s="385" t="s">
        <v>12365</v>
      </c>
    </row>
    <row r="2737" spans="1:4" x14ac:dyDescent="0.25">
      <c r="A2737" s="384" t="s">
        <v>12366</v>
      </c>
      <c r="B2737" s="384" t="s">
        <v>12367</v>
      </c>
      <c r="C2737" s="384" t="s">
        <v>83</v>
      </c>
      <c r="D2737" s="385" t="s">
        <v>12368</v>
      </c>
    </row>
    <row r="2738" spans="1:4" x14ac:dyDescent="0.25">
      <c r="A2738" s="384" t="s">
        <v>12369</v>
      </c>
      <c r="B2738" s="384" t="s">
        <v>12370</v>
      </c>
      <c r="C2738" s="384" t="s">
        <v>83</v>
      </c>
      <c r="D2738" s="385" t="s">
        <v>12371</v>
      </c>
    </row>
    <row r="2739" spans="1:4" x14ac:dyDescent="0.25">
      <c r="A2739" s="384" t="s">
        <v>12372</v>
      </c>
      <c r="B2739" s="384" t="s">
        <v>12373</v>
      </c>
      <c r="C2739" s="384" t="s">
        <v>83</v>
      </c>
      <c r="D2739" s="385" t="s">
        <v>12054</v>
      </c>
    </row>
    <row r="2740" spans="1:4" x14ac:dyDescent="0.25">
      <c r="A2740" s="384" t="s">
        <v>12374</v>
      </c>
      <c r="B2740" s="384" t="s">
        <v>12375</v>
      </c>
      <c r="C2740" s="384" t="s">
        <v>83</v>
      </c>
      <c r="D2740" s="385" t="s">
        <v>12376</v>
      </c>
    </row>
    <row r="2741" spans="1:4" x14ac:dyDescent="0.25">
      <c r="A2741" s="384" t="s">
        <v>12377</v>
      </c>
      <c r="B2741" s="384" t="s">
        <v>12378</v>
      </c>
      <c r="C2741" s="384" t="s">
        <v>83</v>
      </c>
      <c r="D2741" s="385" t="s">
        <v>12340</v>
      </c>
    </row>
    <row r="2742" spans="1:4" x14ac:dyDescent="0.25">
      <c r="A2742" s="384" t="s">
        <v>12379</v>
      </c>
      <c r="B2742" s="384" t="s">
        <v>12380</v>
      </c>
      <c r="C2742" s="384" t="s">
        <v>83</v>
      </c>
      <c r="D2742" s="385" t="s">
        <v>12381</v>
      </c>
    </row>
    <row r="2743" spans="1:4" x14ac:dyDescent="0.25">
      <c r="A2743" s="384" t="s">
        <v>12382</v>
      </c>
      <c r="B2743" s="384" t="s">
        <v>12383</v>
      </c>
      <c r="C2743" s="384" t="s">
        <v>83</v>
      </c>
      <c r="D2743" s="385" t="s">
        <v>12384</v>
      </c>
    </row>
    <row r="2744" spans="1:4" x14ac:dyDescent="0.25">
      <c r="A2744" s="384" t="s">
        <v>12385</v>
      </c>
      <c r="B2744" s="384" t="s">
        <v>12386</v>
      </c>
      <c r="C2744" s="384" t="s">
        <v>83</v>
      </c>
      <c r="D2744" s="385" t="s">
        <v>12387</v>
      </c>
    </row>
    <row r="2745" spans="1:4" x14ac:dyDescent="0.25">
      <c r="A2745" s="384" t="s">
        <v>12388</v>
      </c>
      <c r="B2745" s="384" t="s">
        <v>12389</v>
      </c>
      <c r="C2745" s="384" t="s">
        <v>83</v>
      </c>
      <c r="D2745" s="385" t="s">
        <v>12390</v>
      </c>
    </row>
    <row r="2746" spans="1:4" x14ac:dyDescent="0.25">
      <c r="A2746" s="384" t="s">
        <v>12391</v>
      </c>
      <c r="B2746" s="384" t="s">
        <v>12392</v>
      </c>
      <c r="C2746" s="384" t="s">
        <v>83</v>
      </c>
      <c r="D2746" s="385" t="s">
        <v>12393</v>
      </c>
    </row>
    <row r="2747" spans="1:4" x14ac:dyDescent="0.25">
      <c r="A2747" s="384" t="s">
        <v>12394</v>
      </c>
      <c r="B2747" s="384" t="s">
        <v>12395</v>
      </c>
      <c r="C2747" s="384" t="s">
        <v>83</v>
      </c>
      <c r="D2747" s="385" t="s">
        <v>12396</v>
      </c>
    </row>
    <row r="2748" spans="1:4" x14ac:dyDescent="0.25">
      <c r="A2748" s="384" t="s">
        <v>12397</v>
      </c>
      <c r="B2748" s="384" t="s">
        <v>12398</v>
      </c>
      <c r="C2748" s="384" t="s">
        <v>83</v>
      </c>
      <c r="D2748" s="385" t="s">
        <v>6941</v>
      </c>
    </row>
    <row r="2749" spans="1:4" x14ac:dyDescent="0.25">
      <c r="A2749" s="384" t="s">
        <v>12399</v>
      </c>
      <c r="B2749" s="384" t="s">
        <v>12400</v>
      </c>
      <c r="C2749" s="384" t="s">
        <v>83</v>
      </c>
      <c r="D2749" s="385" t="s">
        <v>12174</v>
      </c>
    </row>
    <row r="2750" spans="1:4" x14ac:dyDescent="0.25">
      <c r="A2750" s="384" t="s">
        <v>12401</v>
      </c>
      <c r="B2750" s="384" t="s">
        <v>12402</v>
      </c>
      <c r="C2750" s="384" t="s">
        <v>83</v>
      </c>
      <c r="D2750" s="385" t="s">
        <v>12403</v>
      </c>
    </row>
    <row r="2751" spans="1:4" x14ac:dyDescent="0.25">
      <c r="A2751" s="384" t="s">
        <v>12404</v>
      </c>
      <c r="B2751" s="384" t="s">
        <v>12405</v>
      </c>
      <c r="C2751" s="384" t="s">
        <v>83</v>
      </c>
      <c r="D2751" s="385" t="s">
        <v>12406</v>
      </c>
    </row>
    <row r="2752" spans="1:4" x14ac:dyDescent="0.25">
      <c r="A2752" s="384" t="s">
        <v>12407</v>
      </c>
      <c r="B2752" s="384" t="s">
        <v>12408</v>
      </c>
      <c r="C2752" s="384" t="s">
        <v>83</v>
      </c>
      <c r="D2752" s="385" t="s">
        <v>12409</v>
      </c>
    </row>
    <row r="2753" spans="1:4" x14ac:dyDescent="0.25">
      <c r="A2753" s="384" t="s">
        <v>12410</v>
      </c>
      <c r="B2753" s="384" t="s">
        <v>12411</v>
      </c>
      <c r="C2753" s="384" t="s">
        <v>83</v>
      </c>
      <c r="D2753" s="385" t="s">
        <v>10364</v>
      </c>
    </row>
    <row r="2754" spans="1:4" x14ac:dyDescent="0.25">
      <c r="A2754" s="384" t="s">
        <v>12412</v>
      </c>
      <c r="B2754" s="384" t="s">
        <v>12413</v>
      </c>
      <c r="C2754" s="384" t="s">
        <v>83</v>
      </c>
      <c r="D2754" s="385" t="s">
        <v>12414</v>
      </c>
    </row>
    <row r="2755" spans="1:4" x14ac:dyDescent="0.25">
      <c r="A2755" s="384" t="s">
        <v>12415</v>
      </c>
      <c r="B2755" s="384" t="s">
        <v>12416</v>
      </c>
      <c r="C2755" s="384" t="s">
        <v>83</v>
      </c>
      <c r="D2755" s="385" t="s">
        <v>12417</v>
      </c>
    </row>
    <row r="2756" spans="1:4" x14ac:dyDescent="0.25">
      <c r="A2756" s="384" t="s">
        <v>12418</v>
      </c>
      <c r="B2756" s="384" t="s">
        <v>12419</v>
      </c>
      <c r="C2756" s="384" t="s">
        <v>83</v>
      </c>
      <c r="D2756" s="385" t="s">
        <v>12420</v>
      </c>
    </row>
    <row r="2757" spans="1:4" x14ac:dyDescent="0.25">
      <c r="A2757" s="384" t="s">
        <v>12421</v>
      </c>
      <c r="B2757" s="384" t="s">
        <v>12422</v>
      </c>
      <c r="C2757" s="384" t="s">
        <v>83</v>
      </c>
      <c r="D2757" s="385" t="s">
        <v>12423</v>
      </c>
    </row>
    <row r="2758" spans="1:4" x14ac:dyDescent="0.25">
      <c r="A2758" s="384" t="s">
        <v>12424</v>
      </c>
      <c r="B2758" s="384" t="s">
        <v>12425</v>
      </c>
      <c r="C2758" s="384" t="s">
        <v>83</v>
      </c>
      <c r="D2758" s="385" t="s">
        <v>12426</v>
      </c>
    </row>
    <row r="2759" spans="1:4" x14ac:dyDescent="0.25">
      <c r="A2759" s="384" t="s">
        <v>12427</v>
      </c>
      <c r="B2759" s="384" t="s">
        <v>12428</v>
      </c>
      <c r="C2759" s="384" t="s">
        <v>83</v>
      </c>
      <c r="D2759" s="385" t="s">
        <v>12429</v>
      </c>
    </row>
    <row r="2760" spans="1:4" x14ac:dyDescent="0.25">
      <c r="A2760" s="384" t="s">
        <v>12430</v>
      </c>
      <c r="B2760" s="384" t="s">
        <v>12431</v>
      </c>
      <c r="C2760" s="384" t="s">
        <v>83</v>
      </c>
      <c r="D2760" s="385" t="s">
        <v>12432</v>
      </c>
    </row>
    <row r="2761" spans="1:4" x14ac:dyDescent="0.25">
      <c r="A2761" s="384" t="s">
        <v>12433</v>
      </c>
      <c r="B2761" s="384" t="s">
        <v>12434</v>
      </c>
      <c r="C2761" s="384" t="s">
        <v>83</v>
      </c>
      <c r="D2761" s="385" t="s">
        <v>12435</v>
      </c>
    </row>
    <row r="2762" spans="1:4" x14ac:dyDescent="0.25">
      <c r="A2762" s="384" t="s">
        <v>12436</v>
      </c>
      <c r="B2762" s="384" t="s">
        <v>12437</v>
      </c>
      <c r="C2762" s="384" t="s">
        <v>82</v>
      </c>
      <c r="D2762" s="385" t="s">
        <v>12438</v>
      </c>
    </row>
    <row r="2763" spans="1:4" x14ac:dyDescent="0.25">
      <c r="A2763" s="384" t="s">
        <v>12439</v>
      </c>
      <c r="B2763" s="384" t="s">
        <v>12440</v>
      </c>
      <c r="C2763" s="384" t="s">
        <v>82</v>
      </c>
      <c r="D2763" s="385" t="s">
        <v>6926</v>
      </c>
    </row>
    <row r="2764" spans="1:4" x14ac:dyDescent="0.25">
      <c r="A2764" s="384" t="s">
        <v>12441</v>
      </c>
      <c r="B2764" s="384" t="s">
        <v>12442</v>
      </c>
      <c r="C2764" s="384" t="s">
        <v>82</v>
      </c>
      <c r="D2764" s="385" t="s">
        <v>12443</v>
      </c>
    </row>
    <row r="2765" spans="1:4" x14ac:dyDescent="0.25">
      <c r="A2765" s="384" t="s">
        <v>12444</v>
      </c>
      <c r="B2765" s="384" t="s">
        <v>12445</v>
      </c>
      <c r="C2765" s="384" t="s">
        <v>82</v>
      </c>
      <c r="D2765" s="385" t="s">
        <v>4685</v>
      </c>
    </row>
    <row r="2766" spans="1:4" x14ac:dyDescent="0.25">
      <c r="A2766" s="384" t="s">
        <v>12446</v>
      </c>
      <c r="B2766" s="384" t="s">
        <v>12447</v>
      </c>
      <c r="C2766" s="384" t="s">
        <v>82</v>
      </c>
      <c r="D2766" s="385" t="s">
        <v>12448</v>
      </c>
    </row>
    <row r="2767" spans="1:4" x14ac:dyDescent="0.25">
      <c r="A2767" s="384" t="s">
        <v>12449</v>
      </c>
      <c r="B2767" s="384" t="s">
        <v>12450</v>
      </c>
      <c r="C2767" s="384" t="s">
        <v>82</v>
      </c>
      <c r="D2767" s="385" t="s">
        <v>12451</v>
      </c>
    </row>
    <row r="2768" spans="1:4" x14ac:dyDescent="0.25">
      <c r="A2768" s="384" t="s">
        <v>12452</v>
      </c>
      <c r="B2768" s="384" t="s">
        <v>12453</v>
      </c>
      <c r="C2768" s="384" t="s">
        <v>82</v>
      </c>
      <c r="D2768" s="385" t="s">
        <v>12454</v>
      </c>
    </row>
    <row r="2769" spans="1:4" x14ac:dyDescent="0.25">
      <c r="A2769" s="384" t="s">
        <v>12455</v>
      </c>
      <c r="B2769" s="384" t="s">
        <v>12456</v>
      </c>
      <c r="C2769" s="384" t="s">
        <v>82</v>
      </c>
      <c r="D2769" s="385" t="s">
        <v>12457</v>
      </c>
    </row>
    <row r="2770" spans="1:4" x14ac:dyDescent="0.25">
      <c r="A2770" s="384" t="s">
        <v>12458</v>
      </c>
      <c r="B2770" s="384" t="s">
        <v>12459</v>
      </c>
      <c r="C2770" s="384" t="s">
        <v>82</v>
      </c>
      <c r="D2770" s="385" t="s">
        <v>10468</v>
      </c>
    </row>
    <row r="2771" spans="1:4" x14ac:dyDescent="0.25">
      <c r="A2771" s="384" t="s">
        <v>12460</v>
      </c>
      <c r="B2771" s="384" t="s">
        <v>12461</v>
      </c>
      <c r="C2771" s="384" t="s">
        <v>82</v>
      </c>
      <c r="D2771" s="385" t="s">
        <v>9454</v>
      </c>
    </row>
    <row r="2772" spans="1:4" x14ac:dyDescent="0.25">
      <c r="A2772" s="384" t="s">
        <v>12462</v>
      </c>
      <c r="B2772" s="384" t="s">
        <v>12463</v>
      </c>
      <c r="C2772" s="384" t="s">
        <v>82</v>
      </c>
      <c r="D2772" s="385" t="s">
        <v>12464</v>
      </c>
    </row>
    <row r="2773" spans="1:4" x14ac:dyDescent="0.25">
      <c r="A2773" s="384" t="s">
        <v>12465</v>
      </c>
      <c r="B2773" s="384" t="s">
        <v>12466</v>
      </c>
      <c r="C2773" s="384" t="s">
        <v>82</v>
      </c>
      <c r="D2773" s="385" t="s">
        <v>12467</v>
      </c>
    </row>
    <row r="2774" spans="1:4" x14ac:dyDescent="0.25">
      <c r="A2774" s="384" t="s">
        <v>12468</v>
      </c>
      <c r="B2774" s="384" t="s">
        <v>12469</v>
      </c>
      <c r="C2774" s="384" t="s">
        <v>82</v>
      </c>
      <c r="D2774" s="385" t="s">
        <v>12470</v>
      </c>
    </row>
    <row r="2775" spans="1:4" x14ac:dyDescent="0.25">
      <c r="A2775" s="384" t="s">
        <v>12471</v>
      </c>
      <c r="B2775" s="384" t="s">
        <v>12472</v>
      </c>
      <c r="C2775" s="384" t="s">
        <v>82</v>
      </c>
      <c r="D2775" s="385" t="s">
        <v>12320</v>
      </c>
    </row>
    <row r="2776" spans="1:4" x14ac:dyDescent="0.25">
      <c r="A2776" s="384" t="s">
        <v>12473</v>
      </c>
      <c r="B2776" s="384" t="s">
        <v>12474</v>
      </c>
      <c r="C2776" s="384" t="s">
        <v>82</v>
      </c>
      <c r="D2776" s="385" t="s">
        <v>12475</v>
      </c>
    </row>
    <row r="2777" spans="1:4" x14ac:dyDescent="0.25">
      <c r="A2777" s="384" t="s">
        <v>12476</v>
      </c>
      <c r="B2777" s="384" t="s">
        <v>12477</v>
      </c>
      <c r="C2777" s="384" t="s">
        <v>82</v>
      </c>
      <c r="D2777" s="385" t="s">
        <v>12478</v>
      </c>
    </row>
    <row r="2778" spans="1:4" x14ac:dyDescent="0.25">
      <c r="A2778" s="384" t="s">
        <v>12479</v>
      </c>
      <c r="B2778" s="384" t="s">
        <v>12480</v>
      </c>
      <c r="C2778" s="384" t="s">
        <v>82</v>
      </c>
      <c r="D2778" s="385" t="s">
        <v>12481</v>
      </c>
    </row>
    <row r="2779" spans="1:4" x14ac:dyDescent="0.25">
      <c r="A2779" s="384" t="s">
        <v>12482</v>
      </c>
      <c r="B2779" s="384" t="s">
        <v>12483</v>
      </c>
      <c r="C2779" s="384" t="s">
        <v>82</v>
      </c>
      <c r="D2779" s="385" t="s">
        <v>12484</v>
      </c>
    </row>
    <row r="2780" spans="1:4" x14ac:dyDescent="0.25">
      <c r="A2780" s="384" t="s">
        <v>12485</v>
      </c>
      <c r="B2780" s="384" t="s">
        <v>12486</v>
      </c>
      <c r="C2780" s="384" t="s">
        <v>82</v>
      </c>
      <c r="D2780" s="385" t="s">
        <v>12487</v>
      </c>
    </row>
    <row r="2781" spans="1:4" x14ac:dyDescent="0.25">
      <c r="A2781" s="384" t="s">
        <v>12488</v>
      </c>
      <c r="B2781" s="384" t="s">
        <v>12489</v>
      </c>
      <c r="C2781" s="384" t="s">
        <v>82</v>
      </c>
      <c r="D2781" s="385" t="s">
        <v>12490</v>
      </c>
    </row>
    <row r="2782" spans="1:4" x14ac:dyDescent="0.25">
      <c r="A2782" s="384" t="s">
        <v>12491</v>
      </c>
      <c r="B2782" s="384" t="s">
        <v>12492</v>
      </c>
      <c r="C2782" s="384" t="s">
        <v>82</v>
      </c>
      <c r="D2782" s="385" t="s">
        <v>12493</v>
      </c>
    </row>
    <row r="2783" spans="1:4" x14ac:dyDescent="0.25">
      <c r="A2783" s="384" t="s">
        <v>12494</v>
      </c>
      <c r="B2783" s="384" t="s">
        <v>12495</v>
      </c>
      <c r="C2783" s="384" t="s">
        <v>82</v>
      </c>
      <c r="D2783" s="385" t="s">
        <v>12496</v>
      </c>
    </row>
    <row r="2784" spans="1:4" x14ac:dyDescent="0.25">
      <c r="A2784" s="384" t="s">
        <v>12497</v>
      </c>
      <c r="B2784" s="384" t="s">
        <v>12498</v>
      </c>
      <c r="C2784" s="384" t="s">
        <v>82</v>
      </c>
      <c r="D2784" s="385" t="s">
        <v>12499</v>
      </c>
    </row>
    <row r="2785" spans="1:4" x14ac:dyDescent="0.25">
      <c r="A2785" s="384" t="s">
        <v>12500</v>
      </c>
      <c r="B2785" s="384" t="s">
        <v>12501</v>
      </c>
      <c r="C2785" s="384" t="s">
        <v>82</v>
      </c>
      <c r="D2785" s="385" t="s">
        <v>12502</v>
      </c>
    </row>
    <row r="2786" spans="1:4" x14ac:dyDescent="0.25">
      <c r="A2786" s="384" t="s">
        <v>12503</v>
      </c>
      <c r="B2786" s="384" t="s">
        <v>12504</v>
      </c>
      <c r="C2786" s="384" t="s">
        <v>82</v>
      </c>
      <c r="D2786" s="385" t="s">
        <v>12505</v>
      </c>
    </row>
    <row r="2787" spans="1:4" x14ac:dyDescent="0.25">
      <c r="A2787" s="384" t="s">
        <v>12506</v>
      </c>
      <c r="B2787" s="384" t="s">
        <v>12507</v>
      </c>
      <c r="C2787" s="384" t="s">
        <v>82</v>
      </c>
      <c r="D2787" s="385" t="s">
        <v>12508</v>
      </c>
    </row>
    <row r="2788" spans="1:4" x14ac:dyDescent="0.25">
      <c r="A2788" s="384" t="s">
        <v>12509</v>
      </c>
      <c r="B2788" s="384" t="s">
        <v>12510</v>
      </c>
      <c r="C2788" s="384" t="s">
        <v>82</v>
      </c>
      <c r="D2788" s="385" t="s">
        <v>12511</v>
      </c>
    </row>
    <row r="2789" spans="1:4" x14ac:dyDescent="0.25">
      <c r="A2789" s="384" t="s">
        <v>12512</v>
      </c>
      <c r="B2789" s="384" t="s">
        <v>12513</v>
      </c>
      <c r="C2789" s="384" t="s">
        <v>82</v>
      </c>
      <c r="D2789" s="385" t="s">
        <v>12514</v>
      </c>
    </row>
    <row r="2790" spans="1:4" x14ac:dyDescent="0.25">
      <c r="A2790" s="384" t="s">
        <v>12515</v>
      </c>
      <c r="B2790" s="384" t="s">
        <v>12516</v>
      </c>
      <c r="C2790" s="384" t="s">
        <v>82</v>
      </c>
      <c r="D2790" s="385" t="s">
        <v>12517</v>
      </c>
    </row>
    <row r="2791" spans="1:4" x14ac:dyDescent="0.25">
      <c r="A2791" s="384" t="s">
        <v>12518</v>
      </c>
      <c r="B2791" s="384" t="s">
        <v>12519</v>
      </c>
      <c r="C2791" s="384" t="s">
        <v>82</v>
      </c>
      <c r="D2791" s="385" t="s">
        <v>12520</v>
      </c>
    </row>
    <row r="2792" spans="1:4" x14ac:dyDescent="0.25">
      <c r="A2792" s="384" t="s">
        <v>12521</v>
      </c>
      <c r="B2792" s="384" t="s">
        <v>12522</v>
      </c>
      <c r="C2792" s="384" t="s">
        <v>82</v>
      </c>
      <c r="D2792" s="385" t="s">
        <v>12523</v>
      </c>
    </row>
    <row r="2793" spans="1:4" x14ac:dyDescent="0.25">
      <c r="A2793" s="384" t="s">
        <v>12524</v>
      </c>
      <c r="B2793" s="384" t="s">
        <v>12525</v>
      </c>
      <c r="C2793" s="384" t="s">
        <v>82</v>
      </c>
      <c r="D2793" s="385" t="s">
        <v>12526</v>
      </c>
    </row>
    <row r="2794" spans="1:4" x14ac:dyDescent="0.25">
      <c r="A2794" s="384" t="s">
        <v>12527</v>
      </c>
      <c r="B2794" s="384" t="s">
        <v>12528</v>
      </c>
      <c r="C2794" s="384" t="s">
        <v>82</v>
      </c>
      <c r="D2794" s="385" t="s">
        <v>12529</v>
      </c>
    </row>
    <row r="2795" spans="1:4" x14ac:dyDescent="0.25">
      <c r="A2795" s="384" t="s">
        <v>12530</v>
      </c>
      <c r="B2795" s="384" t="s">
        <v>12531</v>
      </c>
      <c r="C2795" s="384" t="s">
        <v>82</v>
      </c>
      <c r="D2795" s="385" t="s">
        <v>12532</v>
      </c>
    </row>
    <row r="2796" spans="1:4" x14ac:dyDescent="0.25">
      <c r="A2796" s="384" t="s">
        <v>12533</v>
      </c>
      <c r="B2796" s="384" t="s">
        <v>12534</v>
      </c>
      <c r="C2796" s="384" t="s">
        <v>82</v>
      </c>
      <c r="D2796" s="385" t="s">
        <v>12535</v>
      </c>
    </row>
    <row r="2797" spans="1:4" x14ac:dyDescent="0.25">
      <c r="A2797" s="384" t="s">
        <v>12536</v>
      </c>
      <c r="B2797" s="384" t="s">
        <v>12537</v>
      </c>
      <c r="C2797" s="384" t="s">
        <v>82</v>
      </c>
      <c r="D2797" s="385" t="s">
        <v>12538</v>
      </c>
    </row>
    <row r="2798" spans="1:4" x14ac:dyDescent="0.25">
      <c r="A2798" s="384" t="s">
        <v>12539</v>
      </c>
      <c r="B2798" s="384" t="s">
        <v>12540</v>
      </c>
      <c r="C2798" s="384" t="s">
        <v>82</v>
      </c>
      <c r="D2798" s="385" t="s">
        <v>12541</v>
      </c>
    </row>
    <row r="2799" spans="1:4" x14ac:dyDescent="0.25">
      <c r="A2799" s="384" t="s">
        <v>12542</v>
      </c>
      <c r="B2799" s="384" t="s">
        <v>12543</v>
      </c>
      <c r="C2799" s="384" t="s">
        <v>82</v>
      </c>
      <c r="D2799" s="385" t="s">
        <v>12544</v>
      </c>
    </row>
    <row r="2800" spans="1:4" x14ac:dyDescent="0.25">
      <c r="A2800" s="384" t="s">
        <v>12545</v>
      </c>
      <c r="B2800" s="384" t="s">
        <v>12546</v>
      </c>
      <c r="C2800" s="384" t="s">
        <v>82</v>
      </c>
      <c r="D2800" s="385" t="s">
        <v>11452</v>
      </c>
    </row>
    <row r="2801" spans="1:4" x14ac:dyDescent="0.25">
      <c r="A2801" s="384" t="s">
        <v>12547</v>
      </c>
      <c r="B2801" s="384" t="s">
        <v>12548</v>
      </c>
      <c r="C2801" s="384" t="s">
        <v>82</v>
      </c>
      <c r="D2801" s="385" t="s">
        <v>12183</v>
      </c>
    </row>
    <row r="2802" spans="1:4" x14ac:dyDescent="0.25">
      <c r="A2802" s="384" t="s">
        <v>12549</v>
      </c>
      <c r="B2802" s="384" t="s">
        <v>12550</v>
      </c>
      <c r="C2802" s="384" t="s">
        <v>82</v>
      </c>
      <c r="D2802" s="385" t="s">
        <v>12551</v>
      </c>
    </row>
    <row r="2803" spans="1:4" x14ac:dyDescent="0.25">
      <c r="A2803" s="384" t="s">
        <v>12552</v>
      </c>
      <c r="B2803" s="384" t="s">
        <v>12553</v>
      </c>
      <c r="C2803" s="384" t="s">
        <v>82</v>
      </c>
      <c r="D2803" s="385" t="s">
        <v>12554</v>
      </c>
    </row>
    <row r="2804" spans="1:4" x14ac:dyDescent="0.25">
      <c r="A2804" s="384" t="s">
        <v>12555</v>
      </c>
      <c r="B2804" s="384" t="s">
        <v>12556</v>
      </c>
      <c r="C2804" s="384" t="s">
        <v>83</v>
      </c>
      <c r="D2804" s="385" t="s">
        <v>11449</v>
      </c>
    </row>
    <row r="2805" spans="1:4" x14ac:dyDescent="0.25">
      <c r="A2805" s="384" t="s">
        <v>12557</v>
      </c>
      <c r="B2805" s="384" t="s">
        <v>12558</v>
      </c>
      <c r="C2805" s="384" t="s">
        <v>83</v>
      </c>
      <c r="D2805" s="385" t="s">
        <v>12559</v>
      </c>
    </row>
    <row r="2806" spans="1:4" x14ac:dyDescent="0.25">
      <c r="A2806" s="384" t="s">
        <v>12560</v>
      </c>
      <c r="B2806" s="384" t="s">
        <v>12561</v>
      </c>
      <c r="C2806" s="384" t="s">
        <v>83</v>
      </c>
      <c r="D2806" s="385" t="s">
        <v>12562</v>
      </c>
    </row>
    <row r="2807" spans="1:4" x14ac:dyDescent="0.25">
      <c r="A2807" s="384" t="s">
        <v>12563</v>
      </c>
      <c r="B2807" s="384" t="s">
        <v>12564</v>
      </c>
      <c r="C2807" s="384" t="s">
        <v>83</v>
      </c>
      <c r="D2807" s="385" t="s">
        <v>7135</v>
      </c>
    </row>
    <row r="2808" spans="1:4" x14ac:dyDescent="0.25">
      <c r="A2808" s="384" t="s">
        <v>12565</v>
      </c>
      <c r="B2808" s="384" t="s">
        <v>12566</v>
      </c>
      <c r="C2808" s="384" t="s">
        <v>83</v>
      </c>
      <c r="D2808" s="385" t="s">
        <v>12567</v>
      </c>
    </row>
    <row r="2809" spans="1:4" x14ac:dyDescent="0.25">
      <c r="A2809" s="384" t="s">
        <v>12568</v>
      </c>
      <c r="B2809" s="384" t="s">
        <v>12569</v>
      </c>
      <c r="C2809" s="384" t="s">
        <v>83</v>
      </c>
      <c r="D2809" s="385" t="s">
        <v>12570</v>
      </c>
    </row>
    <row r="2810" spans="1:4" x14ac:dyDescent="0.25">
      <c r="A2810" s="384" t="s">
        <v>12571</v>
      </c>
      <c r="B2810" s="384" t="s">
        <v>12572</v>
      </c>
      <c r="C2810" s="384" t="s">
        <v>83</v>
      </c>
      <c r="D2810" s="385" t="s">
        <v>12573</v>
      </c>
    </row>
    <row r="2811" spans="1:4" x14ac:dyDescent="0.25">
      <c r="A2811" s="384" t="s">
        <v>12574</v>
      </c>
      <c r="B2811" s="384" t="s">
        <v>12575</v>
      </c>
      <c r="C2811" s="384" t="s">
        <v>83</v>
      </c>
      <c r="D2811" s="385" t="s">
        <v>12576</v>
      </c>
    </row>
    <row r="2812" spans="1:4" x14ac:dyDescent="0.25">
      <c r="A2812" s="384" t="s">
        <v>12577</v>
      </c>
      <c r="B2812" s="384" t="s">
        <v>12578</v>
      </c>
      <c r="C2812" s="384" t="s">
        <v>83</v>
      </c>
      <c r="D2812" s="385" t="s">
        <v>12579</v>
      </c>
    </row>
    <row r="2813" spans="1:4" x14ac:dyDescent="0.25">
      <c r="A2813" s="384" t="s">
        <v>12580</v>
      </c>
      <c r="B2813" s="384" t="s">
        <v>12581</v>
      </c>
      <c r="C2813" s="384" t="s">
        <v>83</v>
      </c>
      <c r="D2813" s="385" t="s">
        <v>12582</v>
      </c>
    </row>
    <row r="2814" spans="1:4" x14ac:dyDescent="0.25">
      <c r="A2814" s="384" t="s">
        <v>12583</v>
      </c>
      <c r="B2814" s="384" t="s">
        <v>12584</v>
      </c>
      <c r="C2814" s="384" t="s">
        <v>83</v>
      </c>
      <c r="D2814" s="385" t="s">
        <v>12585</v>
      </c>
    </row>
    <row r="2815" spans="1:4" x14ac:dyDescent="0.25">
      <c r="A2815" s="384" t="s">
        <v>12586</v>
      </c>
      <c r="B2815" s="384" t="s">
        <v>12587</v>
      </c>
      <c r="C2815" s="384" t="s">
        <v>83</v>
      </c>
      <c r="D2815" s="385" t="s">
        <v>12588</v>
      </c>
    </row>
    <row r="2816" spans="1:4" x14ac:dyDescent="0.25">
      <c r="A2816" s="384" t="s">
        <v>12589</v>
      </c>
      <c r="B2816" s="384" t="s">
        <v>12590</v>
      </c>
      <c r="C2816" s="384" t="s">
        <v>83</v>
      </c>
      <c r="D2816" s="385" t="s">
        <v>12591</v>
      </c>
    </row>
    <row r="2817" spans="1:4" x14ac:dyDescent="0.25">
      <c r="A2817" s="384" t="s">
        <v>12592</v>
      </c>
      <c r="B2817" s="384" t="s">
        <v>12593</v>
      </c>
      <c r="C2817" s="384" t="s">
        <v>83</v>
      </c>
      <c r="D2817" s="385" t="s">
        <v>12594</v>
      </c>
    </row>
    <row r="2818" spans="1:4" x14ac:dyDescent="0.25">
      <c r="A2818" s="384" t="s">
        <v>12595</v>
      </c>
      <c r="B2818" s="384" t="s">
        <v>12596</v>
      </c>
      <c r="C2818" s="384" t="s">
        <v>83</v>
      </c>
      <c r="D2818" s="385" t="s">
        <v>7488</v>
      </c>
    </row>
    <row r="2819" spans="1:4" x14ac:dyDescent="0.25">
      <c r="A2819" s="384" t="s">
        <v>12597</v>
      </c>
      <c r="B2819" s="384" t="s">
        <v>12598</v>
      </c>
      <c r="C2819" s="384" t="s">
        <v>83</v>
      </c>
      <c r="D2819" s="385" t="s">
        <v>11285</v>
      </c>
    </row>
    <row r="2820" spans="1:4" x14ac:dyDescent="0.25">
      <c r="A2820" s="384" t="s">
        <v>12599</v>
      </c>
      <c r="B2820" s="384" t="s">
        <v>12600</v>
      </c>
      <c r="C2820" s="384" t="s">
        <v>83</v>
      </c>
      <c r="D2820" s="385" t="s">
        <v>12601</v>
      </c>
    </row>
    <row r="2821" spans="1:4" x14ac:dyDescent="0.25">
      <c r="A2821" s="384" t="s">
        <v>12602</v>
      </c>
      <c r="B2821" s="384" t="s">
        <v>12603</v>
      </c>
      <c r="C2821" s="384" t="s">
        <v>83</v>
      </c>
      <c r="D2821" s="385" t="s">
        <v>12604</v>
      </c>
    </row>
    <row r="2822" spans="1:4" x14ac:dyDescent="0.25">
      <c r="A2822" s="384" t="s">
        <v>12605</v>
      </c>
      <c r="B2822" s="384" t="s">
        <v>12606</v>
      </c>
      <c r="C2822" s="384" t="s">
        <v>83</v>
      </c>
      <c r="D2822" s="385" t="s">
        <v>12607</v>
      </c>
    </row>
    <row r="2823" spans="1:4" x14ac:dyDescent="0.25">
      <c r="A2823" s="384" t="s">
        <v>12608</v>
      </c>
      <c r="B2823" s="384" t="s">
        <v>12609</v>
      </c>
      <c r="C2823" s="384" t="s">
        <v>83</v>
      </c>
      <c r="D2823" s="385" t="s">
        <v>12610</v>
      </c>
    </row>
    <row r="2824" spans="1:4" x14ac:dyDescent="0.25">
      <c r="A2824" s="384" t="s">
        <v>12611</v>
      </c>
      <c r="B2824" s="384" t="s">
        <v>12612</v>
      </c>
      <c r="C2824" s="384" t="s">
        <v>83</v>
      </c>
      <c r="D2824" s="385" t="s">
        <v>12613</v>
      </c>
    </row>
    <row r="2825" spans="1:4" x14ac:dyDescent="0.25">
      <c r="A2825" s="384" t="s">
        <v>12614</v>
      </c>
      <c r="B2825" s="384" t="s">
        <v>12615</v>
      </c>
      <c r="C2825" s="384" t="s">
        <v>83</v>
      </c>
      <c r="D2825" s="385" t="s">
        <v>5117</v>
      </c>
    </row>
    <row r="2826" spans="1:4" x14ac:dyDescent="0.25">
      <c r="A2826" s="384" t="s">
        <v>12616</v>
      </c>
      <c r="B2826" s="384" t="s">
        <v>12617</v>
      </c>
      <c r="C2826" s="384" t="s">
        <v>83</v>
      </c>
      <c r="D2826" s="385" t="s">
        <v>12618</v>
      </c>
    </row>
    <row r="2827" spans="1:4" x14ac:dyDescent="0.25">
      <c r="A2827" s="384" t="s">
        <v>12619</v>
      </c>
      <c r="B2827" s="384" t="s">
        <v>12620</v>
      </c>
      <c r="C2827" s="384" t="s">
        <v>83</v>
      </c>
      <c r="D2827" s="385" t="s">
        <v>7904</v>
      </c>
    </row>
    <row r="2828" spans="1:4" x14ac:dyDescent="0.25">
      <c r="A2828" s="384" t="s">
        <v>12621</v>
      </c>
      <c r="B2828" s="384" t="s">
        <v>12622</v>
      </c>
      <c r="C2828" s="384" t="s">
        <v>83</v>
      </c>
      <c r="D2828" s="385" t="s">
        <v>12623</v>
      </c>
    </row>
    <row r="2829" spans="1:4" x14ac:dyDescent="0.25">
      <c r="A2829" s="384" t="s">
        <v>12624</v>
      </c>
      <c r="B2829" s="384" t="s">
        <v>12625</v>
      </c>
      <c r="C2829" s="384" t="s">
        <v>83</v>
      </c>
      <c r="D2829" s="385" t="s">
        <v>12626</v>
      </c>
    </row>
    <row r="2830" spans="1:4" x14ac:dyDescent="0.25">
      <c r="A2830" s="384" t="s">
        <v>12627</v>
      </c>
      <c r="B2830" s="384" t="s">
        <v>12628</v>
      </c>
      <c r="C2830" s="384" t="s">
        <v>83</v>
      </c>
      <c r="D2830" s="385" t="s">
        <v>12629</v>
      </c>
    </row>
    <row r="2831" spans="1:4" x14ac:dyDescent="0.25">
      <c r="A2831" s="384" t="s">
        <v>12630</v>
      </c>
      <c r="B2831" s="384" t="s">
        <v>12631</v>
      </c>
      <c r="C2831" s="384" t="s">
        <v>83</v>
      </c>
      <c r="D2831" s="385" t="s">
        <v>12632</v>
      </c>
    </row>
    <row r="2832" spans="1:4" x14ac:dyDescent="0.25">
      <c r="A2832" s="384" t="s">
        <v>12633</v>
      </c>
      <c r="B2832" s="384" t="s">
        <v>12634</v>
      </c>
      <c r="C2832" s="384" t="s">
        <v>83</v>
      </c>
      <c r="D2832" s="385" t="s">
        <v>11829</v>
      </c>
    </row>
    <row r="2833" spans="1:4" x14ac:dyDescent="0.25">
      <c r="A2833" s="384" t="s">
        <v>12635</v>
      </c>
      <c r="B2833" s="384" t="s">
        <v>12636</v>
      </c>
      <c r="C2833" s="384" t="s">
        <v>83</v>
      </c>
      <c r="D2833" s="385" t="s">
        <v>12637</v>
      </c>
    </row>
    <row r="2834" spans="1:4" x14ac:dyDescent="0.25">
      <c r="A2834" s="384" t="s">
        <v>12638</v>
      </c>
      <c r="B2834" s="384" t="s">
        <v>12639</v>
      </c>
      <c r="C2834" s="384" t="s">
        <v>83</v>
      </c>
      <c r="D2834" s="385" t="s">
        <v>12640</v>
      </c>
    </row>
    <row r="2835" spans="1:4" x14ac:dyDescent="0.25">
      <c r="A2835" s="384" t="s">
        <v>12641</v>
      </c>
      <c r="B2835" s="384" t="s">
        <v>12642</v>
      </c>
      <c r="C2835" s="384" t="s">
        <v>83</v>
      </c>
      <c r="D2835" s="385" t="s">
        <v>12643</v>
      </c>
    </row>
    <row r="2836" spans="1:4" x14ac:dyDescent="0.25">
      <c r="A2836" s="384" t="s">
        <v>12644</v>
      </c>
      <c r="B2836" s="384" t="s">
        <v>12645</v>
      </c>
      <c r="C2836" s="384" t="s">
        <v>83</v>
      </c>
      <c r="D2836" s="385" t="s">
        <v>12646</v>
      </c>
    </row>
    <row r="2837" spans="1:4" x14ac:dyDescent="0.25">
      <c r="A2837" s="384" t="s">
        <v>12647</v>
      </c>
      <c r="B2837" s="384" t="s">
        <v>12648</v>
      </c>
      <c r="C2837" s="384" t="s">
        <v>83</v>
      </c>
      <c r="D2837" s="385" t="s">
        <v>12649</v>
      </c>
    </row>
    <row r="2838" spans="1:4" x14ac:dyDescent="0.25">
      <c r="A2838" s="384" t="s">
        <v>12650</v>
      </c>
      <c r="B2838" s="384" t="s">
        <v>12651</v>
      </c>
      <c r="C2838" s="384" t="s">
        <v>83</v>
      </c>
      <c r="D2838" s="385" t="s">
        <v>12652</v>
      </c>
    </row>
    <row r="2839" spans="1:4" x14ac:dyDescent="0.25">
      <c r="A2839" s="384" t="s">
        <v>12653</v>
      </c>
      <c r="B2839" s="384" t="s">
        <v>12654</v>
      </c>
      <c r="C2839" s="384" t="s">
        <v>83</v>
      </c>
      <c r="D2839" s="385" t="s">
        <v>12655</v>
      </c>
    </row>
    <row r="2840" spans="1:4" x14ac:dyDescent="0.25">
      <c r="A2840" s="384" t="s">
        <v>12656</v>
      </c>
      <c r="B2840" s="384" t="s">
        <v>12657</v>
      </c>
      <c r="C2840" s="384" t="s">
        <v>83</v>
      </c>
      <c r="D2840" s="385" t="s">
        <v>4862</v>
      </c>
    </row>
    <row r="2841" spans="1:4" x14ac:dyDescent="0.25">
      <c r="A2841" s="384" t="s">
        <v>12658</v>
      </c>
      <c r="B2841" s="384" t="s">
        <v>12659</v>
      </c>
      <c r="C2841" s="384" t="s">
        <v>83</v>
      </c>
      <c r="D2841" s="385" t="s">
        <v>12660</v>
      </c>
    </row>
    <row r="2842" spans="1:4" x14ac:dyDescent="0.25">
      <c r="A2842" s="384" t="s">
        <v>12661</v>
      </c>
      <c r="B2842" s="384" t="s">
        <v>12662</v>
      </c>
      <c r="C2842" s="384" t="s">
        <v>83</v>
      </c>
      <c r="D2842" s="385" t="s">
        <v>12663</v>
      </c>
    </row>
    <row r="2843" spans="1:4" x14ac:dyDescent="0.25">
      <c r="A2843" s="384" t="s">
        <v>12664</v>
      </c>
      <c r="B2843" s="384" t="s">
        <v>12665</v>
      </c>
      <c r="C2843" s="384" t="s">
        <v>83</v>
      </c>
      <c r="D2843" s="385" t="s">
        <v>5874</v>
      </c>
    </row>
    <row r="2844" spans="1:4" x14ac:dyDescent="0.25">
      <c r="A2844" s="384" t="s">
        <v>12666</v>
      </c>
      <c r="B2844" s="384" t="s">
        <v>12667</v>
      </c>
      <c r="C2844" s="384" t="s">
        <v>83</v>
      </c>
      <c r="D2844" s="385" t="s">
        <v>12668</v>
      </c>
    </row>
    <row r="2845" spans="1:4" x14ac:dyDescent="0.25">
      <c r="A2845" s="384" t="s">
        <v>12669</v>
      </c>
      <c r="B2845" s="384" t="s">
        <v>12670</v>
      </c>
      <c r="C2845" s="384" t="s">
        <v>83</v>
      </c>
      <c r="D2845" s="385" t="s">
        <v>12671</v>
      </c>
    </row>
    <row r="2846" spans="1:4" x14ac:dyDescent="0.25">
      <c r="A2846" s="384" t="s">
        <v>12672</v>
      </c>
      <c r="B2846" s="384" t="s">
        <v>12673</v>
      </c>
      <c r="C2846" s="384" t="s">
        <v>83</v>
      </c>
      <c r="D2846" s="385" t="s">
        <v>12674</v>
      </c>
    </row>
    <row r="2847" spans="1:4" x14ac:dyDescent="0.25">
      <c r="A2847" s="384" t="s">
        <v>12675</v>
      </c>
      <c r="B2847" s="384" t="s">
        <v>12676</v>
      </c>
      <c r="C2847" s="384" t="s">
        <v>83</v>
      </c>
      <c r="D2847" s="385" t="s">
        <v>12677</v>
      </c>
    </row>
    <row r="2848" spans="1:4" x14ac:dyDescent="0.25">
      <c r="A2848" s="384" t="s">
        <v>12678</v>
      </c>
      <c r="B2848" s="384" t="s">
        <v>12679</v>
      </c>
      <c r="C2848" s="384" t="s">
        <v>83</v>
      </c>
      <c r="D2848" s="385" t="s">
        <v>12680</v>
      </c>
    </row>
    <row r="2849" spans="1:4" x14ac:dyDescent="0.25">
      <c r="A2849" s="384" t="s">
        <v>12681</v>
      </c>
      <c r="B2849" s="384" t="s">
        <v>12682</v>
      </c>
      <c r="C2849" s="384" t="s">
        <v>83</v>
      </c>
      <c r="D2849" s="385" t="s">
        <v>5219</v>
      </c>
    </row>
    <row r="2850" spans="1:4" x14ac:dyDescent="0.25">
      <c r="A2850" s="384" t="s">
        <v>12683</v>
      </c>
      <c r="B2850" s="384" t="s">
        <v>12684</v>
      </c>
      <c r="C2850" s="384" t="s">
        <v>83</v>
      </c>
      <c r="D2850" s="385" t="s">
        <v>12685</v>
      </c>
    </row>
    <row r="2851" spans="1:4" x14ac:dyDescent="0.25">
      <c r="A2851" s="384" t="s">
        <v>12686</v>
      </c>
      <c r="B2851" s="384" t="s">
        <v>12687</v>
      </c>
      <c r="C2851" s="384" t="s">
        <v>83</v>
      </c>
      <c r="D2851" s="385" t="s">
        <v>12688</v>
      </c>
    </row>
    <row r="2852" spans="1:4" x14ac:dyDescent="0.25">
      <c r="A2852" s="384" t="s">
        <v>12689</v>
      </c>
      <c r="B2852" s="384" t="s">
        <v>12690</v>
      </c>
      <c r="C2852" s="384" t="s">
        <v>83</v>
      </c>
      <c r="D2852" s="385" t="s">
        <v>12691</v>
      </c>
    </row>
    <row r="2853" spans="1:4" x14ac:dyDescent="0.25">
      <c r="A2853" s="384" t="s">
        <v>12692</v>
      </c>
      <c r="B2853" s="384" t="s">
        <v>12693</v>
      </c>
      <c r="C2853" s="384" t="s">
        <v>83</v>
      </c>
      <c r="D2853" s="385" t="s">
        <v>12694</v>
      </c>
    </row>
    <row r="2854" spans="1:4" x14ac:dyDescent="0.25">
      <c r="A2854" s="384" t="s">
        <v>12695</v>
      </c>
      <c r="B2854" s="384" t="s">
        <v>12696</v>
      </c>
      <c r="C2854" s="384" t="s">
        <v>83</v>
      </c>
      <c r="D2854" s="385" t="s">
        <v>12697</v>
      </c>
    </row>
    <row r="2855" spans="1:4" x14ac:dyDescent="0.25">
      <c r="A2855" s="384" t="s">
        <v>12698</v>
      </c>
      <c r="B2855" s="384" t="s">
        <v>12699</v>
      </c>
      <c r="C2855" s="384" t="s">
        <v>83</v>
      </c>
      <c r="D2855" s="385" t="s">
        <v>12700</v>
      </c>
    </row>
    <row r="2856" spans="1:4" x14ac:dyDescent="0.25">
      <c r="A2856" s="384" t="s">
        <v>12701</v>
      </c>
      <c r="B2856" s="384" t="s">
        <v>12702</v>
      </c>
      <c r="C2856" s="384" t="s">
        <v>83</v>
      </c>
      <c r="D2856" s="385" t="s">
        <v>12703</v>
      </c>
    </row>
    <row r="2857" spans="1:4" x14ac:dyDescent="0.25">
      <c r="A2857" s="384" t="s">
        <v>12704</v>
      </c>
      <c r="B2857" s="384" t="s">
        <v>12705</v>
      </c>
      <c r="C2857" s="384" t="s">
        <v>83</v>
      </c>
      <c r="D2857" s="385" t="s">
        <v>12706</v>
      </c>
    </row>
    <row r="2858" spans="1:4" x14ac:dyDescent="0.25">
      <c r="A2858" s="384" t="s">
        <v>12707</v>
      </c>
      <c r="B2858" s="384" t="s">
        <v>12708</v>
      </c>
      <c r="C2858" s="384" t="s">
        <v>83</v>
      </c>
      <c r="D2858" s="385" t="s">
        <v>12709</v>
      </c>
    </row>
    <row r="2859" spans="1:4" x14ac:dyDescent="0.25">
      <c r="A2859" s="384" t="s">
        <v>12710</v>
      </c>
      <c r="B2859" s="384" t="s">
        <v>12711</v>
      </c>
      <c r="C2859" s="384" t="s">
        <v>83</v>
      </c>
      <c r="D2859" s="385" t="s">
        <v>12712</v>
      </c>
    </row>
    <row r="2860" spans="1:4" x14ac:dyDescent="0.25">
      <c r="A2860" s="384" t="s">
        <v>12713</v>
      </c>
      <c r="B2860" s="384" t="s">
        <v>12714</v>
      </c>
      <c r="C2860" s="384" t="s">
        <v>83</v>
      </c>
      <c r="D2860" s="385" t="s">
        <v>12715</v>
      </c>
    </row>
    <row r="2861" spans="1:4" x14ac:dyDescent="0.25">
      <c r="A2861" s="384" t="s">
        <v>12716</v>
      </c>
      <c r="B2861" s="384" t="s">
        <v>12717</v>
      </c>
      <c r="C2861" s="384" t="s">
        <v>83</v>
      </c>
      <c r="D2861" s="385" t="s">
        <v>12718</v>
      </c>
    </row>
    <row r="2862" spans="1:4" x14ac:dyDescent="0.25">
      <c r="A2862" s="384" t="s">
        <v>12719</v>
      </c>
      <c r="B2862" s="384" t="s">
        <v>12720</v>
      </c>
      <c r="C2862" s="384" t="s">
        <v>83</v>
      </c>
      <c r="D2862" s="385" t="s">
        <v>12721</v>
      </c>
    </row>
    <row r="2863" spans="1:4" x14ac:dyDescent="0.25">
      <c r="A2863" s="384" t="s">
        <v>12722</v>
      </c>
      <c r="B2863" s="384" t="s">
        <v>12723</v>
      </c>
      <c r="C2863" s="384" t="s">
        <v>83</v>
      </c>
      <c r="D2863" s="385" t="s">
        <v>12724</v>
      </c>
    </row>
    <row r="2864" spans="1:4" x14ac:dyDescent="0.25">
      <c r="A2864" s="384" t="s">
        <v>12725</v>
      </c>
      <c r="B2864" s="384" t="s">
        <v>12726</v>
      </c>
      <c r="C2864" s="384" t="s">
        <v>83</v>
      </c>
      <c r="D2864" s="385" t="s">
        <v>12727</v>
      </c>
    </row>
    <row r="2865" spans="1:4" x14ac:dyDescent="0.25">
      <c r="A2865" s="384" t="s">
        <v>12728</v>
      </c>
      <c r="B2865" s="384" t="s">
        <v>12729</v>
      </c>
      <c r="C2865" s="384" t="s">
        <v>83</v>
      </c>
      <c r="D2865" s="385" t="s">
        <v>12730</v>
      </c>
    </row>
    <row r="2866" spans="1:4" x14ac:dyDescent="0.25">
      <c r="A2866" s="384" t="s">
        <v>12731</v>
      </c>
      <c r="B2866" s="384" t="s">
        <v>12732</v>
      </c>
      <c r="C2866" s="384" t="s">
        <v>83</v>
      </c>
      <c r="D2866" s="385" t="s">
        <v>12733</v>
      </c>
    </row>
    <row r="2867" spans="1:4" x14ac:dyDescent="0.25">
      <c r="A2867" s="384" t="s">
        <v>12734</v>
      </c>
      <c r="B2867" s="384" t="s">
        <v>12735</v>
      </c>
      <c r="C2867" s="384" t="s">
        <v>83</v>
      </c>
      <c r="D2867" s="385" t="s">
        <v>12736</v>
      </c>
    </row>
    <row r="2868" spans="1:4" x14ac:dyDescent="0.25">
      <c r="A2868" s="384" t="s">
        <v>12737</v>
      </c>
      <c r="B2868" s="384" t="s">
        <v>12738</v>
      </c>
      <c r="C2868" s="384" t="s">
        <v>83</v>
      </c>
      <c r="D2868" s="385" t="s">
        <v>12736</v>
      </c>
    </row>
    <row r="2869" spans="1:4" x14ac:dyDescent="0.25">
      <c r="A2869" s="384" t="s">
        <v>12739</v>
      </c>
      <c r="B2869" s="384" t="s">
        <v>12740</v>
      </c>
      <c r="C2869" s="384" t="s">
        <v>83</v>
      </c>
      <c r="D2869" s="385" t="s">
        <v>10599</v>
      </c>
    </row>
    <row r="2870" spans="1:4" x14ac:dyDescent="0.25">
      <c r="A2870" s="384" t="s">
        <v>12741</v>
      </c>
      <c r="B2870" s="384" t="s">
        <v>12742</v>
      </c>
      <c r="C2870" s="384" t="s">
        <v>83</v>
      </c>
      <c r="D2870" s="385" t="s">
        <v>12743</v>
      </c>
    </row>
    <row r="2871" spans="1:4" x14ac:dyDescent="0.25">
      <c r="A2871" s="384" t="s">
        <v>12744</v>
      </c>
      <c r="B2871" s="384" t="s">
        <v>12745</v>
      </c>
      <c r="C2871" s="384" t="s">
        <v>83</v>
      </c>
      <c r="D2871" s="385" t="s">
        <v>12746</v>
      </c>
    </row>
    <row r="2872" spans="1:4" x14ac:dyDescent="0.25">
      <c r="A2872" s="384" t="s">
        <v>12747</v>
      </c>
      <c r="B2872" s="384" t="s">
        <v>12748</v>
      </c>
      <c r="C2872" s="384" t="s">
        <v>83</v>
      </c>
      <c r="D2872" s="385" t="s">
        <v>12749</v>
      </c>
    </row>
    <row r="2873" spans="1:4" x14ac:dyDescent="0.25">
      <c r="A2873" s="384" t="s">
        <v>12750</v>
      </c>
      <c r="B2873" s="384" t="s">
        <v>12751</v>
      </c>
      <c r="C2873" s="384" t="s">
        <v>83</v>
      </c>
      <c r="D2873" s="385" t="s">
        <v>12752</v>
      </c>
    </row>
    <row r="2874" spans="1:4" x14ac:dyDescent="0.25">
      <c r="A2874" s="384" t="s">
        <v>12753</v>
      </c>
      <c r="B2874" s="384" t="s">
        <v>12754</v>
      </c>
      <c r="C2874" s="384" t="s">
        <v>83</v>
      </c>
      <c r="D2874" s="385" t="s">
        <v>12755</v>
      </c>
    </row>
    <row r="2875" spans="1:4" x14ac:dyDescent="0.25">
      <c r="A2875" s="384" t="s">
        <v>12756</v>
      </c>
      <c r="B2875" s="384" t="s">
        <v>12757</v>
      </c>
      <c r="C2875" s="384" t="s">
        <v>83</v>
      </c>
      <c r="D2875" s="385" t="s">
        <v>12755</v>
      </c>
    </row>
    <row r="2876" spans="1:4" x14ac:dyDescent="0.25">
      <c r="A2876" s="384" t="s">
        <v>12758</v>
      </c>
      <c r="B2876" s="384" t="s">
        <v>12759</v>
      </c>
      <c r="C2876" s="384" t="s">
        <v>83</v>
      </c>
      <c r="D2876" s="385" t="s">
        <v>12760</v>
      </c>
    </row>
    <row r="2877" spans="1:4" x14ac:dyDescent="0.25">
      <c r="A2877" s="384" t="s">
        <v>12761</v>
      </c>
      <c r="B2877" s="384" t="s">
        <v>12762</v>
      </c>
      <c r="C2877" s="384" t="s">
        <v>83</v>
      </c>
      <c r="D2877" s="385" t="s">
        <v>12763</v>
      </c>
    </row>
    <row r="2878" spans="1:4" x14ac:dyDescent="0.25">
      <c r="A2878" s="384" t="s">
        <v>12764</v>
      </c>
      <c r="B2878" s="384" t="s">
        <v>12765</v>
      </c>
      <c r="C2878" s="384" t="s">
        <v>83</v>
      </c>
      <c r="D2878" s="385" t="s">
        <v>12766</v>
      </c>
    </row>
    <row r="2879" spans="1:4" x14ac:dyDescent="0.25">
      <c r="A2879" s="384" t="s">
        <v>12767</v>
      </c>
      <c r="B2879" s="384" t="s">
        <v>12768</v>
      </c>
      <c r="C2879" s="384" t="s">
        <v>83</v>
      </c>
      <c r="D2879" s="385" t="s">
        <v>12769</v>
      </c>
    </row>
    <row r="2880" spans="1:4" x14ac:dyDescent="0.25">
      <c r="A2880" s="384" t="s">
        <v>12770</v>
      </c>
      <c r="B2880" s="384" t="s">
        <v>12771</v>
      </c>
      <c r="C2880" s="384" t="s">
        <v>83</v>
      </c>
      <c r="D2880" s="385" t="s">
        <v>12772</v>
      </c>
    </row>
    <row r="2881" spans="1:4" x14ac:dyDescent="0.25">
      <c r="A2881" s="384" t="s">
        <v>12773</v>
      </c>
      <c r="B2881" s="384" t="s">
        <v>12774</v>
      </c>
      <c r="C2881" s="384" t="s">
        <v>83</v>
      </c>
      <c r="D2881" s="385" t="s">
        <v>12775</v>
      </c>
    </row>
    <row r="2882" spans="1:4" x14ac:dyDescent="0.25">
      <c r="A2882" s="384" t="s">
        <v>12776</v>
      </c>
      <c r="B2882" s="384" t="s">
        <v>12777</v>
      </c>
      <c r="C2882" s="384" t="s">
        <v>83</v>
      </c>
      <c r="D2882" s="385" t="s">
        <v>12775</v>
      </c>
    </row>
    <row r="2883" spans="1:4" x14ac:dyDescent="0.25">
      <c r="A2883" s="384" t="s">
        <v>12778</v>
      </c>
      <c r="B2883" s="384" t="s">
        <v>12779</v>
      </c>
      <c r="C2883" s="384" t="s">
        <v>83</v>
      </c>
      <c r="D2883" s="385" t="s">
        <v>12780</v>
      </c>
    </row>
    <row r="2884" spans="1:4" x14ac:dyDescent="0.25">
      <c r="A2884" s="384" t="s">
        <v>12781</v>
      </c>
      <c r="B2884" s="384" t="s">
        <v>12782</v>
      </c>
      <c r="C2884" s="384" t="s">
        <v>83</v>
      </c>
      <c r="D2884" s="385" t="s">
        <v>12783</v>
      </c>
    </row>
    <row r="2885" spans="1:4" x14ac:dyDescent="0.25">
      <c r="A2885" s="384" t="s">
        <v>12784</v>
      </c>
      <c r="B2885" s="384" t="s">
        <v>12785</v>
      </c>
      <c r="C2885" s="384" t="s">
        <v>83</v>
      </c>
      <c r="D2885" s="385" t="s">
        <v>12786</v>
      </c>
    </row>
    <row r="2886" spans="1:4" x14ac:dyDescent="0.25">
      <c r="A2886" s="384" t="s">
        <v>12787</v>
      </c>
      <c r="B2886" s="384" t="s">
        <v>12788</v>
      </c>
      <c r="C2886" s="384" t="s">
        <v>83</v>
      </c>
      <c r="D2886" s="385" t="s">
        <v>12789</v>
      </c>
    </row>
    <row r="2887" spans="1:4" x14ac:dyDescent="0.25">
      <c r="A2887" s="384" t="s">
        <v>12790</v>
      </c>
      <c r="B2887" s="384" t="s">
        <v>12791</v>
      </c>
      <c r="C2887" s="384" t="s">
        <v>83</v>
      </c>
      <c r="D2887" s="385" t="s">
        <v>12792</v>
      </c>
    </row>
    <row r="2888" spans="1:4" x14ac:dyDescent="0.25">
      <c r="A2888" s="384" t="s">
        <v>12793</v>
      </c>
      <c r="B2888" s="384" t="s">
        <v>12794</v>
      </c>
      <c r="C2888" s="384" t="s">
        <v>83</v>
      </c>
      <c r="D2888" s="385" t="s">
        <v>12795</v>
      </c>
    </row>
    <row r="2889" spans="1:4" x14ac:dyDescent="0.25">
      <c r="A2889" s="384" t="s">
        <v>12796</v>
      </c>
      <c r="B2889" s="384" t="s">
        <v>12797</v>
      </c>
      <c r="C2889" s="384" t="s">
        <v>83</v>
      </c>
      <c r="D2889" s="385" t="s">
        <v>12798</v>
      </c>
    </row>
    <row r="2890" spans="1:4" x14ac:dyDescent="0.25">
      <c r="A2890" s="384" t="s">
        <v>12799</v>
      </c>
      <c r="B2890" s="384" t="s">
        <v>12800</v>
      </c>
      <c r="C2890" s="384" t="s">
        <v>83</v>
      </c>
      <c r="D2890" s="385" t="s">
        <v>12801</v>
      </c>
    </row>
    <row r="2891" spans="1:4" x14ac:dyDescent="0.25">
      <c r="A2891" s="384" t="s">
        <v>12802</v>
      </c>
      <c r="B2891" s="384" t="s">
        <v>12803</v>
      </c>
      <c r="C2891" s="384" t="s">
        <v>83</v>
      </c>
      <c r="D2891" s="385" t="s">
        <v>12804</v>
      </c>
    </row>
    <row r="2892" spans="1:4" x14ac:dyDescent="0.25">
      <c r="A2892" s="384" t="s">
        <v>12805</v>
      </c>
      <c r="B2892" s="384" t="s">
        <v>12806</v>
      </c>
      <c r="C2892" s="384" t="s">
        <v>83</v>
      </c>
      <c r="D2892" s="385" t="s">
        <v>12807</v>
      </c>
    </row>
    <row r="2893" spans="1:4" x14ac:dyDescent="0.25">
      <c r="A2893" s="384" t="s">
        <v>12808</v>
      </c>
      <c r="B2893" s="384" t="s">
        <v>12809</v>
      </c>
      <c r="C2893" s="384" t="s">
        <v>83</v>
      </c>
      <c r="D2893" s="385" t="s">
        <v>12810</v>
      </c>
    </row>
    <row r="2894" spans="1:4" x14ac:dyDescent="0.25">
      <c r="A2894" s="384" t="s">
        <v>12811</v>
      </c>
      <c r="B2894" s="384" t="s">
        <v>12812</v>
      </c>
      <c r="C2894" s="384" t="s">
        <v>83</v>
      </c>
      <c r="D2894" s="385" t="s">
        <v>12813</v>
      </c>
    </row>
    <row r="2895" spans="1:4" x14ac:dyDescent="0.25">
      <c r="A2895" s="384" t="s">
        <v>12814</v>
      </c>
      <c r="B2895" s="384" t="s">
        <v>12815</v>
      </c>
      <c r="C2895" s="384" t="s">
        <v>83</v>
      </c>
      <c r="D2895" s="385" t="s">
        <v>12816</v>
      </c>
    </row>
    <row r="2896" spans="1:4" x14ac:dyDescent="0.25">
      <c r="A2896" s="384" t="s">
        <v>12817</v>
      </c>
      <c r="B2896" s="384" t="s">
        <v>12818</v>
      </c>
      <c r="C2896" s="384" t="s">
        <v>83</v>
      </c>
      <c r="D2896" s="385" t="s">
        <v>12819</v>
      </c>
    </row>
    <row r="2897" spans="1:4" x14ac:dyDescent="0.25">
      <c r="A2897" s="384" t="s">
        <v>12820</v>
      </c>
      <c r="B2897" s="384" t="s">
        <v>12821</v>
      </c>
      <c r="C2897" s="384" t="s">
        <v>83</v>
      </c>
      <c r="D2897" s="385" t="s">
        <v>12822</v>
      </c>
    </row>
    <row r="2898" spans="1:4" x14ac:dyDescent="0.25">
      <c r="A2898" s="384" t="s">
        <v>12823</v>
      </c>
      <c r="B2898" s="384" t="s">
        <v>12824</v>
      </c>
      <c r="C2898" s="384" t="s">
        <v>83</v>
      </c>
      <c r="D2898" s="385" t="s">
        <v>12825</v>
      </c>
    </row>
    <row r="2899" spans="1:4" x14ac:dyDescent="0.25">
      <c r="A2899" s="384" t="s">
        <v>12826</v>
      </c>
      <c r="B2899" s="384" t="s">
        <v>12827</v>
      </c>
      <c r="C2899" s="384" t="s">
        <v>83</v>
      </c>
      <c r="D2899" s="385" t="s">
        <v>12828</v>
      </c>
    </row>
    <row r="2900" spans="1:4" x14ac:dyDescent="0.25">
      <c r="A2900" s="384" t="s">
        <v>12829</v>
      </c>
      <c r="B2900" s="384" t="s">
        <v>12830</v>
      </c>
      <c r="C2900" s="384" t="s">
        <v>83</v>
      </c>
      <c r="D2900" s="385" t="s">
        <v>12831</v>
      </c>
    </row>
    <row r="2901" spans="1:4" x14ac:dyDescent="0.25">
      <c r="A2901" s="384" t="s">
        <v>12832</v>
      </c>
      <c r="B2901" s="384" t="s">
        <v>12833</v>
      </c>
      <c r="C2901" s="384" t="s">
        <v>83</v>
      </c>
      <c r="D2901" s="385" t="s">
        <v>12834</v>
      </c>
    </row>
    <row r="2902" spans="1:4" x14ac:dyDescent="0.25">
      <c r="A2902" s="384" t="s">
        <v>12835</v>
      </c>
      <c r="B2902" s="384" t="s">
        <v>12836</v>
      </c>
      <c r="C2902" s="384" t="s">
        <v>83</v>
      </c>
      <c r="D2902" s="385" t="s">
        <v>12837</v>
      </c>
    </row>
    <row r="2903" spans="1:4" x14ac:dyDescent="0.25">
      <c r="A2903" s="384" t="s">
        <v>12838</v>
      </c>
      <c r="B2903" s="384" t="s">
        <v>12839</v>
      </c>
      <c r="C2903" s="384" t="s">
        <v>83</v>
      </c>
      <c r="D2903" s="385" t="s">
        <v>12840</v>
      </c>
    </row>
    <row r="2904" spans="1:4" x14ac:dyDescent="0.25">
      <c r="A2904" s="384" t="s">
        <v>12841</v>
      </c>
      <c r="B2904" s="384" t="s">
        <v>12842</v>
      </c>
      <c r="C2904" s="384" t="s">
        <v>83</v>
      </c>
      <c r="D2904" s="385" t="s">
        <v>12843</v>
      </c>
    </row>
    <row r="2905" spans="1:4" x14ac:dyDescent="0.25">
      <c r="A2905" s="384" t="s">
        <v>12844</v>
      </c>
      <c r="B2905" s="384" t="s">
        <v>12845</v>
      </c>
      <c r="C2905" s="384" t="s">
        <v>83</v>
      </c>
      <c r="D2905" s="385" t="s">
        <v>12846</v>
      </c>
    </row>
    <row r="2906" spans="1:4" x14ac:dyDescent="0.25">
      <c r="A2906" s="384" t="s">
        <v>12847</v>
      </c>
      <c r="B2906" s="384" t="s">
        <v>12848</v>
      </c>
      <c r="C2906" s="384" t="s">
        <v>83</v>
      </c>
      <c r="D2906" s="385" t="s">
        <v>12849</v>
      </c>
    </row>
    <row r="2907" spans="1:4" x14ac:dyDescent="0.25">
      <c r="A2907" s="384" t="s">
        <v>12850</v>
      </c>
      <c r="B2907" s="384" t="s">
        <v>12851</v>
      </c>
      <c r="C2907" s="384" t="s">
        <v>83</v>
      </c>
      <c r="D2907" s="385" t="s">
        <v>12852</v>
      </c>
    </row>
    <row r="2908" spans="1:4" x14ac:dyDescent="0.25">
      <c r="A2908" s="384" t="s">
        <v>12853</v>
      </c>
      <c r="B2908" s="384" t="s">
        <v>12854</v>
      </c>
      <c r="C2908" s="384" t="s">
        <v>83</v>
      </c>
      <c r="D2908" s="385" t="s">
        <v>12855</v>
      </c>
    </row>
    <row r="2909" spans="1:4" x14ac:dyDescent="0.25">
      <c r="A2909" s="384" t="s">
        <v>12856</v>
      </c>
      <c r="B2909" s="384" t="s">
        <v>12857</v>
      </c>
      <c r="C2909" s="384" t="s">
        <v>83</v>
      </c>
      <c r="D2909" s="385" t="s">
        <v>12858</v>
      </c>
    </row>
    <row r="2910" spans="1:4" x14ac:dyDescent="0.25">
      <c r="A2910" s="384" t="s">
        <v>12859</v>
      </c>
      <c r="B2910" s="384" t="s">
        <v>12860</v>
      </c>
      <c r="C2910" s="384" t="s">
        <v>83</v>
      </c>
      <c r="D2910" s="385" t="s">
        <v>12861</v>
      </c>
    </row>
    <row r="2911" spans="1:4" x14ac:dyDescent="0.25">
      <c r="A2911" s="384" t="s">
        <v>12862</v>
      </c>
      <c r="B2911" s="384" t="s">
        <v>12863</v>
      </c>
      <c r="C2911" s="384" t="s">
        <v>83</v>
      </c>
      <c r="D2911" s="385" t="s">
        <v>12864</v>
      </c>
    </row>
    <row r="2912" spans="1:4" x14ac:dyDescent="0.25">
      <c r="A2912" s="384" t="s">
        <v>12865</v>
      </c>
      <c r="B2912" s="384" t="s">
        <v>12866</v>
      </c>
      <c r="C2912" s="384" t="s">
        <v>83</v>
      </c>
      <c r="D2912" s="385" t="s">
        <v>12867</v>
      </c>
    </row>
    <row r="2913" spans="1:4" x14ac:dyDescent="0.25">
      <c r="A2913" s="384" t="s">
        <v>12868</v>
      </c>
      <c r="B2913" s="384" t="s">
        <v>12869</v>
      </c>
      <c r="C2913" s="384" t="s">
        <v>83</v>
      </c>
      <c r="D2913" s="385" t="s">
        <v>12870</v>
      </c>
    </row>
    <row r="2914" spans="1:4" x14ac:dyDescent="0.25">
      <c r="A2914" s="384" t="s">
        <v>12871</v>
      </c>
      <c r="B2914" s="384" t="s">
        <v>12872</v>
      </c>
      <c r="C2914" s="384" t="s">
        <v>83</v>
      </c>
      <c r="D2914" s="385" t="s">
        <v>12873</v>
      </c>
    </row>
    <row r="2915" spans="1:4" x14ac:dyDescent="0.25">
      <c r="A2915" s="384" t="s">
        <v>12874</v>
      </c>
      <c r="B2915" s="384" t="s">
        <v>12875</v>
      </c>
      <c r="C2915" s="384" t="s">
        <v>83</v>
      </c>
      <c r="D2915" s="385" t="s">
        <v>12876</v>
      </c>
    </row>
    <row r="2916" spans="1:4" x14ac:dyDescent="0.25">
      <c r="A2916" s="384" t="s">
        <v>12877</v>
      </c>
      <c r="B2916" s="384" t="s">
        <v>12878</v>
      </c>
      <c r="C2916" s="384" t="s">
        <v>83</v>
      </c>
      <c r="D2916" s="385" t="s">
        <v>12879</v>
      </c>
    </row>
    <row r="2917" spans="1:4" x14ac:dyDescent="0.25">
      <c r="A2917" s="384" t="s">
        <v>12880</v>
      </c>
      <c r="B2917" s="384" t="s">
        <v>12881</v>
      </c>
      <c r="C2917" s="384" t="s">
        <v>83</v>
      </c>
      <c r="D2917" s="385" t="s">
        <v>12882</v>
      </c>
    </row>
    <row r="2918" spans="1:4" x14ac:dyDescent="0.25">
      <c r="A2918" s="384" t="s">
        <v>12883</v>
      </c>
      <c r="B2918" s="384" t="s">
        <v>12884</v>
      </c>
      <c r="C2918" s="384" t="s">
        <v>83</v>
      </c>
      <c r="D2918" s="385" t="s">
        <v>12885</v>
      </c>
    </row>
    <row r="2919" spans="1:4" x14ac:dyDescent="0.25">
      <c r="A2919" s="384" t="s">
        <v>12886</v>
      </c>
      <c r="B2919" s="384" t="s">
        <v>12887</v>
      </c>
      <c r="C2919" s="384" t="s">
        <v>83</v>
      </c>
      <c r="D2919" s="385" t="s">
        <v>12888</v>
      </c>
    </row>
    <row r="2920" spans="1:4" x14ac:dyDescent="0.25">
      <c r="A2920" s="384" t="s">
        <v>12889</v>
      </c>
      <c r="B2920" s="384" t="s">
        <v>12890</v>
      </c>
      <c r="C2920" s="384" t="s">
        <v>83</v>
      </c>
      <c r="D2920" s="385" t="s">
        <v>12891</v>
      </c>
    </row>
    <row r="2921" spans="1:4" x14ac:dyDescent="0.25">
      <c r="A2921" s="384" t="s">
        <v>12892</v>
      </c>
      <c r="B2921" s="384" t="s">
        <v>12893</v>
      </c>
      <c r="C2921" s="384" t="s">
        <v>83</v>
      </c>
      <c r="D2921" s="385" t="s">
        <v>12154</v>
      </c>
    </row>
    <row r="2922" spans="1:4" x14ac:dyDescent="0.25">
      <c r="A2922" s="384" t="s">
        <v>12894</v>
      </c>
      <c r="B2922" s="384" t="s">
        <v>12895</v>
      </c>
      <c r="C2922" s="384" t="s">
        <v>83</v>
      </c>
      <c r="D2922" s="385" t="s">
        <v>12896</v>
      </c>
    </row>
    <row r="2923" spans="1:4" x14ac:dyDescent="0.25">
      <c r="A2923" s="384" t="s">
        <v>12897</v>
      </c>
      <c r="B2923" s="384" t="s">
        <v>12898</v>
      </c>
      <c r="C2923" s="384" t="s">
        <v>83</v>
      </c>
      <c r="D2923" s="385" t="s">
        <v>12899</v>
      </c>
    </row>
    <row r="2924" spans="1:4" x14ac:dyDescent="0.25">
      <c r="A2924" s="384" t="s">
        <v>12900</v>
      </c>
      <c r="B2924" s="384" t="s">
        <v>12901</v>
      </c>
      <c r="C2924" s="384" t="s">
        <v>83</v>
      </c>
      <c r="D2924" s="385" t="s">
        <v>12902</v>
      </c>
    </row>
    <row r="2925" spans="1:4" x14ac:dyDescent="0.25">
      <c r="A2925" s="384" t="s">
        <v>12903</v>
      </c>
      <c r="B2925" s="384" t="s">
        <v>12904</v>
      </c>
      <c r="C2925" s="384" t="s">
        <v>83</v>
      </c>
      <c r="D2925" s="385" t="s">
        <v>12905</v>
      </c>
    </row>
    <row r="2926" spans="1:4" x14ac:dyDescent="0.25">
      <c r="A2926" s="384" t="s">
        <v>12906</v>
      </c>
      <c r="B2926" s="384" t="s">
        <v>12907</v>
      </c>
      <c r="C2926" s="384" t="s">
        <v>83</v>
      </c>
      <c r="D2926" s="385" t="s">
        <v>12908</v>
      </c>
    </row>
    <row r="2927" spans="1:4" x14ac:dyDescent="0.25">
      <c r="A2927" s="384" t="s">
        <v>12909</v>
      </c>
      <c r="B2927" s="384" t="s">
        <v>12910</v>
      </c>
      <c r="C2927" s="384" t="s">
        <v>83</v>
      </c>
      <c r="D2927" s="385" t="s">
        <v>12911</v>
      </c>
    </row>
    <row r="2928" spans="1:4" x14ac:dyDescent="0.25">
      <c r="A2928" s="384" t="s">
        <v>12912</v>
      </c>
      <c r="B2928" s="384" t="s">
        <v>12913</v>
      </c>
      <c r="C2928" s="384" t="s">
        <v>83</v>
      </c>
      <c r="D2928" s="385" t="s">
        <v>12914</v>
      </c>
    </row>
    <row r="2929" spans="1:4" x14ac:dyDescent="0.25">
      <c r="A2929" s="384" t="s">
        <v>12915</v>
      </c>
      <c r="B2929" s="384" t="s">
        <v>12916</v>
      </c>
      <c r="C2929" s="384" t="s">
        <v>83</v>
      </c>
      <c r="D2929" s="385" t="s">
        <v>12917</v>
      </c>
    </row>
    <row r="2930" spans="1:4" x14ac:dyDescent="0.25">
      <c r="A2930" s="384" t="s">
        <v>12918</v>
      </c>
      <c r="B2930" s="384" t="s">
        <v>12919</v>
      </c>
      <c r="C2930" s="384" t="s">
        <v>83</v>
      </c>
      <c r="D2930" s="385" t="s">
        <v>12920</v>
      </c>
    </row>
    <row r="2931" spans="1:4" x14ac:dyDescent="0.25">
      <c r="A2931" s="384" t="s">
        <v>12921</v>
      </c>
      <c r="B2931" s="384" t="s">
        <v>12922</v>
      </c>
      <c r="C2931" s="384" t="s">
        <v>83</v>
      </c>
      <c r="D2931" s="385" t="s">
        <v>12923</v>
      </c>
    </row>
    <row r="2932" spans="1:4" x14ac:dyDescent="0.25">
      <c r="A2932" s="384" t="s">
        <v>12924</v>
      </c>
      <c r="B2932" s="384" t="s">
        <v>12925</v>
      </c>
      <c r="C2932" s="384" t="s">
        <v>83</v>
      </c>
      <c r="D2932" s="385" t="s">
        <v>12926</v>
      </c>
    </row>
    <row r="2933" spans="1:4" x14ac:dyDescent="0.25">
      <c r="A2933" s="384" t="s">
        <v>12927</v>
      </c>
      <c r="B2933" s="384" t="s">
        <v>12928</v>
      </c>
      <c r="C2933" s="384" t="s">
        <v>83</v>
      </c>
      <c r="D2933" s="385" t="s">
        <v>12929</v>
      </c>
    </row>
    <row r="2934" spans="1:4" x14ac:dyDescent="0.25">
      <c r="A2934" s="384" t="s">
        <v>12930</v>
      </c>
      <c r="B2934" s="384" t="s">
        <v>12931</v>
      </c>
      <c r="C2934" s="384" t="s">
        <v>83</v>
      </c>
      <c r="D2934" s="385" t="s">
        <v>12932</v>
      </c>
    </row>
    <row r="2935" spans="1:4" x14ac:dyDescent="0.25">
      <c r="A2935" s="384" t="s">
        <v>12933</v>
      </c>
      <c r="B2935" s="384" t="s">
        <v>12934</v>
      </c>
      <c r="C2935" s="384" t="s">
        <v>83</v>
      </c>
      <c r="D2935" s="385" t="s">
        <v>10052</v>
      </c>
    </row>
    <row r="2936" spans="1:4" x14ac:dyDescent="0.25">
      <c r="A2936" s="384" t="s">
        <v>12935</v>
      </c>
      <c r="B2936" s="384" t="s">
        <v>12936</v>
      </c>
      <c r="C2936" s="384" t="s">
        <v>83</v>
      </c>
      <c r="D2936" s="385" t="s">
        <v>12937</v>
      </c>
    </row>
    <row r="2937" spans="1:4" x14ac:dyDescent="0.25">
      <c r="A2937" s="384" t="s">
        <v>12938</v>
      </c>
      <c r="B2937" s="384" t="s">
        <v>12939</v>
      </c>
      <c r="C2937" s="384" t="s">
        <v>83</v>
      </c>
      <c r="D2937" s="385" t="s">
        <v>12940</v>
      </c>
    </row>
    <row r="2938" spans="1:4" x14ac:dyDescent="0.25">
      <c r="A2938" s="384" t="s">
        <v>12941</v>
      </c>
      <c r="B2938" s="384" t="s">
        <v>12942</v>
      </c>
      <c r="C2938" s="384" t="s">
        <v>83</v>
      </c>
      <c r="D2938" s="385" t="s">
        <v>12943</v>
      </c>
    </row>
    <row r="2939" spans="1:4" x14ac:dyDescent="0.25">
      <c r="A2939" s="384" t="s">
        <v>12944</v>
      </c>
      <c r="B2939" s="384" t="s">
        <v>12945</v>
      </c>
      <c r="C2939" s="384" t="s">
        <v>83</v>
      </c>
      <c r="D2939" s="385" t="s">
        <v>12946</v>
      </c>
    </row>
    <row r="2940" spans="1:4" x14ac:dyDescent="0.25">
      <c r="A2940" s="384" t="s">
        <v>12947</v>
      </c>
      <c r="B2940" s="384" t="s">
        <v>12948</v>
      </c>
      <c r="C2940" s="384" t="s">
        <v>83</v>
      </c>
      <c r="D2940" s="385" t="s">
        <v>12949</v>
      </c>
    </row>
    <row r="2941" spans="1:4" x14ac:dyDescent="0.25">
      <c r="A2941" s="384" t="s">
        <v>12950</v>
      </c>
      <c r="B2941" s="384" t="s">
        <v>12951</v>
      </c>
      <c r="C2941" s="384" t="s">
        <v>83</v>
      </c>
      <c r="D2941" s="385" t="s">
        <v>12952</v>
      </c>
    </row>
    <row r="2942" spans="1:4" x14ac:dyDescent="0.25">
      <c r="A2942" s="384" t="s">
        <v>12953</v>
      </c>
      <c r="B2942" s="384" t="s">
        <v>12954</v>
      </c>
      <c r="C2942" s="384" t="s">
        <v>83</v>
      </c>
      <c r="D2942" s="385" t="s">
        <v>12955</v>
      </c>
    </row>
    <row r="2943" spans="1:4" x14ac:dyDescent="0.25">
      <c r="A2943" s="384" t="s">
        <v>12956</v>
      </c>
      <c r="B2943" s="384" t="s">
        <v>12957</v>
      </c>
      <c r="C2943" s="384" t="s">
        <v>83</v>
      </c>
      <c r="D2943" s="385" t="s">
        <v>12958</v>
      </c>
    </row>
    <row r="2944" spans="1:4" x14ac:dyDescent="0.25">
      <c r="A2944" s="384" t="s">
        <v>12959</v>
      </c>
      <c r="B2944" s="384" t="s">
        <v>12960</v>
      </c>
      <c r="C2944" s="384" t="s">
        <v>83</v>
      </c>
      <c r="D2944" s="385" t="s">
        <v>12961</v>
      </c>
    </row>
    <row r="2945" spans="1:4" x14ac:dyDescent="0.25">
      <c r="A2945" s="384" t="s">
        <v>12962</v>
      </c>
      <c r="B2945" s="384" t="s">
        <v>12963</v>
      </c>
      <c r="C2945" s="384" t="s">
        <v>83</v>
      </c>
      <c r="D2945" s="385" t="s">
        <v>12964</v>
      </c>
    </row>
    <row r="2946" spans="1:4" x14ac:dyDescent="0.25">
      <c r="A2946" s="384" t="s">
        <v>12965</v>
      </c>
      <c r="B2946" s="384" t="s">
        <v>12966</v>
      </c>
      <c r="C2946" s="384" t="s">
        <v>83</v>
      </c>
      <c r="D2946" s="385" t="s">
        <v>12967</v>
      </c>
    </row>
    <row r="2947" spans="1:4" x14ac:dyDescent="0.25">
      <c r="A2947" s="384" t="s">
        <v>12968</v>
      </c>
      <c r="B2947" s="384" t="s">
        <v>12969</v>
      </c>
      <c r="C2947" s="384" t="s">
        <v>83</v>
      </c>
      <c r="D2947" s="385" t="s">
        <v>12970</v>
      </c>
    </row>
    <row r="2948" spans="1:4" x14ac:dyDescent="0.25">
      <c r="A2948" s="384" t="s">
        <v>12971</v>
      </c>
      <c r="B2948" s="384" t="s">
        <v>12972</v>
      </c>
      <c r="C2948" s="384" t="s">
        <v>83</v>
      </c>
      <c r="D2948" s="385" t="s">
        <v>12973</v>
      </c>
    </row>
    <row r="2949" spans="1:4" x14ac:dyDescent="0.25">
      <c r="A2949" s="384" t="s">
        <v>12974</v>
      </c>
      <c r="B2949" s="384" t="s">
        <v>12975</v>
      </c>
      <c r="C2949" s="384" t="s">
        <v>83</v>
      </c>
      <c r="D2949" s="385" t="s">
        <v>12976</v>
      </c>
    </row>
    <row r="2950" spans="1:4" x14ac:dyDescent="0.25">
      <c r="A2950" s="384" t="s">
        <v>12977</v>
      </c>
      <c r="B2950" s="384" t="s">
        <v>12978</v>
      </c>
      <c r="C2950" s="384" t="s">
        <v>83</v>
      </c>
      <c r="D2950" s="385" t="s">
        <v>12979</v>
      </c>
    </row>
    <row r="2951" spans="1:4" x14ac:dyDescent="0.25">
      <c r="A2951" s="384" t="s">
        <v>12980</v>
      </c>
      <c r="B2951" s="384" t="s">
        <v>12981</v>
      </c>
      <c r="C2951" s="384" t="s">
        <v>83</v>
      </c>
      <c r="D2951" s="385" t="s">
        <v>12982</v>
      </c>
    </row>
    <row r="2952" spans="1:4" x14ac:dyDescent="0.25">
      <c r="A2952" s="384" t="s">
        <v>12983</v>
      </c>
      <c r="B2952" s="384" t="s">
        <v>12984</v>
      </c>
      <c r="C2952" s="384" t="s">
        <v>83</v>
      </c>
      <c r="D2952" s="385" t="s">
        <v>12985</v>
      </c>
    </row>
    <row r="2953" spans="1:4" x14ac:dyDescent="0.25">
      <c r="A2953" s="384" t="s">
        <v>12986</v>
      </c>
      <c r="B2953" s="384" t="s">
        <v>12987</v>
      </c>
      <c r="C2953" s="384" t="s">
        <v>83</v>
      </c>
      <c r="D2953" s="385" t="s">
        <v>12988</v>
      </c>
    </row>
    <row r="2954" spans="1:4" x14ac:dyDescent="0.25">
      <c r="A2954" s="384" t="s">
        <v>12989</v>
      </c>
      <c r="B2954" s="384" t="s">
        <v>12990</v>
      </c>
      <c r="C2954" s="384" t="s">
        <v>83</v>
      </c>
      <c r="D2954" s="385" t="s">
        <v>12991</v>
      </c>
    </row>
    <row r="2955" spans="1:4" x14ac:dyDescent="0.25">
      <c r="A2955" s="384" t="s">
        <v>12992</v>
      </c>
      <c r="B2955" s="384" t="s">
        <v>12993</v>
      </c>
      <c r="C2955" s="384" t="s">
        <v>83</v>
      </c>
      <c r="D2955" s="385" t="s">
        <v>12994</v>
      </c>
    </row>
    <row r="2956" spans="1:4" x14ac:dyDescent="0.25">
      <c r="A2956" s="384" t="s">
        <v>12995</v>
      </c>
      <c r="B2956" s="384" t="s">
        <v>12996</v>
      </c>
      <c r="C2956" s="384" t="s">
        <v>83</v>
      </c>
      <c r="D2956" s="385" t="s">
        <v>12997</v>
      </c>
    </row>
    <row r="2957" spans="1:4" x14ac:dyDescent="0.25">
      <c r="A2957" s="384" t="s">
        <v>12998</v>
      </c>
      <c r="B2957" s="384" t="s">
        <v>12999</v>
      </c>
      <c r="C2957" s="384" t="s">
        <v>83</v>
      </c>
      <c r="D2957" s="385" t="s">
        <v>13000</v>
      </c>
    </row>
    <row r="2958" spans="1:4" x14ac:dyDescent="0.25">
      <c r="A2958" s="384" t="s">
        <v>13001</v>
      </c>
      <c r="B2958" s="384" t="s">
        <v>13002</v>
      </c>
      <c r="C2958" s="384" t="s">
        <v>83</v>
      </c>
      <c r="D2958" s="385" t="s">
        <v>12426</v>
      </c>
    </row>
    <row r="2959" spans="1:4" x14ac:dyDescent="0.25">
      <c r="A2959" s="384" t="s">
        <v>13003</v>
      </c>
      <c r="B2959" s="384" t="s">
        <v>13004</v>
      </c>
      <c r="C2959" s="384" t="s">
        <v>83</v>
      </c>
      <c r="D2959" s="385" t="s">
        <v>13005</v>
      </c>
    </row>
    <row r="2960" spans="1:4" x14ac:dyDescent="0.25">
      <c r="A2960" s="384" t="s">
        <v>13006</v>
      </c>
      <c r="B2960" s="384" t="s">
        <v>13007</v>
      </c>
      <c r="C2960" s="384" t="s">
        <v>83</v>
      </c>
      <c r="D2960" s="385" t="s">
        <v>13008</v>
      </c>
    </row>
    <row r="2961" spans="1:4" x14ac:dyDescent="0.25">
      <c r="A2961" s="384" t="s">
        <v>13009</v>
      </c>
      <c r="B2961" s="384" t="s">
        <v>13010</v>
      </c>
      <c r="C2961" s="384" t="s">
        <v>83</v>
      </c>
      <c r="D2961" s="385" t="s">
        <v>13011</v>
      </c>
    </row>
    <row r="2962" spans="1:4" x14ac:dyDescent="0.25">
      <c r="A2962" s="384" t="s">
        <v>13012</v>
      </c>
      <c r="B2962" s="384" t="s">
        <v>13013</v>
      </c>
      <c r="C2962" s="384" t="s">
        <v>83</v>
      </c>
      <c r="D2962" s="385" t="s">
        <v>13014</v>
      </c>
    </row>
    <row r="2963" spans="1:4" x14ac:dyDescent="0.25">
      <c r="A2963" s="384" t="s">
        <v>13015</v>
      </c>
      <c r="B2963" s="384" t="s">
        <v>13016</v>
      </c>
      <c r="C2963" s="384" t="s">
        <v>83</v>
      </c>
      <c r="D2963" s="385" t="s">
        <v>13017</v>
      </c>
    </row>
    <row r="2964" spans="1:4" x14ac:dyDescent="0.25">
      <c r="A2964" s="384" t="s">
        <v>13018</v>
      </c>
      <c r="B2964" s="384" t="s">
        <v>13019</v>
      </c>
      <c r="C2964" s="384" t="s">
        <v>83</v>
      </c>
      <c r="D2964" s="385" t="s">
        <v>13020</v>
      </c>
    </row>
    <row r="2965" spans="1:4" x14ac:dyDescent="0.25">
      <c r="A2965" s="384" t="s">
        <v>13021</v>
      </c>
      <c r="B2965" s="384" t="s">
        <v>13022</v>
      </c>
      <c r="C2965" s="384" t="s">
        <v>83</v>
      </c>
      <c r="D2965" s="385" t="s">
        <v>13023</v>
      </c>
    </row>
    <row r="2966" spans="1:4" x14ac:dyDescent="0.25">
      <c r="A2966" s="384" t="s">
        <v>13024</v>
      </c>
      <c r="B2966" s="384" t="s">
        <v>13025</v>
      </c>
      <c r="C2966" s="384" t="s">
        <v>83</v>
      </c>
      <c r="D2966" s="385" t="s">
        <v>13026</v>
      </c>
    </row>
    <row r="2967" spans="1:4" x14ac:dyDescent="0.25">
      <c r="A2967" s="384" t="s">
        <v>13027</v>
      </c>
      <c r="B2967" s="384" t="s">
        <v>13028</v>
      </c>
      <c r="C2967" s="384" t="s">
        <v>83</v>
      </c>
      <c r="D2967" s="385" t="s">
        <v>13029</v>
      </c>
    </row>
    <row r="2968" spans="1:4" x14ac:dyDescent="0.25">
      <c r="A2968" s="384" t="s">
        <v>13030</v>
      </c>
      <c r="B2968" s="384" t="s">
        <v>13031</v>
      </c>
      <c r="C2968" s="384" t="s">
        <v>83</v>
      </c>
      <c r="D2968" s="385" t="s">
        <v>13032</v>
      </c>
    </row>
    <row r="2969" spans="1:4" x14ac:dyDescent="0.25">
      <c r="A2969" s="384" t="s">
        <v>13033</v>
      </c>
      <c r="B2969" s="384" t="s">
        <v>13034</v>
      </c>
      <c r="C2969" s="384" t="s">
        <v>83</v>
      </c>
      <c r="D2969" s="385" t="s">
        <v>8371</v>
      </c>
    </row>
    <row r="2970" spans="1:4" x14ac:dyDescent="0.25">
      <c r="A2970" s="384" t="s">
        <v>13035</v>
      </c>
      <c r="B2970" s="384" t="s">
        <v>13036</v>
      </c>
      <c r="C2970" s="384" t="s">
        <v>83</v>
      </c>
      <c r="D2970" s="385" t="s">
        <v>13037</v>
      </c>
    </row>
    <row r="2971" spans="1:4" x14ac:dyDescent="0.25">
      <c r="A2971" s="384" t="s">
        <v>13038</v>
      </c>
      <c r="B2971" s="384" t="s">
        <v>13039</v>
      </c>
      <c r="C2971" s="384" t="s">
        <v>83</v>
      </c>
      <c r="D2971" s="385" t="s">
        <v>13040</v>
      </c>
    </row>
    <row r="2972" spans="1:4" x14ac:dyDescent="0.25">
      <c r="A2972" s="384" t="s">
        <v>13041</v>
      </c>
      <c r="B2972" s="384" t="s">
        <v>13042</v>
      </c>
      <c r="C2972" s="384" t="s">
        <v>83</v>
      </c>
      <c r="D2972" s="385" t="s">
        <v>13043</v>
      </c>
    </row>
    <row r="2973" spans="1:4" x14ac:dyDescent="0.25">
      <c r="A2973" s="384" t="s">
        <v>13044</v>
      </c>
      <c r="B2973" s="384" t="s">
        <v>13045</v>
      </c>
      <c r="C2973" s="384" t="s">
        <v>83</v>
      </c>
      <c r="D2973" s="385" t="s">
        <v>13046</v>
      </c>
    </row>
    <row r="2974" spans="1:4" x14ac:dyDescent="0.25">
      <c r="A2974" s="384" t="s">
        <v>13047</v>
      </c>
      <c r="B2974" s="384" t="s">
        <v>13048</v>
      </c>
      <c r="C2974" s="384" t="s">
        <v>83</v>
      </c>
      <c r="D2974" s="385" t="s">
        <v>6213</v>
      </c>
    </row>
    <row r="2975" spans="1:4" x14ac:dyDescent="0.25">
      <c r="A2975" s="384" t="s">
        <v>13049</v>
      </c>
      <c r="B2975" s="384" t="s">
        <v>13050</v>
      </c>
      <c r="C2975" s="384" t="s">
        <v>83</v>
      </c>
      <c r="D2975" s="385" t="s">
        <v>13051</v>
      </c>
    </row>
    <row r="2976" spans="1:4" x14ac:dyDescent="0.25">
      <c r="A2976" s="384" t="s">
        <v>13052</v>
      </c>
      <c r="B2976" s="384" t="s">
        <v>13053</v>
      </c>
      <c r="C2976" s="384" t="s">
        <v>83</v>
      </c>
      <c r="D2976" s="385" t="s">
        <v>4538</v>
      </c>
    </row>
    <row r="2977" spans="1:4" x14ac:dyDescent="0.25">
      <c r="A2977" s="384" t="s">
        <v>13054</v>
      </c>
      <c r="B2977" s="384" t="s">
        <v>13055</v>
      </c>
      <c r="C2977" s="384" t="s">
        <v>83</v>
      </c>
      <c r="D2977" s="385" t="s">
        <v>13056</v>
      </c>
    </row>
    <row r="2978" spans="1:4" x14ac:dyDescent="0.25">
      <c r="A2978" s="384" t="s">
        <v>13057</v>
      </c>
      <c r="B2978" s="384" t="s">
        <v>13058</v>
      </c>
      <c r="C2978" s="384" t="s">
        <v>83</v>
      </c>
      <c r="D2978" s="385" t="s">
        <v>13059</v>
      </c>
    </row>
    <row r="2979" spans="1:4" x14ac:dyDescent="0.25">
      <c r="A2979" s="384" t="s">
        <v>13060</v>
      </c>
      <c r="B2979" s="384" t="s">
        <v>13061</v>
      </c>
      <c r="C2979" s="384" t="s">
        <v>83</v>
      </c>
      <c r="D2979" s="385" t="s">
        <v>13062</v>
      </c>
    </row>
    <row r="2980" spans="1:4" x14ac:dyDescent="0.25">
      <c r="A2980" s="384" t="s">
        <v>13063</v>
      </c>
      <c r="B2980" s="384" t="s">
        <v>13064</v>
      </c>
      <c r="C2980" s="384" t="s">
        <v>83</v>
      </c>
      <c r="D2980" s="385" t="s">
        <v>13065</v>
      </c>
    </row>
    <row r="2981" spans="1:4" x14ac:dyDescent="0.25">
      <c r="A2981" s="384" t="s">
        <v>13066</v>
      </c>
      <c r="B2981" s="384" t="s">
        <v>13067</v>
      </c>
      <c r="C2981" s="384" t="s">
        <v>83</v>
      </c>
      <c r="D2981" s="385" t="s">
        <v>13068</v>
      </c>
    </row>
    <row r="2982" spans="1:4" x14ac:dyDescent="0.25">
      <c r="A2982" s="384" t="s">
        <v>13069</v>
      </c>
      <c r="B2982" s="384" t="s">
        <v>13070</v>
      </c>
      <c r="C2982" s="384" t="s">
        <v>83</v>
      </c>
      <c r="D2982" s="385" t="s">
        <v>13071</v>
      </c>
    </row>
    <row r="2983" spans="1:4" x14ac:dyDescent="0.25">
      <c r="A2983" s="384" t="s">
        <v>13072</v>
      </c>
      <c r="B2983" s="384" t="s">
        <v>13073</v>
      </c>
      <c r="C2983" s="384" t="s">
        <v>83</v>
      </c>
      <c r="D2983" s="385" t="s">
        <v>13074</v>
      </c>
    </row>
    <row r="2984" spans="1:4" x14ac:dyDescent="0.25">
      <c r="A2984" s="384" t="s">
        <v>13075</v>
      </c>
      <c r="B2984" s="384" t="s">
        <v>13076</v>
      </c>
      <c r="C2984" s="384" t="s">
        <v>83</v>
      </c>
      <c r="D2984" s="385" t="s">
        <v>13077</v>
      </c>
    </row>
    <row r="2985" spans="1:4" x14ac:dyDescent="0.25">
      <c r="A2985" s="384" t="s">
        <v>13078</v>
      </c>
      <c r="B2985" s="384" t="s">
        <v>13079</v>
      </c>
      <c r="C2985" s="384" t="s">
        <v>83</v>
      </c>
      <c r="D2985" s="385" t="s">
        <v>13080</v>
      </c>
    </row>
    <row r="2986" spans="1:4" x14ac:dyDescent="0.25">
      <c r="A2986" s="384" t="s">
        <v>13081</v>
      </c>
      <c r="B2986" s="384" t="s">
        <v>13082</v>
      </c>
      <c r="C2986" s="384" t="s">
        <v>83</v>
      </c>
      <c r="D2986" s="385" t="s">
        <v>12752</v>
      </c>
    </row>
    <row r="2987" spans="1:4" x14ac:dyDescent="0.25">
      <c r="A2987" s="384" t="s">
        <v>13083</v>
      </c>
      <c r="B2987" s="384" t="s">
        <v>13084</v>
      </c>
      <c r="C2987" s="384" t="s">
        <v>83</v>
      </c>
      <c r="D2987" s="385" t="s">
        <v>13085</v>
      </c>
    </row>
    <row r="2988" spans="1:4" x14ac:dyDescent="0.25">
      <c r="A2988" s="384" t="s">
        <v>13086</v>
      </c>
      <c r="B2988" s="384" t="s">
        <v>13087</v>
      </c>
      <c r="C2988" s="384" t="s">
        <v>83</v>
      </c>
      <c r="D2988" s="385" t="s">
        <v>13088</v>
      </c>
    </row>
    <row r="2989" spans="1:4" x14ac:dyDescent="0.25">
      <c r="A2989" s="384" t="s">
        <v>13089</v>
      </c>
      <c r="B2989" s="384" t="s">
        <v>13090</v>
      </c>
      <c r="C2989" s="384" t="s">
        <v>83</v>
      </c>
      <c r="D2989" s="385" t="s">
        <v>13091</v>
      </c>
    </row>
    <row r="2990" spans="1:4" x14ac:dyDescent="0.25">
      <c r="A2990" s="384" t="s">
        <v>13092</v>
      </c>
      <c r="B2990" s="384" t="s">
        <v>13093</v>
      </c>
      <c r="C2990" s="384" t="s">
        <v>83</v>
      </c>
      <c r="D2990" s="385" t="s">
        <v>13094</v>
      </c>
    </row>
    <row r="2991" spans="1:4" x14ac:dyDescent="0.25">
      <c r="A2991" s="384" t="s">
        <v>13095</v>
      </c>
      <c r="B2991" s="384" t="s">
        <v>13096</v>
      </c>
      <c r="C2991" s="384" t="s">
        <v>83</v>
      </c>
      <c r="D2991" s="385" t="s">
        <v>13097</v>
      </c>
    </row>
    <row r="2992" spans="1:4" x14ac:dyDescent="0.25">
      <c r="A2992" s="384" t="s">
        <v>13098</v>
      </c>
      <c r="B2992" s="384" t="s">
        <v>13099</v>
      </c>
      <c r="C2992" s="384" t="s">
        <v>83</v>
      </c>
      <c r="D2992" s="385" t="s">
        <v>12973</v>
      </c>
    </row>
    <row r="2993" spans="1:4" x14ac:dyDescent="0.25">
      <c r="A2993" s="384" t="s">
        <v>13100</v>
      </c>
      <c r="B2993" s="384" t="s">
        <v>13101</v>
      </c>
      <c r="C2993" s="384" t="s">
        <v>83</v>
      </c>
      <c r="D2993" s="385" t="s">
        <v>12976</v>
      </c>
    </row>
    <row r="2994" spans="1:4" x14ac:dyDescent="0.25">
      <c r="A2994" s="384" t="s">
        <v>13102</v>
      </c>
      <c r="B2994" s="384" t="s">
        <v>13103</v>
      </c>
      <c r="C2994" s="384" t="s">
        <v>83</v>
      </c>
      <c r="D2994" s="385" t="s">
        <v>13104</v>
      </c>
    </row>
    <row r="2995" spans="1:4" x14ac:dyDescent="0.25">
      <c r="A2995" s="384" t="s">
        <v>13105</v>
      </c>
      <c r="B2995" s="384" t="s">
        <v>13106</v>
      </c>
      <c r="C2995" s="384" t="s">
        <v>83</v>
      </c>
      <c r="D2995" s="385" t="s">
        <v>13107</v>
      </c>
    </row>
    <row r="2996" spans="1:4" x14ac:dyDescent="0.25">
      <c r="A2996" s="384" t="s">
        <v>13108</v>
      </c>
      <c r="B2996" s="384" t="s">
        <v>13109</v>
      </c>
      <c r="C2996" s="384" t="s">
        <v>83</v>
      </c>
      <c r="D2996" s="385" t="s">
        <v>6798</v>
      </c>
    </row>
    <row r="2997" spans="1:4" x14ac:dyDescent="0.25">
      <c r="A2997" s="384" t="s">
        <v>13110</v>
      </c>
      <c r="B2997" s="384" t="s">
        <v>13111</v>
      </c>
      <c r="C2997" s="384" t="s">
        <v>83</v>
      </c>
      <c r="D2997" s="385" t="s">
        <v>5838</v>
      </c>
    </row>
    <row r="2998" spans="1:4" x14ac:dyDescent="0.25">
      <c r="A2998" s="384" t="s">
        <v>13112</v>
      </c>
      <c r="B2998" s="384" t="s">
        <v>13113</v>
      </c>
      <c r="C2998" s="384" t="s">
        <v>83</v>
      </c>
      <c r="D2998" s="385" t="s">
        <v>13114</v>
      </c>
    </row>
    <row r="2999" spans="1:4" x14ac:dyDescent="0.25">
      <c r="A2999" s="384" t="s">
        <v>13115</v>
      </c>
      <c r="B2999" s="384" t="s">
        <v>13116</v>
      </c>
      <c r="C2999" s="384" t="s">
        <v>83</v>
      </c>
      <c r="D2999" s="385" t="s">
        <v>13117</v>
      </c>
    </row>
    <row r="3000" spans="1:4" x14ac:dyDescent="0.25">
      <c r="A3000" s="384" t="s">
        <v>13118</v>
      </c>
      <c r="B3000" s="384" t="s">
        <v>13119</v>
      </c>
      <c r="C3000" s="384" t="s">
        <v>83</v>
      </c>
      <c r="D3000" s="385" t="s">
        <v>13120</v>
      </c>
    </row>
    <row r="3001" spans="1:4" x14ac:dyDescent="0.25">
      <c r="A3001" s="384" t="s">
        <v>13121</v>
      </c>
      <c r="B3001" s="384" t="s">
        <v>13122</v>
      </c>
      <c r="C3001" s="384" t="s">
        <v>83</v>
      </c>
      <c r="D3001" s="385" t="s">
        <v>13123</v>
      </c>
    </row>
    <row r="3002" spans="1:4" x14ac:dyDescent="0.25">
      <c r="A3002" s="384" t="s">
        <v>13124</v>
      </c>
      <c r="B3002" s="384" t="s">
        <v>13125</v>
      </c>
      <c r="C3002" s="384" t="s">
        <v>83</v>
      </c>
      <c r="D3002" s="385" t="s">
        <v>13126</v>
      </c>
    </row>
    <row r="3003" spans="1:4" x14ac:dyDescent="0.25">
      <c r="A3003" s="384" t="s">
        <v>13127</v>
      </c>
      <c r="B3003" s="384" t="s">
        <v>13128</v>
      </c>
      <c r="C3003" s="384" t="s">
        <v>83</v>
      </c>
      <c r="D3003" s="385" t="s">
        <v>13129</v>
      </c>
    </row>
    <row r="3004" spans="1:4" x14ac:dyDescent="0.25">
      <c r="A3004" s="384" t="s">
        <v>13130</v>
      </c>
      <c r="B3004" s="384" t="s">
        <v>13131</v>
      </c>
      <c r="C3004" s="384" t="s">
        <v>83</v>
      </c>
      <c r="D3004" s="385" t="s">
        <v>13132</v>
      </c>
    </row>
    <row r="3005" spans="1:4" x14ac:dyDescent="0.25">
      <c r="A3005" s="384" t="s">
        <v>13133</v>
      </c>
      <c r="B3005" s="384" t="s">
        <v>13134</v>
      </c>
      <c r="C3005" s="384" t="s">
        <v>83</v>
      </c>
      <c r="D3005" s="385" t="s">
        <v>13135</v>
      </c>
    </row>
    <row r="3006" spans="1:4" x14ac:dyDescent="0.25">
      <c r="A3006" s="384" t="s">
        <v>13136</v>
      </c>
      <c r="B3006" s="384" t="s">
        <v>13137</v>
      </c>
      <c r="C3006" s="384" t="s">
        <v>83</v>
      </c>
      <c r="D3006" s="385" t="s">
        <v>13138</v>
      </c>
    </row>
    <row r="3007" spans="1:4" x14ac:dyDescent="0.25">
      <c r="A3007" s="384" t="s">
        <v>13139</v>
      </c>
      <c r="B3007" s="384" t="s">
        <v>13140</v>
      </c>
      <c r="C3007" s="384" t="s">
        <v>83</v>
      </c>
      <c r="D3007" s="385" t="s">
        <v>13141</v>
      </c>
    </row>
    <row r="3008" spans="1:4" x14ac:dyDescent="0.25">
      <c r="A3008" s="384" t="s">
        <v>13142</v>
      </c>
      <c r="B3008" s="384" t="s">
        <v>13143</v>
      </c>
      <c r="C3008" s="384" t="s">
        <v>83</v>
      </c>
      <c r="D3008" s="385" t="s">
        <v>13144</v>
      </c>
    </row>
    <row r="3009" spans="1:4" x14ac:dyDescent="0.25">
      <c r="A3009" s="384" t="s">
        <v>13145</v>
      </c>
      <c r="B3009" s="384" t="s">
        <v>13146</v>
      </c>
      <c r="C3009" s="384" t="s">
        <v>83</v>
      </c>
      <c r="D3009" s="385" t="s">
        <v>13147</v>
      </c>
    </row>
    <row r="3010" spans="1:4" x14ac:dyDescent="0.25">
      <c r="A3010" s="384" t="s">
        <v>13148</v>
      </c>
      <c r="B3010" s="384" t="s">
        <v>13149</v>
      </c>
      <c r="C3010" s="384" t="s">
        <v>83</v>
      </c>
      <c r="D3010" s="385" t="s">
        <v>13150</v>
      </c>
    </row>
    <row r="3011" spans="1:4" x14ac:dyDescent="0.25">
      <c r="A3011" s="384" t="s">
        <v>13151</v>
      </c>
      <c r="B3011" s="384" t="s">
        <v>13152</v>
      </c>
      <c r="C3011" s="384" t="s">
        <v>83</v>
      </c>
      <c r="D3011" s="385" t="s">
        <v>13153</v>
      </c>
    </row>
    <row r="3012" spans="1:4" x14ac:dyDescent="0.25">
      <c r="A3012" s="384" t="s">
        <v>13154</v>
      </c>
      <c r="B3012" s="384" t="s">
        <v>13155</v>
      </c>
      <c r="C3012" s="384" t="s">
        <v>83</v>
      </c>
      <c r="D3012" s="385" t="s">
        <v>13156</v>
      </c>
    </row>
    <row r="3013" spans="1:4" x14ac:dyDescent="0.25">
      <c r="A3013" s="384" t="s">
        <v>13157</v>
      </c>
      <c r="B3013" s="384" t="s">
        <v>13158</v>
      </c>
      <c r="C3013" s="384" t="s">
        <v>83</v>
      </c>
      <c r="D3013" s="385" t="s">
        <v>13159</v>
      </c>
    </row>
    <row r="3014" spans="1:4" x14ac:dyDescent="0.25">
      <c r="A3014" s="384" t="s">
        <v>13160</v>
      </c>
      <c r="B3014" s="384" t="s">
        <v>13161</v>
      </c>
      <c r="C3014" s="384" t="s">
        <v>83</v>
      </c>
      <c r="D3014" s="385" t="s">
        <v>13162</v>
      </c>
    </row>
    <row r="3015" spans="1:4" x14ac:dyDescent="0.25">
      <c r="A3015" s="384" t="s">
        <v>13163</v>
      </c>
      <c r="B3015" s="384" t="s">
        <v>13164</v>
      </c>
      <c r="C3015" s="384" t="s">
        <v>83</v>
      </c>
      <c r="D3015" s="385" t="s">
        <v>13165</v>
      </c>
    </row>
    <row r="3016" spans="1:4" x14ac:dyDescent="0.25">
      <c r="A3016" s="384" t="s">
        <v>13166</v>
      </c>
      <c r="B3016" s="384" t="s">
        <v>13167</v>
      </c>
      <c r="C3016" s="384" t="s">
        <v>83</v>
      </c>
      <c r="D3016" s="385" t="s">
        <v>13168</v>
      </c>
    </row>
    <row r="3017" spans="1:4" x14ac:dyDescent="0.25">
      <c r="A3017" s="384" t="s">
        <v>13169</v>
      </c>
      <c r="B3017" s="384" t="s">
        <v>13170</v>
      </c>
      <c r="C3017" s="384" t="s">
        <v>83</v>
      </c>
      <c r="D3017" s="385" t="s">
        <v>13171</v>
      </c>
    </row>
    <row r="3018" spans="1:4" x14ac:dyDescent="0.25">
      <c r="A3018" s="384" t="s">
        <v>13172</v>
      </c>
      <c r="B3018" s="384" t="s">
        <v>13173</v>
      </c>
      <c r="C3018" s="384" t="s">
        <v>83</v>
      </c>
      <c r="D3018" s="385" t="s">
        <v>13174</v>
      </c>
    </row>
    <row r="3019" spans="1:4" x14ac:dyDescent="0.25">
      <c r="A3019" s="384" t="s">
        <v>13175</v>
      </c>
      <c r="B3019" s="384" t="s">
        <v>13176</v>
      </c>
      <c r="C3019" s="384" t="s">
        <v>83</v>
      </c>
      <c r="D3019" s="385" t="s">
        <v>13177</v>
      </c>
    </row>
    <row r="3020" spans="1:4" x14ac:dyDescent="0.25">
      <c r="A3020" s="384" t="s">
        <v>13178</v>
      </c>
      <c r="B3020" s="384" t="s">
        <v>13179</v>
      </c>
      <c r="C3020" s="384" t="s">
        <v>83</v>
      </c>
      <c r="D3020" s="385" t="s">
        <v>13180</v>
      </c>
    </row>
    <row r="3021" spans="1:4" x14ac:dyDescent="0.25">
      <c r="A3021" s="384" t="s">
        <v>13181</v>
      </c>
      <c r="B3021" s="384" t="s">
        <v>13182</v>
      </c>
      <c r="C3021" s="384" t="s">
        <v>83</v>
      </c>
      <c r="D3021" s="385" t="s">
        <v>13183</v>
      </c>
    </row>
    <row r="3022" spans="1:4" x14ac:dyDescent="0.25">
      <c r="A3022" s="384" t="s">
        <v>13184</v>
      </c>
      <c r="B3022" s="384" t="s">
        <v>13185</v>
      </c>
      <c r="C3022" s="384" t="s">
        <v>83</v>
      </c>
      <c r="D3022" s="385" t="s">
        <v>13186</v>
      </c>
    </row>
    <row r="3023" spans="1:4" x14ac:dyDescent="0.25">
      <c r="A3023" s="384" t="s">
        <v>13187</v>
      </c>
      <c r="B3023" s="384" t="s">
        <v>13188</v>
      </c>
      <c r="C3023" s="384" t="s">
        <v>83</v>
      </c>
      <c r="D3023" s="385" t="s">
        <v>11299</v>
      </c>
    </row>
    <row r="3024" spans="1:4" x14ac:dyDescent="0.25">
      <c r="A3024" s="384" t="s">
        <v>13189</v>
      </c>
      <c r="B3024" s="384" t="s">
        <v>13190</v>
      </c>
      <c r="C3024" s="384" t="s">
        <v>83</v>
      </c>
      <c r="D3024" s="385" t="s">
        <v>13191</v>
      </c>
    </row>
    <row r="3025" spans="1:4" x14ac:dyDescent="0.25">
      <c r="A3025" s="384" t="s">
        <v>13192</v>
      </c>
      <c r="B3025" s="384" t="s">
        <v>13193</v>
      </c>
      <c r="C3025" s="384" t="s">
        <v>83</v>
      </c>
      <c r="D3025" s="385" t="s">
        <v>13194</v>
      </c>
    </row>
    <row r="3026" spans="1:4" x14ac:dyDescent="0.25">
      <c r="A3026" s="384" t="s">
        <v>13195</v>
      </c>
      <c r="B3026" s="384" t="s">
        <v>13196</v>
      </c>
      <c r="C3026" s="384" t="s">
        <v>83</v>
      </c>
      <c r="D3026" s="385" t="s">
        <v>13197</v>
      </c>
    </row>
    <row r="3027" spans="1:4" x14ac:dyDescent="0.25">
      <c r="A3027" s="384" t="s">
        <v>13198</v>
      </c>
      <c r="B3027" s="384" t="s">
        <v>13199</v>
      </c>
      <c r="C3027" s="384" t="s">
        <v>83</v>
      </c>
      <c r="D3027" s="385" t="s">
        <v>13200</v>
      </c>
    </row>
    <row r="3028" spans="1:4" x14ac:dyDescent="0.25">
      <c r="A3028" s="384" t="s">
        <v>13201</v>
      </c>
      <c r="B3028" s="384" t="s">
        <v>13202</v>
      </c>
      <c r="C3028" s="384" t="s">
        <v>83</v>
      </c>
      <c r="D3028" s="385" t="s">
        <v>13203</v>
      </c>
    </row>
    <row r="3029" spans="1:4" x14ac:dyDescent="0.25">
      <c r="A3029" s="384" t="s">
        <v>13204</v>
      </c>
      <c r="B3029" s="384" t="s">
        <v>13205</v>
      </c>
      <c r="C3029" s="384" t="s">
        <v>83</v>
      </c>
      <c r="D3029" s="385" t="s">
        <v>4559</v>
      </c>
    </row>
    <row r="3030" spans="1:4" x14ac:dyDescent="0.25">
      <c r="A3030" s="384" t="s">
        <v>13206</v>
      </c>
      <c r="B3030" s="384" t="s">
        <v>13207</v>
      </c>
      <c r="C3030" s="384" t="s">
        <v>83</v>
      </c>
      <c r="D3030" s="385" t="s">
        <v>13208</v>
      </c>
    </row>
    <row r="3031" spans="1:4" x14ac:dyDescent="0.25">
      <c r="A3031" s="384" t="s">
        <v>13209</v>
      </c>
      <c r="B3031" s="384" t="s">
        <v>13210</v>
      </c>
      <c r="C3031" s="384" t="s">
        <v>83</v>
      </c>
      <c r="D3031" s="385" t="s">
        <v>13211</v>
      </c>
    </row>
    <row r="3032" spans="1:4" x14ac:dyDescent="0.25">
      <c r="A3032" s="384" t="s">
        <v>13212</v>
      </c>
      <c r="B3032" s="384" t="s">
        <v>13213</v>
      </c>
      <c r="C3032" s="384" t="s">
        <v>83</v>
      </c>
      <c r="D3032" s="385" t="s">
        <v>13214</v>
      </c>
    </row>
    <row r="3033" spans="1:4" x14ac:dyDescent="0.25">
      <c r="A3033" s="384" t="s">
        <v>13215</v>
      </c>
      <c r="B3033" s="384" t="s">
        <v>13216</v>
      </c>
      <c r="C3033" s="384" t="s">
        <v>83</v>
      </c>
      <c r="D3033" s="385" t="s">
        <v>13217</v>
      </c>
    </row>
    <row r="3034" spans="1:4" x14ac:dyDescent="0.25">
      <c r="A3034" s="384" t="s">
        <v>13218</v>
      </c>
      <c r="B3034" s="384" t="s">
        <v>13219</v>
      </c>
      <c r="C3034" s="384" t="s">
        <v>83</v>
      </c>
      <c r="D3034" s="385" t="s">
        <v>13138</v>
      </c>
    </row>
    <row r="3035" spans="1:4" x14ac:dyDescent="0.25">
      <c r="A3035" s="384" t="s">
        <v>13220</v>
      </c>
      <c r="B3035" s="384" t="s">
        <v>13221</v>
      </c>
      <c r="C3035" s="384" t="s">
        <v>83</v>
      </c>
      <c r="D3035" s="385" t="s">
        <v>13222</v>
      </c>
    </row>
    <row r="3036" spans="1:4" x14ac:dyDescent="0.25">
      <c r="A3036" s="384" t="s">
        <v>13223</v>
      </c>
      <c r="B3036" s="384" t="s">
        <v>13224</v>
      </c>
      <c r="C3036" s="384" t="s">
        <v>83</v>
      </c>
      <c r="D3036" s="385" t="s">
        <v>13225</v>
      </c>
    </row>
    <row r="3037" spans="1:4" x14ac:dyDescent="0.25">
      <c r="A3037" s="384" t="s">
        <v>13226</v>
      </c>
      <c r="B3037" s="384" t="s">
        <v>13227</v>
      </c>
      <c r="C3037" s="384" t="s">
        <v>83</v>
      </c>
      <c r="D3037" s="385" t="s">
        <v>13228</v>
      </c>
    </row>
    <row r="3038" spans="1:4" x14ac:dyDescent="0.25">
      <c r="A3038" s="384" t="s">
        <v>13229</v>
      </c>
      <c r="B3038" s="384" t="s">
        <v>13230</v>
      </c>
      <c r="C3038" s="384" t="s">
        <v>83</v>
      </c>
      <c r="D3038" s="385" t="s">
        <v>13231</v>
      </c>
    </row>
    <row r="3039" spans="1:4" x14ac:dyDescent="0.25">
      <c r="A3039" s="384" t="s">
        <v>13232</v>
      </c>
      <c r="B3039" s="384" t="s">
        <v>13233</v>
      </c>
      <c r="C3039" s="384" t="s">
        <v>83</v>
      </c>
      <c r="D3039" s="385" t="s">
        <v>13234</v>
      </c>
    </row>
    <row r="3040" spans="1:4" x14ac:dyDescent="0.25">
      <c r="A3040" s="384" t="s">
        <v>13235</v>
      </c>
      <c r="B3040" s="384" t="s">
        <v>13236</v>
      </c>
      <c r="C3040" s="384" t="s">
        <v>83</v>
      </c>
      <c r="D3040" s="385" t="s">
        <v>13237</v>
      </c>
    </row>
    <row r="3041" spans="1:4" x14ac:dyDescent="0.25">
      <c r="A3041" s="384" t="s">
        <v>13238</v>
      </c>
      <c r="B3041" s="384" t="s">
        <v>13239</v>
      </c>
      <c r="C3041" s="384" t="s">
        <v>83</v>
      </c>
      <c r="D3041" s="385" t="s">
        <v>13240</v>
      </c>
    </row>
    <row r="3042" spans="1:4" x14ac:dyDescent="0.25">
      <c r="A3042" s="384" t="s">
        <v>13241</v>
      </c>
      <c r="B3042" s="384" t="s">
        <v>13242</v>
      </c>
      <c r="C3042" s="384" t="s">
        <v>83</v>
      </c>
      <c r="D3042" s="385" t="s">
        <v>13243</v>
      </c>
    </row>
    <row r="3043" spans="1:4" x14ac:dyDescent="0.25">
      <c r="A3043" s="384" t="s">
        <v>13244</v>
      </c>
      <c r="B3043" s="384" t="s">
        <v>13245</v>
      </c>
      <c r="C3043" s="384" t="s">
        <v>83</v>
      </c>
      <c r="D3043" s="385" t="s">
        <v>13246</v>
      </c>
    </row>
    <row r="3044" spans="1:4" x14ac:dyDescent="0.25">
      <c r="A3044" s="384" t="s">
        <v>13247</v>
      </c>
      <c r="B3044" s="384" t="s">
        <v>13248</v>
      </c>
      <c r="C3044" s="384" t="s">
        <v>83</v>
      </c>
      <c r="D3044" s="385" t="s">
        <v>13249</v>
      </c>
    </row>
    <row r="3045" spans="1:4" x14ac:dyDescent="0.25">
      <c r="A3045" s="384" t="s">
        <v>13250</v>
      </c>
      <c r="B3045" s="384" t="s">
        <v>13251</v>
      </c>
      <c r="C3045" s="384" t="s">
        <v>83</v>
      </c>
      <c r="D3045" s="385" t="s">
        <v>13252</v>
      </c>
    </row>
    <row r="3046" spans="1:4" x14ac:dyDescent="0.25">
      <c r="A3046" s="384" t="s">
        <v>13253</v>
      </c>
      <c r="B3046" s="384" t="s">
        <v>13254</v>
      </c>
      <c r="C3046" s="384" t="s">
        <v>83</v>
      </c>
      <c r="D3046" s="385" t="s">
        <v>13255</v>
      </c>
    </row>
    <row r="3047" spans="1:4" x14ac:dyDescent="0.25">
      <c r="A3047" s="384" t="s">
        <v>13256</v>
      </c>
      <c r="B3047" s="384" t="s">
        <v>13257</v>
      </c>
      <c r="C3047" s="384" t="s">
        <v>83</v>
      </c>
      <c r="D3047" s="385" t="s">
        <v>13258</v>
      </c>
    </row>
    <row r="3048" spans="1:4" x14ac:dyDescent="0.25">
      <c r="A3048" s="384" t="s">
        <v>13259</v>
      </c>
      <c r="B3048" s="384" t="s">
        <v>13260</v>
      </c>
      <c r="C3048" s="384" t="s">
        <v>83</v>
      </c>
      <c r="D3048" s="385" t="s">
        <v>13261</v>
      </c>
    </row>
    <row r="3049" spans="1:4" x14ac:dyDescent="0.25">
      <c r="A3049" s="384" t="s">
        <v>13262</v>
      </c>
      <c r="B3049" s="384" t="s">
        <v>13263</v>
      </c>
      <c r="C3049" s="384" t="s">
        <v>83</v>
      </c>
      <c r="D3049" s="385" t="s">
        <v>13264</v>
      </c>
    </row>
    <row r="3050" spans="1:4" x14ac:dyDescent="0.25">
      <c r="A3050" s="384" t="s">
        <v>13265</v>
      </c>
      <c r="B3050" s="384" t="s">
        <v>13266</v>
      </c>
      <c r="C3050" s="384" t="s">
        <v>83</v>
      </c>
      <c r="D3050" s="385" t="s">
        <v>13267</v>
      </c>
    </row>
    <row r="3051" spans="1:4" x14ac:dyDescent="0.25">
      <c r="A3051" s="384" t="s">
        <v>13268</v>
      </c>
      <c r="B3051" s="384" t="s">
        <v>13269</v>
      </c>
      <c r="C3051" s="384" t="s">
        <v>83</v>
      </c>
      <c r="D3051" s="385" t="s">
        <v>13270</v>
      </c>
    </row>
    <row r="3052" spans="1:4" x14ac:dyDescent="0.25">
      <c r="A3052" s="384" t="s">
        <v>13271</v>
      </c>
      <c r="B3052" s="384" t="s">
        <v>13272</v>
      </c>
      <c r="C3052" s="384" t="s">
        <v>83</v>
      </c>
      <c r="D3052" s="385" t="s">
        <v>13273</v>
      </c>
    </row>
    <row r="3053" spans="1:4" x14ac:dyDescent="0.25">
      <c r="A3053" s="384" t="s">
        <v>13274</v>
      </c>
      <c r="B3053" s="384" t="s">
        <v>13275</v>
      </c>
      <c r="C3053" s="384" t="s">
        <v>83</v>
      </c>
      <c r="D3053" s="385" t="s">
        <v>13276</v>
      </c>
    </row>
    <row r="3054" spans="1:4" x14ac:dyDescent="0.25">
      <c r="A3054" s="384" t="s">
        <v>13277</v>
      </c>
      <c r="B3054" s="384" t="s">
        <v>13278</v>
      </c>
      <c r="C3054" s="384" t="s">
        <v>83</v>
      </c>
      <c r="D3054" s="385" t="s">
        <v>13279</v>
      </c>
    </row>
    <row r="3055" spans="1:4" x14ac:dyDescent="0.25">
      <c r="A3055" s="384" t="s">
        <v>13280</v>
      </c>
      <c r="B3055" s="384" t="s">
        <v>13281</v>
      </c>
      <c r="C3055" s="384" t="s">
        <v>83</v>
      </c>
      <c r="D3055" s="385" t="s">
        <v>13282</v>
      </c>
    </row>
    <row r="3056" spans="1:4" x14ac:dyDescent="0.25">
      <c r="A3056" s="384" t="s">
        <v>13283</v>
      </c>
      <c r="B3056" s="384" t="s">
        <v>13284</v>
      </c>
      <c r="C3056" s="384" t="s">
        <v>83</v>
      </c>
      <c r="D3056" s="385" t="s">
        <v>13285</v>
      </c>
    </row>
    <row r="3057" spans="1:4" x14ac:dyDescent="0.25">
      <c r="A3057" s="384" t="s">
        <v>13286</v>
      </c>
      <c r="B3057" s="384" t="s">
        <v>13287</v>
      </c>
      <c r="C3057" s="384" t="s">
        <v>83</v>
      </c>
      <c r="D3057" s="385" t="s">
        <v>13288</v>
      </c>
    </row>
    <row r="3058" spans="1:4" x14ac:dyDescent="0.25">
      <c r="A3058" s="384" t="s">
        <v>13289</v>
      </c>
      <c r="B3058" s="384" t="s">
        <v>13290</v>
      </c>
      <c r="C3058" s="384" t="s">
        <v>83</v>
      </c>
      <c r="D3058" s="385" t="s">
        <v>13291</v>
      </c>
    </row>
    <row r="3059" spans="1:4" x14ac:dyDescent="0.25">
      <c r="A3059" s="384" t="s">
        <v>13292</v>
      </c>
      <c r="B3059" s="384" t="s">
        <v>13293</v>
      </c>
      <c r="C3059" s="384" t="s">
        <v>83</v>
      </c>
      <c r="D3059" s="385" t="s">
        <v>13294</v>
      </c>
    </row>
    <row r="3060" spans="1:4" x14ac:dyDescent="0.25">
      <c r="A3060" s="384" t="s">
        <v>13295</v>
      </c>
      <c r="B3060" s="384" t="s">
        <v>13296</v>
      </c>
      <c r="C3060" s="384" t="s">
        <v>83</v>
      </c>
      <c r="D3060" s="385" t="s">
        <v>13297</v>
      </c>
    </row>
    <row r="3061" spans="1:4" x14ac:dyDescent="0.25">
      <c r="A3061" s="384" t="s">
        <v>13298</v>
      </c>
      <c r="B3061" s="384" t="s">
        <v>13299</v>
      </c>
      <c r="C3061" s="384" t="s">
        <v>83</v>
      </c>
      <c r="D3061" s="385" t="s">
        <v>13300</v>
      </c>
    </row>
    <row r="3062" spans="1:4" x14ac:dyDescent="0.25">
      <c r="A3062" s="384" t="s">
        <v>13301</v>
      </c>
      <c r="B3062" s="384" t="s">
        <v>13302</v>
      </c>
      <c r="C3062" s="384" t="s">
        <v>83</v>
      </c>
      <c r="D3062" s="385" t="s">
        <v>13303</v>
      </c>
    </row>
    <row r="3063" spans="1:4" x14ac:dyDescent="0.25">
      <c r="A3063" s="384" t="s">
        <v>13304</v>
      </c>
      <c r="B3063" s="384" t="s">
        <v>13305</v>
      </c>
      <c r="C3063" s="384" t="s">
        <v>83</v>
      </c>
      <c r="D3063" s="385" t="s">
        <v>13306</v>
      </c>
    </row>
    <row r="3064" spans="1:4" x14ac:dyDescent="0.25">
      <c r="A3064" s="384" t="s">
        <v>13307</v>
      </c>
      <c r="B3064" s="384" t="s">
        <v>13308</v>
      </c>
      <c r="C3064" s="384" t="s">
        <v>83</v>
      </c>
      <c r="D3064" s="385" t="s">
        <v>13309</v>
      </c>
    </row>
    <row r="3065" spans="1:4" x14ac:dyDescent="0.25">
      <c r="A3065" s="384" t="s">
        <v>13310</v>
      </c>
      <c r="B3065" s="384" t="s">
        <v>13311</v>
      </c>
      <c r="C3065" s="384" t="s">
        <v>83</v>
      </c>
      <c r="D3065" s="385" t="s">
        <v>13312</v>
      </c>
    </row>
    <row r="3066" spans="1:4" x14ac:dyDescent="0.25">
      <c r="A3066" s="384" t="s">
        <v>13313</v>
      </c>
      <c r="B3066" s="384" t="s">
        <v>13314</v>
      </c>
      <c r="C3066" s="384" t="s">
        <v>83</v>
      </c>
      <c r="D3066" s="385" t="s">
        <v>13315</v>
      </c>
    </row>
    <row r="3067" spans="1:4" x14ac:dyDescent="0.25">
      <c r="A3067" s="384" t="s">
        <v>13316</v>
      </c>
      <c r="B3067" s="384" t="s">
        <v>13317</v>
      </c>
      <c r="C3067" s="384" t="s">
        <v>83</v>
      </c>
      <c r="D3067" s="385" t="s">
        <v>13318</v>
      </c>
    </row>
    <row r="3068" spans="1:4" x14ac:dyDescent="0.25">
      <c r="A3068" s="384" t="s">
        <v>13319</v>
      </c>
      <c r="B3068" s="384" t="s">
        <v>13320</v>
      </c>
      <c r="C3068" s="384" t="s">
        <v>83</v>
      </c>
      <c r="D3068" s="385" t="s">
        <v>13321</v>
      </c>
    </row>
    <row r="3069" spans="1:4" x14ac:dyDescent="0.25">
      <c r="A3069" s="384" t="s">
        <v>13322</v>
      </c>
      <c r="B3069" s="384" t="s">
        <v>13323</v>
      </c>
      <c r="C3069" s="384" t="s">
        <v>83</v>
      </c>
      <c r="D3069" s="385" t="s">
        <v>13324</v>
      </c>
    </row>
    <row r="3070" spans="1:4" x14ac:dyDescent="0.25">
      <c r="A3070" s="384" t="s">
        <v>13325</v>
      </c>
      <c r="B3070" s="384" t="s">
        <v>13326</v>
      </c>
      <c r="C3070" s="384" t="s">
        <v>83</v>
      </c>
      <c r="D3070" s="385" t="s">
        <v>13327</v>
      </c>
    </row>
    <row r="3071" spans="1:4" x14ac:dyDescent="0.25">
      <c r="A3071" s="384" t="s">
        <v>13328</v>
      </c>
      <c r="B3071" s="384" t="s">
        <v>13329</v>
      </c>
      <c r="C3071" s="384" t="s">
        <v>83</v>
      </c>
      <c r="D3071" s="385" t="s">
        <v>13330</v>
      </c>
    </row>
    <row r="3072" spans="1:4" x14ac:dyDescent="0.25">
      <c r="A3072" s="384" t="s">
        <v>13331</v>
      </c>
      <c r="B3072" s="384" t="s">
        <v>13332</v>
      </c>
      <c r="C3072" s="384" t="s">
        <v>83</v>
      </c>
      <c r="D3072" s="385" t="s">
        <v>13333</v>
      </c>
    </row>
    <row r="3073" spans="1:4" x14ac:dyDescent="0.25">
      <c r="A3073" s="384" t="s">
        <v>13334</v>
      </c>
      <c r="B3073" s="384" t="s">
        <v>13335</v>
      </c>
      <c r="C3073" s="384" t="s">
        <v>83</v>
      </c>
      <c r="D3073" s="385" t="s">
        <v>13336</v>
      </c>
    </row>
    <row r="3074" spans="1:4" x14ac:dyDescent="0.25">
      <c r="A3074" s="384" t="s">
        <v>13337</v>
      </c>
      <c r="B3074" s="384" t="s">
        <v>13338</v>
      </c>
      <c r="C3074" s="384" t="s">
        <v>83</v>
      </c>
      <c r="D3074" s="385" t="s">
        <v>13339</v>
      </c>
    </row>
    <row r="3075" spans="1:4" x14ac:dyDescent="0.25">
      <c r="A3075" s="384" t="s">
        <v>13340</v>
      </c>
      <c r="B3075" s="384" t="s">
        <v>13341</v>
      </c>
      <c r="C3075" s="384" t="s">
        <v>83</v>
      </c>
      <c r="D3075" s="385" t="s">
        <v>13342</v>
      </c>
    </row>
    <row r="3076" spans="1:4" x14ac:dyDescent="0.25">
      <c r="A3076" s="384" t="s">
        <v>13343</v>
      </c>
      <c r="B3076" s="384" t="s">
        <v>13344</v>
      </c>
      <c r="C3076" s="384" t="s">
        <v>83</v>
      </c>
      <c r="D3076" s="385" t="s">
        <v>13345</v>
      </c>
    </row>
    <row r="3077" spans="1:4" x14ac:dyDescent="0.25">
      <c r="A3077" s="384" t="s">
        <v>13346</v>
      </c>
      <c r="B3077" s="384" t="s">
        <v>13347</v>
      </c>
      <c r="C3077" s="384" t="s">
        <v>83</v>
      </c>
      <c r="D3077" s="385" t="s">
        <v>13348</v>
      </c>
    </row>
    <row r="3078" spans="1:4" x14ac:dyDescent="0.25">
      <c r="A3078" s="384" t="s">
        <v>13349</v>
      </c>
      <c r="B3078" s="384" t="s">
        <v>13350</v>
      </c>
      <c r="C3078" s="384" t="s">
        <v>83</v>
      </c>
      <c r="D3078" s="385" t="s">
        <v>13351</v>
      </c>
    </row>
    <row r="3079" spans="1:4" x14ac:dyDescent="0.25">
      <c r="A3079" s="384" t="s">
        <v>13352</v>
      </c>
      <c r="B3079" s="384" t="s">
        <v>13353</v>
      </c>
      <c r="C3079" s="384" t="s">
        <v>83</v>
      </c>
      <c r="D3079" s="385" t="s">
        <v>13354</v>
      </c>
    </row>
    <row r="3080" spans="1:4" x14ac:dyDescent="0.25">
      <c r="A3080" s="384" t="s">
        <v>13355</v>
      </c>
      <c r="B3080" s="384" t="s">
        <v>13356</v>
      </c>
      <c r="C3080" s="384" t="s">
        <v>83</v>
      </c>
      <c r="D3080" s="385" t="s">
        <v>13357</v>
      </c>
    </row>
    <row r="3081" spans="1:4" x14ac:dyDescent="0.25">
      <c r="A3081" s="384" t="s">
        <v>13358</v>
      </c>
      <c r="B3081" s="384" t="s">
        <v>13359</v>
      </c>
      <c r="C3081" s="384" t="s">
        <v>83</v>
      </c>
      <c r="D3081" s="385" t="s">
        <v>13360</v>
      </c>
    </row>
    <row r="3082" spans="1:4" x14ac:dyDescent="0.25">
      <c r="A3082" s="384" t="s">
        <v>13361</v>
      </c>
      <c r="B3082" s="384" t="s">
        <v>13362</v>
      </c>
      <c r="C3082" s="384" t="s">
        <v>83</v>
      </c>
      <c r="D3082" s="385" t="s">
        <v>13363</v>
      </c>
    </row>
    <row r="3083" spans="1:4" x14ac:dyDescent="0.25">
      <c r="A3083" s="384" t="s">
        <v>13364</v>
      </c>
      <c r="B3083" s="384" t="s">
        <v>13365</v>
      </c>
      <c r="C3083" s="384" t="s">
        <v>83</v>
      </c>
      <c r="D3083" s="385" t="s">
        <v>13366</v>
      </c>
    </row>
    <row r="3084" spans="1:4" x14ac:dyDescent="0.25">
      <c r="A3084" s="384" t="s">
        <v>13367</v>
      </c>
      <c r="B3084" s="384" t="s">
        <v>13368</v>
      </c>
      <c r="C3084" s="384" t="s">
        <v>83</v>
      </c>
      <c r="D3084" s="385" t="s">
        <v>13369</v>
      </c>
    </row>
    <row r="3085" spans="1:4" x14ac:dyDescent="0.25">
      <c r="A3085" s="384" t="s">
        <v>13370</v>
      </c>
      <c r="B3085" s="384" t="s">
        <v>13371</v>
      </c>
      <c r="C3085" s="384" t="s">
        <v>83</v>
      </c>
      <c r="D3085" s="385" t="s">
        <v>13372</v>
      </c>
    </row>
    <row r="3086" spans="1:4" x14ac:dyDescent="0.25">
      <c r="A3086" s="384" t="s">
        <v>13373</v>
      </c>
      <c r="B3086" s="384" t="s">
        <v>13374</v>
      </c>
      <c r="C3086" s="384" t="s">
        <v>83</v>
      </c>
      <c r="D3086" s="385" t="s">
        <v>13375</v>
      </c>
    </row>
    <row r="3087" spans="1:4" x14ac:dyDescent="0.25">
      <c r="A3087" s="384" t="s">
        <v>13376</v>
      </c>
      <c r="B3087" s="384" t="s">
        <v>13377</v>
      </c>
      <c r="C3087" s="384" t="s">
        <v>83</v>
      </c>
      <c r="D3087" s="385" t="s">
        <v>13378</v>
      </c>
    </row>
    <row r="3088" spans="1:4" x14ac:dyDescent="0.25">
      <c r="A3088" s="384" t="s">
        <v>13379</v>
      </c>
      <c r="B3088" s="384" t="s">
        <v>13380</v>
      </c>
      <c r="C3088" s="384" t="s">
        <v>83</v>
      </c>
      <c r="D3088" s="385" t="s">
        <v>13381</v>
      </c>
    </row>
    <row r="3089" spans="1:4" x14ac:dyDescent="0.25">
      <c r="A3089" s="384" t="s">
        <v>13382</v>
      </c>
      <c r="B3089" s="384" t="s">
        <v>13383</v>
      </c>
      <c r="C3089" s="384" t="s">
        <v>83</v>
      </c>
      <c r="D3089" s="385" t="s">
        <v>13384</v>
      </c>
    </row>
    <row r="3090" spans="1:4" x14ac:dyDescent="0.25">
      <c r="A3090" s="384" t="s">
        <v>13385</v>
      </c>
      <c r="B3090" s="384" t="s">
        <v>13386</v>
      </c>
      <c r="C3090" s="384" t="s">
        <v>83</v>
      </c>
      <c r="D3090" s="385" t="s">
        <v>13387</v>
      </c>
    </row>
    <row r="3091" spans="1:4" x14ac:dyDescent="0.25">
      <c r="A3091" s="384" t="s">
        <v>13388</v>
      </c>
      <c r="B3091" s="384" t="s">
        <v>13389</v>
      </c>
      <c r="C3091" s="384" t="s">
        <v>83</v>
      </c>
      <c r="D3091" s="385" t="s">
        <v>13390</v>
      </c>
    </row>
    <row r="3092" spans="1:4" x14ac:dyDescent="0.25">
      <c r="A3092" s="384" t="s">
        <v>13391</v>
      </c>
      <c r="B3092" s="384" t="s">
        <v>13392</v>
      </c>
      <c r="C3092" s="384" t="s">
        <v>83</v>
      </c>
      <c r="D3092" s="385" t="s">
        <v>13393</v>
      </c>
    </row>
    <row r="3093" spans="1:4" x14ac:dyDescent="0.25">
      <c r="A3093" s="384" t="s">
        <v>13394</v>
      </c>
      <c r="B3093" s="384" t="s">
        <v>13395</v>
      </c>
      <c r="C3093" s="384" t="s">
        <v>83</v>
      </c>
      <c r="D3093" s="385" t="s">
        <v>13396</v>
      </c>
    </row>
    <row r="3094" spans="1:4" x14ac:dyDescent="0.25">
      <c r="A3094" s="384" t="s">
        <v>13397</v>
      </c>
      <c r="B3094" s="384" t="s">
        <v>13398</v>
      </c>
      <c r="C3094" s="384" t="s">
        <v>83</v>
      </c>
      <c r="D3094" s="385" t="s">
        <v>13399</v>
      </c>
    </row>
    <row r="3095" spans="1:4" x14ac:dyDescent="0.25">
      <c r="A3095" s="384" t="s">
        <v>13400</v>
      </c>
      <c r="B3095" s="384" t="s">
        <v>13401</v>
      </c>
      <c r="C3095" s="384" t="s">
        <v>83</v>
      </c>
      <c r="D3095" s="385" t="s">
        <v>13402</v>
      </c>
    </row>
    <row r="3096" spans="1:4" x14ac:dyDescent="0.25">
      <c r="A3096" s="384" t="s">
        <v>13403</v>
      </c>
      <c r="B3096" s="384" t="s">
        <v>13404</v>
      </c>
      <c r="C3096" s="384" t="s">
        <v>83</v>
      </c>
      <c r="D3096" s="385" t="s">
        <v>6780</v>
      </c>
    </row>
    <row r="3097" spans="1:4" x14ac:dyDescent="0.25">
      <c r="A3097" s="384" t="s">
        <v>13405</v>
      </c>
      <c r="B3097" s="384" t="s">
        <v>13406</v>
      </c>
      <c r="C3097" s="384" t="s">
        <v>83</v>
      </c>
      <c r="D3097" s="385" t="s">
        <v>13407</v>
      </c>
    </row>
    <row r="3098" spans="1:4" x14ac:dyDescent="0.25">
      <c r="A3098" s="384" t="s">
        <v>13408</v>
      </c>
      <c r="B3098" s="384" t="s">
        <v>13409</v>
      </c>
      <c r="C3098" s="384" t="s">
        <v>83</v>
      </c>
      <c r="D3098" s="385" t="s">
        <v>13410</v>
      </c>
    </row>
    <row r="3099" spans="1:4" x14ac:dyDescent="0.25">
      <c r="A3099" s="384" t="s">
        <v>13411</v>
      </c>
      <c r="B3099" s="384" t="s">
        <v>13412</v>
      </c>
      <c r="C3099" s="384" t="s">
        <v>83</v>
      </c>
      <c r="D3099" s="385" t="s">
        <v>8473</v>
      </c>
    </row>
    <row r="3100" spans="1:4" x14ac:dyDescent="0.25">
      <c r="A3100" s="384" t="s">
        <v>13413</v>
      </c>
      <c r="B3100" s="384" t="s">
        <v>13414</v>
      </c>
      <c r="C3100" s="384" t="s">
        <v>83</v>
      </c>
      <c r="D3100" s="385" t="s">
        <v>13415</v>
      </c>
    </row>
    <row r="3101" spans="1:4" x14ac:dyDescent="0.25">
      <c r="A3101" s="384" t="s">
        <v>13416</v>
      </c>
      <c r="B3101" s="384" t="s">
        <v>13417</v>
      </c>
      <c r="C3101" s="384" t="s">
        <v>83</v>
      </c>
      <c r="D3101" s="385" t="s">
        <v>5498</v>
      </c>
    </row>
    <row r="3102" spans="1:4" x14ac:dyDescent="0.25">
      <c r="A3102" s="384" t="s">
        <v>13418</v>
      </c>
      <c r="B3102" s="384" t="s">
        <v>13419</v>
      </c>
      <c r="C3102" s="384" t="s">
        <v>83</v>
      </c>
      <c r="D3102" s="385" t="s">
        <v>13420</v>
      </c>
    </row>
    <row r="3103" spans="1:4" x14ac:dyDescent="0.25">
      <c r="A3103" s="384" t="s">
        <v>13421</v>
      </c>
      <c r="B3103" s="384" t="s">
        <v>13422</v>
      </c>
      <c r="C3103" s="384" t="s">
        <v>83</v>
      </c>
      <c r="D3103" s="385" t="s">
        <v>13423</v>
      </c>
    </row>
    <row r="3104" spans="1:4" x14ac:dyDescent="0.25">
      <c r="A3104" s="384" t="s">
        <v>13424</v>
      </c>
      <c r="B3104" s="384" t="s">
        <v>13425</v>
      </c>
      <c r="C3104" s="384" t="s">
        <v>83</v>
      </c>
      <c r="D3104" s="385" t="s">
        <v>13426</v>
      </c>
    </row>
    <row r="3105" spans="1:4" x14ac:dyDescent="0.25">
      <c r="A3105" s="384" t="s">
        <v>13427</v>
      </c>
      <c r="B3105" s="384" t="s">
        <v>13428</v>
      </c>
      <c r="C3105" s="384" t="s">
        <v>83</v>
      </c>
      <c r="D3105" s="385" t="s">
        <v>13429</v>
      </c>
    </row>
    <row r="3106" spans="1:4" x14ac:dyDescent="0.25">
      <c r="A3106" s="384" t="s">
        <v>13430</v>
      </c>
      <c r="B3106" s="384" t="s">
        <v>13431</v>
      </c>
      <c r="C3106" s="384" t="s">
        <v>83</v>
      </c>
      <c r="D3106" s="385" t="s">
        <v>13432</v>
      </c>
    </row>
    <row r="3107" spans="1:4" x14ac:dyDescent="0.25">
      <c r="A3107" s="384" t="s">
        <v>13433</v>
      </c>
      <c r="B3107" s="384" t="s">
        <v>13434</v>
      </c>
      <c r="C3107" s="384" t="s">
        <v>82</v>
      </c>
      <c r="D3107" s="385" t="s">
        <v>13435</v>
      </c>
    </row>
    <row r="3108" spans="1:4" x14ac:dyDescent="0.25">
      <c r="A3108" s="384" t="s">
        <v>13436</v>
      </c>
      <c r="B3108" s="384" t="s">
        <v>13437</v>
      </c>
      <c r="C3108" s="384" t="s">
        <v>82</v>
      </c>
      <c r="D3108" s="385" t="s">
        <v>13438</v>
      </c>
    </row>
    <row r="3109" spans="1:4" x14ac:dyDescent="0.25">
      <c r="A3109" s="384" t="s">
        <v>13439</v>
      </c>
      <c r="B3109" s="384" t="s">
        <v>13440</v>
      </c>
      <c r="C3109" s="384" t="s">
        <v>82</v>
      </c>
      <c r="D3109" s="385" t="s">
        <v>13441</v>
      </c>
    </row>
    <row r="3110" spans="1:4" x14ac:dyDescent="0.25">
      <c r="A3110" s="384" t="s">
        <v>13442</v>
      </c>
      <c r="B3110" s="384" t="s">
        <v>13443</v>
      </c>
      <c r="C3110" s="384" t="s">
        <v>82</v>
      </c>
      <c r="D3110" s="385" t="s">
        <v>13444</v>
      </c>
    </row>
    <row r="3111" spans="1:4" x14ac:dyDescent="0.25">
      <c r="A3111" s="384" t="s">
        <v>13445</v>
      </c>
      <c r="B3111" s="384" t="s">
        <v>13446</v>
      </c>
      <c r="C3111" s="384" t="s">
        <v>82</v>
      </c>
      <c r="D3111" s="385" t="s">
        <v>13447</v>
      </c>
    </row>
    <row r="3112" spans="1:4" x14ac:dyDescent="0.25">
      <c r="A3112" s="384" t="s">
        <v>13448</v>
      </c>
      <c r="B3112" s="384" t="s">
        <v>13449</v>
      </c>
      <c r="C3112" s="384" t="s">
        <v>82</v>
      </c>
      <c r="D3112" s="385" t="s">
        <v>13450</v>
      </c>
    </row>
    <row r="3113" spans="1:4" x14ac:dyDescent="0.25">
      <c r="A3113" s="384" t="s">
        <v>13451</v>
      </c>
      <c r="B3113" s="384" t="s">
        <v>13452</v>
      </c>
      <c r="C3113" s="384" t="s">
        <v>82</v>
      </c>
      <c r="D3113" s="385" t="s">
        <v>13453</v>
      </c>
    </row>
    <row r="3114" spans="1:4" x14ac:dyDescent="0.25">
      <c r="A3114" s="384" t="s">
        <v>13454</v>
      </c>
      <c r="B3114" s="384" t="s">
        <v>13455</v>
      </c>
      <c r="C3114" s="384" t="s">
        <v>82</v>
      </c>
      <c r="D3114" s="385" t="s">
        <v>13456</v>
      </c>
    </row>
    <row r="3115" spans="1:4" x14ac:dyDescent="0.25">
      <c r="A3115" s="384" t="s">
        <v>13457</v>
      </c>
      <c r="B3115" s="384" t="s">
        <v>13458</v>
      </c>
      <c r="C3115" s="384" t="s">
        <v>83</v>
      </c>
      <c r="D3115" s="385" t="s">
        <v>13459</v>
      </c>
    </row>
    <row r="3116" spans="1:4" x14ac:dyDescent="0.25">
      <c r="A3116" s="384" t="s">
        <v>13460</v>
      </c>
      <c r="B3116" s="384" t="s">
        <v>13461</v>
      </c>
      <c r="C3116" s="384" t="s">
        <v>83</v>
      </c>
      <c r="D3116" s="385" t="s">
        <v>13462</v>
      </c>
    </row>
    <row r="3117" spans="1:4" x14ac:dyDescent="0.25">
      <c r="A3117" s="384" t="s">
        <v>13463</v>
      </c>
      <c r="B3117" s="384" t="s">
        <v>13464</v>
      </c>
      <c r="C3117" s="384" t="s">
        <v>83</v>
      </c>
      <c r="D3117" s="385" t="s">
        <v>13465</v>
      </c>
    </row>
    <row r="3118" spans="1:4" x14ac:dyDescent="0.25">
      <c r="A3118" s="384" t="s">
        <v>13466</v>
      </c>
      <c r="B3118" s="384" t="s">
        <v>13467</v>
      </c>
      <c r="C3118" s="384" t="s">
        <v>83</v>
      </c>
      <c r="D3118" s="385" t="s">
        <v>13468</v>
      </c>
    </row>
    <row r="3119" spans="1:4" x14ac:dyDescent="0.25">
      <c r="A3119" s="384" t="s">
        <v>13469</v>
      </c>
      <c r="B3119" s="384" t="s">
        <v>13470</v>
      </c>
      <c r="C3119" s="384" t="s">
        <v>83</v>
      </c>
      <c r="D3119" s="385" t="s">
        <v>13471</v>
      </c>
    </row>
    <row r="3120" spans="1:4" x14ac:dyDescent="0.25">
      <c r="A3120" s="384" t="s">
        <v>13472</v>
      </c>
      <c r="B3120" s="384" t="s">
        <v>13473</v>
      </c>
      <c r="C3120" s="384" t="s">
        <v>83</v>
      </c>
      <c r="D3120" s="385" t="s">
        <v>13474</v>
      </c>
    </row>
    <row r="3121" spans="1:4" x14ac:dyDescent="0.25">
      <c r="A3121" s="384" t="s">
        <v>13475</v>
      </c>
      <c r="B3121" s="384" t="s">
        <v>13476</v>
      </c>
      <c r="C3121" s="384" t="s">
        <v>83</v>
      </c>
      <c r="D3121" s="385" t="s">
        <v>13477</v>
      </c>
    </row>
    <row r="3122" spans="1:4" x14ac:dyDescent="0.25">
      <c r="A3122" s="384" t="s">
        <v>13478</v>
      </c>
      <c r="B3122" s="384" t="s">
        <v>13479</v>
      </c>
      <c r="C3122" s="384" t="s">
        <v>83</v>
      </c>
      <c r="D3122" s="385" t="s">
        <v>13480</v>
      </c>
    </row>
    <row r="3123" spans="1:4" x14ac:dyDescent="0.25">
      <c r="A3123" s="384" t="s">
        <v>13481</v>
      </c>
      <c r="B3123" s="384" t="s">
        <v>13482</v>
      </c>
      <c r="C3123" s="384" t="s">
        <v>83</v>
      </c>
      <c r="D3123" s="385" t="s">
        <v>13483</v>
      </c>
    </row>
    <row r="3124" spans="1:4" x14ac:dyDescent="0.25">
      <c r="A3124" s="384" t="s">
        <v>13484</v>
      </c>
      <c r="B3124" s="384" t="s">
        <v>13485</v>
      </c>
      <c r="C3124" s="384" t="s">
        <v>83</v>
      </c>
      <c r="D3124" s="385" t="s">
        <v>13486</v>
      </c>
    </row>
    <row r="3125" spans="1:4" x14ac:dyDescent="0.25">
      <c r="A3125" s="384" t="s">
        <v>13487</v>
      </c>
      <c r="B3125" s="384" t="s">
        <v>13488</v>
      </c>
      <c r="C3125" s="384" t="s">
        <v>83</v>
      </c>
      <c r="D3125" s="385" t="s">
        <v>13489</v>
      </c>
    </row>
    <row r="3126" spans="1:4" x14ac:dyDescent="0.25">
      <c r="A3126" s="384" t="s">
        <v>13490</v>
      </c>
      <c r="B3126" s="384" t="s">
        <v>13491</v>
      </c>
      <c r="C3126" s="384" t="s">
        <v>83</v>
      </c>
      <c r="D3126" s="385" t="s">
        <v>13492</v>
      </c>
    </row>
    <row r="3127" spans="1:4" x14ac:dyDescent="0.25">
      <c r="A3127" s="384" t="s">
        <v>13493</v>
      </c>
      <c r="B3127" s="384" t="s">
        <v>13494</v>
      </c>
      <c r="C3127" s="384" t="s">
        <v>83</v>
      </c>
      <c r="D3127" s="385" t="s">
        <v>13495</v>
      </c>
    </row>
    <row r="3128" spans="1:4" x14ac:dyDescent="0.25">
      <c r="A3128" s="384" t="s">
        <v>13496</v>
      </c>
      <c r="B3128" s="384" t="s">
        <v>13497</v>
      </c>
      <c r="C3128" s="384" t="s">
        <v>83</v>
      </c>
      <c r="D3128" s="385" t="s">
        <v>13498</v>
      </c>
    </row>
    <row r="3129" spans="1:4" x14ac:dyDescent="0.25">
      <c r="A3129" s="384" t="s">
        <v>13499</v>
      </c>
      <c r="B3129" s="384" t="s">
        <v>13500</v>
      </c>
      <c r="C3129" s="384" t="s">
        <v>83</v>
      </c>
      <c r="D3129" s="385" t="s">
        <v>8416</v>
      </c>
    </row>
    <row r="3130" spans="1:4" x14ac:dyDescent="0.25">
      <c r="A3130" s="384" t="s">
        <v>13501</v>
      </c>
      <c r="B3130" s="384" t="s">
        <v>13502</v>
      </c>
      <c r="C3130" s="384" t="s">
        <v>83</v>
      </c>
      <c r="D3130" s="385" t="s">
        <v>13503</v>
      </c>
    </row>
    <row r="3131" spans="1:4" x14ac:dyDescent="0.25">
      <c r="A3131" s="384" t="s">
        <v>13504</v>
      </c>
      <c r="B3131" s="384" t="s">
        <v>13505</v>
      </c>
      <c r="C3131" s="384" t="s">
        <v>83</v>
      </c>
      <c r="D3131" s="385" t="s">
        <v>13506</v>
      </c>
    </row>
    <row r="3132" spans="1:4" x14ac:dyDescent="0.25">
      <c r="A3132" s="384" t="s">
        <v>13507</v>
      </c>
      <c r="B3132" s="384" t="s">
        <v>13508</v>
      </c>
      <c r="C3132" s="384" t="s">
        <v>83</v>
      </c>
      <c r="D3132" s="385" t="s">
        <v>13509</v>
      </c>
    </row>
    <row r="3133" spans="1:4" x14ac:dyDescent="0.25">
      <c r="A3133" s="384" t="s">
        <v>13510</v>
      </c>
      <c r="B3133" s="384" t="s">
        <v>13511</v>
      </c>
      <c r="C3133" s="384" t="s">
        <v>83</v>
      </c>
      <c r="D3133" s="385" t="s">
        <v>13512</v>
      </c>
    </row>
    <row r="3134" spans="1:4" x14ac:dyDescent="0.25">
      <c r="A3134" s="384" t="s">
        <v>13513</v>
      </c>
      <c r="B3134" s="384" t="s">
        <v>13514</v>
      </c>
      <c r="C3134" s="384" t="s">
        <v>83</v>
      </c>
      <c r="D3134" s="385" t="s">
        <v>13515</v>
      </c>
    </row>
    <row r="3135" spans="1:4" x14ac:dyDescent="0.25">
      <c r="A3135" s="384" t="s">
        <v>13516</v>
      </c>
      <c r="B3135" s="384" t="s">
        <v>13517</v>
      </c>
      <c r="C3135" s="384" t="s">
        <v>83</v>
      </c>
      <c r="D3135" s="385" t="s">
        <v>13518</v>
      </c>
    </row>
    <row r="3136" spans="1:4" x14ac:dyDescent="0.25">
      <c r="A3136" s="384" t="s">
        <v>13519</v>
      </c>
      <c r="B3136" s="384" t="s">
        <v>13520</v>
      </c>
      <c r="C3136" s="384" t="s">
        <v>83</v>
      </c>
      <c r="D3136" s="385" t="s">
        <v>13521</v>
      </c>
    </row>
    <row r="3137" spans="1:4" x14ac:dyDescent="0.25">
      <c r="A3137" s="384" t="s">
        <v>13522</v>
      </c>
      <c r="B3137" s="384" t="s">
        <v>13523</v>
      </c>
      <c r="C3137" s="384" t="s">
        <v>83</v>
      </c>
      <c r="D3137" s="385" t="s">
        <v>13524</v>
      </c>
    </row>
    <row r="3138" spans="1:4" x14ac:dyDescent="0.25">
      <c r="A3138" s="384" t="s">
        <v>13525</v>
      </c>
      <c r="B3138" s="384" t="s">
        <v>13526</v>
      </c>
      <c r="C3138" s="384" t="s">
        <v>83</v>
      </c>
      <c r="D3138" s="385" t="s">
        <v>13527</v>
      </c>
    </row>
    <row r="3139" spans="1:4" x14ac:dyDescent="0.25">
      <c r="A3139" s="384" t="s">
        <v>13528</v>
      </c>
      <c r="B3139" s="384" t="s">
        <v>13529</v>
      </c>
      <c r="C3139" s="384" t="s">
        <v>83</v>
      </c>
      <c r="D3139" s="385" t="s">
        <v>13530</v>
      </c>
    </row>
    <row r="3140" spans="1:4" x14ac:dyDescent="0.25">
      <c r="A3140" s="384" t="s">
        <v>13531</v>
      </c>
      <c r="B3140" s="384" t="s">
        <v>13532</v>
      </c>
      <c r="C3140" s="384" t="s">
        <v>83</v>
      </c>
      <c r="D3140" s="385" t="s">
        <v>13533</v>
      </c>
    </row>
    <row r="3141" spans="1:4" x14ac:dyDescent="0.25">
      <c r="A3141" s="384" t="s">
        <v>13534</v>
      </c>
      <c r="B3141" s="384" t="s">
        <v>13535</v>
      </c>
      <c r="C3141" s="384" t="s">
        <v>83</v>
      </c>
      <c r="D3141" s="385" t="s">
        <v>13536</v>
      </c>
    </row>
    <row r="3142" spans="1:4" x14ac:dyDescent="0.25">
      <c r="A3142" s="384" t="s">
        <v>13537</v>
      </c>
      <c r="B3142" s="384" t="s">
        <v>13538</v>
      </c>
      <c r="C3142" s="384" t="s">
        <v>83</v>
      </c>
      <c r="D3142" s="385" t="s">
        <v>13539</v>
      </c>
    </row>
    <row r="3143" spans="1:4" x14ac:dyDescent="0.25">
      <c r="A3143" s="384" t="s">
        <v>13540</v>
      </c>
      <c r="B3143" s="384" t="s">
        <v>13541</v>
      </c>
      <c r="C3143" s="384" t="s">
        <v>83</v>
      </c>
      <c r="D3143" s="385" t="s">
        <v>13542</v>
      </c>
    </row>
    <row r="3144" spans="1:4" x14ac:dyDescent="0.25">
      <c r="A3144" s="384" t="s">
        <v>13543</v>
      </c>
      <c r="B3144" s="384" t="s">
        <v>13544</v>
      </c>
      <c r="C3144" s="384" t="s">
        <v>83</v>
      </c>
      <c r="D3144" s="385" t="s">
        <v>13545</v>
      </c>
    </row>
    <row r="3145" spans="1:4" x14ac:dyDescent="0.25">
      <c r="A3145" s="384" t="s">
        <v>13546</v>
      </c>
      <c r="B3145" s="384" t="s">
        <v>13547</v>
      </c>
      <c r="C3145" s="384" t="s">
        <v>83</v>
      </c>
      <c r="D3145" s="385" t="s">
        <v>13548</v>
      </c>
    </row>
    <row r="3146" spans="1:4" x14ac:dyDescent="0.25">
      <c r="A3146" s="384" t="s">
        <v>13549</v>
      </c>
      <c r="B3146" s="384" t="s">
        <v>13550</v>
      </c>
      <c r="C3146" s="384" t="s">
        <v>83</v>
      </c>
      <c r="D3146" s="385" t="s">
        <v>13551</v>
      </c>
    </row>
    <row r="3147" spans="1:4" x14ac:dyDescent="0.25">
      <c r="A3147" s="384" t="s">
        <v>13552</v>
      </c>
      <c r="B3147" s="384" t="s">
        <v>13553</v>
      </c>
      <c r="C3147" s="384" t="s">
        <v>83</v>
      </c>
      <c r="D3147" s="385" t="s">
        <v>13554</v>
      </c>
    </row>
    <row r="3148" spans="1:4" x14ac:dyDescent="0.25">
      <c r="A3148" s="384" t="s">
        <v>13555</v>
      </c>
      <c r="B3148" s="384" t="s">
        <v>13556</v>
      </c>
      <c r="C3148" s="384" t="s">
        <v>83</v>
      </c>
      <c r="D3148" s="385" t="s">
        <v>12899</v>
      </c>
    </row>
    <row r="3149" spans="1:4" x14ac:dyDescent="0.25">
      <c r="A3149" s="384" t="s">
        <v>13557</v>
      </c>
      <c r="B3149" s="384" t="s">
        <v>13558</v>
      </c>
      <c r="C3149" s="384" t="s">
        <v>83</v>
      </c>
      <c r="D3149" s="385" t="s">
        <v>13559</v>
      </c>
    </row>
    <row r="3150" spans="1:4" x14ac:dyDescent="0.25">
      <c r="A3150" s="384" t="s">
        <v>13560</v>
      </c>
      <c r="B3150" s="384" t="s">
        <v>13561</v>
      </c>
      <c r="C3150" s="384" t="s">
        <v>83</v>
      </c>
      <c r="D3150" s="385" t="s">
        <v>13562</v>
      </c>
    </row>
    <row r="3151" spans="1:4" x14ac:dyDescent="0.25">
      <c r="A3151" s="384" t="s">
        <v>13563</v>
      </c>
      <c r="B3151" s="384" t="s">
        <v>13564</v>
      </c>
      <c r="C3151" s="384" t="s">
        <v>83</v>
      </c>
      <c r="D3151" s="385" t="s">
        <v>13565</v>
      </c>
    </row>
    <row r="3152" spans="1:4" x14ac:dyDescent="0.25">
      <c r="A3152" s="384" t="s">
        <v>13566</v>
      </c>
      <c r="B3152" s="384" t="s">
        <v>13567</v>
      </c>
      <c r="C3152" s="384" t="s">
        <v>83</v>
      </c>
      <c r="D3152" s="385" t="s">
        <v>13568</v>
      </c>
    </row>
    <row r="3153" spans="1:4" x14ac:dyDescent="0.25">
      <c r="A3153" s="384" t="s">
        <v>13569</v>
      </c>
      <c r="B3153" s="384" t="s">
        <v>13570</v>
      </c>
      <c r="C3153" s="384" t="s">
        <v>83</v>
      </c>
      <c r="D3153" s="385" t="s">
        <v>13571</v>
      </c>
    </row>
    <row r="3154" spans="1:4" x14ac:dyDescent="0.25">
      <c r="A3154" s="384" t="s">
        <v>13572</v>
      </c>
      <c r="B3154" s="384" t="s">
        <v>13573</v>
      </c>
      <c r="C3154" s="384" t="s">
        <v>83</v>
      </c>
      <c r="D3154" s="385" t="s">
        <v>13574</v>
      </c>
    </row>
    <row r="3155" spans="1:4" x14ac:dyDescent="0.25">
      <c r="A3155" s="384" t="s">
        <v>13575</v>
      </c>
      <c r="B3155" s="384" t="s">
        <v>13576</v>
      </c>
      <c r="C3155" s="384" t="s">
        <v>83</v>
      </c>
      <c r="D3155" s="385" t="s">
        <v>13577</v>
      </c>
    </row>
    <row r="3156" spans="1:4" x14ac:dyDescent="0.25">
      <c r="A3156" s="384" t="s">
        <v>13578</v>
      </c>
      <c r="B3156" s="384" t="s">
        <v>13579</v>
      </c>
      <c r="C3156" s="384" t="s">
        <v>83</v>
      </c>
      <c r="D3156" s="385" t="s">
        <v>13580</v>
      </c>
    </row>
    <row r="3157" spans="1:4" x14ac:dyDescent="0.25">
      <c r="A3157" s="384" t="s">
        <v>13581</v>
      </c>
      <c r="B3157" s="384" t="s">
        <v>13582</v>
      </c>
      <c r="C3157" s="384" t="s">
        <v>83</v>
      </c>
      <c r="D3157" s="385" t="s">
        <v>13583</v>
      </c>
    </row>
    <row r="3158" spans="1:4" x14ac:dyDescent="0.25">
      <c r="A3158" s="384" t="s">
        <v>13584</v>
      </c>
      <c r="B3158" s="384" t="s">
        <v>13585</v>
      </c>
      <c r="C3158" s="384" t="s">
        <v>83</v>
      </c>
      <c r="D3158" s="385" t="s">
        <v>13586</v>
      </c>
    </row>
    <row r="3159" spans="1:4" x14ac:dyDescent="0.25">
      <c r="A3159" s="384" t="s">
        <v>13587</v>
      </c>
      <c r="B3159" s="384" t="s">
        <v>13588</v>
      </c>
      <c r="C3159" s="384" t="s">
        <v>83</v>
      </c>
      <c r="D3159" s="385" t="s">
        <v>13589</v>
      </c>
    </row>
    <row r="3160" spans="1:4" x14ac:dyDescent="0.25">
      <c r="A3160" s="384" t="s">
        <v>13590</v>
      </c>
      <c r="B3160" s="384" t="s">
        <v>13591</v>
      </c>
      <c r="C3160" s="384" t="s">
        <v>83</v>
      </c>
      <c r="D3160" s="385" t="s">
        <v>13592</v>
      </c>
    </row>
    <row r="3161" spans="1:4" x14ac:dyDescent="0.25">
      <c r="A3161" s="384" t="s">
        <v>13593</v>
      </c>
      <c r="B3161" s="384" t="s">
        <v>13594</v>
      </c>
      <c r="C3161" s="384" t="s">
        <v>83</v>
      </c>
      <c r="D3161" s="385" t="s">
        <v>13595</v>
      </c>
    </row>
    <row r="3162" spans="1:4" x14ac:dyDescent="0.25">
      <c r="A3162" s="384" t="s">
        <v>13596</v>
      </c>
      <c r="B3162" s="384" t="s">
        <v>13597</v>
      </c>
      <c r="C3162" s="384" t="s">
        <v>83</v>
      </c>
      <c r="D3162" s="385" t="s">
        <v>13598</v>
      </c>
    </row>
    <row r="3163" spans="1:4" x14ac:dyDescent="0.25">
      <c r="A3163" s="384" t="s">
        <v>13599</v>
      </c>
      <c r="B3163" s="384" t="s">
        <v>13600</v>
      </c>
      <c r="C3163" s="384" t="s">
        <v>83</v>
      </c>
      <c r="D3163" s="385" t="s">
        <v>13601</v>
      </c>
    </row>
    <row r="3164" spans="1:4" x14ac:dyDescent="0.25">
      <c r="A3164" s="384" t="s">
        <v>13602</v>
      </c>
      <c r="B3164" s="384" t="s">
        <v>13603</v>
      </c>
      <c r="C3164" s="384" t="s">
        <v>83</v>
      </c>
      <c r="D3164" s="385" t="s">
        <v>13604</v>
      </c>
    </row>
    <row r="3165" spans="1:4" x14ac:dyDescent="0.25">
      <c r="A3165" s="384" t="s">
        <v>13605</v>
      </c>
      <c r="B3165" s="384" t="s">
        <v>13606</v>
      </c>
      <c r="C3165" s="384" t="s">
        <v>83</v>
      </c>
      <c r="D3165" s="385" t="s">
        <v>13607</v>
      </c>
    </row>
    <row r="3166" spans="1:4" x14ac:dyDescent="0.25">
      <c r="A3166" s="384" t="s">
        <v>13608</v>
      </c>
      <c r="B3166" s="384" t="s">
        <v>13609</v>
      </c>
      <c r="C3166" s="384" t="s">
        <v>83</v>
      </c>
      <c r="D3166" s="385" t="s">
        <v>13610</v>
      </c>
    </row>
    <row r="3167" spans="1:4" x14ac:dyDescent="0.25">
      <c r="A3167" s="384" t="s">
        <v>13611</v>
      </c>
      <c r="B3167" s="384" t="s">
        <v>13612</v>
      </c>
      <c r="C3167" s="384" t="s">
        <v>83</v>
      </c>
      <c r="D3167" s="385" t="s">
        <v>13613</v>
      </c>
    </row>
    <row r="3168" spans="1:4" x14ac:dyDescent="0.25">
      <c r="A3168" s="384" t="s">
        <v>13614</v>
      </c>
      <c r="B3168" s="384" t="s">
        <v>13615</v>
      </c>
      <c r="C3168" s="384" t="s">
        <v>83</v>
      </c>
      <c r="D3168" s="385" t="s">
        <v>13616</v>
      </c>
    </row>
    <row r="3169" spans="1:4" x14ac:dyDescent="0.25">
      <c r="A3169" s="384" t="s">
        <v>13617</v>
      </c>
      <c r="B3169" s="384" t="s">
        <v>13618</v>
      </c>
      <c r="C3169" s="384" t="s">
        <v>83</v>
      </c>
      <c r="D3169" s="385" t="s">
        <v>13619</v>
      </c>
    </row>
    <row r="3170" spans="1:4" x14ac:dyDescent="0.25">
      <c r="A3170" s="384" t="s">
        <v>13620</v>
      </c>
      <c r="B3170" s="384" t="s">
        <v>13621</v>
      </c>
      <c r="C3170" s="384" t="s">
        <v>83</v>
      </c>
      <c r="D3170" s="385" t="s">
        <v>13622</v>
      </c>
    </row>
    <row r="3171" spans="1:4" x14ac:dyDescent="0.25">
      <c r="A3171" s="384" t="s">
        <v>13623</v>
      </c>
      <c r="B3171" s="384" t="s">
        <v>13624</v>
      </c>
      <c r="C3171" s="384" t="s">
        <v>83</v>
      </c>
      <c r="D3171" s="385" t="s">
        <v>13625</v>
      </c>
    </row>
    <row r="3172" spans="1:4" x14ac:dyDescent="0.25">
      <c r="A3172" s="384" t="s">
        <v>13626</v>
      </c>
      <c r="B3172" s="384" t="s">
        <v>13627</v>
      </c>
      <c r="C3172" s="384" t="s">
        <v>83</v>
      </c>
      <c r="D3172" s="385" t="s">
        <v>13628</v>
      </c>
    </row>
    <row r="3173" spans="1:4" x14ac:dyDescent="0.25">
      <c r="A3173" s="384" t="s">
        <v>13629</v>
      </c>
      <c r="B3173" s="384" t="s">
        <v>13630</v>
      </c>
      <c r="C3173" s="384" t="s">
        <v>83</v>
      </c>
      <c r="D3173" s="385" t="s">
        <v>13631</v>
      </c>
    </row>
    <row r="3174" spans="1:4" x14ac:dyDescent="0.25">
      <c r="A3174" s="384" t="s">
        <v>13632</v>
      </c>
      <c r="B3174" s="384" t="s">
        <v>13633</v>
      </c>
      <c r="C3174" s="384" t="s">
        <v>83</v>
      </c>
      <c r="D3174" s="385" t="s">
        <v>13634</v>
      </c>
    </row>
    <row r="3175" spans="1:4" x14ac:dyDescent="0.25">
      <c r="A3175" s="384" t="s">
        <v>13635</v>
      </c>
      <c r="B3175" s="384" t="s">
        <v>13636</v>
      </c>
      <c r="C3175" s="384" t="s">
        <v>83</v>
      </c>
      <c r="D3175" s="385" t="s">
        <v>13637</v>
      </c>
    </row>
    <row r="3176" spans="1:4" x14ac:dyDescent="0.25">
      <c r="A3176" s="384" t="s">
        <v>13638</v>
      </c>
      <c r="B3176" s="384" t="s">
        <v>13639</v>
      </c>
      <c r="C3176" s="384" t="s">
        <v>83</v>
      </c>
      <c r="D3176" s="385" t="s">
        <v>13640</v>
      </c>
    </row>
    <row r="3177" spans="1:4" x14ac:dyDescent="0.25">
      <c r="A3177" s="384" t="s">
        <v>13641</v>
      </c>
      <c r="B3177" s="384" t="s">
        <v>13642</v>
      </c>
      <c r="C3177" s="384" t="s">
        <v>83</v>
      </c>
      <c r="D3177" s="385" t="s">
        <v>13643</v>
      </c>
    </row>
    <row r="3178" spans="1:4" x14ac:dyDescent="0.25">
      <c r="A3178" s="384" t="s">
        <v>13644</v>
      </c>
      <c r="B3178" s="384" t="s">
        <v>13645</v>
      </c>
      <c r="C3178" s="384" t="s">
        <v>83</v>
      </c>
      <c r="D3178" s="385" t="s">
        <v>13646</v>
      </c>
    </row>
    <row r="3179" spans="1:4" x14ac:dyDescent="0.25">
      <c r="A3179" s="384" t="s">
        <v>13647</v>
      </c>
      <c r="B3179" s="384" t="s">
        <v>13648</v>
      </c>
      <c r="C3179" s="384" t="s">
        <v>83</v>
      </c>
      <c r="D3179" s="385" t="s">
        <v>13649</v>
      </c>
    </row>
    <row r="3180" spans="1:4" x14ac:dyDescent="0.25">
      <c r="A3180" s="384" t="s">
        <v>13650</v>
      </c>
      <c r="B3180" s="384" t="s">
        <v>13651</v>
      </c>
      <c r="C3180" s="384" t="s">
        <v>83</v>
      </c>
      <c r="D3180" s="385" t="s">
        <v>13652</v>
      </c>
    </row>
    <row r="3181" spans="1:4" x14ac:dyDescent="0.25">
      <c r="A3181" s="384" t="s">
        <v>13653</v>
      </c>
      <c r="B3181" s="384" t="s">
        <v>13654</v>
      </c>
      <c r="C3181" s="384" t="s">
        <v>83</v>
      </c>
      <c r="D3181" s="385" t="s">
        <v>13655</v>
      </c>
    </row>
    <row r="3182" spans="1:4" x14ac:dyDescent="0.25">
      <c r="A3182" s="384" t="s">
        <v>13656</v>
      </c>
      <c r="B3182" s="384" t="s">
        <v>13657</v>
      </c>
      <c r="C3182" s="384" t="s">
        <v>83</v>
      </c>
      <c r="D3182" s="385" t="s">
        <v>13658</v>
      </c>
    </row>
    <row r="3183" spans="1:4" x14ac:dyDescent="0.25">
      <c r="A3183" s="384" t="s">
        <v>13659</v>
      </c>
      <c r="B3183" s="384" t="s">
        <v>13660</v>
      </c>
      <c r="C3183" s="384" t="s">
        <v>83</v>
      </c>
      <c r="D3183" s="385" t="s">
        <v>13661</v>
      </c>
    </row>
    <row r="3184" spans="1:4" x14ac:dyDescent="0.25">
      <c r="A3184" s="384" t="s">
        <v>13662</v>
      </c>
      <c r="B3184" s="384" t="s">
        <v>13663</v>
      </c>
      <c r="C3184" s="384" t="s">
        <v>83</v>
      </c>
      <c r="D3184" s="385" t="s">
        <v>13664</v>
      </c>
    </row>
    <row r="3185" spans="1:4" x14ac:dyDescent="0.25">
      <c r="A3185" s="384" t="s">
        <v>13665</v>
      </c>
      <c r="B3185" s="384" t="s">
        <v>13666</v>
      </c>
      <c r="C3185" s="384" t="s">
        <v>83</v>
      </c>
      <c r="D3185" s="385" t="s">
        <v>13667</v>
      </c>
    </row>
    <row r="3186" spans="1:4" x14ac:dyDescent="0.25">
      <c r="A3186" s="384" t="s">
        <v>13668</v>
      </c>
      <c r="B3186" s="384" t="s">
        <v>13669</v>
      </c>
      <c r="C3186" s="384" t="s">
        <v>83</v>
      </c>
      <c r="D3186" s="385" t="s">
        <v>13670</v>
      </c>
    </row>
    <row r="3187" spans="1:4" x14ac:dyDescent="0.25">
      <c r="A3187" s="384" t="s">
        <v>13671</v>
      </c>
      <c r="B3187" s="384" t="s">
        <v>13672</v>
      </c>
      <c r="C3187" s="384" t="s">
        <v>83</v>
      </c>
      <c r="D3187" s="385" t="s">
        <v>13673</v>
      </c>
    </row>
    <row r="3188" spans="1:4" x14ac:dyDescent="0.25">
      <c r="A3188" s="384" t="s">
        <v>13674</v>
      </c>
      <c r="B3188" s="384" t="s">
        <v>13675</v>
      </c>
      <c r="C3188" s="384" t="s">
        <v>83</v>
      </c>
      <c r="D3188" s="385" t="s">
        <v>13676</v>
      </c>
    </row>
    <row r="3189" spans="1:4" x14ac:dyDescent="0.25">
      <c r="A3189" s="384" t="s">
        <v>13677</v>
      </c>
      <c r="B3189" s="384" t="s">
        <v>13678</v>
      </c>
      <c r="C3189" s="384" t="s">
        <v>83</v>
      </c>
      <c r="D3189" s="385" t="s">
        <v>13679</v>
      </c>
    </row>
    <row r="3190" spans="1:4" x14ac:dyDescent="0.25">
      <c r="A3190" s="384" t="s">
        <v>13680</v>
      </c>
      <c r="B3190" s="384" t="s">
        <v>13681</v>
      </c>
      <c r="C3190" s="384" t="s">
        <v>83</v>
      </c>
      <c r="D3190" s="385" t="s">
        <v>13682</v>
      </c>
    </row>
    <row r="3191" spans="1:4" x14ac:dyDescent="0.25">
      <c r="A3191" s="384" t="s">
        <v>13683</v>
      </c>
      <c r="B3191" s="384" t="s">
        <v>13684</v>
      </c>
      <c r="C3191" s="384" t="s">
        <v>83</v>
      </c>
      <c r="D3191" s="385" t="s">
        <v>13685</v>
      </c>
    </row>
    <row r="3192" spans="1:4" x14ac:dyDescent="0.25">
      <c r="A3192" s="384" t="s">
        <v>13686</v>
      </c>
      <c r="B3192" s="384" t="s">
        <v>13687</v>
      </c>
      <c r="C3192" s="384" t="s">
        <v>83</v>
      </c>
      <c r="D3192" s="385" t="s">
        <v>13688</v>
      </c>
    </row>
    <row r="3193" spans="1:4" x14ac:dyDescent="0.25">
      <c r="A3193" s="384" t="s">
        <v>13689</v>
      </c>
      <c r="B3193" s="384" t="s">
        <v>13690</v>
      </c>
      <c r="C3193" s="384" t="s">
        <v>83</v>
      </c>
      <c r="D3193" s="385" t="s">
        <v>13691</v>
      </c>
    </row>
    <row r="3194" spans="1:4" x14ac:dyDescent="0.25">
      <c r="A3194" s="384" t="s">
        <v>13692</v>
      </c>
      <c r="B3194" s="384" t="s">
        <v>13693</v>
      </c>
      <c r="C3194" s="384" t="s">
        <v>83</v>
      </c>
      <c r="D3194" s="385" t="s">
        <v>13694</v>
      </c>
    </row>
    <row r="3195" spans="1:4" x14ac:dyDescent="0.25">
      <c r="A3195" s="384" t="s">
        <v>13695</v>
      </c>
      <c r="B3195" s="384" t="s">
        <v>13696</v>
      </c>
      <c r="C3195" s="384" t="s">
        <v>83</v>
      </c>
      <c r="D3195" s="385" t="s">
        <v>13697</v>
      </c>
    </row>
    <row r="3196" spans="1:4" x14ac:dyDescent="0.25">
      <c r="A3196" s="384" t="s">
        <v>13698</v>
      </c>
      <c r="B3196" s="384" t="s">
        <v>13699</v>
      </c>
      <c r="C3196" s="384" t="s">
        <v>83</v>
      </c>
      <c r="D3196" s="385" t="s">
        <v>13700</v>
      </c>
    </row>
    <row r="3197" spans="1:4" x14ac:dyDescent="0.25">
      <c r="A3197" s="384" t="s">
        <v>13701</v>
      </c>
      <c r="B3197" s="384" t="s">
        <v>13702</v>
      </c>
      <c r="C3197" s="384" t="s">
        <v>83</v>
      </c>
      <c r="D3197" s="385" t="s">
        <v>13703</v>
      </c>
    </row>
    <row r="3198" spans="1:4" x14ac:dyDescent="0.25">
      <c r="A3198" s="384" t="s">
        <v>13704</v>
      </c>
      <c r="B3198" s="384" t="s">
        <v>13705</v>
      </c>
      <c r="C3198" s="384" t="s">
        <v>83</v>
      </c>
      <c r="D3198" s="385" t="s">
        <v>13706</v>
      </c>
    </row>
    <row r="3199" spans="1:4" x14ac:dyDescent="0.25">
      <c r="A3199" s="384" t="s">
        <v>13707</v>
      </c>
      <c r="B3199" s="384" t="s">
        <v>13708</v>
      </c>
      <c r="C3199" s="384" t="s">
        <v>83</v>
      </c>
      <c r="D3199" s="385" t="s">
        <v>13709</v>
      </c>
    </row>
    <row r="3200" spans="1:4" x14ac:dyDescent="0.25">
      <c r="A3200" s="384" t="s">
        <v>13710</v>
      </c>
      <c r="B3200" s="384" t="s">
        <v>13711</v>
      </c>
      <c r="C3200" s="384" t="s">
        <v>83</v>
      </c>
      <c r="D3200" s="385" t="s">
        <v>13712</v>
      </c>
    </row>
    <row r="3201" spans="1:4" x14ac:dyDescent="0.25">
      <c r="A3201" s="384" t="s">
        <v>13713</v>
      </c>
      <c r="B3201" s="384" t="s">
        <v>13714</v>
      </c>
      <c r="C3201" s="384" t="s">
        <v>83</v>
      </c>
      <c r="D3201" s="385" t="s">
        <v>13715</v>
      </c>
    </row>
    <row r="3202" spans="1:4" x14ac:dyDescent="0.25">
      <c r="A3202" s="384" t="s">
        <v>13716</v>
      </c>
      <c r="B3202" s="384" t="s">
        <v>13717</v>
      </c>
      <c r="C3202" s="384" t="s">
        <v>83</v>
      </c>
      <c r="D3202" s="385" t="s">
        <v>13097</v>
      </c>
    </row>
    <row r="3203" spans="1:4" x14ac:dyDescent="0.25">
      <c r="A3203" s="384" t="s">
        <v>13718</v>
      </c>
      <c r="B3203" s="384" t="s">
        <v>13719</v>
      </c>
      <c r="C3203" s="384" t="s">
        <v>83</v>
      </c>
      <c r="D3203" s="385" t="s">
        <v>13720</v>
      </c>
    </row>
    <row r="3204" spans="1:4" x14ac:dyDescent="0.25">
      <c r="A3204" s="384" t="s">
        <v>13721</v>
      </c>
      <c r="B3204" s="384" t="s">
        <v>13722</v>
      </c>
      <c r="C3204" s="384" t="s">
        <v>83</v>
      </c>
      <c r="D3204" s="385" t="s">
        <v>13723</v>
      </c>
    </row>
    <row r="3205" spans="1:4" x14ac:dyDescent="0.25">
      <c r="A3205" s="384" t="s">
        <v>13724</v>
      </c>
      <c r="B3205" s="384" t="s">
        <v>13725</v>
      </c>
      <c r="C3205" s="384" t="s">
        <v>83</v>
      </c>
      <c r="D3205" s="385" t="s">
        <v>13726</v>
      </c>
    </row>
    <row r="3206" spans="1:4" x14ac:dyDescent="0.25">
      <c r="A3206" s="384" t="s">
        <v>13727</v>
      </c>
      <c r="B3206" s="384" t="s">
        <v>13728</v>
      </c>
      <c r="C3206" s="384" t="s">
        <v>83</v>
      </c>
      <c r="D3206" s="385" t="s">
        <v>13729</v>
      </c>
    </row>
    <row r="3207" spans="1:4" x14ac:dyDescent="0.25">
      <c r="A3207" s="384" t="s">
        <v>13730</v>
      </c>
      <c r="B3207" s="384" t="s">
        <v>13731</v>
      </c>
      <c r="C3207" s="384" t="s">
        <v>83</v>
      </c>
      <c r="D3207" s="385" t="s">
        <v>13732</v>
      </c>
    </row>
    <row r="3208" spans="1:4" x14ac:dyDescent="0.25">
      <c r="A3208" s="384" t="s">
        <v>13733</v>
      </c>
      <c r="B3208" s="384" t="s">
        <v>13734</v>
      </c>
      <c r="C3208" s="384" t="s">
        <v>83</v>
      </c>
      <c r="D3208" s="385" t="s">
        <v>13735</v>
      </c>
    </row>
    <row r="3209" spans="1:4" x14ac:dyDescent="0.25">
      <c r="A3209" s="384" t="s">
        <v>13736</v>
      </c>
      <c r="B3209" s="384" t="s">
        <v>13737</v>
      </c>
      <c r="C3209" s="384" t="s">
        <v>83</v>
      </c>
      <c r="D3209" s="385" t="s">
        <v>13738</v>
      </c>
    </row>
    <row r="3210" spans="1:4" x14ac:dyDescent="0.25">
      <c r="A3210" s="384" t="s">
        <v>13739</v>
      </c>
      <c r="B3210" s="384" t="s">
        <v>13740</v>
      </c>
      <c r="C3210" s="384" t="s">
        <v>83</v>
      </c>
      <c r="D3210" s="385" t="s">
        <v>13741</v>
      </c>
    </row>
    <row r="3211" spans="1:4" x14ac:dyDescent="0.25">
      <c r="A3211" s="384" t="s">
        <v>13742</v>
      </c>
      <c r="B3211" s="384" t="s">
        <v>13743</v>
      </c>
      <c r="C3211" s="384" t="s">
        <v>83</v>
      </c>
      <c r="D3211" s="385" t="s">
        <v>13744</v>
      </c>
    </row>
    <row r="3212" spans="1:4" x14ac:dyDescent="0.25">
      <c r="A3212" s="384" t="s">
        <v>13745</v>
      </c>
      <c r="B3212" s="384" t="s">
        <v>13746</v>
      </c>
      <c r="C3212" s="384" t="s">
        <v>83</v>
      </c>
      <c r="D3212" s="385" t="s">
        <v>13747</v>
      </c>
    </row>
    <row r="3213" spans="1:4" x14ac:dyDescent="0.25">
      <c r="A3213" s="384" t="s">
        <v>13748</v>
      </c>
      <c r="B3213" s="384" t="s">
        <v>13749</v>
      </c>
      <c r="C3213" s="384" t="s">
        <v>83</v>
      </c>
      <c r="D3213" s="385" t="s">
        <v>13750</v>
      </c>
    </row>
    <row r="3214" spans="1:4" x14ac:dyDescent="0.25">
      <c r="A3214" s="384" t="s">
        <v>13751</v>
      </c>
      <c r="B3214" s="384" t="s">
        <v>13752</v>
      </c>
      <c r="C3214" s="384" t="s">
        <v>83</v>
      </c>
      <c r="D3214" s="385" t="s">
        <v>13753</v>
      </c>
    </row>
    <row r="3215" spans="1:4" x14ac:dyDescent="0.25">
      <c r="A3215" s="384" t="s">
        <v>13754</v>
      </c>
      <c r="B3215" s="384" t="s">
        <v>13755</v>
      </c>
      <c r="C3215" s="384" t="s">
        <v>83</v>
      </c>
      <c r="D3215" s="385" t="s">
        <v>13756</v>
      </c>
    </row>
    <row r="3216" spans="1:4" x14ac:dyDescent="0.25">
      <c r="A3216" s="384" t="s">
        <v>13757</v>
      </c>
      <c r="B3216" s="384" t="s">
        <v>13758</v>
      </c>
      <c r="C3216" s="384" t="s">
        <v>83</v>
      </c>
      <c r="D3216" s="385" t="s">
        <v>13759</v>
      </c>
    </row>
    <row r="3217" spans="1:4" x14ac:dyDescent="0.25">
      <c r="A3217" s="384" t="s">
        <v>13760</v>
      </c>
      <c r="B3217" s="384" t="s">
        <v>13761</v>
      </c>
      <c r="C3217" s="384" t="s">
        <v>83</v>
      </c>
      <c r="D3217" s="385" t="s">
        <v>13762</v>
      </c>
    </row>
    <row r="3218" spans="1:4" x14ac:dyDescent="0.25">
      <c r="A3218" s="384" t="s">
        <v>13763</v>
      </c>
      <c r="B3218" s="384" t="s">
        <v>13764</v>
      </c>
      <c r="C3218" s="384" t="s">
        <v>83</v>
      </c>
      <c r="D3218" s="385" t="s">
        <v>13765</v>
      </c>
    </row>
    <row r="3219" spans="1:4" x14ac:dyDescent="0.25">
      <c r="A3219" s="384" t="s">
        <v>13766</v>
      </c>
      <c r="B3219" s="384" t="s">
        <v>13767</v>
      </c>
      <c r="C3219" s="384" t="s">
        <v>83</v>
      </c>
      <c r="D3219" s="385" t="s">
        <v>13768</v>
      </c>
    </row>
    <row r="3220" spans="1:4" x14ac:dyDescent="0.25">
      <c r="A3220" s="384" t="s">
        <v>13769</v>
      </c>
      <c r="B3220" s="384" t="s">
        <v>13770</v>
      </c>
      <c r="C3220" s="384" t="s">
        <v>83</v>
      </c>
      <c r="D3220" s="385" t="s">
        <v>13771</v>
      </c>
    </row>
    <row r="3221" spans="1:4" x14ac:dyDescent="0.25">
      <c r="A3221" s="384" t="s">
        <v>13772</v>
      </c>
      <c r="B3221" s="384" t="s">
        <v>13773</v>
      </c>
      <c r="C3221" s="384" t="s">
        <v>83</v>
      </c>
      <c r="D3221" s="385" t="s">
        <v>6893</v>
      </c>
    </row>
    <row r="3222" spans="1:4" x14ac:dyDescent="0.25">
      <c r="A3222" s="384" t="s">
        <v>13774</v>
      </c>
      <c r="B3222" s="384" t="s">
        <v>13775</v>
      </c>
      <c r="C3222" s="384" t="s">
        <v>83</v>
      </c>
      <c r="D3222" s="385" t="s">
        <v>13776</v>
      </c>
    </row>
    <row r="3223" spans="1:4" x14ac:dyDescent="0.25">
      <c r="A3223" s="384" t="s">
        <v>13777</v>
      </c>
      <c r="B3223" s="384" t="s">
        <v>13778</v>
      </c>
      <c r="C3223" s="384" t="s">
        <v>83</v>
      </c>
      <c r="D3223" s="385" t="s">
        <v>13779</v>
      </c>
    </row>
    <row r="3224" spans="1:4" x14ac:dyDescent="0.25">
      <c r="A3224" s="384" t="s">
        <v>13780</v>
      </c>
      <c r="B3224" s="384" t="s">
        <v>13781</v>
      </c>
      <c r="C3224" s="384" t="s">
        <v>83</v>
      </c>
      <c r="D3224" s="385" t="s">
        <v>13782</v>
      </c>
    </row>
    <row r="3225" spans="1:4" x14ac:dyDescent="0.25">
      <c r="A3225" s="384" t="s">
        <v>13783</v>
      </c>
      <c r="B3225" s="384" t="s">
        <v>13784</v>
      </c>
      <c r="C3225" s="384" t="s">
        <v>83</v>
      </c>
      <c r="D3225" s="385" t="s">
        <v>13785</v>
      </c>
    </row>
    <row r="3226" spans="1:4" x14ac:dyDescent="0.25">
      <c r="A3226" s="384" t="s">
        <v>13786</v>
      </c>
      <c r="B3226" s="384" t="s">
        <v>13787</v>
      </c>
      <c r="C3226" s="384" t="s">
        <v>82</v>
      </c>
      <c r="D3226" s="385" t="s">
        <v>13788</v>
      </c>
    </row>
    <row r="3227" spans="1:4" x14ac:dyDescent="0.25">
      <c r="A3227" s="384" t="s">
        <v>13789</v>
      </c>
      <c r="B3227" s="384" t="s">
        <v>13790</v>
      </c>
      <c r="C3227" s="384" t="s">
        <v>82</v>
      </c>
      <c r="D3227" s="385" t="s">
        <v>13791</v>
      </c>
    </row>
    <row r="3228" spans="1:4" x14ac:dyDescent="0.25">
      <c r="A3228" s="384" t="s">
        <v>13792</v>
      </c>
      <c r="B3228" s="384" t="s">
        <v>13793</v>
      </c>
      <c r="C3228" s="384" t="s">
        <v>82</v>
      </c>
      <c r="D3228" s="385" t="s">
        <v>13794</v>
      </c>
    </row>
    <row r="3229" spans="1:4" x14ac:dyDescent="0.25">
      <c r="A3229" s="384" t="s">
        <v>13795</v>
      </c>
      <c r="B3229" s="384" t="s">
        <v>13796</v>
      </c>
      <c r="C3229" s="384" t="s">
        <v>82</v>
      </c>
      <c r="D3229" s="385" t="s">
        <v>13797</v>
      </c>
    </row>
    <row r="3230" spans="1:4" x14ac:dyDescent="0.25">
      <c r="A3230" s="384" t="s">
        <v>13798</v>
      </c>
      <c r="B3230" s="384" t="s">
        <v>13799</v>
      </c>
      <c r="C3230" s="384" t="s">
        <v>82</v>
      </c>
      <c r="D3230" s="385" t="s">
        <v>13800</v>
      </c>
    </row>
    <row r="3231" spans="1:4" x14ac:dyDescent="0.25">
      <c r="A3231" s="384" t="s">
        <v>13801</v>
      </c>
      <c r="B3231" s="384" t="s">
        <v>13802</v>
      </c>
      <c r="C3231" s="384" t="s">
        <v>82</v>
      </c>
      <c r="D3231" s="385" t="s">
        <v>13803</v>
      </c>
    </row>
    <row r="3232" spans="1:4" x14ac:dyDescent="0.25">
      <c r="A3232" s="384" t="s">
        <v>13804</v>
      </c>
      <c r="B3232" s="384" t="s">
        <v>13805</v>
      </c>
      <c r="C3232" s="384" t="s">
        <v>82</v>
      </c>
      <c r="D3232" s="385" t="s">
        <v>13806</v>
      </c>
    </row>
    <row r="3233" spans="1:4" x14ac:dyDescent="0.25">
      <c r="A3233" s="384" t="s">
        <v>13807</v>
      </c>
      <c r="B3233" s="384" t="s">
        <v>13808</v>
      </c>
      <c r="C3233" s="384" t="s">
        <v>82</v>
      </c>
      <c r="D3233" s="385" t="s">
        <v>13809</v>
      </c>
    </row>
    <row r="3234" spans="1:4" x14ac:dyDescent="0.25">
      <c r="A3234" s="384" t="s">
        <v>13810</v>
      </c>
      <c r="B3234" s="384" t="s">
        <v>13811</v>
      </c>
      <c r="C3234" s="384" t="s">
        <v>82</v>
      </c>
      <c r="D3234" s="385" t="s">
        <v>13812</v>
      </c>
    </row>
    <row r="3235" spans="1:4" x14ac:dyDescent="0.25">
      <c r="A3235" s="384" t="s">
        <v>13813</v>
      </c>
      <c r="B3235" s="384" t="s">
        <v>13814</v>
      </c>
      <c r="C3235" s="384" t="s">
        <v>83</v>
      </c>
      <c r="D3235" s="385" t="s">
        <v>13815</v>
      </c>
    </row>
    <row r="3236" spans="1:4" x14ac:dyDescent="0.25">
      <c r="A3236" s="384" t="s">
        <v>13816</v>
      </c>
      <c r="B3236" s="384" t="s">
        <v>13817</v>
      </c>
      <c r="C3236" s="384" t="s">
        <v>83</v>
      </c>
      <c r="D3236" s="385" t="s">
        <v>13818</v>
      </c>
    </row>
    <row r="3237" spans="1:4" x14ac:dyDescent="0.25">
      <c r="A3237" s="384" t="s">
        <v>13819</v>
      </c>
      <c r="B3237" s="384" t="s">
        <v>13820</v>
      </c>
      <c r="C3237" s="384" t="s">
        <v>83</v>
      </c>
      <c r="D3237" s="385" t="s">
        <v>13821</v>
      </c>
    </row>
    <row r="3238" spans="1:4" x14ac:dyDescent="0.25">
      <c r="A3238" s="384" t="s">
        <v>13822</v>
      </c>
      <c r="B3238" s="384" t="s">
        <v>13823</v>
      </c>
      <c r="C3238" s="384" t="s">
        <v>83</v>
      </c>
      <c r="D3238" s="385" t="s">
        <v>13824</v>
      </c>
    </row>
    <row r="3239" spans="1:4" x14ac:dyDescent="0.25">
      <c r="A3239" s="384" t="s">
        <v>13825</v>
      </c>
      <c r="B3239" s="384" t="s">
        <v>13826</v>
      </c>
      <c r="C3239" s="384" t="s">
        <v>83</v>
      </c>
      <c r="D3239" s="385" t="s">
        <v>13827</v>
      </c>
    </row>
    <row r="3240" spans="1:4" x14ac:dyDescent="0.25">
      <c r="A3240" s="384" t="s">
        <v>13828</v>
      </c>
      <c r="B3240" s="384" t="s">
        <v>13829</v>
      </c>
      <c r="C3240" s="384" t="s">
        <v>83</v>
      </c>
      <c r="D3240" s="385" t="s">
        <v>13830</v>
      </c>
    </row>
    <row r="3241" spans="1:4" x14ac:dyDescent="0.25">
      <c r="A3241" s="384" t="s">
        <v>13831</v>
      </c>
      <c r="B3241" s="384" t="s">
        <v>13832</v>
      </c>
      <c r="C3241" s="384" t="s">
        <v>83</v>
      </c>
      <c r="D3241" s="385" t="s">
        <v>4469</v>
      </c>
    </row>
    <row r="3242" spans="1:4" x14ac:dyDescent="0.25">
      <c r="A3242" s="384" t="s">
        <v>13833</v>
      </c>
      <c r="B3242" s="384" t="s">
        <v>13834</v>
      </c>
      <c r="C3242" s="384" t="s">
        <v>83</v>
      </c>
      <c r="D3242" s="385" t="s">
        <v>13835</v>
      </c>
    </row>
    <row r="3243" spans="1:4" x14ac:dyDescent="0.25">
      <c r="A3243" s="384" t="s">
        <v>13836</v>
      </c>
      <c r="B3243" s="384" t="s">
        <v>13837</v>
      </c>
      <c r="C3243" s="384" t="s">
        <v>83</v>
      </c>
      <c r="D3243" s="385" t="s">
        <v>13838</v>
      </c>
    </row>
    <row r="3244" spans="1:4" x14ac:dyDescent="0.25">
      <c r="A3244" s="384" t="s">
        <v>13839</v>
      </c>
      <c r="B3244" s="384" t="s">
        <v>13840</v>
      </c>
      <c r="C3244" s="384" t="s">
        <v>83</v>
      </c>
      <c r="D3244" s="385" t="s">
        <v>13841</v>
      </c>
    </row>
    <row r="3245" spans="1:4" x14ac:dyDescent="0.25">
      <c r="A3245" s="384" t="s">
        <v>13842</v>
      </c>
      <c r="B3245" s="384" t="s">
        <v>13843</v>
      </c>
      <c r="C3245" s="384" t="s">
        <v>83</v>
      </c>
      <c r="D3245" s="385" t="s">
        <v>13844</v>
      </c>
    </row>
    <row r="3246" spans="1:4" x14ac:dyDescent="0.25">
      <c r="A3246" s="384" t="s">
        <v>13845</v>
      </c>
      <c r="B3246" s="384" t="s">
        <v>13846</v>
      </c>
      <c r="C3246" s="384" t="s">
        <v>83</v>
      </c>
      <c r="D3246" s="385" t="s">
        <v>13847</v>
      </c>
    </row>
    <row r="3247" spans="1:4" x14ac:dyDescent="0.25">
      <c r="A3247" s="384" t="s">
        <v>13848</v>
      </c>
      <c r="B3247" s="384" t="s">
        <v>13849</v>
      </c>
      <c r="C3247" s="384" t="s">
        <v>83</v>
      </c>
      <c r="D3247" s="385" t="s">
        <v>13850</v>
      </c>
    </row>
    <row r="3248" spans="1:4" x14ac:dyDescent="0.25">
      <c r="A3248" s="384" t="s">
        <v>13851</v>
      </c>
      <c r="B3248" s="384" t="s">
        <v>13852</v>
      </c>
      <c r="C3248" s="384" t="s">
        <v>83</v>
      </c>
      <c r="D3248" s="385" t="s">
        <v>13853</v>
      </c>
    </row>
    <row r="3249" spans="1:4" x14ac:dyDescent="0.25">
      <c r="A3249" s="384" t="s">
        <v>13854</v>
      </c>
      <c r="B3249" s="384" t="s">
        <v>13855</v>
      </c>
      <c r="C3249" s="384" t="s">
        <v>83</v>
      </c>
      <c r="D3249" s="385" t="s">
        <v>13856</v>
      </c>
    </row>
    <row r="3250" spans="1:4" x14ac:dyDescent="0.25">
      <c r="A3250" s="384" t="s">
        <v>13857</v>
      </c>
      <c r="B3250" s="384" t="s">
        <v>13858</v>
      </c>
      <c r="C3250" s="384" t="s">
        <v>83</v>
      </c>
      <c r="D3250" s="385" t="s">
        <v>13859</v>
      </c>
    </row>
    <row r="3251" spans="1:4" x14ac:dyDescent="0.25">
      <c r="A3251" s="384" t="s">
        <v>13860</v>
      </c>
      <c r="B3251" s="384" t="s">
        <v>13861</v>
      </c>
      <c r="C3251" s="384" t="s">
        <v>83</v>
      </c>
      <c r="D3251" s="385" t="s">
        <v>13862</v>
      </c>
    </row>
    <row r="3252" spans="1:4" x14ac:dyDescent="0.25">
      <c r="A3252" s="384" t="s">
        <v>13863</v>
      </c>
      <c r="B3252" s="384" t="s">
        <v>13864</v>
      </c>
      <c r="C3252" s="384" t="s">
        <v>83</v>
      </c>
      <c r="D3252" s="385" t="s">
        <v>13865</v>
      </c>
    </row>
    <row r="3253" spans="1:4" x14ac:dyDescent="0.25">
      <c r="A3253" s="384" t="s">
        <v>13866</v>
      </c>
      <c r="B3253" s="384" t="s">
        <v>13867</v>
      </c>
      <c r="C3253" s="384" t="s">
        <v>83</v>
      </c>
      <c r="D3253" s="385" t="s">
        <v>13868</v>
      </c>
    </row>
    <row r="3254" spans="1:4" x14ac:dyDescent="0.25">
      <c r="A3254" s="384" t="s">
        <v>13869</v>
      </c>
      <c r="B3254" s="384" t="s">
        <v>13870</v>
      </c>
      <c r="C3254" s="384" t="s">
        <v>83</v>
      </c>
      <c r="D3254" s="385" t="s">
        <v>13871</v>
      </c>
    </row>
    <row r="3255" spans="1:4" x14ac:dyDescent="0.25">
      <c r="A3255" s="384" t="s">
        <v>13872</v>
      </c>
      <c r="B3255" s="384" t="s">
        <v>13873</v>
      </c>
      <c r="C3255" s="384" t="s">
        <v>83</v>
      </c>
      <c r="D3255" s="385" t="s">
        <v>13874</v>
      </c>
    </row>
    <row r="3256" spans="1:4" x14ac:dyDescent="0.25">
      <c r="A3256" s="384" t="s">
        <v>13875</v>
      </c>
      <c r="B3256" s="384" t="s">
        <v>13876</v>
      </c>
      <c r="C3256" s="384" t="s">
        <v>82</v>
      </c>
      <c r="D3256" s="385" t="s">
        <v>6582</v>
      </c>
    </row>
    <row r="3257" spans="1:4" x14ac:dyDescent="0.25">
      <c r="A3257" s="384" t="s">
        <v>13877</v>
      </c>
      <c r="B3257" s="384" t="s">
        <v>13878</v>
      </c>
      <c r="C3257" s="384" t="s">
        <v>82</v>
      </c>
      <c r="D3257" s="385" t="s">
        <v>4679</v>
      </c>
    </row>
    <row r="3258" spans="1:4" x14ac:dyDescent="0.25">
      <c r="A3258" s="384" t="s">
        <v>13879</v>
      </c>
      <c r="B3258" s="384" t="s">
        <v>13880</v>
      </c>
      <c r="C3258" s="384" t="s">
        <v>82</v>
      </c>
      <c r="D3258" s="385" t="s">
        <v>13881</v>
      </c>
    </row>
    <row r="3259" spans="1:4" x14ac:dyDescent="0.25">
      <c r="A3259" s="384" t="s">
        <v>13882</v>
      </c>
      <c r="B3259" s="384" t="s">
        <v>13883</v>
      </c>
      <c r="C3259" s="384" t="s">
        <v>82</v>
      </c>
      <c r="D3259" s="385" t="s">
        <v>13884</v>
      </c>
    </row>
    <row r="3260" spans="1:4" x14ac:dyDescent="0.25">
      <c r="A3260" s="384" t="s">
        <v>13885</v>
      </c>
      <c r="B3260" s="384" t="s">
        <v>13886</v>
      </c>
      <c r="C3260" s="384" t="s">
        <v>82</v>
      </c>
      <c r="D3260" s="385" t="s">
        <v>6003</v>
      </c>
    </row>
    <row r="3261" spans="1:4" x14ac:dyDescent="0.25">
      <c r="A3261" s="384" t="s">
        <v>13887</v>
      </c>
      <c r="B3261" s="384" t="s">
        <v>13888</v>
      </c>
      <c r="C3261" s="384" t="s">
        <v>82</v>
      </c>
      <c r="D3261" s="385" t="s">
        <v>4691</v>
      </c>
    </row>
    <row r="3262" spans="1:4" x14ac:dyDescent="0.25">
      <c r="A3262" s="384" t="s">
        <v>13889</v>
      </c>
      <c r="B3262" s="384" t="s">
        <v>13890</v>
      </c>
      <c r="C3262" s="384" t="s">
        <v>82</v>
      </c>
      <c r="D3262" s="385" t="s">
        <v>13891</v>
      </c>
    </row>
    <row r="3263" spans="1:4" x14ac:dyDescent="0.25">
      <c r="A3263" s="384" t="s">
        <v>13892</v>
      </c>
      <c r="B3263" s="384" t="s">
        <v>13893</v>
      </c>
      <c r="C3263" s="384" t="s">
        <v>82</v>
      </c>
      <c r="D3263" s="385" t="s">
        <v>13894</v>
      </c>
    </row>
    <row r="3264" spans="1:4" x14ac:dyDescent="0.25">
      <c r="A3264" s="384" t="s">
        <v>13895</v>
      </c>
      <c r="B3264" s="384" t="s">
        <v>13896</v>
      </c>
      <c r="C3264" s="384" t="s">
        <v>82</v>
      </c>
      <c r="D3264" s="385" t="s">
        <v>13897</v>
      </c>
    </row>
    <row r="3265" spans="1:4" x14ac:dyDescent="0.25">
      <c r="A3265" s="384" t="s">
        <v>13898</v>
      </c>
      <c r="B3265" s="384" t="s">
        <v>13899</v>
      </c>
      <c r="C3265" s="384" t="s">
        <v>82</v>
      </c>
      <c r="D3265" s="385" t="s">
        <v>13900</v>
      </c>
    </row>
    <row r="3266" spans="1:4" x14ac:dyDescent="0.25">
      <c r="A3266" s="384" t="s">
        <v>13901</v>
      </c>
      <c r="B3266" s="384" t="s">
        <v>13902</v>
      </c>
      <c r="C3266" s="384" t="s">
        <v>82</v>
      </c>
      <c r="D3266" s="385" t="s">
        <v>13903</v>
      </c>
    </row>
    <row r="3267" spans="1:4" x14ac:dyDescent="0.25">
      <c r="A3267" s="384" t="s">
        <v>13904</v>
      </c>
      <c r="B3267" s="384" t="s">
        <v>13905</v>
      </c>
      <c r="C3267" s="384" t="s">
        <v>82</v>
      </c>
      <c r="D3267" s="385" t="s">
        <v>13906</v>
      </c>
    </row>
    <row r="3268" spans="1:4" x14ac:dyDescent="0.25">
      <c r="A3268" s="384" t="s">
        <v>13907</v>
      </c>
      <c r="B3268" s="384" t="s">
        <v>13908</v>
      </c>
      <c r="C3268" s="384" t="s">
        <v>82</v>
      </c>
      <c r="D3268" s="385" t="s">
        <v>7241</v>
      </c>
    </row>
    <row r="3269" spans="1:4" x14ac:dyDescent="0.25">
      <c r="A3269" s="384" t="s">
        <v>13909</v>
      </c>
      <c r="B3269" s="384" t="s">
        <v>13910</v>
      </c>
      <c r="C3269" s="384" t="s">
        <v>82</v>
      </c>
      <c r="D3269" s="385" t="s">
        <v>7632</v>
      </c>
    </row>
    <row r="3270" spans="1:4" x14ac:dyDescent="0.25">
      <c r="A3270" s="384" t="s">
        <v>13911</v>
      </c>
      <c r="B3270" s="384" t="s">
        <v>13912</v>
      </c>
      <c r="C3270" s="384" t="s">
        <v>82</v>
      </c>
      <c r="D3270" s="385" t="s">
        <v>13913</v>
      </c>
    </row>
    <row r="3271" spans="1:4" x14ac:dyDescent="0.25">
      <c r="A3271" s="384" t="s">
        <v>13914</v>
      </c>
      <c r="B3271" s="384" t="s">
        <v>13915</v>
      </c>
      <c r="C3271" s="384" t="s">
        <v>82</v>
      </c>
      <c r="D3271" s="385" t="s">
        <v>13916</v>
      </c>
    </row>
    <row r="3272" spans="1:4" x14ac:dyDescent="0.25">
      <c r="A3272" s="384" t="s">
        <v>13917</v>
      </c>
      <c r="B3272" s="384" t="s">
        <v>13918</v>
      </c>
      <c r="C3272" s="384" t="s">
        <v>82</v>
      </c>
      <c r="D3272" s="385" t="s">
        <v>13919</v>
      </c>
    </row>
    <row r="3273" spans="1:4" x14ac:dyDescent="0.25">
      <c r="A3273" s="384" t="s">
        <v>13920</v>
      </c>
      <c r="B3273" s="384" t="s">
        <v>13921</v>
      </c>
      <c r="C3273" s="384" t="s">
        <v>82</v>
      </c>
      <c r="D3273" s="385" t="s">
        <v>13922</v>
      </c>
    </row>
    <row r="3274" spans="1:4" x14ac:dyDescent="0.25">
      <c r="A3274" s="384" t="s">
        <v>13923</v>
      </c>
      <c r="B3274" s="384" t="s">
        <v>13924</v>
      </c>
      <c r="C3274" s="384" t="s">
        <v>82</v>
      </c>
      <c r="D3274" s="385" t="s">
        <v>12594</v>
      </c>
    </row>
    <row r="3275" spans="1:4" x14ac:dyDescent="0.25">
      <c r="A3275" s="384" t="s">
        <v>13925</v>
      </c>
      <c r="B3275" s="384" t="s">
        <v>13926</v>
      </c>
      <c r="C3275" s="384" t="s">
        <v>82</v>
      </c>
      <c r="D3275" s="385" t="s">
        <v>13927</v>
      </c>
    </row>
    <row r="3276" spans="1:4" x14ac:dyDescent="0.25">
      <c r="A3276" s="384" t="s">
        <v>13928</v>
      </c>
      <c r="B3276" s="384" t="s">
        <v>13929</v>
      </c>
      <c r="C3276" s="384" t="s">
        <v>82</v>
      </c>
      <c r="D3276" s="385" t="s">
        <v>12396</v>
      </c>
    </row>
    <row r="3277" spans="1:4" x14ac:dyDescent="0.25">
      <c r="A3277" s="384" t="s">
        <v>13930</v>
      </c>
      <c r="B3277" s="384" t="s">
        <v>13931</v>
      </c>
      <c r="C3277" s="384" t="s">
        <v>82</v>
      </c>
      <c r="D3277" s="385" t="s">
        <v>7913</v>
      </c>
    </row>
    <row r="3278" spans="1:4" x14ac:dyDescent="0.25">
      <c r="A3278" s="384" t="s">
        <v>13932</v>
      </c>
      <c r="B3278" s="384" t="s">
        <v>13933</v>
      </c>
      <c r="C3278" s="384" t="s">
        <v>82</v>
      </c>
      <c r="D3278" s="385" t="s">
        <v>13934</v>
      </c>
    </row>
    <row r="3279" spans="1:4" x14ac:dyDescent="0.25">
      <c r="A3279" s="384" t="s">
        <v>13935</v>
      </c>
      <c r="B3279" s="384" t="s">
        <v>13936</v>
      </c>
      <c r="C3279" s="384" t="s">
        <v>82</v>
      </c>
      <c r="D3279" s="385" t="s">
        <v>8440</v>
      </c>
    </row>
    <row r="3280" spans="1:4" x14ac:dyDescent="0.25">
      <c r="A3280" s="384" t="s">
        <v>13937</v>
      </c>
      <c r="B3280" s="384" t="s">
        <v>13938</v>
      </c>
      <c r="C3280" s="384" t="s">
        <v>82</v>
      </c>
      <c r="D3280" s="385" t="s">
        <v>13939</v>
      </c>
    </row>
    <row r="3281" spans="1:4" x14ac:dyDescent="0.25">
      <c r="A3281" s="384" t="s">
        <v>13940</v>
      </c>
      <c r="B3281" s="384" t="s">
        <v>13941</v>
      </c>
      <c r="C3281" s="384" t="s">
        <v>82</v>
      </c>
      <c r="D3281" s="385" t="s">
        <v>13942</v>
      </c>
    </row>
    <row r="3282" spans="1:4" x14ac:dyDescent="0.25">
      <c r="A3282" s="384" t="s">
        <v>13943</v>
      </c>
      <c r="B3282" s="384" t="s">
        <v>13944</v>
      </c>
      <c r="C3282" s="384" t="s">
        <v>82</v>
      </c>
      <c r="D3282" s="385" t="s">
        <v>7194</v>
      </c>
    </row>
    <row r="3283" spans="1:4" x14ac:dyDescent="0.25">
      <c r="A3283" s="384" t="s">
        <v>13945</v>
      </c>
      <c r="B3283" s="384" t="s">
        <v>13946</v>
      </c>
      <c r="C3283" s="384" t="s">
        <v>82</v>
      </c>
      <c r="D3283" s="385" t="s">
        <v>13947</v>
      </c>
    </row>
    <row r="3284" spans="1:4" x14ac:dyDescent="0.25">
      <c r="A3284" s="384" t="s">
        <v>13948</v>
      </c>
      <c r="B3284" s="384" t="s">
        <v>13949</v>
      </c>
      <c r="C3284" s="384" t="s">
        <v>82</v>
      </c>
      <c r="D3284" s="385" t="s">
        <v>13950</v>
      </c>
    </row>
    <row r="3285" spans="1:4" x14ac:dyDescent="0.25">
      <c r="A3285" s="384" t="s">
        <v>13951</v>
      </c>
      <c r="B3285" s="384" t="s">
        <v>13952</v>
      </c>
      <c r="C3285" s="384" t="s">
        <v>82</v>
      </c>
      <c r="D3285" s="385" t="s">
        <v>7827</v>
      </c>
    </row>
    <row r="3286" spans="1:4" x14ac:dyDescent="0.25">
      <c r="A3286" s="384" t="s">
        <v>13953</v>
      </c>
      <c r="B3286" s="384" t="s">
        <v>13954</v>
      </c>
      <c r="C3286" s="384" t="s">
        <v>82</v>
      </c>
      <c r="D3286" s="385" t="s">
        <v>7188</v>
      </c>
    </row>
    <row r="3287" spans="1:4" x14ac:dyDescent="0.25">
      <c r="A3287" s="384" t="s">
        <v>13955</v>
      </c>
      <c r="B3287" s="384" t="s">
        <v>13956</v>
      </c>
      <c r="C3287" s="384" t="s">
        <v>82</v>
      </c>
      <c r="D3287" s="385" t="s">
        <v>5988</v>
      </c>
    </row>
    <row r="3288" spans="1:4" x14ac:dyDescent="0.25">
      <c r="A3288" s="384" t="s">
        <v>13957</v>
      </c>
      <c r="B3288" s="384" t="s">
        <v>13958</v>
      </c>
      <c r="C3288" s="384" t="s">
        <v>82</v>
      </c>
      <c r="D3288" s="385" t="s">
        <v>13959</v>
      </c>
    </row>
    <row r="3289" spans="1:4" x14ac:dyDescent="0.25">
      <c r="A3289" s="384" t="s">
        <v>13960</v>
      </c>
      <c r="B3289" s="384" t="s">
        <v>13961</v>
      </c>
      <c r="C3289" s="384" t="s">
        <v>82</v>
      </c>
      <c r="D3289" s="385" t="s">
        <v>11262</v>
      </c>
    </row>
    <row r="3290" spans="1:4" x14ac:dyDescent="0.25">
      <c r="A3290" s="384" t="s">
        <v>13962</v>
      </c>
      <c r="B3290" s="384" t="s">
        <v>13963</v>
      </c>
      <c r="C3290" s="384" t="s">
        <v>82</v>
      </c>
      <c r="D3290" s="385" t="s">
        <v>13964</v>
      </c>
    </row>
    <row r="3291" spans="1:4" x14ac:dyDescent="0.25">
      <c r="A3291" s="384" t="s">
        <v>13965</v>
      </c>
      <c r="B3291" s="384" t="s">
        <v>13966</v>
      </c>
      <c r="C3291" s="384" t="s">
        <v>82</v>
      </c>
      <c r="D3291" s="385" t="s">
        <v>13967</v>
      </c>
    </row>
    <row r="3292" spans="1:4" x14ac:dyDescent="0.25">
      <c r="A3292" s="384" t="s">
        <v>13968</v>
      </c>
      <c r="B3292" s="384" t="s">
        <v>13969</v>
      </c>
      <c r="C3292" s="384" t="s">
        <v>83</v>
      </c>
      <c r="D3292" s="385" t="s">
        <v>13970</v>
      </c>
    </row>
    <row r="3293" spans="1:4" x14ac:dyDescent="0.25">
      <c r="A3293" s="384" t="s">
        <v>13971</v>
      </c>
      <c r="B3293" s="384" t="s">
        <v>13972</v>
      </c>
      <c r="C3293" s="384" t="s">
        <v>83</v>
      </c>
      <c r="D3293" s="385" t="s">
        <v>13973</v>
      </c>
    </row>
    <row r="3294" spans="1:4" x14ac:dyDescent="0.25">
      <c r="A3294" s="384" t="s">
        <v>13974</v>
      </c>
      <c r="B3294" s="384" t="s">
        <v>13975</v>
      </c>
      <c r="C3294" s="384" t="s">
        <v>83</v>
      </c>
      <c r="D3294" s="385" t="s">
        <v>13976</v>
      </c>
    </row>
    <row r="3295" spans="1:4" x14ac:dyDescent="0.25">
      <c r="A3295" s="384" t="s">
        <v>13977</v>
      </c>
      <c r="B3295" s="384" t="s">
        <v>13978</v>
      </c>
      <c r="C3295" s="384" t="s">
        <v>83</v>
      </c>
      <c r="D3295" s="385" t="s">
        <v>13979</v>
      </c>
    </row>
    <row r="3296" spans="1:4" x14ac:dyDescent="0.25">
      <c r="A3296" s="384" t="s">
        <v>13980</v>
      </c>
      <c r="B3296" s="384" t="s">
        <v>13981</v>
      </c>
      <c r="C3296" s="384" t="s">
        <v>83</v>
      </c>
      <c r="D3296" s="385" t="s">
        <v>13982</v>
      </c>
    </row>
    <row r="3297" spans="1:4" x14ac:dyDescent="0.25">
      <c r="A3297" s="384" t="s">
        <v>13983</v>
      </c>
      <c r="B3297" s="384" t="s">
        <v>13984</v>
      </c>
      <c r="C3297" s="384" t="s">
        <v>83</v>
      </c>
      <c r="D3297" s="385" t="s">
        <v>13985</v>
      </c>
    </row>
    <row r="3298" spans="1:4" x14ac:dyDescent="0.25">
      <c r="A3298" s="384" t="s">
        <v>13986</v>
      </c>
      <c r="B3298" s="384" t="s">
        <v>13987</v>
      </c>
      <c r="C3298" s="384" t="s">
        <v>83</v>
      </c>
      <c r="D3298" s="385" t="s">
        <v>13988</v>
      </c>
    </row>
    <row r="3299" spans="1:4" x14ac:dyDescent="0.25">
      <c r="A3299" s="384" t="s">
        <v>13989</v>
      </c>
      <c r="B3299" s="384" t="s">
        <v>13990</v>
      </c>
      <c r="C3299" s="384" t="s">
        <v>83</v>
      </c>
      <c r="D3299" s="385" t="s">
        <v>13991</v>
      </c>
    </row>
    <row r="3300" spans="1:4" x14ac:dyDescent="0.25">
      <c r="A3300" s="384" t="s">
        <v>13992</v>
      </c>
      <c r="B3300" s="384" t="s">
        <v>13993</v>
      </c>
      <c r="C3300" s="384" t="s">
        <v>83</v>
      </c>
      <c r="D3300" s="385" t="s">
        <v>13994</v>
      </c>
    </row>
    <row r="3301" spans="1:4" x14ac:dyDescent="0.25">
      <c r="A3301" s="384" t="s">
        <v>13995</v>
      </c>
      <c r="B3301" s="384" t="s">
        <v>13996</v>
      </c>
      <c r="C3301" s="384" t="s">
        <v>2884</v>
      </c>
      <c r="D3301" s="385" t="s">
        <v>13997</v>
      </c>
    </row>
    <row r="3302" spans="1:4" x14ac:dyDescent="0.25">
      <c r="A3302" s="384" t="s">
        <v>13998</v>
      </c>
      <c r="B3302" s="384" t="s">
        <v>13999</v>
      </c>
      <c r="C3302" s="384" t="s">
        <v>83</v>
      </c>
      <c r="D3302" s="385" t="s">
        <v>14000</v>
      </c>
    </row>
    <row r="3303" spans="1:4" x14ac:dyDescent="0.25">
      <c r="A3303" s="384" t="s">
        <v>14001</v>
      </c>
      <c r="B3303" s="384" t="s">
        <v>14002</v>
      </c>
      <c r="C3303" s="384" t="s">
        <v>83</v>
      </c>
      <c r="D3303" s="385" t="s">
        <v>14003</v>
      </c>
    </row>
    <row r="3304" spans="1:4" x14ac:dyDescent="0.25">
      <c r="A3304" s="384" t="s">
        <v>14004</v>
      </c>
      <c r="B3304" s="384" t="s">
        <v>14005</v>
      </c>
      <c r="C3304" s="384" t="s">
        <v>83</v>
      </c>
      <c r="D3304" s="385" t="s">
        <v>14006</v>
      </c>
    </row>
    <row r="3305" spans="1:4" x14ac:dyDescent="0.25">
      <c r="A3305" s="384" t="s">
        <v>14007</v>
      </c>
      <c r="B3305" s="384" t="s">
        <v>14008</v>
      </c>
      <c r="C3305" s="384" t="s">
        <v>83</v>
      </c>
      <c r="D3305" s="385" t="s">
        <v>14009</v>
      </c>
    </row>
    <row r="3306" spans="1:4" x14ac:dyDescent="0.25">
      <c r="A3306" s="384" t="s">
        <v>14010</v>
      </c>
      <c r="B3306" s="384" t="s">
        <v>14011</v>
      </c>
      <c r="C3306" s="384" t="s">
        <v>83</v>
      </c>
      <c r="D3306" s="385" t="s">
        <v>14012</v>
      </c>
    </row>
    <row r="3307" spans="1:4" x14ac:dyDescent="0.25">
      <c r="A3307" s="384" t="s">
        <v>14013</v>
      </c>
      <c r="B3307" s="384" t="s">
        <v>14014</v>
      </c>
      <c r="C3307" s="384" t="s">
        <v>83</v>
      </c>
      <c r="D3307" s="385" t="s">
        <v>14015</v>
      </c>
    </row>
    <row r="3308" spans="1:4" x14ac:dyDescent="0.25">
      <c r="A3308" s="384" t="s">
        <v>14016</v>
      </c>
      <c r="B3308" s="384" t="s">
        <v>14017</v>
      </c>
      <c r="C3308" s="384" t="s">
        <v>83</v>
      </c>
      <c r="D3308" s="385" t="s">
        <v>14018</v>
      </c>
    </row>
    <row r="3309" spans="1:4" x14ac:dyDescent="0.25">
      <c r="A3309" s="384" t="s">
        <v>14019</v>
      </c>
      <c r="B3309" s="384" t="s">
        <v>14020</v>
      </c>
      <c r="C3309" s="384" t="s">
        <v>83</v>
      </c>
      <c r="D3309" s="385" t="s">
        <v>14021</v>
      </c>
    </row>
    <row r="3310" spans="1:4" x14ac:dyDescent="0.25">
      <c r="A3310" s="384" t="s">
        <v>14022</v>
      </c>
      <c r="B3310" s="384" t="s">
        <v>14023</v>
      </c>
      <c r="C3310" s="384" t="s">
        <v>83</v>
      </c>
      <c r="D3310" s="385" t="s">
        <v>14024</v>
      </c>
    </row>
    <row r="3311" spans="1:4" x14ac:dyDescent="0.25">
      <c r="A3311" s="384" t="s">
        <v>14025</v>
      </c>
      <c r="B3311" s="384" t="s">
        <v>14026</v>
      </c>
      <c r="C3311" s="384" t="s">
        <v>83</v>
      </c>
      <c r="D3311" s="385" t="s">
        <v>14027</v>
      </c>
    </row>
    <row r="3312" spans="1:4" x14ac:dyDescent="0.25">
      <c r="A3312" s="384" t="s">
        <v>14028</v>
      </c>
      <c r="B3312" s="384" t="s">
        <v>14029</v>
      </c>
      <c r="C3312" s="384" t="s">
        <v>83</v>
      </c>
      <c r="D3312" s="385" t="s">
        <v>14030</v>
      </c>
    </row>
    <row r="3313" spans="1:4" x14ac:dyDescent="0.25">
      <c r="A3313" s="384" t="s">
        <v>14031</v>
      </c>
      <c r="B3313" s="384" t="s">
        <v>14032</v>
      </c>
      <c r="C3313" s="384" t="s">
        <v>83</v>
      </c>
      <c r="D3313" s="385" t="s">
        <v>14033</v>
      </c>
    </row>
    <row r="3314" spans="1:4" x14ac:dyDescent="0.25">
      <c r="A3314" s="384" t="s">
        <v>14034</v>
      </c>
      <c r="B3314" s="384" t="s">
        <v>14035</v>
      </c>
      <c r="C3314" s="384" t="s">
        <v>83</v>
      </c>
      <c r="D3314" s="385" t="s">
        <v>14036</v>
      </c>
    </row>
    <row r="3315" spans="1:4" x14ac:dyDescent="0.25">
      <c r="A3315" s="384" t="s">
        <v>14037</v>
      </c>
      <c r="B3315" s="384" t="s">
        <v>14038</v>
      </c>
      <c r="C3315" s="384" t="s">
        <v>83</v>
      </c>
      <c r="D3315" s="385" t="s">
        <v>14039</v>
      </c>
    </row>
    <row r="3316" spans="1:4" x14ac:dyDescent="0.25">
      <c r="A3316" s="384" t="s">
        <v>14040</v>
      </c>
      <c r="B3316" s="384" t="s">
        <v>14041</v>
      </c>
      <c r="C3316" s="384" t="s">
        <v>83</v>
      </c>
      <c r="D3316" s="385" t="s">
        <v>14042</v>
      </c>
    </row>
    <row r="3317" spans="1:4" x14ac:dyDescent="0.25">
      <c r="A3317" s="384" t="s">
        <v>14043</v>
      </c>
      <c r="B3317" s="384" t="s">
        <v>14044</v>
      </c>
      <c r="C3317" s="384" t="s">
        <v>83</v>
      </c>
      <c r="D3317" s="385" t="s">
        <v>14045</v>
      </c>
    </row>
    <row r="3318" spans="1:4" x14ac:dyDescent="0.25">
      <c r="A3318" s="384" t="s">
        <v>14046</v>
      </c>
      <c r="B3318" s="384" t="s">
        <v>14047</v>
      </c>
      <c r="C3318" s="384" t="s">
        <v>83</v>
      </c>
      <c r="D3318" s="385" t="s">
        <v>14048</v>
      </c>
    </row>
    <row r="3319" spans="1:4" x14ac:dyDescent="0.25">
      <c r="A3319" s="384" t="s">
        <v>14049</v>
      </c>
      <c r="B3319" s="384" t="s">
        <v>14050</v>
      </c>
      <c r="C3319" s="384" t="s">
        <v>83</v>
      </c>
      <c r="D3319" s="385" t="s">
        <v>14051</v>
      </c>
    </row>
    <row r="3320" spans="1:4" x14ac:dyDescent="0.25">
      <c r="A3320" s="384" t="s">
        <v>14052</v>
      </c>
      <c r="B3320" s="384" t="s">
        <v>14053</v>
      </c>
      <c r="C3320" s="384" t="s">
        <v>83</v>
      </c>
      <c r="D3320" s="385" t="s">
        <v>14054</v>
      </c>
    </row>
    <row r="3321" spans="1:4" x14ac:dyDescent="0.25">
      <c r="A3321" s="384" t="s">
        <v>14055</v>
      </c>
      <c r="B3321" s="384" t="s">
        <v>14056</v>
      </c>
      <c r="C3321" s="384" t="s">
        <v>83</v>
      </c>
      <c r="D3321" s="385" t="s">
        <v>14057</v>
      </c>
    </row>
    <row r="3322" spans="1:4" x14ac:dyDescent="0.25">
      <c r="A3322" s="384" t="s">
        <v>14058</v>
      </c>
      <c r="B3322" s="384" t="s">
        <v>14059</v>
      </c>
      <c r="C3322" s="384" t="s">
        <v>83</v>
      </c>
      <c r="D3322" s="385" t="s">
        <v>14060</v>
      </c>
    </row>
    <row r="3323" spans="1:4" x14ac:dyDescent="0.25">
      <c r="A3323" s="384" t="s">
        <v>14061</v>
      </c>
      <c r="B3323" s="384" t="s">
        <v>14062</v>
      </c>
      <c r="C3323" s="384" t="s">
        <v>83</v>
      </c>
      <c r="D3323" s="385" t="s">
        <v>14063</v>
      </c>
    </row>
    <row r="3324" spans="1:4" x14ac:dyDescent="0.25">
      <c r="A3324" s="384" t="s">
        <v>14064</v>
      </c>
      <c r="B3324" s="384" t="s">
        <v>14065</v>
      </c>
      <c r="C3324" s="384" t="s">
        <v>83</v>
      </c>
      <c r="D3324" s="385" t="s">
        <v>14066</v>
      </c>
    </row>
    <row r="3325" spans="1:4" x14ac:dyDescent="0.25">
      <c r="A3325" s="384" t="s">
        <v>14067</v>
      </c>
      <c r="B3325" s="384" t="s">
        <v>14068</v>
      </c>
      <c r="C3325" s="384" t="s">
        <v>83</v>
      </c>
      <c r="D3325" s="385" t="s">
        <v>14069</v>
      </c>
    </row>
    <row r="3326" spans="1:4" x14ac:dyDescent="0.25">
      <c r="A3326" s="384" t="s">
        <v>14070</v>
      </c>
      <c r="B3326" s="384" t="s">
        <v>14071</v>
      </c>
      <c r="C3326" s="384" t="s">
        <v>83</v>
      </c>
      <c r="D3326" s="385" t="s">
        <v>14072</v>
      </c>
    </row>
    <row r="3327" spans="1:4" x14ac:dyDescent="0.25">
      <c r="A3327" s="384" t="s">
        <v>14073</v>
      </c>
      <c r="B3327" s="384" t="s">
        <v>14074</v>
      </c>
      <c r="C3327" s="384" t="s">
        <v>83</v>
      </c>
      <c r="D3327" s="385" t="s">
        <v>14075</v>
      </c>
    </row>
    <row r="3328" spans="1:4" x14ac:dyDescent="0.25">
      <c r="A3328" s="384" t="s">
        <v>14076</v>
      </c>
      <c r="B3328" s="384" t="s">
        <v>14077</v>
      </c>
      <c r="C3328" s="384" t="s">
        <v>83</v>
      </c>
      <c r="D3328" s="385" t="s">
        <v>14078</v>
      </c>
    </row>
    <row r="3329" spans="1:4" x14ac:dyDescent="0.25">
      <c r="A3329" s="384" t="s">
        <v>14079</v>
      </c>
      <c r="B3329" s="384" t="s">
        <v>14080</v>
      </c>
      <c r="C3329" s="384" t="s">
        <v>83</v>
      </c>
      <c r="D3329" s="385" t="s">
        <v>14081</v>
      </c>
    </row>
    <row r="3330" spans="1:4" x14ac:dyDescent="0.25">
      <c r="A3330" s="384" t="s">
        <v>14082</v>
      </c>
      <c r="B3330" s="384" t="s">
        <v>14083</v>
      </c>
      <c r="C3330" s="384" t="s">
        <v>83</v>
      </c>
      <c r="D3330" s="385" t="s">
        <v>14084</v>
      </c>
    </row>
    <row r="3331" spans="1:4" x14ac:dyDescent="0.25">
      <c r="A3331" s="384" t="s">
        <v>14085</v>
      </c>
      <c r="B3331" s="384" t="s">
        <v>14086</v>
      </c>
      <c r="C3331" s="384" t="s">
        <v>83</v>
      </c>
      <c r="D3331" s="385" t="s">
        <v>14087</v>
      </c>
    </row>
    <row r="3332" spans="1:4" x14ac:dyDescent="0.25">
      <c r="A3332" s="384" t="s">
        <v>14088</v>
      </c>
      <c r="B3332" s="384" t="s">
        <v>14089</v>
      </c>
      <c r="C3332" s="384" t="s">
        <v>83</v>
      </c>
      <c r="D3332" s="385" t="s">
        <v>14090</v>
      </c>
    </row>
    <row r="3333" spans="1:4" x14ac:dyDescent="0.25">
      <c r="A3333" s="384" t="s">
        <v>14091</v>
      </c>
      <c r="B3333" s="384" t="s">
        <v>14092</v>
      </c>
      <c r="C3333" s="384" t="s">
        <v>83</v>
      </c>
      <c r="D3333" s="385" t="s">
        <v>14093</v>
      </c>
    </row>
    <row r="3334" spans="1:4" x14ac:dyDescent="0.25">
      <c r="A3334" s="384" t="s">
        <v>14094</v>
      </c>
      <c r="B3334" s="384" t="s">
        <v>14095</v>
      </c>
      <c r="C3334" s="384" t="s">
        <v>83</v>
      </c>
      <c r="D3334" s="385" t="s">
        <v>14096</v>
      </c>
    </row>
    <row r="3335" spans="1:4" x14ac:dyDescent="0.25">
      <c r="A3335" s="384" t="s">
        <v>14097</v>
      </c>
      <c r="B3335" s="384" t="s">
        <v>14098</v>
      </c>
      <c r="C3335" s="384" t="s">
        <v>83</v>
      </c>
      <c r="D3335" s="385" t="s">
        <v>14099</v>
      </c>
    </row>
    <row r="3336" spans="1:4" x14ac:dyDescent="0.25">
      <c r="A3336" s="384" t="s">
        <v>14100</v>
      </c>
      <c r="B3336" s="384" t="s">
        <v>14101</v>
      </c>
      <c r="C3336" s="384" t="s">
        <v>83</v>
      </c>
      <c r="D3336" s="385" t="s">
        <v>14102</v>
      </c>
    </row>
    <row r="3337" spans="1:4" x14ac:dyDescent="0.25">
      <c r="A3337" s="384" t="s">
        <v>14103</v>
      </c>
      <c r="B3337" s="384" t="s">
        <v>14104</v>
      </c>
      <c r="C3337" s="384" t="s">
        <v>83</v>
      </c>
      <c r="D3337" s="385" t="s">
        <v>14105</v>
      </c>
    </row>
    <row r="3338" spans="1:4" x14ac:dyDescent="0.25">
      <c r="A3338" s="384" t="s">
        <v>14106</v>
      </c>
      <c r="B3338" s="384" t="s">
        <v>14107</v>
      </c>
      <c r="C3338" s="384" t="s">
        <v>82</v>
      </c>
      <c r="D3338" s="385" t="s">
        <v>14108</v>
      </c>
    </row>
    <row r="3339" spans="1:4" x14ac:dyDescent="0.25">
      <c r="A3339" s="384" t="s">
        <v>14109</v>
      </c>
      <c r="B3339" s="384" t="s">
        <v>14110</v>
      </c>
      <c r="C3339" s="384" t="s">
        <v>82</v>
      </c>
      <c r="D3339" s="385" t="s">
        <v>14111</v>
      </c>
    </row>
    <row r="3340" spans="1:4" x14ac:dyDescent="0.25">
      <c r="A3340" s="384" t="s">
        <v>14112</v>
      </c>
      <c r="B3340" s="384" t="s">
        <v>14113</v>
      </c>
      <c r="C3340" s="384" t="s">
        <v>82</v>
      </c>
      <c r="D3340" s="385" t="s">
        <v>14114</v>
      </c>
    </row>
    <row r="3341" spans="1:4" x14ac:dyDescent="0.25">
      <c r="A3341" s="384" t="s">
        <v>14115</v>
      </c>
      <c r="B3341" s="384" t="s">
        <v>14116</v>
      </c>
      <c r="C3341" s="384" t="s">
        <v>82</v>
      </c>
      <c r="D3341" s="385" t="s">
        <v>14117</v>
      </c>
    </row>
    <row r="3342" spans="1:4" x14ac:dyDescent="0.25">
      <c r="A3342" s="384" t="s">
        <v>14118</v>
      </c>
      <c r="B3342" s="384" t="s">
        <v>14119</v>
      </c>
      <c r="C3342" s="384" t="s">
        <v>83</v>
      </c>
      <c r="D3342" s="385" t="s">
        <v>14120</v>
      </c>
    </row>
    <row r="3343" spans="1:4" x14ac:dyDescent="0.25">
      <c r="A3343" s="384" t="s">
        <v>14121</v>
      </c>
      <c r="B3343" s="384" t="s">
        <v>14122</v>
      </c>
      <c r="C3343" s="384" t="s">
        <v>83</v>
      </c>
      <c r="D3343" s="385" t="s">
        <v>14123</v>
      </c>
    </row>
    <row r="3344" spans="1:4" x14ac:dyDescent="0.25">
      <c r="A3344" s="384" t="s">
        <v>14124</v>
      </c>
      <c r="B3344" s="384" t="s">
        <v>14125</v>
      </c>
      <c r="C3344" s="384" t="s">
        <v>82</v>
      </c>
      <c r="D3344" s="385" t="s">
        <v>6976</v>
      </c>
    </row>
    <row r="3345" spans="1:4" x14ac:dyDescent="0.25">
      <c r="A3345" s="384" t="s">
        <v>14126</v>
      </c>
      <c r="B3345" s="384" t="s">
        <v>14127</v>
      </c>
      <c r="C3345" s="384" t="s">
        <v>82</v>
      </c>
      <c r="D3345" s="385" t="s">
        <v>6958</v>
      </c>
    </row>
    <row r="3346" spans="1:4" x14ac:dyDescent="0.25">
      <c r="A3346" s="384" t="s">
        <v>14128</v>
      </c>
      <c r="B3346" s="384" t="s">
        <v>14129</v>
      </c>
      <c r="C3346" s="384" t="s">
        <v>82</v>
      </c>
      <c r="D3346" s="385" t="s">
        <v>14130</v>
      </c>
    </row>
    <row r="3347" spans="1:4" x14ac:dyDescent="0.25">
      <c r="A3347" s="384" t="s">
        <v>14131</v>
      </c>
      <c r="B3347" s="384" t="s">
        <v>14132</v>
      </c>
      <c r="C3347" s="384" t="s">
        <v>82</v>
      </c>
      <c r="D3347" s="385" t="s">
        <v>14133</v>
      </c>
    </row>
    <row r="3348" spans="1:4" x14ac:dyDescent="0.25">
      <c r="A3348" s="384" t="s">
        <v>14134</v>
      </c>
      <c r="B3348" s="384" t="s">
        <v>14135</v>
      </c>
      <c r="C3348" s="384" t="s">
        <v>83</v>
      </c>
      <c r="D3348" s="385" t="s">
        <v>14136</v>
      </c>
    </row>
    <row r="3349" spans="1:4" x14ac:dyDescent="0.25">
      <c r="A3349" s="384" t="s">
        <v>14137</v>
      </c>
      <c r="B3349" s="384" t="s">
        <v>14138</v>
      </c>
      <c r="C3349" s="384" t="s">
        <v>83</v>
      </c>
      <c r="D3349" s="385" t="s">
        <v>14139</v>
      </c>
    </row>
    <row r="3350" spans="1:4" x14ac:dyDescent="0.25">
      <c r="A3350" s="384" t="s">
        <v>14140</v>
      </c>
      <c r="B3350" s="384" t="s">
        <v>14141</v>
      </c>
      <c r="C3350" s="384" t="s">
        <v>83</v>
      </c>
      <c r="D3350" s="385" t="s">
        <v>14142</v>
      </c>
    </row>
    <row r="3351" spans="1:4" x14ac:dyDescent="0.25">
      <c r="A3351" s="384" t="s">
        <v>14143</v>
      </c>
      <c r="B3351" s="384" t="s">
        <v>14144</v>
      </c>
      <c r="C3351" s="384" t="s">
        <v>83</v>
      </c>
      <c r="D3351" s="385" t="s">
        <v>14145</v>
      </c>
    </row>
    <row r="3352" spans="1:4" x14ac:dyDescent="0.25">
      <c r="A3352" s="384" t="s">
        <v>14146</v>
      </c>
      <c r="B3352" s="384" t="s">
        <v>14147</v>
      </c>
      <c r="C3352" s="384" t="s">
        <v>83</v>
      </c>
      <c r="D3352" s="385" t="s">
        <v>10157</v>
      </c>
    </row>
    <row r="3353" spans="1:4" x14ac:dyDescent="0.25">
      <c r="A3353" s="384" t="s">
        <v>14148</v>
      </c>
      <c r="B3353" s="384" t="s">
        <v>14149</v>
      </c>
      <c r="C3353" s="384" t="s">
        <v>83</v>
      </c>
      <c r="D3353" s="385" t="s">
        <v>14150</v>
      </c>
    </row>
    <row r="3354" spans="1:4" x14ac:dyDescent="0.25">
      <c r="A3354" s="384" t="s">
        <v>14151</v>
      </c>
      <c r="B3354" s="384" t="s">
        <v>14152</v>
      </c>
      <c r="C3354" s="384" t="s">
        <v>82</v>
      </c>
      <c r="D3354" s="385" t="s">
        <v>14153</v>
      </c>
    </row>
    <row r="3355" spans="1:4" x14ac:dyDescent="0.25">
      <c r="A3355" s="384" t="s">
        <v>14154</v>
      </c>
      <c r="B3355" s="384" t="s">
        <v>14155</v>
      </c>
      <c r="C3355" s="384" t="s">
        <v>82</v>
      </c>
      <c r="D3355" s="385" t="s">
        <v>14156</v>
      </c>
    </row>
    <row r="3356" spans="1:4" x14ac:dyDescent="0.25">
      <c r="A3356" s="384" t="s">
        <v>14157</v>
      </c>
      <c r="B3356" s="384" t="s">
        <v>14158</v>
      </c>
      <c r="C3356" s="384" t="s">
        <v>82</v>
      </c>
      <c r="D3356" s="385" t="s">
        <v>14159</v>
      </c>
    </row>
    <row r="3357" spans="1:4" x14ac:dyDescent="0.25">
      <c r="A3357" s="384" t="s">
        <v>14160</v>
      </c>
      <c r="B3357" s="384" t="s">
        <v>14161</v>
      </c>
      <c r="C3357" s="384" t="s">
        <v>82</v>
      </c>
      <c r="D3357" s="385" t="s">
        <v>14162</v>
      </c>
    </row>
    <row r="3358" spans="1:4" x14ac:dyDescent="0.25">
      <c r="A3358" s="384" t="s">
        <v>14163</v>
      </c>
      <c r="B3358" s="384" t="s">
        <v>14164</v>
      </c>
      <c r="C3358" s="384" t="s">
        <v>82</v>
      </c>
      <c r="D3358" s="385" t="s">
        <v>14165</v>
      </c>
    </row>
    <row r="3359" spans="1:4" x14ac:dyDescent="0.25">
      <c r="A3359" s="384" t="s">
        <v>14166</v>
      </c>
      <c r="B3359" s="384" t="s">
        <v>14167</v>
      </c>
      <c r="C3359" s="384" t="s">
        <v>82</v>
      </c>
      <c r="D3359" s="385" t="s">
        <v>14168</v>
      </c>
    </row>
    <row r="3360" spans="1:4" x14ac:dyDescent="0.25">
      <c r="A3360" s="384" t="s">
        <v>14169</v>
      </c>
      <c r="B3360" s="384" t="s">
        <v>14170</v>
      </c>
      <c r="C3360" s="384" t="s">
        <v>82</v>
      </c>
      <c r="D3360" s="385" t="s">
        <v>5498</v>
      </c>
    </row>
    <row r="3361" spans="1:4" x14ac:dyDescent="0.25">
      <c r="A3361" s="384" t="s">
        <v>14171</v>
      </c>
      <c r="B3361" s="384" t="s">
        <v>14172</v>
      </c>
      <c r="C3361" s="384" t="s">
        <v>82</v>
      </c>
      <c r="D3361" s="385" t="s">
        <v>14173</v>
      </c>
    </row>
    <row r="3362" spans="1:4" x14ac:dyDescent="0.25">
      <c r="A3362" s="384" t="s">
        <v>14174</v>
      </c>
      <c r="B3362" s="384" t="s">
        <v>14175</v>
      </c>
      <c r="C3362" s="384" t="s">
        <v>82</v>
      </c>
      <c r="D3362" s="385" t="s">
        <v>14176</v>
      </c>
    </row>
    <row r="3363" spans="1:4" x14ac:dyDescent="0.25">
      <c r="A3363" s="384" t="s">
        <v>14177</v>
      </c>
      <c r="B3363" s="384" t="s">
        <v>14178</v>
      </c>
      <c r="C3363" s="384" t="s">
        <v>82</v>
      </c>
      <c r="D3363" s="385" t="s">
        <v>14179</v>
      </c>
    </row>
    <row r="3364" spans="1:4" x14ac:dyDescent="0.25">
      <c r="A3364" s="384" t="s">
        <v>14180</v>
      </c>
      <c r="B3364" s="384" t="s">
        <v>14181</v>
      </c>
      <c r="C3364" s="384" t="s">
        <v>82</v>
      </c>
      <c r="D3364" s="385" t="s">
        <v>14182</v>
      </c>
    </row>
    <row r="3365" spans="1:4" x14ac:dyDescent="0.25">
      <c r="A3365" s="384" t="s">
        <v>14183</v>
      </c>
      <c r="B3365" s="384" t="s">
        <v>14184</v>
      </c>
      <c r="C3365" s="384" t="s">
        <v>82</v>
      </c>
      <c r="D3365" s="385" t="s">
        <v>14185</v>
      </c>
    </row>
    <row r="3366" spans="1:4" x14ac:dyDescent="0.25">
      <c r="A3366" s="384" t="s">
        <v>14186</v>
      </c>
      <c r="B3366" s="384" t="s">
        <v>14187</v>
      </c>
      <c r="C3366" s="384" t="s">
        <v>82</v>
      </c>
      <c r="D3366" s="385" t="s">
        <v>14188</v>
      </c>
    </row>
    <row r="3367" spans="1:4" x14ac:dyDescent="0.25">
      <c r="A3367" s="384" t="s">
        <v>14189</v>
      </c>
      <c r="B3367" s="384" t="s">
        <v>14190</v>
      </c>
      <c r="C3367" s="384" t="s">
        <v>82</v>
      </c>
      <c r="D3367" s="385" t="s">
        <v>10513</v>
      </c>
    </row>
    <row r="3368" spans="1:4" x14ac:dyDescent="0.25">
      <c r="A3368" s="384" t="s">
        <v>14191</v>
      </c>
      <c r="B3368" s="384" t="s">
        <v>14192</v>
      </c>
      <c r="C3368" s="384" t="s">
        <v>82</v>
      </c>
      <c r="D3368" s="385" t="s">
        <v>8722</v>
      </c>
    </row>
    <row r="3369" spans="1:4" x14ac:dyDescent="0.25">
      <c r="A3369" s="384" t="s">
        <v>14193</v>
      </c>
      <c r="B3369" s="384" t="s">
        <v>14194</v>
      </c>
      <c r="C3369" s="384" t="s">
        <v>82</v>
      </c>
      <c r="D3369" s="385" t="s">
        <v>14195</v>
      </c>
    </row>
    <row r="3370" spans="1:4" x14ac:dyDescent="0.25">
      <c r="A3370" s="384" t="s">
        <v>14196</v>
      </c>
      <c r="B3370" s="384" t="s">
        <v>14197</v>
      </c>
      <c r="C3370" s="384" t="s">
        <v>82</v>
      </c>
      <c r="D3370" s="385" t="s">
        <v>5865</v>
      </c>
    </row>
    <row r="3371" spans="1:4" x14ac:dyDescent="0.25">
      <c r="A3371" s="384" t="s">
        <v>14198</v>
      </c>
      <c r="B3371" s="384" t="s">
        <v>14199</v>
      </c>
      <c r="C3371" s="384" t="s">
        <v>82</v>
      </c>
      <c r="D3371" s="385" t="s">
        <v>14200</v>
      </c>
    </row>
    <row r="3372" spans="1:4" x14ac:dyDescent="0.25">
      <c r="A3372" s="384" t="s">
        <v>14201</v>
      </c>
      <c r="B3372" s="384" t="s">
        <v>14202</v>
      </c>
      <c r="C3372" s="384" t="s">
        <v>82</v>
      </c>
      <c r="D3372" s="385" t="s">
        <v>14203</v>
      </c>
    </row>
    <row r="3373" spans="1:4" x14ac:dyDescent="0.25">
      <c r="A3373" s="384" t="s">
        <v>14204</v>
      </c>
      <c r="B3373" s="384" t="s">
        <v>14205</v>
      </c>
      <c r="C3373" s="384" t="s">
        <v>82</v>
      </c>
      <c r="D3373" s="385" t="s">
        <v>14206</v>
      </c>
    </row>
    <row r="3374" spans="1:4" x14ac:dyDescent="0.25">
      <c r="A3374" s="384" t="s">
        <v>14207</v>
      </c>
      <c r="B3374" s="384" t="s">
        <v>14208</v>
      </c>
      <c r="C3374" s="384" t="s">
        <v>82</v>
      </c>
      <c r="D3374" s="385" t="s">
        <v>14209</v>
      </c>
    </row>
    <row r="3375" spans="1:4" x14ac:dyDescent="0.25">
      <c r="A3375" s="384" t="s">
        <v>14210</v>
      </c>
      <c r="B3375" s="384" t="s">
        <v>14211</v>
      </c>
      <c r="C3375" s="384" t="s">
        <v>82</v>
      </c>
      <c r="D3375" s="385" t="s">
        <v>14212</v>
      </c>
    </row>
    <row r="3376" spans="1:4" x14ac:dyDescent="0.25">
      <c r="A3376" s="384" t="s">
        <v>14213</v>
      </c>
      <c r="B3376" s="384" t="s">
        <v>14214</v>
      </c>
      <c r="C3376" s="384" t="s">
        <v>82</v>
      </c>
      <c r="D3376" s="385" t="s">
        <v>14215</v>
      </c>
    </row>
    <row r="3377" spans="1:4" x14ac:dyDescent="0.25">
      <c r="A3377" s="384" t="s">
        <v>14216</v>
      </c>
      <c r="B3377" s="384" t="s">
        <v>14217</v>
      </c>
      <c r="C3377" s="384" t="s">
        <v>82</v>
      </c>
      <c r="D3377" s="385" t="s">
        <v>14218</v>
      </c>
    </row>
    <row r="3378" spans="1:4" x14ac:dyDescent="0.25">
      <c r="A3378" s="384" t="s">
        <v>14219</v>
      </c>
      <c r="B3378" s="384" t="s">
        <v>14220</v>
      </c>
      <c r="C3378" s="384" t="s">
        <v>82</v>
      </c>
      <c r="D3378" s="385" t="s">
        <v>14221</v>
      </c>
    </row>
    <row r="3379" spans="1:4" x14ac:dyDescent="0.25">
      <c r="A3379" s="384" t="s">
        <v>14222</v>
      </c>
      <c r="B3379" s="384" t="s">
        <v>14223</v>
      </c>
      <c r="C3379" s="384" t="s">
        <v>82</v>
      </c>
      <c r="D3379" s="385" t="s">
        <v>14224</v>
      </c>
    </row>
    <row r="3380" spans="1:4" x14ac:dyDescent="0.25">
      <c r="A3380" s="384" t="s">
        <v>14225</v>
      </c>
      <c r="B3380" s="384" t="s">
        <v>14226</v>
      </c>
      <c r="C3380" s="384" t="s">
        <v>82</v>
      </c>
      <c r="D3380" s="385" t="s">
        <v>14227</v>
      </c>
    </row>
    <row r="3381" spans="1:4" x14ac:dyDescent="0.25">
      <c r="A3381" s="384" t="s">
        <v>14228</v>
      </c>
      <c r="B3381" s="384" t="s">
        <v>14229</v>
      </c>
      <c r="C3381" s="384" t="s">
        <v>82</v>
      </c>
      <c r="D3381" s="385" t="s">
        <v>14230</v>
      </c>
    </row>
    <row r="3382" spans="1:4" x14ac:dyDescent="0.25">
      <c r="A3382" s="384" t="s">
        <v>14231</v>
      </c>
      <c r="B3382" s="384" t="s">
        <v>14232</v>
      </c>
      <c r="C3382" s="384" t="s">
        <v>82</v>
      </c>
      <c r="D3382" s="385" t="s">
        <v>14233</v>
      </c>
    </row>
    <row r="3383" spans="1:4" x14ac:dyDescent="0.25">
      <c r="A3383" s="384" t="s">
        <v>14234</v>
      </c>
      <c r="B3383" s="384" t="s">
        <v>14235</v>
      </c>
      <c r="C3383" s="384" t="s">
        <v>82</v>
      </c>
      <c r="D3383" s="385" t="s">
        <v>14236</v>
      </c>
    </row>
    <row r="3384" spans="1:4" x14ac:dyDescent="0.25">
      <c r="A3384" s="384" t="s">
        <v>14237</v>
      </c>
      <c r="B3384" s="384" t="s">
        <v>14238</v>
      </c>
      <c r="C3384" s="384" t="s">
        <v>82</v>
      </c>
      <c r="D3384" s="385" t="s">
        <v>14239</v>
      </c>
    </row>
    <row r="3385" spans="1:4" x14ac:dyDescent="0.25">
      <c r="A3385" s="384" t="s">
        <v>14240</v>
      </c>
      <c r="B3385" s="384" t="s">
        <v>14241</v>
      </c>
      <c r="C3385" s="384" t="s">
        <v>82</v>
      </c>
      <c r="D3385" s="385" t="s">
        <v>10637</v>
      </c>
    </row>
    <row r="3386" spans="1:4" x14ac:dyDescent="0.25">
      <c r="A3386" s="384" t="s">
        <v>14242</v>
      </c>
      <c r="B3386" s="384" t="s">
        <v>14243</v>
      </c>
      <c r="C3386" s="384" t="s">
        <v>82</v>
      </c>
      <c r="D3386" s="385" t="s">
        <v>14244</v>
      </c>
    </row>
    <row r="3387" spans="1:4" x14ac:dyDescent="0.25">
      <c r="A3387" s="384" t="s">
        <v>14245</v>
      </c>
      <c r="B3387" s="384" t="s">
        <v>14246</v>
      </c>
      <c r="C3387" s="384" t="s">
        <v>82</v>
      </c>
      <c r="D3387" s="385" t="s">
        <v>14247</v>
      </c>
    </row>
    <row r="3388" spans="1:4" x14ac:dyDescent="0.25">
      <c r="A3388" s="384" t="s">
        <v>14248</v>
      </c>
      <c r="B3388" s="384" t="s">
        <v>14249</v>
      </c>
      <c r="C3388" s="384" t="s">
        <v>82</v>
      </c>
      <c r="D3388" s="385" t="s">
        <v>14250</v>
      </c>
    </row>
    <row r="3389" spans="1:4" x14ac:dyDescent="0.25">
      <c r="A3389" s="384" t="s">
        <v>14251</v>
      </c>
      <c r="B3389" s="384" t="s">
        <v>14252</v>
      </c>
      <c r="C3389" s="384" t="s">
        <v>82</v>
      </c>
      <c r="D3389" s="385" t="s">
        <v>14253</v>
      </c>
    </row>
    <row r="3390" spans="1:4" x14ac:dyDescent="0.25">
      <c r="A3390" s="384" t="s">
        <v>14254</v>
      </c>
      <c r="B3390" s="384" t="s">
        <v>14255</v>
      </c>
      <c r="C3390" s="384" t="s">
        <v>82</v>
      </c>
      <c r="D3390" s="385" t="s">
        <v>14256</v>
      </c>
    </row>
    <row r="3391" spans="1:4" x14ac:dyDescent="0.25">
      <c r="A3391" s="384" t="s">
        <v>14257</v>
      </c>
      <c r="B3391" s="384" t="s">
        <v>14258</v>
      </c>
      <c r="C3391" s="384" t="s">
        <v>82</v>
      </c>
      <c r="D3391" s="385" t="s">
        <v>14259</v>
      </c>
    </row>
    <row r="3392" spans="1:4" x14ac:dyDescent="0.25">
      <c r="A3392" s="384" t="s">
        <v>14260</v>
      </c>
      <c r="B3392" s="384" t="s">
        <v>14261</v>
      </c>
      <c r="C3392" s="384" t="s">
        <v>82</v>
      </c>
      <c r="D3392" s="385" t="s">
        <v>14262</v>
      </c>
    </row>
    <row r="3393" spans="1:4" x14ac:dyDescent="0.25">
      <c r="A3393" s="384" t="s">
        <v>14263</v>
      </c>
      <c r="B3393" s="384" t="s">
        <v>14264</v>
      </c>
      <c r="C3393" s="384" t="s">
        <v>82</v>
      </c>
      <c r="D3393" s="385" t="s">
        <v>8443</v>
      </c>
    </row>
    <row r="3394" spans="1:4" x14ac:dyDescent="0.25">
      <c r="A3394" s="384" t="s">
        <v>14265</v>
      </c>
      <c r="B3394" s="384" t="s">
        <v>14266</v>
      </c>
      <c r="C3394" s="384" t="s">
        <v>82</v>
      </c>
      <c r="D3394" s="385" t="s">
        <v>14267</v>
      </c>
    </row>
    <row r="3395" spans="1:4" x14ac:dyDescent="0.25">
      <c r="A3395" s="384" t="s">
        <v>14268</v>
      </c>
      <c r="B3395" s="384" t="s">
        <v>14269</v>
      </c>
      <c r="C3395" s="384" t="s">
        <v>82</v>
      </c>
      <c r="D3395" s="385" t="s">
        <v>14270</v>
      </c>
    </row>
    <row r="3396" spans="1:4" x14ac:dyDescent="0.25">
      <c r="A3396" s="384" t="s">
        <v>14271</v>
      </c>
      <c r="B3396" s="384" t="s">
        <v>14272</v>
      </c>
      <c r="C3396" s="384" t="s">
        <v>82</v>
      </c>
      <c r="D3396" s="385" t="s">
        <v>14273</v>
      </c>
    </row>
    <row r="3397" spans="1:4" x14ac:dyDescent="0.25">
      <c r="A3397" s="384" t="s">
        <v>14274</v>
      </c>
      <c r="B3397" s="384" t="s">
        <v>14275</v>
      </c>
      <c r="C3397" s="384" t="s">
        <v>82</v>
      </c>
      <c r="D3397" s="385" t="s">
        <v>10792</v>
      </c>
    </row>
    <row r="3398" spans="1:4" x14ac:dyDescent="0.25">
      <c r="A3398" s="384" t="s">
        <v>14276</v>
      </c>
      <c r="B3398" s="384" t="s">
        <v>14277</v>
      </c>
      <c r="C3398" s="384" t="s">
        <v>82</v>
      </c>
      <c r="D3398" s="385" t="s">
        <v>14278</v>
      </c>
    </row>
    <row r="3399" spans="1:4" x14ac:dyDescent="0.25">
      <c r="A3399" s="384" t="s">
        <v>14279</v>
      </c>
      <c r="B3399" s="384" t="s">
        <v>14280</v>
      </c>
      <c r="C3399" s="384" t="s">
        <v>82</v>
      </c>
      <c r="D3399" s="385" t="s">
        <v>14281</v>
      </c>
    </row>
    <row r="3400" spans="1:4" x14ac:dyDescent="0.25">
      <c r="A3400" s="384" t="s">
        <v>14282</v>
      </c>
      <c r="B3400" s="384" t="s">
        <v>14283</v>
      </c>
      <c r="C3400" s="384" t="s">
        <v>82</v>
      </c>
      <c r="D3400" s="385" t="s">
        <v>14284</v>
      </c>
    </row>
    <row r="3401" spans="1:4" x14ac:dyDescent="0.25">
      <c r="A3401" s="384" t="s">
        <v>14285</v>
      </c>
      <c r="B3401" s="384" t="s">
        <v>14286</v>
      </c>
      <c r="C3401" s="384" t="s">
        <v>82</v>
      </c>
      <c r="D3401" s="385" t="s">
        <v>14287</v>
      </c>
    </row>
    <row r="3402" spans="1:4" x14ac:dyDescent="0.25">
      <c r="A3402" s="384" t="s">
        <v>14288</v>
      </c>
      <c r="B3402" s="384" t="s">
        <v>14289</v>
      </c>
      <c r="C3402" s="384" t="s">
        <v>82</v>
      </c>
      <c r="D3402" s="385" t="s">
        <v>14290</v>
      </c>
    </row>
    <row r="3403" spans="1:4" x14ac:dyDescent="0.25">
      <c r="A3403" s="384" t="s">
        <v>14291</v>
      </c>
      <c r="B3403" s="384" t="s">
        <v>14292</v>
      </c>
      <c r="C3403" s="384" t="s">
        <v>82</v>
      </c>
      <c r="D3403" s="385" t="s">
        <v>14293</v>
      </c>
    </row>
    <row r="3404" spans="1:4" x14ac:dyDescent="0.25">
      <c r="A3404" s="384" t="s">
        <v>14294</v>
      </c>
      <c r="B3404" s="384" t="s">
        <v>14295</v>
      </c>
      <c r="C3404" s="384" t="s">
        <v>82</v>
      </c>
      <c r="D3404" s="385" t="s">
        <v>14296</v>
      </c>
    </row>
    <row r="3405" spans="1:4" x14ac:dyDescent="0.25">
      <c r="A3405" s="384" t="s">
        <v>14297</v>
      </c>
      <c r="B3405" s="384" t="s">
        <v>14298</v>
      </c>
      <c r="C3405" s="384" t="s">
        <v>82</v>
      </c>
      <c r="D3405" s="385" t="s">
        <v>14299</v>
      </c>
    </row>
    <row r="3406" spans="1:4" x14ac:dyDescent="0.25">
      <c r="A3406" s="384" t="s">
        <v>14300</v>
      </c>
      <c r="B3406" s="384" t="s">
        <v>14301</v>
      </c>
      <c r="C3406" s="384" t="s">
        <v>82</v>
      </c>
      <c r="D3406" s="385" t="s">
        <v>14302</v>
      </c>
    </row>
    <row r="3407" spans="1:4" x14ac:dyDescent="0.25">
      <c r="A3407" s="384" t="s">
        <v>14303</v>
      </c>
      <c r="B3407" s="384" t="s">
        <v>14304</v>
      </c>
      <c r="C3407" s="384" t="s">
        <v>82</v>
      </c>
      <c r="D3407" s="385" t="s">
        <v>14305</v>
      </c>
    </row>
    <row r="3408" spans="1:4" x14ac:dyDescent="0.25">
      <c r="A3408" s="384" t="s">
        <v>14306</v>
      </c>
      <c r="B3408" s="384" t="s">
        <v>14307</v>
      </c>
      <c r="C3408" s="384" t="s">
        <v>82</v>
      </c>
      <c r="D3408" s="385" t="s">
        <v>14308</v>
      </c>
    </row>
    <row r="3409" spans="1:4" x14ac:dyDescent="0.25">
      <c r="A3409" s="384" t="s">
        <v>14309</v>
      </c>
      <c r="B3409" s="384" t="s">
        <v>14310</v>
      </c>
      <c r="C3409" s="384" t="s">
        <v>82</v>
      </c>
      <c r="D3409" s="385" t="s">
        <v>14311</v>
      </c>
    </row>
    <row r="3410" spans="1:4" x14ac:dyDescent="0.25">
      <c r="A3410" s="384" t="s">
        <v>14312</v>
      </c>
      <c r="B3410" s="384" t="s">
        <v>14313</v>
      </c>
      <c r="C3410" s="384" t="s">
        <v>82</v>
      </c>
      <c r="D3410" s="385" t="s">
        <v>14314</v>
      </c>
    </row>
    <row r="3411" spans="1:4" x14ac:dyDescent="0.25">
      <c r="A3411" s="384" t="s">
        <v>14315</v>
      </c>
      <c r="B3411" s="384" t="s">
        <v>14316</v>
      </c>
      <c r="C3411" s="384" t="s">
        <v>82</v>
      </c>
      <c r="D3411" s="385" t="s">
        <v>14317</v>
      </c>
    </row>
    <row r="3412" spans="1:4" x14ac:dyDescent="0.25">
      <c r="A3412" s="384" t="s">
        <v>14318</v>
      </c>
      <c r="B3412" s="384" t="s">
        <v>14319</v>
      </c>
      <c r="C3412" s="384" t="s">
        <v>82</v>
      </c>
      <c r="D3412" s="385" t="s">
        <v>14320</v>
      </c>
    </row>
    <row r="3413" spans="1:4" x14ac:dyDescent="0.25">
      <c r="A3413" s="384" t="s">
        <v>14321</v>
      </c>
      <c r="B3413" s="384" t="s">
        <v>14322</v>
      </c>
      <c r="C3413" s="384" t="s">
        <v>82</v>
      </c>
      <c r="D3413" s="385" t="s">
        <v>14323</v>
      </c>
    </row>
    <row r="3414" spans="1:4" x14ac:dyDescent="0.25">
      <c r="A3414" s="384" t="s">
        <v>14324</v>
      </c>
      <c r="B3414" s="384" t="s">
        <v>14325</v>
      </c>
      <c r="C3414" s="384" t="s">
        <v>82</v>
      </c>
      <c r="D3414" s="385" t="s">
        <v>14326</v>
      </c>
    </row>
    <row r="3415" spans="1:4" x14ac:dyDescent="0.25">
      <c r="A3415" s="384" t="s">
        <v>14327</v>
      </c>
      <c r="B3415" s="384" t="s">
        <v>14328</v>
      </c>
      <c r="C3415" s="384" t="s">
        <v>82</v>
      </c>
      <c r="D3415" s="385" t="s">
        <v>14329</v>
      </c>
    </row>
    <row r="3416" spans="1:4" x14ac:dyDescent="0.25">
      <c r="A3416" s="384" t="s">
        <v>14330</v>
      </c>
      <c r="B3416" s="384" t="s">
        <v>14331</v>
      </c>
      <c r="C3416" s="384" t="s">
        <v>82</v>
      </c>
      <c r="D3416" s="385" t="s">
        <v>14332</v>
      </c>
    </row>
    <row r="3417" spans="1:4" x14ac:dyDescent="0.25">
      <c r="A3417" s="384" t="s">
        <v>14333</v>
      </c>
      <c r="B3417" s="384" t="s">
        <v>14334</v>
      </c>
      <c r="C3417" s="384" t="s">
        <v>82</v>
      </c>
      <c r="D3417" s="385" t="s">
        <v>14335</v>
      </c>
    </row>
    <row r="3418" spans="1:4" x14ac:dyDescent="0.25">
      <c r="A3418" s="384" t="s">
        <v>14336</v>
      </c>
      <c r="B3418" s="384" t="s">
        <v>14337</v>
      </c>
      <c r="C3418" s="384" t="s">
        <v>82</v>
      </c>
      <c r="D3418" s="385" t="s">
        <v>14338</v>
      </c>
    </row>
    <row r="3419" spans="1:4" x14ac:dyDescent="0.25">
      <c r="A3419" s="384" t="s">
        <v>14339</v>
      </c>
      <c r="B3419" s="384" t="s">
        <v>14340</v>
      </c>
      <c r="C3419" s="384" t="s">
        <v>82</v>
      </c>
      <c r="D3419" s="385" t="s">
        <v>7170</v>
      </c>
    </row>
    <row r="3420" spans="1:4" x14ac:dyDescent="0.25">
      <c r="A3420" s="384" t="s">
        <v>14341</v>
      </c>
      <c r="B3420" s="384" t="s">
        <v>14342</v>
      </c>
      <c r="C3420" s="384" t="s">
        <v>82</v>
      </c>
      <c r="D3420" s="385" t="s">
        <v>14343</v>
      </c>
    </row>
    <row r="3421" spans="1:4" x14ac:dyDescent="0.25">
      <c r="A3421" s="384" t="s">
        <v>14344</v>
      </c>
      <c r="B3421" s="384" t="s">
        <v>14345</v>
      </c>
      <c r="C3421" s="384" t="s">
        <v>82</v>
      </c>
      <c r="D3421" s="385" t="s">
        <v>14346</v>
      </c>
    </row>
    <row r="3422" spans="1:4" x14ac:dyDescent="0.25">
      <c r="A3422" s="384" t="s">
        <v>14347</v>
      </c>
      <c r="B3422" s="384" t="s">
        <v>14348</v>
      </c>
      <c r="C3422" s="384" t="s">
        <v>82</v>
      </c>
      <c r="D3422" s="385" t="s">
        <v>14349</v>
      </c>
    </row>
    <row r="3423" spans="1:4" x14ac:dyDescent="0.25">
      <c r="A3423" s="384" t="s">
        <v>14350</v>
      </c>
      <c r="B3423" s="384" t="s">
        <v>14351</v>
      </c>
      <c r="C3423" s="384" t="s">
        <v>82</v>
      </c>
      <c r="D3423" s="385" t="s">
        <v>14352</v>
      </c>
    </row>
    <row r="3424" spans="1:4" x14ac:dyDescent="0.25">
      <c r="A3424" s="384" t="s">
        <v>14353</v>
      </c>
      <c r="B3424" s="384" t="s">
        <v>14354</v>
      </c>
      <c r="C3424" s="384" t="s">
        <v>82</v>
      </c>
      <c r="D3424" s="385" t="s">
        <v>14355</v>
      </c>
    </row>
    <row r="3425" spans="1:4" x14ac:dyDescent="0.25">
      <c r="A3425" s="384" t="s">
        <v>14356</v>
      </c>
      <c r="B3425" s="384" t="s">
        <v>14357</v>
      </c>
      <c r="C3425" s="384" t="s">
        <v>82</v>
      </c>
      <c r="D3425" s="385" t="s">
        <v>14358</v>
      </c>
    </row>
    <row r="3426" spans="1:4" x14ac:dyDescent="0.25">
      <c r="A3426" s="384" t="s">
        <v>14359</v>
      </c>
      <c r="B3426" s="384" t="s">
        <v>14360</v>
      </c>
      <c r="C3426" s="384" t="s">
        <v>82</v>
      </c>
      <c r="D3426" s="385" t="s">
        <v>14361</v>
      </c>
    </row>
    <row r="3427" spans="1:4" x14ac:dyDescent="0.25">
      <c r="A3427" s="384" t="s">
        <v>14362</v>
      </c>
      <c r="B3427" s="384" t="s">
        <v>14363</v>
      </c>
      <c r="C3427" s="384" t="s">
        <v>82</v>
      </c>
      <c r="D3427" s="385" t="s">
        <v>14364</v>
      </c>
    </row>
    <row r="3428" spans="1:4" x14ac:dyDescent="0.25">
      <c r="A3428" s="384" t="s">
        <v>14365</v>
      </c>
      <c r="B3428" s="384" t="s">
        <v>14366</v>
      </c>
      <c r="C3428" s="384" t="s">
        <v>82</v>
      </c>
      <c r="D3428" s="385" t="s">
        <v>14367</v>
      </c>
    </row>
    <row r="3429" spans="1:4" x14ac:dyDescent="0.25">
      <c r="A3429" s="384" t="s">
        <v>14368</v>
      </c>
      <c r="B3429" s="384" t="s">
        <v>14369</v>
      </c>
      <c r="C3429" s="384" t="s">
        <v>82</v>
      </c>
      <c r="D3429" s="385" t="s">
        <v>14370</v>
      </c>
    </row>
    <row r="3430" spans="1:4" x14ac:dyDescent="0.25">
      <c r="A3430" s="384" t="s">
        <v>14371</v>
      </c>
      <c r="B3430" s="384" t="s">
        <v>14372</v>
      </c>
      <c r="C3430" s="384" t="s">
        <v>82</v>
      </c>
      <c r="D3430" s="385" t="s">
        <v>14373</v>
      </c>
    </row>
    <row r="3431" spans="1:4" x14ac:dyDescent="0.25">
      <c r="A3431" s="384" t="s">
        <v>14374</v>
      </c>
      <c r="B3431" s="384" t="s">
        <v>14375</v>
      </c>
      <c r="C3431" s="384" t="s">
        <v>82</v>
      </c>
      <c r="D3431" s="385" t="s">
        <v>14376</v>
      </c>
    </row>
    <row r="3432" spans="1:4" x14ac:dyDescent="0.25">
      <c r="A3432" s="384" t="s">
        <v>14377</v>
      </c>
      <c r="B3432" s="384" t="s">
        <v>14378</v>
      </c>
      <c r="C3432" s="384" t="s">
        <v>82</v>
      </c>
      <c r="D3432" s="385" t="s">
        <v>14379</v>
      </c>
    </row>
    <row r="3433" spans="1:4" x14ac:dyDescent="0.25">
      <c r="A3433" s="384" t="s">
        <v>14380</v>
      </c>
      <c r="B3433" s="384" t="s">
        <v>14381</v>
      </c>
      <c r="C3433" s="384" t="s">
        <v>82</v>
      </c>
      <c r="D3433" s="385" t="s">
        <v>14382</v>
      </c>
    </row>
    <row r="3434" spans="1:4" x14ac:dyDescent="0.25">
      <c r="A3434" s="384" t="s">
        <v>14383</v>
      </c>
      <c r="B3434" s="384" t="s">
        <v>14384</v>
      </c>
      <c r="C3434" s="384" t="s">
        <v>82</v>
      </c>
      <c r="D3434" s="385" t="s">
        <v>14385</v>
      </c>
    </row>
    <row r="3435" spans="1:4" x14ac:dyDescent="0.25">
      <c r="A3435" s="384" t="s">
        <v>14386</v>
      </c>
      <c r="B3435" s="384" t="s">
        <v>14387</v>
      </c>
      <c r="C3435" s="384" t="s">
        <v>82</v>
      </c>
      <c r="D3435" s="385" t="s">
        <v>14388</v>
      </c>
    </row>
    <row r="3436" spans="1:4" x14ac:dyDescent="0.25">
      <c r="A3436" s="384" t="s">
        <v>14389</v>
      </c>
      <c r="B3436" s="384" t="s">
        <v>14390</v>
      </c>
      <c r="C3436" s="384" t="s">
        <v>82</v>
      </c>
      <c r="D3436" s="385" t="s">
        <v>14391</v>
      </c>
    </row>
    <row r="3437" spans="1:4" x14ac:dyDescent="0.25">
      <c r="A3437" s="384" t="s">
        <v>14392</v>
      </c>
      <c r="B3437" s="384" t="s">
        <v>14393</v>
      </c>
      <c r="C3437" s="384" t="s">
        <v>82</v>
      </c>
      <c r="D3437" s="385" t="s">
        <v>14394</v>
      </c>
    </row>
    <row r="3438" spans="1:4" x14ac:dyDescent="0.25">
      <c r="A3438" s="384" t="s">
        <v>14395</v>
      </c>
      <c r="B3438" s="384" t="s">
        <v>14396</v>
      </c>
      <c r="C3438" s="384" t="s">
        <v>82</v>
      </c>
      <c r="D3438" s="385" t="s">
        <v>14397</v>
      </c>
    </row>
    <row r="3439" spans="1:4" x14ac:dyDescent="0.25">
      <c r="A3439" s="384" t="s">
        <v>14398</v>
      </c>
      <c r="B3439" s="384" t="s">
        <v>14399</v>
      </c>
      <c r="C3439" s="384" t="s">
        <v>82</v>
      </c>
      <c r="D3439" s="385" t="s">
        <v>14400</v>
      </c>
    </row>
    <row r="3440" spans="1:4" x14ac:dyDescent="0.25">
      <c r="A3440" s="384" t="s">
        <v>14401</v>
      </c>
      <c r="B3440" s="384" t="s">
        <v>14402</v>
      </c>
      <c r="C3440" s="384" t="s">
        <v>82</v>
      </c>
      <c r="D3440" s="385" t="s">
        <v>14403</v>
      </c>
    </row>
    <row r="3441" spans="1:4" x14ac:dyDescent="0.25">
      <c r="A3441" s="384" t="s">
        <v>14404</v>
      </c>
      <c r="B3441" s="384" t="s">
        <v>14405</v>
      </c>
      <c r="C3441" s="384" t="s">
        <v>82</v>
      </c>
      <c r="D3441" s="385" t="s">
        <v>14406</v>
      </c>
    </row>
    <row r="3442" spans="1:4" x14ac:dyDescent="0.25">
      <c r="A3442" s="384" t="s">
        <v>14407</v>
      </c>
      <c r="B3442" s="384" t="s">
        <v>14408</v>
      </c>
      <c r="C3442" s="384" t="s">
        <v>82</v>
      </c>
      <c r="D3442" s="385" t="s">
        <v>14409</v>
      </c>
    </row>
    <row r="3443" spans="1:4" x14ac:dyDescent="0.25">
      <c r="A3443" s="384" t="s">
        <v>14410</v>
      </c>
      <c r="B3443" s="384" t="s">
        <v>14411</v>
      </c>
      <c r="C3443" s="384" t="s">
        <v>82</v>
      </c>
      <c r="D3443" s="385" t="s">
        <v>14412</v>
      </c>
    </row>
    <row r="3444" spans="1:4" x14ac:dyDescent="0.25">
      <c r="A3444" s="384" t="s">
        <v>14413</v>
      </c>
      <c r="B3444" s="384" t="s">
        <v>14414</v>
      </c>
      <c r="C3444" s="384" t="s">
        <v>82</v>
      </c>
      <c r="D3444" s="385" t="s">
        <v>14415</v>
      </c>
    </row>
    <row r="3445" spans="1:4" x14ac:dyDescent="0.25">
      <c r="A3445" s="384" t="s">
        <v>14416</v>
      </c>
      <c r="B3445" s="384" t="s">
        <v>14417</v>
      </c>
      <c r="C3445" s="384" t="s">
        <v>82</v>
      </c>
      <c r="D3445" s="385" t="s">
        <v>14418</v>
      </c>
    </row>
    <row r="3446" spans="1:4" x14ac:dyDescent="0.25">
      <c r="A3446" s="384" t="s">
        <v>14419</v>
      </c>
      <c r="B3446" s="384" t="s">
        <v>14420</v>
      </c>
      <c r="C3446" s="384" t="s">
        <v>82</v>
      </c>
      <c r="D3446" s="385" t="s">
        <v>14421</v>
      </c>
    </row>
    <row r="3447" spans="1:4" x14ac:dyDescent="0.25">
      <c r="A3447" s="384" t="s">
        <v>14422</v>
      </c>
      <c r="B3447" s="384" t="s">
        <v>14423</v>
      </c>
      <c r="C3447" s="384" t="s">
        <v>82</v>
      </c>
      <c r="D3447" s="385" t="s">
        <v>14424</v>
      </c>
    </row>
    <row r="3448" spans="1:4" x14ac:dyDescent="0.25">
      <c r="A3448" s="384" t="s">
        <v>14425</v>
      </c>
      <c r="B3448" s="384" t="s">
        <v>14426</v>
      </c>
      <c r="C3448" s="384" t="s">
        <v>82</v>
      </c>
      <c r="D3448" s="385" t="s">
        <v>14427</v>
      </c>
    </row>
    <row r="3449" spans="1:4" x14ac:dyDescent="0.25">
      <c r="A3449" s="384" t="s">
        <v>14428</v>
      </c>
      <c r="B3449" s="384" t="s">
        <v>14429</v>
      </c>
      <c r="C3449" s="384" t="s">
        <v>82</v>
      </c>
      <c r="D3449" s="385" t="s">
        <v>14430</v>
      </c>
    </row>
    <row r="3450" spans="1:4" x14ac:dyDescent="0.25">
      <c r="A3450" s="384" t="s">
        <v>14431</v>
      </c>
      <c r="B3450" s="384" t="s">
        <v>14432</v>
      </c>
      <c r="C3450" s="384" t="s">
        <v>82</v>
      </c>
      <c r="D3450" s="385" t="s">
        <v>14433</v>
      </c>
    </row>
    <row r="3451" spans="1:4" x14ac:dyDescent="0.25">
      <c r="A3451" s="384" t="s">
        <v>14434</v>
      </c>
      <c r="B3451" s="384" t="s">
        <v>14435</v>
      </c>
      <c r="C3451" s="384" t="s">
        <v>82</v>
      </c>
      <c r="D3451" s="385" t="s">
        <v>14436</v>
      </c>
    </row>
    <row r="3452" spans="1:4" x14ac:dyDescent="0.25">
      <c r="A3452" s="384" t="s">
        <v>14437</v>
      </c>
      <c r="B3452" s="384" t="s">
        <v>14438</v>
      </c>
      <c r="C3452" s="384" t="s">
        <v>82</v>
      </c>
      <c r="D3452" s="385" t="s">
        <v>14439</v>
      </c>
    </row>
    <row r="3453" spans="1:4" x14ac:dyDescent="0.25">
      <c r="A3453" s="384" t="s">
        <v>14440</v>
      </c>
      <c r="B3453" s="384" t="s">
        <v>14441</v>
      </c>
      <c r="C3453" s="384" t="s">
        <v>82</v>
      </c>
      <c r="D3453" s="385" t="s">
        <v>14442</v>
      </c>
    </row>
    <row r="3454" spans="1:4" x14ac:dyDescent="0.25">
      <c r="A3454" s="384" t="s">
        <v>14443</v>
      </c>
      <c r="B3454" s="384" t="s">
        <v>14444</v>
      </c>
      <c r="C3454" s="384" t="s">
        <v>82</v>
      </c>
      <c r="D3454" s="385" t="s">
        <v>14445</v>
      </c>
    </row>
    <row r="3455" spans="1:4" x14ac:dyDescent="0.25">
      <c r="A3455" s="384" t="s">
        <v>14446</v>
      </c>
      <c r="B3455" s="384" t="s">
        <v>14447</v>
      </c>
      <c r="C3455" s="384" t="s">
        <v>82</v>
      </c>
      <c r="D3455" s="385" t="s">
        <v>14448</v>
      </c>
    </row>
    <row r="3456" spans="1:4" x14ac:dyDescent="0.25">
      <c r="A3456" s="384" t="s">
        <v>14449</v>
      </c>
      <c r="B3456" s="384" t="s">
        <v>14450</v>
      </c>
      <c r="C3456" s="384" t="s">
        <v>82</v>
      </c>
      <c r="D3456" s="385" t="s">
        <v>14451</v>
      </c>
    </row>
    <row r="3457" spans="1:4" x14ac:dyDescent="0.25">
      <c r="A3457" s="384" t="s">
        <v>14452</v>
      </c>
      <c r="B3457" s="384" t="s">
        <v>14453</v>
      </c>
      <c r="C3457" s="384" t="s">
        <v>82</v>
      </c>
      <c r="D3457" s="385" t="s">
        <v>14454</v>
      </c>
    </row>
    <row r="3458" spans="1:4" x14ac:dyDescent="0.25">
      <c r="A3458" s="384" t="s">
        <v>14455</v>
      </c>
      <c r="B3458" s="384" t="s">
        <v>14456</v>
      </c>
      <c r="C3458" s="384" t="s">
        <v>82</v>
      </c>
      <c r="D3458" s="385" t="s">
        <v>14457</v>
      </c>
    </row>
    <row r="3459" spans="1:4" x14ac:dyDescent="0.25">
      <c r="A3459" s="384" t="s">
        <v>14458</v>
      </c>
      <c r="B3459" s="384" t="s">
        <v>14459</v>
      </c>
      <c r="C3459" s="384" t="s">
        <v>82</v>
      </c>
      <c r="D3459" s="385" t="s">
        <v>14460</v>
      </c>
    </row>
    <row r="3460" spans="1:4" x14ac:dyDescent="0.25">
      <c r="A3460" s="384" t="s">
        <v>14461</v>
      </c>
      <c r="B3460" s="384" t="s">
        <v>14462</v>
      </c>
      <c r="C3460" s="384" t="s">
        <v>82</v>
      </c>
      <c r="D3460" s="385" t="s">
        <v>14463</v>
      </c>
    </row>
    <row r="3461" spans="1:4" x14ac:dyDescent="0.25">
      <c r="A3461" s="384" t="s">
        <v>14464</v>
      </c>
      <c r="B3461" s="384" t="s">
        <v>14465</v>
      </c>
      <c r="C3461" s="384" t="s">
        <v>82</v>
      </c>
      <c r="D3461" s="385" t="s">
        <v>14466</v>
      </c>
    </row>
    <row r="3462" spans="1:4" x14ac:dyDescent="0.25">
      <c r="A3462" s="384" t="s">
        <v>14467</v>
      </c>
      <c r="B3462" s="384" t="s">
        <v>14468</v>
      </c>
      <c r="C3462" s="384" t="s">
        <v>82</v>
      </c>
      <c r="D3462" s="385" t="s">
        <v>14469</v>
      </c>
    </row>
    <row r="3463" spans="1:4" x14ac:dyDescent="0.25">
      <c r="A3463" s="384" t="s">
        <v>14470</v>
      </c>
      <c r="B3463" s="384" t="s">
        <v>14471</v>
      </c>
      <c r="C3463" s="384" t="s">
        <v>82</v>
      </c>
      <c r="D3463" s="385" t="s">
        <v>14472</v>
      </c>
    </row>
    <row r="3464" spans="1:4" x14ac:dyDescent="0.25">
      <c r="A3464" s="384" t="s">
        <v>14473</v>
      </c>
      <c r="B3464" s="384" t="s">
        <v>14474</v>
      </c>
      <c r="C3464" s="384" t="s">
        <v>82</v>
      </c>
      <c r="D3464" s="385" t="s">
        <v>14475</v>
      </c>
    </row>
    <row r="3465" spans="1:4" x14ac:dyDescent="0.25">
      <c r="A3465" s="384" t="s">
        <v>14476</v>
      </c>
      <c r="B3465" s="384" t="s">
        <v>14477</v>
      </c>
      <c r="C3465" s="384" t="s">
        <v>82</v>
      </c>
      <c r="D3465" s="385" t="s">
        <v>14478</v>
      </c>
    </row>
    <row r="3466" spans="1:4" x14ac:dyDescent="0.25">
      <c r="A3466" s="384" t="s">
        <v>14479</v>
      </c>
      <c r="B3466" s="384" t="s">
        <v>14480</v>
      </c>
      <c r="C3466" s="384" t="s">
        <v>82</v>
      </c>
      <c r="D3466" s="385" t="s">
        <v>14481</v>
      </c>
    </row>
    <row r="3467" spans="1:4" x14ac:dyDescent="0.25">
      <c r="A3467" s="384" t="s">
        <v>14482</v>
      </c>
      <c r="B3467" s="384" t="s">
        <v>14483</v>
      </c>
      <c r="C3467" s="384" t="s">
        <v>82</v>
      </c>
      <c r="D3467" s="385" t="s">
        <v>14484</v>
      </c>
    </row>
    <row r="3468" spans="1:4" x14ac:dyDescent="0.25">
      <c r="A3468" s="384" t="s">
        <v>14485</v>
      </c>
      <c r="B3468" s="384" t="s">
        <v>14486</v>
      </c>
      <c r="C3468" s="384" t="s">
        <v>82</v>
      </c>
      <c r="D3468" s="385" t="s">
        <v>14487</v>
      </c>
    </row>
    <row r="3469" spans="1:4" x14ac:dyDescent="0.25">
      <c r="A3469" s="384" t="s">
        <v>14488</v>
      </c>
      <c r="B3469" s="384" t="s">
        <v>14489</v>
      </c>
      <c r="C3469" s="384" t="s">
        <v>82</v>
      </c>
      <c r="D3469" s="385" t="s">
        <v>14490</v>
      </c>
    </row>
    <row r="3470" spans="1:4" x14ac:dyDescent="0.25">
      <c r="A3470" s="384" t="s">
        <v>14491</v>
      </c>
      <c r="B3470" s="384" t="s">
        <v>14492</v>
      </c>
      <c r="C3470" s="384" t="s">
        <v>82</v>
      </c>
      <c r="D3470" s="385" t="s">
        <v>14493</v>
      </c>
    </row>
    <row r="3471" spans="1:4" x14ac:dyDescent="0.25">
      <c r="A3471" s="384" t="s">
        <v>14494</v>
      </c>
      <c r="B3471" s="384" t="s">
        <v>14495</v>
      </c>
      <c r="C3471" s="384" t="s">
        <v>82</v>
      </c>
      <c r="D3471" s="385" t="s">
        <v>14496</v>
      </c>
    </row>
    <row r="3472" spans="1:4" x14ac:dyDescent="0.25">
      <c r="A3472" s="384" t="s">
        <v>14497</v>
      </c>
      <c r="B3472" s="384" t="s">
        <v>14498</v>
      </c>
      <c r="C3472" s="384" t="s">
        <v>82</v>
      </c>
      <c r="D3472" s="385" t="s">
        <v>14499</v>
      </c>
    </row>
    <row r="3473" spans="1:4" x14ac:dyDescent="0.25">
      <c r="A3473" s="384" t="s">
        <v>14500</v>
      </c>
      <c r="B3473" s="384" t="s">
        <v>14501</v>
      </c>
      <c r="C3473" s="384" t="s">
        <v>82</v>
      </c>
      <c r="D3473" s="385" t="s">
        <v>14502</v>
      </c>
    </row>
    <row r="3474" spans="1:4" x14ac:dyDescent="0.25">
      <c r="A3474" s="384" t="s">
        <v>14503</v>
      </c>
      <c r="B3474" s="384" t="s">
        <v>14504</v>
      </c>
      <c r="C3474" s="384" t="s">
        <v>82</v>
      </c>
      <c r="D3474" s="385" t="s">
        <v>14505</v>
      </c>
    </row>
    <row r="3475" spans="1:4" x14ac:dyDescent="0.25">
      <c r="A3475" s="384" t="s">
        <v>14506</v>
      </c>
      <c r="B3475" s="384" t="s">
        <v>14507</v>
      </c>
      <c r="C3475" s="384" t="s">
        <v>82</v>
      </c>
      <c r="D3475" s="385" t="s">
        <v>14508</v>
      </c>
    </row>
    <row r="3476" spans="1:4" x14ac:dyDescent="0.25">
      <c r="A3476" s="384" t="s">
        <v>14509</v>
      </c>
      <c r="B3476" s="384" t="s">
        <v>14510</v>
      </c>
      <c r="C3476" s="384" t="s">
        <v>82</v>
      </c>
      <c r="D3476" s="385" t="s">
        <v>14511</v>
      </c>
    </row>
    <row r="3477" spans="1:4" x14ac:dyDescent="0.25">
      <c r="A3477" s="384" t="s">
        <v>14512</v>
      </c>
      <c r="B3477" s="384" t="s">
        <v>14513</v>
      </c>
      <c r="C3477" s="384" t="s">
        <v>82</v>
      </c>
      <c r="D3477" s="385" t="s">
        <v>14514</v>
      </c>
    </row>
    <row r="3478" spans="1:4" x14ac:dyDescent="0.25">
      <c r="A3478" s="384" t="s">
        <v>14515</v>
      </c>
      <c r="B3478" s="384" t="s">
        <v>14516</v>
      </c>
      <c r="C3478" s="384" t="s">
        <v>82</v>
      </c>
      <c r="D3478" s="385" t="s">
        <v>14517</v>
      </c>
    </row>
    <row r="3479" spans="1:4" x14ac:dyDescent="0.25">
      <c r="A3479" s="384" t="s">
        <v>14518</v>
      </c>
      <c r="B3479" s="384" t="s">
        <v>14519</v>
      </c>
      <c r="C3479" s="384" t="s">
        <v>82</v>
      </c>
      <c r="D3479" s="385" t="s">
        <v>14520</v>
      </c>
    </row>
    <row r="3480" spans="1:4" x14ac:dyDescent="0.25">
      <c r="A3480" s="384" t="s">
        <v>14521</v>
      </c>
      <c r="B3480" s="384" t="s">
        <v>14522</v>
      </c>
      <c r="C3480" s="384" t="s">
        <v>82</v>
      </c>
      <c r="D3480" s="385" t="s">
        <v>14523</v>
      </c>
    </row>
    <row r="3481" spans="1:4" x14ac:dyDescent="0.25">
      <c r="A3481" s="384" t="s">
        <v>14524</v>
      </c>
      <c r="B3481" s="384" t="s">
        <v>14525</v>
      </c>
      <c r="C3481" s="384" t="s">
        <v>82</v>
      </c>
      <c r="D3481" s="385" t="s">
        <v>9376</v>
      </c>
    </row>
    <row r="3482" spans="1:4" x14ac:dyDescent="0.25">
      <c r="A3482" s="384" t="s">
        <v>14526</v>
      </c>
      <c r="B3482" s="384" t="s">
        <v>14527</v>
      </c>
      <c r="C3482" s="384" t="s">
        <v>82</v>
      </c>
      <c r="D3482" s="385" t="s">
        <v>14528</v>
      </c>
    </row>
    <row r="3483" spans="1:4" x14ac:dyDescent="0.25">
      <c r="A3483" s="384" t="s">
        <v>14529</v>
      </c>
      <c r="B3483" s="384" t="s">
        <v>14530</v>
      </c>
      <c r="C3483" s="384" t="s">
        <v>82</v>
      </c>
      <c r="D3483" s="385" t="s">
        <v>14531</v>
      </c>
    </row>
    <row r="3484" spans="1:4" x14ac:dyDescent="0.25">
      <c r="A3484" s="384" t="s">
        <v>14532</v>
      </c>
      <c r="B3484" s="384" t="s">
        <v>14533</v>
      </c>
      <c r="C3484" s="384" t="s">
        <v>82</v>
      </c>
      <c r="D3484" s="385" t="s">
        <v>14534</v>
      </c>
    </row>
    <row r="3485" spans="1:4" x14ac:dyDescent="0.25">
      <c r="A3485" s="384" t="s">
        <v>14535</v>
      </c>
      <c r="B3485" s="384" t="s">
        <v>14536</v>
      </c>
      <c r="C3485" s="384" t="s">
        <v>82</v>
      </c>
      <c r="D3485" s="385" t="s">
        <v>14537</v>
      </c>
    </row>
    <row r="3486" spans="1:4" x14ac:dyDescent="0.25">
      <c r="A3486" s="384" t="s">
        <v>14538</v>
      </c>
      <c r="B3486" s="384" t="s">
        <v>14539</v>
      </c>
      <c r="C3486" s="384" t="s">
        <v>82</v>
      </c>
      <c r="D3486" s="385" t="s">
        <v>6483</v>
      </c>
    </row>
    <row r="3487" spans="1:4" x14ac:dyDescent="0.25">
      <c r="A3487" s="384" t="s">
        <v>14540</v>
      </c>
      <c r="B3487" s="384" t="s">
        <v>14541</v>
      </c>
      <c r="C3487" s="384" t="s">
        <v>82</v>
      </c>
      <c r="D3487" s="385" t="s">
        <v>14542</v>
      </c>
    </row>
    <row r="3488" spans="1:4" x14ac:dyDescent="0.25">
      <c r="A3488" s="384" t="s">
        <v>14543</v>
      </c>
      <c r="B3488" s="384" t="s">
        <v>14544</v>
      </c>
      <c r="C3488" s="384" t="s">
        <v>82</v>
      </c>
      <c r="D3488" s="385" t="s">
        <v>14545</v>
      </c>
    </row>
    <row r="3489" spans="1:4" x14ac:dyDescent="0.25">
      <c r="A3489" s="384" t="s">
        <v>14546</v>
      </c>
      <c r="B3489" s="384" t="s">
        <v>14547</v>
      </c>
      <c r="C3489" s="384" t="s">
        <v>82</v>
      </c>
      <c r="D3489" s="385" t="s">
        <v>14548</v>
      </c>
    </row>
    <row r="3490" spans="1:4" x14ac:dyDescent="0.25">
      <c r="A3490" s="384" t="s">
        <v>14549</v>
      </c>
      <c r="B3490" s="384" t="s">
        <v>14550</v>
      </c>
      <c r="C3490" s="384" t="s">
        <v>82</v>
      </c>
      <c r="D3490" s="385" t="s">
        <v>14551</v>
      </c>
    </row>
    <row r="3491" spans="1:4" x14ac:dyDescent="0.25">
      <c r="A3491" s="384" t="s">
        <v>14552</v>
      </c>
      <c r="B3491" s="384" t="s">
        <v>14553</v>
      </c>
      <c r="C3491" s="384" t="s">
        <v>82</v>
      </c>
      <c r="D3491" s="385" t="s">
        <v>14554</v>
      </c>
    </row>
    <row r="3492" spans="1:4" x14ac:dyDescent="0.25">
      <c r="A3492" s="384" t="s">
        <v>14555</v>
      </c>
      <c r="B3492" s="384" t="s">
        <v>14556</v>
      </c>
      <c r="C3492" s="384" t="s">
        <v>82</v>
      </c>
      <c r="D3492" s="385" t="s">
        <v>14557</v>
      </c>
    </row>
    <row r="3493" spans="1:4" x14ac:dyDescent="0.25">
      <c r="A3493" s="384" t="s">
        <v>14558</v>
      </c>
      <c r="B3493" s="384" t="s">
        <v>14559</v>
      </c>
      <c r="C3493" s="384" t="s">
        <v>82</v>
      </c>
      <c r="D3493" s="385" t="s">
        <v>14560</v>
      </c>
    </row>
    <row r="3494" spans="1:4" x14ac:dyDescent="0.25">
      <c r="A3494" s="384" t="s">
        <v>14561</v>
      </c>
      <c r="B3494" s="384" t="s">
        <v>14562</v>
      </c>
      <c r="C3494" s="384" t="s">
        <v>82</v>
      </c>
      <c r="D3494" s="385" t="s">
        <v>14563</v>
      </c>
    </row>
    <row r="3495" spans="1:4" x14ac:dyDescent="0.25">
      <c r="A3495" s="384" t="s">
        <v>14564</v>
      </c>
      <c r="B3495" s="384" t="s">
        <v>14565</v>
      </c>
      <c r="C3495" s="384" t="s">
        <v>82</v>
      </c>
      <c r="D3495" s="385" t="s">
        <v>14566</v>
      </c>
    </row>
    <row r="3496" spans="1:4" x14ac:dyDescent="0.25">
      <c r="A3496" s="384" t="s">
        <v>14567</v>
      </c>
      <c r="B3496" s="384" t="s">
        <v>14568</v>
      </c>
      <c r="C3496" s="384" t="s">
        <v>82</v>
      </c>
      <c r="D3496" s="385" t="s">
        <v>14569</v>
      </c>
    </row>
    <row r="3497" spans="1:4" x14ac:dyDescent="0.25">
      <c r="A3497" s="384" t="s">
        <v>14570</v>
      </c>
      <c r="B3497" s="384" t="s">
        <v>14571</v>
      </c>
      <c r="C3497" s="384" t="s">
        <v>82</v>
      </c>
      <c r="D3497" s="385" t="s">
        <v>14572</v>
      </c>
    </row>
    <row r="3498" spans="1:4" x14ac:dyDescent="0.25">
      <c r="A3498" s="384" t="s">
        <v>14573</v>
      </c>
      <c r="B3498" s="384" t="s">
        <v>14574</v>
      </c>
      <c r="C3498" s="384" t="s">
        <v>82</v>
      </c>
      <c r="D3498" s="385" t="s">
        <v>14575</v>
      </c>
    </row>
    <row r="3499" spans="1:4" x14ac:dyDescent="0.25">
      <c r="A3499" s="384" t="s">
        <v>14576</v>
      </c>
      <c r="B3499" s="384" t="s">
        <v>14577</v>
      </c>
      <c r="C3499" s="384" t="s">
        <v>82</v>
      </c>
      <c r="D3499" s="385" t="s">
        <v>14466</v>
      </c>
    </row>
    <row r="3500" spans="1:4" x14ac:dyDescent="0.25">
      <c r="A3500" s="384" t="s">
        <v>14578</v>
      </c>
      <c r="B3500" s="384" t="s">
        <v>14579</v>
      </c>
      <c r="C3500" s="384" t="s">
        <v>82</v>
      </c>
      <c r="D3500" s="385" t="s">
        <v>14580</v>
      </c>
    </row>
    <row r="3501" spans="1:4" x14ac:dyDescent="0.25">
      <c r="A3501" s="384" t="s">
        <v>14581</v>
      </c>
      <c r="B3501" s="384" t="s">
        <v>14582</v>
      </c>
      <c r="C3501" s="384" t="s">
        <v>82</v>
      </c>
      <c r="D3501" s="385" t="s">
        <v>14583</v>
      </c>
    </row>
    <row r="3502" spans="1:4" x14ac:dyDescent="0.25">
      <c r="A3502" s="384" t="s">
        <v>14584</v>
      </c>
      <c r="B3502" s="384" t="s">
        <v>14585</v>
      </c>
      <c r="C3502" s="384" t="s">
        <v>82</v>
      </c>
      <c r="D3502" s="385" t="s">
        <v>11268</v>
      </c>
    </row>
    <row r="3503" spans="1:4" x14ac:dyDescent="0.25">
      <c r="A3503" s="384" t="s">
        <v>14586</v>
      </c>
      <c r="B3503" s="384" t="s">
        <v>14587</v>
      </c>
      <c r="C3503" s="384" t="s">
        <v>82</v>
      </c>
      <c r="D3503" s="385" t="s">
        <v>14588</v>
      </c>
    </row>
    <row r="3504" spans="1:4" x14ac:dyDescent="0.25">
      <c r="A3504" s="384" t="s">
        <v>14589</v>
      </c>
      <c r="B3504" s="384" t="s">
        <v>14590</v>
      </c>
      <c r="C3504" s="384" t="s">
        <v>82</v>
      </c>
      <c r="D3504" s="385" t="s">
        <v>14591</v>
      </c>
    </row>
    <row r="3505" spans="1:4" x14ac:dyDescent="0.25">
      <c r="A3505" s="384" t="s">
        <v>14592</v>
      </c>
      <c r="B3505" s="384" t="s">
        <v>14593</v>
      </c>
      <c r="C3505" s="384" t="s">
        <v>82</v>
      </c>
      <c r="D3505" s="385" t="s">
        <v>5880</v>
      </c>
    </row>
    <row r="3506" spans="1:4" x14ac:dyDescent="0.25">
      <c r="A3506" s="384" t="s">
        <v>14594</v>
      </c>
      <c r="B3506" s="384" t="s">
        <v>14595</v>
      </c>
      <c r="C3506" s="384" t="s">
        <v>82</v>
      </c>
      <c r="D3506" s="385" t="s">
        <v>14596</v>
      </c>
    </row>
    <row r="3507" spans="1:4" x14ac:dyDescent="0.25">
      <c r="A3507" s="384" t="s">
        <v>14597</v>
      </c>
      <c r="B3507" s="384" t="s">
        <v>14598</v>
      </c>
      <c r="C3507" s="384" t="s">
        <v>82</v>
      </c>
      <c r="D3507" s="385" t="s">
        <v>14599</v>
      </c>
    </row>
    <row r="3508" spans="1:4" x14ac:dyDescent="0.25">
      <c r="A3508" s="384" t="s">
        <v>14600</v>
      </c>
      <c r="B3508" s="384" t="s">
        <v>14601</v>
      </c>
      <c r="C3508" s="384" t="s">
        <v>82</v>
      </c>
      <c r="D3508" s="385" t="s">
        <v>14602</v>
      </c>
    </row>
    <row r="3509" spans="1:4" x14ac:dyDescent="0.25">
      <c r="A3509" s="384" t="s">
        <v>14603</v>
      </c>
      <c r="B3509" s="384" t="s">
        <v>14604</v>
      </c>
      <c r="C3509" s="384" t="s">
        <v>82</v>
      </c>
      <c r="D3509" s="385" t="s">
        <v>14605</v>
      </c>
    </row>
    <row r="3510" spans="1:4" x14ac:dyDescent="0.25">
      <c r="A3510" s="384" t="s">
        <v>14606</v>
      </c>
      <c r="B3510" s="384" t="s">
        <v>14607</v>
      </c>
      <c r="C3510" s="384" t="s">
        <v>82</v>
      </c>
      <c r="D3510" s="385" t="s">
        <v>14608</v>
      </c>
    </row>
    <row r="3511" spans="1:4" x14ac:dyDescent="0.25">
      <c r="A3511" s="384" t="s">
        <v>14609</v>
      </c>
      <c r="B3511" s="384" t="s">
        <v>14610</v>
      </c>
      <c r="C3511" s="384" t="s">
        <v>82</v>
      </c>
      <c r="D3511" s="385" t="s">
        <v>11455</v>
      </c>
    </row>
    <row r="3512" spans="1:4" x14ac:dyDescent="0.25">
      <c r="A3512" s="384" t="s">
        <v>14611</v>
      </c>
      <c r="B3512" s="384" t="s">
        <v>14612</v>
      </c>
      <c r="C3512" s="384" t="s">
        <v>82</v>
      </c>
      <c r="D3512" s="385" t="s">
        <v>14613</v>
      </c>
    </row>
    <row r="3513" spans="1:4" x14ac:dyDescent="0.25">
      <c r="A3513" s="384" t="s">
        <v>14614</v>
      </c>
      <c r="B3513" s="384" t="s">
        <v>14615</v>
      </c>
      <c r="C3513" s="384" t="s">
        <v>82</v>
      </c>
      <c r="D3513" s="385" t="s">
        <v>6290</v>
      </c>
    </row>
    <row r="3514" spans="1:4" x14ac:dyDescent="0.25">
      <c r="A3514" s="384" t="s">
        <v>14616</v>
      </c>
      <c r="B3514" s="384" t="s">
        <v>14617</v>
      </c>
      <c r="C3514" s="384" t="s">
        <v>82</v>
      </c>
      <c r="D3514" s="385" t="s">
        <v>14618</v>
      </c>
    </row>
    <row r="3515" spans="1:4" x14ac:dyDescent="0.25">
      <c r="A3515" s="384" t="s">
        <v>14619</v>
      </c>
      <c r="B3515" s="384" t="s">
        <v>14620</v>
      </c>
      <c r="C3515" s="384" t="s">
        <v>82</v>
      </c>
      <c r="D3515" s="385" t="s">
        <v>14621</v>
      </c>
    </row>
    <row r="3516" spans="1:4" x14ac:dyDescent="0.25">
      <c r="A3516" s="384" t="s">
        <v>14622</v>
      </c>
      <c r="B3516" s="384" t="s">
        <v>14623</v>
      </c>
      <c r="C3516" s="384" t="s">
        <v>82</v>
      </c>
      <c r="D3516" s="385" t="s">
        <v>14624</v>
      </c>
    </row>
    <row r="3517" spans="1:4" x14ac:dyDescent="0.25">
      <c r="A3517" s="384" t="s">
        <v>14625</v>
      </c>
      <c r="B3517" s="384" t="s">
        <v>14626</v>
      </c>
      <c r="C3517" s="384" t="s">
        <v>82</v>
      </c>
      <c r="D3517" s="385" t="s">
        <v>14627</v>
      </c>
    </row>
    <row r="3518" spans="1:4" x14ac:dyDescent="0.25">
      <c r="A3518" s="384" t="s">
        <v>14628</v>
      </c>
      <c r="B3518" s="384" t="s">
        <v>14629</v>
      </c>
      <c r="C3518" s="384" t="s">
        <v>82</v>
      </c>
      <c r="D3518" s="385" t="s">
        <v>14630</v>
      </c>
    </row>
    <row r="3519" spans="1:4" x14ac:dyDescent="0.25">
      <c r="A3519" s="384" t="s">
        <v>14631</v>
      </c>
      <c r="B3519" s="384" t="s">
        <v>14632</v>
      </c>
      <c r="C3519" s="384" t="s">
        <v>82</v>
      </c>
      <c r="D3519" s="385" t="s">
        <v>12168</v>
      </c>
    </row>
    <row r="3520" spans="1:4" x14ac:dyDescent="0.25">
      <c r="A3520" s="384" t="s">
        <v>14633</v>
      </c>
      <c r="B3520" s="384" t="s">
        <v>14634</v>
      </c>
      <c r="C3520" s="384" t="s">
        <v>82</v>
      </c>
      <c r="D3520" s="385" t="s">
        <v>4820</v>
      </c>
    </row>
    <row r="3521" spans="1:4" x14ac:dyDescent="0.25">
      <c r="A3521" s="384" t="s">
        <v>14635</v>
      </c>
      <c r="B3521" s="384" t="s">
        <v>14636</v>
      </c>
      <c r="C3521" s="384" t="s">
        <v>82</v>
      </c>
      <c r="D3521" s="385" t="s">
        <v>14637</v>
      </c>
    </row>
    <row r="3522" spans="1:4" x14ac:dyDescent="0.25">
      <c r="A3522" s="384" t="s">
        <v>14638</v>
      </c>
      <c r="B3522" s="384" t="s">
        <v>14639</v>
      </c>
      <c r="C3522" s="384" t="s">
        <v>82</v>
      </c>
      <c r="D3522" s="385" t="s">
        <v>6210</v>
      </c>
    </row>
    <row r="3523" spans="1:4" x14ac:dyDescent="0.25">
      <c r="A3523" s="384" t="s">
        <v>14640</v>
      </c>
      <c r="B3523" s="384" t="s">
        <v>14641</v>
      </c>
      <c r="C3523" s="384" t="s">
        <v>82</v>
      </c>
      <c r="D3523" s="385" t="s">
        <v>14642</v>
      </c>
    </row>
    <row r="3524" spans="1:4" x14ac:dyDescent="0.25">
      <c r="A3524" s="384" t="s">
        <v>14643</v>
      </c>
      <c r="B3524" s="384" t="s">
        <v>14644</v>
      </c>
      <c r="C3524" s="384" t="s">
        <v>82</v>
      </c>
      <c r="D3524" s="385" t="s">
        <v>14645</v>
      </c>
    </row>
    <row r="3525" spans="1:4" x14ac:dyDescent="0.25">
      <c r="A3525" s="384" t="s">
        <v>14646</v>
      </c>
      <c r="B3525" s="384" t="s">
        <v>14647</v>
      </c>
      <c r="C3525" s="384" t="s">
        <v>82</v>
      </c>
      <c r="D3525" s="385" t="s">
        <v>14648</v>
      </c>
    </row>
    <row r="3526" spans="1:4" x14ac:dyDescent="0.25">
      <c r="A3526" s="384" t="s">
        <v>14649</v>
      </c>
      <c r="B3526" s="384" t="s">
        <v>14650</v>
      </c>
      <c r="C3526" s="384" t="s">
        <v>82</v>
      </c>
      <c r="D3526" s="385" t="s">
        <v>14651</v>
      </c>
    </row>
    <row r="3527" spans="1:4" x14ac:dyDescent="0.25">
      <c r="A3527" s="384" t="s">
        <v>14652</v>
      </c>
      <c r="B3527" s="384" t="s">
        <v>14653</v>
      </c>
      <c r="C3527" s="384" t="s">
        <v>82</v>
      </c>
      <c r="D3527" s="385" t="s">
        <v>14654</v>
      </c>
    </row>
    <row r="3528" spans="1:4" x14ac:dyDescent="0.25">
      <c r="A3528" s="384" t="s">
        <v>14655</v>
      </c>
      <c r="B3528" s="384" t="s">
        <v>14656</v>
      </c>
      <c r="C3528" s="384" t="s">
        <v>82</v>
      </c>
      <c r="D3528" s="385" t="s">
        <v>12879</v>
      </c>
    </row>
    <row r="3529" spans="1:4" x14ac:dyDescent="0.25">
      <c r="A3529" s="384" t="s">
        <v>14657</v>
      </c>
      <c r="B3529" s="384" t="s">
        <v>14658</v>
      </c>
      <c r="C3529" s="384" t="s">
        <v>82</v>
      </c>
      <c r="D3529" s="385" t="s">
        <v>14659</v>
      </c>
    </row>
    <row r="3530" spans="1:4" x14ac:dyDescent="0.25">
      <c r="A3530" s="384" t="s">
        <v>14660</v>
      </c>
      <c r="B3530" s="384" t="s">
        <v>14661</v>
      </c>
      <c r="C3530" s="384" t="s">
        <v>82</v>
      </c>
      <c r="D3530" s="385" t="s">
        <v>8701</v>
      </c>
    </row>
    <row r="3531" spans="1:4" x14ac:dyDescent="0.25">
      <c r="A3531" s="384" t="s">
        <v>14662</v>
      </c>
      <c r="B3531" s="384" t="s">
        <v>14663</v>
      </c>
      <c r="C3531" s="384" t="s">
        <v>82</v>
      </c>
      <c r="D3531" s="385" t="s">
        <v>14664</v>
      </c>
    </row>
    <row r="3532" spans="1:4" x14ac:dyDescent="0.25">
      <c r="A3532" s="384" t="s">
        <v>14665</v>
      </c>
      <c r="B3532" s="384" t="s">
        <v>14666</v>
      </c>
      <c r="C3532" s="384" t="s">
        <v>82</v>
      </c>
      <c r="D3532" s="385" t="s">
        <v>14667</v>
      </c>
    </row>
    <row r="3533" spans="1:4" x14ac:dyDescent="0.25">
      <c r="A3533" s="384" t="s">
        <v>14668</v>
      </c>
      <c r="B3533" s="384" t="s">
        <v>14669</v>
      </c>
      <c r="C3533" s="384" t="s">
        <v>82</v>
      </c>
      <c r="D3533" s="385" t="s">
        <v>14670</v>
      </c>
    </row>
    <row r="3534" spans="1:4" x14ac:dyDescent="0.25">
      <c r="A3534" s="384" t="s">
        <v>14671</v>
      </c>
      <c r="B3534" s="384" t="s">
        <v>14672</v>
      </c>
      <c r="C3534" s="384" t="s">
        <v>82</v>
      </c>
      <c r="D3534" s="385" t="s">
        <v>11231</v>
      </c>
    </row>
    <row r="3535" spans="1:4" x14ac:dyDescent="0.25">
      <c r="A3535" s="384" t="s">
        <v>14673</v>
      </c>
      <c r="B3535" s="384" t="s">
        <v>14674</v>
      </c>
      <c r="C3535" s="384" t="s">
        <v>82</v>
      </c>
      <c r="D3535" s="385" t="s">
        <v>14675</v>
      </c>
    </row>
    <row r="3536" spans="1:4" x14ac:dyDescent="0.25">
      <c r="A3536" s="384" t="s">
        <v>14676</v>
      </c>
      <c r="B3536" s="384" t="s">
        <v>14677</v>
      </c>
      <c r="C3536" s="384" t="s">
        <v>82</v>
      </c>
      <c r="D3536" s="385" t="s">
        <v>14678</v>
      </c>
    </row>
    <row r="3537" spans="1:4" x14ac:dyDescent="0.25">
      <c r="A3537" s="384" t="s">
        <v>14679</v>
      </c>
      <c r="B3537" s="384" t="s">
        <v>14680</v>
      </c>
      <c r="C3537" s="384" t="s">
        <v>82</v>
      </c>
      <c r="D3537" s="385" t="s">
        <v>14681</v>
      </c>
    </row>
    <row r="3538" spans="1:4" x14ac:dyDescent="0.25">
      <c r="A3538" s="384" t="s">
        <v>14682</v>
      </c>
      <c r="B3538" s="384" t="s">
        <v>14683</v>
      </c>
      <c r="C3538" s="384" t="s">
        <v>82</v>
      </c>
      <c r="D3538" s="385" t="s">
        <v>14684</v>
      </c>
    </row>
    <row r="3539" spans="1:4" x14ac:dyDescent="0.25">
      <c r="A3539" s="384" t="s">
        <v>14685</v>
      </c>
      <c r="B3539" s="384" t="s">
        <v>14686</v>
      </c>
      <c r="C3539" s="384" t="s">
        <v>82</v>
      </c>
      <c r="D3539" s="385" t="s">
        <v>14687</v>
      </c>
    </row>
    <row r="3540" spans="1:4" x14ac:dyDescent="0.25">
      <c r="A3540" s="384" t="s">
        <v>14688</v>
      </c>
      <c r="B3540" s="384" t="s">
        <v>14689</v>
      </c>
      <c r="C3540" s="384" t="s">
        <v>82</v>
      </c>
      <c r="D3540" s="385" t="s">
        <v>14690</v>
      </c>
    </row>
    <row r="3541" spans="1:4" x14ac:dyDescent="0.25">
      <c r="A3541" s="384" t="s">
        <v>14691</v>
      </c>
      <c r="B3541" s="384" t="s">
        <v>14692</v>
      </c>
      <c r="C3541" s="384" t="s">
        <v>82</v>
      </c>
      <c r="D3541" s="385" t="s">
        <v>7062</v>
      </c>
    </row>
    <row r="3542" spans="1:4" x14ac:dyDescent="0.25">
      <c r="A3542" s="384" t="s">
        <v>14693</v>
      </c>
      <c r="B3542" s="384" t="s">
        <v>14694</v>
      </c>
      <c r="C3542" s="384" t="s">
        <v>82</v>
      </c>
      <c r="D3542" s="385" t="s">
        <v>14695</v>
      </c>
    </row>
    <row r="3543" spans="1:4" x14ac:dyDescent="0.25">
      <c r="A3543" s="384" t="s">
        <v>14696</v>
      </c>
      <c r="B3543" s="384" t="s">
        <v>14697</v>
      </c>
      <c r="C3543" s="384" t="s">
        <v>82</v>
      </c>
      <c r="D3543" s="385" t="s">
        <v>14698</v>
      </c>
    </row>
    <row r="3544" spans="1:4" x14ac:dyDescent="0.25">
      <c r="A3544" s="384" t="s">
        <v>14699</v>
      </c>
      <c r="B3544" s="384" t="s">
        <v>14700</v>
      </c>
      <c r="C3544" s="384" t="s">
        <v>82</v>
      </c>
      <c r="D3544" s="385" t="s">
        <v>14701</v>
      </c>
    </row>
    <row r="3545" spans="1:4" x14ac:dyDescent="0.25">
      <c r="A3545" s="384" t="s">
        <v>14702</v>
      </c>
      <c r="B3545" s="384" t="s">
        <v>14703</v>
      </c>
      <c r="C3545" s="384" t="s">
        <v>82</v>
      </c>
      <c r="D3545" s="385" t="s">
        <v>4571</v>
      </c>
    </row>
    <row r="3546" spans="1:4" x14ac:dyDescent="0.25">
      <c r="A3546" s="384" t="s">
        <v>14704</v>
      </c>
      <c r="B3546" s="384" t="s">
        <v>14705</v>
      </c>
      <c r="C3546" s="384" t="s">
        <v>82</v>
      </c>
      <c r="D3546" s="385" t="s">
        <v>14706</v>
      </c>
    </row>
    <row r="3547" spans="1:4" x14ac:dyDescent="0.25">
      <c r="A3547" s="384" t="s">
        <v>14707</v>
      </c>
      <c r="B3547" s="384" t="s">
        <v>14708</v>
      </c>
      <c r="C3547" s="384" t="s">
        <v>82</v>
      </c>
      <c r="D3547" s="385" t="s">
        <v>14709</v>
      </c>
    </row>
    <row r="3548" spans="1:4" x14ac:dyDescent="0.25">
      <c r="A3548" s="384" t="s">
        <v>14710</v>
      </c>
      <c r="B3548" s="384" t="s">
        <v>14711</v>
      </c>
      <c r="C3548" s="384" t="s">
        <v>82</v>
      </c>
      <c r="D3548" s="385" t="s">
        <v>14317</v>
      </c>
    </row>
    <row r="3549" spans="1:4" x14ac:dyDescent="0.25">
      <c r="A3549" s="384" t="s">
        <v>14712</v>
      </c>
      <c r="B3549" s="384" t="s">
        <v>14713</v>
      </c>
      <c r="C3549" s="384" t="s">
        <v>82</v>
      </c>
      <c r="D3549" s="385" t="s">
        <v>14714</v>
      </c>
    </row>
    <row r="3550" spans="1:4" x14ac:dyDescent="0.25">
      <c r="A3550" s="384" t="s">
        <v>14715</v>
      </c>
      <c r="B3550" s="384" t="s">
        <v>14716</v>
      </c>
      <c r="C3550" s="384" t="s">
        <v>82</v>
      </c>
      <c r="D3550" s="385" t="s">
        <v>10581</v>
      </c>
    </row>
    <row r="3551" spans="1:4" x14ac:dyDescent="0.25">
      <c r="A3551" s="384" t="s">
        <v>14717</v>
      </c>
      <c r="B3551" s="384" t="s">
        <v>14718</v>
      </c>
      <c r="C3551" s="384" t="s">
        <v>82</v>
      </c>
      <c r="D3551" s="385" t="s">
        <v>14719</v>
      </c>
    </row>
    <row r="3552" spans="1:4" x14ac:dyDescent="0.25">
      <c r="A3552" s="384" t="s">
        <v>14720</v>
      </c>
      <c r="B3552" s="384" t="s">
        <v>14721</v>
      </c>
      <c r="C3552" s="384" t="s">
        <v>82</v>
      </c>
      <c r="D3552" s="385" t="s">
        <v>14722</v>
      </c>
    </row>
    <row r="3553" spans="1:4" x14ac:dyDescent="0.25">
      <c r="A3553" s="384" t="s">
        <v>14723</v>
      </c>
      <c r="B3553" s="384" t="s">
        <v>14724</v>
      </c>
      <c r="C3553" s="384" t="s">
        <v>82</v>
      </c>
      <c r="D3553" s="385" t="s">
        <v>14725</v>
      </c>
    </row>
    <row r="3554" spans="1:4" x14ac:dyDescent="0.25">
      <c r="A3554" s="384" t="s">
        <v>14726</v>
      </c>
      <c r="B3554" s="384" t="s">
        <v>14727</v>
      </c>
      <c r="C3554" s="384" t="s">
        <v>82</v>
      </c>
      <c r="D3554" s="385" t="s">
        <v>14728</v>
      </c>
    </row>
    <row r="3555" spans="1:4" x14ac:dyDescent="0.25">
      <c r="A3555" s="384" t="s">
        <v>14729</v>
      </c>
      <c r="B3555" s="384" t="s">
        <v>14730</v>
      </c>
      <c r="C3555" s="384" t="s">
        <v>82</v>
      </c>
      <c r="D3555" s="385" t="s">
        <v>14731</v>
      </c>
    </row>
    <row r="3556" spans="1:4" x14ac:dyDescent="0.25">
      <c r="A3556" s="384" t="s">
        <v>14732</v>
      </c>
      <c r="B3556" s="384" t="s">
        <v>14733</v>
      </c>
      <c r="C3556" s="384" t="s">
        <v>82</v>
      </c>
      <c r="D3556" s="385" t="s">
        <v>14734</v>
      </c>
    </row>
    <row r="3557" spans="1:4" x14ac:dyDescent="0.25">
      <c r="A3557" s="384" t="s">
        <v>14735</v>
      </c>
      <c r="B3557" s="384" t="s">
        <v>14736</v>
      </c>
      <c r="C3557" s="384" t="s">
        <v>82</v>
      </c>
      <c r="D3557" s="385" t="s">
        <v>14737</v>
      </c>
    </row>
    <row r="3558" spans="1:4" x14ac:dyDescent="0.25">
      <c r="A3558" s="384" t="s">
        <v>14738</v>
      </c>
      <c r="B3558" s="384" t="s">
        <v>14739</v>
      </c>
      <c r="C3558" s="384" t="s">
        <v>82</v>
      </c>
      <c r="D3558" s="385" t="s">
        <v>14740</v>
      </c>
    </row>
    <row r="3559" spans="1:4" x14ac:dyDescent="0.25">
      <c r="A3559" s="384" t="s">
        <v>14741</v>
      </c>
      <c r="B3559" s="384" t="s">
        <v>14742</v>
      </c>
      <c r="C3559" s="384" t="s">
        <v>82</v>
      </c>
      <c r="D3559" s="385" t="s">
        <v>14743</v>
      </c>
    </row>
    <row r="3560" spans="1:4" x14ac:dyDescent="0.25">
      <c r="A3560" s="384" t="s">
        <v>14744</v>
      </c>
      <c r="B3560" s="384" t="s">
        <v>14745</v>
      </c>
      <c r="C3560" s="384" t="s">
        <v>82</v>
      </c>
      <c r="D3560" s="385" t="s">
        <v>14746</v>
      </c>
    </row>
    <row r="3561" spans="1:4" x14ac:dyDescent="0.25">
      <c r="A3561" s="384" t="s">
        <v>14747</v>
      </c>
      <c r="B3561" s="384" t="s">
        <v>14748</v>
      </c>
      <c r="C3561" s="384" t="s">
        <v>82</v>
      </c>
      <c r="D3561" s="385" t="s">
        <v>14749</v>
      </c>
    </row>
    <row r="3562" spans="1:4" x14ac:dyDescent="0.25">
      <c r="A3562" s="384" t="s">
        <v>14750</v>
      </c>
      <c r="B3562" s="384" t="s">
        <v>14751</v>
      </c>
      <c r="C3562" s="384" t="s">
        <v>82</v>
      </c>
      <c r="D3562" s="385" t="s">
        <v>14752</v>
      </c>
    </row>
    <row r="3563" spans="1:4" x14ac:dyDescent="0.25">
      <c r="A3563" s="384" t="s">
        <v>14753</v>
      </c>
      <c r="B3563" s="384" t="s">
        <v>14754</v>
      </c>
      <c r="C3563" s="384" t="s">
        <v>82</v>
      </c>
      <c r="D3563" s="385" t="s">
        <v>14755</v>
      </c>
    </row>
    <row r="3564" spans="1:4" x14ac:dyDescent="0.25">
      <c r="A3564" s="384" t="s">
        <v>14756</v>
      </c>
      <c r="B3564" s="384" t="s">
        <v>14757</v>
      </c>
      <c r="C3564" s="384" t="s">
        <v>82</v>
      </c>
      <c r="D3564" s="385" t="s">
        <v>14758</v>
      </c>
    </row>
    <row r="3565" spans="1:4" x14ac:dyDescent="0.25">
      <c r="A3565" s="384" t="s">
        <v>14759</v>
      </c>
      <c r="B3565" s="384" t="s">
        <v>14760</v>
      </c>
      <c r="C3565" s="384" t="s">
        <v>82</v>
      </c>
      <c r="D3565" s="385" t="s">
        <v>14761</v>
      </c>
    </row>
    <row r="3566" spans="1:4" x14ac:dyDescent="0.25">
      <c r="A3566" s="384" t="s">
        <v>14762</v>
      </c>
      <c r="B3566" s="384" t="s">
        <v>14763</v>
      </c>
      <c r="C3566" s="384" t="s">
        <v>82</v>
      </c>
      <c r="D3566" s="385" t="s">
        <v>14764</v>
      </c>
    </row>
    <row r="3567" spans="1:4" x14ac:dyDescent="0.25">
      <c r="A3567" s="384" t="s">
        <v>14765</v>
      </c>
      <c r="B3567" s="384" t="s">
        <v>14766</v>
      </c>
      <c r="C3567" s="384" t="s">
        <v>82</v>
      </c>
      <c r="D3567" s="385" t="s">
        <v>14767</v>
      </c>
    </row>
    <row r="3568" spans="1:4" x14ac:dyDescent="0.25">
      <c r="A3568" s="384" t="s">
        <v>14768</v>
      </c>
      <c r="B3568" s="384" t="s">
        <v>14769</v>
      </c>
      <c r="C3568" s="384" t="s">
        <v>82</v>
      </c>
      <c r="D3568" s="385" t="s">
        <v>14770</v>
      </c>
    </row>
    <row r="3569" spans="1:4" x14ac:dyDescent="0.25">
      <c r="A3569" s="384" t="s">
        <v>14771</v>
      </c>
      <c r="B3569" s="384" t="s">
        <v>14772</v>
      </c>
      <c r="C3569" s="384" t="s">
        <v>82</v>
      </c>
      <c r="D3569" s="385" t="s">
        <v>14773</v>
      </c>
    </row>
    <row r="3570" spans="1:4" x14ac:dyDescent="0.25">
      <c r="A3570" s="384" t="s">
        <v>14774</v>
      </c>
      <c r="B3570" s="384" t="s">
        <v>14775</v>
      </c>
      <c r="C3570" s="384" t="s">
        <v>82</v>
      </c>
      <c r="D3570" s="385" t="s">
        <v>10747</v>
      </c>
    </row>
    <row r="3571" spans="1:4" x14ac:dyDescent="0.25">
      <c r="A3571" s="384" t="s">
        <v>14776</v>
      </c>
      <c r="B3571" s="384" t="s">
        <v>14777</v>
      </c>
      <c r="C3571" s="384" t="s">
        <v>83</v>
      </c>
      <c r="D3571" s="385" t="s">
        <v>14778</v>
      </c>
    </row>
    <row r="3572" spans="1:4" x14ac:dyDescent="0.25">
      <c r="A3572" s="384" t="s">
        <v>14779</v>
      </c>
      <c r="B3572" s="384" t="s">
        <v>14780</v>
      </c>
      <c r="C3572" s="384" t="s">
        <v>82</v>
      </c>
      <c r="D3572" s="385" t="s">
        <v>14781</v>
      </c>
    </row>
    <row r="3573" spans="1:4" x14ac:dyDescent="0.25">
      <c r="A3573" s="384" t="s">
        <v>14782</v>
      </c>
      <c r="B3573" s="384" t="s">
        <v>14783</v>
      </c>
      <c r="C3573" s="384" t="s">
        <v>82</v>
      </c>
      <c r="D3573" s="385" t="s">
        <v>4775</v>
      </c>
    </row>
    <row r="3574" spans="1:4" x14ac:dyDescent="0.25">
      <c r="A3574" s="384" t="s">
        <v>14784</v>
      </c>
      <c r="B3574" s="384" t="s">
        <v>14785</v>
      </c>
      <c r="C3574" s="384" t="s">
        <v>82</v>
      </c>
      <c r="D3574" s="385" t="s">
        <v>14786</v>
      </c>
    </row>
    <row r="3575" spans="1:4" x14ac:dyDescent="0.25">
      <c r="A3575" s="384" t="s">
        <v>14787</v>
      </c>
      <c r="B3575" s="384" t="s">
        <v>14788</v>
      </c>
      <c r="C3575" s="384" t="s">
        <v>82</v>
      </c>
      <c r="D3575" s="385" t="s">
        <v>14789</v>
      </c>
    </row>
    <row r="3576" spans="1:4" x14ac:dyDescent="0.25">
      <c r="A3576" s="384" t="s">
        <v>14790</v>
      </c>
      <c r="B3576" s="384" t="s">
        <v>14791</v>
      </c>
      <c r="C3576" s="384" t="s">
        <v>82</v>
      </c>
      <c r="D3576" s="385" t="s">
        <v>14792</v>
      </c>
    </row>
    <row r="3577" spans="1:4" x14ac:dyDescent="0.25">
      <c r="A3577" s="384" t="s">
        <v>14793</v>
      </c>
      <c r="B3577" s="384" t="s">
        <v>14794</v>
      </c>
      <c r="C3577" s="384" t="s">
        <v>82</v>
      </c>
      <c r="D3577" s="385" t="s">
        <v>10507</v>
      </c>
    </row>
    <row r="3578" spans="1:4" x14ac:dyDescent="0.25">
      <c r="A3578" s="384" t="s">
        <v>14795</v>
      </c>
      <c r="B3578" s="384" t="s">
        <v>14796</v>
      </c>
      <c r="C3578" s="384" t="s">
        <v>82</v>
      </c>
      <c r="D3578" s="385" t="s">
        <v>5117</v>
      </c>
    </row>
    <row r="3579" spans="1:4" x14ac:dyDescent="0.25">
      <c r="A3579" s="384" t="s">
        <v>14797</v>
      </c>
      <c r="B3579" s="384" t="s">
        <v>14798</v>
      </c>
      <c r="C3579" s="384" t="s">
        <v>82</v>
      </c>
      <c r="D3579" s="385" t="s">
        <v>14799</v>
      </c>
    </row>
    <row r="3580" spans="1:4" x14ac:dyDescent="0.25">
      <c r="A3580" s="384" t="s">
        <v>14800</v>
      </c>
      <c r="B3580" s="384" t="s">
        <v>14801</v>
      </c>
      <c r="C3580" s="384" t="s">
        <v>82</v>
      </c>
      <c r="D3580" s="385" t="s">
        <v>14802</v>
      </c>
    </row>
    <row r="3581" spans="1:4" x14ac:dyDescent="0.25">
      <c r="A3581" s="384" t="s">
        <v>14803</v>
      </c>
      <c r="B3581" s="384" t="s">
        <v>14804</v>
      </c>
      <c r="C3581" s="384" t="s">
        <v>82</v>
      </c>
      <c r="D3581" s="385" t="s">
        <v>14805</v>
      </c>
    </row>
    <row r="3582" spans="1:4" x14ac:dyDescent="0.25">
      <c r="A3582" s="384" t="s">
        <v>14806</v>
      </c>
      <c r="B3582" s="384" t="s">
        <v>14807</v>
      </c>
      <c r="C3582" s="384" t="s">
        <v>82</v>
      </c>
      <c r="D3582" s="385" t="s">
        <v>14808</v>
      </c>
    </row>
    <row r="3583" spans="1:4" x14ac:dyDescent="0.25">
      <c r="A3583" s="384" t="s">
        <v>14809</v>
      </c>
      <c r="B3583" s="384" t="s">
        <v>14810</v>
      </c>
      <c r="C3583" s="384" t="s">
        <v>82</v>
      </c>
      <c r="D3583" s="385" t="s">
        <v>14811</v>
      </c>
    </row>
    <row r="3584" spans="1:4" x14ac:dyDescent="0.25">
      <c r="A3584" s="384" t="s">
        <v>14812</v>
      </c>
      <c r="B3584" s="384" t="s">
        <v>14813</v>
      </c>
      <c r="C3584" s="384" t="s">
        <v>82</v>
      </c>
      <c r="D3584" s="385" t="s">
        <v>14814</v>
      </c>
    </row>
    <row r="3585" spans="1:4" x14ac:dyDescent="0.25">
      <c r="A3585" s="384" t="s">
        <v>14815</v>
      </c>
      <c r="B3585" s="384" t="s">
        <v>14816</v>
      </c>
      <c r="C3585" s="384" t="s">
        <v>82</v>
      </c>
      <c r="D3585" s="385" t="s">
        <v>14817</v>
      </c>
    </row>
    <row r="3586" spans="1:4" x14ac:dyDescent="0.25">
      <c r="A3586" s="384" t="s">
        <v>14818</v>
      </c>
      <c r="B3586" s="384" t="s">
        <v>14819</v>
      </c>
      <c r="C3586" s="384" t="s">
        <v>82</v>
      </c>
      <c r="D3586" s="385" t="s">
        <v>14820</v>
      </c>
    </row>
    <row r="3587" spans="1:4" x14ac:dyDescent="0.25">
      <c r="A3587" s="384" t="s">
        <v>14821</v>
      </c>
      <c r="B3587" s="384" t="s">
        <v>14822</v>
      </c>
      <c r="C3587" s="384" t="s">
        <v>82</v>
      </c>
      <c r="D3587" s="385" t="s">
        <v>14823</v>
      </c>
    </row>
    <row r="3588" spans="1:4" x14ac:dyDescent="0.25">
      <c r="A3588" s="384" t="s">
        <v>14824</v>
      </c>
      <c r="B3588" s="384" t="s">
        <v>14825</v>
      </c>
      <c r="C3588" s="384" t="s">
        <v>82</v>
      </c>
      <c r="D3588" s="385" t="s">
        <v>14826</v>
      </c>
    </row>
    <row r="3589" spans="1:4" x14ac:dyDescent="0.25">
      <c r="A3589" s="384" t="s">
        <v>14827</v>
      </c>
      <c r="B3589" s="384" t="s">
        <v>14828</v>
      </c>
      <c r="C3589" s="384" t="s">
        <v>83</v>
      </c>
      <c r="D3589" s="385" t="s">
        <v>14829</v>
      </c>
    </row>
    <row r="3590" spans="1:4" x14ac:dyDescent="0.25">
      <c r="A3590" s="384" t="s">
        <v>14830</v>
      </c>
      <c r="B3590" s="384" t="s">
        <v>14831</v>
      </c>
      <c r="C3590" s="384" t="s">
        <v>83</v>
      </c>
      <c r="D3590" s="385" t="s">
        <v>14832</v>
      </c>
    </row>
    <row r="3591" spans="1:4" x14ac:dyDescent="0.25">
      <c r="A3591" s="384" t="s">
        <v>14833</v>
      </c>
      <c r="B3591" s="384" t="s">
        <v>14834</v>
      </c>
      <c r="C3591" s="384" t="s">
        <v>83</v>
      </c>
      <c r="D3591" s="385" t="s">
        <v>14835</v>
      </c>
    </row>
    <row r="3592" spans="1:4" x14ac:dyDescent="0.25">
      <c r="A3592" s="384" t="s">
        <v>14836</v>
      </c>
      <c r="B3592" s="384" t="s">
        <v>14837</v>
      </c>
      <c r="C3592" s="384" t="s">
        <v>83</v>
      </c>
      <c r="D3592" s="385" t="s">
        <v>14835</v>
      </c>
    </row>
    <row r="3593" spans="1:4" x14ac:dyDescent="0.25">
      <c r="A3593" s="384" t="s">
        <v>14838</v>
      </c>
      <c r="B3593" s="384" t="s">
        <v>14839</v>
      </c>
      <c r="C3593" s="384" t="s">
        <v>83</v>
      </c>
      <c r="D3593" s="385" t="s">
        <v>14835</v>
      </c>
    </row>
    <row r="3594" spans="1:4" x14ac:dyDescent="0.25">
      <c r="A3594" s="384" t="s">
        <v>14840</v>
      </c>
      <c r="B3594" s="384" t="s">
        <v>14841</v>
      </c>
      <c r="C3594" s="384" t="s">
        <v>83</v>
      </c>
      <c r="D3594" s="385" t="s">
        <v>14842</v>
      </c>
    </row>
    <row r="3595" spans="1:4" x14ac:dyDescent="0.25">
      <c r="A3595" s="384" t="s">
        <v>14843</v>
      </c>
      <c r="B3595" s="384" t="s">
        <v>14844</v>
      </c>
      <c r="C3595" s="384" t="s">
        <v>83</v>
      </c>
      <c r="D3595" s="385" t="s">
        <v>14845</v>
      </c>
    </row>
    <row r="3596" spans="1:4" x14ac:dyDescent="0.25">
      <c r="A3596" s="384" t="s">
        <v>14846</v>
      </c>
      <c r="B3596" s="384" t="s">
        <v>14847</v>
      </c>
      <c r="C3596" s="384" t="s">
        <v>83</v>
      </c>
      <c r="D3596" s="385" t="s">
        <v>14848</v>
      </c>
    </row>
    <row r="3597" spans="1:4" x14ac:dyDescent="0.25">
      <c r="A3597" s="384" t="s">
        <v>14849</v>
      </c>
      <c r="B3597" s="384" t="s">
        <v>14850</v>
      </c>
      <c r="C3597" s="384" t="s">
        <v>82</v>
      </c>
      <c r="D3597" s="385" t="s">
        <v>14851</v>
      </c>
    </row>
    <row r="3598" spans="1:4" x14ac:dyDescent="0.25">
      <c r="A3598" s="384" t="s">
        <v>14852</v>
      </c>
      <c r="B3598" s="384" t="s">
        <v>14853</v>
      </c>
      <c r="C3598" s="384" t="s">
        <v>83</v>
      </c>
      <c r="D3598" s="385" t="s">
        <v>14854</v>
      </c>
    </row>
    <row r="3599" spans="1:4" x14ac:dyDescent="0.25">
      <c r="A3599" s="384" t="s">
        <v>14855</v>
      </c>
      <c r="B3599" s="384" t="s">
        <v>14856</v>
      </c>
      <c r="C3599" s="384" t="s">
        <v>83</v>
      </c>
      <c r="D3599" s="385" t="s">
        <v>14857</v>
      </c>
    </row>
    <row r="3600" spans="1:4" x14ac:dyDescent="0.25">
      <c r="A3600" s="384" t="s">
        <v>14858</v>
      </c>
      <c r="B3600" s="384" t="s">
        <v>14859</v>
      </c>
      <c r="C3600" s="384" t="s">
        <v>83</v>
      </c>
      <c r="D3600" s="385" t="s">
        <v>14860</v>
      </c>
    </row>
    <row r="3601" spans="1:4" x14ac:dyDescent="0.25">
      <c r="A3601" s="384" t="s">
        <v>14861</v>
      </c>
      <c r="B3601" s="384" t="s">
        <v>14862</v>
      </c>
      <c r="C3601" s="384" t="s">
        <v>83</v>
      </c>
      <c r="D3601" s="385" t="s">
        <v>14860</v>
      </c>
    </row>
    <row r="3602" spans="1:4" x14ac:dyDescent="0.25">
      <c r="A3602" s="384" t="s">
        <v>14863</v>
      </c>
      <c r="B3602" s="384" t="s">
        <v>14864</v>
      </c>
      <c r="C3602" s="384" t="s">
        <v>83</v>
      </c>
      <c r="D3602" s="385" t="s">
        <v>14860</v>
      </c>
    </row>
    <row r="3603" spans="1:4" x14ac:dyDescent="0.25">
      <c r="A3603" s="384" t="s">
        <v>14865</v>
      </c>
      <c r="B3603" s="384" t="s">
        <v>14866</v>
      </c>
      <c r="C3603" s="384" t="s">
        <v>83</v>
      </c>
      <c r="D3603" s="385" t="s">
        <v>14867</v>
      </c>
    </row>
    <row r="3604" spans="1:4" x14ac:dyDescent="0.25">
      <c r="A3604" s="384" t="s">
        <v>14868</v>
      </c>
      <c r="B3604" s="384" t="s">
        <v>14869</v>
      </c>
      <c r="C3604" s="384" t="s">
        <v>83</v>
      </c>
      <c r="D3604" s="385" t="s">
        <v>14870</v>
      </c>
    </row>
    <row r="3605" spans="1:4" x14ac:dyDescent="0.25">
      <c r="A3605" s="384" t="s">
        <v>14871</v>
      </c>
      <c r="B3605" s="384" t="s">
        <v>14872</v>
      </c>
      <c r="C3605" s="384" t="s">
        <v>83</v>
      </c>
      <c r="D3605" s="385" t="s">
        <v>14873</v>
      </c>
    </row>
    <row r="3606" spans="1:4" x14ac:dyDescent="0.25">
      <c r="A3606" s="384" t="s">
        <v>14874</v>
      </c>
      <c r="B3606" s="384" t="s">
        <v>14875</v>
      </c>
      <c r="C3606" s="384" t="s">
        <v>83</v>
      </c>
      <c r="D3606" s="385" t="s">
        <v>14876</v>
      </c>
    </row>
    <row r="3607" spans="1:4" x14ac:dyDescent="0.25">
      <c r="A3607" s="384" t="s">
        <v>14877</v>
      </c>
      <c r="B3607" s="384" t="s">
        <v>14878</v>
      </c>
      <c r="C3607" s="384" t="s">
        <v>83</v>
      </c>
      <c r="D3607" s="385" t="s">
        <v>6762</v>
      </c>
    </row>
    <row r="3608" spans="1:4" x14ac:dyDescent="0.25">
      <c r="A3608" s="384" t="s">
        <v>14879</v>
      </c>
      <c r="B3608" s="384" t="s">
        <v>14880</v>
      </c>
      <c r="C3608" s="384" t="s">
        <v>83</v>
      </c>
      <c r="D3608" s="385" t="s">
        <v>14608</v>
      </c>
    </row>
    <row r="3609" spans="1:4" x14ac:dyDescent="0.25">
      <c r="A3609" s="384" t="s">
        <v>14881</v>
      </c>
      <c r="B3609" s="384" t="s">
        <v>14882</v>
      </c>
      <c r="C3609" s="384" t="s">
        <v>83</v>
      </c>
      <c r="D3609" s="385" t="s">
        <v>14883</v>
      </c>
    </row>
    <row r="3610" spans="1:4" x14ac:dyDescent="0.25">
      <c r="A3610" s="384" t="s">
        <v>14884</v>
      </c>
      <c r="B3610" s="384" t="s">
        <v>14885</v>
      </c>
      <c r="C3610" s="384" t="s">
        <v>83</v>
      </c>
      <c r="D3610" s="385" t="s">
        <v>7449</v>
      </c>
    </row>
    <row r="3611" spans="1:4" x14ac:dyDescent="0.25">
      <c r="A3611" s="384" t="s">
        <v>14886</v>
      </c>
      <c r="B3611" s="384" t="s">
        <v>14887</v>
      </c>
      <c r="C3611" s="384" t="s">
        <v>83</v>
      </c>
      <c r="D3611" s="385" t="s">
        <v>4454</v>
      </c>
    </row>
    <row r="3612" spans="1:4" x14ac:dyDescent="0.25">
      <c r="A3612" s="384" t="s">
        <v>14888</v>
      </c>
      <c r="B3612" s="384" t="s">
        <v>14889</v>
      </c>
      <c r="C3612" s="384" t="s">
        <v>83</v>
      </c>
      <c r="D3612" s="385" t="s">
        <v>12733</v>
      </c>
    </row>
    <row r="3613" spans="1:4" x14ac:dyDescent="0.25">
      <c r="A3613" s="384" t="s">
        <v>14890</v>
      </c>
      <c r="B3613" s="384" t="s">
        <v>14891</v>
      </c>
      <c r="C3613" s="384" t="s">
        <v>83</v>
      </c>
      <c r="D3613" s="385" t="s">
        <v>14892</v>
      </c>
    </row>
    <row r="3614" spans="1:4" x14ac:dyDescent="0.25">
      <c r="A3614" s="384" t="s">
        <v>14893</v>
      </c>
      <c r="B3614" s="384" t="s">
        <v>14894</v>
      </c>
      <c r="C3614" s="384" t="s">
        <v>83</v>
      </c>
      <c r="D3614" s="385" t="s">
        <v>14895</v>
      </c>
    </row>
    <row r="3615" spans="1:4" x14ac:dyDescent="0.25">
      <c r="A3615" s="384" t="s">
        <v>14896</v>
      </c>
      <c r="B3615" s="384" t="s">
        <v>14897</v>
      </c>
      <c r="C3615" s="384" t="s">
        <v>83</v>
      </c>
      <c r="D3615" s="385" t="s">
        <v>14898</v>
      </c>
    </row>
    <row r="3616" spans="1:4" x14ac:dyDescent="0.25">
      <c r="A3616" s="384" t="s">
        <v>14899</v>
      </c>
      <c r="B3616" s="384" t="s">
        <v>14900</v>
      </c>
      <c r="C3616" s="384" t="s">
        <v>83</v>
      </c>
      <c r="D3616" s="385" t="s">
        <v>14901</v>
      </c>
    </row>
    <row r="3617" spans="1:4" x14ac:dyDescent="0.25">
      <c r="A3617" s="384" t="s">
        <v>14902</v>
      </c>
      <c r="B3617" s="384" t="s">
        <v>14903</v>
      </c>
      <c r="C3617" s="384" t="s">
        <v>83</v>
      </c>
      <c r="D3617" s="385" t="s">
        <v>14904</v>
      </c>
    </row>
    <row r="3618" spans="1:4" x14ac:dyDescent="0.25">
      <c r="A3618" s="384" t="s">
        <v>14905</v>
      </c>
      <c r="B3618" s="384" t="s">
        <v>14906</v>
      </c>
      <c r="C3618" s="384" t="s">
        <v>83</v>
      </c>
      <c r="D3618" s="385" t="s">
        <v>14907</v>
      </c>
    </row>
    <row r="3619" spans="1:4" x14ac:dyDescent="0.25">
      <c r="A3619" s="384" t="s">
        <v>14908</v>
      </c>
      <c r="B3619" s="384" t="s">
        <v>14909</v>
      </c>
      <c r="C3619" s="384" t="s">
        <v>83</v>
      </c>
      <c r="D3619" s="385" t="s">
        <v>6021</v>
      </c>
    </row>
    <row r="3620" spans="1:4" x14ac:dyDescent="0.25">
      <c r="A3620" s="384" t="s">
        <v>14910</v>
      </c>
      <c r="B3620" s="384" t="s">
        <v>14911</v>
      </c>
      <c r="C3620" s="384" t="s">
        <v>83</v>
      </c>
      <c r="D3620" s="385" t="s">
        <v>14912</v>
      </c>
    </row>
    <row r="3621" spans="1:4" x14ac:dyDescent="0.25">
      <c r="A3621" s="384" t="s">
        <v>14913</v>
      </c>
      <c r="B3621" s="384" t="s">
        <v>14914</v>
      </c>
      <c r="C3621" s="384" t="s">
        <v>83</v>
      </c>
      <c r="D3621" s="385" t="s">
        <v>12275</v>
      </c>
    </row>
    <row r="3622" spans="1:4" x14ac:dyDescent="0.25">
      <c r="A3622" s="384" t="s">
        <v>14915</v>
      </c>
      <c r="B3622" s="384" t="s">
        <v>14916</v>
      </c>
      <c r="C3622" s="384" t="s">
        <v>83</v>
      </c>
      <c r="D3622" s="385" t="s">
        <v>8422</v>
      </c>
    </row>
    <row r="3623" spans="1:4" x14ac:dyDescent="0.25">
      <c r="A3623" s="384" t="s">
        <v>14917</v>
      </c>
      <c r="B3623" s="384" t="s">
        <v>14918</v>
      </c>
      <c r="C3623" s="384" t="s">
        <v>83</v>
      </c>
      <c r="D3623" s="385" t="s">
        <v>14919</v>
      </c>
    </row>
    <row r="3624" spans="1:4" x14ac:dyDescent="0.25">
      <c r="A3624" s="384" t="s">
        <v>14920</v>
      </c>
      <c r="B3624" s="384" t="s">
        <v>14921</v>
      </c>
      <c r="C3624" s="384" t="s">
        <v>83</v>
      </c>
      <c r="D3624" s="385" t="s">
        <v>14922</v>
      </c>
    </row>
    <row r="3625" spans="1:4" x14ac:dyDescent="0.25">
      <c r="A3625" s="384" t="s">
        <v>14923</v>
      </c>
      <c r="B3625" s="384" t="s">
        <v>14924</v>
      </c>
      <c r="C3625" s="384" t="s">
        <v>83</v>
      </c>
      <c r="D3625" s="385" t="s">
        <v>5615</v>
      </c>
    </row>
    <row r="3626" spans="1:4" x14ac:dyDescent="0.25">
      <c r="A3626" s="384" t="s">
        <v>14925</v>
      </c>
      <c r="B3626" s="384" t="s">
        <v>14926</v>
      </c>
      <c r="C3626" s="384" t="s">
        <v>83</v>
      </c>
      <c r="D3626" s="385" t="s">
        <v>14927</v>
      </c>
    </row>
    <row r="3627" spans="1:4" x14ac:dyDescent="0.25">
      <c r="A3627" s="384" t="s">
        <v>14928</v>
      </c>
      <c r="B3627" s="384" t="s">
        <v>14929</v>
      </c>
      <c r="C3627" s="384" t="s">
        <v>83</v>
      </c>
      <c r="D3627" s="385" t="s">
        <v>14930</v>
      </c>
    </row>
    <row r="3628" spans="1:4" x14ac:dyDescent="0.25">
      <c r="A3628" s="384" t="s">
        <v>14931</v>
      </c>
      <c r="B3628" s="384" t="s">
        <v>14932</v>
      </c>
      <c r="C3628" s="384" t="s">
        <v>83</v>
      </c>
      <c r="D3628" s="385" t="s">
        <v>14933</v>
      </c>
    </row>
    <row r="3629" spans="1:4" x14ac:dyDescent="0.25">
      <c r="A3629" s="384" t="s">
        <v>14934</v>
      </c>
      <c r="B3629" s="384" t="s">
        <v>14935</v>
      </c>
      <c r="C3629" s="384" t="s">
        <v>83</v>
      </c>
      <c r="D3629" s="385" t="s">
        <v>11220</v>
      </c>
    </row>
    <row r="3630" spans="1:4" x14ac:dyDescent="0.25">
      <c r="A3630" s="384" t="s">
        <v>14936</v>
      </c>
      <c r="B3630" s="384" t="s">
        <v>14937</v>
      </c>
      <c r="C3630" s="384" t="s">
        <v>83</v>
      </c>
      <c r="D3630" s="385" t="s">
        <v>14938</v>
      </c>
    </row>
    <row r="3631" spans="1:4" x14ac:dyDescent="0.25">
      <c r="A3631" s="384" t="s">
        <v>14939</v>
      </c>
      <c r="B3631" s="384" t="s">
        <v>14940</v>
      </c>
      <c r="C3631" s="384" t="s">
        <v>83</v>
      </c>
      <c r="D3631" s="385" t="s">
        <v>14941</v>
      </c>
    </row>
    <row r="3632" spans="1:4" x14ac:dyDescent="0.25">
      <c r="A3632" s="384" t="s">
        <v>14942</v>
      </c>
      <c r="B3632" s="384" t="s">
        <v>14943</v>
      </c>
      <c r="C3632" s="384" t="s">
        <v>83</v>
      </c>
      <c r="D3632" s="385" t="s">
        <v>6499</v>
      </c>
    </row>
    <row r="3633" spans="1:4" x14ac:dyDescent="0.25">
      <c r="A3633" s="384" t="s">
        <v>14944</v>
      </c>
      <c r="B3633" s="384" t="s">
        <v>14945</v>
      </c>
      <c r="C3633" s="384" t="s">
        <v>83</v>
      </c>
      <c r="D3633" s="385" t="s">
        <v>7657</v>
      </c>
    </row>
    <row r="3634" spans="1:4" x14ac:dyDescent="0.25">
      <c r="A3634" s="384" t="s">
        <v>14946</v>
      </c>
      <c r="B3634" s="384" t="s">
        <v>14947</v>
      </c>
      <c r="C3634" s="384" t="s">
        <v>83</v>
      </c>
      <c r="D3634" s="385" t="s">
        <v>6344</v>
      </c>
    </row>
    <row r="3635" spans="1:4" x14ac:dyDescent="0.25">
      <c r="A3635" s="384" t="s">
        <v>14948</v>
      </c>
      <c r="B3635" s="384" t="s">
        <v>14949</v>
      </c>
      <c r="C3635" s="384" t="s">
        <v>83</v>
      </c>
      <c r="D3635" s="385" t="s">
        <v>14950</v>
      </c>
    </row>
    <row r="3636" spans="1:4" x14ac:dyDescent="0.25">
      <c r="A3636" s="384" t="s">
        <v>14951</v>
      </c>
      <c r="B3636" s="384" t="s">
        <v>14952</v>
      </c>
      <c r="C3636" s="384" t="s">
        <v>83</v>
      </c>
      <c r="D3636" s="385" t="s">
        <v>6505</v>
      </c>
    </row>
    <row r="3637" spans="1:4" x14ac:dyDescent="0.25">
      <c r="A3637" s="384" t="s">
        <v>14953</v>
      </c>
      <c r="B3637" s="384" t="s">
        <v>14954</v>
      </c>
      <c r="C3637" s="384" t="s">
        <v>83</v>
      </c>
      <c r="D3637" s="385" t="s">
        <v>14955</v>
      </c>
    </row>
    <row r="3638" spans="1:4" x14ac:dyDescent="0.25">
      <c r="A3638" s="384" t="s">
        <v>14956</v>
      </c>
      <c r="B3638" s="384" t="s">
        <v>14957</v>
      </c>
      <c r="C3638" s="384" t="s">
        <v>83</v>
      </c>
      <c r="D3638" s="385" t="s">
        <v>14958</v>
      </c>
    </row>
    <row r="3639" spans="1:4" x14ac:dyDescent="0.25">
      <c r="A3639" s="384" t="s">
        <v>14959</v>
      </c>
      <c r="B3639" s="384" t="s">
        <v>14960</v>
      </c>
      <c r="C3639" s="384" t="s">
        <v>83</v>
      </c>
      <c r="D3639" s="385" t="s">
        <v>14961</v>
      </c>
    </row>
    <row r="3640" spans="1:4" x14ac:dyDescent="0.25">
      <c r="A3640" s="384" t="s">
        <v>14962</v>
      </c>
      <c r="B3640" s="384" t="s">
        <v>14963</v>
      </c>
      <c r="C3640" s="384" t="s">
        <v>83</v>
      </c>
      <c r="D3640" s="385" t="s">
        <v>14964</v>
      </c>
    </row>
    <row r="3641" spans="1:4" x14ac:dyDescent="0.25">
      <c r="A3641" s="384" t="s">
        <v>14965</v>
      </c>
      <c r="B3641" s="384" t="s">
        <v>14966</v>
      </c>
      <c r="C3641" s="384" t="s">
        <v>83</v>
      </c>
      <c r="D3641" s="385" t="s">
        <v>14967</v>
      </c>
    </row>
    <row r="3642" spans="1:4" x14ac:dyDescent="0.25">
      <c r="A3642" s="384" t="s">
        <v>14968</v>
      </c>
      <c r="B3642" s="384" t="s">
        <v>14969</v>
      </c>
      <c r="C3642" s="384" t="s">
        <v>83</v>
      </c>
      <c r="D3642" s="385" t="s">
        <v>11470</v>
      </c>
    </row>
    <row r="3643" spans="1:4" x14ac:dyDescent="0.25">
      <c r="A3643" s="384" t="s">
        <v>14970</v>
      </c>
      <c r="B3643" s="384" t="s">
        <v>14971</v>
      </c>
      <c r="C3643" s="384" t="s">
        <v>83</v>
      </c>
      <c r="D3643" s="385" t="s">
        <v>14972</v>
      </c>
    </row>
    <row r="3644" spans="1:4" x14ac:dyDescent="0.25">
      <c r="A3644" s="384" t="s">
        <v>14973</v>
      </c>
      <c r="B3644" s="384" t="s">
        <v>14974</v>
      </c>
      <c r="C3644" s="384" t="s">
        <v>83</v>
      </c>
      <c r="D3644" s="385" t="s">
        <v>8058</v>
      </c>
    </row>
    <row r="3645" spans="1:4" x14ac:dyDescent="0.25">
      <c r="A3645" s="384" t="s">
        <v>14975</v>
      </c>
      <c r="B3645" s="384" t="s">
        <v>14976</v>
      </c>
      <c r="C3645" s="384" t="s">
        <v>83</v>
      </c>
      <c r="D3645" s="385" t="s">
        <v>14977</v>
      </c>
    </row>
    <row r="3646" spans="1:4" x14ac:dyDescent="0.25">
      <c r="A3646" s="384" t="s">
        <v>14978</v>
      </c>
      <c r="B3646" s="384" t="s">
        <v>14979</v>
      </c>
      <c r="C3646" s="384" t="s">
        <v>83</v>
      </c>
      <c r="D3646" s="385" t="s">
        <v>14980</v>
      </c>
    </row>
    <row r="3647" spans="1:4" x14ac:dyDescent="0.25">
      <c r="A3647" s="384" t="s">
        <v>14981</v>
      </c>
      <c r="B3647" s="384" t="s">
        <v>14982</v>
      </c>
      <c r="C3647" s="384" t="s">
        <v>83</v>
      </c>
      <c r="D3647" s="385" t="s">
        <v>14983</v>
      </c>
    </row>
    <row r="3648" spans="1:4" x14ac:dyDescent="0.25">
      <c r="A3648" s="384" t="s">
        <v>14984</v>
      </c>
      <c r="B3648" s="384" t="s">
        <v>14985</v>
      </c>
      <c r="C3648" s="384" t="s">
        <v>83</v>
      </c>
      <c r="D3648" s="385" t="s">
        <v>10416</v>
      </c>
    </row>
    <row r="3649" spans="1:4" x14ac:dyDescent="0.25">
      <c r="A3649" s="384" t="s">
        <v>14986</v>
      </c>
      <c r="B3649" s="384" t="s">
        <v>14987</v>
      </c>
      <c r="C3649" s="384" t="s">
        <v>83</v>
      </c>
      <c r="D3649" s="385" t="s">
        <v>14988</v>
      </c>
    </row>
    <row r="3650" spans="1:4" x14ac:dyDescent="0.25">
      <c r="A3650" s="384" t="s">
        <v>14989</v>
      </c>
      <c r="B3650" s="384" t="s">
        <v>14990</v>
      </c>
      <c r="C3650" s="384" t="s">
        <v>83</v>
      </c>
      <c r="D3650" s="385" t="s">
        <v>14991</v>
      </c>
    </row>
    <row r="3651" spans="1:4" x14ac:dyDescent="0.25">
      <c r="A3651" s="384" t="s">
        <v>14992</v>
      </c>
      <c r="B3651" s="384" t="s">
        <v>14993</v>
      </c>
      <c r="C3651" s="384" t="s">
        <v>83</v>
      </c>
      <c r="D3651" s="385" t="s">
        <v>14994</v>
      </c>
    </row>
    <row r="3652" spans="1:4" x14ac:dyDescent="0.25">
      <c r="A3652" s="384" t="s">
        <v>14995</v>
      </c>
      <c r="B3652" s="384" t="s">
        <v>14996</v>
      </c>
      <c r="C3652" s="384" t="s">
        <v>83</v>
      </c>
      <c r="D3652" s="385" t="s">
        <v>4691</v>
      </c>
    </row>
    <row r="3653" spans="1:4" x14ac:dyDescent="0.25">
      <c r="A3653" s="384" t="s">
        <v>14997</v>
      </c>
      <c r="B3653" s="384" t="s">
        <v>14998</v>
      </c>
      <c r="C3653" s="384" t="s">
        <v>83</v>
      </c>
      <c r="D3653" s="385" t="s">
        <v>11847</v>
      </c>
    </row>
    <row r="3654" spans="1:4" x14ac:dyDescent="0.25">
      <c r="A3654" s="384" t="s">
        <v>14999</v>
      </c>
      <c r="B3654" s="384" t="s">
        <v>15000</v>
      </c>
      <c r="C3654" s="384" t="s">
        <v>83</v>
      </c>
      <c r="D3654" s="385" t="s">
        <v>7217</v>
      </c>
    </row>
    <row r="3655" spans="1:4" x14ac:dyDescent="0.25">
      <c r="A3655" s="384" t="s">
        <v>15001</v>
      </c>
      <c r="B3655" s="384" t="s">
        <v>15002</v>
      </c>
      <c r="C3655" s="384" t="s">
        <v>83</v>
      </c>
      <c r="D3655" s="385" t="s">
        <v>15003</v>
      </c>
    </row>
    <row r="3656" spans="1:4" x14ac:dyDescent="0.25">
      <c r="A3656" s="384" t="s">
        <v>15004</v>
      </c>
      <c r="B3656" s="384" t="s">
        <v>15005</v>
      </c>
      <c r="C3656" s="384" t="s">
        <v>83</v>
      </c>
      <c r="D3656" s="385" t="s">
        <v>15006</v>
      </c>
    </row>
    <row r="3657" spans="1:4" x14ac:dyDescent="0.25">
      <c r="A3657" s="384" t="s">
        <v>15007</v>
      </c>
      <c r="B3657" s="384" t="s">
        <v>15008</v>
      </c>
      <c r="C3657" s="384" t="s">
        <v>83</v>
      </c>
      <c r="D3657" s="385" t="s">
        <v>7519</v>
      </c>
    </row>
    <row r="3658" spans="1:4" x14ac:dyDescent="0.25">
      <c r="A3658" s="384" t="s">
        <v>15009</v>
      </c>
      <c r="B3658" s="384" t="s">
        <v>15010</v>
      </c>
      <c r="C3658" s="384" t="s">
        <v>83</v>
      </c>
      <c r="D3658" s="385" t="s">
        <v>15011</v>
      </c>
    </row>
    <row r="3659" spans="1:4" x14ac:dyDescent="0.25">
      <c r="A3659" s="384" t="s">
        <v>15012</v>
      </c>
      <c r="B3659" s="384" t="s">
        <v>15013</v>
      </c>
      <c r="C3659" s="384" t="s">
        <v>83</v>
      </c>
      <c r="D3659" s="385" t="s">
        <v>15014</v>
      </c>
    </row>
    <row r="3660" spans="1:4" x14ac:dyDescent="0.25">
      <c r="A3660" s="384" t="s">
        <v>15015</v>
      </c>
      <c r="B3660" s="384" t="s">
        <v>15016</v>
      </c>
      <c r="C3660" s="384" t="s">
        <v>83</v>
      </c>
      <c r="D3660" s="385" t="s">
        <v>4718</v>
      </c>
    </row>
    <row r="3661" spans="1:4" x14ac:dyDescent="0.25">
      <c r="A3661" s="384" t="s">
        <v>15017</v>
      </c>
      <c r="B3661" s="384" t="s">
        <v>15018</v>
      </c>
      <c r="C3661" s="384" t="s">
        <v>83</v>
      </c>
      <c r="D3661" s="385" t="s">
        <v>15019</v>
      </c>
    </row>
    <row r="3662" spans="1:4" x14ac:dyDescent="0.25">
      <c r="A3662" s="384" t="s">
        <v>15020</v>
      </c>
      <c r="B3662" s="384" t="s">
        <v>15021</v>
      </c>
      <c r="C3662" s="384" t="s">
        <v>83</v>
      </c>
      <c r="D3662" s="385" t="s">
        <v>7479</v>
      </c>
    </row>
    <row r="3663" spans="1:4" x14ac:dyDescent="0.25">
      <c r="A3663" s="384" t="s">
        <v>15022</v>
      </c>
      <c r="B3663" s="384" t="s">
        <v>15023</v>
      </c>
      <c r="C3663" s="384" t="s">
        <v>83</v>
      </c>
      <c r="D3663" s="385" t="s">
        <v>15024</v>
      </c>
    </row>
    <row r="3664" spans="1:4" x14ac:dyDescent="0.25">
      <c r="A3664" s="384" t="s">
        <v>15025</v>
      </c>
      <c r="B3664" s="384" t="s">
        <v>15026</v>
      </c>
      <c r="C3664" s="384" t="s">
        <v>83</v>
      </c>
      <c r="D3664" s="385" t="s">
        <v>6477</v>
      </c>
    </row>
    <row r="3665" spans="1:4" x14ac:dyDescent="0.25">
      <c r="A3665" s="384" t="s">
        <v>15027</v>
      </c>
      <c r="B3665" s="384" t="s">
        <v>15028</v>
      </c>
      <c r="C3665" s="384" t="s">
        <v>83</v>
      </c>
      <c r="D3665" s="385" t="s">
        <v>13435</v>
      </c>
    </row>
    <row r="3666" spans="1:4" x14ac:dyDescent="0.25">
      <c r="A3666" s="384" t="s">
        <v>15029</v>
      </c>
      <c r="B3666" s="384" t="s">
        <v>15030</v>
      </c>
      <c r="C3666" s="384" t="s">
        <v>83</v>
      </c>
      <c r="D3666" s="385" t="s">
        <v>12588</v>
      </c>
    </row>
    <row r="3667" spans="1:4" x14ac:dyDescent="0.25">
      <c r="A3667" s="384" t="s">
        <v>15031</v>
      </c>
      <c r="B3667" s="384" t="s">
        <v>15032</v>
      </c>
      <c r="C3667" s="384" t="s">
        <v>83</v>
      </c>
      <c r="D3667" s="385" t="s">
        <v>7188</v>
      </c>
    </row>
    <row r="3668" spans="1:4" x14ac:dyDescent="0.25">
      <c r="A3668" s="384" t="s">
        <v>15033</v>
      </c>
      <c r="B3668" s="384" t="s">
        <v>15034</v>
      </c>
      <c r="C3668" s="384" t="s">
        <v>83</v>
      </c>
      <c r="D3668" s="385" t="s">
        <v>15035</v>
      </c>
    </row>
    <row r="3669" spans="1:4" x14ac:dyDescent="0.25">
      <c r="A3669" s="384" t="s">
        <v>15036</v>
      </c>
      <c r="B3669" s="384" t="s">
        <v>15037</v>
      </c>
      <c r="C3669" s="384" t="s">
        <v>83</v>
      </c>
      <c r="D3669" s="385" t="s">
        <v>6000</v>
      </c>
    </row>
    <row r="3670" spans="1:4" x14ac:dyDescent="0.25">
      <c r="A3670" s="384" t="s">
        <v>15038</v>
      </c>
      <c r="B3670" s="384" t="s">
        <v>15039</v>
      </c>
      <c r="C3670" s="384" t="s">
        <v>83</v>
      </c>
      <c r="D3670" s="385" t="s">
        <v>12011</v>
      </c>
    </row>
    <row r="3671" spans="1:4" x14ac:dyDescent="0.25">
      <c r="A3671" s="384" t="s">
        <v>15040</v>
      </c>
      <c r="B3671" s="384" t="s">
        <v>15041</v>
      </c>
      <c r="C3671" s="384" t="s">
        <v>83</v>
      </c>
      <c r="D3671" s="385" t="s">
        <v>12143</v>
      </c>
    </row>
    <row r="3672" spans="1:4" x14ac:dyDescent="0.25">
      <c r="A3672" s="384" t="s">
        <v>15042</v>
      </c>
      <c r="B3672" s="384" t="s">
        <v>15043</v>
      </c>
      <c r="C3672" s="384" t="s">
        <v>83</v>
      </c>
      <c r="D3672" s="385" t="s">
        <v>15044</v>
      </c>
    </row>
    <row r="3673" spans="1:4" x14ac:dyDescent="0.25">
      <c r="A3673" s="384" t="s">
        <v>15045</v>
      </c>
      <c r="B3673" s="384" t="s">
        <v>15046</v>
      </c>
      <c r="C3673" s="384" t="s">
        <v>83</v>
      </c>
      <c r="D3673" s="385" t="s">
        <v>15047</v>
      </c>
    </row>
    <row r="3674" spans="1:4" x14ac:dyDescent="0.25">
      <c r="A3674" s="384" t="s">
        <v>15048</v>
      </c>
      <c r="B3674" s="384" t="s">
        <v>15049</v>
      </c>
      <c r="C3674" s="384" t="s">
        <v>83</v>
      </c>
      <c r="D3674" s="385" t="s">
        <v>7327</v>
      </c>
    </row>
    <row r="3675" spans="1:4" x14ac:dyDescent="0.25">
      <c r="A3675" s="384" t="s">
        <v>15050</v>
      </c>
      <c r="B3675" s="384" t="s">
        <v>15051</v>
      </c>
      <c r="C3675" s="384" t="s">
        <v>83</v>
      </c>
      <c r="D3675" s="385" t="s">
        <v>15052</v>
      </c>
    </row>
    <row r="3676" spans="1:4" x14ac:dyDescent="0.25">
      <c r="A3676" s="384" t="s">
        <v>15053</v>
      </c>
      <c r="B3676" s="384" t="s">
        <v>15054</v>
      </c>
      <c r="C3676" s="384" t="s">
        <v>83</v>
      </c>
      <c r="D3676" s="385" t="s">
        <v>15055</v>
      </c>
    </row>
    <row r="3677" spans="1:4" x14ac:dyDescent="0.25">
      <c r="A3677" s="384" t="s">
        <v>15056</v>
      </c>
      <c r="B3677" s="384" t="s">
        <v>15057</v>
      </c>
      <c r="C3677" s="384" t="s">
        <v>83</v>
      </c>
      <c r="D3677" s="385" t="s">
        <v>15058</v>
      </c>
    </row>
    <row r="3678" spans="1:4" x14ac:dyDescent="0.25">
      <c r="A3678" s="384" t="s">
        <v>15059</v>
      </c>
      <c r="B3678" s="384" t="s">
        <v>15060</v>
      </c>
      <c r="C3678" s="384" t="s">
        <v>83</v>
      </c>
      <c r="D3678" s="385" t="s">
        <v>15061</v>
      </c>
    </row>
    <row r="3679" spans="1:4" x14ac:dyDescent="0.25">
      <c r="A3679" s="384" t="s">
        <v>15062</v>
      </c>
      <c r="B3679" s="384" t="s">
        <v>15063</v>
      </c>
      <c r="C3679" s="384" t="s">
        <v>83</v>
      </c>
      <c r="D3679" s="385" t="s">
        <v>12189</v>
      </c>
    </row>
    <row r="3680" spans="1:4" x14ac:dyDescent="0.25">
      <c r="A3680" s="384" t="s">
        <v>15064</v>
      </c>
      <c r="B3680" s="384" t="s">
        <v>15065</v>
      </c>
      <c r="C3680" s="384" t="s">
        <v>83</v>
      </c>
      <c r="D3680" s="385" t="s">
        <v>15066</v>
      </c>
    </row>
    <row r="3681" spans="1:4" x14ac:dyDescent="0.25">
      <c r="A3681" s="384" t="s">
        <v>15067</v>
      </c>
      <c r="B3681" s="384" t="s">
        <v>15068</v>
      </c>
      <c r="C3681" s="384" t="s">
        <v>83</v>
      </c>
      <c r="D3681" s="385" t="s">
        <v>15069</v>
      </c>
    </row>
    <row r="3682" spans="1:4" x14ac:dyDescent="0.25">
      <c r="A3682" s="384" t="s">
        <v>15070</v>
      </c>
      <c r="B3682" s="384" t="s">
        <v>15071</v>
      </c>
      <c r="C3682" s="384" t="s">
        <v>83</v>
      </c>
      <c r="D3682" s="385" t="s">
        <v>13217</v>
      </c>
    </row>
    <row r="3683" spans="1:4" x14ac:dyDescent="0.25">
      <c r="A3683" s="384" t="s">
        <v>15072</v>
      </c>
      <c r="B3683" s="384" t="s">
        <v>15073</v>
      </c>
      <c r="C3683" s="384" t="s">
        <v>83</v>
      </c>
      <c r="D3683" s="385" t="s">
        <v>15074</v>
      </c>
    </row>
    <row r="3684" spans="1:4" x14ac:dyDescent="0.25">
      <c r="A3684" s="384" t="s">
        <v>15075</v>
      </c>
      <c r="B3684" s="384" t="s">
        <v>15076</v>
      </c>
      <c r="C3684" s="384" t="s">
        <v>83</v>
      </c>
      <c r="D3684" s="385" t="s">
        <v>15077</v>
      </c>
    </row>
    <row r="3685" spans="1:4" x14ac:dyDescent="0.25">
      <c r="A3685" s="384" t="s">
        <v>15078</v>
      </c>
      <c r="B3685" s="384" t="s">
        <v>15079</v>
      </c>
      <c r="C3685" s="384" t="s">
        <v>83</v>
      </c>
      <c r="D3685" s="385" t="s">
        <v>15080</v>
      </c>
    </row>
    <row r="3686" spans="1:4" x14ac:dyDescent="0.25">
      <c r="A3686" s="384" t="s">
        <v>15081</v>
      </c>
      <c r="B3686" s="384" t="s">
        <v>15082</v>
      </c>
      <c r="C3686" s="384" t="s">
        <v>83</v>
      </c>
      <c r="D3686" s="385" t="s">
        <v>15083</v>
      </c>
    </row>
    <row r="3687" spans="1:4" x14ac:dyDescent="0.25">
      <c r="A3687" s="384" t="s">
        <v>15084</v>
      </c>
      <c r="B3687" s="384" t="s">
        <v>15085</v>
      </c>
      <c r="C3687" s="384" t="s">
        <v>83</v>
      </c>
      <c r="D3687" s="385" t="s">
        <v>15086</v>
      </c>
    </row>
    <row r="3688" spans="1:4" x14ac:dyDescent="0.25">
      <c r="A3688" s="384" t="s">
        <v>15087</v>
      </c>
      <c r="B3688" s="384" t="s">
        <v>15088</v>
      </c>
      <c r="C3688" s="384" t="s">
        <v>83</v>
      </c>
      <c r="D3688" s="385" t="s">
        <v>15089</v>
      </c>
    </row>
    <row r="3689" spans="1:4" x14ac:dyDescent="0.25">
      <c r="A3689" s="384" t="s">
        <v>15090</v>
      </c>
      <c r="B3689" s="384" t="s">
        <v>15091</v>
      </c>
      <c r="C3689" s="384" t="s">
        <v>83</v>
      </c>
      <c r="D3689" s="385" t="s">
        <v>15092</v>
      </c>
    </row>
    <row r="3690" spans="1:4" x14ac:dyDescent="0.25">
      <c r="A3690" s="384" t="s">
        <v>15093</v>
      </c>
      <c r="B3690" s="384" t="s">
        <v>15094</v>
      </c>
      <c r="C3690" s="384" t="s">
        <v>83</v>
      </c>
      <c r="D3690" s="385" t="s">
        <v>15095</v>
      </c>
    </row>
    <row r="3691" spans="1:4" x14ac:dyDescent="0.25">
      <c r="A3691" s="384" t="s">
        <v>15096</v>
      </c>
      <c r="B3691" s="384" t="s">
        <v>15097</v>
      </c>
      <c r="C3691" s="384" t="s">
        <v>83</v>
      </c>
      <c r="D3691" s="385" t="s">
        <v>15098</v>
      </c>
    </row>
    <row r="3692" spans="1:4" x14ac:dyDescent="0.25">
      <c r="A3692" s="384" t="s">
        <v>15099</v>
      </c>
      <c r="B3692" s="384" t="s">
        <v>15100</v>
      </c>
      <c r="C3692" s="384" t="s">
        <v>83</v>
      </c>
      <c r="D3692" s="385" t="s">
        <v>11847</v>
      </c>
    </row>
    <row r="3693" spans="1:4" x14ac:dyDescent="0.25">
      <c r="A3693" s="384" t="s">
        <v>15101</v>
      </c>
      <c r="B3693" s="384" t="s">
        <v>15102</v>
      </c>
      <c r="C3693" s="384" t="s">
        <v>83</v>
      </c>
      <c r="D3693" s="385" t="s">
        <v>15103</v>
      </c>
    </row>
    <row r="3694" spans="1:4" x14ac:dyDescent="0.25">
      <c r="A3694" s="384" t="s">
        <v>15104</v>
      </c>
      <c r="B3694" s="384" t="s">
        <v>15105</v>
      </c>
      <c r="C3694" s="384" t="s">
        <v>83</v>
      </c>
      <c r="D3694" s="385" t="s">
        <v>15106</v>
      </c>
    </row>
    <row r="3695" spans="1:4" x14ac:dyDescent="0.25">
      <c r="A3695" s="384" t="s">
        <v>15107</v>
      </c>
      <c r="B3695" s="384" t="s">
        <v>15108</v>
      </c>
      <c r="C3695" s="384" t="s">
        <v>83</v>
      </c>
      <c r="D3695" s="385" t="s">
        <v>15109</v>
      </c>
    </row>
    <row r="3696" spans="1:4" x14ac:dyDescent="0.25">
      <c r="A3696" s="384" t="s">
        <v>15110</v>
      </c>
      <c r="B3696" s="384" t="s">
        <v>15111</v>
      </c>
      <c r="C3696" s="384" t="s">
        <v>83</v>
      </c>
      <c r="D3696" s="385" t="s">
        <v>15112</v>
      </c>
    </row>
    <row r="3697" spans="1:4" x14ac:dyDescent="0.25">
      <c r="A3697" s="384" t="s">
        <v>15113</v>
      </c>
      <c r="B3697" s="384" t="s">
        <v>15114</v>
      </c>
      <c r="C3697" s="384" t="s">
        <v>83</v>
      </c>
      <c r="D3697" s="385" t="s">
        <v>7027</v>
      </c>
    </row>
    <row r="3698" spans="1:4" x14ac:dyDescent="0.25">
      <c r="A3698" s="384" t="s">
        <v>15115</v>
      </c>
      <c r="B3698" s="384" t="s">
        <v>15116</v>
      </c>
      <c r="C3698" s="384" t="s">
        <v>83</v>
      </c>
      <c r="D3698" s="385" t="s">
        <v>15117</v>
      </c>
    </row>
    <row r="3699" spans="1:4" x14ac:dyDescent="0.25">
      <c r="A3699" s="384" t="s">
        <v>15118</v>
      </c>
      <c r="B3699" s="384" t="s">
        <v>15119</v>
      </c>
      <c r="C3699" s="384" t="s">
        <v>83</v>
      </c>
      <c r="D3699" s="385" t="s">
        <v>15120</v>
      </c>
    </row>
    <row r="3700" spans="1:4" x14ac:dyDescent="0.25">
      <c r="A3700" s="384" t="s">
        <v>15121</v>
      </c>
      <c r="B3700" s="384" t="s">
        <v>15122</v>
      </c>
      <c r="C3700" s="384" t="s">
        <v>83</v>
      </c>
      <c r="D3700" s="385" t="s">
        <v>15123</v>
      </c>
    </row>
    <row r="3701" spans="1:4" x14ac:dyDescent="0.25">
      <c r="A3701" s="384" t="s">
        <v>15124</v>
      </c>
      <c r="B3701" s="384" t="s">
        <v>15125</v>
      </c>
      <c r="C3701" s="384" t="s">
        <v>83</v>
      </c>
      <c r="D3701" s="385" t="s">
        <v>6311</v>
      </c>
    </row>
    <row r="3702" spans="1:4" x14ac:dyDescent="0.25">
      <c r="A3702" s="384" t="s">
        <v>15126</v>
      </c>
      <c r="B3702" s="384" t="s">
        <v>15127</v>
      </c>
      <c r="C3702" s="384" t="s">
        <v>83</v>
      </c>
      <c r="D3702" s="385" t="s">
        <v>12329</v>
      </c>
    </row>
    <row r="3703" spans="1:4" x14ac:dyDescent="0.25">
      <c r="A3703" s="384" t="s">
        <v>15128</v>
      </c>
      <c r="B3703" s="384" t="s">
        <v>15129</v>
      </c>
      <c r="C3703" s="384" t="s">
        <v>83</v>
      </c>
      <c r="D3703" s="385" t="s">
        <v>12991</v>
      </c>
    </row>
    <row r="3704" spans="1:4" x14ac:dyDescent="0.25">
      <c r="A3704" s="384" t="s">
        <v>15130</v>
      </c>
      <c r="B3704" s="384" t="s">
        <v>15131</v>
      </c>
      <c r="C3704" s="384" t="s">
        <v>83</v>
      </c>
      <c r="D3704" s="385" t="s">
        <v>15132</v>
      </c>
    </row>
    <row r="3705" spans="1:4" x14ac:dyDescent="0.25">
      <c r="A3705" s="384" t="s">
        <v>15133</v>
      </c>
      <c r="B3705" s="384" t="s">
        <v>15134</v>
      </c>
      <c r="C3705" s="384" t="s">
        <v>83</v>
      </c>
      <c r="D3705" s="385" t="s">
        <v>15135</v>
      </c>
    </row>
    <row r="3706" spans="1:4" x14ac:dyDescent="0.25">
      <c r="A3706" s="384" t="s">
        <v>15136</v>
      </c>
      <c r="B3706" s="384" t="s">
        <v>15137</v>
      </c>
      <c r="C3706" s="384" t="s">
        <v>83</v>
      </c>
      <c r="D3706" s="385" t="s">
        <v>15138</v>
      </c>
    </row>
    <row r="3707" spans="1:4" x14ac:dyDescent="0.25">
      <c r="A3707" s="384" t="s">
        <v>15139</v>
      </c>
      <c r="B3707" s="384" t="s">
        <v>15140</v>
      </c>
      <c r="C3707" s="384" t="s">
        <v>83</v>
      </c>
      <c r="D3707" s="385" t="s">
        <v>15141</v>
      </c>
    </row>
    <row r="3708" spans="1:4" x14ac:dyDescent="0.25">
      <c r="A3708" s="384" t="s">
        <v>15142</v>
      </c>
      <c r="B3708" s="384" t="s">
        <v>15143</v>
      </c>
      <c r="C3708" s="384" t="s">
        <v>83</v>
      </c>
      <c r="D3708" s="385" t="s">
        <v>15144</v>
      </c>
    </row>
    <row r="3709" spans="1:4" x14ac:dyDescent="0.25">
      <c r="A3709" s="384" t="s">
        <v>15145</v>
      </c>
      <c r="B3709" s="384" t="s">
        <v>15146</v>
      </c>
      <c r="C3709" s="384" t="s">
        <v>83</v>
      </c>
      <c r="D3709" s="385" t="s">
        <v>15147</v>
      </c>
    </row>
    <row r="3710" spans="1:4" x14ac:dyDescent="0.25">
      <c r="A3710" s="384" t="s">
        <v>15148</v>
      </c>
      <c r="B3710" s="384" t="s">
        <v>15149</v>
      </c>
      <c r="C3710" s="384" t="s">
        <v>83</v>
      </c>
      <c r="D3710" s="385" t="s">
        <v>15150</v>
      </c>
    </row>
    <row r="3711" spans="1:4" x14ac:dyDescent="0.25">
      <c r="A3711" s="384" t="s">
        <v>15151</v>
      </c>
      <c r="B3711" s="384" t="s">
        <v>15152</v>
      </c>
      <c r="C3711" s="384" t="s">
        <v>83</v>
      </c>
      <c r="D3711" s="385" t="s">
        <v>15153</v>
      </c>
    </row>
    <row r="3712" spans="1:4" x14ac:dyDescent="0.25">
      <c r="A3712" s="384" t="s">
        <v>15154</v>
      </c>
      <c r="B3712" s="384" t="s">
        <v>15155</v>
      </c>
      <c r="C3712" s="384" t="s">
        <v>83</v>
      </c>
      <c r="D3712" s="385" t="s">
        <v>15156</v>
      </c>
    </row>
    <row r="3713" spans="1:4" x14ac:dyDescent="0.25">
      <c r="A3713" s="384" t="s">
        <v>15157</v>
      </c>
      <c r="B3713" s="384" t="s">
        <v>15158</v>
      </c>
      <c r="C3713" s="384" t="s">
        <v>83</v>
      </c>
      <c r="D3713" s="385" t="s">
        <v>15159</v>
      </c>
    </row>
    <row r="3714" spans="1:4" x14ac:dyDescent="0.25">
      <c r="A3714" s="384" t="s">
        <v>15160</v>
      </c>
      <c r="B3714" s="384" t="s">
        <v>15161</v>
      </c>
      <c r="C3714" s="384" t="s">
        <v>83</v>
      </c>
      <c r="D3714" s="385" t="s">
        <v>15162</v>
      </c>
    </row>
    <row r="3715" spans="1:4" x14ac:dyDescent="0.25">
      <c r="A3715" s="384" t="s">
        <v>15163</v>
      </c>
      <c r="B3715" s="384" t="s">
        <v>15164</v>
      </c>
      <c r="C3715" s="384" t="s">
        <v>83</v>
      </c>
      <c r="D3715" s="385" t="s">
        <v>15165</v>
      </c>
    </row>
    <row r="3716" spans="1:4" x14ac:dyDescent="0.25">
      <c r="A3716" s="384" t="s">
        <v>15166</v>
      </c>
      <c r="B3716" s="384" t="s">
        <v>15167</v>
      </c>
      <c r="C3716" s="384" t="s">
        <v>83</v>
      </c>
      <c r="D3716" s="385" t="s">
        <v>15168</v>
      </c>
    </row>
    <row r="3717" spans="1:4" x14ac:dyDescent="0.25">
      <c r="A3717" s="384" t="s">
        <v>15169</v>
      </c>
      <c r="B3717" s="384" t="s">
        <v>15170</v>
      </c>
      <c r="C3717" s="384" t="s">
        <v>83</v>
      </c>
      <c r="D3717" s="385" t="s">
        <v>15171</v>
      </c>
    </row>
    <row r="3718" spans="1:4" x14ac:dyDescent="0.25">
      <c r="A3718" s="384" t="s">
        <v>15172</v>
      </c>
      <c r="B3718" s="384" t="s">
        <v>15173</v>
      </c>
      <c r="C3718" s="384" t="s">
        <v>83</v>
      </c>
      <c r="D3718" s="385" t="s">
        <v>15174</v>
      </c>
    </row>
    <row r="3719" spans="1:4" x14ac:dyDescent="0.25">
      <c r="A3719" s="384" t="s">
        <v>15175</v>
      </c>
      <c r="B3719" s="384" t="s">
        <v>15176</v>
      </c>
      <c r="C3719" s="384" t="s">
        <v>83</v>
      </c>
      <c r="D3719" s="385" t="s">
        <v>15177</v>
      </c>
    </row>
    <row r="3720" spans="1:4" x14ac:dyDescent="0.25">
      <c r="A3720" s="384" t="s">
        <v>15178</v>
      </c>
      <c r="B3720" s="384" t="s">
        <v>15179</v>
      </c>
      <c r="C3720" s="384" t="s">
        <v>83</v>
      </c>
      <c r="D3720" s="385" t="s">
        <v>15180</v>
      </c>
    </row>
    <row r="3721" spans="1:4" x14ac:dyDescent="0.25">
      <c r="A3721" s="384" t="s">
        <v>15181</v>
      </c>
      <c r="B3721" s="384" t="s">
        <v>15182</v>
      </c>
      <c r="C3721" s="384" t="s">
        <v>83</v>
      </c>
      <c r="D3721" s="385" t="s">
        <v>15183</v>
      </c>
    </row>
    <row r="3722" spans="1:4" x14ac:dyDescent="0.25">
      <c r="A3722" s="384" t="s">
        <v>15184</v>
      </c>
      <c r="B3722" s="384" t="s">
        <v>15185</v>
      </c>
      <c r="C3722" s="384" t="s">
        <v>83</v>
      </c>
      <c r="D3722" s="385" t="s">
        <v>15186</v>
      </c>
    </row>
    <row r="3723" spans="1:4" x14ac:dyDescent="0.25">
      <c r="A3723" s="384" t="s">
        <v>15187</v>
      </c>
      <c r="B3723" s="384" t="s">
        <v>15188</v>
      </c>
      <c r="C3723" s="384" t="s">
        <v>83</v>
      </c>
      <c r="D3723" s="385" t="s">
        <v>15189</v>
      </c>
    </row>
    <row r="3724" spans="1:4" x14ac:dyDescent="0.25">
      <c r="A3724" s="384" t="s">
        <v>15190</v>
      </c>
      <c r="B3724" s="384" t="s">
        <v>15191</v>
      </c>
      <c r="C3724" s="384" t="s">
        <v>83</v>
      </c>
      <c r="D3724" s="385" t="s">
        <v>15192</v>
      </c>
    </row>
    <row r="3725" spans="1:4" x14ac:dyDescent="0.25">
      <c r="A3725" s="384" t="s">
        <v>15193</v>
      </c>
      <c r="B3725" s="384" t="s">
        <v>15194</v>
      </c>
      <c r="C3725" s="384" t="s">
        <v>83</v>
      </c>
      <c r="D3725" s="385" t="s">
        <v>15195</v>
      </c>
    </row>
    <row r="3726" spans="1:4" x14ac:dyDescent="0.25">
      <c r="A3726" s="384" t="s">
        <v>15196</v>
      </c>
      <c r="B3726" s="384" t="s">
        <v>15197</v>
      </c>
      <c r="C3726" s="384" t="s">
        <v>83</v>
      </c>
      <c r="D3726" s="385" t="s">
        <v>6739</v>
      </c>
    </row>
    <row r="3727" spans="1:4" x14ac:dyDescent="0.25">
      <c r="A3727" s="384" t="s">
        <v>15198</v>
      </c>
      <c r="B3727" s="384" t="s">
        <v>15199</v>
      </c>
      <c r="C3727" s="384" t="s">
        <v>83</v>
      </c>
      <c r="D3727" s="385" t="s">
        <v>15200</v>
      </c>
    </row>
    <row r="3728" spans="1:4" x14ac:dyDescent="0.25">
      <c r="A3728" s="384" t="s">
        <v>15201</v>
      </c>
      <c r="B3728" s="384" t="s">
        <v>15202</v>
      </c>
      <c r="C3728" s="384" t="s">
        <v>83</v>
      </c>
      <c r="D3728" s="385" t="s">
        <v>14792</v>
      </c>
    </row>
    <row r="3729" spans="1:4" x14ac:dyDescent="0.25">
      <c r="A3729" s="384" t="s">
        <v>15203</v>
      </c>
      <c r="B3729" s="384" t="s">
        <v>15204</v>
      </c>
      <c r="C3729" s="384" t="s">
        <v>83</v>
      </c>
      <c r="D3729" s="385" t="s">
        <v>15205</v>
      </c>
    </row>
    <row r="3730" spans="1:4" x14ac:dyDescent="0.25">
      <c r="A3730" s="384" t="s">
        <v>15206</v>
      </c>
      <c r="B3730" s="384" t="s">
        <v>15207</v>
      </c>
      <c r="C3730" s="384" t="s">
        <v>83</v>
      </c>
      <c r="D3730" s="385" t="s">
        <v>15208</v>
      </c>
    </row>
    <row r="3731" spans="1:4" x14ac:dyDescent="0.25">
      <c r="A3731" s="384" t="s">
        <v>15209</v>
      </c>
      <c r="B3731" s="384" t="s">
        <v>15210</v>
      </c>
      <c r="C3731" s="384" t="s">
        <v>83</v>
      </c>
      <c r="D3731" s="385" t="s">
        <v>15205</v>
      </c>
    </row>
    <row r="3732" spans="1:4" x14ac:dyDescent="0.25">
      <c r="A3732" s="384" t="s">
        <v>15211</v>
      </c>
      <c r="B3732" s="384" t="s">
        <v>15212</v>
      </c>
      <c r="C3732" s="384" t="s">
        <v>83</v>
      </c>
      <c r="D3732" s="385" t="s">
        <v>15213</v>
      </c>
    </row>
    <row r="3733" spans="1:4" x14ac:dyDescent="0.25">
      <c r="A3733" s="384" t="s">
        <v>15214</v>
      </c>
      <c r="B3733" s="384" t="s">
        <v>15215</v>
      </c>
      <c r="C3733" s="384" t="s">
        <v>83</v>
      </c>
      <c r="D3733" s="385" t="s">
        <v>15216</v>
      </c>
    </row>
    <row r="3734" spans="1:4" x14ac:dyDescent="0.25">
      <c r="A3734" s="384" t="s">
        <v>15217</v>
      </c>
      <c r="B3734" s="384" t="s">
        <v>15218</v>
      </c>
      <c r="C3734" s="384" t="s">
        <v>83</v>
      </c>
      <c r="D3734" s="385" t="s">
        <v>4463</v>
      </c>
    </row>
    <row r="3735" spans="1:4" x14ac:dyDescent="0.25">
      <c r="A3735" s="384" t="s">
        <v>15219</v>
      </c>
      <c r="B3735" s="384" t="s">
        <v>15220</v>
      </c>
      <c r="C3735" s="384" t="s">
        <v>83</v>
      </c>
      <c r="D3735" s="385" t="s">
        <v>15221</v>
      </c>
    </row>
    <row r="3736" spans="1:4" x14ac:dyDescent="0.25">
      <c r="A3736" s="384" t="s">
        <v>15222</v>
      </c>
      <c r="B3736" s="384" t="s">
        <v>15223</v>
      </c>
      <c r="C3736" s="384" t="s">
        <v>83</v>
      </c>
      <c r="D3736" s="385" t="s">
        <v>15224</v>
      </c>
    </row>
    <row r="3737" spans="1:4" x14ac:dyDescent="0.25">
      <c r="A3737" s="384" t="s">
        <v>15225</v>
      </c>
      <c r="B3737" s="384" t="s">
        <v>15226</v>
      </c>
      <c r="C3737" s="384" t="s">
        <v>83</v>
      </c>
      <c r="D3737" s="385" t="s">
        <v>15227</v>
      </c>
    </row>
    <row r="3738" spans="1:4" x14ac:dyDescent="0.25">
      <c r="A3738" s="384" t="s">
        <v>15228</v>
      </c>
      <c r="B3738" s="384" t="s">
        <v>15229</v>
      </c>
      <c r="C3738" s="384" t="s">
        <v>83</v>
      </c>
      <c r="D3738" s="385" t="s">
        <v>12115</v>
      </c>
    </row>
    <row r="3739" spans="1:4" x14ac:dyDescent="0.25">
      <c r="A3739" s="384" t="s">
        <v>15230</v>
      </c>
      <c r="B3739" s="384" t="s">
        <v>15231</v>
      </c>
      <c r="C3739" s="384" t="s">
        <v>83</v>
      </c>
      <c r="D3739" s="385" t="s">
        <v>15232</v>
      </c>
    </row>
    <row r="3740" spans="1:4" x14ac:dyDescent="0.25">
      <c r="A3740" s="384" t="s">
        <v>15233</v>
      </c>
      <c r="B3740" s="384" t="s">
        <v>15234</v>
      </c>
      <c r="C3740" s="384" t="s">
        <v>83</v>
      </c>
      <c r="D3740" s="385" t="s">
        <v>15235</v>
      </c>
    </row>
    <row r="3741" spans="1:4" x14ac:dyDescent="0.25">
      <c r="A3741" s="384" t="s">
        <v>15236</v>
      </c>
      <c r="B3741" s="384" t="s">
        <v>15237</v>
      </c>
      <c r="C3741" s="384" t="s">
        <v>83</v>
      </c>
      <c r="D3741" s="385" t="s">
        <v>8040</v>
      </c>
    </row>
    <row r="3742" spans="1:4" x14ac:dyDescent="0.25">
      <c r="A3742" s="384" t="s">
        <v>15238</v>
      </c>
      <c r="B3742" s="384" t="s">
        <v>15239</v>
      </c>
      <c r="C3742" s="384" t="s">
        <v>83</v>
      </c>
      <c r="D3742" s="385" t="s">
        <v>5567</v>
      </c>
    </row>
    <row r="3743" spans="1:4" x14ac:dyDescent="0.25">
      <c r="A3743" s="384" t="s">
        <v>15240</v>
      </c>
      <c r="B3743" s="384" t="s">
        <v>15241</v>
      </c>
      <c r="C3743" s="384" t="s">
        <v>83</v>
      </c>
      <c r="D3743" s="385" t="s">
        <v>15242</v>
      </c>
    </row>
    <row r="3744" spans="1:4" x14ac:dyDescent="0.25">
      <c r="A3744" s="384" t="s">
        <v>15243</v>
      </c>
      <c r="B3744" s="384" t="s">
        <v>15244</v>
      </c>
      <c r="C3744" s="384" t="s">
        <v>83</v>
      </c>
      <c r="D3744" s="385" t="s">
        <v>15245</v>
      </c>
    </row>
    <row r="3745" spans="1:4" x14ac:dyDescent="0.25">
      <c r="A3745" s="384" t="s">
        <v>15246</v>
      </c>
      <c r="B3745" s="384" t="s">
        <v>15247</v>
      </c>
      <c r="C3745" s="384" t="s">
        <v>83</v>
      </c>
      <c r="D3745" s="385" t="s">
        <v>15248</v>
      </c>
    </row>
    <row r="3746" spans="1:4" x14ac:dyDescent="0.25">
      <c r="A3746" s="384" t="s">
        <v>15249</v>
      </c>
      <c r="B3746" s="384" t="s">
        <v>15250</v>
      </c>
      <c r="C3746" s="384" t="s">
        <v>83</v>
      </c>
      <c r="D3746" s="385" t="s">
        <v>15251</v>
      </c>
    </row>
    <row r="3747" spans="1:4" x14ac:dyDescent="0.25">
      <c r="A3747" s="384" t="s">
        <v>15252</v>
      </c>
      <c r="B3747" s="384" t="s">
        <v>15253</v>
      </c>
      <c r="C3747" s="384" t="s">
        <v>83</v>
      </c>
      <c r="D3747" s="385" t="s">
        <v>15254</v>
      </c>
    </row>
    <row r="3748" spans="1:4" x14ac:dyDescent="0.25">
      <c r="A3748" s="384" t="s">
        <v>15255</v>
      </c>
      <c r="B3748" s="384" t="s">
        <v>15256</v>
      </c>
      <c r="C3748" s="384" t="s">
        <v>83</v>
      </c>
      <c r="D3748" s="385" t="s">
        <v>15257</v>
      </c>
    </row>
    <row r="3749" spans="1:4" x14ac:dyDescent="0.25">
      <c r="A3749" s="384" t="s">
        <v>15258</v>
      </c>
      <c r="B3749" s="384" t="s">
        <v>15259</v>
      </c>
      <c r="C3749" s="384" t="s">
        <v>83</v>
      </c>
      <c r="D3749" s="385" t="s">
        <v>15260</v>
      </c>
    </row>
    <row r="3750" spans="1:4" x14ac:dyDescent="0.25">
      <c r="A3750" s="384" t="s">
        <v>15261</v>
      </c>
      <c r="B3750" s="384" t="s">
        <v>15262</v>
      </c>
      <c r="C3750" s="384" t="s">
        <v>83</v>
      </c>
      <c r="D3750" s="385" t="s">
        <v>15263</v>
      </c>
    </row>
    <row r="3751" spans="1:4" x14ac:dyDescent="0.25">
      <c r="A3751" s="384" t="s">
        <v>15264</v>
      </c>
      <c r="B3751" s="384" t="s">
        <v>15265</v>
      </c>
      <c r="C3751" s="384" t="s">
        <v>83</v>
      </c>
      <c r="D3751" s="385" t="s">
        <v>15266</v>
      </c>
    </row>
    <row r="3752" spans="1:4" x14ac:dyDescent="0.25">
      <c r="A3752" s="384" t="s">
        <v>15267</v>
      </c>
      <c r="B3752" s="384" t="s">
        <v>15268</v>
      </c>
      <c r="C3752" s="384" t="s">
        <v>83</v>
      </c>
      <c r="D3752" s="385" t="s">
        <v>15269</v>
      </c>
    </row>
    <row r="3753" spans="1:4" x14ac:dyDescent="0.25">
      <c r="A3753" s="384" t="s">
        <v>15270</v>
      </c>
      <c r="B3753" s="384" t="s">
        <v>15271</v>
      </c>
      <c r="C3753" s="384" t="s">
        <v>83</v>
      </c>
      <c r="D3753" s="385" t="s">
        <v>15272</v>
      </c>
    </row>
    <row r="3754" spans="1:4" x14ac:dyDescent="0.25">
      <c r="A3754" s="384" t="s">
        <v>15273</v>
      </c>
      <c r="B3754" s="384" t="s">
        <v>15274</v>
      </c>
      <c r="C3754" s="384" t="s">
        <v>83</v>
      </c>
      <c r="D3754" s="385" t="s">
        <v>15275</v>
      </c>
    </row>
    <row r="3755" spans="1:4" x14ac:dyDescent="0.25">
      <c r="A3755" s="384" t="s">
        <v>15276</v>
      </c>
      <c r="B3755" s="384" t="s">
        <v>15277</v>
      </c>
      <c r="C3755" s="384" t="s">
        <v>83</v>
      </c>
      <c r="D3755" s="385" t="s">
        <v>15278</v>
      </c>
    </row>
    <row r="3756" spans="1:4" x14ac:dyDescent="0.25">
      <c r="A3756" s="384" t="s">
        <v>15279</v>
      </c>
      <c r="B3756" s="384" t="s">
        <v>15280</v>
      </c>
      <c r="C3756" s="384" t="s">
        <v>83</v>
      </c>
      <c r="D3756" s="385" t="s">
        <v>15281</v>
      </c>
    </row>
    <row r="3757" spans="1:4" x14ac:dyDescent="0.25">
      <c r="A3757" s="384" t="s">
        <v>15282</v>
      </c>
      <c r="B3757" s="384" t="s">
        <v>15283</v>
      </c>
      <c r="C3757" s="384" t="s">
        <v>83</v>
      </c>
      <c r="D3757" s="385" t="s">
        <v>15284</v>
      </c>
    </row>
    <row r="3758" spans="1:4" x14ac:dyDescent="0.25">
      <c r="A3758" s="384" t="s">
        <v>15285</v>
      </c>
      <c r="B3758" s="384" t="s">
        <v>15286</v>
      </c>
      <c r="C3758" s="384" t="s">
        <v>83</v>
      </c>
      <c r="D3758" s="385" t="s">
        <v>12484</v>
      </c>
    </row>
    <row r="3759" spans="1:4" x14ac:dyDescent="0.25">
      <c r="A3759" s="384" t="s">
        <v>15287</v>
      </c>
      <c r="B3759" s="384" t="s">
        <v>15288</v>
      </c>
      <c r="C3759" s="384" t="s">
        <v>83</v>
      </c>
      <c r="D3759" s="385" t="s">
        <v>15289</v>
      </c>
    </row>
    <row r="3760" spans="1:4" x14ac:dyDescent="0.25">
      <c r="A3760" s="384" t="s">
        <v>15290</v>
      </c>
      <c r="B3760" s="384" t="s">
        <v>15291</v>
      </c>
      <c r="C3760" s="384" t="s">
        <v>83</v>
      </c>
      <c r="D3760" s="385" t="s">
        <v>15292</v>
      </c>
    </row>
    <row r="3761" spans="1:4" x14ac:dyDescent="0.25">
      <c r="A3761" s="384" t="s">
        <v>15293</v>
      </c>
      <c r="B3761" s="384" t="s">
        <v>15294</v>
      </c>
      <c r="C3761" s="384" t="s">
        <v>83</v>
      </c>
      <c r="D3761" s="385" t="s">
        <v>5794</v>
      </c>
    </row>
    <row r="3762" spans="1:4" x14ac:dyDescent="0.25">
      <c r="A3762" s="384" t="s">
        <v>15295</v>
      </c>
      <c r="B3762" s="384" t="s">
        <v>15296</v>
      </c>
      <c r="C3762" s="384" t="s">
        <v>83</v>
      </c>
      <c r="D3762" s="385" t="s">
        <v>15297</v>
      </c>
    </row>
    <row r="3763" spans="1:4" x14ac:dyDescent="0.25">
      <c r="A3763" s="384" t="s">
        <v>15298</v>
      </c>
      <c r="B3763" s="384" t="s">
        <v>15299</v>
      </c>
      <c r="C3763" s="384" t="s">
        <v>83</v>
      </c>
      <c r="D3763" s="385" t="s">
        <v>13117</v>
      </c>
    </row>
    <row r="3764" spans="1:4" x14ac:dyDescent="0.25">
      <c r="A3764" s="384" t="s">
        <v>15300</v>
      </c>
      <c r="B3764" s="384" t="s">
        <v>15301</v>
      </c>
      <c r="C3764" s="384" t="s">
        <v>83</v>
      </c>
      <c r="D3764" s="385" t="s">
        <v>15302</v>
      </c>
    </row>
    <row r="3765" spans="1:4" x14ac:dyDescent="0.25">
      <c r="A3765" s="384" t="s">
        <v>15303</v>
      </c>
      <c r="B3765" s="384" t="s">
        <v>15304</v>
      </c>
      <c r="C3765" s="384" t="s">
        <v>83</v>
      </c>
      <c r="D3765" s="385" t="s">
        <v>15305</v>
      </c>
    </row>
    <row r="3766" spans="1:4" x14ac:dyDescent="0.25">
      <c r="A3766" s="384" t="s">
        <v>15306</v>
      </c>
      <c r="B3766" s="384" t="s">
        <v>15307</v>
      </c>
      <c r="C3766" s="384" t="s">
        <v>83</v>
      </c>
      <c r="D3766" s="385" t="s">
        <v>15308</v>
      </c>
    </row>
    <row r="3767" spans="1:4" x14ac:dyDescent="0.25">
      <c r="A3767" s="384" t="s">
        <v>15309</v>
      </c>
      <c r="B3767" s="384" t="s">
        <v>15310</v>
      </c>
      <c r="C3767" s="384" t="s">
        <v>83</v>
      </c>
      <c r="D3767" s="385" t="s">
        <v>14967</v>
      </c>
    </row>
    <row r="3768" spans="1:4" x14ac:dyDescent="0.25">
      <c r="A3768" s="384" t="s">
        <v>15311</v>
      </c>
      <c r="B3768" s="384" t="s">
        <v>15312</v>
      </c>
      <c r="C3768" s="384" t="s">
        <v>83</v>
      </c>
      <c r="D3768" s="385" t="s">
        <v>15313</v>
      </c>
    </row>
    <row r="3769" spans="1:4" x14ac:dyDescent="0.25">
      <c r="A3769" s="384" t="s">
        <v>15314</v>
      </c>
      <c r="B3769" s="384" t="s">
        <v>15315</v>
      </c>
      <c r="C3769" s="384" t="s">
        <v>83</v>
      </c>
      <c r="D3769" s="385" t="s">
        <v>15316</v>
      </c>
    </row>
    <row r="3770" spans="1:4" x14ac:dyDescent="0.25">
      <c r="A3770" s="384" t="s">
        <v>15317</v>
      </c>
      <c r="B3770" s="384" t="s">
        <v>15318</v>
      </c>
      <c r="C3770" s="384" t="s">
        <v>83</v>
      </c>
      <c r="D3770" s="385" t="s">
        <v>6263</v>
      </c>
    </row>
    <row r="3771" spans="1:4" x14ac:dyDescent="0.25">
      <c r="A3771" s="384" t="s">
        <v>15319</v>
      </c>
      <c r="B3771" s="384" t="s">
        <v>15320</v>
      </c>
      <c r="C3771" s="384" t="s">
        <v>83</v>
      </c>
      <c r="D3771" s="385" t="s">
        <v>15321</v>
      </c>
    </row>
    <row r="3772" spans="1:4" x14ac:dyDescent="0.25">
      <c r="A3772" s="384" t="s">
        <v>15322</v>
      </c>
      <c r="B3772" s="384" t="s">
        <v>15323</v>
      </c>
      <c r="C3772" s="384" t="s">
        <v>83</v>
      </c>
      <c r="D3772" s="385" t="s">
        <v>15324</v>
      </c>
    </row>
    <row r="3773" spans="1:4" x14ac:dyDescent="0.25">
      <c r="A3773" s="384" t="s">
        <v>15325</v>
      </c>
      <c r="B3773" s="384" t="s">
        <v>15326</v>
      </c>
      <c r="C3773" s="384" t="s">
        <v>83</v>
      </c>
      <c r="D3773" s="385" t="s">
        <v>15327</v>
      </c>
    </row>
    <row r="3774" spans="1:4" x14ac:dyDescent="0.25">
      <c r="A3774" s="384" t="s">
        <v>15328</v>
      </c>
      <c r="B3774" s="384" t="s">
        <v>15329</v>
      </c>
      <c r="C3774" s="384" t="s">
        <v>83</v>
      </c>
      <c r="D3774" s="385" t="s">
        <v>15330</v>
      </c>
    </row>
    <row r="3775" spans="1:4" x14ac:dyDescent="0.25">
      <c r="A3775" s="384" t="s">
        <v>15331</v>
      </c>
      <c r="B3775" s="384" t="s">
        <v>15332</v>
      </c>
      <c r="C3775" s="384" t="s">
        <v>83</v>
      </c>
      <c r="D3775" s="385" t="s">
        <v>15333</v>
      </c>
    </row>
    <row r="3776" spans="1:4" x14ac:dyDescent="0.25">
      <c r="A3776" s="384" t="s">
        <v>15334</v>
      </c>
      <c r="B3776" s="384" t="s">
        <v>15335</v>
      </c>
      <c r="C3776" s="384" t="s">
        <v>83</v>
      </c>
      <c r="D3776" s="385" t="s">
        <v>15336</v>
      </c>
    </row>
    <row r="3777" spans="1:4" x14ac:dyDescent="0.25">
      <c r="A3777" s="384" t="s">
        <v>15337</v>
      </c>
      <c r="B3777" s="384" t="s">
        <v>15338</v>
      </c>
      <c r="C3777" s="384" t="s">
        <v>83</v>
      </c>
      <c r="D3777" s="385" t="s">
        <v>15339</v>
      </c>
    </row>
    <row r="3778" spans="1:4" x14ac:dyDescent="0.25">
      <c r="A3778" s="384" t="s">
        <v>15340</v>
      </c>
      <c r="B3778" s="384" t="s">
        <v>15341</v>
      </c>
      <c r="C3778" s="384" t="s">
        <v>83</v>
      </c>
      <c r="D3778" s="385" t="s">
        <v>15339</v>
      </c>
    </row>
    <row r="3779" spans="1:4" x14ac:dyDescent="0.25">
      <c r="A3779" s="384" t="s">
        <v>15342</v>
      </c>
      <c r="B3779" s="384" t="s">
        <v>15343</v>
      </c>
      <c r="C3779" s="384" t="s">
        <v>83</v>
      </c>
      <c r="D3779" s="385" t="s">
        <v>15344</v>
      </c>
    </row>
    <row r="3780" spans="1:4" x14ac:dyDescent="0.25">
      <c r="A3780" s="384" t="s">
        <v>15345</v>
      </c>
      <c r="B3780" s="384" t="s">
        <v>15346</v>
      </c>
      <c r="C3780" s="384" t="s">
        <v>83</v>
      </c>
      <c r="D3780" s="385" t="s">
        <v>15347</v>
      </c>
    </row>
    <row r="3781" spans="1:4" x14ac:dyDescent="0.25">
      <c r="A3781" s="384" t="s">
        <v>15348</v>
      </c>
      <c r="B3781" s="384" t="s">
        <v>15349</v>
      </c>
      <c r="C3781" s="384" t="s">
        <v>83</v>
      </c>
      <c r="D3781" s="385" t="s">
        <v>15350</v>
      </c>
    </row>
    <row r="3782" spans="1:4" x14ac:dyDescent="0.25">
      <c r="A3782" s="384" t="s">
        <v>15351</v>
      </c>
      <c r="B3782" s="384" t="s">
        <v>15352</v>
      </c>
      <c r="C3782" s="384" t="s">
        <v>83</v>
      </c>
      <c r="D3782" s="385" t="s">
        <v>15353</v>
      </c>
    </row>
    <row r="3783" spans="1:4" x14ac:dyDescent="0.25">
      <c r="A3783" s="384" t="s">
        <v>15354</v>
      </c>
      <c r="B3783" s="384" t="s">
        <v>15355</v>
      </c>
      <c r="C3783" s="384" t="s">
        <v>83</v>
      </c>
      <c r="D3783" s="385" t="s">
        <v>15356</v>
      </c>
    </row>
    <row r="3784" spans="1:4" x14ac:dyDescent="0.25">
      <c r="A3784" s="384" t="s">
        <v>15357</v>
      </c>
      <c r="B3784" s="384" t="s">
        <v>15358</v>
      </c>
      <c r="C3784" s="384" t="s">
        <v>83</v>
      </c>
      <c r="D3784" s="385" t="s">
        <v>15359</v>
      </c>
    </row>
    <row r="3785" spans="1:4" x14ac:dyDescent="0.25">
      <c r="A3785" s="384" t="s">
        <v>15360</v>
      </c>
      <c r="B3785" s="384" t="s">
        <v>15361</v>
      </c>
      <c r="C3785" s="384" t="s">
        <v>83</v>
      </c>
      <c r="D3785" s="385" t="s">
        <v>15362</v>
      </c>
    </row>
    <row r="3786" spans="1:4" x14ac:dyDescent="0.25">
      <c r="A3786" s="384" t="s">
        <v>15363</v>
      </c>
      <c r="B3786" s="384" t="s">
        <v>15364</v>
      </c>
      <c r="C3786" s="384" t="s">
        <v>83</v>
      </c>
      <c r="D3786" s="385" t="s">
        <v>15365</v>
      </c>
    </row>
    <row r="3787" spans="1:4" x14ac:dyDescent="0.25">
      <c r="A3787" s="384" t="s">
        <v>15366</v>
      </c>
      <c r="B3787" s="384" t="s">
        <v>15367</v>
      </c>
      <c r="C3787" s="384" t="s">
        <v>83</v>
      </c>
      <c r="D3787" s="385" t="s">
        <v>15368</v>
      </c>
    </row>
    <row r="3788" spans="1:4" x14ac:dyDescent="0.25">
      <c r="A3788" s="384" t="s">
        <v>15369</v>
      </c>
      <c r="B3788" s="384" t="s">
        <v>15370</v>
      </c>
      <c r="C3788" s="384" t="s">
        <v>83</v>
      </c>
      <c r="D3788" s="385" t="s">
        <v>15371</v>
      </c>
    </row>
    <row r="3789" spans="1:4" x14ac:dyDescent="0.25">
      <c r="A3789" s="384" t="s">
        <v>15372</v>
      </c>
      <c r="B3789" s="384" t="s">
        <v>15373</v>
      </c>
      <c r="C3789" s="384" t="s">
        <v>83</v>
      </c>
      <c r="D3789" s="385" t="s">
        <v>15374</v>
      </c>
    </row>
    <row r="3790" spans="1:4" x14ac:dyDescent="0.25">
      <c r="A3790" s="384" t="s">
        <v>15375</v>
      </c>
      <c r="B3790" s="384" t="s">
        <v>15376</v>
      </c>
      <c r="C3790" s="384" t="s">
        <v>83</v>
      </c>
      <c r="D3790" s="385" t="s">
        <v>11984</v>
      </c>
    </row>
    <row r="3791" spans="1:4" x14ac:dyDescent="0.25">
      <c r="A3791" s="384" t="s">
        <v>15377</v>
      </c>
      <c r="B3791" s="384" t="s">
        <v>15378</v>
      </c>
      <c r="C3791" s="384" t="s">
        <v>83</v>
      </c>
      <c r="D3791" s="385" t="s">
        <v>15379</v>
      </c>
    </row>
    <row r="3792" spans="1:4" x14ac:dyDescent="0.25">
      <c r="A3792" s="384" t="s">
        <v>15380</v>
      </c>
      <c r="B3792" s="384" t="s">
        <v>15381</v>
      </c>
      <c r="C3792" s="384" t="s">
        <v>83</v>
      </c>
      <c r="D3792" s="385" t="s">
        <v>15382</v>
      </c>
    </row>
    <row r="3793" spans="1:4" x14ac:dyDescent="0.25">
      <c r="A3793" s="384" t="s">
        <v>15383</v>
      </c>
      <c r="B3793" s="384" t="s">
        <v>15384</v>
      </c>
      <c r="C3793" s="384" t="s">
        <v>83</v>
      </c>
      <c r="D3793" s="385" t="s">
        <v>15385</v>
      </c>
    </row>
    <row r="3794" spans="1:4" x14ac:dyDescent="0.25">
      <c r="A3794" s="384" t="s">
        <v>15386</v>
      </c>
      <c r="B3794" s="384" t="s">
        <v>15387</v>
      </c>
      <c r="C3794" s="384" t="s">
        <v>83</v>
      </c>
      <c r="D3794" s="385" t="s">
        <v>15388</v>
      </c>
    </row>
    <row r="3795" spans="1:4" x14ac:dyDescent="0.25">
      <c r="A3795" s="384" t="s">
        <v>15389</v>
      </c>
      <c r="B3795" s="384" t="s">
        <v>15390</v>
      </c>
      <c r="C3795" s="384" t="s">
        <v>83</v>
      </c>
      <c r="D3795" s="385" t="s">
        <v>15391</v>
      </c>
    </row>
    <row r="3796" spans="1:4" x14ac:dyDescent="0.25">
      <c r="A3796" s="384" t="s">
        <v>15392</v>
      </c>
      <c r="B3796" s="384" t="s">
        <v>15393</v>
      </c>
      <c r="C3796" s="384" t="s">
        <v>83</v>
      </c>
      <c r="D3796" s="385" t="s">
        <v>15394</v>
      </c>
    </row>
    <row r="3797" spans="1:4" x14ac:dyDescent="0.25">
      <c r="A3797" s="384" t="s">
        <v>15395</v>
      </c>
      <c r="B3797" s="384" t="s">
        <v>15396</v>
      </c>
      <c r="C3797" s="384" t="s">
        <v>83</v>
      </c>
      <c r="D3797" s="385" t="s">
        <v>15397</v>
      </c>
    </row>
    <row r="3798" spans="1:4" x14ac:dyDescent="0.25">
      <c r="A3798" s="384" t="s">
        <v>15398</v>
      </c>
      <c r="B3798" s="384" t="s">
        <v>15399</v>
      </c>
      <c r="C3798" s="384" t="s">
        <v>83</v>
      </c>
      <c r="D3798" s="385" t="s">
        <v>15400</v>
      </c>
    </row>
    <row r="3799" spans="1:4" x14ac:dyDescent="0.25">
      <c r="A3799" s="384" t="s">
        <v>15401</v>
      </c>
      <c r="B3799" s="384" t="s">
        <v>15402</v>
      </c>
      <c r="C3799" s="384" t="s">
        <v>83</v>
      </c>
      <c r="D3799" s="385" t="s">
        <v>15403</v>
      </c>
    </row>
    <row r="3800" spans="1:4" x14ac:dyDescent="0.25">
      <c r="A3800" s="384" t="s">
        <v>15404</v>
      </c>
      <c r="B3800" s="384" t="s">
        <v>15405</v>
      </c>
      <c r="C3800" s="384" t="s">
        <v>83</v>
      </c>
      <c r="D3800" s="385" t="s">
        <v>10819</v>
      </c>
    </row>
    <row r="3801" spans="1:4" x14ac:dyDescent="0.25">
      <c r="A3801" s="384" t="s">
        <v>15406</v>
      </c>
      <c r="B3801" s="384" t="s">
        <v>15407</v>
      </c>
      <c r="C3801" s="384" t="s">
        <v>83</v>
      </c>
      <c r="D3801" s="385" t="s">
        <v>5991</v>
      </c>
    </row>
    <row r="3802" spans="1:4" x14ac:dyDescent="0.25">
      <c r="A3802" s="384" t="s">
        <v>15408</v>
      </c>
      <c r="B3802" s="384" t="s">
        <v>15409</v>
      </c>
      <c r="C3802" s="384" t="s">
        <v>83</v>
      </c>
      <c r="D3802" s="385" t="s">
        <v>15410</v>
      </c>
    </row>
    <row r="3803" spans="1:4" x14ac:dyDescent="0.25">
      <c r="A3803" s="384" t="s">
        <v>15411</v>
      </c>
      <c r="B3803" s="384" t="s">
        <v>15412</v>
      </c>
      <c r="C3803" s="384" t="s">
        <v>83</v>
      </c>
      <c r="D3803" s="385" t="s">
        <v>15413</v>
      </c>
    </row>
    <row r="3804" spans="1:4" x14ac:dyDescent="0.25">
      <c r="A3804" s="384" t="s">
        <v>15414</v>
      </c>
      <c r="B3804" s="384" t="s">
        <v>15415</v>
      </c>
      <c r="C3804" s="384" t="s">
        <v>83</v>
      </c>
      <c r="D3804" s="385" t="s">
        <v>11425</v>
      </c>
    </row>
    <row r="3805" spans="1:4" x14ac:dyDescent="0.25">
      <c r="A3805" s="384" t="s">
        <v>15416</v>
      </c>
      <c r="B3805" s="384" t="s">
        <v>15417</v>
      </c>
      <c r="C3805" s="384" t="s">
        <v>83</v>
      </c>
      <c r="D3805" s="385" t="s">
        <v>15418</v>
      </c>
    </row>
    <row r="3806" spans="1:4" x14ac:dyDescent="0.25">
      <c r="A3806" s="384" t="s">
        <v>15419</v>
      </c>
      <c r="B3806" s="384" t="s">
        <v>15420</v>
      </c>
      <c r="C3806" s="384" t="s">
        <v>83</v>
      </c>
      <c r="D3806" s="385" t="s">
        <v>15421</v>
      </c>
    </row>
    <row r="3807" spans="1:4" x14ac:dyDescent="0.25">
      <c r="A3807" s="384" t="s">
        <v>15422</v>
      </c>
      <c r="B3807" s="384" t="s">
        <v>15423</v>
      </c>
      <c r="C3807" s="384" t="s">
        <v>83</v>
      </c>
      <c r="D3807" s="385" t="s">
        <v>15424</v>
      </c>
    </row>
    <row r="3808" spans="1:4" x14ac:dyDescent="0.25">
      <c r="A3808" s="384" t="s">
        <v>15425</v>
      </c>
      <c r="B3808" s="384" t="s">
        <v>15426</v>
      </c>
      <c r="C3808" s="384" t="s">
        <v>83</v>
      </c>
      <c r="D3808" s="385" t="s">
        <v>11984</v>
      </c>
    </row>
    <row r="3809" spans="1:4" x14ac:dyDescent="0.25">
      <c r="A3809" s="384" t="s">
        <v>15427</v>
      </c>
      <c r="B3809" s="384" t="s">
        <v>15428</v>
      </c>
      <c r="C3809" s="384" t="s">
        <v>83</v>
      </c>
      <c r="D3809" s="385" t="s">
        <v>15429</v>
      </c>
    </row>
    <row r="3810" spans="1:4" x14ac:dyDescent="0.25">
      <c r="A3810" s="384" t="s">
        <v>15430</v>
      </c>
      <c r="B3810" s="384" t="s">
        <v>15431</v>
      </c>
      <c r="C3810" s="384" t="s">
        <v>83</v>
      </c>
      <c r="D3810" s="385" t="s">
        <v>15432</v>
      </c>
    </row>
    <row r="3811" spans="1:4" x14ac:dyDescent="0.25">
      <c r="A3811" s="384" t="s">
        <v>15433</v>
      </c>
      <c r="B3811" s="384" t="s">
        <v>15434</v>
      </c>
      <c r="C3811" s="384" t="s">
        <v>83</v>
      </c>
      <c r="D3811" s="385" t="s">
        <v>14588</v>
      </c>
    </row>
    <row r="3812" spans="1:4" x14ac:dyDescent="0.25">
      <c r="A3812" s="384" t="s">
        <v>15435</v>
      </c>
      <c r="B3812" s="384" t="s">
        <v>15436</v>
      </c>
      <c r="C3812" s="384" t="s">
        <v>83</v>
      </c>
      <c r="D3812" s="385" t="s">
        <v>15437</v>
      </c>
    </row>
    <row r="3813" spans="1:4" x14ac:dyDescent="0.25">
      <c r="A3813" s="384" t="s">
        <v>15438</v>
      </c>
      <c r="B3813" s="384" t="s">
        <v>15439</v>
      </c>
      <c r="C3813" s="384" t="s">
        <v>83</v>
      </c>
      <c r="D3813" s="385" t="s">
        <v>15440</v>
      </c>
    </row>
    <row r="3814" spans="1:4" x14ac:dyDescent="0.25">
      <c r="A3814" s="384" t="s">
        <v>15441</v>
      </c>
      <c r="B3814" s="384" t="s">
        <v>15442</v>
      </c>
      <c r="C3814" s="384" t="s">
        <v>83</v>
      </c>
      <c r="D3814" s="385" t="s">
        <v>8455</v>
      </c>
    </row>
    <row r="3815" spans="1:4" x14ac:dyDescent="0.25">
      <c r="A3815" s="384" t="s">
        <v>15443</v>
      </c>
      <c r="B3815" s="384" t="s">
        <v>15444</v>
      </c>
      <c r="C3815" s="384" t="s">
        <v>83</v>
      </c>
      <c r="D3815" s="385" t="s">
        <v>15445</v>
      </c>
    </row>
    <row r="3816" spans="1:4" x14ac:dyDescent="0.25">
      <c r="A3816" s="384" t="s">
        <v>15446</v>
      </c>
      <c r="B3816" s="384" t="s">
        <v>15447</v>
      </c>
      <c r="C3816" s="384" t="s">
        <v>83</v>
      </c>
      <c r="D3816" s="385" t="s">
        <v>15448</v>
      </c>
    </row>
    <row r="3817" spans="1:4" x14ac:dyDescent="0.25">
      <c r="A3817" s="384" t="s">
        <v>15449</v>
      </c>
      <c r="B3817" s="384" t="s">
        <v>15450</v>
      </c>
      <c r="C3817" s="384" t="s">
        <v>83</v>
      </c>
      <c r="D3817" s="385" t="s">
        <v>4454</v>
      </c>
    </row>
    <row r="3818" spans="1:4" x14ac:dyDescent="0.25">
      <c r="A3818" s="384" t="s">
        <v>15451</v>
      </c>
      <c r="B3818" s="384" t="s">
        <v>15452</v>
      </c>
      <c r="C3818" s="384" t="s">
        <v>83</v>
      </c>
      <c r="D3818" s="385" t="s">
        <v>15453</v>
      </c>
    </row>
    <row r="3819" spans="1:4" x14ac:dyDescent="0.25">
      <c r="A3819" s="384" t="s">
        <v>15454</v>
      </c>
      <c r="B3819" s="384" t="s">
        <v>15455</v>
      </c>
      <c r="C3819" s="384" t="s">
        <v>83</v>
      </c>
      <c r="D3819" s="385" t="s">
        <v>12323</v>
      </c>
    </row>
    <row r="3820" spans="1:4" x14ac:dyDescent="0.25">
      <c r="A3820" s="384" t="s">
        <v>15456</v>
      </c>
      <c r="B3820" s="384" t="s">
        <v>15457</v>
      </c>
      <c r="C3820" s="384" t="s">
        <v>83</v>
      </c>
      <c r="D3820" s="385" t="s">
        <v>15458</v>
      </c>
    </row>
    <row r="3821" spans="1:4" x14ac:dyDescent="0.25">
      <c r="A3821" s="384" t="s">
        <v>15459</v>
      </c>
      <c r="B3821" s="384" t="s">
        <v>15460</v>
      </c>
      <c r="C3821" s="384" t="s">
        <v>83</v>
      </c>
      <c r="D3821" s="385" t="s">
        <v>15461</v>
      </c>
    </row>
    <row r="3822" spans="1:4" x14ac:dyDescent="0.25">
      <c r="A3822" s="384" t="s">
        <v>15462</v>
      </c>
      <c r="B3822" s="384" t="s">
        <v>15463</v>
      </c>
      <c r="C3822" s="384" t="s">
        <v>83</v>
      </c>
      <c r="D3822" s="385" t="s">
        <v>15464</v>
      </c>
    </row>
    <row r="3823" spans="1:4" x14ac:dyDescent="0.25">
      <c r="A3823" s="384" t="s">
        <v>15465</v>
      </c>
      <c r="B3823" s="384" t="s">
        <v>15466</v>
      </c>
      <c r="C3823" s="384" t="s">
        <v>83</v>
      </c>
      <c r="D3823" s="385" t="s">
        <v>15467</v>
      </c>
    </row>
    <row r="3824" spans="1:4" x14ac:dyDescent="0.25">
      <c r="A3824" s="384" t="s">
        <v>15468</v>
      </c>
      <c r="B3824" s="384" t="s">
        <v>15469</v>
      </c>
      <c r="C3824" s="384" t="s">
        <v>83</v>
      </c>
      <c r="D3824" s="385" t="s">
        <v>10301</v>
      </c>
    </row>
    <row r="3825" spans="1:4" x14ac:dyDescent="0.25">
      <c r="A3825" s="384" t="s">
        <v>15470</v>
      </c>
      <c r="B3825" s="384" t="s">
        <v>15471</v>
      </c>
      <c r="C3825" s="384" t="s">
        <v>83</v>
      </c>
      <c r="D3825" s="385" t="s">
        <v>15472</v>
      </c>
    </row>
    <row r="3826" spans="1:4" x14ac:dyDescent="0.25">
      <c r="A3826" s="384" t="s">
        <v>15473</v>
      </c>
      <c r="B3826" s="384" t="s">
        <v>15474</v>
      </c>
      <c r="C3826" s="384" t="s">
        <v>83</v>
      </c>
      <c r="D3826" s="385" t="s">
        <v>15475</v>
      </c>
    </row>
    <row r="3827" spans="1:4" x14ac:dyDescent="0.25">
      <c r="A3827" s="384" t="s">
        <v>15476</v>
      </c>
      <c r="B3827" s="384" t="s">
        <v>15477</v>
      </c>
      <c r="C3827" s="384" t="s">
        <v>83</v>
      </c>
      <c r="D3827" s="385" t="s">
        <v>14545</v>
      </c>
    </row>
    <row r="3828" spans="1:4" x14ac:dyDescent="0.25">
      <c r="A3828" s="384" t="s">
        <v>15478</v>
      </c>
      <c r="B3828" s="384" t="s">
        <v>15479</v>
      </c>
      <c r="C3828" s="384" t="s">
        <v>83</v>
      </c>
      <c r="D3828" s="385" t="s">
        <v>15480</v>
      </c>
    </row>
    <row r="3829" spans="1:4" x14ac:dyDescent="0.25">
      <c r="A3829" s="384" t="s">
        <v>15481</v>
      </c>
      <c r="B3829" s="384" t="s">
        <v>15482</v>
      </c>
      <c r="C3829" s="384" t="s">
        <v>83</v>
      </c>
      <c r="D3829" s="385" t="s">
        <v>15483</v>
      </c>
    </row>
    <row r="3830" spans="1:4" x14ac:dyDescent="0.25">
      <c r="A3830" s="384" t="s">
        <v>15484</v>
      </c>
      <c r="B3830" s="384" t="s">
        <v>15485</v>
      </c>
      <c r="C3830" s="384" t="s">
        <v>83</v>
      </c>
      <c r="D3830" s="385" t="s">
        <v>15483</v>
      </c>
    </row>
    <row r="3831" spans="1:4" x14ac:dyDescent="0.25">
      <c r="A3831" s="384" t="s">
        <v>15486</v>
      </c>
      <c r="B3831" s="384" t="s">
        <v>15487</v>
      </c>
      <c r="C3831" s="384" t="s">
        <v>83</v>
      </c>
      <c r="D3831" s="385" t="s">
        <v>15488</v>
      </c>
    </row>
    <row r="3832" spans="1:4" x14ac:dyDescent="0.25">
      <c r="A3832" s="384" t="s">
        <v>15489</v>
      </c>
      <c r="B3832" s="384" t="s">
        <v>15490</v>
      </c>
      <c r="C3832" s="384" t="s">
        <v>83</v>
      </c>
      <c r="D3832" s="385" t="s">
        <v>14659</v>
      </c>
    </row>
    <row r="3833" spans="1:4" x14ac:dyDescent="0.25">
      <c r="A3833" s="384" t="s">
        <v>15491</v>
      </c>
      <c r="B3833" s="384" t="s">
        <v>15492</v>
      </c>
      <c r="C3833" s="384" t="s">
        <v>83</v>
      </c>
      <c r="D3833" s="385" t="s">
        <v>15493</v>
      </c>
    </row>
    <row r="3834" spans="1:4" x14ac:dyDescent="0.25">
      <c r="A3834" s="384" t="s">
        <v>15494</v>
      </c>
      <c r="B3834" s="384" t="s">
        <v>15495</v>
      </c>
      <c r="C3834" s="384" t="s">
        <v>83</v>
      </c>
      <c r="D3834" s="385" t="s">
        <v>11464</v>
      </c>
    </row>
    <row r="3835" spans="1:4" x14ac:dyDescent="0.25">
      <c r="A3835" s="384" t="s">
        <v>15496</v>
      </c>
      <c r="B3835" s="384" t="s">
        <v>15497</v>
      </c>
      <c r="C3835" s="384" t="s">
        <v>83</v>
      </c>
      <c r="D3835" s="385" t="s">
        <v>15498</v>
      </c>
    </row>
    <row r="3836" spans="1:4" x14ac:dyDescent="0.25">
      <c r="A3836" s="384" t="s">
        <v>15499</v>
      </c>
      <c r="B3836" s="384" t="s">
        <v>15500</v>
      </c>
      <c r="C3836" s="384" t="s">
        <v>83</v>
      </c>
      <c r="D3836" s="385" t="s">
        <v>6826</v>
      </c>
    </row>
    <row r="3837" spans="1:4" x14ac:dyDescent="0.25">
      <c r="A3837" s="384" t="s">
        <v>15501</v>
      </c>
      <c r="B3837" s="384" t="s">
        <v>15502</v>
      </c>
      <c r="C3837" s="384" t="s">
        <v>83</v>
      </c>
      <c r="D3837" s="385" t="s">
        <v>15503</v>
      </c>
    </row>
    <row r="3838" spans="1:4" x14ac:dyDescent="0.25">
      <c r="A3838" s="384" t="s">
        <v>15504</v>
      </c>
      <c r="B3838" s="384" t="s">
        <v>15505</v>
      </c>
      <c r="C3838" s="384" t="s">
        <v>83</v>
      </c>
      <c r="D3838" s="385" t="s">
        <v>15506</v>
      </c>
    </row>
    <row r="3839" spans="1:4" x14ac:dyDescent="0.25">
      <c r="A3839" s="384" t="s">
        <v>15507</v>
      </c>
      <c r="B3839" s="384" t="s">
        <v>15508</v>
      </c>
      <c r="C3839" s="384" t="s">
        <v>83</v>
      </c>
      <c r="D3839" s="385" t="s">
        <v>15509</v>
      </c>
    </row>
    <row r="3840" spans="1:4" x14ac:dyDescent="0.25">
      <c r="A3840" s="384" t="s">
        <v>15510</v>
      </c>
      <c r="B3840" s="384" t="s">
        <v>15511</v>
      </c>
      <c r="C3840" s="384" t="s">
        <v>83</v>
      </c>
      <c r="D3840" s="385" t="s">
        <v>15512</v>
      </c>
    </row>
    <row r="3841" spans="1:4" x14ac:dyDescent="0.25">
      <c r="A3841" s="384" t="s">
        <v>15513</v>
      </c>
      <c r="B3841" s="384" t="s">
        <v>15514</v>
      </c>
      <c r="C3841" s="384" t="s">
        <v>83</v>
      </c>
      <c r="D3841" s="385" t="s">
        <v>15515</v>
      </c>
    </row>
    <row r="3842" spans="1:4" x14ac:dyDescent="0.25">
      <c r="A3842" s="384" t="s">
        <v>15516</v>
      </c>
      <c r="B3842" s="384" t="s">
        <v>15517</v>
      </c>
      <c r="C3842" s="384" t="s">
        <v>83</v>
      </c>
      <c r="D3842" s="385" t="s">
        <v>15518</v>
      </c>
    </row>
    <row r="3843" spans="1:4" x14ac:dyDescent="0.25">
      <c r="A3843" s="384" t="s">
        <v>15519</v>
      </c>
      <c r="B3843" s="384" t="s">
        <v>15520</v>
      </c>
      <c r="C3843" s="384" t="s">
        <v>83</v>
      </c>
      <c r="D3843" s="385" t="s">
        <v>15521</v>
      </c>
    </row>
    <row r="3844" spans="1:4" x14ac:dyDescent="0.25">
      <c r="A3844" s="384" t="s">
        <v>15522</v>
      </c>
      <c r="B3844" s="384" t="s">
        <v>15523</v>
      </c>
      <c r="C3844" s="384" t="s">
        <v>83</v>
      </c>
      <c r="D3844" s="385" t="s">
        <v>15509</v>
      </c>
    </row>
    <row r="3845" spans="1:4" x14ac:dyDescent="0.25">
      <c r="A3845" s="384" t="s">
        <v>15524</v>
      </c>
      <c r="B3845" s="384" t="s">
        <v>15525</v>
      </c>
      <c r="C3845" s="384" t="s">
        <v>83</v>
      </c>
      <c r="D3845" s="385" t="s">
        <v>15526</v>
      </c>
    </row>
    <row r="3846" spans="1:4" x14ac:dyDescent="0.25">
      <c r="A3846" s="384" t="s">
        <v>15527</v>
      </c>
      <c r="B3846" s="384" t="s">
        <v>15528</v>
      </c>
      <c r="C3846" s="384" t="s">
        <v>83</v>
      </c>
      <c r="D3846" s="385" t="s">
        <v>15529</v>
      </c>
    </row>
    <row r="3847" spans="1:4" x14ac:dyDescent="0.25">
      <c r="A3847" s="384" t="s">
        <v>15530</v>
      </c>
      <c r="B3847" s="384" t="s">
        <v>15531</v>
      </c>
      <c r="C3847" s="384" t="s">
        <v>83</v>
      </c>
      <c r="D3847" s="385" t="s">
        <v>15532</v>
      </c>
    </row>
    <row r="3848" spans="1:4" x14ac:dyDescent="0.25">
      <c r="A3848" s="384" t="s">
        <v>15533</v>
      </c>
      <c r="B3848" s="384" t="s">
        <v>15534</v>
      </c>
      <c r="C3848" s="384" t="s">
        <v>83</v>
      </c>
      <c r="D3848" s="385" t="s">
        <v>15535</v>
      </c>
    </row>
    <row r="3849" spans="1:4" x14ac:dyDescent="0.25">
      <c r="A3849" s="384" t="s">
        <v>15536</v>
      </c>
      <c r="B3849" s="384" t="s">
        <v>15537</v>
      </c>
      <c r="C3849" s="384" t="s">
        <v>83</v>
      </c>
      <c r="D3849" s="385" t="s">
        <v>15538</v>
      </c>
    </row>
    <row r="3850" spans="1:4" x14ac:dyDescent="0.25">
      <c r="A3850" s="384" t="s">
        <v>15539</v>
      </c>
      <c r="B3850" s="384" t="s">
        <v>15540</v>
      </c>
      <c r="C3850" s="384" t="s">
        <v>83</v>
      </c>
      <c r="D3850" s="385" t="s">
        <v>11493</v>
      </c>
    </row>
    <row r="3851" spans="1:4" x14ac:dyDescent="0.25">
      <c r="A3851" s="384" t="s">
        <v>15541</v>
      </c>
      <c r="B3851" s="384" t="s">
        <v>15542</v>
      </c>
      <c r="C3851" s="384" t="s">
        <v>83</v>
      </c>
      <c r="D3851" s="385" t="s">
        <v>15543</v>
      </c>
    </row>
    <row r="3852" spans="1:4" x14ac:dyDescent="0.25">
      <c r="A3852" s="384" t="s">
        <v>15544</v>
      </c>
      <c r="B3852" s="384" t="s">
        <v>15545</v>
      </c>
      <c r="C3852" s="384" t="s">
        <v>83</v>
      </c>
      <c r="D3852" s="385" t="s">
        <v>15546</v>
      </c>
    </row>
    <row r="3853" spans="1:4" x14ac:dyDescent="0.25">
      <c r="A3853" s="384" t="s">
        <v>15547</v>
      </c>
      <c r="B3853" s="384" t="s">
        <v>15548</v>
      </c>
      <c r="C3853" s="384" t="s">
        <v>83</v>
      </c>
      <c r="D3853" s="385" t="s">
        <v>15549</v>
      </c>
    </row>
    <row r="3854" spans="1:4" x14ac:dyDescent="0.25">
      <c r="A3854" s="384" t="s">
        <v>15550</v>
      </c>
      <c r="B3854" s="384" t="s">
        <v>15551</v>
      </c>
      <c r="C3854" s="384" t="s">
        <v>83</v>
      </c>
      <c r="D3854" s="385" t="s">
        <v>8446</v>
      </c>
    </row>
    <row r="3855" spans="1:4" x14ac:dyDescent="0.25">
      <c r="A3855" s="384" t="s">
        <v>15552</v>
      </c>
      <c r="B3855" s="384" t="s">
        <v>15553</v>
      </c>
      <c r="C3855" s="384" t="s">
        <v>83</v>
      </c>
      <c r="D3855" s="385" t="s">
        <v>15554</v>
      </c>
    </row>
    <row r="3856" spans="1:4" x14ac:dyDescent="0.25">
      <c r="A3856" s="384" t="s">
        <v>15555</v>
      </c>
      <c r="B3856" s="384" t="s">
        <v>15556</v>
      </c>
      <c r="C3856" s="384" t="s">
        <v>83</v>
      </c>
      <c r="D3856" s="385" t="s">
        <v>15557</v>
      </c>
    </row>
    <row r="3857" spans="1:4" x14ac:dyDescent="0.25">
      <c r="A3857" s="384" t="s">
        <v>15558</v>
      </c>
      <c r="B3857" s="384" t="s">
        <v>15559</v>
      </c>
      <c r="C3857" s="384" t="s">
        <v>83</v>
      </c>
      <c r="D3857" s="385" t="s">
        <v>15560</v>
      </c>
    </row>
    <row r="3858" spans="1:4" x14ac:dyDescent="0.25">
      <c r="A3858" s="384" t="s">
        <v>15561</v>
      </c>
      <c r="B3858" s="384" t="s">
        <v>15562</v>
      </c>
      <c r="C3858" s="384" t="s">
        <v>83</v>
      </c>
      <c r="D3858" s="385" t="s">
        <v>15563</v>
      </c>
    </row>
    <row r="3859" spans="1:4" x14ac:dyDescent="0.25">
      <c r="A3859" s="384" t="s">
        <v>15564</v>
      </c>
      <c r="B3859" s="384" t="s">
        <v>15565</v>
      </c>
      <c r="C3859" s="384" t="s">
        <v>83</v>
      </c>
      <c r="D3859" s="385" t="s">
        <v>15566</v>
      </c>
    </row>
    <row r="3860" spans="1:4" x14ac:dyDescent="0.25">
      <c r="A3860" s="384" t="s">
        <v>15567</v>
      </c>
      <c r="B3860" s="384" t="s">
        <v>15568</v>
      </c>
      <c r="C3860" s="384" t="s">
        <v>83</v>
      </c>
      <c r="D3860" s="385" t="s">
        <v>15569</v>
      </c>
    </row>
    <row r="3861" spans="1:4" x14ac:dyDescent="0.25">
      <c r="A3861" s="384" t="s">
        <v>15570</v>
      </c>
      <c r="B3861" s="384" t="s">
        <v>15571</v>
      </c>
      <c r="C3861" s="384" t="s">
        <v>83</v>
      </c>
      <c r="D3861" s="385" t="s">
        <v>15572</v>
      </c>
    </row>
    <row r="3862" spans="1:4" x14ac:dyDescent="0.25">
      <c r="A3862" s="384" t="s">
        <v>15573</v>
      </c>
      <c r="B3862" s="384" t="s">
        <v>15574</v>
      </c>
      <c r="C3862" s="384" t="s">
        <v>83</v>
      </c>
      <c r="D3862" s="385" t="s">
        <v>15575</v>
      </c>
    </row>
    <row r="3863" spans="1:4" x14ac:dyDescent="0.25">
      <c r="A3863" s="384" t="s">
        <v>15576</v>
      </c>
      <c r="B3863" s="384" t="s">
        <v>15577</v>
      </c>
      <c r="C3863" s="384" t="s">
        <v>83</v>
      </c>
      <c r="D3863" s="385" t="s">
        <v>15578</v>
      </c>
    </row>
    <row r="3864" spans="1:4" x14ac:dyDescent="0.25">
      <c r="A3864" s="384" t="s">
        <v>15579</v>
      </c>
      <c r="B3864" s="384" t="s">
        <v>15580</v>
      </c>
      <c r="C3864" s="384" t="s">
        <v>83</v>
      </c>
      <c r="D3864" s="385" t="s">
        <v>15581</v>
      </c>
    </row>
    <row r="3865" spans="1:4" x14ac:dyDescent="0.25">
      <c r="A3865" s="384" t="s">
        <v>15582</v>
      </c>
      <c r="B3865" s="384" t="s">
        <v>15583</v>
      </c>
      <c r="C3865" s="384" t="s">
        <v>83</v>
      </c>
      <c r="D3865" s="385" t="s">
        <v>15584</v>
      </c>
    </row>
    <row r="3866" spans="1:4" x14ac:dyDescent="0.25">
      <c r="A3866" s="384" t="s">
        <v>15585</v>
      </c>
      <c r="B3866" s="384" t="s">
        <v>15586</v>
      </c>
      <c r="C3866" s="384" t="s">
        <v>83</v>
      </c>
      <c r="D3866" s="385" t="s">
        <v>15587</v>
      </c>
    </row>
    <row r="3867" spans="1:4" x14ac:dyDescent="0.25">
      <c r="A3867" s="384" t="s">
        <v>15588</v>
      </c>
      <c r="B3867" s="384" t="s">
        <v>15589</v>
      </c>
      <c r="C3867" s="384" t="s">
        <v>83</v>
      </c>
      <c r="D3867" s="385" t="s">
        <v>15590</v>
      </c>
    </row>
    <row r="3868" spans="1:4" x14ac:dyDescent="0.25">
      <c r="A3868" s="384" t="s">
        <v>15591</v>
      </c>
      <c r="B3868" s="384" t="s">
        <v>15592</v>
      </c>
      <c r="C3868" s="384" t="s">
        <v>83</v>
      </c>
      <c r="D3868" s="385" t="s">
        <v>14572</v>
      </c>
    </row>
    <row r="3869" spans="1:4" x14ac:dyDescent="0.25">
      <c r="A3869" s="384" t="s">
        <v>15593</v>
      </c>
      <c r="B3869" s="384" t="s">
        <v>15594</v>
      </c>
      <c r="C3869" s="384" t="s">
        <v>83</v>
      </c>
      <c r="D3869" s="385" t="s">
        <v>15595</v>
      </c>
    </row>
    <row r="3870" spans="1:4" x14ac:dyDescent="0.25">
      <c r="A3870" s="384" t="s">
        <v>15596</v>
      </c>
      <c r="B3870" s="384" t="s">
        <v>15597</v>
      </c>
      <c r="C3870" s="384" t="s">
        <v>83</v>
      </c>
      <c r="D3870" s="385" t="s">
        <v>15598</v>
      </c>
    </row>
    <row r="3871" spans="1:4" x14ac:dyDescent="0.25">
      <c r="A3871" s="384" t="s">
        <v>15599</v>
      </c>
      <c r="B3871" s="384" t="s">
        <v>15600</v>
      </c>
      <c r="C3871" s="384" t="s">
        <v>83</v>
      </c>
      <c r="D3871" s="385" t="s">
        <v>15601</v>
      </c>
    </row>
    <row r="3872" spans="1:4" x14ac:dyDescent="0.25">
      <c r="A3872" s="384" t="s">
        <v>15602</v>
      </c>
      <c r="B3872" s="384" t="s">
        <v>15603</v>
      </c>
      <c r="C3872" s="384" t="s">
        <v>83</v>
      </c>
      <c r="D3872" s="385" t="s">
        <v>15604</v>
      </c>
    </row>
    <row r="3873" spans="1:4" x14ac:dyDescent="0.25">
      <c r="A3873" s="384" t="s">
        <v>15605</v>
      </c>
      <c r="B3873" s="384" t="s">
        <v>15606</v>
      </c>
      <c r="C3873" s="384" t="s">
        <v>83</v>
      </c>
      <c r="D3873" s="385" t="s">
        <v>8371</v>
      </c>
    </row>
    <row r="3874" spans="1:4" x14ac:dyDescent="0.25">
      <c r="A3874" s="384" t="s">
        <v>15607</v>
      </c>
      <c r="B3874" s="384" t="s">
        <v>15608</v>
      </c>
      <c r="C3874" s="384" t="s">
        <v>83</v>
      </c>
      <c r="D3874" s="385" t="s">
        <v>15609</v>
      </c>
    </row>
    <row r="3875" spans="1:4" x14ac:dyDescent="0.25">
      <c r="A3875" s="384" t="s">
        <v>15610</v>
      </c>
      <c r="B3875" s="384" t="s">
        <v>15611</v>
      </c>
      <c r="C3875" s="384" t="s">
        <v>83</v>
      </c>
      <c r="D3875" s="385" t="s">
        <v>15612</v>
      </c>
    </row>
    <row r="3876" spans="1:4" x14ac:dyDescent="0.25">
      <c r="A3876" s="384" t="s">
        <v>15613</v>
      </c>
      <c r="B3876" s="384" t="s">
        <v>15614</v>
      </c>
      <c r="C3876" s="384" t="s">
        <v>83</v>
      </c>
      <c r="D3876" s="385" t="s">
        <v>9457</v>
      </c>
    </row>
    <row r="3877" spans="1:4" x14ac:dyDescent="0.25">
      <c r="A3877" s="384" t="s">
        <v>15615</v>
      </c>
      <c r="B3877" s="384" t="s">
        <v>15616</v>
      </c>
      <c r="C3877" s="384" t="s">
        <v>83</v>
      </c>
      <c r="D3877" s="385" t="s">
        <v>15617</v>
      </c>
    </row>
    <row r="3878" spans="1:4" x14ac:dyDescent="0.25">
      <c r="A3878" s="384" t="s">
        <v>15618</v>
      </c>
      <c r="B3878" s="384" t="s">
        <v>15619</v>
      </c>
      <c r="C3878" s="384" t="s">
        <v>83</v>
      </c>
      <c r="D3878" s="385" t="s">
        <v>15620</v>
      </c>
    </row>
    <row r="3879" spans="1:4" x14ac:dyDescent="0.25">
      <c r="A3879" s="384" t="s">
        <v>15621</v>
      </c>
      <c r="B3879" s="384" t="s">
        <v>15622</v>
      </c>
      <c r="C3879" s="384" t="s">
        <v>83</v>
      </c>
      <c r="D3879" s="385" t="s">
        <v>15623</v>
      </c>
    </row>
    <row r="3880" spans="1:4" x14ac:dyDescent="0.25">
      <c r="A3880" s="384" t="s">
        <v>15624</v>
      </c>
      <c r="B3880" s="384" t="s">
        <v>15625</v>
      </c>
      <c r="C3880" s="384" t="s">
        <v>83</v>
      </c>
      <c r="D3880" s="385" t="s">
        <v>15626</v>
      </c>
    </row>
    <row r="3881" spans="1:4" x14ac:dyDescent="0.25">
      <c r="A3881" s="384" t="s">
        <v>15627</v>
      </c>
      <c r="B3881" s="384" t="s">
        <v>15628</v>
      </c>
      <c r="C3881" s="384" t="s">
        <v>83</v>
      </c>
      <c r="D3881" s="385" t="s">
        <v>15623</v>
      </c>
    </row>
    <row r="3882" spans="1:4" x14ac:dyDescent="0.25">
      <c r="A3882" s="384" t="s">
        <v>15629</v>
      </c>
      <c r="B3882" s="384" t="s">
        <v>15630</v>
      </c>
      <c r="C3882" s="384" t="s">
        <v>83</v>
      </c>
      <c r="D3882" s="385" t="s">
        <v>6915</v>
      </c>
    </row>
    <row r="3883" spans="1:4" x14ac:dyDescent="0.25">
      <c r="A3883" s="384" t="s">
        <v>15631</v>
      </c>
      <c r="B3883" s="384" t="s">
        <v>15632</v>
      </c>
      <c r="C3883" s="384" t="s">
        <v>83</v>
      </c>
      <c r="D3883" s="385" t="s">
        <v>15633</v>
      </c>
    </row>
    <row r="3884" spans="1:4" x14ac:dyDescent="0.25">
      <c r="A3884" s="384" t="s">
        <v>15634</v>
      </c>
      <c r="B3884" s="384" t="s">
        <v>15635</v>
      </c>
      <c r="C3884" s="384" t="s">
        <v>83</v>
      </c>
      <c r="D3884" s="385" t="s">
        <v>13559</v>
      </c>
    </row>
    <row r="3885" spans="1:4" x14ac:dyDescent="0.25">
      <c r="A3885" s="384" t="s">
        <v>15636</v>
      </c>
      <c r="B3885" s="384" t="s">
        <v>15637</v>
      </c>
      <c r="C3885" s="384" t="s">
        <v>83</v>
      </c>
      <c r="D3885" s="385" t="s">
        <v>15638</v>
      </c>
    </row>
    <row r="3886" spans="1:4" x14ac:dyDescent="0.25">
      <c r="A3886" s="384" t="s">
        <v>15639</v>
      </c>
      <c r="B3886" s="384" t="s">
        <v>15640</v>
      </c>
      <c r="C3886" s="384" t="s">
        <v>82</v>
      </c>
      <c r="D3886" s="385" t="s">
        <v>15641</v>
      </c>
    </row>
    <row r="3887" spans="1:4" x14ac:dyDescent="0.25">
      <c r="A3887" s="384" t="s">
        <v>15642</v>
      </c>
      <c r="B3887" s="384" t="s">
        <v>15643</v>
      </c>
      <c r="C3887" s="384" t="s">
        <v>83</v>
      </c>
      <c r="D3887" s="385" t="s">
        <v>15235</v>
      </c>
    </row>
    <row r="3888" spans="1:4" x14ac:dyDescent="0.25">
      <c r="A3888" s="384" t="s">
        <v>15644</v>
      </c>
      <c r="B3888" s="384" t="s">
        <v>15645</v>
      </c>
      <c r="C3888" s="384" t="s">
        <v>83</v>
      </c>
      <c r="D3888" s="385" t="s">
        <v>6505</v>
      </c>
    </row>
    <row r="3889" spans="1:4" x14ac:dyDescent="0.25">
      <c r="A3889" s="384" t="s">
        <v>15646</v>
      </c>
      <c r="B3889" s="384" t="s">
        <v>15647</v>
      </c>
      <c r="C3889" s="384" t="s">
        <v>83</v>
      </c>
      <c r="D3889" s="385" t="s">
        <v>15648</v>
      </c>
    </row>
    <row r="3890" spans="1:4" x14ac:dyDescent="0.25">
      <c r="A3890" s="384" t="s">
        <v>15649</v>
      </c>
      <c r="B3890" s="384" t="s">
        <v>15650</v>
      </c>
      <c r="C3890" s="384" t="s">
        <v>83</v>
      </c>
      <c r="D3890" s="385" t="s">
        <v>15651</v>
      </c>
    </row>
    <row r="3891" spans="1:4" x14ac:dyDescent="0.25">
      <c r="A3891" s="384" t="s">
        <v>15652</v>
      </c>
      <c r="B3891" s="384" t="s">
        <v>15653</v>
      </c>
      <c r="C3891" s="384" t="s">
        <v>83</v>
      </c>
      <c r="D3891" s="385" t="s">
        <v>15654</v>
      </c>
    </row>
    <row r="3892" spans="1:4" x14ac:dyDescent="0.25">
      <c r="A3892" s="384" t="s">
        <v>15655</v>
      </c>
      <c r="B3892" s="384" t="s">
        <v>15656</v>
      </c>
      <c r="C3892" s="384" t="s">
        <v>83</v>
      </c>
      <c r="D3892" s="385" t="s">
        <v>15657</v>
      </c>
    </row>
    <row r="3893" spans="1:4" x14ac:dyDescent="0.25">
      <c r="A3893" s="384" t="s">
        <v>15658</v>
      </c>
      <c r="B3893" s="384" t="s">
        <v>15659</v>
      </c>
      <c r="C3893" s="384" t="s">
        <v>83</v>
      </c>
      <c r="D3893" s="385" t="s">
        <v>5659</v>
      </c>
    </row>
    <row r="3894" spans="1:4" x14ac:dyDescent="0.25">
      <c r="A3894" s="384" t="s">
        <v>15660</v>
      </c>
      <c r="B3894" s="384" t="s">
        <v>15661</v>
      </c>
      <c r="C3894" s="384" t="s">
        <v>83</v>
      </c>
      <c r="D3894" s="385" t="s">
        <v>15662</v>
      </c>
    </row>
    <row r="3895" spans="1:4" x14ac:dyDescent="0.25">
      <c r="A3895" s="384" t="s">
        <v>15663</v>
      </c>
      <c r="B3895" s="384" t="s">
        <v>15664</v>
      </c>
      <c r="C3895" s="384" t="s">
        <v>83</v>
      </c>
      <c r="D3895" s="385" t="s">
        <v>15665</v>
      </c>
    </row>
    <row r="3896" spans="1:4" x14ac:dyDescent="0.25">
      <c r="A3896" s="384" t="s">
        <v>15666</v>
      </c>
      <c r="B3896" s="384" t="s">
        <v>15667</v>
      </c>
      <c r="C3896" s="384" t="s">
        <v>83</v>
      </c>
      <c r="D3896" s="385" t="s">
        <v>15668</v>
      </c>
    </row>
    <row r="3897" spans="1:4" x14ac:dyDescent="0.25">
      <c r="A3897" s="384" t="s">
        <v>15669</v>
      </c>
      <c r="B3897" s="384" t="s">
        <v>15670</v>
      </c>
      <c r="C3897" s="384" t="s">
        <v>83</v>
      </c>
      <c r="D3897" s="385" t="s">
        <v>6731</v>
      </c>
    </row>
    <row r="3898" spans="1:4" x14ac:dyDescent="0.25">
      <c r="A3898" s="384" t="s">
        <v>15671</v>
      </c>
      <c r="B3898" s="384" t="s">
        <v>15672</v>
      </c>
      <c r="C3898" s="384" t="s">
        <v>83</v>
      </c>
      <c r="D3898" s="385" t="s">
        <v>15673</v>
      </c>
    </row>
    <row r="3899" spans="1:4" x14ac:dyDescent="0.25">
      <c r="A3899" s="384" t="s">
        <v>15674</v>
      </c>
      <c r="B3899" s="384" t="s">
        <v>15675</v>
      </c>
      <c r="C3899" s="384" t="s">
        <v>83</v>
      </c>
      <c r="D3899" s="385" t="s">
        <v>12165</v>
      </c>
    </row>
    <row r="3900" spans="1:4" x14ac:dyDescent="0.25">
      <c r="A3900" s="384" t="s">
        <v>15676</v>
      </c>
      <c r="B3900" s="384" t="s">
        <v>15677</v>
      </c>
      <c r="C3900" s="384" t="s">
        <v>83</v>
      </c>
      <c r="D3900" s="385" t="s">
        <v>15678</v>
      </c>
    </row>
    <row r="3901" spans="1:4" x14ac:dyDescent="0.25">
      <c r="A3901" s="384" t="s">
        <v>15679</v>
      </c>
      <c r="B3901" s="384" t="s">
        <v>15680</v>
      </c>
      <c r="C3901" s="384" t="s">
        <v>83</v>
      </c>
      <c r="D3901" s="385" t="s">
        <v>15681</v>
      </c>
    </row>
    <row r="3902" spans="1:4" x14ac:dyDescent="0.25">
      <c r="A3902" s="384" t="s">
        <v>15682</v>
      </c>
      <c r="B3902" s="384" t="s">
        <v>15683</v>
      </c>
      <c r="C3902" s="384" t="s">
        <v>83</v>
      </c>
      <c r="D3902" s="385" t="s">
        <v>6731</v>
      </c>
    </row>
    <row r="3903" spans="1:4" x14ac:dyDescent="0.25">
      <c r="A3903" s="384" t="s">
        <v>15684</v>
      </c>
      <c r="B3903" s="384" t="s">
        <v>15685</v>
      </c>
      <c r="C3903" s="384" t="s">
        <v>83</v>
      </c>
      <c r="D3903" s="385" t="s">
        <v>15651</v>
      </c>
    </row>
    <row r="3904" spans="1:4" x14ac:dyDescent="0.25">
      <c r="A3904" s="384" t="s">
        <v>15686</v>
      </c>
      <c r="B3904" s="384" t="s">
        <v>15687</v>
      </c>
      <c r="C3904" s="384" t="s">
        <v>83</v>
      </c>
      <c r="D3904" s="385" t="s">
        <v>15688</v>
      </c>
    </row>
    <row r="3905" spans="1:4" x14ac:dyDescent="0.25">
      <c r="A3905" s="384" t="s">
        <v>15689</v>
      </c>
      <c r="B3905" s="384" t="s">
        <v>15690</v>
      </c>
      <c r="C3905" s="384" t="s">
        <v>83</v>
      </c>
      <c r="D3905" s="385" t="s">
        <v>15691</v>
      </c>
    </row>
    <row r="3906" spans="1:4" x14ac:dyDescent="0.25">
      <c r="A3906" s="384" t="s">
        <v>15692</v>
      </c>
      <c r="B3906" s="384" t="s">
        <v>15693</v>
      </c>
      <c r="C3906" s="384" t="s">
        <v>83</v>
      </c>
      <c r="D3906" s="385" t="s">
        <v>15694</v>
      </c>
    </row>
    <row r="3907" spans="1:4" x14ac:dyDescent="0.25">
      <c r="A3907" s="384" t="s">
        <v>15695</v>
      </c>
      <c r="B3907" s="384" t="s">
        <v>15696</v>
      </c>
      <c r="C3907" s="384" t="s">
        <v>83</v>
      </c>
      <c r="D3907" s="385" t="s">
        <v>15697</v>
      </c>
    </row>
    <row r="3908" spans="1:4" x14ac:dyDescent="0.25">
      <c r="A3908" s="384" t="s">
        <v>15698</v>
      </c>
      <c r="B3908" s="384" t="s">
        <v>15699</v>
      </c>
      <c r="C3908" s="384" t="s">
        <v>83</v>
      </c>
      <c r="D3908" s="385" t="s">
        <v>15106</v>
      </c>
    </row>
    <row r="3909" spans="1:4" x14ac:dyDescent="0.25">
      <c r="A3909" s="384" t="s">
        <v>15700</v>
      </c>
      <c r="B3909" s="384" t="s">
        <v>15701</v>
      </c>
      <c r="C3909" s="384" t="s">
        <v>83</v>
      </c>
      <c r="D3909" s="385" t="s">
        <v>12356</v>
      </c>
    </row>
    <row r="3910" spans="1:4" x14ac:dyDescent="0.25">
      <c r="A3910" s="384" t="s">
        <v>15702</v>
      </c>
      <c r="B3910" s="384" t="s">
        <v>15703</v>
      </c>
      <c r="C3910" s="384" t="s">
        <v>83</v>
      </c>
      <c r="D3910" s="385" t="s">
        <v>15704</v>
      </c>
    </row>
    <row r="3911" spans="1:4" x14ac:dyDescent="0.25">
      <c r="A3911" s="384" t="s">
        <v>15705</v>
      </c>
      <c r="B3911" s="384" t="s">
        <v>15706</v>
      </c>
      <c r="C3911" s="384" t="s">
        <v>83</v>
      </c>
      <c r="D3911" s="385" t="s">
        <v>15707</v>
      </c>
    </row>
    <row r="3912" spans="1:4" x14ac:dyDescent="0.25">
      <c r="A3912" s="384" t="s">
        <v>15708</v>
      </c>
      <c r="B3912" s="384" t="s">
        <v>15709</v>
      </c>
      <c r="C3912" s="384" t="s">
        <v>83</v>
      </c>
      <c r="D3912" s="385" t="s">
        <v>15710</v>
      </c>
    </row>
    <row r="3913" spans="1:4" x14ac:dyDescent="0.25">
      <c r="A3913" s="384" t="s">
        <v>15711</v>
      </c>
      <c r="B3913" s="384" t="s">
        <v>15712</v>
      </c>
      <c r="C3913" s="384" t="s">
        <v>83</v>
      </c>
      <c r="D3913" s="385" t="s">
        <v>15713</v>
      </c>
    </row>
    <row r="3914" spans="1:4" x14ac:dyDescent="0.25">
      <c r="A3914" s="384" t="s">
        <v>15714</v>
      </c>
      <c r="B3914" s="384" t="s">
        <v>15715</v>
      </c>
      <c r="C3914" s="384" t="s">
        <v>83</v>
      </c>
      <c r="D3914" s="385" t="s">
        <v>8473</v>
      </c>
    </row>
    <row r="3915" spans="1:4" x14ac:dyDescent="0.25">
      <c r="A3915" s="384" t="s">
        <v>15716</v>
      </c>
      <c r="B3915" s="384" t="s">
        <v>15717</v>
      </c>
      <c r="C3915" s="384" t="s">
        <v>83</v>
      </c>
      <c r="D3915" s="385" t="s">
        <v>15718</v>
      </c>
    </row>
    <row r="3916" spans="1:4" x14ac:dyDescent="0.25">
      <c r="A3916" s="384" t="s">
        <v>15719</v>
      </c>
      <c r="B3916" s="384" t="s">
        <v>15720</v>
      </c>
      <c r="C3916" s="384" t="s">
        <v>83</v>
      </c>
      <c r="D3916" s="385" t="s">
        <v>15721</v>
      </c>
    </row>
    <row r="3917" spans="1:4" x14ac:dyDescent="0.25">
      <c r="A3917" s="384" t="s">
        <v>15722</v>
      </c>
      <c r="B3917" s="384" t="s">
        <v>15723</v>
      </c>
      <c r="C3917" s="384" t="s">
        <v>83</v>
      </c>
      <c r="D3917" s="385" t="s">
        <v>15694</v>
      </c>
    </row>
    <row r="3918" spans="1:4" x14ac:dyDescent="0.25">
      <c r="A3918" s="384" t="s">
        <v>15724</v>
      </c>
      <c r="B3918" s="384" t="s">
        <v>15725</v>
      </c>
      <c r="C3918" s="384" t="s">
        <v>83</v>
      </c>
      <c r="D3918" s="385" t="s">
        <v>9901</v>
      </c>
    </row>
    <row r="3919" spans="1:4" x14ac:dyDescent="0.25">
      <c r="A3919" s="384" t="s">
        <v>15726</v>
      </c>
      <c r="B3919" s="384" t="s">
        <v>15727</v>
      </c>
      <c r="C3919" s="384" t="s">
        <v>83</v>
      </c>
      <c r="D3919" s="385" t="s">
        <v>15728</v>
      </c>
    </row>
    <row r="3920" spans="1:4" x14ac:dyDescent="0.25">
      <c r="A3920" s="384" t="s">
        <v>15729</v>
      </c>
      <c r="B3920" s="384" t="s">
        <v>15730</v>
      </c>
      <c r="C3920" s="384" t="s">
        <v>83</v>
      </c>
      <c r="D3920" s="385" t="s">
        <v>7769</v>
      </c>
    </row>
    <row r="3921" spans="1:4" x14ac:dyDescent="0.25">
      <c r="A3921" s="384" t="s">
        <v>15731</v>
      </c>
      <c r="B3921" s="384" t="s">
        <v>15732</v>
      </c>
      <c r="C3921" s="384" t="s">
        <v>83</v>
      </c>
      <c r="D3921" s="385" t="s">
        <v>8440</v>
      </c>
    </row>
    <row r="3922" spans="1:4" x14ac:dyDescent="0.25">
      <c r="A3922" s="384" t="s">
        <v>15733</v>
      </c>
      <c r="B3922" s="384" t="s">
        <v>15734</v>
      </c>
      <c r="C3922" s="384" t="s">
        <v>83</v>
      </c>
      <c r="D3922" s="385" t="s">
        <v>12317</v>
      </c>
    </row>
    <row r="3923" spans="1:4" x14ac:dyDescent="0.25">
      <c r="A3923" s="384" t="s">
        <v>15735</v>
      </c>
      <c r="B3923" s="384" t="s">
        <v>15736</v>
      </c>
      <c r="C3923" s="384" t="s">
        <v>83</v>
      </c>
      <c r="D3923" s="385" t="s">
        <v>6826</v>
      </c>
    </row>
    <row r="3924" spans="1:4" x14ac:dyDescent="0.25">
      <c r="A3924" s="384" t="s">
        <v>15737</v>
      </c>
      <c r="B3924" s="384" t="s">
        <v>15738</v>
      </c>
      <c r="C3924" s="384" t="s">
        <v>83</v>
      </c>
      <c r="D3924" s="385" t="s">
        <v>10382</v>
      </c>
    </row>
    <row r="3925" spans="1:4" x14ac:dyDescent="0.25">
      <c r="A3925" s="384" t="s">
        <v>15739</v>
      </c>
      <c r="B3925" s="384" t="s">
        <v>15740</v>
      </c>
      <c r="C3925" s="384" t="s">
        <v>83</v>
      </c>
      <c r="D3925" s="385" t="s">
        <v>15741</v>
      </c>
    </row>
    <row r="3926" spans="1:4" x14ac:dyDescent="0.25">
      <c r="A3926" s="384" t="s">
        <v>15742</v>
      </c>
      <c r="B3926" s="384" t="s">
        <v>15743</v>
      </c>
      <c r="C3926" s="384" t="s">
        <v>83</v>
      </c>
      <c r="D3926" s="385" t="s">
        <v>15744</v>
      </c>
    </row>
    <row r="3927" spans="1:4" x14ac:dyDescent="0.25">
      <c r="A3927" s="384" t="s">
        <v>15745</v>
      </c>
      <c r="B3927" s="384" t="s">
        <v>15746</v>
      </c>
      <c r="C3927" s="384" t="s">
        <v>83</v>
      </c>
      <c r="D3927" s="385" t="s">
        <v>4451</v>
      </c>
    </row>
    <row r="3928" spans="1:4" x14ac:dyDescent="0.25">
      <c r="A3928" s="384" t="s">
        <v>15747</v>
      </c>
      <c r="B3928" s="384" t="s">
        <v>15748</v>
      </c>
      <c r="C3928" s="384" t="s">
        <v>83</v>
      </c>
      <c r="D3928" s="385" t="s">
        <v>15749</v>
      </c>
    </row>
    <row r="3929" spans="1:4" x14ac:dyDescent="0.25">
      <c r="A3929" s="384" t="s">
        <v>15750</v>
      </c>
      <c r="B3929" s="384" t="s">
        <v>15751</v>
      </c>
      <c r="C3929" s="384" t="s">
        <v>83</v>
      </c>
      <c r="D3929" s="385" t="s">
        <v>15752</v>
      </c>
    </row>
    <row r="3930" spans="1:4" x14ac:dyDescent="0.25">
      <c r="A3930" s="384" t="s">
        <v>15753</v>
      </c>
      <c r="B3930" s="384" t="s">
        <v>15754</v>
      </c>
      <c r="C3930" s="384" t="s">
        <v>83</v>
      </c>
      <c r="D3930" s="385" t="s">
        <v>15755</v>
      </c>
    </row>
    <row r="3931" spans="1:4" x14ac:dyDescent="0.25">
      <c r="A3931" s="384" t="s">
        <v>15756</v>
      </c>
      <c r="B3931" s="384" t="s">
        <v>15757</v>
      </c>
      <c r="C3931" s="384" t="s">
        <v>83</v>
      </c>
      <c r="D3931" s="385" t="s">
        <v>15758</v>
      </c>
    </row>
    <row r="3932" spans="1:4" x14ac:dyDescent="0.25">
      <c r="A3932" s="384" t="s">
        <v>15759</v>
      </c>
      <c r="B3932" s="384" t="s">
        <v>15760</v>
      </c>
      <c r="C3932" s="384" t="s">
        <v>83</v>
      </c>
      <c r="D3932" s="385" t="s">
        <v>15761</v>
      </c>
    </row>
    <row r="3933" spans="1:4" x14ac:dyDescent="0.25">
      <c r="A3933" s="384" t="s">
        <v>15762</v>
      </c>
      <c r="B3933" s="384" t="s">
        <v>15763</v>
      </c>
      <c r="C3933" s="384" t="s">
        <v>83</v>
      </c>
      <c r="D3933" s="385" t="s">
        <v>15764</v>
      </c>
    </row>
    <row r="3934" spans="1:4" x14ac:dyDescent="0.25">
      <c r="A3934" s="384" t="s">
        <v>15765</v>
      </c>
      <c r="B3934" s="384" t="s">
        <v>15766</v>
      </c>
      <c r="C3934" s="384" t="s">
        <v>83</v>
      </c>
      <c r="D3934" s="385" t="s">
        <v>15767</v>
      </c>
    </row>
    <row r="3935" spans="1:4" x14ac:dyDescent="0.25">
      <c r="A3935" s="384" t="s">
        <v>15768</v>
      </c>
      <c r="B3935" s="384" t="s">
        <v>15769</v>
      </c>
      <c r="C3935" s="384" t="s">
        <v>83</v>
      </c>
      <c r="D3935" s="385" t="s">
        <v>15767</v>
      </c>
    </row>
    <row r="3936" spans="1:4" x14ac:dyDescent="0.25">
      <c r="A3936" s="384" t="s">
        <v>15770</v>
      </c>
      <c r="B3936" s="384" t="s">
        <v>15771</v>
      </c>
      <c r="C3936" s="384" t="s">
        <v>83</v>
      </c>
      <c r="D3936" s="385" t="s">
        <v>15772</v>
      </c>
    </row>
    <row r="3937" spans="1:4" x14ac:dyDescent="0.25">
      <c r="A3937" s="384" t="s">
        <v>15773</v>
      </c>
      <c r="B3937" s="384" t="s">
        <v>15774</v>
      </c>
      <c r="C3937" s="384" t="s">
        <v>83</v>
      </c>
      <c r="D3937" s="385" t="s">
        <v>15775</v>
      </c>
    </row>
    <row r="3938" spans="1:4" x14ac:dyDescent="0.25">
      <c r="A3938" s="384" t="s">
        <v>15776</v>
      </c>
      <c r="B3938" s="384" t="s">
        <v>15777</v>
      </c>
      <c r="C3938" s="384" t="s">
        <v>82</v>
      </c>
      <c r="D3938" s="385" t="s">
        <v>15778</v>
      </c>
    </row>
    <row r="3939" spans="1:4" x14ac:dyDescent="0.25">
      <c r="A3939" s="384" t="s">
        <v>15779</v>
      </c>
      <c r="B3939" s="384" t="s">
        <v>15780</v>
      </c>
      <c r="C3939" s="384" t="s">
        <v>83</v>
      </c>
      <c r="D3939" s="385" t="s">
        <v>15781</v>
      </c>
    </row>
    <row r="3940" spans="1:4" x14ac:dyDescent="0.25">
      <c r="A3940" s="384" t="s">
        <v>15782</v>
      </c>
      <c r="B3940" s="384" t="s">
        <v>15783</v>
      </c>
      <c r="C3940" s="384" t="s">
        <v>83</v>
      </c>
      <c r="D3940" s="385" t="s">
        <v>15784</v>
      </c>
    </row>
    <row r="3941" spans="1:4" x14ac:dyDescent="0.25">
      <c r="A3941" s="384" t="s">
        <v>15785</v>
      </c>
      <c r="B3941" s="384" t="s">
        <v>15786</v>
      </c>
      <c r="C3941" s="384" t="s">
        <v>83</v>
      </c>
      <c r="D3941" s="385" t="s">
        <v>15787</v>
      </c>
    </row>
    <row r="3942" spans="1:4" x14ac:dyDescent="0.25">
      <c r="A3942" s="384" t="s">
        <v>15788</v>
      </c>
      <c r="B3942" s="384" t="s">
        <v>15789</v>
      </c>
      <c r="C3942" s="384" t="s">
        <v>83</v>
      </c>
      <c r="D3942" s="385" t="s">
        <v>15790</v>
      </c>
    </row>
    <row r="3943" spans="1:4" x14ac:dyDescent="0.25">
      <c r="A3943" s="384" t="s">
        <v>15791</v>
      </c>
      <c r="B3943" s="384" t="s">
        <v>15792</v>
      </c>
      <c r="C3943" s="384" t="s">
        <v>83</v>
      </c>
      <c r="D3943" s="385" t="s">
        <v>6245</v>
      </c>
    </row>
    <row r="3944" spans="1:4" x14ac:dyDescent="0.25">
      <c r="A3944" s="384" t="s">
        <v>15793</v>
      </c>
      <c r="B3944" s="384" t="s">
        <v>15794</v>
      </c>
      <c r="C3944" s="384" t="s">
        <v>83</v>
      </c>
      <c r="D3944" s="385" t="s">
        <v>15787</v>
      </c>
    </row>
    <row r="3945" spans="1:4" x14ac:dyDescent="0.25">
      <c r="A3945" s="384" t="s">
        <v>15795</v>
      </c>
      <c r="B3945" s="384" t="s">
        <v>15796</v>
      </c>
      <c r="C3945" s="384" t="s">
        <v>83</v>
      </c>
      <c r="D3945" s="385" t="s">
        <v>15797</v>
      </c>
    </row>
    <row r="3946" spans="1:4" x14ac:dyDescent="0.25">
      <c r="A3946" s="384" t="s">
        <v>15798</v>
      </c>
      <c r="B3946" s="384" t="s">
        <v>15799</v>
      </c>
      <c r="C3946" s="384" t="s">
        <v>83</v>
      </c>
      <c r="D3946" s="385" t="s">
        <v>15800</v>
      </c>
    </row>
    <row r="3947" spans="1:4" x14ac:dyDescent="0.25">
      <c r="A3947" s="384" t="s">
        <v>15801</v>
      </c>
      <c r="B3947" s="384" t="s">
        <v>15802</v>
      </c>
      <c r="C3947" s="384" t="s">
        <v>83</v>
      </c>
      <c r="D3947" s="385" t="s">
        <v>15803</v>
      </c>
    </row>
    <row r="3948" spans="1:4" x14ac:dyDescent="0.25">
      <c r="A3948" s="384" t="s">
        <v>15804</v>
      </c>
      <c r="B3948" s="384" t="s">
        <v>15805</v>
      </c>
      <c r="C3948" s="384" t="s">
        <v>83</v>
      </c>
      <c r="D3948" s="385" t="s">
        <v>15806</v>
      </c>
    </row>
    <row r="3949" spans="1:4" x14ac:dyDescent="0.25">
      <c r="A3949" s="384" t="s">
        <v>15807</v>
      </c>
      <c r="B3949" s="384" t="s">
        <v>15808</v>
      </c>
      <c r="C3949" s="384" t="s">
        <v>83</v>
      </c>
      <c r="D3949" s="385" t="s">
        <v>6311</v>
      </c>
    </row>
    <row r="3950" spans="1:4" x14ac:dyDescent="0.25">
      <c r="A3950" s="384" t="s">
        <v>15809</v>
      </c>
      <c r="B3950" s="384" t="s">
        <v>15810</v>
      </c>
      <c r="C3950" s="384" t="s">
        <v>83</v>
      </c>
      <c r="D3950" s="385" t="s">
        <v>15811</v>
      </c>
    </row>
    <row r="3951" spans="1:4" x14ac:dyDescent="0.25">
      <c r="A3951" s="384" t="s">
        <v>15812</v>
      </c>
      <c r="B3951" s="384" t="s">
        <v>15813</v>
      </c>
      <c r="C3951" s="384" t="s">
        <v>83</v>
      </c>
      <c r="D3951" s="385" t="s">
        <v>15797</v>
      </c>
    </row>
    <row r="3952" spans="1:4" x14ac:dyDescent="0.25">
      <c r="A3952" s="384" t="s">
        <v>15814</v>
      </c>
      <c r="B3952" s="384" t="s">
        <v>15815</v>
      </c>
      <c r="C3952" s="384" t="s">
        <v>83</v>
      </c>
      <c r="D3952" s="385" t="s">
        <v>15816</v>
      </c>
    </row>
    <row r="3953" spans="1:4" x14ac:dyDescent="0.25">
      <c r="A3953" s="384" t="s">
        <v>15817</v>
      </c>
      <c r="B3953" s="384" t="s">
        <v>15818</v>
      </c>
      <c r="C3953" s="384" t="s">
        <v>83</v>
      </c>
      <c r="D3953" s="385" t="s">
        <v>15819</v>
      </c>
    </row>
    <row r="3954" spans="1:4" x14ac:dyDescent="0.25">
      <c r="A3954" s="384" t="s">
        <v>15820</v>
      </c>
      <c r="B3954" s="384" t="s">
        <v>15821</v>
      </c>
      <c r="C3954" s="384" t="s">
        <v>83</v>
      </c>
      <c r="D3954" s="385" t="s">
        <v>15822</v>
      </c>
    </row>
    <row r="3955" spans="1:4" x14ac:dyDescent="0.25">
      <c r="A3955" s="384" t="s">
        <v>15823</v>
      </c>
      <c r="B3955" s="384" t="s">
        <v>15824</v>
      </c>
      <c r="C3955" s="384" t="s">
        <v>83</v>
      </c>
      <c r="D3955" s="385" t="s">
        <v>15825</v>
      </c>
    </row>
    <row r="3956" spans="1:4" x14ac:dyDescent="0.25">
      <c r="A3956" s="384" t="s">
        <v>15826</v>
      </c>
      <c r="B3956" s="384" t="s">
        <v>15827</v>
      </c>
      <c r="C3956" s="384" t="s">
        <v>83</v>
      </c>
      <c r="D3956" s="385" t="s">
        <v>15828</v>
      </c>
    </row>
    <row r="3957" spans="1:4" x14ac:dyDescent="0.25">
      <c r="A3957" s="384" t="s">
        <v>15829</v>
      </c>
      <c r="B3957" s="384" t="s">
        <v>15830</v>
      </c>
      <c r="C3957" s="384" t="s">
        <v>83</v>
      </c>
      <c r="D3957" s="385" t="s">
        <v>15831</v>
      </c>
    </row>
    <row r="3958" spans="1:4" x14ac:dyDescent="0.25">
      <c r="A3958" s="384" t="s">
        <v>15832</v>
      </c>
      <c r="B3958" s="384" t="s">
        <v>15833</v>
      </c>
      <c r="C3958" s="384" t="s">
        <v>83</v>
      </c>
      <c r="D3958" s="385" t="s">
        <v>15834</v>
      </c>
    </row>
    <row r="3959" spans="1:4" x14ac:dyDescent="0.25">
      <c r="A3959" s="384" t="s">
        <v>15835</v>
      </c>
      <c r="B3959" s="384" t="s">
        <v>15836</v>
      </c>
      <c r="C3959" s="384" t="s">
        <v>83</v>
      </c>
      <c r="D3959" s="385" t="s">
        <v>14267</v>
      </c>
    </row>
    <row r="3960" spans="1:4" x14ac:dyDescent="0.25">
      <c r="A3960" s="384" t="s">
        <v>15837</v>
      </c>
      <c r="B3960" s="384" t="s">
        <v>15838</v>
      </c>
      <c r="C3960" s="384" t="s">
        <v>83</v>
      </c>
      <c r="D3960" s="385" t="s">
        <v>15839</v>
      </c>
    </row>
    <row r="3961" spans="1:4" x14ac:dyDescent="0.25">
      <c r="A3961" s="384" t="s">
        <v>15840</v>
      </c>
      <c r="B3961" s="384" t="s">
        <v>15841</v>
      </c>
      <c r="C3961" s="384" t="s">
        <v>83</v>
      </c>
      <c r="D3961" s="385" t="s">
        <v>15842</v>
      </c>
    </row>
    <row r="3962" spans="1:4" x14ac:dyDescent="0.25">
      <c r="A3962" s="384" t="s">
        <v>15843</v>
      </c>
      <c r="B3962" s="384" t="s">
        <v>15844</v>
      </c>
      <c r="C3962" s="384" t="s">
        <v>83</v>
      </c>
      <c r="D3962" s="385" t="s">
        <v>9989</v>
      </c>
    </row>
    <row r="3963" spans="1:4" x14ac:dyDescent="0.25">
      <c r="A3963" s="384" t="s">
        <v>15845</v>
      </c>
      <c r="B3963" s="384" t="s">
        <v>15846</v>
      </c>
      <c r="C3963" s="384" t="s">
        <v>83</v>
      </c>
      <c r="D3963" s="385" t="s">
        <v>15847</v>
      </c>
    </row>
    <row r="3964" spans="1:4" x14ac:dyDescent="0.25">
      <c r="A3964" s="384" t="s">
        <v>15848</v>
      </c>
      <c r="B3964" s="384" t="s">
        <v>15849</v>
      </c>
      <c r="C3964" s="384" t="s">
        <v>83</v>
      </c>
      <c r="D3964" s="385" t="s">
        <v>15850</v>
      </c>
    </row>
    <row r="3965" spans="1:4" x14ac:dyDescent="0.25">
      <c r="A3965" s="384" t="s">
        <v>15851</v>
      </c>
      <c r="B3965" s="384" t="s">
        <v>15852</v>
      </c>
      <c r="C3965" s="384" t="s">
        <v>83</v>
      </c>
      <c r="D3965" s="385" t="s">
        <v>15853</v>
      </c>
    </row>
    <row r="3966" spans="1:4" x14ac:dyDescent="0.25">
      <c r="A3966" s="384" t="s">
        <v>15854</v>
      </c>
      <c r="B3966" s="384" t="s">
        <v>15855</v>
      </c>
      <c r="C3966" s="384" t="s">
        <v>83</v>
      </c>
      <c r="D3966" s="385" t="s">
        <v>15856</v>
      </c>
    </row>
    <row r="3967" spans="1:4" x14ac:dyDescent="0.25">
      <c r="A3967" s="384" t="s">
        <v>15857</v>
      </c>
      <c r="B3967" s="384" t="s">
        <v>15858</v>
      </c>
      <c r="C3967" s="384" t="s">
        <v>83</v>
      </c>
      <c r="D3967" s="385" t="s">
        <v>15859</v>
      </c>
    </row>
    <row r="3968" spans="1:4" x14ac:dyDescent="0.25">
      <c r="A3968" s="384" t="s">
        <v>15860</v>
      </c>
      <c r="B3968" s="384" t="s">
        <v>15861</v>
      </c>
      <c r="C3968" s="384" t="s">
        <v>83</v>
      </c>
      <c r="D3968" s="385" t="s">
        <v>15862</v>
      </c>
    </row>
    <row r="3969" spans="1:4" x14ac:dyDescent="0.25">
      <c r="A3969" s="384" t="s">
        <v>15863</v>
      </c>
      <c r="B3969" s="384" t="s">
        <v>15864</v>
      </c>
      <c r="C3969" s="384" t="s">
        <v>83</v>
      </c>
      <c r="D3969" s="385" t="s">
        <v>15865</v>
      </c>
    </row>
    <row r="3970" spans="1:4" x14ac:dyDescent="0.25">
      <c r="A3970" s="384" t="s">
        <v>15866</v>
      </c>
      <c r="B3970" s="384" t="s">
        <v>15867</v>
      </c>
      <c r="C3970" s="384" t="s">
        <v>83</v>
      </c>
      <c r="D3970" s="385" t="s">
        <v>11214</v>
      </c>
    </row>
    <row r="3971" spans="1:4" x14ac:dyDescent="0.25">
      <c r="A3971" s="384" t="s">
        <v>15868</v>
      </c>
      <c r="B3971" s="384" t="s">
        <v>15869</v>
      </c>
      <c r="C3971" s="384" t="s">
        <v>83</v>
      </c>
      <c r="D3971" s="385" t="s">
        <v>15870</v>
      </c>
    </row>
    <row r="3972" spans="1:4" x14ac:dyDescent="0.25">
      <c r="A3972" s="384" t="s">
        <v>15871</v>
      </c>
      <c r="B3972" s="384" t="s">
        <v>15872</v>
      </c>
      <c r="C3972" s="384" t="s">
        <v>83</v>
      </c>
      <c r="D3972" s="385" t="s">
        <v>15873</v>
      </c>
    </row>
    <row r="3973" spans="1:4" x14ac:dyDescent="0.25">
      <c r="A3973" s="384" t="s">
        <v>15874</v>
      </c>
      <c r="B3973" s="384" t="s">
        <v>15875</v>
      </c>
      <c r="C3973" s="384" t="s">
        <v>83</v>
      </c>
      <c r="D3973" s="385" t="s">
        <v>15876</v>
      </c>
    </row>
    <row r="3974" spans="1:4" x14ac:dyDescent="0.25">
      <c r="A3974" s="384" t="s">
        <v>15877</v>
      </c>
      <c r="B3974" s="384" t="s">
        <v>15878</v>
      </c>
      <c r="C3974" s="384" t="s">
        <v>83</v>
      </c>
      <c r="D3974" s="385" t="s">
        <v>15879</v>
      </c>
    </row>
    <row r="3975" spans="1:4" x14ac:dyDescent="0.25">
      <c r="A3975" s="384" t="s">
        <v>15880</v>
      </c>
      <c r="B3975" s="384" t="s">
        <v>15881</v>
      </c>
      <c r="C3975" s="384" t="s">
        <v>83</v>
      </c>
      <c r="D3975" s="385" t="s">
        <v>8125</v>
      </c>
    </row>
    <row r="3976" spans="1:4" x14ac:dyDescent="0.25">
      <c r="A3976" s="384" t="s">
        <v>15882</v>
      </c>
      <c r="B3976" s="384" t="s">
        <v>15883</v>
      </c>
      <c r="C3976" s="384" t="s">
        <v>83</v>
      </c>
      <c r="D3976" s="385" t="s">
        <v>15884</v>
      </c>
    </row>
    <row r="3977" spans="1:4" x14ac:dyDescent="0.25">
      <c r="A3977" s="384" t="s">
        <v>15885</v>
      </c>
      <c r="B3977" s="384" t="s">
        <v>15886</v>
      </c>
      <c r="C3977" s="384" t="s">
        <v>83</v>
      </c>
      <c r="D3977" s="385" t="s">
        <v>15887</v>
      </c>
    </row>
    <row r="3978" spans="1:4" x14ac:dyDescent="0.25">
      <c r="A3978" s="384" t="s">
        <v>15888</v>
      </c>
      <c r="B3978" s="384" t="s">
        <v>15889</v>
      </c>
      <c r="C3978" s="384" t="s">
        <v>83</v>
      </c>
      <c r="D3978" s="385" t="s">
        <v>12576</v>
      </c>
    </row>
    <row r="3979" spans="1:4" x14ac:dyDescent="0.25">
      <c r="A3979" s="384" t="s">
        <v>15890</v>
      </c>
      <c r="B3979" s="384" t="s">
        <v>15891</v>
      </c>
      <c r="C3979" s="384" t="s">
        <v>83</v>
      </c>
      <c r="D3979" s="385" t="s">
        <v>15892</v>
      </c>
    </row>
    <row r="3980" spans="1:4" x14ac:dyDescent="0.25">
      <c r="A3980" s="384" t="s">
        <v>15893</v>
      </c>
      <c r="B3980" s="384" t="s">
        <v>15894</v>
      </c>
      <c r="C3980" s="384" t="s">
        <v>83</v>
      </c>
      <c r="D3980" s="385" t="s">
        <v>15895</v>
      </c>
    </row>
    <row r="3981" spans="1:4" x14ac:dyDescent="0.25">
      <c r="A3981" s="384" t="s">
        <v>15896</v>
      </c>
      <c r="B3981" s="384" t="s">
        <v>15897</v>
      </c>
      <c r="C3981" s="384" t="s">
        <v>83</v>
      </c>
      <c r="D3981" s="385" t="s">
        <v>15898</v>
      </c>
    </row>
    <row r="3982" spans="1:4" x14ac:dyDescent="0.25">
      <c r="A3982" s="384" t="s">
        <v>15899</v>
      </c>
      <c r="B3982" s="384" t="s">
        <v>15900</v>
      </c>
      <c r="C3982" s="384" t="s">
        <v>83</v>
      </c>
      <c r="D3982" s="385" t="s">
        <v>15901</v>
      </c>
    </row>
    <row r="3983" spans="1:4" x14ac:dyDescent="0.25">
      <c r="A3983" s="384" t="s">
        <v>15902</v>
      </c>
      <c r="B3983" s="384" t="s">
        <v>15903</v>
      </c>
      <c r="C3983" s="384" t="s">
        <v>83</v>
      </c>
      <c r="D3983" s="385" t="s">
        <v>15904</v>
      </c>
    </row>
    <row r="3984" spans="1:4" x14ac:dyDescent="0.25">
      <c r="A3984" s="384" t="s">
        <v>15905</v>
      </c>
      <c r="B3984" s="384" t="s">
        <v>15906</v>
      </c>
      <c r="C3984" s="384" t="s">
        <v>83</v>
      </c>
      <c r="D3984" s="385" t="s">
        <v>15907</v>
      </c>
    </row>
    <row r="3985" spans="1:4" x14ac:dyDescent="0.25">
      <c r="A3985" s="384" t="s">
        <v>15908</v>
      </c>
      <c r="B3985" s="384" t="s">
        <v>15909</v>
      </c>
      <c r="C3985" s="384" t="s">
        <v>83</v>
      </c>
      <c r="D3985" s="385" t="s">
        <v>15910</v>
      </c>
    </row>
    <row r="3986" spans="1:4" x14ac:dyDescent="0.25">
      <c r="A3986" s="384" t="s">
        <v>15911</v>
      </c>
      <c r="B3986" s="384" t="s">
        <v>15912</v>
      </c>
      <c r="C3986" s="384" t="s">
        <v>83</v>
      </c>
      <c r="D3986" s="385" t="s">
        <v>15913</v>
      </c>
    </row>
    <row r="3987" spans="1:4" x14ac:dyDescent="0.25">
      <c r="A3987" s="384" t="s">
        <v>15914</v>
      </c>
      <c r="B3987" s="384" t="s">
        <v>15915</v>
      </c>
      <c r="C3987" s="384" t="s">
        <v>83</v>
      </c>
      <c r="D3987" s="385" t="s">
        <v>15916</v>
      </c>
    </row>
    <row r="3988" spans="1:4" x14ac:dyDescent="0.25">
      <c r="A3988" s="384" t="s">
        <v>15917</v>
      </c>
      <c r="B3988" s="384" t="s">
        <v>15918</v>
      </c>
      <c r="C3988" s="384" t="s">
        <v>83</v>
      </c>
      <c r="D3988" s="385" t="s">
        <v>15919</v>
      </c>
    </row>
    <row r="3989" spans="1:4" x14ac:dyDescent="0.25">
      <c r="A3989" s="384" t="s">
        <v>15920</v>
      </c>
      <c r="B3989" s="384" t="s">
        <v>15921</v>
      </c>
      <c r="C3989" s="384" t="s">
        <v>83</v>
      </c>
      <c r="D3989" s="385" t="s">
        <v>15922</v>
      </c>
    </row>
    <row r="3990" spans="1:4" x14ac:dyDescent="0.25">
      <c r="A3990" s="384" t="s">
        <v>15923</v>
      </c>
      <c r="B3990" s="384" t="s">
        <v>15924</v>
      </c>
      <c r="C3990" s="384" t="s">
        <v>83</v>
      </c>
      <c r="D3990" s="385" t="s">
        <v>15925</v>
      </c>
    </row>
    <row r="3991" spans="1:4" x14ac:dyDescent="0.25">
      <c r="A3991" s="384" t="s">
        <v>15926</v>
      </c>
      <c r="B3991" s="384" t="s">
        <v>15927</v>
      </c>
      <c r="C3991" s="384" t="s">
        <v>83</v>
      </c>
      <c r="D3991" s="385" t="s">
        <v>15928</v>
      </c>
    </row>
    <row r="3992" spans="1:4" x14ac:dyDescent="0.25">
      <c r="A3992" s="384" t="s">
        <v>15929</v>
      </c>
      <c r="B3992" s="384" t="s">
        <v>15930</v>
      </c>
      <c r="C3992" s="384" t="s">
        <v>83</v>
      </c>
      <c r="D3992" s="385" t="s">
        <v>10983</v>
      </c>
    </row>
    <row r="3993" spans="1:4" x14ac:dyDescent="0.25">
      <c r="A3993" s="384" t="s">
        <v>15931</v>
      </c>
      <c r="B3993" s="384" t="s">
        <v>15932</v>
      </c>
      <c r="C3993" s="384" t="s">
        <v>83</v>
      </c>
      <c r="D3993" s="385" t="s">
        <v>15933</v>
      </c>
    </row>
    <row r="3994" spans="1:4" x14ac:dyDescent="0.25">
      <c r="A3994" s="384" t="s">
        <v>15934</v>
      </c>
      <c r="B3994" s="384" t="s">
        <v>15935</v>
      </c>
      <c r="C3994" s="384" t="s">
        <v>83</v>
      </c>
      <c r="D3994" s="385" t="s">
        <v>15936</v>
      </c>
    </row>
    <row r="3995" spans="1:4" x14ac:dyDescent="0.25">
      <c r="A3995" s="384" t="s">
        <v>15937</v>
      </c>
      <c r="B3995" s="384" t="s">
        <v>15938</v>
      </c>
      <c r="C3995" s="384" t="s">
        <v>83</v>
      </c>
      <c r="D3995" s="385" t="s">
        <v>15939</v>
      </c>
    </row>
    <row r="3996" spans="1:4" x14ac:dyDescent="0.25">
      <c r="A3996" s="384" t="s">
        <v>15940</v>
      </c>
      <c r="B3996" s="384" t="s">
        <v>15941</v>
      </c>
      <c r="C3996" s="384" t="s">
        <v>83</v>
      </c>
      <c r="D3996" s="385" t="s">
        <v>15942</v>
      </c>
    </row>
    <row r="3997" spans="1:4" x14ac:dyDescent="0.25">
      <c r="A3997" s="384" t="s">
        <v>15943</v>
      </c>
      <c r="B3997" s="384" t="s">
        <v>15944</v>
      </c>
      <c r="C3997" s="384" t="s">
        <v>83</v>
      </c>
      <c r="D3997" s="385" t="s">
        <v>15945</v>
      </c>
    </row>
    <row r="3998" spans="1:4" x14ac:dyDescent="0.25">
      <c r="A3998" s="384" t="s">
        <v>15946</v>
      </c>
      <c r="B3998" s="384" t="s">
        <v>15947</v>
      </c>
      <c r="C3998" s="384" t="s">
        <v>83</v>
      </c>
      <c r="D3998" s="385" t="s">
        <v>15948</v>
      </c>
    </row>
    <row r="3999" spans="1:4" x14ac:dyDescent="0.25">
      <c r="A3999" s="384" t="s">
        <v>15949</v>
      </c>
      <c r="B3999" s="384" t="s">
        <v>15950</v>
      </c>
      <c r="C3999" s="384" t="s">
        <v>83</v>
      </c>
      <c r="D3999" s="385" t="s">
        <v>15951</v>
      </c>
    </row>
    <row r="4000" spans="1:4" x14ac:dyDescent="0.25">
      <c r="A4000" s="384" t="s">
        <v>15952</v>
      </c>
      <c r="B4000" s="384" t="s">
        <v>15953</v>
      </c>
      <c r="C4000" s="384" t="s">
        <v>83</v>
      </c>
      <c r="D4000" s="385" t="s">
        <v>15954</v>
      </c>
    </row>
    <row r="4001" spans="1:4" x14ac:dyDescent="0.25">
      <c r="A4001" s="384" t="s">
        <v>15955</v>
      </c>
      <c r="B4001" s="384" t="s">
        <v>15956</v>
      </c>
      <c r="C4001" s="384" t="s">
        <v>83</v>
      </c>
      <c r="D4001" s="385" t="s">
        <v>15957</v>
      </c>
    </row>
    <row r="4002" spans="1:4" x14ac:dyDescent="0.25">
      <c r="A4002" s="384" t="s">
        <v>15958</v>
      </c>
      <c r="B4002" s="384" t="s">
        <v>15959</v>
      </c>
      <c r="C4002" s="384" t="s">
        <v>83</v>
      </c>
      <c r="D4002" s="385" t="s">
        <v>15960</v>
      </c>
    </row>
    <row r="4003" spans="1:4" x14ac:dyDescent="0.25">
      <c r="A4003" s="384" t="s">
        <v>15961</v>
      </c>
      <c r="B4003" s="384" t="s">
        <v>15962</v>
      </c>
      <c r="C4003" s="384" t="s">
        <v>83</v>
      </c>
      <c r="D4003" s="385" t="s">
        <v>15963</v>
      </c>
    </row>
    <row r="4004" spans="1:4" x14ac:dyDescent="0.25">
      <c r="A4004" s="384" t="s">
        <v>15964</v>
      </c>
      <c r="B4004" s="384" t="s">
        <v>15965</v>
      </c>
      <c r="C4004" s="384" t="s">
        <v>83</v>
      </c>
      <c r="D4004" s="385" t="s">
        <v>15966</v>
      </c>
    </row>
    <row r="4005" spans="1:4" x14ac:dyDescent="0.25">
      <c r="A4005" s="384" t="s">
        <v>15967</v>
      </c>
      <c r="B4005" s="384" t="s">
        <v>15968</v>
      </c>
      <c r="C4005" s="384" t="s">
        <v>83</v>
      </c>
      <c r="D4005" s="385" t="s">
        <v>15969</v>
      </c>
    </row>
    <row r="4006" spans="1:4" x14ac:dyDescent="0.25">
      <c r="A4006" s="384" t="s">
        <v>15970</v>
      </c>
      <c r="B4006" s="384" t="s">
        <v>15971</v>
      </c>
      <c r="C4006" s="384" t="s">
        <v>83</v>
      </c>
      <c r="D4006" s="385" t="s">
        <v>13850</v>
      </c>
    </row>
    <row r="4007" spans="1:4" x14ac:dyDescent="0.25">
      <c r="A4007" s="384" t="s">
        <v>15972</v>
      </c>
      <c r="B4007" s="384" t="s">
        <v>15973</v>
      </c>
      <c r="C4007" s="384" t="s">
        <v>83</v>
      </c>
      <c r="D4007" s="385" t="s">
        <v>15974</v>
      </c>
    </row>
    <row r="4008" spans="1:4" x14ac:dyDescent="0.25">
      <c r="A4008" s="384" t="s">
        <v>15975</v>
      </c>
      <c r="B4008" s="384" t="s">
        <v>15976</v>
      </c>
      <c r="C4008" s="384" t="s">
        <v>83</v>
      </c>
      <c r="D4008" s="385" t="s">
        <v>15977</v>
      </c>
    </row>
    <row r="4009" spans="1:4" x14ac:dyDescent="0.25">
      <c r="A4009" s="384" t="s">
        <v>15978</v>
      </c>
      <c r="B4009" s="384" t="s">
        <v>15979</v>
      </c>
      <c r="C4009" s="384" t="s">
        <v>83</v>
      </c>
      <c r="D4009" s="385" t="s">
        <v>8070</v>
      </c>
    </row>
    <row r="4010" spans="1:4" x14ac:dyDescent="0.25">
      <c r="A4010" s="384" t="s">
        <v>15980</v>
      </c>
      <c r="B4010" s="384" t="s">
        <v>15981</v>
      </c>
      <c r="C4010" s="384" t="s">
        <v>83</v>
      </c>
      <c r="D4010" s="385" t="s">
        <v>15982</v>
      </c>
    </row>
    <row r="4011" spans="1:4" x14ac:dyDescent="0.25">
      <c r="A4011" s="384" t="s">
        <v>15983</v>
      </c>
      <c r="B4011" s="384" t="s">
        <v>15984</v>
      </c>
      <c r="C4011" s="384" t="s">
        <v>83</v>
      </c>
      <c r="D4011" s="385" t="s">
        <v>15985</v>
      </c>
    </row>
    <row r="4012" spans="1:4" x14ac:dyDescent="0.25">
      <c r="A4012" s="384" t="s">
        <v>15986</v>
      </c>
      <c r="B4012" s="384" t="s">
        <v>15987</v>
      </c>
      <c r="C4012" s="384" t="s">
        <v>83</v>
      </c>
      <c r="D4012" s="385" t="s">
        <v>8389</v>
      </c>
    </row>
    <row r="4013" spans="1:4" x14ac:dyDescent="0.25">
      <c r="A4013" s="384" t="s">
        <v>15988</v>
      </c>
      <c r="B4013" s="384" t="s">
        <v>15989</v>
      </c>
      <c r="C4013" s="384" t="s">
        <v>83</v>
      </c>
      <c r="D4013" s="385" t="s">
        <v>15990</v>
      </c>
    </row>
    <row r="4014" spans="1:4" x14ac:dyDescent="0.25">
      <c r="A4014" s="384" t="s">
        <v>15991</v>
      </c>
      <c r="B4014" s="384" t="s">
        <v>15992</v>
      </c>
      <c r="C4014" s="384" t="s">
        <v>83</v>
      </c>
      <c r="D4014" s="385" t="s">
        <v>15993</v>
      </c>
    </row>
    <row r="4015" spans="1:4" x14ac:dyDescent="0.25">
      <c r="A4015" s="384" t="s">
        <v>15994</v>
      </c>
      <c r="B4015" s="384" t="s">
        <v>15995</v>
      </c>
      <c r="C4015" s="384" t="s">
        <v>83</v>
      </c>
      <c r="D4015" s="385" t="s">
        <v>15996</v>
      </c>
    </row>
    <row r="4016" spans="1:4" x14ac:dyDescent="0.25">
      <c r="A4016" s="384" t="s">
        <v>15997</v>
      </c>
      <c r="B4016" s="384" t="s">
        <v>15998</v>
      </c>
      <c r="C4016" s="384" t="s">
        <v>83</v>
      </c>
      <c r="D4016" s="385" t="s">
        <v>15999</v>
      </c>
    </row>
    <row r="4017" spans="1:4" x14ac:dyDescent="0.25">
      <c r="A4017" s="384" t="s">
        <v>16000</v>
      </c>
      <c r="B4017" s="384" t="s">
        <v>16001</v>
      </c>
      <c r="C4017" s="384" t="s">
        <v>83</v>
      </c>
      <c r="D4017" s="385" t="s">
        <v>12685</v>
      </c>
    </row>
    <row r="4018" spans="1:4" x14ac:dyDescent="0.25">
      <c r="A4018" s="384" t="s">
        <v>16002</v>
      </c>
      <c r="B4018" s="384" t="s">
        <v>16003</v>
      </c>
      <c r="C4018" s="384" t="s">
        <v>83</v>
      </c>
      <c r="D4018" s="385" t="s">
        <v>16004</v>
      </c>
    </row>
    <row r="4019" spans="1:4" x14ac:dyDescent="0.25">
      <c r="A4019" s="384" t="s">
        <v>16005</v>
      </c>
      <c r="B4019" s="384" t="s">
        <v>16006</v>
      </c>
      <c r="C4019" s="384" t="s">
        <v>83</v>
      </c>
      <c r="D4019" s="385" t="s">
        <v>16007</v>
      </c>
    </row>
    <row r="4020" spans="1:4" x14ac:dyDescent="0.25">
      <c r="A4020" s="384" t="s">
        <v>16008</v>
      </c>
      <c r="B4020" s="384" t="s">
        <v>16009</v>
      </c>
      <c r="C4020" s="384" t="s">
        <v>83</v>
      </c>
      <c r="D4020" s="385" t="s">
        <v>16010</v>
      </c>
    </row>
    <row r="4021" spans="1:4" x14ac:dyDescent="0.25">
      <c r="A4021" s="384" t="s">
        <v>16011</v>
      </c>
      <c r="B4021" s="384" t="s">
        <v>16012</v>
      </c>
      <c r="C4021" s="384" t="s">
        <v>83</v>
      </c>
      <c r="D4021" s="385" t="s">
        <v>16013</v>
      </c>
    </row>
    <row r="4022" spans="1:4" x14ac:dyDescent="0.25">
      <c r="A4022" s="384" t="s">
        <v>16014</v>
      </c>
      <c r="B4022" s="384" t="s">
        <v>16015</v>
      </c>
      <c r="C4022" s="384" t="s">
        <v>83</v>
      </c>
      <c r="D4022" s="385" t="s">
        <v>6601</v>
      </c>
    </row>
    <row r="4023" spans="1:4" x14ac:dyDescent="0.25">
      <c r="A4023" s="384" t="s">
        <v>16016</v>
      </c>
      <c r="B4023" s="384" t="s">
        <v>16017</v>
      </c>
      <c r="C4023" s="384" t="s">
        <v>83</v>
      </c>
      <c r="D4023" s="385" t="s">
        <v>16018</v>
      </c>
    </row>
    <row r="4024" spans="1:4" x14ac:dyDescent="0.25">
      <c r="A4024" s="384" t="s">
        <v>16019</v>
      </c>
      <c r="B4024" s="384" t="s">
        <v>16020</v>
      </c>
      <c r="C4024" s="384" t="s">
        <v>83</v>
      </c>
      <c r="D4024" s="385" t="s">
        <v>16021</v>
      </c>
    </row>
    <row r="4025" spans="1:4" x14ac:dyDescent="0.25">
      <c r="A4025" s="384" t="s">
        <v>16022</v>
      </c>
      <c r="B4025" s="384" t="s">
        <v>16023</v>
      </c>
      <c r="C4025" s="384" t="s">
        <v>83</v>
      </c>
      <c r="D4025" s="385" t="s">
        <v>14808</v>
      </c>
    </row>
    <row r="4026" spans="1:4" x14ac:dyDescent="0.25">
      <c r="A4026" s="384" t="s">
        <v>16024</v>
      </c>
      <c r="B4026" s="384" t="s">
        <v>16025</v>
      </c>
      <c r="C4026" s="384" t="s">
        <v>83</v>
      </c>
      <c r="D4026" s="385" t="s">
        <v>16026</v>
      </c>
    </row>
    <row r="4027" spans="1:4" x14ac:dyDescent="0.25">
      <c r="A4027" s="384" t="s">
        <v>16027</v>
      </c>
      <c r="B4027" s="384" t="s">
        <v>16028</v>
      </c>
      <c r="C4027" s="384" t="s">
        <v>83</v>
      </c>
      <c r="D4027" s="385" t="s">
        <v>16029</v>
      </c>
    </row>
    <row r="4028" spans="1:4" x14ac:dyDescent="0.25">
      <c r="A4028" s="384" t="s">
        <v>16030</v>
      </c>
      <c r="B4028" s="384" t="s">
        <v>16031</v>
      </c>
      <c r="C4028" s="384" t="s">
        <v>83</v>
      </c>
      <c r="D4028" s="385" t="s">
        <v>4718</v>
      </c>
    </row>
    <row r="4029" spans="1:4" x14ac:dyDescent="0.25">
      <c r="A4029" s="384" t="s">
        <v>16032</v>
      </c>
      <c r="B4029" s="384" t="s">
        <v>16033</v>
      </c>
      <c r="C4029" s="384" t="s">
        <v>83</v>
      </c>
      <c r="D4029" s="385" t="s">
        <v>15710</v>
      </c>
    </row>
    <row r="4030" spans="1:4" x14ac:dyDescent="0.25">
      <c r="A4030" s="384" t="s">
        <v>16034</v>
      </c>
      <c r="B4030" s="384" t="s">
        <v>16035</v>
      </c>
      <c r="C4030" s="384" t="s">
        <v>83</v>
      </c>
      <c r="D4030" s="385" t="s">
        <v>16036</v>
      </c>
    </row>
    <row r="4031" spans="1:4" x14ac:dyDescent="0.25">
      <c r="A4031" s="384" t="s">
        <v>16037</v>
      </c>
      <c r="B4031" s="384" t="s">
        <v>16038</v>
      </c>
      <c r="C4031" s="384" t="s">
        <v>83</v>
      </c>
      <c r="D4031" s="385" t="s">
        <v>16039</v>
      </c>
    </row>
    <row r="4032" spans="1:4" x14ac:dyDescent="0.25">
      <c r="A4032" s="384" t="s">
        <v>16040</v>
      </c>
      <c r="B4032" s="384" t="s">
        <v>16041</v>
      </c>
      <c r="C4032" s="384" t="s">
        <v>83</v>
      </c>
      <c r="D4032" s="385" t="s">
        <v>16042</v>
      </c>
    </row>
    <row r="4033" spans="1:4" x14ac:dyDescent="0.25">
      <c r="A4033" s="384" t="s">
        <v>16043</v>
      </c>
      <c r="B4033" s="384" t="s">
        <v>16044</v>
      </c>
      <c r="C4033" s="384" t="s">
        <v>83</v>
      </c>
      <c r="D4033" s="385" t="s">
        <v>16045</v>
      </c>
    </row>
    <row r="4034" spans="1:4" x14ac:dyDescent="0.25">
      <c r="A4034" s="384" t="s">
        <v>16046</v>
      </c>
      <c r="B4034" s="384" t="s">
        <v>16047</v>
      </c>
      <c r="C4034" s="384" t="s">
        <v>83</v>
      </c>
      <c r="D4034" s="385" t="s">
        <v>16048</v>
      </c>
    </row>
    <row r="4035" spans="1:4" x14ac:dyDescent="0.25">
      <c r="A4035" s="384" t="s">
        <v>16049</v>
      </c>
      <c r="B4035" s="384" t="s">
        <v>16050</v>
      </c>
      <c r="C4035" s="384" t="s">
        <v>83</v>
      </c>
      <c r="D4035" s="385" t="s">
        <v>16051</v>
      </c>
    </row>
    <row r="4036" spans="1:4" x14ac:dyDescent="0.25">
      <c r="A4036" s="384" t="s">
        <v>16052</v>
      </c>
      <c r="B4036" s="384" t="s">
        <v>16053</v>
      </c>
      <c r="C4036" s="384" t="s">
        <v>83</v>
      </c>
      <c r="D4036" s="385" t="s">
        <v>16054</v>
      </c>
    </row>
    <row r="4037" spans="1:4" x14ac:dyDescent="0.25">
      <c r="A4037" s="384" t="s">
        <v>16055</v>
      </c>
      <c r="B4037" s="384" t="s">
        <v>16056</v>
      </c>
      <c r="C4037" s="384" t="s">
        <v>83</v>
      </c>
      <c r="D4037" s="385" t="s">
        <v>13891</v>
      </c>
    </row>
    <row r="4038" spans="1:4" x14ac:dyDescent="0.25">
      <c r="A4038" s="384" t="s">
        <v>16057</v>
      </c>
      <c r="B4038" s="384" t="s">
        <v>16058</v>
      </c>
      <c r="C4038" s="384" t="s">
        <v>83</v>
      </c>
      <c r="D4038" s="385" t="s">
        <v>16059</v>
      </c>
    </row>
    <row r="4039" spans="1:4" x14ac:dyDescent="0.25">
      <c r="A4039" s="384" t="s">
        <v>16060</v>
      </c>
      <c r="B4039" s="384" t="s">
        <v>16061</v>
      </c>
      <c r="C4039" s="384" t="s">
        <v>83</v>
      </c>
      <c r="D4039" s="385" t="s">
        <v>16062</v>
      </c>
    </row>
    <row r="4040" spans="1:4" x14ac:dyDescent="0.25">
      <c r="A4040" s="384" t="s">
        <v>16063</v>
      </c>
      <c r="B4040" s="384" t="s">
        <v>16064</v>
      </c>
      <c r="C4040" s="384" t="s">
        <v>83</v>
      </c>
      <c r="D4040" s="385" t="s">
        <v>16065</v>
      </c>
    </row>
    <row r="4041" spans="1:4" x14ac:dyDescent="0.25">
      <c r="A4041" s="384" t="s">
        <v>16066</v>
      </c>
      <c r="B4041" s="384" t="s">
        <v>16067</v>
      </c>
      <c r="C4041" s="384" t="s">
        <v>83</v>
      </c>
      <c r="D4041" s="385" t="s">
        <v>16068</v>
      </c>
    </row>
    <row r="4042" spans="1:4" x14ac:dyDescent="0.25">
      <c r="A4042" s="384" t="s">
        <v>16069</v>
      </c>
      <c r="B4042" s="384" t="s">
        <v>16070</v>
      </c>
      <c r="C4042" s="384" t="s">
        <v>83</v>
      </c>
      <c r="D4042" s="385" t="s">
        <v>16071</v>
      </c>
    </row>
    <row r="4043" spans="1:4" x14ac:dyDescent="0.25">
      <c r="A4043" s="384" t="s">
        <v>16072</v>
      </c>
      <c r="B4043" s="384" t="s">
        <v>16073</v>
      </c>
      <c r="C4043" s="384" t="s">
        <v>83</v>
      </c>
      <c r="D4043" s="385" t="s">
        <v>16074</v>
      </c>
    </row>
    <row r="4044" spans="1:4" x14ac:dyDescent="0.25">
      <c r="A4044" s="384" t="s">
        <v>16075</v>
      </c>
      <c r="B4044" s="384" t="s">
        <v>16076</v>
      </c>
      <c r="C4044" s="384" t="s">
        <v>83</v>
      </c>
      <c r="D4044" s="385" t="s">
        <v>16077</v>
      </c>
    </row>
    <row r="4045" spans="1:4" x14ac:dyDescent="0.25">
      <c r="A4045" s="384" t="s">
        <v>16078</v>
      </c>
      <c r="B4045" s="384" t="s">
        <v>16079</v>
      </c>
      <c r="C4045" s="384" t="s">
        <v>83</v>
      </c>
      <c r="D4045" s="385" t="s">
        <v>16080</v>
      </c>
    </row>
    <row r="4046" spans="1:4" x14ac:dyDescent="0.25">
      <c r="A4046" s="384" t="s">
        <v>16081</v>
      </c>
      <c r="B4046" s="384" t="s">
        <v>16082</v>
      </c>
      <c r="C4046" s="384" t="s">
        <v>83</v>
      </c>
      <c r="D4046" s="385" t="s">
        <v>16083</v>
      </c>
    </row>
    <row r="4047" spans="1:4" x14ac:dyDescent="0.25">
      <c r="A4047" s="384" t="s">
        <v>16084</v>
      </c>
      <c r="B4047" s="384" t="s">
        <v>16085</v>
      </c>
      <c r="C4047" s="384" t="s">
        <v>83</v>
      </c>
      <c r="D4047" s="385" t="s">
        <v>16086</v>
      </c>
    </row>
    <row r="4048" spans="1:4" x14ac:dyDescent="0.25">
      <c r="A4048" s="384" t="s">
        <v>16087</v>
      </c>
      <c r="B4048" s="384" t="s">
        <v>16088</v>
      </c>
      <c r="C4048" s="384" t="s">
        <v>83</v>
      </c>
      <c r="D4048" s="385" t="s">
        <v>16089</v>
      </c>
    </row>
    <row r="4049" spans="1:4" x14ac:dyDescent="0.25">
      <c r="A4049" s="384" t="s">
        <v>16090</v>
      </c>
      <c r="B4049" s="384" t="s">
        <v>16091</v>
      </c>
      <c r="C4049" s="384" t="s">
        <v>83</v>
      </c>
      <c r="D4049" s="385" t="s">
        <v>16092</v>
      </c>
    </row>
    <row r="4050" spans="1:4" x14ac:dyDescent="0.25">
      <c r="A4050" s="384" t="s">
        <v>16093</v>
      </c>
      <c r="B4050" s="384" t="s">
        <v>16094</v>
      </c>
      <c r="C4050" s="384" t="s">
        <v>83</v>
      </c>
      <c r="D4050" s="385" t="s">
        <v>16095</v>
      </c>
    </row>
    <row r="4051" spans="1:4" x14ac:dyDescent="0.25">
      <c r="A4051" s="384" t="s">
        <v>16096</v>
      </c>
      <c r="B4051" s="384" t="s">
        <v>16097</v>
      </c>
      <c r="C4051" s="384" t="s">
        <v>83</v>
      </c>
      <c r="D4051" s="385" t="s">
        <v>16098</v>
      </c>
    </row>
    <row r="4052" spans="1:4" x14ac:dyDescent="0.25">
      <c r="A4052" s="384" t="s">
        <v>16099</v>
      </c>
      <c r="B4052" s="384" t="s">
        <v>16100</v>
      </c>
      <c r="C4052" s="384" t="s">
        <v>83</v>
      </c>
      <c r="D4052" s="385" t="s">
        <v>16101</v>
      </c>
    </row>
    <row r="4053" spans="1:4" x14ac:dyDescent="0.25">
      <c r="A4053" s="384" t="s">
        <v>16102</v>
      </c>
      <c r="B4053" s="384" t="s">
        <v>16103</v>
      </c>
      <c r="C4053" s="384" t="s">
        <v>83</v>
      </c>
      <c r="D4053" s="385" t="s">
        <v>16104</v>
      </c>
    </row>
    <row r="4054" spans="1:4" x14ac:dyDescent="0.25">
      <c r="A4054" s="384" t="s">
        <v>16105</v>
      </c>
      <c r="B4054" s="384" t="s">
        <v>16106</v>
      </c>
      <c r="C4054" s="384" t="s">
        <v>83</v>
      </c>
      <c r="D4054" s="385" t="s">
        <v>16107</v>
      </c>
    </row>
    <row r="4055" spans="1:4" x14ac:dyDescent="0.25">
      <c r="A4055" s="384" t="s">
        <v>16108</v>
      </c>
      <c r="B4055" s="384" t="s">
        <v>16109</v>
      </c>
      <c r="C4055" s="384" t="s">
        <v>83</v>
      </c>
      <c r="D4055" s="385" t="s">
        <v>16110</v>
      </c>
    </row>
    <row r="4056" spans="1:4" x14ac:dyDescent="0.25">
      <c r="A4056" s="384" t="s">
        <v>16111</v>
      </c>
      <c r="B4056" s="384" t="s">
        <v>16112</v>
      </c>
      <c r="C4056" s="384" t="s">
        <v>83</v>
      </c>
      <c r="D4056" s="385" t="s">
        <v>16113</v>
      </c>
    </row>
    <row r="4057" spans="1:4" x14ac:dyDescent="0.25">
      <c r="A4057" s="384" t="s">
        <v>16114</v>
      </c>
      <c r="B4057" s="384" t="s">
        <v>16115</v>
      </c>
      <c r="C4057" s="384" t="s">
        <v>83</v>
      </c>
      <c r="D4057" s="385" t="s">
        <v>16116</v>
      </c>
    </row>
    <row r="4058" spans="1:4" x14ac:dyDescent="0.25">
      <c r="A4058" s="384" t="s">
        <v>16117</v>
      </c>
      <c r="B4058" s="384" t="s">
        <v>16118</v>
      </c>
      <c r="C4058" s="384" t="s">
        <v>83</v>
      </c>
      <c r="D4058" s="385" t="s">
        <v>16119</v>
      </c>
    </row>
    <row r="4059" spans="1:4" x14ac:dyDescent="0.25">
      <c r="A4059" s="384" t="s">
        <v>16120</v>
      </c>
      <c r="B4059" s="384" t="s">
        <v>16121</v>
      </c>
      <c r="C4059" s="384" t="s">
        <v>83</v>
      </c>
      <c r="D4059" s="385" t="s">
        <v>16122</v>
      </c>
    </row>
    <row r="4060" spans="1:4" x14ac:dyDescent="0.25">
      <c r="A4060" s="384" t="s">
        <v>16123</v>
      </c>
      <c r="B4060" s="384" t="s">
        <v>16124</v>
      </c>
      <c r="C4060" s="384" t="s">
        <v>83</v>
      </c>
      <c r="D4060" s="385" t="s">
        <v>16125</v>
      </c>
    </row>
    <row r="4061" spans="1:4" x14ac:dyDescent="0.25">
      <c r="A4061" s="384" t="s">
        <v>16126</v>
      </c>
      <c r="B4061" s="384" t="s">
        <v>16127</v>
      </c>
      <c r="C4061" s="384" t="s">
        <v>83</v>
      </c>
      <c r="D4061" s="385" t="s">
        <v>16128</v>
      </c>
    </row>
    <row r="4062" spans="1:4" x14ac:dyDescent="0.25">
      <c r="A4062" s="384" t="s">
        <v>16129</v>
      </c>
      <c r="B4062" s="384" t="s">
        <v>16130</v>
      </c>
      <c r="C4062" s="384" t="s">
        <v>83</v>
      </c>
      <c r="D4062" s="385" t="s">
        <v>16131</v>
      </c>
    </row>
    <row r="4063" spans="1:4" x14ac:dyDescent="0.25">
      <c r="A4063" s="384" t="s">
        <v>16132</v>
      </c>
      <c r="B4063" s="384" t="s">
        <v>16133</v>
      </c>
      <c r="C4063" s="384" t="s">
        <v>83</v>
      </c>
      <c r="D4063" s="385" t="s">
        <v>16134</v>
      </c>
    </row>
    <row r="4064" spans="1:4" x14ac:dyDescent="0.25">
      <c r="A4064" s="384" t="s">
        <v>16135</v>
      </c>
      <c r="B4064" s="384" t="s">
        <v>16136</v>
      </c>
      <c r="C4064" s="384" t="s">
        <v>83</v>
      </c>
      <c r="D4064" s="385" t="s">
        <v>16137</v>
      </c>
    </row>
    <row r="4065" spans="1:4" x14ac:dyDescent="0.25">
      <c r="A4065" s="384" t="s">
        <v>16138</v>
      </c>
      <c r="B4065" s="384" t="s">
        <v>16139</v>
      </c>
      <c r="C4065" s="384" t="s">
        <v>83</v>
      </c>
      <c r="D4065" s="385" t="s">
        <v>16140</v>
      </c>
    </row>
    <row r="4066" spans="1:4" x14ac:dyDescent="0.25">
      <c r="A4066" s="384" t="s">
        <v>16141</v>
      </c>
      <c r="B4066" s="384" t="s">
        <v>16142</v>
      </c>
      <c r="C4066" s="384" t="s">
        <v>83</v>
      </c>
      <c r="D4066" s="385" t="s">
        <v>15581</v>
      </c>
    </row>
    <row r="4067" spans="1:4" x14ac:dyDescent="0.25">
      <c r="A4067" s="384" t="s">
        <v>16143</v>
      </c>
      <c r="B4067" s="384" t="s">
        <v>16144</v>
      </c>
      <c r="C4067" s="384" t="s">
        <v>83</v>
      </c>
      <c r="D4067" s="385" t="s">
        <v>16145</v>
      </c>
    </row>
    <row r="4068" spans="1:4" x14ac:dyDescent="0.25">
      <c r="A4068" s="384" t="s">
        <v>16146</v>
      </c>
      <c r="B4068" s="384" t="s">
        <v>16147</v>
      </c>
      <c r="C4068" s="384" t="s">
        <v>83</v>
      </c>
      <c r="D4068" s="385" t="s">
        <v>16148</v>
      </c>
    </row>
    <row r="4069" spans="1:4" x14ac:dyDescent="0.25">
      <c r="A4069" s="384" t="s">
        <v>16149</v>
      </c>
      <c r="B4069" s="384" t="s">
        <v>16150</v>
      </c>
      <c r="C4069" s="384" t="s">
        <v>83</v>
      </c>
      <c r="D4069" s="385" t="s">
        <v>12955</v>
      </c>
    </row>
    <row r="4070" spans="1:4" x14ac:dyDescent="0.25">
      <c r="A4070" s="384" t="s">
        <v>16151</v>
      </c>
      <c r="B4070" s="384" t="s">
        <v>16152</v>
      </c>
      <c r="C4070" s="384" t="s">
        <v>83</v>
      </c>
      <c r="D4070" s="385" t="s">
        <v>16153</v>
      </c>
    </row>
    <row r="4071" spans="1:4" x14ac:dyDescent="0.25">
      <c r="A4071" s="384" t="s">
        <v>16154</v>
      </c>
      <c r="B4071" s="384" t="s">
        <v>16155</v>
      </c>
      <c r="C4071" s="384" t="s">
        <v>83</v>
      </c>
      <c r="D4071" s="385" t="s">
        <v>16156</v>
      </c>
    </row>
    <row r="4072" spans="1:4" x14ac:dyDescent="0.25">
      <c r="A4072" s="384" t="s">
        <v>16157</v>
      </c>
      <c r="B4072" s="384" t="s">
        <v>16158</v>
      </c>
      <c r="C4072" s="384" t="s">
        <v>83</v>
      </c>
      <c r="D4072" s="385" t="s">
        <v>16159</v>
      </c>
    </row>
    <row r="4073" spans="1:4" x14ac:dyDescent="0.25">
      <c r="A4073" s="384" t="s">
        <v>16160</v>
      </c>
      <c r="B4073" s="384" t="s">
        <v>16161</v>
      </c>
      <c r="C4073" s="384" t="s">
        <v>83</v>
      </c>
      <c r="D4073" s="385" t="s">
        <v>16162</v>
      </c>
    </row>
    <row r="4074" spans="1:4" x14ac:dyDescent="0.25">
      <c r="A4074" s="384" t="s">
        <v>16163</v>
      </c>
      <c r="B4074" s="384" t="s">
        <v>16164</v>
      </c>
      <c r="C4074" s="384" t="s">
        <v>83</v>
      </c>
      <c r="D4074" s="385" t="s">
        <v>16165</v>
      </c>
    </row>
    <row r="4075" spans="1:4" x14ac:dyDescent="0.25">
      <c r="A4075" s="384" t="s">
        <v>16166</v>
      </c>
      <c r="B4075" s="384" t="s">
        <v>16167</v>
      </c>
      <c r="C4075" s="384" t="s">
        <v>83</v>
      </c>
      <c r="D4075" s="385" t="s">
        <v>16168</v>
      </c>
    </row>
    <row r="4076" spans="1:4" x14ac:dyDescent="0.25">
      <c r="A4076" s="384" t="s">
        <v>16169</v>
      </c>
      <c r="B4076" s="384" t="s">
        <v>16170</v>
      </c>
      <c r="C4076" s="384" t="s">
        <v>83</v>
      </c>
      <c r="D4076" s="385" t="s">
        <v>16171</v>
      </c>
    </row>
    <row r="4077" spans="1:4" x14ac:dyDescent="0.25">
      <c r="A4077" s="384" t="s">
        <v>16172</v>
      </c>
      <c r="B4077" s="384" t="s">
        <v>16173</v>
      </c>
      <c r="C4077" s="384" t="s">
        <v>83</v>
      </c>
      <c r="D4077" s="385" t="s">
        <v>16174</v>
      </c>
    </row>
    <row r="4078" spans="1:4" x14ac:dyDescent="0.25">
      <c r="A4078" s="384" t="s">
        <v>16175</v>
      </c>
      <c r="B4078" s="384" t="s">
        <v>16176</v>
      </c>
      <c r="C4078" s="384" t="s">
        <v>83</v>
      </c>
      <c r="D4078" s="385" t="s">
        <v>16177</v>
      </c>
    </row>
    <row r="4079" spans="1:4" x14ac:dyDescent="0.25">
      <c r="A4079" s="384" t="s">
        <v>16178</v>
      </c>
      <c r="B4079" s="384" t="s">
        <v>16179</v>
      </c>
      <c r="C4079" s="384" t="s">
        <v>83</v>
      </c>
      <c r="D4079" s="385" t="s">
        <v>16180</v>
      </c>
    </row>
    <row r="4080" spans="1:4" x14ac:dyDescent="0.25">
      <c r="A4080" s="384" t="s">
        <v>16181</v>
      </c>
      <c r="B4080" s="384" t="s">
        <v>16182</v>
      </c>
      <c r="C4080" s="384" t="s">
        <v>83</v>
      </c>
      <c r="D4080" s="385" t="s">
        <v>16183</v>
      </c>
    </row>
    <row r="4081" spans="1:4" x14ac:dyDescent="0.25">
      <c r="A4081" s="384" t="s">
        <v>16184</v>
      </c>
      <c r="B4081" s="384" t="s">
        <v>16185</v>
      </c>
      <c r="C4081" s="384" t="s">
        <v>83</v>
      </c>
      <c r="D4081" s="385" t="s">
        <v>16186</v>
      </c>
    </row>
    <row r="4082" spans="1:4" x14ac:dyDescent="0.25">
      <c r="A4082" s="384" t="s">
        <v>16187</v>
      </c>
      <c r="B4082" s="384" t="s">
        <v>16188</v>
      </c>
      <c r="C4082" s="384" t="s">
        <v>83</v>
      </c>
      <c r="D4082" s="385" t="s">
        <v>16189</v>
      </c>
    </row>
    <row r="4083" spans="1:4" x14ac:dyDescent="0.25">
      <c r="A4083" s="384" t="s">
        <v>16190</v>
      </c>
      <c r="B4083" s="384" t="s">
        <v>16191</v>
      </c>
      <c r="C4083" s="384" t="s">
        <v>83</v>
      </c>
      <c r="D4083" s="385" t="s">
        <v>16192</v>
      </c>
    </row>
    <row r="4084" spans="1:4" x14ac:dyDescent="0.25">
      <c r="A4084" s="384" t="s">
        <v>16193</v>
      </c>
      <c r="B4084" s="384" t="s">
        <v>16194</v>
      </c>
      <c r="C4084" s="384" t="s">
        <v>83</v>
      </c>
      <c r="D4084" s="385" t="s">
        <v>16195</v>
      </c>
    </row>
    <row r="4085" spans="1:4" x14ac:dyDescent="0.25">
      <c r="A4085" s="384" t="s">
        <v>16196</v>
      </c>
      <c r="B4085" s="384" t="s">
        <v>16197</v>
      </c>
      <c r="C4085" s="384" t="s">
        <v>83</v>
      </c>
      <c r="D4085" s="385" t="s">
        <v>6317</v>
      </c>
    </row>
    <row r="4086" spans="1:4" x14ac:dyDescent="0.25">
      <c r="A4086" s="384" t="s">
        <v>16198</v>
      </c>
      <c r="B4086" s="384" t="s">
        <v>16199</v>
      </c>
      <c r="C4086" s="384" t="s">
        <v>83</v>
      </c>
      <c r="D4086" s="385" t="s">
        <v>16200</v>
      </c>
    </row>
    <row r="4087" spans="1:4" x14ac:dyDescent="0.25">
      <c r="A4087" s="384" t="s">
        <v>16201</v>
      </c>
      <c r="B4087" s="384" t="s">
        <v>16202</v>
      </c>
      <c r="C4087" s="384" t="s">
        <v>83</v>
      </c>
      <c r="D4087" s="385" t="s">
        <v>13114</v>
      </c>
    </row>
    <row r="4088" spans="1:4" x14ac:dyDescent="0.25">
      <c r="A4088" s="384" t="s">
        <v>16203</v>
      </c>
      <c r="B4088" s="384" t="s">
        <v>16204</v>
      </c>
      <c r="C4088" s="384" t="s">
        <v>83</v>
      </c>
      <c r="D4088" s="385" t="s">
        <v>16205</v>
      </c>
    </row>
    <row r="4089" spans="1:4" x14ac:dyDescent="0.25">
      <c r="A4089" s="384" t="s">
        <v>16206</v>
      </c>
      <c r="B4089" s="384" t="s">
        <v>16207</v>
      </c>
      <c r="C4089" s="384" t="s">
        <v>83</v>
      </c>
      <c r="D4089" s="385" t="s">
        <v>16208</v>
      </c>
    </row>
    <row r="4090" spans="1:4" x14ac:dyDescent="0.25">
      <c r="A4090" s="384" t="s">
        <v>16209</v>
      </c>
      <c r="B4090" s="384" t="s">
        <v>16210</v>
      </c>
      <c r="C4090" s="384" t="s">
        <v>83</v>
      </c>
      <c r="D4090" s="385" t="s">
        <v>16211</v>
      </c>
    </row>
    <row r="4091" spans="1:4" x14ac:dyDescent="0.25">
      <c r="A4091" s="384" t="s">
        <v>16212</v>
      </c>
      <c r="B4091" s="384" t="s">
        <v>16213</v>
      </c>
      <c r="C4091" s="384" t="s">
        <v>83</v>
      </c>
      <c r="D4091" s="385" t="s">
        <v>16214</v>
      </c>
    </row>
    <row r="4092" spans="1:4" x14ac:dyDescent="0.25">
      <c r="A4092" s="384" t="s">
        <v>16215</v>
      </c>
      <c r="B4092" s="384" t="s">
        <v>16216</v>
      </c>
      <c r="C4092" s="384" t="s">
        <v>83</v>
      </c>
      <c r="D4092" s="385" t="s">
        <v>8389</v>
      </c>
    </row>
    <row r="4093" spans="1:4" x14ac:dyDescent="0.25">
      <c r="A4093" s="384" t="s">
        <v>16217</v>
      </c>
      <c r="B4093" s="384" t="s">
        <v>16218</v>
      </c>
      <c r="C4093" s="384" t="s">
        <v>83</v>
      </c>
      <c r="D4093" s="385" t="s">
        <v>16219</v>
      </c>
    </row>
    <row r="4094" spans="1:4" x14ac:dyDescent="0.25">
      <c r="A4094" s="384" t="s">
        <v>16220</v>
      </c>
      <c r="B4094" s="384" t="s">
        <v>16221</v>
      </c>
      <c r="C4094" s="384" t="s">
        <v>83</v>
      </c>
      <c r="D4094" s="385" t="s">
        <v>16222</v>
      </c>
    </row>
    <row r="4095" spans="1:4" x14ac:dyDescent="0.25">
      <c r="A4095" s="384" t="s">
        <v>16223</v>
      </c>
      <c r="B4095" s="384" t="s">
        <v>16224</v>
      </c>
      <c r="C4095" s="384" t="s">
        <v>83</v>
      </c>
      <c r="D4095" s="385" t="s">
        <v>13114</v>
      </c>
    </row>
    <row r="4096" spans="1:4" x14ac:dyDescent="0.25">
      <c r="A4096" s="384" t="s">
        <v>16225</v>
      </c>
      <c r="B4096" s="384" t="s">
        <v>16226</v>
      </c>
      <c r="C4096" s="384" t="s">
        <v>83</v>
      </c>
      <c r="D4096" s="385" t="s">
        <v>16227</v>
      </c>
    </row>
    <row r="4097" spans="1:4" x14ac:dyDescent="0.25">
      <c r="A4097" s="384" t="s">
        <v>16228</v>
      </c>
      <c r="B4097" s="384" t="s">
        <v>16229</v>
      </c>
      <c r="C4097" s="384" t="s">
        <v>83</v>
      </c>
      <c r="D4097" s="385" t="s">
        <v>16230</v>
      </c>
    </row>
    <row r="4098" spans="1:4" x14ac:dyDescent="0.25">
      <c r="A4098" s="384" t="s">
        <v>16231</v>
      </c>
      <c r="B4098" s="384" t="s">
        <v>16232</v>
      </c>
      <c r="C4098" s="384" t="s">
        <v>83</v>
      </c>
      <c r="D4098" s="385" t="s">
        <v>12643</v>
      </c>
    </row>
    <row r="4099" spans="1:4" x14ac:dyDescent="0.25">
      <c r="A4099" s="384" t="s">
        <v>16233</v>
      </c>
      <c r="B4099" s="384" t="s">
        <v>16234</v>
      </c>
      <c r="C4099" s="384" t="s">
        <v>83</v>
      </c>
      <c r="D4099" s="385" t="s">
        <v>16235</v>
      </c>
    </row>
    <row r="4100" spans="1:4" x14ac:dyDescent="0.25">
      <c r="A4100" s="384" t="s">
        <v>16236</v>
      </c>
      <c r="B4100" s="384" t="s">
        <v>16237</v>
      </c>
      <c r="C4100" s="384" t="s">
        <v>83</v>
      </c>
      <c r="D4100" s="385" t="s">
        <v>16238</v>
      </c>
    </row>
    <row r="4101" spans="1:4" x14ac:dyDescent="0.25">
      <c r="A4101" s="384" t="s">
        <v>16239</v>
      </c>
      <c r="B4101" s="384" t="s">
        <v>16240</v>
      </c>
      <c r="C4101" s="384" t="s">
        <v>83</v>
      </c>
      <c r="D4101" s="385" t="s">
        <v>16241</v>
      </c>
    </row>
    <row r="4102" spans="1:4" x14ac:dyDescent="0.25">
      <c r="A4102" s="384" t="s">
        <v>16242</v>
      </c>
      <c r="B4102" s="384" t="s">
        <v>16243</v>
      </c>
      <c r="C4102" s="384" t="s">
        <v>83</v>
      </c>
      <c r="D4102" s="385" t="s">
        <v>12514</v>
      </c>
    </row>
    <row r="4103" spans="1:4" x14ac:dyDescent="0.25">
      <c r="A4103" s="384" t="s">
        <v>16244</v>
      </c>
      <c r="B4103" s="384" t="s">
        <v>16245</v>
      </c>
      <c r="C4103" s="384" t="s">
        <v>83</v>
      </c>
      <c r="D4103" s="385" t="s">
        <v>16246</v>
      </c>
    </row>
    <row r="4104" spans="1:4" x14ac:dyDescent="0.25">
      <c r="A4104" s="384" t="s">
        <v>16247</v>
      </c>
      <c r="B4104" s="384" t="s">
        <v>16248</v>
      </c>
      <c r="C4104" s="384" t="s">
        <v>83</v>
      </c>
      <c r="D4104" s="385" t="s">
        <v>16249</v>
      </c>
    </row>
    <row r="4105" spans="1:4" x14ac:dyDescent="0.25">
      <c r="A4105" s="384" t="s">
        <v>16250</v>
      </c>
      <c r="B4105" s="384" t="s">
        <v>16251</v>
      </c>
      <c r="C4105" s="384" t="s">
        <v>83</v>
      </c>
      <c r="D4105" s="385" t="s">
        <v>16252</v>
      </c>
    </row>
    <row r="4106" spans="1:4" x14ac:dyDescent="0.25">
      <c r="A4106" s="384" t="s">
        <v>16253</v>
      </c>
      <c r="B4106" s="384" t="s">
        <v>16254</v>
      </c>
      <c r="C4106" s="384" t="s">
        <v>83</v>
      </c>
      <c r="D4106" s="385" t="s">
        <v>16255</v>
      </c>
    </row>
    <row r="4107" spans="1:4" x14ac:dyDescent="0.25">
      <c r="A4107" s="384" t="s">
        <v>16256</v>
      </c>
      <c r="B4107" s="384" t="s">
        <v>16257</v>
      </c>
      <c r="C4107" s="384" t="s">
        <v>83</v>
      </c>
      <c r="D4107" s="385" t="s">
        <v>16258</v>
      </c>
    </row>
    <row r="4108" spans="1:4" x14ac:dyDescent="0.25">
      <c r="A4108" s="384" t="s">
        <v>16259</v>
      </c>
      <c r="B4108" s="384" t="s">
        <v>16260</v>
      </c>
      <c r="C4108" s="384" t="s">
        <v>83</v>
      </c>
      <c r="D4108" s="385" t="s">
        <v>16261</v>
      </c>
    </row>
    <row r="4109" spans="1:4" x14ac:dyDescent="0.25">
      <c r="A4109" s="384" t="s">
        <v>16262</v>
      </c>
      <c r="B4109" s="384" t="s">
        <v>16263</v>
      </c>
      <c r="C4109" s="384" t="s">
        <v>83</v>
      </c>
      <c r="D4109" s="385" t="s">
        <v>16264</v>
      </c>
    </row>
    <row r="4110" spans="1:4" x14ac:dyDescent="0.25">
      <c r="A4110" s="384" t="s">
        <v>16265</v>
      </c>
      <c r="B4110" s="384" t="s">
        <v>16266</v>
      </c>
      <c r="C4110" s="384" t="s">
        <v>83</v>
      </c>
      <c r="D4110" s="385" t="s">
        <v>16267</v>
      </c>
    </row>
    <row r="4111" spans="1:4" x14ac:dyDescent="0.25">
      <c r="A4111" s="384" t="s">
        <v>16268</v>
      </c>
      <c r="B4111" s="384" t="s">
        <v>16269</v>
      </c>
      <c r="C4111" s="384" t="s">
        <v>83</v>
      </c>
      <c r="D4111" s="385" t="s">
        <v>16270</v>
      </c>
    </row>
    <row r="4112" spans="1:4" x14ac:dyDescent="0.25">
      <c r="A4112" s="384" t="s">
        <v>16271</v>
      </c>
      <c r="B4112" s="384" t="s">
        <v>16272</v>
      </c>
      <c r="C4112" s="384" t="s">
        <v>83</v>
      </c>
      <c r="D4112" s="385" t="s">
        <v>16273</v>
      </c>
    </row>
    <row r="4113" spans="1:4" x14ac:dyDescent="0.25">
      <c r="A4113" s="384" t="s">
        <v>16274</v>
      </c>
      <c r="B4113" s="384" t="s">
        <v>16275</v>
      </c>
      <c r="C4113" s="384" t="s">
        <v>83</v>
      </c>
      <c r="D4113" s="385" t="s">
        <v>16276</v>
      </c>
    </row>
    <row r="4114" spans="1:4" x14ac:dyDescent="0.25">
      <c r="A4114" s="384" t="s">
        <v>16277</v>
      </c>
      <c r="B4114" s="384" t="s">
        <v>16278</v>
      </c>
      <c r="C4114" s="384" t="s">
        <v>83</v>
      </c>
      <c r="D4114" s="385" t="s">
        <v>8070</v>
      </c>
    </row>
    <row r="4115" spans="1:4" x14ac:dyDescent="0.25">
      <c r="A4115" s="384" t="s">
        <v>16279</v>
      </c>
      <c r="B4115" s="384" t="s">
        <v>16280</v>
      </c>
      <c r="C4115" s="384" t="s">
        <v>83</v>
      </c>
      <c r="D4115" s="385" t="s">
        <v>16281</v>
      </c>
    </row>
    <row r="4116" spans="1:4" x14ac:dyDescent="0.25">
      <c r="A4116" s="384" t="s">
        <v>16282</v>
      </c>
      <c r="B4116" s="384" t="s">
        <v>16283</v>
      </c>
      <c r="C4116" s="384" t="s">
        <v>83</v>
      </c>
      <c r="D4116" s="385" t="s">
        <v>16284</v>
      </c>
    </row>
    <row r="4117" spans="1:4" x14ac:dyDescent="0.25">
      <c r="A4117" s="384" t="s">
        <v>16285</v>
      </c>
      <c r="B4117" s="384" t="s">
        <v>16286</v>
      </c>
      <c r="C4117" s="384" t="s">
        <v>83</v>
      </c>
      <c r="D4117" s="385" t="s">
        <v>15535</v>
      </c>
    </row>
    <row r="4118" spans="1:4" x14ac:dyDescent="0.25">
      <c r="A4118" s="384" t="s">
        <v>16287</v>
      </c>
      <c r="B4118" s="384" t="s">
        <v>16288</v>
      </c>
      <c r="C4118" s="384" t="s">
        <v>83</v>
      </c>
      <c r="D4118" s="385" t="s">
        <v>16289</v>
      </c>
    </row>
    <row r="4119" spans="1:4" x14ac:dyDescent="0.25">
      <c r="A4119" s="384" t="s">
        <v>16290</v>
      </c>
      <c r="B4119" s="384" t="s">
        <v>16291</v>
      </c>
      <c r="C4119" s="384" t="s">
        <v>83</v>
      </c>
      <c r="D4119" s="385" t="s">
        <v>16292</v>
      </c>
    </row>
    <row r="4120" spans="1:4" x14ac:dyDescent="0.25">
      <c r="A4120" s="384" t="s">
        <v>16293</v>
      </c>
      <c r="B4120" s="384" t="s">
        <v>16294</v>
      </c>
      <c r="C4120" s="384" t="s">
        <v>83</v>
      </c>
      <c r="D4120" s="385" t="s">
        <v>16295</v>
      </c>
    </row>
    <row r="4121" spans="1:4" x14ac:dyDescent="0.25">
      <c r="A4121" s="384" t="s">
        <v>16296</v>
      </c>
      <c r="B4121" s="384" t="s">
        <v>16297</v>
      </c>
      <c r="C4121" s="384" t="s">
        <v>83</v>
      </c>
      <c r="D4121" s="385" t="s">
        <v>16298</v>
      </c>
    </row>
    <row r="4122" spans="1:4" x14ac:dyDescent="0.25">
      <c r="A4122" s="384" t="s">
        <v>16299</v>
      </c>
      <c r="B4122" s="384" t="s">
        <v>16300</v>
      </c>
      <c r="C4122" s="384" t="s">
        <v>83</v>
      </c>
      <c r="D4122" s="385" t="s">
        <v>16301</v>
      </c>
    </row>
    <row r="4123" spans="1:4" x14ac:dyDescent="0.25">
      <c r="A4123" s="384" t="s">
        <v>16302</v>
      </c>
      <c r="B4123" s="384" t="s">
        <v>16303</v>
      </c>
      <c r="C4123" s="384" t="s">
        <v>83</v>
      </c>
      <c r="D4123" s="385" t="s">
        <v>16304</v>
      </c>
    </row>
    <row r="4124" spans="1:4" x14ac:dyDescent="0.25">
      <c r="A4124" s="384" t="s">
        <v>16305</v>
      </c>
      <c r="B4124" s="384" t="s">
        <v>16306</v>
      </c>
      <c r="C4124" s="384" t="s">
        <v>83</v>
      </c>
      <c r="D4124" s="385" t="s">
        <v>16307</v>
      </c>
    </row>
    <row r="4125" spans="1:4" x14ac:dyDescent="0.25">
      <c r="A4125" s="384" t="s">
        <v>16308</v>
      </c>
      <c r="B4125" s="384" t="s">
        <v>16309</v>
      </c>
      <c r="C4125" s="384" t="s">
        <v>83</v>
      </c>
      <c r="D4125" s="385" t="s">
        <v>16310</v>
      </c>
    </row>
    <row r="4126" spans="1:4" x14ac:dyDescent="0.25">
      <c r="A4126" s="384" t="s">
        <v>16311</v>
      </c>
      <c r="B4126" s="384" t="s">
        <v>16312</v>
      </c>
      <c r="C4126" s="384" t="s">
        <v>83</v>
      </c>
      <c r="D4126" s="385" t="s">
        <v>16313</v>
      </c>
    </row>
    <row r="4127" spans="1:4" x14ac:dyDescent="0.25">
      <c r="A4127" s="384" t="s">
        <v>16314</v>
      </c>
      <c r="B4127" s="384" t="s">
        <v>16315</v>
      </c>
      <c r="C4127" s="384" t="s">
        <v>83</v>
      </c>
      <c r="D4127" s="385" t="s">
        <v>16316</v>
      </c>
    </row>
    <row r="4128" spans="1:4" x14ac:dyDescent="0.25">
      <c r="A4128" s="384" t="s">
        <v>16317</v>
      </c>
      <c r="B4128" s="384" t="s">
        <v>16318</v>
      </c>
      <c r="C4128" s="384" t="s">
        <v>83</v>
      </c>
      <c r="D4128" s="385" t="s">
        <v>10640</v>
      </c>
    </row>
    <row r="4129" spans="1:4" x14ac:dyDescent="0.25">
      <c r="A4129" s="384" t="s">
        <v>16319</v>
      </c>
      <c r="B4129" s="384" t="s">
        <v>16320</v>
      </c>
      <c r="C4129" s="384" t="s">
        <v>83</v>
      </c>
      <c r="D4129" s="385" t="s">
        <v>8031</v>
      </c>
    </row>
    <row r="4130" spans="1:4" x14ac:dyDescent="0.25">
      <c r="A4130" s="384" t="s">
        <v>16321</v>
      </c>
      <c r="B4130" s="384" t="s">
        <v>16322</v>
      </c>
      <c r="C4130" s="384" t="s">
        <v>83</v>
      </c>
      <c r="D4130" s="385" t="s">
        <v>16323</v>
      </c>
    </row>
    <row r="4131" spans="1:4" x14ac:dyDescent="0.25">
      <c r="A4131" s="384" t="s">
        <v>16324</v>
      </c>
      <c r="B4131" s="384" t="s">
        <v>16325</v>
      </c>
      <c r="C4131" s="384" t="s">
        <v>83</v>
      </c>
      <c r="D4131" s="385" t="s">
        <v>16326</v>
      </c>
    </row>
    <row r="4132" spans="1:4" x14ac:dyDescent="0.25">
      <c r="A4132" s="384" t="s">
        <v>16327</v>
      </c>
      <c r="B4132" s="384" t="s">
        <v>16328</v>
      </c>
      <c r="C4132" s="384" t="s">
        <v>83</v>
      </c>
      <c r="D4132" s="385" t="s">
        <v>16329</v>
      </c>
    </row>
    <row r="4133" spans="1:4" x14ac:dyDescent="0.25">
      <c r="A4133" s="384" t="s">
        <v>16330</v>
      </c>
      <c r="B4133" s="384" t="s">
        <v>16331</v>
      </c>
      <c r="C4133" s="384" t="s">
        <v>83</v>
      </c>
      <c r="D4133" s="385" t="s">
        <v>16332</v>
      </c>
    </row>
    <row r="4134" spans="1:4" x14ac:dyDescent="0.25">
      <c r="A4134" s="384" t="s">
        <v>16333</v>
      </c>
      <c r="B4134" s="384" t="s">
        <v>16334</v>
      </c>
      <c r="C4134" s="384" t="s">
        <v>83</v>
      </c>
      <c r="D4134" s="385" t="s">
        <v>16335</v>
      </c>
    </row>
    <row r="4135" spans="1:4" x14ac:dyDescent="0.25">
      <c r="A4135" s="384" t="s">
        <v>16336</v>
      </c>
      <c r="B4135" s="384" t="s">
        <v>16337</v>
      </c>
      <c r="C4135" s="384" t="s">
        <v>83</v>
      </c>
      <c r="D4135" s="385" t="s">
        <v>16338</v>
      </c>
    </row>
    <row r="4136" spans="1:4" x14ac:dyDescent="0.25">
      <c r="A4136" s="384" t="s">
        <v>16339</v>
      </c>
      <c r="B4136" s="384" t="s">
        <v>16340</v>
      </c>
      <c r="C4136" s="384" t="s">
        <v>83</v>
      </c>
      <c r="D4136" s="385" t="s">
        <v>16341</v>
      </c>
    </row>
    <row r="4137" spans="1:4" x14ac:dyDescent="0.25">
      <c r="A4137" s="384" t="s">
        <v>16342</v>
      </c>
      <c r="B4137" s="384" t="s">
        <v>16343</v>
      </c>
      <c r="C4137" s="384" t="s">
        <v>83</v>
      </c>
      <c r="D4137" s="385" t="s">
        <v>16344</v>
      </c>
    </row>
    <row r="4138" spans="1:4" x14ac:dyDescent="0.25">
      <c r="A4138" s="384" t="s">
        <v>16345</v>
      </c>
      <c r="B4138" s="384" t="s">
        <v>16346</v>
      </c>
      <c r="C4138" s="384" t="s">
        <v>83</v>
      </c>
      <c r="D4138" s="385" t="s">
        <v>16347</v>
      </c>
    </row>
    <row r="4139" spans="1:4" x14ac:dyDescent="0.25">
      <c r="A4139" s="384" t="s">
        <v>16348</v>
      </c>
      <c r="B4139" s="384" t="s">
        <v>16349</v>
      </c>
      <c r="C4139" s="384" t="s">
        <v>83</v>
      </c>
      <c r="D4139" s="385" t="s">
        <v>16350</v>
      </c>
    </row>
    <row r="4140" spans="1:4" x14ac:dyDescent="0.25">
      <c r="A4140" s="384" t="s">
        <v>16351</v>
      </c>
      <c r="B4140" s="384" t="s">
        <v>16352</v>
      </c>
      <c r="C4140" s="384" t="s">
        <v>83</v>
      </c>
      <c r="D4140" s="385" t="s">
        <v>16353</v>
      </c>
    </row>
    <row r="4141" spans="1:4" x14ac:dyDescent="0.25">
      <c r="A4141" s="384" t="s">
        <v>16354</v>
      </c>
      <c r="B4141" s="384" t="s">
        <v>16355</v>
      </c>
      <c r="C4141" s="384" t="s">
        <v>83</v>
      </c>
      <c r="D4141" s="385" t="s">
        <v>16356</v>
      </c>
    </row>
    <row r="4142" spans="1:4" x14ac:dyDescent="0.25">
      <c r="A4142" s="384" t="s">
        <v>16357</v>
      </c>
      <c r="B4142" s="384" t="s">
        <v>16358</v>
      </c>
      <c r="C4142" s="384" t="s">
        <v>83</v>
      </c>
      <c r="D4142" s="385" t="s">
        <v>16359</v>
      </c>
    </row>
    <row r="4143" spans="1:4" x14ac:dyDescent="0.25">
      <c r="A4143" s="384" t="s">
        <v>16360</v>
      </c>
      <c r="B4143" s="384" t="s">
        <v>16361</v>
      </c>
      <c r="C4143" s="384" t="s">
        <v>83</v>
      </c>
      <c r="D4143" s="385" t="s">
        <v>4457</v>
      </c>
    </row>
    <row r="4144" spans="1:4" x14ac:dyDescent="0.25">
      <c r="A4144" s="384" t="s">
        <v>16362</v>
      </c>
      <c r="B4144" s="384" t="s">
        <v>16363</v>
      </c>
      <c r="C4144" s="384" t="s">
        <v>83</v>
      </c>
      <c r="D4144" s="385" t="s">
        <v>16364</v>
      </c>
    </row>
    <row r="4145" spans="1:4" x14ac:dyDescent="0.25">
      <c r="A4145" s="384" t="s">
        <v>16365</v>
      </c>
      <c r="B4145" s="384" t="s">
        <v>16366</v>
      </c>
      <c r="C4145" s="384" t="s">
        <v>83</v>
      </c>
      <c r="D4145" s="385" t="s">
        <v>16367</v>
      </c>
    </row>
    <row r="4146" spans="1:4" x14ac:dyDescent="0.25">
      <c r="A4146" s="384" t="s">
        <v>16368</v>
      </c>
      <c r="B4146" s="384" t="s">
        <v>16369</v>
      </c>
      <c r="C4146" s="384" t="s">
        <v>83</v>
      </c>
      <c r="D4146" s="385" t="s">
        <v>16370</v>
      </c>
    </row>
    <row r="4147" spans="1:4" x14ac:dyDescent="0.25">
      <c r="A4147" s="384" t="s">
        <v>16371</v>
      </c>
      <c r="B4147" s="384" t="s">
        <v>16372</v>
      </c>
      <c r="C4147" s="384" t="s">
        <v>83</v>
      </c>
      <c r="D4147" s="385" t="s">
        <v>16373</v>
      </c>
    </row>
    <row r="4148" spans="1:4" x14ac:dyDescent="0.25">
      <c r="A4148" s="384" t="s">
        <v>16374</v>
      </c>
      <c r="B4148" s="384" t="s">
        <v>16375</v>
      </c>
      <c r="C4148" s="384" t="s">
        <v>83</v>
      </c>
      <c r="D4148" s="385" t="s">
        <v>16376</v>
      </c>
    </row>
    <row r="4149" spans="1:4" x14ac:dyDescent="0.25">
      <c r="A4149" s="384" t="s">
        <v>16377</v>
      </c>
      <c r="B4149" s="384" t="s">
        <v>16378</v>
      </c>
      <c r="C4149" s="384" t="s">
        <v>83</v>
      </c>
      <c r="D4149" s="385" t="s">
        <v>16379</v>
      </c>
    </row>
    <row r="4150" spans="1:4" x14ac:dyDescent="0.25">
      <c r="A4150" s="384" t="s">
        <v>16380</v>
      </c>
      <c r="B4150" s="384" t="s">
        <v>16381</v>
      </c>
      <c r="C4150" s="384" t="s">
        <v>83</v>
      </c>
      <c r="D4150" s="385" t="s">
        <v>12677</v>
      </c>
    </row>
    <row r="4151" spans="1:4" x14ac:dyDescent="0.25">
      <c r="A4151" s="384" t="s">
        <v>16382</v>
      </c>
      <c r="B4151" s="384" t="s">
        <v>16383</v>
      </c>
      <c r="C4151" s="384" t="s">
        <v>83</v>
      </c>
      <c r="D4151" s="385" t="s">
        <v>5674</v>
      </c>
    </row>
    <row r="4152" spans="1:4" x14ac:dyDescent="0.25">
      <c r="A4152" s="384" t="s">
        <v>16384</v>
      </c>
      <c r="B4152" s="384" t="s">
        <v>16385</v>
      </c>
      <c r="C4152" s="384" t="s">
        <v>83</v>
      </c>
      <c r="D4152" s="385" t="s">
        <v>16386</v>
      </c>
    </row>
    <row r="4153" spans="1:4" x14ac:dyDescent="0.25">
      <c r="A4153" s="384" t="s">
        <v>16387</v>
      </c>
      <c r="B4153" s="384" t="s">
        <v>16388</v>
      </c>
      <c r="C4153" s="384" t="s">
        <v>83</v>
      </c>
      <c r="D4153" s="385" t="s">
        <v>11814</v>
      </c>
    </row>
    <row r="4154" spans="1:4" x14ac:dyDescent="0.25">
      <c r="A4154" s="384" t="s">
        <v>16389</v>
      </c>
      <c r="B4154" s="384" t="s">
        <v>16390</v>
      </c>
      <c r="C4154" s="384" t="s">
        <v>83</v>
      </c>
      <c r="D4154" s="385" t="s">
        <v>16391</v>
      </c>
    </row>
    <row r="4155" spans="1:4" x14ac:dyDescent="0.25">
      <c r="A4155" s="384" t="s">
        <v>16392</v>
      </c>
      <c r="B4155" s="384" t="s">
        <v>16393</v>
      </c>
      <c r="C4155" s="384" t="s">
        <v>83</v>
      </c>
      <c r="D4155" s="385" t="s">
        <v>16394</v>
      </c>
    </row>
    <row r="4156" spans="1:4" x14ac:dyDescent="0.25">
      <c r="A4156" s="384" t="s">
        <v>16395</v>
      </c>
      <c r="B4156" s="384" t="s">
        <v>16396</v>
      </c>
      <c r="C4156" s="384" t="s">
        <v>83</v>
      </c>
      <c r="D4156" s="385" t="s">
        <v>16397</v>
      </c>
    </row>
    <row r="4157" spans="1:4" x14ac:dyDescent="0.25">
      <c r="A4157" s="384" t="s">
        <v>16398</v>
      </c>
      <c r="B4157" s="384" t="s">
        <v>16399</v>
      </c>
      <c r="C4157" s="384" t="s">
        <v>83</v>
      </c>
      <c r="D4157" s="385" t="s">
        <v>16400</v>
      </c>
    </row>
    <row r="4158" spans="1:4" x14ac:dyDescent="0.25">
      <c r="A4158" s="384" t="s">
        <v>16401</v>
      </c>
      <c r="B4158" s="384" t="s">
        <v>16402</v>
      </c>
      <c r="C4158" s="384" t="s">
        <v>83</v>
      </c>
      <c r="D4158" s="385" t="s">
        <v>16403</v>
      </c>
    </row>
    <row r="4159" spans="1:4" x14ac:dyDescent="0.25">
      <c r="A4159" s="384" t="s">
        <v>16404</v>
      </c>
      <c r="B4159" s="384" t="s">
        <v>16405</v>
      </c>
      <c r="C4159" s="384" t="s">
        <v>83</v>
      </c>
      <c r="D4159" s="385" t="s">
        <v>16406</v>
      </c>
    </row>
    <row r="4160" spans="1:4" x14ac:dyDescent="0.25">
      <c r="A4160" s="384" t="s">
        <v>16407</v>
      </c>
      <c r="B4160" s="384" t="s">
        <v>16408</v>
      </c>
      <c r="C4160" s="384" t="s">
        <v>83</v>
      </c>
      <c r="D4160" s="385" t="s">
        <v>16409</v>
      </c>
    </row>
    <row r="4161" spans="1:4" x14ac:dyDescent="0.25">
      <c r="A4161" s="384" t="s">
        <v>16410</v>
      </c>
      <c r="B4161" s="384" t="s">
        <v>16411</v>
      </c>
      <c r="C4161" s="384" t="s">
        <v>83</v>
      </c>
      <c r="D4161" s="385" t="s">
        <v>16412</v>
      </c>
    </row>
    <row r="4162" spans="1:4" x14ac:dyDescent="0.25">
      <c r="A4162" s="384" t="s">
        <v>16413</v>
      </c>
      <c r="B4162" s="384" t="s">
        <v>16414</v>
      </c>
      <c r="C4162" s="384" t="s">
        <v>83</v>
      </c>
      <c r="D4162" s="385" t="s">
        <v>16415</v>
      </c>
    </row>
    <row r="4163" spans="1:4" x14ac:dyDescent="0.25">
      <c r="A4163" s="384" t="s">
        <v>16416</v>
      </c>
      <c r="B4163" s="384" t="s">
        <v>16417</v>
      </c>
      <c r="C4163" s="384" t="s">
        <v>83</v>
      </c>
      <c r="D4163" s="385" t="s">
        <v>16418</v>
      </c>
    </row>
    <row r="4164" spans="1:4" x14ac:dyDescent="0.25">
      <c r="A4164" s="384" t="s">
        <v>16419</v>
      </c>
      <c r="B4164" s="384" t="s">
        <v>16420</v>
      </c>
      <c r="C4164" s="384" t="s">
        <v>83</v>
      </c>
      <c r="D4164" s="385" t="s">
        <v>16421</v>
      </c>
    </row>
    <row r="4165" spans="1:4" x14ac:dyDescent="0.25">
      <c r="A4165" s="384" t="s">
        <v>16422</v>
      </c>
      <c r="B4165" s="384" t="s">
        <v>16423</v>
      </c>
      <c r="C4165" s="384" t="s">
        <v>83</v>
      </c>
      <c r="D4165" s="385" t="s">
        <v>16424</v>
      </c>
    </row>
    <row r="4166" spans="1:4" x14ac:dyDescent="0.25">
      <c r="A4166" s="384" t="s">
        <v>16425</v>
      </c>
      <c r="B4166" s="384" t="s">
        <v>16426</v>
      </c>
      <c r="C4166" s="384" t="s">
        <v>83</v>
      </c>
      <c r="D4166" s="385" t="s">
        <v>16316</v>
      </c>
    </row>
    <row r="4167" spans="1:4" x14ac:dyDescent="0.25">
      <c r="A4167" s="384" t="s">
        <v>16427</v>
      </c>
      <c r="B4167" s="384" t="s">
        <v>16428</v>
      </c>
      <c r="C4167" s="384" t="s">
        <v>83</v>
      </c>
      <c r="D4167" s="385" t="s">
        <v>6604</v>
      </c>
    </row>
    <row r="4168" spans="1:4" x14ac:dyDescent="0.25">
      <c r="A4168" s="384" t="s">
        <v>16429</v>
      </c>
      <c r="B4168" s="384" t="s">
        <v>16430</v>
      </c>
      <c r="C4168" s="384" t="s">
        <v>83</v>
      </c>
      <c r="D4168" s="385" t="s">
        <v>13129</v>
      </c>
    </row>
    <row r="4169" spans="1:4" x14ac:dyDescent="0.25">
      <c r="A4169" s="384" t="s">
        <v>16431</v>
      </c>
      <c r="B4169" s="384" t="s">
        <v>16432</v>
      </c>
      <c r="C4169" s="384" t="s">
        <v>83</v>
      </c>
      <c r="D4169" s="385" t="s">
        <v>16433</v>
      </c>
    </row>
    <row r="4170" spans="1:4" x14ac:dyDescent="0.25">
      <c r="A4170" s="384" t="s">
        <v>16434</v>
      </c>
      <c r="B4170" s="384" t="s">
        <v>16435</v>
      </c>
      <c r="C4170" s="384" t="s">
        <v>83</v>
      </c>
      <c r="D4170" s="385" t="s">
        <v>16436</v>
      </c>
    </row>
    <row r="4171" spans="1:4" x14ac:dyDescent="0.25">
      <c r="A4171" s="384" t="s">
        <v>16437</v>
      </c>
      <c r="B4171" s="384" t="s">
        <v>16438</v>
      </c>
      <c r="C4171" s="384" t="s">
        <v>83</v>
      </c>
      <c r="D4171" s="385" t="s">
        <v>16439</v>
      </c>
    </row>
    <row r="4172" spans="1:4" x14ac:dyDescent="0.25">
      <c r="A4172" s="384" t="s">
        <v>16440</v>
      </c>
      <c r="B4172" s="384" t="s">
        <v>16441</v>
      </c>
      <c r="C4172" s="384" t="s">
        <v>83</v>
      </c>
      <c r="D4172" s="385" t="s">
        <v>16442</v>
      </c>
    </row>
    <row r="4173" spans="1:4" x14ac:dyDescent="0.25">
      <c r="A4173" s="384" t="s">
        <v>16443</v>
      </c>
      <c r="B4173" s="384" t="s">
        <v>16444</v>
      </c>
      <c r="C4173" s="384" t="s">
        <v>83</v>
      </c>
      <c r="D4173" s="385" t="s">
        <v>16445</v>
      </c>
    </row>
    <row r="4174" spans="1:4" x14ac:dyDescent="0.25">
      <c r="A4174" s="384" t="s">
        <v>16446</v>
      </c>
      <c r="B4174" s="384" t="s">
        <v>16447</v>
      </c>
      <c r="C4174" s="384" t="s">
        <v>83</v>
      </c>
      <c r="D4174" s="385" t="s">
        <v>16448</v>
      </c>
    </row>
    <row r="4175" spans="1:4" x14ac:dyDescent="0.25">
      <c r="A4175" s="384" t="s">
        <v>16449</v>
      </c>
      <c r="B4175" s="384" t="s">
        <v>16450</v>
      </c>
      <c r="C4175" s="384" t="s">
        <v>83</v>
      </c>
      <c r="D4175" s="385" t="s">
        <v>16451</v>
      </c>
    </row>
    <row r="4176" spans="1:4" x14ac:dyDescent="0.25">
      <c r="A4176" s="384" t="s">
        <v>16452</v>
      </c>
      <c r="B4176" s="384" t="s">
        <v>16453</v>
      </c>
      <c r="C4176" s="384" t="s">
        <v>83</v>
      </c>
      <c r="D4176" s="385" t="s">
        <v>16451</v>
      </c>
    </row>
    <row r="4177" spans="1:4" x14ac:dyDescent="0.25">
      <c r="A4177" s="384" t="s">
        <v>16454</v>
      </c>
      <c r="B4177" s="384" t="s">
        <v>16455</v>
      </c>
      <c r="C4177" s="384" t="s">
        <v>83</v>
      </c>
      <c r="D4177" s="385" t="s">
        <v>16451</v>
      </c>
    </row>
    <row r="4178" spans="1:4" x14ac:dyDescent="0.25">
      <c r="A4178" s="384" t="s">
        <v>16456</v>
      </c>
      <c r="B4178" s="384" t="s">
        <v>16457</v>
      </c>
      <c r="C4178" s="384" t="s">
        <v>83</v>
      </c>
      <c r="D4178" s="385" t="s">
        <v>16458</v>
      </c>
    </row>
    <row r="4179" spans="1:4" x14ac:dyDescent="0.25">
      <c r="A4179" s="384" t="s">
        <v>16459</v>
      </c>
      <c r="B4179" s="384" t="s">
        <v>16460</v>
      </c>
      <c r="C4179" s="384" t="s">
        <v>83</v>
      </c>
      <c r="D4179" s="385" t="s">
        <v>16458</v>
      </c>
    </row>
    <row r="4180" spans="1:4" x14ac:dyDescent="0.25">
      <c r="A4180" s="384" t="s">
        <v>16461</v>
      </c>
      <c r="B4180" s="384" t="s">
        <v>16462</v>
      </c>
      <c r="C4180" s="384" t="s">
        <v>83</v>
      </c>
      <c r="D4180" s="385" t="s">
        <v>16463</v>
      </c>
    </row>
    <row r="4181" spans="1:4" x14ac:dyDescent="0.25">
      <c r="A4181" s="384" t="s">
        <v>16464</v>
      </c>
      <c r="B4181" s="384" t="s">
        <v>16465</v>
      </c>
      <c r="C4181" s="384" t="s">
        <v>83</v>
      </c>
      <c r="D4181" s="385" t="s">
        <v>16466</v>
      </c>
    </row>
    <row r="4182" spans="1:4" x14ac:dyDescent="0.25">
      <c r="A4182" s="384" t="s">
        <v>16467</v>
      </c>
      <c r="B4182" s="384" t="s">
        <v>16468</v>
      </c>
      <c r="C4182" s="384" t="s">
        <v>83</v>
      </c>
      <c r="D4182" s="385" t="s">
        <v>16466</v>
      </c>
    </row>
    <row r="4183" spans="1:4" x14ac:dyDescent="0.25">
      <c r="A4183" s="384" t="s">
        <v>16469</v>
      </c>
      <c r="B4183" s="384" t="s">
        <v>16470</v>
      </c>
      <c r="C4183" s="384" t="s">
        <v>83</v>
      </c>
      <c r="D4183" s="385" t="s">
        <v>5435</v>
      </c>
    </row>
    <row r="4184" spans="1:4" x14ac:dyDescent="0.25">
      <c r="A4184" s="384" t="s">
        <v>16471</v>
      </c>
      <c r="B4184" s="384" t="s">
        <v>16472</v>
      </c>
      <c r="C4184" s="384" t="s">
        <v>83</v>
      </c>
      <c r="D4184" s="385" t="s">
        <v>16473</v>
      </c>
    </row>
    <row r="4185" spans="1:4" x14ac:dyDescent="0.25">
      <c r="A4185" s="384" t="s">
        <v>16474</v>
      </c>
      <c r="B4185" s="384" t="s">
        <v>16475</v>
      </c>
      <c r="C4185" s="384" t="s">
        <v>83</v>
      </c>
      <c r="D4185" s="385" t="s">
        <v>16476</v>
      </c>
    </row>
    <row r="4186" spans="1:4" x14ac:dyDescent="0.25">
      <c r="A4186" s="384" t="s">
        <v>16477</v>
      </c>
      <c r="B4186" s="384" t="s">
        <v>16478</v>
      </c>
      <c r="C4186" s="384" t="s">
        <v>83</v>
      </c>
      <c r="D4186" s="385" t="s">
        <v>16479</v>
      </c>
    </row>
    <row r="4187" spans="1:4" x14ac:dyDescent="0.25">
      <c r="A4187" s="384" t="s">
        <v>16480</v>
      </c>
      <c r="B4187" s="384" t="s">
        <v>16481</v>
      </c>
      <c r="C4187" s="384" t="s">
        <v>83</v>
      </c>
      <c r="D4187" s="385" t="s">
        <v>16479</v>
      </c>
    </row>
    <row r="4188" spans="1:4" x14ac:dyDescent="0.25">
      <c r="A4188" s="384" t="s">
        <v>16482</v>
      </c>
      <c r="B4188" s="384" t="s">
        <v>16483</v>
      </c>
      <c r="C4188" s="384" t="s">
        <v>83</v>
      </c>
      <c r="D4188" s="385" t="s">
        <v>16292</v>
      </c>
    </row>
    <row r="4189" spans="1:4" x14ac:dyDescent="0.25">
      <c r="A4189" s="384" t="s">
        <v>16484</v>
      </c>
      <c r="B4189" s="384" t="s">
        <v>16485</v>
      </c>
      <c r="C4189" s="384" t="s">
        <v>83</v>
      </c>
      <c r="D4189" s="385" t="s">
        <v>16292</v>
      </c>
    </row>
    <row r="4190" spans="1:4" x14ac:dyDescent="0.25">
      <c r="A4190" s="384" t="s">
        <v>16486</v>
      </c>
      <c r="B4190" s="384" t="s">
        <v>16487</v>
      </c>
      <c r="C4190" s="384" t="s">
        <v>83</v>
      </c>
      <c r="D4190" s="385" t="s">
        <v>16292</v>
      </c>
    </row>
    <row r="4191" spans="1:4" x14ac:dyDescent="0.25">
      <c r="A4191" s="384" t="s">
        <v>16488</v>
      </c>
      <c r="B4191" s="384" t="s">
        <v>16489</v>
      </c>
      <c r="C4191" s="384" t="s">
        <v>83</v>
      </c>
      <c r="D4191" s="385" t="s">
        <v>16490</v>
      </c>
    </row>
    <row r="4192" spans="1:4" x14ac:dyDescent="0.25">
      <c r="A4192" s="384" t="s">
        <v>16491</v>
      </c>
      <c r="B4192" s="384" t="s">
        <v>16492</v>
      </c>
      <c r="C4192" s="384" t="s">
        <v>83</v>
      </c>
      <c r="D4192" s="385" t="s">
        <v>16490</v>
      </c>
    </row>
    <row r="4193" spans="1:4" x14ac:dyDescent="0.25">
      <c r="A4193" s="384" t="s">
        <v>16493</v>
      </c>
      <c r="B4193" s="384" t="s">
        <v>16494</v>
      </c>
      <c r="C4193" s="384" t="s">
        <v>83</v>
      </c>
      <c r="D4193" s="385" t="s">
        <v>16490</v>
      </c>
    </row>
    <row r="4194" spans="1:4" x14ac:dyDescent="0.25">
      <c r="A4194" s="384" t="s">
        <v>16495</v>
      </c>
      <c r="B4194" s="384" t="s">
        <v>16496</v>
      </c>
      <c r="C4194" s="384" t="s">
        <v>83</v>
      </c>
      <c r="D4194" s="385" t="s">
        <v>5791</v>
      </c>
    </row>
    <row r="4195" spans="1:4" x14ac:dyDescent="0.25">
      <c r="A4195" s="384" t="s">
        <v>16497</v>
      </c>
      <c r="B4195" s="384" t="s">
        <v>16498</v>
      </c>
      <c r="C4195" s="384" t="s">
        <v>83</v>
      </c>
      <c r="D4195" s="385" t="s">
        <v>5791</v>
      </c>
    </row>
    <row r="4196" spans="1:4" x14ac:dyDescent="0.25">
      <c r="A4196" s="384" t="s">
        <v>16499</v>
      </c>
      <c r="B4196" s="384" t="s">
        <v>16500</v>
      </c>
      <c r="C4196" s="384" t="s">
        <v>83</v>
      </c>
      <c r="D4196" s="385" t="s">
        <v>16501</v>
      </c>
    </row>
    <row r="4197" spans="1:4" x14ac:dyDescent="0.25">
      <c r="A4197" s="384" t="s">
        <v>16502</v>
      </c>
      <c r="B4197" s="384" t="s">
        <v>16503</v>
      </c>
      <c r="C4197" s="384" t="s">
        <v>83</v>
      </c>
      <c r="D4197" s="385" t="s">
        <v>16501</v>
      </c>
    </row>
    <row r="4198" spans="1:4" x14ac:dyDescent="0.25">
      <c r="A4198" s="384" t="s">
        <v>16504</v>
      </c>
      <c r="B4198" s="384" t="s">
        <v>16505</v>
      </c>
      <c r="C4198" s="384" t="s">
        <v>83</v>
      </c>
      <c r="D4198" s="385" t="s">
        <v>16506</v>
      </c>
    </row>
    <row r="4199" spans="1:4" x14ac:dyDescent="0.25">
      <c r="A4199" s="384" t="s">
        <v>16507</v>
      </c>
      <c r="B4199" s="384" t="s">
        <v>16508</v>
      </c>
      <c r="C4199" s="384" t="s">
        <v>83</v>
      </c>
      <c r="D4199" s="385" t="s">
        <v>16509</v>
      </c>
    </row>
    <row r="4200" spans="1:4" x14ac:dyDescent="0.25">
      <c r="A4200" s="384" t="s">
        <v>16510</v>
      </c>
      <c r="B4200" s="384" t="s">
        <v>16511</v>
      </c>
      <c r="C4200" s="384" t="s">
        <v>83</v>
      </c>
      <c r="D4200" s="385" t="s">
        <v>16512</v>
      </c>
    </row>
    <row r="4201" spans="1:4" x14ac:dyDescent="0.25">
      <c r="A4201" s="384" t="s">
        <v>16513</v>
      </c>
      <c r="B4201" s="384" t="s">
        <v>16514</v>
      </c>
      <c r="C4201" s="384" t="s">
        <v>83</v>
      </c>
      <c r="D4201" s="385" t="s">
        <v>10834</v>
      </c>
    </row>
    <row r="4202" spans="1:4" x14ac:dyDescent="0.25">
      <c r="A4202" s="384" t="s">
        <v>16515</v>
      </c>
      <c r="B4202" s="384" t="s">
        <v>16516</v>
      </c>
      <c r="C4202" s="384" t="s">
        <v>83</v>
      </c>
      <c r="D4202" s="385" t="s">
        <v>10834</v>
      </c>
    </row>
    <row r="4203" spans="1:4" x14ac:dyDescent="0.25">
      <c r="A4203" s="384" t="s">
        <v>16517</v>
      </c>
      <c r="B4203" s="384" t="s">
        <v>16518</v>
      </c>
      <c r="C4203" s="384" t="s">
        <v>83</v>
      </c>
      <c r="D4203" s="385" t="s">
        <v>16519</v>
      </c>
    </row>
    <row r="4204" spans="1:4" x14ac:dyDescent="0.25">
      <c r="A4204" s="384" t="s">
        <v>16520</v>
      </c>
      <c r="B4204" s="384" t="s">
        <v>16521</v>
      </c>
      <c r="C4204" s="384" t="s">
        <v>83</v>
      </c>
      <c r="D4204" s="385" t="s">
        <v>16519</v>
      </c>
    </row>
    <row r="4205" spans="1:4" x14ac:dyDescent="0.25">
      <c r="A4205" s="384" t="s">
        <v>16522</v>
      </c>
      <c r="B4205" s="384" t="s">
        <v>16523</v>
      </c>
      <c r="C4205" s="384" t="s">
        <v>83</v>
      </c>
      <c r="D4205" s="385" t="s">
        <v>16519</v>
      </c>
    </row>
    <row r="4206" spans="1:4" x14ac:dyDescent="0.25">
      <c r="A4206" s="384" t="s">
        <v>16524</v>
      </c>
      <c r="B4206" s="384" t="s">
        <v>16525</v>
      </c>
      <c r="C4206" s="384" t="s">
        <v>83</v>
      </c>
      <c r="D4206" s="385" t="s">
        <v>16526</v>
      </c>
    </row>
    <row r="4207" spans="1:4" x14ac:dyDescent="0.25">
      <c r="A4207" s="384" t="s">
        <v>16527</v>
      </c>
      <c r="B4207" s="384" t="s">
        <v>16528</v>
      </c>
      <c r="C4207" s="384" t="s">
        <v>83</v>
      </c>
      <c r="D4207" s="385" t="s">
        <v>16526</v>
      </c>
    </row>
    <row r="4208" spans="1:4" x14ac:dyDescent="0.25">
      <c r="A4208" s="384" t="s">
        <v>16529</v>
      </c>
      <c r="B4208" s="384" t="s">
        <v>16530</v>
      </c>
      <c r="C4208" s="384" t="s">
        <v>83</v>
      </c>
      <c r="D4208" s="385" t="s">
        <v>16526</v>
      </c>
    </row>
    <row r="4209" spans="1:4" x14ac:dyDescent="0.25">
      <c r="A4209" s="384" t="s">
        <v>16531</v>
      </c>
      <c r="B4209" s="384" t="s">
        <v>16532</v>
      </c>
      <c r="C4209" s="384" t="s">
        <v>83</v>
      </c>
      <c r="D4209" s="385" t="s">
        <v>16533</v>
      </c>
    </row>
    <row r="4210" spans="1:4" x14ac:dyDescent="0.25">
      <c r="A4210" s="384" t="s">
        <v>16534</v>
      </c>
      <c r="B4210" s="384" t="s">
        <v>16535</v>
      </c>
      <c r="C4210" s="384" t="s">
        <v>83</v>
      </c>
      <c r="D4210" s="385" t="s">
        <v>16533</v>
      </c>
    </row>
    <row r="4211" spans="1:4" x14ac:dyDescent="0.25">
      <c r="A4211" s="384" t="s">
        <v>16536</v>
      </c>
      <c r="B4211" s="384" t="s">
        <v>16537</v>
      </c>
      <c r="C4211" s="384" t="s">
        <v>83</v>
      </c>
      <c r="D4211" s="385" t="s">
        <v>16538</v>
      </c>
    </row>
    <row r="4212" spans="1:4" x14ac:dyDescent="0.25">
      <c r="A4212" s="384" t="s">
        <v>16539</v>
      </c>
      <c r="B4212" s="384" t="s">
        <v>16540</v>
      </c>
      <c r="C4212" s="384" t="s">
        <v>83</v>
      </c>
      <c r="D4212" s="385" t="s">
        <v>16538</v>
      </c>
    </row>
    <row r="4213" spans="1:4" x14ac:dyDescent="0.25">
      <c r="A4213" s="384" t="s">
        <v>16541</v>
      </c>
      <c r="B4213" s="384" t="s">
        <v>16542</v>
      </c>
      <c r="C4213" s="384" t="s">
        <v>83</v>
      </c>
      <c r="D4213" s="385" t="s">
        <v>16543</v>
      </c>
    </row>
    <row r="4214" spans="1:4" x14ac:dyDescent="0.25">
      <c r="A4214" s="384" t="s">
        <v>16544</v>
      </c>
      <c r="B4214" s="384" t="s">
        <v>16545</v>
      </c>
      <c r="C4214" s="384" t="s">
        <v>83</v>
      </c>
      <c r="D4214" s="385" t="s">
        <v>16546</v>
      </c>
    </row>
    <row r="4215" spans="1:4" x14ac:dyDescent="0.25">
      <c r="A4215" s="384" t="s">
        <v>16547</v>
      </c>
      <c r="B4215" s="384" t="s">
        <v>16548</v>
      </c>
      <c r="C4215" s="384" t="s">
        <v>83</v>
      </c>
      <c r="D4215" s="385" t="s">
        <v>16549</v>
      </c>
    </row>
    <row r="4216" spans="1:4" x14ac:dyDescent="0.25">
      <c r="A4216" s="384" t="s">
        <v>16550</v>
      </c>
      <c r="B4216" s="384" t="s">
        <v>16551</v>
      </c>
      <c r="C4216" s="384" t="s">
        <v>83</v>
      </c>
      <c r="D4216" s="385" t="s">
        <v>16552</v>
      </c>
    </row>
    <row r="4217" spans="1:4" x14ac:dyDescent="0.25">
      <c r="A4217" s="384" t="s">
        <v>16553</v>
      </c>
      <c r="B4217" s="384" t="s">
        <v>16554</v>
      </c>
      <c r="C4217" s="384" t="s">
        <v>83</v>
      </c>
      <c r="D4217" s="385" t="s">
        <v>16555</v>
      </c>
    </row>
    <row r="4218" spans="1:4" x14ac:dyDescent="0.25">
      <c r="A4218" s="384" t="s">
        <v>16556</v>
      </c>
      <c r="B4218" s="384" t="s">
        <v>16557</v>
      </c>
      <c r="C4218" s="384" t="s">
        <v>83</v>
      </c>
      <c r="D4218" s="385" t="s">
        <v>16558</v>
      </c>
    </row>
    <row r="4219" spans="1:4" x14ac:dyDescent="0.25">
      <c r="A4219" s="384" t="s">
        <v>16559</v>
      </c>
      <c r="B4219" s="384" t="s">
        <v>16560</v>
      </c>
      <c r="C4219" s="384" t="s">
        <v>83</v>
      </c>
      <c r="D4219" s="385" t="s">
        <v>16059</v>
      </c>
    </row>
    <row r="4220" spans="1:4" x14ac:dyDescent="0.25">
      <c r="A4220" s="384" t="s">
        <v>16561</v>
      </c>
      <c r="B4220" s="384" t="s">
        <v>16562</v>
      </c>
      <c r="C4220" s="384" t="s">
        <v>83</v>
      </c>
      <c r="D4220" s="385" t="s">
        <v>16563</v>
      </c>
    </row>
    <row r="4221" spans="1:4" x14ac:dyDescent="0.25">
      <c r="A4221" s="384" t="s">
        <v>16564</v>
      </c>
      <c r="B4221" s="384" t="s">
        <v>16565</v>
      </c>
      <c r="C4221" s="384" t="s">
        <v>83</v>
      </c>
      <c r="D4221" s="385" t="s">
        <v>16566</v>
      </c>
    </row>
    <row r="4222" spans="1:4" x14ac:dyDescent="0.25">
      <c r="A4222" s="384" t="s">
        <v>16567</v>
      </c>
      <c r="B4222" s="384" t="s">
        <v>16568</v>
      </c>
      <c r="C4222" s="384" t="s">
        <v>83</v>
      </c>
      <c r="D4222" s="385" t="s">
        <v>16569</v>
      </c>
    </row>
    <row r="4223" spans="1:4" x14ac:dyDescent="0.25">
      <c r="A4223" s="384" t="s">
        <v>16570</v>
      </c>
      <c r="B4223" s="384" t="s">
        <v>16571</v>
      </c>
      <c r="C4223" s="384" t="s">
        <v>83</v>
      </c>
      <c r="D4223" s="385" t="s">
        <v>16572</v>
      </c>
    </row>
    <row r="4224" spans="1:4" x14ac:dyDescent="0.25">
      <c r="A4224" s="384" t="s">
        <v>16573</v>
      </c>
      <c r="B4224" s="384" t="s">
        <v>16574</v>
      </c>
      <c r="C4224" s="384" t="s">
        <v>83</v>
      </c>
      <c r="D4224" s="385" t="s">
        <v>16575</v>
      </c>
    </row>
    <row r="4225" spans="1:4" x14ac:dyDescent="0.25">
      <c r="A4225" s="384" t="s">
        <v>16576</v>
      </c>
      <c r="B4225" s="384" t="s">
        <v>16577</v>
      </c>
      <c r="C4225" s="384" t="s">
        <v>83</v>
      </c>
      <c r="D4225" s="385" t="s">
        <v>16578</v>
      </c>
    </row>
    <row r="4226" spans="1:4" x14ac:dyDescent="0.25">
      <c r="A4226" s="384" t="s">
        <v>16579</v>
      </c>
      <c r="B4226" s="384" t="s">
        <v>16580</v>
      </c>
      <c r="C4226" s="384" t="s">
        <v>83</v>
      </c>
      <c r="D4226" s="385" t="s">
        <v>16581</v>
      </c>
    </row>
    <row r="4227" spans="1:4" x14ac:dyDescent="0.25">
      <c r="A4227" s="384" t="s">
        <v>16582</v>
      </c>
      <c r="B4227" s="384" t="s">
        <v>16583</v>
      </c>
      <c r="C4227" s="384" t="s">
        <v>83</v>
      </c>
      <c r="D4227" s="385" t="s">
        <v>16584</v>
      </c>
    </row>
    <row r="4228" spans="1:4" x14ac:dyDescent="0.25">
      <c r="A4228" s="384" t="s">
        <v>16585</v>
      </c>
      <c r="B4228" s="384" t="s">
        <v>16586</v>
      </c>
      <c r="C4228" s="384" t="s">
        <v>83</v>
      </c>
      <c r="D4228" s="385" t="s">
        <v>16587</v>
      </c>
    </row>
    <row r="4229" spans="1:4" x14ac:dyDescent="0.25">
      <c r="A4229" s="384" t="s">
        <v>16588</v>
      </c>
      <c r="B4229" s="384" t="s">
        <v>16589</v>
      </c>
      <c r="C4229" s="384" t="s">
        <v>83</v>
      </c>
      <c r="D4229" s="385" t="s">
        <v>16590</v>
      </c>
    </row>
    <row r="4230" spans="1:4" x14ac:dyDescent="0.25">
      <c r="A4230" s="384" t="s">
        <v>16591</v>
      </c>
      <c r="B4230" s="384" t="s">
        <v>16592</v>
      </c>
      <c r="C4230" s="384" t="s">
        <v>83</v>
      </c>
      <c r="D4230" s="385" t="s">
        <v>16593</v>
      </c>
    </row>
    <row r="4231" spans="1:4" x14ac:dyDescent="0.25">
      <c r="A4231" s="384" t="s">
        <v>16594</v>
      </c>
      <c r="B4231" s="384" t="s">
        <v>16595</v>
      </c>
      <c r="C4231" s="384" t="s">
        <v>83</v>
      </c>
      <c r="D4231" s="385" t="s">
        <v>16596</v>
      </c>
    </row>
    <row r="4232" spans="1:4" x14ac:dyDescent="0.25">
      <c r="A4232" s="384" t="s">
        <v>16597</v>
      </c>
      <c r="B4232" s="384" t="s">
        <v>16598</v>
      </c>
      <c r="C4232" s="384" t="s">
        <v>83</v>
      </c>
      <c r="D4232" s="385" t="s">
        <v>16599</v>
      </c>
    </row>
    <row r="4233" spans="1:4" x14ac:dyDescent="0.25">
      <c r="A4233" s="384" t="s">
        <v>16600</v>
      </c>
      <c r="B4233" s="384" t="s">
        <v>16601</v>
      </c>
      <c r="C4233" s="384" t="s">
        <v>83</v>
      </c>
      <c r="D4233" s="385" t="s">
        <v>16071</v>
      </c>
    </row>
    <row r="4234" spans="1:4" x14ac:dyDescent="0.25">
      <c r="A4234" s="384" t="s">
        <v>16602</v>
      </c>
      <c r="B4234" s="384" t="s">
        <v>16603</v>
      </c>
      <c r="C4234" s="384" t="s">
        <v>83</v>
      </c>
      <c r="D4234" s="385" t="s">
        <v>16604</v>
      </c>
    </row>
    <row r="4235" spans="1:4" x14ac:dyDescent="0.25">
      <c r="A4235" s="384" t="s">
        <v>16605</v>
      </c>
      <c r="B4235" s="384" t="s">
        <v>16606</v>
      </c>
      <c r="C4235" s="384" t="s">
        <v>83</v>
      </c>
      <c r="D4235" s="385" t="s">
        <v>16607</v>
      </c>
    </row>
    <row r="4236" spans="1:4" x14ac:dyDescent="0.25">
      <c r="A4236" s="384" t="s">
        <v>16608</v>
      </c>
      <c r="B4236" s="384" t="s">
        <v>16609</v>
      </c>
      <c r="C4236" s="384" t="s">
        <v>83</v>
      </c>
      <c r="D4236" s="385" t="s">
        <v>16610</v>
      </c>
    </row>
    <row r="4237" spans="1:4" x14ac:dyDescent="0.25">
      <c r="A4237" s="384" t="s">
        <v>16611</v>
      </c>
      <c r="B4237" s="384" t="s">
        <v>16612</v>
      </c>
      <c r="C4237" s="384" t="s">
        <v>83</v>
      </c>
      <c r="D4237" s="385" t="s">
        <v>11425</v>
      </c>
    </row>
    <row r="4238" spans="1:4" x14ac:dyDescent="0.25">
      <c r="A4238" s="384" t="s">
        <v>16613</v>
      </c>
      <c r="B4238" s="384" t="s">
        <v>16614</v>
      </c>
      <c r="C4238" s="384" t="s">
        <v>83</v>
      </c>
      <c r="D4238" s="385" t="s">
        <v>16615</v>
      </c>
    </row>
    <row r="4239" spans="1:4" x14ac:dyDescent="0.25">
      <c r="A4239" s="384" t="s">
        <v>16616</v>
      </c>
      <c r="B4239" s="384" t="s">
        <v>16617</v>
      </c>
      <c r="C4239" s="384" t="s">
        <v>83</v>
      </c>
      <c r="D4239" s="385" t="s">
        <v>15767</v>
      </c>
    </row>
    <row r="4240" spans="1:4" x14ac:dyDescent="0.25">
      <c r="A4240" s="384" t="s">
        <v>16618</v>
      </c>
      <c r="B4240" s="384" t="s">
        <v>16619</v>
      </c>
      <c r="C4240" s="384" t="s">
        <v>83</v>
      </c>
      <c r="D4240" s="385" t="s">
        <v>13011</v>
      </c>
    </row>
    <row r="4241" spans="1:4" x14ac:dyDescent="0.25">
      <c r="A4241" s="384" t="s">
        <v>16620</v>
      </c>
      <c r="B4241" s="384" t="s">
        <v>16621</v>
      </c>
      <c r="C4241" s="384" t="s">
        <v>83</v>
      </c>
      <c r="D4241" s="385" t="s">
        <v>16622</v>
      </c>
    </row>
    <row r="4242" spans="1:4" x14ac:dyDescent="0.25">
      <c r="A4242" s="384" t="s">
        <v>16623</v>
      </c>
      <c r="B4242" s="384" t="s">
        <v>16624</v>
      </c>
      <c r="C4242" s="384" t="s">
        <v>83</v>
      </c>
      <c r="D4242" s="385" t="s">
        <v>16625</v>
      </c>
    </row>
    <row r="4243" spans="1:4" x14ac:dyDescent="0.25">
      <c r="A4243" s="384" t="s">
        <v>16626</v>
      </c>
      <c r="B4243" s="384" t="s">
        <v>16627</v>
      </c>
      <c r="C4243" s="384" t="s">
        <v>83</v>
      </c>
      <c r="D4243" s="385" t="s">
        <v>7449</v>
      </c>
    </row>
    <row r="4244" spans="1:4" x14ac:dyDescent="0.25">
      <c r="A4244" s="384" t="s">
        <v>16628</v>
      </c>
      <c r="B4244" s="384" t="s">
        <v>16629</v>
      </c>
      <c r="C4244" s="384" t="s">
        <v>83</v>
      </c>
      <c r="D4244" s="385" t="s">
        <v>15691</v>
      </c>
    </row>
    <row r="4245" spans="1:4" x14ac:dyDescent="0.25">
      <c r="A4245" s="384" t="s">
        <v>16630</v>
      </c>
      <c r="B4245" s="384" t="s">
        <v>16631</v>
      </c>
      <c r="C4245" s="384" t="s">
        <v>83</v>
      </c>
      <c r="D4245" s="385" t="s">
        <v>16632</v>
      </c>
    </row>
    <row r="4246" spans="1:4" x14ac:dyDescent="0.25">
      <c r="A4246" s="384" t="s">
        <v>16633</v>
      </c>
      <c r="B4246" s="384" t="s">
        <v>16634</v>
      </c>
      <c r="C4246" s="384" t="s">
        <v>83</v>
      </c>
      <c r="D4246" s="385" t="s">
        <v>16635</v>
      </c>
    </row>
    <row r="4247" spans="1:4" x14ac:dyDescent="0.25">
      <c r="A4247" s="384" t="s">
        <v>16636</v>
      </c>
      <c r="B4247" s="384" t="s">
        <v>16637</v>
      </c>
      <c r="C4247" s="384" t="s">
        <v>83</v>
      </c>
      <c r="D4247" s="385" t="s">
        <v>16638</v>
      </c>
    </row>
    <row r="4248" spans="1:4" x14ac:dyDescent="0.25">
      <c r="A4248" s="384" t="s">
        <v>16639</v>
      </c>
      <c r="B4248" s="384" t="s">
        <v>16640</v>
      </c>
      <c r="C4248" s="384" t="s">
        <v>83</v>
      </c>
      <c r="D4248" s="385" t="s">
        <v>15803</v>
      </c>
    </row>
    <row r="4249" spans="1:4" x14ac:dyDescent="0.25">
      <c r="A4249" s="384" t="s">
        <v>16641</v>
      </c>
      <c r="B4249" s="384" t="s">
        <v>16642</v>
      </c>
      <c r="C4249" s="384" t="s">
        <v>83</v>
      </c>
      <c r="D4249" s="385" t="s">
        <v>16643</v>
      </c>
    </row>
    <row r="4250" spans="1:4" x14ac:dyDescent="0.25">
      <c r="A4250" s="384" t="s">
        <v>16644</v>
      </c>
      <c r="B4250" s="384" t="s">
        <v>16645</v>
      </c>
      <c r="C4250" s="384" t="s">
        <v>83</v>
      </c>
      <c r="D4250" s="385" t="s">
        <v>5856</v>
      </c>
    </row>
    <row r="4251" spans="1:4" x14ac:dyDescent="0.25">
      <c r="A4251" s="384" t="s">
        <v>16646</v>
      </c>
      <c r="B4251" s="384" t="s">
        <v>16647</v>
      </c>
      <c r="C4251" s="384" t="s">
        <v>83</v>
      </c>
      <c r="D4251" s="385" t="s">
        <v>16648</v>
      </c>
    </row>
    <row r="4252" spans="1:4" x14ac:dyDescent="0.25">
      <c r="A4252" s="384" t="s">
        <v>16649</v>
      </c>
      <c r="B4252" s="384" t="s">
        <v>16650</v>
      </c>
      <c r="C4252" s="384" t="s">
        <v>83</v>
      </c>
      <c r="D4252" s="385" t="s">
        <v>16651</v>
      </c>
    </row>
    <row r="4253" spans="1:4" x14ac:dyDescent="0.25">
      <c r="A4253" s="384" t="s">
        <v>16652</v>
      </c>
      <c r="B4253" s="384" t="s">
        <v>16653</v>
      </c>
      <c r="C4253" s="384" t="s">
        <v>83</v>
      </c>
      <c r="D4253" s="385" t="s">
        <v>16107</v>
      </c>
    </row>
    <row r="4254" spans="1:4" x14ac:dyDescent="0.25">
      <c r="A4254" s="384" t="s">
        <v>16654</v>
      </c>
      <c r="B4254" s="384" t="s">
        <v>16655</v>
      </c>
      <c r="C4254" s="384" t="s">
        <v>83</v>
      </c>
      <c r="D4254" s="385" t="s">
        <v>8698</v>
      </c>
    </row>
    <row r="4255" spans="1:4" x14ac:dyDescent="0.25">
      <c r="A4255" s="384" t="s">
        <v>16656</v>
      </c>
      <c r="B4255" s="384" t="s">
        <v>16657</v>
      </c>
      <c r="C4255" s="384" t="s">
        <v>83</v>
      </c>
      <c r="D4255" s="385" t="s">
        <v>16658</v>
      </c>
    </row>
    <row r="4256" spans="1:4" x14ac:dyDescent="0.25">
      <c r="A4256" s="384" t="s">
        <v>16659</v>
      </c>
      <c r="B4256" s="384" t="s">
        <v>16660</v>
      </c>
      <c r="C4256" s="384" t="s">
        <v>83</v>
      </c>
      <c r="D4256" s="385" t="s">
        <v>16661</v>
      </c>
    </row>
    <row r="4257" spans="1:4" x14ac:dyDescent="0.25">
      <c r="A4257" s="384" t="s">
        <v>16662</v>
      </c>
      <c r="B4257" s="384" t="s">
        <v>16663</v>
      </c>
      <c r="C4257" s="384" t="s">
        <v>83</v>
      </c>
      <c r="D4257" s="385" t="s">
        <v>16664</v>
      </c>
    </row>
    <row r="4258" spans="1:4" x14ac:dyDescent="0.25">
      <c r="A4258" s="384" t="s">
        <v>16665</v>
      </c>
      <c r="B4258" s="384" t="s">
        <v>16666</v>
      </c>
      <c r="C4258" s="384" t="s">
        <v>83</v>
      </c>
      <c r="D4258" s="385" t="s">
        <v>16667</v>
      </c>
    </row>
    <row r="4259" spans="1:4" x14ac:dyDescent="0.25">
      <c r="A4259" s="384" t="s">
        <v>16668</v>
      </c>
      <c r="B4259" s="384" t="s">
        <v>16669</v>
      </c>
      <c r="C4259" s="384" t="s">
        <v>83</v>
      </c>
      <c r="D4259" s="385" t="s">
        <v>16670</v>
      </c>
    </row>
    <row r="4260" spans="1:4" x14ac:dyDescent="0.25">
      <c r="A4260" s="384" t="s">
        <v>16671</v>
      </c>
      <c r="B4260" s="384" t="s">
        <v>16672</v>
      </c>
      <c r="C4260" s="384" t="s">
        <v>83</v>
      </c>
      <c r="D4260" s="385" t="s">
        <v>16673</v>
      </c>
    </row>
    <row r="4261" spans="1:4" x14ac:dyDescent="0.25">
      <c r="A4261" s="384" t="s">
        <v>16674</v>
      </c>
      <c r="B4261" s="384" t="s">
        <v>16675</v>
      </c>
      <c r="C4261" s="384" t="s">
        <v>83</v>
      </c>
      <c r="D4261" s="385" t="s">
        <v>16276</v>
      </c>
    </row>
    <row r="4262" spans="1:4" x14ac:dyDescent="0.25">
      <c r="A4262" s="384" t="s">
        <v>16676</v>
      </c>
      <c r="B4262" s="384" t="s">
        <v>16677</v>
      </c>
      <c r="C4262" s="384" t="s">
        <v>83</v>
      </c>
      <c r="D4262" s="385" t="s">
        <v>16678</v>
      </c>
    </row>
    <row r="4263" spans="1:4" x14ac:dyDescent="0.25">
      <c r="A4263" s="384" t="s">
        <v>16679</v>
      </c>
      <c r="B4263" s="384" t="s">
        <v>16680</v>
      </c>
      <c r="C4263" s="384" t="s">
        <v>83</v>
      </c>
      <c r="D4263" s="385" t="s">
        <v>16681</v>
      </c>
    </row>
    <row r="4264" spans="1:4" x14ac:dyDescent="0.25">
      <c r="A4264" s="384" t="s">
        <v>16682</v>
      </c>
      <c r="B4264" s="384" t="s">
        <v>16683</v>
      </c>
      <c r="C4264" s="384" t="s">
        <v>83</v>
      </c>
      <c r="D4264" s="385" t="s">
        <v>16684</v>
      </c>
    </row>
    <row r="4265" spans="1:4" x14ac:dyDescent="0.25">
      <c r="A4265" s="384" t="s">
        <v>16685</v>
      </c>
      <c r="B4265" s="384" t="s">
        <v>16686</v>
      </c>
      <c r="C4265" s="384" t="s">
        <v>83</v>
      </c>
      <c r="D4265" s="385" t="s">
        <v>16687</v>
      </c>
    </row>
    <row r="4266" spans="1:4" x14ac:dyDescent="0.25">
      <c r="A4266" s="384" t="s">
        <v>16688</v>
      </c>
      <c r="B4266" s="384" t="s">
        <v>16689</v>
      </c>
      <c r="C4266" s="384" t="s">
        <v>83</v>
      </c>
      <c r="D4266" s="385" t="s">
        <v>12138</v>
      </c>
    </row>
    <row r="4267" spans="1:4" x14ac:dyDescent="0.25">
      <c r="A4267" s="384" t="s">
        <v>16690</v>
      </c>
      <c r="B4267" s="384" t="s">
        <v>16691</v>
      </c>
      <c r="C4267" s="384" t="s">
        <v>83</v>
      </c>
      <c r="D4267" s="385" t="s">
        <v>15475</v>
      </c>
    </row>
    <row r="4268" spans="1:4" x14ac:dyDescent="0.25">
      <c r="A4268" s="384" t="s">
        <v>16692</v>
      </c>
      <c r="B4268" s="384" t="s">
        <v>16693</v>
      </c>
      <c r="C4268" s="384" t="s">
        <v>83</v>
      </c>
      <c r="D4268" s="385" t="s">
        <v>16694</v>
      </c>
    </row>
    <row r="4269" spans="1:4" x14ac:dyDescent="0.25">
      <c r="A4269" s="384" t="s">
        <v>16695</v>
      </c>
      <c r="B4269" s="384" t="s">
        <v>16696</v>
      </c>
      <c r="C4269" s="384" t="s">
        <v>83</v>
      </c>
      <c r="D4269" s="385" t="s">
        <v>16697</v>
      </c>
    </row>
    <row r="4270" spans="1:4" x14ac:dyDescent="0.25">
      <c r="A4270" s="384" t="s">
        <v>16698</v>
      </c>
      <c r="B4270" s="384" t="s">
        <v>16699</v>
      </c>
      <c r="C4270" s="384" t="s">
        <v>83</v>
      </c>
      <c r="D4270" s="385" t="s">
        <v>16700</v>
      </c>
    </row>
    <row r="4271" spans="1:4" x14ac:dyDescent="0.25">
      <c r="A4271" s="384" t="s">
        <v>16701</v>
      </c>
      <c r="B4271" s="384" t="s">
        <v>16702</v>
      </c>
      <c r="C4271" s="384" t="s">
        <v>83</v>
      </c>
      <c r="D4271" s="385" t="s">
        <v>12588</v>
      </c>
    </row>
    <row r="4272" spans="1:4" x14ac:dyDescent="0.25">
      <c r="A4272" s="384" t="s">
        <v>16703</v>
      </c>
      <c r="B4272" s="384" t="s">
        <v>16704</v>
      </c>
      <c r="C4272" s="384" t="s">
        <v>83</v>
      </c>
      <c r="D4272" s="385" t="s">
        <v>16705</v>
      </c>
    </row>
    <row r="4273" spans="1:4" x14ac:dyDescent="0.25">
      <c r="A4273" s="384" t="s">
        <v>16706</v>
      </c>
      <c r="B4273" s="384" t="s">
        <v>16707</v>
      </c>
      <c r="C4273" s="384" t="s">
        <v>83</v>
      </c>
      <c r="D4273" s="385" t="s">
        <v>16708</v>
      </c>
    </row>
    <row r="4274" spans="1:4" x14ac:dyDescent="0.25">
      <c r="A4274" s="384" t="s">
        <v>16709</v>
      </c>
      <c r="B4274" s="384" t="s">
        <v>16710</v>
      </c>
      <c r="C4274" s="384" t="s">
        <v>83</v>
      </c>
      <c r="D4274" s="385" t="s">
        <v>6610</v>
      </c>
    </row>
    <row r="4275" spans="1:4" x14ac:dyDescent="0.25">
      <c r="A4275" s="384" t="s">
        <v>16711</v>
      </c>
      <c r="B4275" s="384" t="s">
        <v>16712</v>
      </c>
      <c r="C4275" s="384" t="s">
        <v>83</v>
      </c>
      <c r="D4275" s="385" t="s">
        <v>16713</v>
      </c>
    </row>
    <row r="4276" spans="1:4" x14ac:dyDescent="0.25">
      <c r="A4276" s="384" t="s">
        <v>16714</v>
      </c>
      <c r="B4276" s="384" t="s">
        <v>16715</v>
      </c>
      <c r="C4276" s="384" t="s">
        <v>83</v>
      </c>
      <c r="D4276" s="385" t="s">
        <v>16134</v>
      </c>
    </row>
    <row r="4277" spans="1:4" x14ac:dyDescent="0.25">
      <c r="A4277" s="384" t="s">
        <v>16716</v>
      </c>
      <c r="B4277" s="384" t="s">
        <v>16717</v>
      </c>
      <c r="C4277" s="384" t="s">
        <v>83</v>
      </c>
      <c r="D4277" s="385" t="s">
        <v>12026</v>
      </c>
    </row>
    <row r="4278" spans="1:4" x14ac:dyDescent="0.25">
      <c r="A4278" s="384" t="s">
        <v>16718</v>
      </c>
      <c r="B4278" s="384" t="s">
        <v>16719</v>
      </c>
      <c r="C4278" s="384" t="s">
        <v>83</v>
      </c>
      <c r="D4278" s="385" t="s">
        <v>16720</v>
      </c>
    </row>
    <row r="4279" spans="1:4" x14ac:dyDescent="0.25">
      <c r="A4279" s="384" t="s">
        <v>16721</v>
      </c>
      <c r="B4279" s="384" t="s">
        <v>16722</v>
      </c>
      <c r="C4279" s="384" t="s">
        <v>83</v>
      </c>
      <c r="D4279" s="385" t="s">
        <v>16723</v>
      </c>
    </row>
    <row r="4280" spans="1:4" x14ac:dyDescent="0.25">
      <c r="A4280" s="384" t="s">
        <v>16724</v>
      </c>
      <c r="B4280" s="384" t="s">
        <v>16725</v>
      </c>
      <c r="C4280" s="384" t="s">
        <v>83</v>
      </c>
      <c r="D4280" s="385" t="s">
        <v>16726</v>
      </c>
    </row>
    <row r="4281" spans="1:4" x14ac:dyDescent="0.25">
      <c r="A4281" s="384" t="s">
        <v>16727</v>
      </c>
      <c r="B4281" s="384" t="s">
        <v>16728</v>
      </c>
      <c r="C4281" s="384" t="s">
        <v>83</v>
      </c>
      <c r="D4281" s="385" t="s">
        <v>16729</v>
      </c>
    </row>
    <row r="4282" spans="1:4" x14ac:dyDescent="0.25">
      <c r="A4282" s="384" t="s">
        <v>16730</v>
      </c>
      <c r="B4282" s="384" t="s">
        <v>16731</v>
      </c>
      <c r="C4282" s="384" t="s">
        <v>83</v>
      </c>
      <c r="D4282" s="385" t="s">
        <v>5716</v>
      </c>
    </row>
    <row r="4283" spans="1:4" x14ac:dyDescent="0.25">
      <c r="A4283" s="384" t="s">
        <v>16732</v>
      </c>
      <c r="B4283" s="384" t="s">
        <v>16733</v>
      </c>
      <c r="C4283" s="384" t="s">
        <v>83</v>
      </c>
      <c r="D4283" s="385" t="s">
        <v>16734</v>
      </c>
    </row>
    <row r="4284" spans="1:4" x14ac:dyDescent="0.25">
      <c r="A4284" s="384" t="s">
        <v>16735</v>
      </c>
      <c r="B4284" s="384" t="s">
        <v>16736</v>
      </c>
      <c r="C4284" s="384" t="s">
        <v>83</v>
      </c>
      <c r="D4284" s="385" t="s">
        <v>16737</v>
      </c>
    </row>
    <row r="4285" spans="1:4" x14ac:dyDescent="0.25">
      <c r="A4285" s="384" t="s">
        <v>16738</v>
      </c>
      <c r="B4285" s="384" t="s">
        <v>16739</v>
      </c>
      <c r="C4285" s="384" t="s">
        <v>83</v>
      </c>
      <c r="D4285" s="385" t="s">
        <v>16740</v>
      </c>
    </row>
    <row r="4286" spans="1:4" x14ac:dyDescent="0.25">
      <c r="A4286" s="384" t="s">
        <v>16741</v>
      </c>
      <c r="B4286" s="384" t="s">
        <v>16742</v>
      </c>
      <c r="C4286" s="384" t="s">
        <v>83</v>
      </c>
      <c r="D4286" s="385" t="s">
        <v>16743</v>
      </c>
    </row>
    <row r="4287" spans="1:4" x14ac:dyDescent="0.25">
      <c r="A4287" s="384" t="s">
        <v>16744</v>
      </c>
      <c r="B4287" s="384" t="s">
        <v>16745</v>
      </c>
      <c r="C4287" s="384" t="s">
        <v>83</v>
      </c>
      <c r="D4287" s="385" t="s">
        <v>16746</v>
      </c>
    </row>
    <row r="4288" spans="1:4" x14ac:dyDescent="0.25">
      <c r="A4288" s="384" t="s">
        <v>16747</v>
      </c>
      <c r="B4288" s="384" t="s">
        <v>16748</v>
      </c>
      <c r="C4288" s="384" t="s">
        <v>83</v>
      </c>
      <c r="D4288" s="385" t="s">
        <v>16749</v>
      </c>
    </row>
    <row r="4289" spans="1:4" x14ac:dyDescent="0.25">
      <c r="A4289" s="384" t="s">
        <v>16750</v>
      </c>
      <c r="B4289" s="384" t="s">
        <v>16751</v>
      </c>
      <c r="C4289" s="384" t="s">
        <v>83</v>
      </c>
      <c r="D4289" s="385" t="s">
        <v>16752</v>
      </c>
    </row>
    <row r="4290" spans="1:4" x14ac:dyDescent="0.25">
      <c r="A4290" s="384" t="s">
        <v>16753</v>
      </c>
      <c r="B4290" s="384" t="s">
        <v>16754</v>
      </c>
      <c r="C4290" s="384" t="s">
        <v>83</v>
      </c>
      <c r="D4290" s="385" t="s">
        <v>16755</v>
      </c>
    </row>
    <row r="4291" spans="1:4" x14ac:dyDescent="0.25">
      <c r="A4291" s="384" t="s">
        <v>16756</v>
      </c>
      <c r="B4291" s="384" t="s">
        <v>16757</v>
      </c>
      <c r="C4291" s="384" t="s">
        <v>83</v>
      </c>
      <c r="D4291" s="385" t="s">
        <v>14145</v>
      </c>
    </row>
    <row r="4292" spans="1:4" x14ac:dyDescent="0.25">
      <c r="A4292" s="384" t="s">
        <v>16758</v>
      </c>
      <c r="B4292" s="384" t="s">
        <v>16759</v>
      </c>
      <c r="C4292" s="384" t="s">
        <v>83</v>
      </c>
      <c r="D4292" s="385" t="s">
        <v>16760</v>
      </c>
    </row>
    <row r="4293" spans="1:4" x14ac:dyDescent="0.25">
      <c r="A4293" s="384" t="s">
        <v>16761</v>
      </c>
      <c r="B4293" s="384" t="s">
        <v>16762</v>
      </c>
      <c r="C4293" s="384" t="s">
        <v>83</v>
      </c>
      <c r="D4293" s="385" t="s">
        <v>16763</v>
      </c>
    </row>
    <row r="4294" spans="1:4" x14ac:dyDescent="0.25">
      <c r="A4294" s="384" t="s">
        <v>16764</v>
      </c>
      <c r="B4294" s="384" t="s">
        <v>16765</v>
      </c>
      <c r="C4294" s="384" t="s">
        <v>83</v>
      </c>
      <c r="D4294" s="385" t="s">
        <v>16766</v>
      </c>
    </row>
    <row r="4295" spans="1:4" x14ac:dyDescent="0.25">
      <c r="A4295" s="384" t="s">
        <v>16767</v>
      </c>
      <c r="B4295" s="384" t="s">
        <v>16768</v>
      </c>
      <c r="C4295" s="384" t="s">
        <v>83</v>
      </c>
      <c r="D4295" s="385" t="s">
        <v>16769</v>
      </c>
    </row>
    <row r="4296" spans="1:4" x14ac:dyDescent="0.25">
      <c r="A4296" s="384" t="s">
        <v>16770</v>
      </c>
      <c r="B4296" s="384" t="s">
        <v>16771</v>
      </c>
      <c r="C4296" s="384" t="s">
        <v>83</v>
      </c>
      <c r="D4296" s="385" t="s">
        <v>16772</v>
      </c>
    </row>
    <row r="4297" spans="1:4" x14ac:dyDescent="0.25">
      <c r="A4297" s="384" t="s">
        <v>16773</v>
      </c>
      <c r="B4297" s="384" t="s">
        <v>16774</v>
      </c>
      <c r="C4297" s="384" t="s">
        <v>83</v>
      </c>
      <c r="D4297" s="385" t="s">
        <v>16775</v>
      </c>
    </row>
    <row r="4298" spans="1:4" x14ac:dyDescent="0.25">
      <c r="A4298" s="384" t="s">
        <v>16776</v>
      </c>
      <c r="B4298" s="384" t="s">
        <v>16777</v>
      </c>
      <c r="C4298" s="384" t="s">
        <v>83</v>
      </c>
      <c r="D4298" s="385" t="s">
        <v>16778</v>
      </c>
    </row>
    <row r="4299" spans="1:4" x14ac:dyDescent="0.25">
      <c r="A4299" s="384" t="s">
        <v>16779</v>
      </c>
      <c r="B4299" s="384" t="s">
        <v>16780</v>
      </c>
      <c r="C4299" s="384" t="s">
        <v>83</v>
      </c>
      <c r="D4299" s="385" t="s">
        <v>16781</v>
      </c>
    </row>
    <row r="4300" spans="1:4" x14ac:dyDescent="0.25">
      <c r="A4300" s="384" t="s">
        <v>16782</v>
      </c>
      <c r="B4300" s="384" t="s">
        <v>16783</v>
      </c>
      <c r="C4300" s="384" t="s">
        <v>83</v>
      </c>
      <c r="D4300" s="385" t="s">
        <v>15195</v>
      </c>
    </row>
    <row r="4301" spans="1:4" x14ac:dyDescent="0.25">
      <c r="A4301" s="384" t="s">
        <v>16784</v>
      </c>
      <c r="B4301" s="384" t="s">
        <v>16785</v>
      </c>
      <c r="C4301" s="384" t="s">
        <v>83</v>
      </c>
      <c r="D4301" s="385" t="s">
        <v>16786</v>
      </c>
    </row>
    <row r="4302" spans="1:4" x14ac:dyDescent="0.25">
      <c r="A4302" s="384" t="s">
        <v>16787</v>
      </c>
      <c r="B4302" s="384" t="s">
        <v>16788</v>
      </c>
      <c r="C4302" s="384" t="s">
        <v>83</v>
      </c>
      <c r="D4302" s="385" t="s">
        <v>16789</v>
      </c>
    </row>
    <row r="4303" spans="1:4" x14ac:dyDescent="0.25">
      <c r="A4303" s="384" t="s">
        <v>16790</v>
      </c>
      <c r="B4303" s="384" t="s">
        <v>16791</v>
      </c>
      <c r="C4303" s="384" t="s">
        <v>83</v>
      </c>
      <c r="D4303" s="385" t="s">
        <v>16792</v>
      </c>
    </row>
    <row r="4304" spans="1:4" x14ac:dyDescent="0.25">
      <c r="A4304" s="384" t="s">
        <v>16793</v>
      </c>
      <c r="B4304" s="384" t="s">
        <v>16794</v>
      </c>
      <c r="C4304" s="384" t="s">
        <v>83</v>
      </c>
      <c r="D4304" s="385" t="s">
        <v>16795</v>
      </c>
    </row>
    <row r="4305" spans="1:4" x14ac:dyDescent="0.25">
      <c r="A4305" s="384" t="s">
        <v>16796</v>
      </c>
      <c r="B4305" s="384" t="s">
        <v>16797</v>
      </c>
      <c r="C4305" s="384" t="s">
        <v>83</v>
      </c>
      <c r="D4305" s="385" t="s">
        <v>16798</v>
      </c>
    </row>
    <row r="4306" spans="1:4" x14ac:dyDescent="0.25">
      <c r="A4306" s="384" t="s">
        <v>16799</v>
      </c>
      <c r="B4306" s="384" t="s">
        <v>16800</v>
      </c>
      <c r="C4306" s="384" t="s">
        <v>83</v>
      </c>
      <c r="D4306" s="385" t="s">
        <v>16801</v>
      </c>
    </row>
    <row r="4307" spans="1:4" x14ac:dyDescent="0.25">
      <c r="A4307" s="384" t="s">
        <v>16802</v>
      </c>
      <c r="B4307" s="384" t="s">
        <v>16803</v>
      </c>
      <c r="C4307" s="384" t="s">
        <v>83</v>
      </c>
      <c r="D4307" s="385" t="s">
        <v>16804</v>
      </c>
    </row>
    <row r="4308" spans="1:4" x14ac:dyDescent="0.25">
      <c r="A4308" s="384" t="s">
        <v>16805</v>
      </c>
      <c r="B4308" s="384" t="s">
        <v>16806</v>
      </c>
      <c r="C4308" s="384" t="s">
        <v>83</v>
      </c>
      <c r="D4308" s="385" t="s">
        <v>16807</v>
      </c>
    </row>
    <row r="4309" spans="1:4" x14ac:dyDescent="0.25">
      <c r="A4309" s="384" t="s">
        <v>16808</v>
      </c>
      <c r="B4309" s="384" t="s">
        <v>16809</v>
      </c>
      <c r="C4309" s="384" t="s">
        <v>83</v>
      </c>
      <c r="D4309" s="385" t="s">
        <v>16810</v>
      </c>
    </row>
    <row r="4310" spans="1:4" x14ac:dyDescent="0.25">
      <c r="A4310" s="384" t="s">
        <v>16811</v>
      </c>
      <c r="B4310" s="384" t="s">
        <v>16812</v>
      </c>
      <c r="C4310" s="384" t="s">
        <v>83</v>
      </c>
      <c r="D4310" s="385" t="s">
        <v>16813</v>
      </c>
    </row>
    <row r="4311" spans="1:4" x14ac:dyDescent="0.25">
      <c r="A4311" s="384" t="s">
        <v>16814</v>
      </c>
      <c r="B4311" s="384" t="s">
        <v>16815</v>
      </c>
      <c r="C4311" s="384" t="s">
        <v>83</v>
      </c>
      <c r="D4311" s="385" t="s">
        <v>16816</v>
      </c>
    </row>
    <row r="4312" spans="1:4" x14ac:dyDescent="0.25">
      <c r="A4312" s="384" t="s">
        <v>16817</v>
      </c>
      <c r="B4312" s="384" t="s">
        <v>16818</v>
      </c>
      <c r="C4312" s="384" t="s">
        <v>83</v>
      </c>
      <c r="D4312" s="385" t="s">
        <v>16819</v>
      </c>
    </row>
    <row r="4313" spans="1:4" x14ac:dyDescent="0.25">
      <c r="A4313" s="384" t="s">
        <v>16820</v>
      </c>
      <c r="B4313" s="384" t="s">
        <v>16821</v>
      </c>
      <c r="C4313" s="384" t="s">
        <v>83</v>
      </c>
      <c r="D4313" s="385" t="s">
        <v>16822</v>
      </c>
    </row>
    <row r="4314" spans="1:4" x14ac:dyDescent="0.25">
      <c r="A4314" s="384" t="s">
        <v>16823</v>
      </c>
      <c r="B4314" s="384" t="s">
        <v>16824</v>
      </c>
      <c r="C4314" s="384" t="s">
        <v>83</v>
      </c>
      <c r="D4314" s="385" t="s">
        <v>16825</v>
      </c>
    </row>
    <row r="4315" spans="1:4" x14ac:dyDescent="0.25">
      <c r="A4315" s="384" t="s">
        <v>16826</v>
      </c>
      <c r="B4315" s="384" t="s">
        <v>16827</v>
      </c>
      <c r="C4315" s="384" t="s">
        <v>83</v>
      </c>
      <c r="D4315" s="385" t="s">
        <v>16828</v>
      </c>
    </row>
    <row r="4316" spans="1:4" x14ac:dyDescent="0.25">
      <c r="A4316" s="384" t="s">
        <v>16829</v>
      </c>
      <c r="B4316" s="384" t="s">
        <v>16830</v>
      </c>
      <c r="C4316" s="384" t="s">
        <v>83</v>
      </c>
      <c r="D4316" s="385" t="s">
        <v>16831</v>
      </c>
    </row>
    <row r="4317" spans="1:4" x14ac:dyDescent="0.25">
      <c r="A4317" s="384" t="s">
        <v>16832</v>
      </c>
      <c r="B4317" s="384" t="s">
        <v>16833</v>
      </c>
      <c r="C4317" s="384" t="s">
        <v>83</v>
      </c>
      <c r="D4317" s="385" t="s">
        <v>16834</v>
      </c>
    </row>
    <row r="4318" spans="1:4" x14ac:dyDescent="0.25">
      <c r="A4318" s="384" t="s">
        <v>16835</v>
      </c>
      <c r="B4318" s="384" t="s">
        <v>16836</v>
      </c>
      <c r="C4318" s="384" t="s">
        <v>83</v>
      </c>
      <c r="D4318" s="385" t="s">
        <v>16837</v>
      </c>
    </row>
    <row r="4319" spans="1:4" x14ac:dyDescent="0.25">
      <c r="A4319" s="384" t="s">
        <v>16838</v>
      </c>
      <c r="B4319" s="384" t="s">
        <v>16839</v>
      </c>
      <c r="C4319" s="384" t="s">
        <v>83</v>
      </c>
      <c r="D4319" s="385" t="s">
        <v>16840</v>
      </c>
    </row>
    <row r="4320" spans="1:4" x14ac:dyDescent="0.25">
      <c r="A4320" s="384" t="s">
        <v>16841</v>
      </c>
      <c r="B4320" s="384" t="s">
        <v>16842</v>
      </c>
      <c r="C4320" s="384" t="s">
        <v>83</v>
      </c>
      <c r="D4320" s="385" t="s">
        <v>6986</v>
      </c>
    </row>
    <row r="4321" spans="1:4" x14ac:dyDescent="0.25">
      <c r="A4321" s="384" t="s">
        <v>16843</v>
      </c>
      <c r="B4321" s="384" t="s">
        <v>16844</v>
      </c>
      <c r="C4321" s="384" t="s">
        <v>83</v>
      </c>
      <c r="D4321" s="385" t="s">
        <v>16845</v>
      </c>
    </row>
    <row r="4322" spans="1:4" x14ac:dyDescent="0.25">
      <c r="A4322" s="384" t="s">
        <v>16846</v>
      </c>
      <c r="B4322" s="384" t="s">
        <v>16847</v>
      </c>
      <c r="C4322" s="384" t="s">
        <v>83</v>
      </c>
      <c r="D4322" s="385" t="s">
        <v>6577</v>
      </c>
    </row>
    <row r="4323" spans="1:4" x14ac:dyDescent="0.25">
      <c r="A4323" s="384" t="s">
        <v>16848</v>
      </c>
      <c r="B4323" s="384" t="s">
        <v>16849</v>
      </c>
      <c r="C4323" s="384" t="s">
        <v>83</v>
      </c>
      <c r="D4323" s="385" t="s">
        <v>5925</v>
      </c>
    </row>
    <row r="4324" spans="1:4" x14ac:dyDescent="0.25">
      <c r="A4324" s="384" t="s">
        <v>16850</v>
      </c>
      <c r="B4324" s="384" t="s">
        <v>16851</v>
      </c>
      <c r="C4324" s="384" t="s">
        <v>83</v>
      </c>
      <c r="D4324" s="385" t="s">
        <v>16852</v>
      </c>
    </row>
    <row r="4325" spans="1:4" x14ac:dyDescent="0.25">
      <c r="A4325" s="384" t="s">
        <v>16853</v>
      </c>
      <c r="B4325" s="384" t="s">
        <v>16854</v>
      </c>
      <c r="C4325" s="384" t="s">
        <v>83</v>
      </c>
      <c r="D4325" s="385" t="s">
        <v>16855</v>
      </c>
    </row>
    <row r="4326" spans="1:4" x14ac:dyDescent="0.25">
      <c r="A4326" s="384" t="s">
        <v>16856</v>
      </c>
      <c r="B4326" s="384" t="s">
        <v>16857</v>
      </c>
      <c r="C4326" s="384" t="s">
        <v>83</v>
      </c>
      <c r="D4326" s="385" t="s">
        <v>15052</v>
      </c>
    </row>
    <row r="4327" spans="1:4" x14ac:dyDescent="0.25">
      <c r="A4327" s="384" t="s">
        <v>16858</v>
      </c>
      <c r="B4327" s="384" t="s">
        <v>16859</v>
      </c>
      <c r="C4327" s="384" t="s">
        <v>83</v>
      </c>
      <c r="D4327" s="385" t="s">
        <v>14955</v>
      </c>
    </row>
    <row r="4328" spans="1:4" x14ac:dyDescent="0.25">
      <c r="A4328" s="384" t="s">
        <v>16860</v>
      </c>
      <c r="B4328" s="384" t="s">
        <v>16861</v>
      </c>
      <c r="C4328" s="384" t="s">
        <v>83</v>
      </c>
      <c r="D4328" s="385" t="s">
        <v>16862</v>
      </c>
    </row>
    <row r="4329" spans="1:4" x14ac:dyDescent="0.25">
      <c r="A4329" s="384" t="s">
        <v>16863</v>
      </c>
      <c r="B4329" s="384" t="s">
        <v>16864</v>
      </c>
      <c r="C4329" s="384" t="s">
        <v>83</v>
      </c>
      <c r="D4329" s="385" t="s">
        <v>16865</v>
      </c>
    </row>
    <row r="4330" spans="1:4" x14ac:dyDescent="0.25">
      <c r="A4330" s="384" t="s">
        <v>16866</v>
      </c>
      <c r="B4330" s="384" t="s">
        <v>16867</v>
      </c>
      <c r="C4330" s="384" t="s">
        <v>83</v>
      </c>
      <c r="D4330" s="385" t="s">
        <v>16868</v>
      </c>
    </row>
    <row r="4331" spans="1:4" x14ac:dyDescent="0.25">
      <c r="A4331" s="384" t="s">
        <v>16869</v>
      </c>
      <c r="B4331" s="384" t="s">
        <v>16870</v>
      </c>
      <c r="C4331" s="384" t="s">
        <v>83</v>
      </c>
      <c r="D4331" s="385" t="s">
        <v>16871</v>
      </c>
    </row>
    <row r="4332" spans="1:4" x14ac:dyDescent="0.25">
      <c r="A4332" s="384" t="s">
        <v>16872</v>
      </c>
      <c r="B4332" s="384" t="s">
        <v>16873</v>
      </c>
      <c r="C4332" s="384" t="s">
        <v>83</v>
      </c>
      <c r="D4332" s="385" t="s">
        <v>16874</v>
      </c>
    </row>
    <row r="4333" spans="1:4" x14ac:dyDescent="0.25">
      <c r="A4333" s="384" t="s">
        <v>16875</v>
      </c>
      <c r="B4333" s="384" t="s">
        <v>16876</v>
      </c>
      <c r="C4333" s="384" t="s">
        <v>83</v>
      </c>
      <c r="D4333" s="385" t="s">
        <v>16877</v>
      </c>
    </row>
    <row r="4334" spans="1:4" x14ac:dyDescent="0.25">
      <c r="A4334" s="384" t="s">
        <v>16878</v>
      </c>
      <c r="B4334" s="384" t="s">
        <v>16879</v>
      </c>
      <c r="C4334" s="384" t="s">
        <v>83</v>
      </c>
      <c r="D4334" s="385" t="s">
        <v>16880</v>
      </c>
    </row>
    <row r="4335" spans="1:4" x14ac:dyDescent="0.25">
      <c r="A4335" s="384" t="s">
        <v>16881</v>
      </c>
      <c r="B4335" s="384" t="s">
        <v>16882</v>
      </c>
      <c r="C4335" s="384" t="s">
        <v>83</v>
      </c>
      <c r="D4335" s="385" t="s">
        <v>16883</v>
      </c>
    </row>
    <row r="4336" spans="1:4" x14ac:dyDescent="0.25">
      <c r="A4336" s="384" t="s">
        <v>16884</v>
      </c>
      <c r="B4336" s="384" t="s">
        <v>16885</v>
      </c>
      <c r="C4336" s="384" t="s">
        <v>83</v>
      </c>
      <c r="D4336" s="385" t="s">
        <v>12226</v>
      </c>
    </row>
    <row r="4337" spans="1:4" x14ac:dyDescent="0.25">
      <c r="A4337" s="384" t="s">
        <v>16886</v>
      </c>
      <c r="B4337" s="384" t="s">
        <v>16887</v>
      </c>
      <c r="C4337" s="384" t="s">
        <v>83</v>
      </c>
      <c r="D4337" s="385" t="s">
        <v>16888</v>
      </c>
    </row>
    <row r="4338" spans="1:4" x14ac:dyDescent="0.25">
      <c r="A4338" s="384" t="s">
        <v>16889</v>
      </c>
      <c r="B4338" s="384" t="s">
        <v>16890</v>
      </c>
      <c r="C4338" s="384" t="s">
        <v>83</v>
      </c>
      <c r="D4338" s="385" t="s">
        <v>16891</v>
      </c>
    </row>
    <row r="4339" spans="1:4" x14ac:dyDescent="0.25">
      <c r="A4339" s="384" t="s">
        <v>16892</v>
      </c>
      <c r="B4339" s="384" t="s">
        <v>16893</v>
      </c>
      <c r="C4339" s="384" t="s">
        <v>83</v>
      </c>
      <c r="D4339" s="385" t="s">
        <v>5686</v>
      </c>
    </row>
    <row r="4340" spans="1:4" x14ac:dyDescent="0.25">
      <c r="A4340" s="384" t="s">
        <v>16894</v>
      </c>
      <c r="B4340" s="384" t="s">
        <v>16895</v>
      </c>
      <c r="C4340" s="384" t="s">
        <v>83</v>
      </c>
      <c r="D4340" s="385" t="s">
        <v>16896</v>
      </c>
    </row>
    <row r="4341" spans="1:4" x14ac:dyDescent="0.25">
      <c r="A4341" s="384" t="s">
        <v>16897</v>
      </c>
      <c r="B4341" s="384" t="s">
        <v>16898</v>
      </c>
      <c r="C4341" s="384" t="s">
        <v>83</v>
      </c>
      <c r="D4341" s="385" t="s">
        <v>7537</v>
      </c>
    </row>
    <row r="4342" spans="1:4" x14ac:dyDescent="0.25">
      <c r="A4342" s="384" t="s">
        <v>16899</v>
      </c>
      <c r="B4342" s="384" t="s">
        <v>16900</v>
      </c>
      <c r="C4342" s="384" t="s">
        <v>83</v>
      </c>
      <c r="D4342" s="385" t="s">
        <v>15365</v>
      </c>
    </row>
    <row r="4343" spans="1:4" x14ac:dyDescent="0.25">
      <c r="A4343" s="384" t="s">
        <v>16901</v>
      </c>
      <c r="B4343" s="384" t="s">
        <v>16902</v>
      </c>
      <c r="C4343" s="384" t="s">
        <v>83</v>
      </c>
      <c r="D4343" s="385" t="s">
        <v>10816</v>
      </c>
    </row>
    <row r="4344" spans="1:4" x14ac:dyDescent="0.25">
      <c r="A4344" s="384" t="s">
        <v>16903</v>
      </c>
      <c r="B4344" s="384" t="s">
        <v>16904</v>
      </c>
      <c r="C4344" s="384" t="s">
        <v>83</v>
      </c>
      <c r="D4344" s="385" t="s">
        <v>16905</v>
      </c>
    </row>
    <row r="4345" spans="1:4" x14ac:dyDescent="0.25">
      <c r="A4345" s="384" t="s">
        <v>16906</v>
      </c>
      <c r="B4345" s="384" t="s">
        <v>16907</v>
      </c>
      <c r="C4345" s="384" t="s">
        <v>83</v>
      </c>
      <c r="D4345" s="385" t="s">
        <v>16908</v>
      </c>
    </row>
    <row r="4346" spans="1:4" x14ac:dyDescent="0.25">
      <c r="A4346" s="384" t="s">
        <v>16909</v>
      </c>
      <c r="B4346" s="384" t="s">
        <v>16910</v>
      </c>
      <c r="C4346" s="384" t="s">
        <v>83</v>
      </c>
      <c r="D4346" s="385" t="s">
        <v>16911</v>
      </c>
    </row>
    <row r="4347" spans="1:4" x14ac:dyDescent="0.25">
      <c r="A4347" s="384" t="s">
        <v>16912</v>
      </c>
      <c r="B4347" s="384" t="s">
        <v>16913</v>
      </c>
      <c r="C4347" s="384" t="s">
        <v>83</v>
      </c>
      <c r="D4347" s="385" t="s">
        <v>16914</v>
      </c>
    </row>
    <row r="4348" spans="1:4" x14ac:dyDescent="0.25">
      <c r="A4348" s="384" t="s">
        <v>16915</v>
      </c>
      <c r="B4348" s="384" t="s">
        <v>16916</v>
      </c>
      <c r="C4348" s="384" t="s">
        <v>83</v>
      </c>
      <c r="D4348" s="385" t="s">
        <v>16917</v>
      </c>
    </row>
    <row r="4349" spans="1:4" x14ac:dyDescent="0.25">
      <c r="A4349" s="384" t="s">
        <v>16918</v>
      </c>
      <c r="B4349" s="384" t="s">
        <v>16919</v>
      </c>
      <c r="C4349" s="384" t="s">
        <v>83</v>
      </c>
      <c r="D4349" s="385" t="s">
        <v>16920</v>
      </c>
    </row>
    <row r="4350" spans="1:4" x14ac:dyDescent="0.25">
      <c r="A4350" s="384" t="s">
        <v>16921</v>
      </c>
      <c r="B4350" s="384" t="s">
        <v>16922</v>
      </c>
      <c r="C4350" s="384" t="s">
        <v>83</v>
      </c>
      <c r="D4350" s="385" t="s">
        <v>16923</v>
      </c>
    </row>
    <row r="4351" spans="1:4" x14ac:dyDescent="0.25">
      <c r="A4351" s="384" t="s">
        <v>16924</v>
      </c>
      <c r="B4351" s="384" t="s">
        <v>16925</v>
      </c>
      <c r="C4351" s="384" t="s">
        <v>83</v>
      </c>
      <c r="D4351" s="385" t="s">
        <v>16926</v>
      </c>
    </row>
    <row r="4352" spans="1:4" x14ac:dyDescent="0.25">
      <c r="A4352" s="384" t="s">
        <v>16927</v>
      </c>
      <c r="B4352" s="384" t="s">
        <v>16928</v>
      </c>
      <c r="C4352" s="384" t="s">
        <v>83</v>
      </c>
      <c r="D4352" s="385" t="s">
        <v>6502</v>
      </c>
    </row>
    <row r="4353" spans="1:4" x14ac:dyDescent="0.25">
      <c r="A4353" s="384" t="s">
        <v>16929</v>
      </c>
      <c r="B4353" s="384" t="s">
        <v>16930</v>
      </c>
      <c r="C4353" s="384" t="s">
        <v>83</v>
      </c>
      <c r="D4353" s="385" t="s">
        <v>8701</v>
      </c>
    </row>
    <row r="4354" spans="1:4" x14ac:dyDescent="0.25">
      <c r="A4354" s="384" t="s">
        <v>16931</v>
      </c>
      <c r="B4354" s="384" t="s">
        <v>16932</v>
      </c>
      <c r="C4354" s="384" t="s">
        <v>83</v>
      </c>
      <c r="D4354" s="385" t="s">
        <v>16933</v>
      </c>
    </row>
    <row r="4355" spans="1:4" x14ac:dyDescent="0.25">
      <c r="A4355" s="384" t="s">
        <v>16934</v>
      </c>
      <c r="B4355" s="384" t="s">
        <v>16935</v>
      </c>
      <c r="C4355" s="384" t="s">
        <v>83</v>
      </c>
      <c r="D4355" s="385" t="s">
        <v>16936</v>
      </c>
    </row>
    <row r="4356" spans="1:4" x14ac:dyDescent="0.25">
      <c r="A4356" s="384" t="s">
        <v>16937</v>
      </c>
      <c r="B4356" s="384" t="s">
        <v>16938</v>
      </c>
      <c r="C4356" s="384" t="s">
        <v>83</v>
      </c>
      <c r="D4356" s="385" t="s">
        <v>16939</v>
      </c>
    </row>
    <row r="4357" spans="1:4" x14ac:dyDescent="0.25">
      <c r="A4357" s="384" t="s">
        <v>16940</v>
      </c>
      <c r="B4357" s="384" t="s">
        <v>16941</v>
      </c>
      <c r="C4357" s="384" t="s">
        <v>83</v>
      </c>
      <c r="D4357" s="385" t="s">
        <v>16942</v>
      </c>
    </row>
    <row r="4358" spans="1:4" x14ac:dyDescent="0.25">
      <c r="A4358" s="384" t="s">
        <v>16943</v>
      </c>
      <c r="B4358" s="384" t="s">
        <v>16944</v>
      </c>
      <c r="C4358" s="384" t="s">
        <v>83</v>
      </c>
      <c r="D4358" s="385" t="s">
        <v>16945</v>
      </c>
    </row>
    <row r="4359" spans="1:4" x14ac:dyDescent="0.25">
      <c r="A4359" s="384" t="s">
        <v>16946</v>
      </c>
      <c r="B4359" s="384" t="s">
        <v>16947</v>
      </c>
      <c r="C4359" s="384" t="s">
        <v>83</v>
      </c>
      <c r="D4359" s="385" t="s">
        <v>16948</v>
      </c>
    </row>
    <row r="4360" spans="1:4" x14ac:dyDescent="0.25">
      <c r="A4360" s="384" t="s">
        <v>16949</v>
      </c>
      <c r="B4360" s="384" t="s">
        <v>16950</v>
      </c>
      <c r="C4360" s="384" t="s">
        <v>83</v>
      </c>
      <c r="D4360" s="385" t="s">
        <v>16951</v>
      </c>
    </row>
    <row r="4361" spans="1:4" x14ac:dyDescent="0.25">
      <c r="A4361" s="384" t="s">
        <v>16952</v>
      </c>
      <c r="B4361" s="384" t="s">
        <v>16953</v>
      </c>
      <c r="C4361" s="384" t="s">
        <v>83</v>
      </c>
      <c r="D4361" s="385" t="s">
        <v>16954</v>
      </c>
    </row>
    <row r="4362" spans="1:4" x14ac:dyDescent="0.25">
      <c r="A4362" s="384" t="s">
        <v>16955</v>
      </c>
      <c r="B4362" s="384" t="s">
        <v>16956</v>
      </c>
      <c r="C4362" s="384" t="s">
        <v>83</v>
      </c>
      <c r="D4362" s="385" t="s">
        <v>16957</v>
      </c>
    </row>
    <row r="4363" spans="1:4" x14ac:dyDescent="0.25">
      <c r="A4363" s="384" t="s">
        <v>16958</v>
      </c>
      <c r="B4363" s="384" t="s">
        <v>16959</v>
      </c>
      <c r="C4363" s="384" t="s">
        <v>83</v>
      </c>
      <c r="D4363" s="385" t="s">
        <v>16960</v>
      </c>
    </row>
    <row r="4364" spans="1:4" x14ac:dyDescent="0.25">
      <c r="A4364" s="384" t="s">
        <v>16961</v>
      </c>
      <c r="B4364" s="384" t="s">
        <v>16962</v>
      </c>
      <c r="C4364" s="384" t="s">
        <v>83</v>
      </c>
      <c r="D4364" s="385" t="s">
        <v>16963</v>
      </c>
    </row>
    <row r="4365" spans="1:4" x14ac:dyDescent="0.25">
      <c r="A4365" s="384" t="s">
        <v>16964</v>
      </c>
      <c r="B4365" s="384" t="s">
        <v>16965</v>
      </c>
      <c r="C4365" s="384" t="s">
        <v>83</v>
      </c>
      <c r="D4365" s="385" t="s">
        <v>16966</v>
      </c>
    </row>
    <row r="4366" spans="1:4" x14ac:dyDescent="0.25">
      <c r="A4366" s="384" t="s">
        <v>16967</v>
      </c>
      <c r="B4366" s="384" t="s">
        <v>16968</v>
      </c>
      <c r="C4366" s="384" t="s">
        <v>83</v>
      </c>
      <c r="D4366" s="385" t="s">
        <v>16969</v>
      </c>
    </row>
    <row r="4367" spans="1:4" x14ac:dyDescent="0.25">
      <c r="A4367" s="384" t="s">
        <v>16970</v>
      </c>
      <c r="B4367" s="384" t="s">
        <v>16971</v>
      </c>
      <c r="C4367" s="384" t="s">
        <v>83</v>
      </c>
      <c r="D4367" s="385" t="s">
        <v>16972</v>
      </c>
    </row>
    <row r="4368" spans="1:4" x14ac:dyDescent="0.25">
      <c r="A4368" s="384" t="s">
        <v>16973</v>
      </c>
      <c r="B4368" s="384" t="s">
        <v>16974</v>
      </c>
      <c r="C4368" s="384" t="s">
        <v>83</v>
      </c>
      <c r="D4368" s="385" t="s">
        <v>16975</v>
      </c>
    </row>
    <row r="4369" spans="1:4" x14ac:dyDescent="0.25">
      <c r="A4369" s="384" t="s">
        <v>16976</v>
      </c>
      <c r="B4369" s="384" t="s">
        <v>16977</v>
      </c>
      <c r="C4369" s="384" t="s">
        <v>83</v>
      </c>
      <c r="D4369" s="385" t="s">
        <v>16978</v>
      </c>
    </row>
    <row r="4370" spans="1:4" x14ac:dyDescent="0.25">
      <c r="A4370" s="384" t="s">
        <v>16979</v>
      </c>
      <c r="B4370" s="384" t="s">
        <v>16980</v>
      </c>
      <c r="C4370" s="384" t="s">
        <v>83</v>
      </c>
      <c r="D4370" s="385" t="s">
        <v>12940</v>
      </c>
    </row>
    <row r="4371" spans="1:4" x14ac:dyDescent="0.25">
      <c r="A4371" s="384" t="s">
        <v>16981</v>
      </c>
      <c r="B4371" s="384" t="s">
        <v>16982</v>
      </c>
      <c r="C4371" s="384" t="s">
        <v>83</v>
      </c>
      <c r="D4371" s="385" t="s">
        <v>16983</v>
      </c>
    </row>
    <row r="4372" spans="1:4" x14ac:dyDescent="0.25">
      <c r="A4372" s="384" t="s">
        <v>16984</v>
      </c>
      <c r="B4372" s="384" t="s">
        <v>16985</v>
      </c>
      <c r="C4372" s="384" t="s">
        <v>83</v>
      </c>
      <c r="D4372" s="385" t="s">
        <v>14678</v>
      </c>
    </row>
    <row r="4373" spans="1:4" x14ac:dyDescent="0.25">
      <c r="A4373" s="384" t="s">
        <v>16986</v>
      </c>
      <c r="B4373" s="384" t="s">
        <v>16987</v>
      </c>
      <c r="C4373" s="384" t="s">
        <v>83</v>
      </c>
      <c r="D4373" s="385" t="s">
        <v>6759</v>
      </c>
    </row>
    <row r="4374" spans="1:4" x14ac:dyDescent="0.25">
      <c r="A4374" s="384" t="s">
        <v>16988</v>
      </c>
      <c r="B4374" s="384" t="s">
        <v>16989</v>
      </c>
      <c r="C4374" s="384" t="s">
        <v>83</v>
      </c>
      <c r="D4374" s="385" t="s">
        <v>16990</v>
      </c>
    </row>
    <row r="4375" spans="1:4" x14ac:dyDescent="0.25">
      <c r="A4375" s="384" t="s">
        <v>16991</v>
      </c>
      <c r="B4375" s="384" t="s">
        <v>16992</v>
      </c>
      <c r="C4375" s="384" t="s">
        <v>83</v>
      </c>
      <c r="D4375" s="385" t="s">
        <v>16993</v>
      </c>
    </row>
    <row r="4376" spans="1:4" x14ac:dyDescent="0.25">
      <c r="A4376" s="384" t="s">
        <v>16994</v>
      </c>
      <c r="B4376" s="384" t="s">
        <v>16995</v>
      </c>
      <c r="C4376" s="384" t="s">
        <v>83</v>
      </c>
      <c r="D4376" s="385" t="s">
        <v>16996</v>
      </c>
    </row>
    <row r="4377" spans="1:4" x14ac:dyDescent="0.25">
      <c r="A4377" s="384" t="s">
        <v>16997</v>
      </c>
      <c r="B4377" s="384" t="s">
        <v>16998</v>
      </c>
      <c r="C4377" s="384" t="s">
        <v>83</v>
      </c>
      <c r="D4377" s="385" t="s">
        <v>16999</v>
      </c>
    </row>
    <row r="4378" spans="1:4" x14ac:dyDescent="0.25">
      <c r="A4378" s="384" t="s">
        <v>17000</v>
      </c>
      <c r="B4378" s="384" t="s">
        <v>17001</v>
      </c>
      <c r="C4378" s="384" t="s">
        <v>83</v>
      </c>
      <c r="D4378" s="385" t="s">
        <v>17002</v>
      </c>
    </row>
    <row r="4379" spans="1:4" x14ac:dyDescent="0.25">
      <c r="A4379" s="384" t="s">
        <v>17003</v>
      </c>
      <c r="B4379" s="384" t="s">
        <v>17004</v>
      </c>
      <c r="C4379" s="384" t="s">
        <v>83</v>
      </c>
      <c r="D4379" s="385" t="s">
        <v>17005</v>
      </c>
    </row>
    <row r="4380" spans="1:4" x14ac:dyDescent="0.25">
      <c r="A4380" s="384" t="s">
        <v>17006</v>
      </c>
      <c r="B4380" s="384" t="s">
        <v>17007</v>
      </c>
      <c r="C4380" s="384" t="s">
        <v>83</v>
      </c>
      <c r="D4380" s="385" t="s">
        <v>7537</v>
      </c>
    </row>
    <row r="4381" spans="1:4" x14ac:dyDescent="0.25">
      <c r="A4381" s="384" t="s">
        <v>17008</v>
      </c>
      <c r="B4381" s="384" t="s">
        <v>17009</v>
      </c>
      <c r="C4381" s="384" t="s">
        <v>83</v>
      </c>
      <c r="D4381" s="385" t="s">
        <v>12115</v>
      </c>
    </row>
    <row r="4382" spans="1:4" x14ac:dyDescent="0.25">
      <c r="A4382" s="384" t="s">
        <v>17010</v>
      </c>
      <c r="B4382" s="384" t="s">
        <v>17011</v>
      </c>
      <c r="C4382" s="384" t="s">
        <v>83</v>
      </c>
      <c r="D4382" s="385" t="s">
        <v>17012</v>
      </c>
    </row>
    <row r="4383" spans="1:4" x14ac:dyDescent="0.25">
      <c r="A4383" s="384" t="s">
        <v>17013</v>
      </c>
      <c r="B4383" s="384" t="s">
        <v>17014</v>
      </c>
      <c r="C4383" s="384" t="s">
        <v>83</v>
      </c>
      <c r="D4383" s="385" t="s">
        <v>4454</v>
      </c>
    </row>
    <row r="4384" spans="1:4" x14ac:dyDescent="0.25">
      <c r="A4384" s="384" t="s">
        <v>17015</v>
      </c>
      <c r="B4384" s="384" t="s">
        <v>17016</v>
      </c>
      <c r="C4384" s="384" t="s">
        <v>83</v>
      </c>
      <c r="D4384" s="385" t="s">
        <v>17017</v>
      </c>
    </row>
    <row r="4385" spans="1:4" x14ac:dyDescent="0.25">
      <c r="A4385" s="384" t="s">
        <v>17018</v>
      </c>
      <c r="B4385" s="384" t="s">
        <v>17019</v>
      </c>
      <c r="C4385" s="384" t="s">
        <v>83</v>
      </c>
      <c r="D4385" s="385" t="s">
        <v>11382</v>
      </c>
    </row>
    <row r="4386" spans="1:4" x14ac:dyDescent="0.25">
      <c r="A4386" s="384" t="s">
        <v>17020</v>
      </c>
      <c r="B4386" s="384" t="s">
        <v>17021</v>
      </c>
      <c r="C4386" s="384" t="s">
        <v>83</v>
      </c>
      <c r="D4386" s="385" t="s">
        <v>17022</v>
      </c>
    </row>
    <row r="4387" spans="1:4" x14ac:dyDescent="0.25">
      <c r="A4387" s="384" t="s">
        <v>17023</v>
      </c>
      <c r="B4387" s="384" t="s">
        <v>17024</v>
      </c>
      <c r="C4387" s="384" t="s">
        <v>83</v>
      </c>
      <c r="D4387" s="385" t="s">
        <v>17025</v>
      </c>
    </row>
    <row r="4388" spans="1:4" x14ac:dyDescent="0.25">
      <c r="A4388" s="384" t="s">
        <v>17026</v>
      </c>
      <c r="B4388" s="384" t="s">
        <v>17027</v>
      </c>
      <c r="C4388" s="384" t="s">
        <v>83</v>
      </c>
      <c r="D4388" s="385" t="s">
        <v>12205</v>
      </c>
    </row>
    <row r="4389" spans="1:4" x14ac:dyDescent="0.25">
      <c r="A4389" s="384" t="s">
        <v>17028</v>
      </c>
      <c r="B4389" s="384" t="s">
        <v>17029</v>
      </c>
      <c r="C4389" s="384" t="s">
        <v>83</v>
      </c>
      <c r="D4389" s="385" t="s">
        <v>17030</v>
      </c>
    </row>
    <row r="4390" spans="1:4" x14ac:dyDescent="0.25">
      <c r="A4390" s="384" t="s">
        <v>17031</v>
      </c>
      <c r="B4390" s="384" t="s">
        <v>17032</v>
      </c>
      <c r="C4390" s="384" t="s">
        <v>83</v>
      </c>
      <c r="D4390" s="385" t="s">
        <v>17033</v>
      </c>
    </row>
    <row r="4391" spans="1:4" x14ac:dyDescent="0.25">
      <c r="A4391" s="384" t="s">
        <v>17034</v>
      </c>
      <c r="B4391" s="384" t="s">
        <v>17035</v>
      </c>
      <c r="C4391" s="384" t="s">
        <v>83</v>
      </c>
      <c r="D4391" s="385" t="s">
        <v>17036</v>
      </c>
    </row>
    <row r="4392" spans="1:4" x14ac:dyDescent="0.25">
      <c r="A4392" s="384" t="s">
        <v>17037</v>
      </c>
      <c r="B4392" s="384" t="s">
        <v>17038</v>
      </c>
      <c r="C4392" s="384" t="s">
        <v>83</v>
      </c>
      <c r="D4392" s="385" t="s">
        <v>17039</v>
      </c>
    </row>
    <row r="4393" spans="1:4" x14ac:dyDescent="0.25">
      <c r="A4393" s="384" t="s">
        <v>17040</v>
      </c>
      <c r="B4393" s="384" t="s">
        <v>17041</v>
      </c>
      <c r="C4393" s="384" t="s">
        <v>83</v>
      </c>
      <c r="D4393" s="385" t="s">
        <v>17042</v>
      </c>
    </row>
    <row r="4394" spans="1:4" x14ac:dyDescent="0.25">
      <c r="A4394" s="384" t="s">
        <v>17043</v>
      </c>
      <c r="B4394" s="384" t="s">
        <v>17044</v>
      </c>
      <c r="C4394" s="384" t="s">
        <v>83</v>
      </c>
      <c r="D4394" s="385" t="s">
        <v>17045</v>
      </c>
    </row>
    <row r="4395" spans="1:4" x14ac:dyDescent="0.25">
      <c r="A4395" s="384" t="s">
        <v>17046</v>
      </c>
      <c r="B4395" s="384" t="s">
        <v>17047</v>
      </c>
      <c r="C4395" s="384" t="s">
        <v>83</v>
      </c>
      <c r="D4395" s="385" t="s">
        <v>17048</v>
      </c>
    </row>
    <row r="4396" spans="1:4" x14ac:dyDescent="0.25">
      <c r="A4396" s="384" t="s">
        <v>17049</v>
      </c>
      <c r="B4396" s="384" t="s">
        <v>17050</v>
      </c>
      <c r="C4396" s="384" t="s">
        <v>83</v>
      </c>
      <c r="D4396" s="385" t="s">
        <v>15816</v>
      </c>
    </row>
    <row r="4397" spans="1:4" x14ac:dyDescent="0.25">
      <c r="A4397" s="384" t="s">
        <v>17051</v>
      </c>
      <c r="B4397" s="384" t="s">
        <v>17052</v>
      </c>
      <c r="C4397" s="384" t="s">
        <v>83</v>
      </c>
      <c r="D4397" s="385" t="s">
        <v>17053</v>
      </c>
    </row>
    <row r="4398" spans="1:4" x14ac:dyDescent="0.25">
      <c r="A4398" s="384" t="s">
        <v>17054</v>
      </c>
      <c r="B4398" s="384" t="s">
        <v>17055</v>
      </c>
      <c r="C4398" s="384" t="s">
        <v>83</v>
      </c>
      <c r="D4398" s="385" t="s">
        <v>17056</v>
      </c>
    </row>
    <row r="4399" spans="1:4" x14ac:dyDescent="0.25">
      <c r="A4399" s="384" t="s">
        <v>17057</v>
      </c>
      <c r="B4399" s="384" t="s">
        <v>17058</v>
      </c>
      <c r="C4399" s="384" t="s">
        <v>83</v>
      </c>
      <c r="D4399" s="385" t="s">
        <v>17059</v>
      </c>
    </row>
    <row r="4400" spans="1:4" x14ac:dyDescent="0.25">
      <c r="A4400" s="384" t="s">
        <v>17060</v>
      </c>
      <c r="B4400" s="384" t="s">
        <v>17061</v>
      </c>
      <c r="C4400" s="384" t="s">
        <v>83</v>
      </c>
      <c r="D4400" s="385" t="s">
        <v>17062</v>
      </c>
    </row>
    <row r="4401" spans="1:4" x14ac:dyDescent="0.25">
      <c r="A4401" s="384" t="s">
        <v>17063</v>
      </c>
      <c r="B4401" s="384" t="s">
        <v>17064</v>
      </c>
      <c r="C4401" s="384" t="s">
        <v>83</v>
      </c>
      <c r="D4401" s="385" t="s">
        <v>4967</v>
      </c>
    </row>
    <row r="4402" spans="1:4" x14ac:dyDescent="0.25">
      <c r="A4402" s="384" t="s">
        <v>17065</v>
      </c>
      <c r="B4402" s="384" t="s">
        <v>17066</v>
      </c>
      <c r="C4402" s="384" t="s">
        <v>83</v>
      </c>
      <c r="D4402" s="385" t="s">
        <v>17067</v>
      </c>
    </row>
    <row r="4403" spans="1:4" x14ac:dyDescent="0.25">
      <c r="A4403" s="384" t="s">
        <v>17068</v>
      </c>
      <c r="B4403" s="384" t="s">
        <v>17069</v>
      </c>
      <c r="C4403" s="384" t="s">
        <v>83</v>
      </c>
      <c r="D4403" s="385" t="s">
        <v>17070</v>
      </c>
    </row>
    <row r="4404" spans="1:4" x14ac:dyDescent="0.25">
      <c r="A4404" s="384" t="s">
        <v>17071</v>
      </c>
      <c r="B4404" s="384" t="s">
        <v>17072</v>
      </c>
      <c r="C4404" s="384" t="s">
        <v>83</v>
      </c>
      <c r="D4404" s="385" t="s">
        <v>17073</v>
      </c>
    </row>
    <row r="4405" spans="1:4" x14ac:dyDescent="0.25">
      <c r="A4405" s="384" t="s">
        <v>17074</v>
      </c>
      <c r="B4405" s="384" t="s">
        <v>17075</v>
      </c>
      <c r="C4405" s="384" t="s">
        <v>83</v>
      </c>
      <c r="D4405" s="385" t="s">
        <v>17076</v>
      </c>
    </row>
    <row r="4406" spans="1:4" x14ac:dyDescent="0.25">
      <c r="A4406" s="384" t="s">
        <v>17077</v>
      </c>
      <c r="B4406" s="384" t="s">
        <v>17078</v>
      </c>
      <c r="C4406" s="384" t="s">
        <v>83</v>
      </c>
      <c r="D4406" s="385" t="s">
        <v>17079</v>
      </c>
    </row>
    <row r="4407" spans="1:4" x14ac:dyDescent="0.25">
      <c r="A4407" s="384" t="s">
        <v>17080</v>
      </c>
      <c r="B4407" s="384" t="s">
        <v>17081</v>
      </c>
      <c r="C4407" s="384" t="s">
        <v>83</v>
      </c>
      <c r="D4407" s="385" t="s">
        <v>17082</v>
      </c>
    </row>
    <row r="4408" spans="1:4" x14ac:dyDescent="0.25">
      <c r="A4408" s="384" t="s">
        <v>17083</v>
      </c>
      <c r="B4408" s="384" t="s">
        <v>17084</v>
      </c>
      <c r="C4408" s="384" t="s">
        <v>83</v>
      </c>
      <c r="D4408" s="385" t="s">
        <v>17085</v>
      </c>
    </row>
    <row r="4409" spans="1:4" x14ac:dyDescent="0.25">
      <c r="A4409" s="384" t="s">
        <v>17086</v>
      </c>
      <c r="B4409" s="384" t="s">
        <v>17087</v>
      </c>
      <c r="C4409" s="384" t="s">
        <v>83</v>
      </c>
      <c r="D4409" s="385" t="s">
        <v>6054</v>
      </c>
    </row>
    <row r="4410" spans="1:4" x14ac:dyDescent="0.25">
      <c r="A4410" s="384" t="s">
        <v>17088</v>
      </c>
      <c r="B4410" s="384" t="s">
        <v>17089</v>
      </c>
      <c r="C4410" s="384" t="s">
        <v>83</v>
      </c>
      <c r="D4410" s="385" t="s">
        <v>17090</v>
      </c>
    </row>
    <row r="4411" spans="1:4" x14ac:dyDescent="0.25">
      <c r="A4411" s="384" t="s">
        <v>17091</v>
      </c>
      <c r="B4411" s="384" t="s">
        <v>17092</v>
      </c>
      <c r="C4411" s="384" t="s">
        <v>83</v>
      </c>
      <c r="D4411" s="385" t="s">
        <v>17093</v>
      </c>
    </row>
    <row r="4412" spans="1:4" x14ac:dyDescent="0.25">
      <c r="A4412" s="384" t="s">
        <v>17094</v>
      </c>
      <c r="B4412" s="384" t="s">
        <v>17095</v>
      </c>
      <c r="C4412" s="384" t="s">
        <v>83</v>
      </c>
      <c r="D4412" s="385" t="s">
        <v>17096</v>
      </c>
    </row>
    <row r="4413" spans="1:4" x14ac:dyDescent="0.25">
      <c r="A4413" s="384" t="s">
        <v>17097</v>
      </c>
      <c r="B4413" s="384" t="s">
        <v>17098</v>
      </c>
      <c r="C4413" s="384" t="s">
        <v>83</v>
      </c>
      <c r="D4413" s="385" t="s">
        <v>17099</v>
      </c>
    </row>
    <row r="4414" spans="1:4" x14ac:dyDescent="0.25">
      <c r="A4414" s="384" t="s">
        <v>17100</v>
      </c>
      <c r="B4414" s="384" t="s">
        <v>17101</v>
      </c>
      <c r="C4414" s="384" t="s">
        <v>83</v>
      </c>
      <c r="D4414" s="385" t="s">
        <v>17102</v>
      </c>
    </row>
    <row r="4415" spans="1:4" x14ac:dyDescent="0.25">
      <c r="A4415" s="384" t="s">
        <v>17103</v>
      </c>
      <c r="B4415" s="384" t="s">
        <v>17104</v>
      </c>
      <c r="C4415" s="384" t="s">
        <v>83</v>
      </c>
      <c r="D4415" s="385" t="s">
        <v>17105</v>
      </c>
    </row>
    <row r="4416" spans="1:4" x14ac:dyDescent="0.25">
      <c r="A4416" s="384" t="s">
        <v>17106</v>
      </c>
      <c r="B4416" s="384" t="s">
        <v>17107</v>
      </c>
      <c r="C4416" s="384" t="s">
        <v>83</v>
      </c>
      <c r="D4416" s="385" t="s">
        <v>17108</v>
      </c>
    </row>
    <row r="4417" spans="1:4" x14ac:dyDescent="0.25">
      <c r="A4417" s="384" t="s">
        <v>17109</v>
      </c>
      <c r="B4417" s="384" t="s">
        <v>17110</v>
      </c>
      <c r="C4417" s="384" t="s">
        <v>83</v>
      </c>
      <c r="D4417" s="385" t="s">
        <v>17111</v>
      </c>
    </row>
    <row r="4418" spans="1:4" x14ac:dyDescent="0.25">
      <c r="A4418" s="384" t="s">
        <v>17112</v>
      </c>
      <c r="B4418" s="384" t="s">
        <v>17113</v>
      </c>
      <c r="C4418" s="384" t="s">
        <v>83</v>
      </c>
      <c r="D4418" s="385" t="s">
        <v>17114</v>
      </c>
    </row>
    <row r="4419" spans="1:4" x14ac:dyDescent="0.25">
      <c r="A4419" s="384" t="s">
        <v>17115</v>
      </c>
      <c r="B4419" s="384" t="s">
        <v>17116</v>
      </c>
      <c r="C4419" s="384" t="s">
        <v>83</v>
      </c>
      <c r="D4419" s="385" t="s">
        <v>17117</v>
      </c>
    </row>
    <row r="4420" spans="1:4" x14ac:dyDescent="0.25">
      <c r="A4420" s="384" t="s">
        <v>17118</v>
      </c>
      <c r="B4420" s="384" t="s">
        <v>17119</v>
      </c>
      <c r="C4420" s="384" t="s">
        <v>83</v>
      </c>
      <c r="D4420" s="385" t="s">
        <v>17120</v>
      </c>
    </row>
    <row r="4421" spans="1:4" x14ac:dyDescent="0.25">
      <c r="A4421" s="384" t="s">
        <v>17121</v>
      </c>
      <c r="B4421" s="384" t="s">
        <v>17122</v>
      </c>
      <c r="C4421" s="384" t="s">
        <v>83</v>
      </c>
      <c r="D4421" s="385" t="s">
        <v>17123</v>
      </c>
    </row>
    <row r="4422" spans="1:4" x14ac:dyDescent="0.25">
      <c r="A4422" s="384" t="s">
        <v>17124</v>
      </c>
      <c r="B4422" s="384" t="s">
        <v>17125</v>
      </c>
      <c r="C4422" s="384" t="s">
        <v>83</v>
      </c>
      <c r="D4422" s="385" t="s">
        <v>6826</v>
      </c>
    </row>
    <row r="4423" spans="1:4" x14ac:dyDescent="0.25">
      <c r="A4423" s="384" t="s">
        <v>17126</v>
      </c>
      <c r="B4423" s="384" t="s">
        <v>17127</v>
      </c>
      <c r="C4423" s="384" t="s">
        <v>83</v>
      </c>
      <c r="D4423" s="385" t="s">
        <v>14667</v>
      </c>
    </row>
    <row r="4424" spans="1:4" x14ac:dyDescent="0.25">
      <c r="A4424" s="384" t="s">
        <v>17128</v>
      </c>
      <c r="B4424" s="384" t="s">
        <v>17129</v>
      </c>
      <c r="C4424" s="384" t="s">
        <v>83</v>
      </c>
      <c r="D4424" s="385" t="s">
        <v>17130</v>
      </c>
    </row>
    <row r="4425" spans="1:4" x14ac:dyDescent="0.25">
      <c r="A4425" s="384" t="s">
        <v>17131</v>
      </c>
      <c r="B4425" s="384" t="s">
        <v>17132</v>
      </c>
      <c r="C4425" s="384" t="s">
        <v>83</v>
      </c>
      <c r="D4425" s="385" t="s">
        <v>17133</v>
      </c>
    </row>
    <row r="4426" spans="1:4" x14ac:dyDescent="0.25">
      <c r="A4426" s="384" t="s">
        <v>17134</v>
      </c>
      <c r="B4426" s="384" t="s">
        <v>17135</v>
      </c>
      <c r="C4426" s="384" t="s">
        <v>83</v>
      </c>
      <c r="D4426" s="385" t="s">
        <v>17136</v>
      </c>
    </row>
    <row r="4427" spans="1:4" x14ac:dyDescent="0.25">
      <c r="A4427" s="384" t="s">
        <v>17137</v>
      </c>
      <c r="B4427" s="384" t="s">
        <v>17138</v>
      </c>
      <c r="C4427" s="384" t="s">
        <v>83</v>
      </c>
      <c r="D4427" s="385" t="s">
        <v>17139</v>
      </c>
    </row>
    <row r="4428" spans="1:4" x14ac:dyDescent="0.25">
      <c r="A4428" s="384" t="s">
        <v>17140</v>
      </c>
      <c r="B4428" s="384" t="s">
        <v>17141</v>
      </c>
      <c r="C4428" s="384" t="s">
        <v>83</v>
      </c>
      <c r="D4428" s="385" t="s">
        <v>14608</v>
      </c>
    </row>
    <row r="4429" spans="1:4" x14ac:dyDescent="0.25">
      <c r="A4429" s="384" t="s">
        <v>17142</v>
      </c>
      <c r="B4429" s="384" t="s">
        <v>17143</v>
      </c>
      <c r="C4429" s="384" t="s">
        <v>83</v>
      </c>
      <c r="D4429" s="385" t="s">
        <v>17144</v>
      </c>
    </row>
    <row r="4430" spans="1:4" x14ac:dyDescent="0.25">
      <c r="A4430" s="384" t="s">
        <v>17145</v>
      </c>
      <c r="B4430" s="384" t="s">
        <v>17146</v>
      </c>
      <c r="C4430" s="384" t="s">
        <v>83</v>
      </c>
      <c r="D4430" s="385" t="s">
        <v>16364</v>
      </c>
    </row>
    <row r="4431" spans="1:4" x14ac:dyDescent="0.25">
      <c r="A4431" s="384" t="s">
        <v>17147</v>
      </c>
      <c r="B4431" s="384" t="s">
        <v>17148</v>
      </c>
      <c r="C4431" s="384" t="s">
        <v>83</v>
      </c>
      <c r="D4431" s="385" t="s">
        <v>17149</v>
      </c>
    </row>
    <row r="4432" spans="1:4" x14ac:dyDescent="0.25">
      <c r="A4432" s="384" t="s">
        <v>17150</v>
      </c>
      <c r="B4432" s="384" t="s">
        <v>17151</v>
      </c>
      <c r="C4432" s="384" t="s">
        <v>83</v>
      </c>
      <c r="D4432" s="385" t="s">
        <v>17152</v>
      </c>
    </row>
    <row r="4433" spans="1:4" x14ac:dyDescent="0.25">
      <c r="A4433" s="384" t="s">
        <v>17153</v>
      </c>
      <c r="B4433" s="384" t="s">
        <v>17154</v>
      </c>
      <c r="C4433" s="384" t="s">
        <v>83</v>
      </c>
      <c r="D4433" s="385" t="s">
        <v>17155</v>
      </c>
    </row>
    <row r="4434" spans="1:4" x14ac:dyDescent="0.25">
      <c r="A4434" s="384" t="s">
        <v>17156</v>
      </c>
      <c r="B4434" s="384" t="s">
        <v>17157</v>
      </c>
      <c r="C4434" s="384" t="s">
        <v>83</v>
      </c>
      <c r="D4434" s="385" t="s">
        <v>17158</v>
      </c>
    </row>
    <row r="4435" spans="1:4" x14ac:dyDescent="0.25">
      <c r="A4435" s="384" t="s">
        <v>17159</v>
      </c>
      <c r="B4435" s="384" t="s">
        <v>17160</v>
      </c>
      <c r="C4435" s="384" t="s">
        <v>83</v>
      </c>
      <c r="D4435" s="385" t="s">
        <v>8431</v>
      </c>
    </row>
    <row r="4436" spans="1:4" x14ac:dyDescent="0.25">
      <c r="A4436" s="384" t="s">
        <v>17161</v>
      </c>
      <c r="B4436" s="384" t="s">
        <v>17162</v>
      </c>
      <c r="C4436" s="384" t="s">
        <v>83</v>
      </c>
      <c r="D4436" s="385" t="s">
        <v>17163</v>
      </c>
    </row>
    <row r="4437" spans="1:4" x14ac:dyDescent="0.25">
      <c r="A4437" s="384" t="s">
        <v>17164</v>
      </c>
      <c r="B4437" s="384" t="s">
        <v>17165</v>
      </c>
      <c r="C4437" s="384" t="s">
        <v>83</v>
      </c>
      <c r="D4437" s="385" t="s">
        <v>8422</v>
      </c>
    </row>
    <row r="4438" spans="1:4" x14ac:dyDescent="0.25">
      <c r="A4438" s="384" t="s">
        <v>17166</v>
      </c>
      <c r="B4438" s="384" t="s">
        <v>17167</v>
      </c>
      <c r="C4438" s="384" t="s">
        <v>83</v>
      </c>
      <c r="D4438" s="385" t="s">
        <v>17168</v>
      </c>
    </row>
    <row r="4439" spans="1:4" x14ac:dyDescent="0.25">
      <c r="A4439" s="384" t="s">
        <v>17169</v>
      </c>
      <c r="B4439" s="384" t="s">
        <v>17170</v>
      </c>
      <c r="C4439" s="384" t="s">
        <v>83</v>
      </c>
      <c r="D4439" s="385" t="s">
        <v>17171</v>
      </c>
    </row>
    <row r="4440" spans="1:4" x14ac:dyDescent="0.25">
      <c r="A4440" s="384" t="s">
        <v>17172</v>
      </c>
      <c r="B4440" s="384" t="s">
        <v>17173</v>
      </c>
      <c r="C4440" s="384" t="s">
        <v>83</v>
      </c>
      <c r="D4440" s="385" t="s">
        <v>17174</v>
      </c>
    </row>
    <row r="4441" spans="1:4" x14ac:dyDescent="0.25">
      <c r="A4441" s="384" t="s">
        <v>17175</v>
      </c>
      <c r="B4441" s="384" t="s">
        <v>17176</v>
      </c>
      <c r="C4441" s="384" t="s">
        <v>83</v>
      </c>
      <c r="D4441" s="385" t="s">
        <v>17177</v>
      </c>
    </row>
    <row r="4442" spans="1:4" x14ac:dyDescent="0.25">
      <c r="A4442" s="384" t="s">
        <v>17178</v>
      </c>
      <c r="B4442" s="384" t="s">
        <v>17179</v>
      </c>
      <c r="C4442" s="384" t="s">
        <v>83</v>
      </c>
      <c r="D4442" s="385" t="s">
        <v>17180</v>
      </c>
    </row>
    <row r="4443" spans="1:4" x14ac:dyDescent="0.25">
      <c r="A4443" s="384" t="s">
        <v>17181</v>
      </c>
      <c r="B4443" s="384" t="s">
        <v>17182</v>
      </c>
      <c r="C4443" s="384" t="s">
        <v>83</v>
      </c>
      <c r="D4443" s="385" t="s">
        <v>17059</v>
      </c>
    </row>
    <row r="4444" spans="1:4" x14ac:dyDescent="0.25">
      <c r="A4444" s="384" t="s">
        <v>17183</v>
      </c>
      <c r="B4444" s="384" t="s">
        <v>17184</v>
      </c>
      <c r="C4444" s="384" t="s">
        <v>83</v>
      </c>
      <c r="D4444" s="385" t="s">
        <v>17185</v>
      </c>
    </row>
    <row r="4445" spans="1:4" x14ac:dyDescent="0.25">
      <c r="A4445" s="384" t="s">
        <v>17186</v>
      </c>
      <c r="B4445" s="384" t="s">
        <v>17187</v>
      </c>
      <c r="C4445" s="384" t="s">
        <v>83</v>
      </c>
      <c r="D4445" s="385" t="s">
        <v>17188</v>
      </c>
    </row>
    <row r="4446" spans="1:4" x14ac:dyDescent="0.25">
      <c r="A4446" s="384" t="s">
        <v>17189</v>
      </c>
      <c r="B4446" s="384" t="s">
        <v>17190</v>
      </c>
      <c r="C4446" s="384" t="s">
        <v>83</v>
      </c>
      <c r="D4446" s="385" t="s">
        <v>7540</v>
      </c>
    </row>
    <row r="4447" spans="1:4" x14ac:dyDescent="0.25">
      <c r="A4447" s="384" t="s">
        <v>17191</v>
      </c>
      <c r="B4447" s="384" t="s">
        <v>17192</v>
      </c>
      <c r="C4447" s="384" t="s">
        <v>83</v>
      </c>
      <c r="D4447" s="385" t="s">
        <v>4697</v>
      </c>
    </row>
    <row r="4448" spans="1:4" x14ac:dyDescent="0.25">
      <c r="A4448" s="384" t="s">
        <v>17193</v>
      </c>
      <c r="B4448" s="384" t="s">
        <v>17194</v>
      </c>
      <c r="C4448" s="384" t="s">
        <v>83</v>
      </c>
      <c r="D4448" s="385" t="s">
        <v>17195</v>
      </c>
    </row>
    <row r="4449" spans="1:4" x14ac:dyDescent="0.25">
      <c r="A4449" s="384" t="s">
        <v>17196</v>
      </c>
      <c r="B4449" s="384" t="s">
        <v>17197</v>
      </c>
      <c r="C4449" s="384" t="s">
        <v>83</v>
      </c>
      <c r="D4449" s="385" t="s">
        <v>9989</v>
      </c>
    </row>
    <row r="4450" spans="1:4" x14ac:dyDescent="0.25">
      <c r="A4450" s="384" t="s">
        <v>17198</v>
      </c>
      <c r="B4450" s="384" t="s">
        <v>17199</v>
      </c>
      <c r="C4450" s="384" t="s">
        <v>83</v>
      </c>
      <c r="D4450" s="385" t="s">
        <v>16119</v>
      </c>
    </row>
    <row r="4451" spans="1:4" x14ac:dyDescent="0.25">
      <c r="A4451" s="384" t="s">
        <v>17200</v>
      </c>
      <c r="B4451" s="384" t="s">
        <v>17201</v>
      </c>
      <c r="C4451" s="384" t="s">
        <v>83</v>
      </c>
      <c r="D4451" s="385" t="s">
        <v>17202</v>
      </c>
    </row>
    <row r="4452" spans="1:4" x14ac:dyDescent="0.25">
      <c r="A4452" s="384" t="s">
        <v>17203</v>
      </c>
      <c r="B4452" s="384" t="s">
        <v>17204</v>
      </c>
      <c r="C4452" s="384" t="s">
        <v>83</v>
      </c>
      <c r="D4452" s="385" t="s">
        <v>17205</v>
      </c>
    </row>
    <row r="4453" spans="1:4" x14ac:dyDescent="0.25">
      <c r="A4453" s="384" t="s">
        <v>17206</v>
      </c>
      <c r="B4453" s="384" t="s">
        <v>17207</v>
      </c>
      <c r="C4453" s="384" t="s">
        <v>83</v>
      </c>
      <c r="D4453" s="385" t="s">
        <v>17208</v>
      </c>
    </row>
    <row r="4454" spans="1:4" x14ac:dyDescent="0.25">
      <c r="A4454" s="384" t="s">
        <v>17209</v>
      </c>
      <c r="B4454" s="384" t="s">
        <v>17210</v>
      </c>
      <c r="C4454" s="384" t="s">
        <v>83</v>
      </c>
      <c r="D4454" s="385" t="s">
        <v>15797</v>
      </c>
    </row>
    <row r="4455" spans="1:4" x14ac:dyDescent="0.25">
      <c r="A4455" s="384" t="s">
        <v>17211</v>
      </c>
      <c r="B4455" s="384" t="s">
        <v>17212</v>
      </c>
      <c r="C4455" s="384" t="s">
        <v>83</v>
      </c>
      <c r="D4455" s="385" t="s">
        <v>17213</v>
      </c>
    </row>
    <row r="4456" spans="1:4" x14ac:dyDescent="0.25">
      <c r="A4456" s="384" t="s">
        <v>17214</v>
      </c>
      <c r="B4456" s="384" t="s">
        <v>17215</v>
      </c>
      <c r="C4456" s="384" t="s">
        <v>83</v>
      </c>
      <c r="D4456" s="385" t="s">
        <v>17216</v>
      </c>
    </row>
    <row r="4457" spans="1:4" x14ac:dyDescent="0.25">
      <c r="A4457" s="384" t="s">
        <v>17217</v>
      </c>
      <c r="B4457" s="384" t="s">
        <v>17218</v>
      </c>
      <c r="C4457" s="384" t="s">
        <v>83</v>
      </c>
      <c r="D4457" s="385" t="s">
        <v>17219</v>
      </c>
    </row>
    <row r="4458" spans="1:4" x14ac:dyDescent="0.25">
      <c r="A4458" s="384" t="s">
        <v>17220</v>
      </c>
      <c r="B4458" s="384" t="s">
        <v>17221</v>
      </c>
      <c r="C4458" s="384" t="s">
        <v>83</v>
      </c>
      <c r="D4458" s="385" t="s">
        <v>17222</v>
      </c>
    </row>
    <row r="4459" spans="1:4" x14ac:dyDescent="0.25">
      <c r="A4459" s="384" t="s">
        <v>17223</v>
      </c>
      <c r="B4459" s="384" t="s">
        <v>17224</v>
      </c>
      <c r="C4459" s="384" t="s">
        <v>83</v>
      </c>
      <c r="D4459" s="385" t="s">
        <v>17225</v>
      </c>
    </row>
    <row r="4460" spans="1:4" x14ac:dyDescent="0.25">
      <c r="A4460" s="384" t="s">
        <v>17226</v>
      </c>
      <c r="B4460" s="384" t="s">
        <v>17227</v>
      </c>
      <c r="C4460" s="384" t="s">
        <v>83</v>
      </c>
      <c r="D4460" s="385" t="s">
        <v>7188</v>
      </c>
    </row>
    <row r="4461" spans="1:4" x14ac:dyDescent="0.25">
      <c r="A4461" s="384" t="s">
        <v>17228</v>
      </c>
      <c r="B4461" s="384" t="s">
        <v>17229</v>
      </c>
      <c r="C4461" s="384" t="s">
        <v>83</v>
      </c>
      <c r="D4461" s="385" t="s">
        <v>17230</v>
      </c>
    </row>
    <row r="4462" spans="1:4" x14ac:dyDescent="0.25">
      <c r="A4462" s="384" t="s">
        <v>17231</v>
      </c>
      <c r="B4462" s="384" t="s">
        <v>17232</v>
      </c>
      <c r="C4462" s="384" t="s">
        <v>83</v>
      </c>
      <c r="D4462" s="385" t="s">
        <v>17233</v>
      </c>
    </row>
    <row r="4463" spans="1:4" x14ac:dyDescent="0.25">
      <c r="A4463" s="384" t="s">
        <v>17234</v>
      </c>
      <c r="B4463" s="384" t="s">
        <v>17235</v>
      </c>
      <c r="C4463" s="384" t="s">
        <v>83</v>
      </c>
      <c r="D4463" s="385" t="s">
        <v>17236</v>
      </c>
    </row>
    <row r="4464" spans="1:4" x14ac:dyDescent="0.25">
      <c r="A4464" s="384" t="s">
        <v>17237</v>
      </c>
      <c r="B4464" s="384" t="s">
        <v>17238</v>
      </c>
      <c r="C4464" s="384" t="s">
        <v>83</v>
      </c>
      <c r="D4464" s="385" t="s">
        <v>7049</v>
      </c>
    </row>
    <row r="4465" spans="1:4" x14ac:dyDescent="0.25">
      <c r="A4465" s="384" t="s">
        <v>17239</v>
      </c>
      <c r="B4465" s="384" t="s">
        <v>17240</v>
      </c>
      <c r="C4465" s="384" t="s">
        <v>83</v>
      </c>
      <c r="D4465" s="385" t="s">
        <v>17241</v>
      </c>
    </row>
    <row r="4466" spans="1:4" x14ac:dyDescent="0.25">
      <c r="A4466" s="384" t="s">
        <v>17242</v>
      </c>
      <c r="B4466" s="384" t="s">
        <v>17243</v>
      </c>
      <c r="C4466" s="384" t="s">
        <v>83</v>
      </c>
      <c r="D4466" s="385" t="s">
        <v>11316</v>
      </c>
    </row>
    <row r="4467" spans="1:4" x14ac:dyDescent="0.25">
      <c r="A4467" s="384" t="s">
        <v>17244</v>
      </c>
      <c r="B4467" s="384" t="s">
        <v>17245</v>
      </c>
      <c r="C4467" s="384" t="s">
        <v>83</v>
      </c>
      <c r="D4467" s="385" t="s">
        <v>17149</v>
      </c>
    </row>
    <row r="4468" spans="1:4" x14ac:dyDescent="0.25">
      <c r="A4468" s="384" t="s">
        <v>17246</v>
      </c>
      <c r="B4468" s="384" t="s">
        <v>17247</v>
      </c>
      <c r="C4468" s="384" t="s">
        <v>83</v>
      </c>
      <c r="D4468" s="385" t="s">
        <v>12652</v>
      </c>
    </row>
    <row r="4469" spans="1:4" x14ac:dyDescent="0.25">
      <c r="A4469" s="384" t="s">
        <v>17248</v>
      </c>
      <c r="B4469" s="384" t="s">
        <v>17249</v>
      </c>
      <c r="C4469" s="384" t="s">
        <v>83</v>
      </c>
      <c r="D4469" s="385" t="s">
        <v>17250</v>
      </c>
    </row>
    <row r="4470" spans="1:4" x14ac:dyDescent="0.25">
      <c r="A4470" s="384" t="s">
        <v>17251</v>
      </c>
      <c r="B4470" s="384" t="s">
        <v>17252</v>
      </c>
      <c r="C4470" s="384" t="s">
        <v>83</v>
      </c>
      <c r="D4470" s="385" t="s">
        <v>17253</v>
      </c>
    </row>
    <row r="4471" spans="1:4" x14ac:dyDescent="0.25">
      <c r="A4471" s="384" t="s">
        <v>17254</v>
      </c>
      <c r="B4471" s="384" t="s">
        <v>17255</v>
      </c>
      <c r="C4471" s="384" t="s">
        <v>83</v>
      </c>
      <c r="D4471" s="385" t="s">
        <v>17256</v>
      </c>
    </row>
    <row r="4472" spans="1:4" x14ac:dyDescent="0.25">
      <c r="A4472" s="384" t="s">
        <v>17257</v>
      </c>
      <c r="B4472" s="384" t="s">
        <v>17258</v>
      </c>
      <c r="C4472" s="384" t="s">
        <v>83</v>
      </c>
      <c r="D4472" s="385" t="s">
        <v>17259</v>
      </c>
    </row>
    <row r="4473" spans="1:4" x14ac:dyDescent="0.25">
      <c r="A4473" s="384" t="s">
        <v>17260</v>
      </c>
      <c r="B4473" s="384" t="s">
        <v>17261</v>
      </c>
      <c r="C4473" s="384" t="s">
        <v>83</v>
      </c>
      <c r="D4473" s="385" t="s">
        <v>17262</v>
      </c>
    </row>
    <row r="4474" spans="1:4" x14ac:dyDescent="0.25">
      <c r="A4474" s="384" t="s">
        <v>17263</v>
      </c>
      <c r="B4474" s="384" t="s">
        <v>17264</v>
      </c>
      <c r="C4474" s="384" t="s">
        <v>83</v>
      </c>
      <c r="D4474" s="385" t="s">
        <v>17265</v>
      </c>
    </row>
    <row r="4475" spans="1:4" x14ac:dyDescent="0.25">
      <c r="A4475" s="384" t="s">
        <v>17266</v>
      </c>
      <c r="B4475" s="384" t="s">
        <v>17267</v>
      </c>
      <c r="C4475" s="384" t="s">
        <v>83</v>
      </c>
      <c r="D4475" s="385" t="s">
        <v>17268</v>
      </c>
    </row>
    <row r="4476" spans="1:4" x14ac:dyDescent="0.25">
      <c r="A4476" s="384" t="s">
        <v>17269</v>
      </c>
      <c r="B4476" s="384" t="s">
        <v>17270</v>
      </c>
      <c r="C4476" s="384" t="s">
        <v>83</v>
      </c>
      <c r="D4476" s="385" t="s">
        <v>17271</v>
      </c>
    </row>
    <row r="4477" spans="1:4" x14ac:dyDescent="0.25">
      <c r="A4477" s="384" t="s">
        <v>17272</v>
      </c>
      <c r="B4477" s="384" t="s">
        <v>17273</v>
      </c>
      <c r="C4477" s="384" t="s">
        <v>83</v>
      </c>
      <c r="D4477" s="385" t="s">
        <v>17274</v>
      </c>
    </row>
    <row r="4478" spans="1:4" x14ac:dyDescent="0.25">
      <c r="A4478" s="384" t="s">
        <v>17275</v>
      </c>
      <c r="B4478" s="384" t="s">
        <v>17276</v>
      </c>
      <c r="C4478" s="384" t="s">
        <v>83</v>
      </c>
      <c r="D4478" s="385" t="s">
        <v>17277</v>
      </c>
    </row>
    <row r="4479" spans="1:4" x14ac:dyDescent="0.25">
      <c r="A4479" s="384" t="s">
        <v>17278</v>
      </c>
      <c r="B4479" s="384" t="s">
        <v>17279</v>
      </c>
      <c r="C4479" s="384" t="s">
        <v>83</v>
      </c>
      <c r="D4479" s="385" t="s">
        <v>17280</v>
      </c>
    </row>
    <row r="4480" spans="1:4" x14ac:dyDescent="0.25">
      <c r="A4480" s="384" t="s">
        <v>17281</v>
      </c>
      <c r="B4480" s="384" t="s">
        <v>17282</v>
      </c>
      <c r="C4480" s="384" t="s">
        <v>83</v>
      </c>
      <c r="D4480" s="385" t="s">
        <v>5051</v>
      </c>
    </row>
    <row r="4481" spans="1:4" x14ac:dyDescent="0.25">
      <c r="A4481" s="384" t="s">
        <v>17283</v>
      </c>
      <c r="B4481" s="384" t="s">
        <v>17284</v>
      </c>
      <c r="C4481" s="384" t="s">
        <v>83</v>
      </c>
      <c r="D4481" s="385" t="s">
        <v>6601</v>
      </c>
    </row>
    <row r="4482" spans="1:4" x14ac:dyDescent="0.25">
      <c r="A4482" s="384" t="s">
        <v>17285</v>
      </c>
      <c r="B4482" s="384" t="s">
        <v>17286</v>
      </c>
      <c r="C4482" s="384" t="s">
        <v>83</v>
      </c>
      <c r="D4482" s="385" t="s">
        <v>17287</v>
      </c>
    </row>
    <row r="4483" spans="1:4" x14ac:dyDescent="0.25">
      <c r="A4483" s="384" t="s">
        <v>17288</v>
      </c>
      <c r="B4483" s="384" t="s">
        <v>17289</v>
      </c>
      <c r="C4483" s="384" t="s">
        <v>83</v>
      </c>
      <c r="D4483" s="385" t="s">
        <v>17290</v>
      </c>
    </row>
    <row r="4484" spans="1:4" x14ac:dyDescent="0.25">
      <c r="A4484" s="384" t="s">
        <v>17291</v>
      </c>
      <c r="B4484" s="384" t="s">
        <v>17292</v>
      </c>
      <c r="C4484" s="384" t="s">
        <v>83</v>
      </c>
      <c r="D4484" s="385" t="s">
        <v>17293</v>
      </c>
    </row>
    <row r="4485" spans="1:4" x14ac:dyDescent="0.25">
      <c r="A4485" s="384" t="s">
        <v>17294</v>
      </c>
      <c r="B4485" s="384" t="s">
        <v>17295</v>
      </c>
      <c r="C4485" s="384" t="s">
        <v>83</v>
      </c>
      <c r="D4485" s="385" t="s">
        <v>11493</v>
      </c>
    </row>
    <row r="4486" spans="1:4" x14ac:dyDescent="0.25">
      <c r="A4486" s="384" t="s">
        <v>17296</v>
      </c>
      <c r="B4486" s="384" t="s">
        <v>17297</v>
      </c>
      <c r="C4486" s="384" t="s">
        <v>83</v>
      </c>
      <c r="D4486" s="385" t="s">
        <v>17298</v>
      </c>
    </row>
    <row r="4487" spans="1:4" x14ac:dyDescent="0.25">
      <c r="A4487" s="384" t="s">
        <v>17299</v>
      </c>
      <c r="B4487" s="384" t="s">
        <v>17300</v>
      </c>
      <c r="C4487" s="384" t="s">
        <v>83</v>
      </c>
      <c r="D4487" s="385" t="s">
        <v>17301</v>
      </c>
    </row>
    <row r="4488" spans="1:4" x14ac:dyDescent="0.25">
      <c r="A4488" s="384" t="s">
        <v>17302</v>
      </c>
      <c r="B4488" s="384" t="s">
        <v>17303</v>
      </c>
      <c r="C4488" s="384" t="s">
        <v>83</v>
      </c>
      <c r="D4488" s="385" t="s">
        <v>17304</v>
      </c>
    </row>
    <row r="4489" spans="1:4" x14ac:dyDescent="0.25">
      <c r="A4489" s="384" t="s">
        <v>17305</v>
      </c>
      <c r="B4489" s="384" t="s">
        <v>17306</v>
      </c>
      <c r="C4489" s="384" t="s">
        <v>83</v>
      </c>
      <c r="D4489" s="385" t="s">
        <v>17307</v>
      </c>
    </row>
    <row r="4490" spans="1:4" x14ac:dyDescent="0.25">
      <c r="A4490" s="384" t="s">
        <v>17308</v>
      </c>
      <c r="B4490" s="384" t="s">
        <v>17309</v>
      </c>
      <c r="C4490" s="384" t="s">
        <v>83</v>
      </c>
      <c r="D4490" s="385" t="s">
        <v>17310</v>
      </c>
    </row>
    <row r="4491" spans="1:4" x14ac:dyDescent="0.25">
      <c r="A4491" s="384" t="s">
        <v>17311</v>
      </c>
      <c r="B4491" s="384" t="s">
        <v>17312</v>
      </c>
      <c r="C4491" s="384" t="s">
        <v>83</v>
      </c>
      <c r="D4491" s="385" t="s">
        <v>6858</v>
      </c>
    </row>
    <row r="4492" spans="1:4" x14ac:dyDescent="0.25">
      <c r="A4492" s="384" t="s">
        <v>17313</v>
      </c>
      <c r="B4492" s="384" t="s">
        <v>17314</v>
      </c>
      <c r="C4492" s="384" t="s">
        <v>83</v>
      </c>
      <c r="D4492" s="385" t="s">
        <v>17315</v>
      </c>
    </row>
    <row r="4493" spans="1:4" x14ac:dyDescent="0.25">
      <c r="A4493" s="384" t="s">
        <v>17316</v>
      </c>
      <c r="B4493" s="384" t="s">
        <v>17317</v>
      </c>
      <c r="C4493" s="384" t="s">
        <v>83</v>
      </c>
      <c r="D4493" s="385" t="s">
        <v>17318</v>
      </c>
    </row>
    <row r="4494" spans="1:4" x14ac:dyDescent="0.25">
      <c r="A4494" s="384" t="s">
        <v>17319</v>
      </c>
      <c r="B4494" s="384" t="s">
        <v>17320</v>
      </c>
      <c r="C4494" s="384" t="s">
        <v>83</v>
      </c>
      <c r="D4494" s="385" t="s">
        <v>17321</v>
      </c>
    </row>
    <row r="4495" spans="1:4" x14ac:dyDescent="0.25">
      <c r="A4495" s="384" t="s">
        <v>17322</v>
      </c>
      <c r="B4495" s="384" t="s">
        <v>17323</v>
      </c>
      <c r="C4495" s="384" t="s">
        <v>83</v>
      </c>
      <c r="D4495" s="385" t="s">
        <v>17324</v>
      </c>
    </row>
    <row r="4496" spans="1:4" x14ac:dyDescent="0.25">
      <c r="A4496" s="384" t="s">
        <v>17325</v>
      </c>
      <c r="B4496" s="384" t="s">
        <v>17326</v>
      </c>
      <c r="C4496" s="384" t="s">
        <v>83</v>
      </c>
      <c r="D4496" s="385" t="s">
        <v>17327</v>
      </c>
    </row>
    <row r="4497" spans="1:4" x14ac:dyDescent="0.25">
      <c r="A4497" s="384" t="s">
        <v>17328</v>
      </c>
      <c r="B4497" s="384" t="s">
        <v>17329</v>
      </c>
      <c r="C4497" s="384" t="s">
        <v>83</v>
      </c>
      <c r="D4497" s="385" t="s">
        <v>17330</v>
      </c>
    </row>
    <row r="4498" spans="1:4" x14ac:dyDescent="0.25">
      <c r="A4498" s="384" t="s">
        <v>17331</v>
      </c>
      <c r="B4498" s="384" t="s">
        <v>17332</v>
      </c>
      <c r="C4498" s="384" t="s">
        <v>83</v>
      </c>
      <c r="D4498" s="385" t="s">
        <v>17333</v>
      </c>
    </row>
    <row r="4499" spans="1:4" x14ac:dyDescent="0.25">
      <c r="A4499" s="384" t="s">
        <v>17334</v>
      </c>
      <c r="B4499" s="384" t="s">
        <v>17335</v>
      </c>
      <c r="C4499" s="384" t="s">
        <v>83</v>
      </c>
      <c r="D4499" s="385" t="s">
        <v>17336</v>
      </c>
    </row>
    <row r="4500" spans="1:4" x14ac:dyDescent="0.25">
      <c r="A4500" s="384" t="s">
        <v>17337</v>
      </c>
      <c r="B4500" s="384" t="s">
        <v>17338</v>
      </c>
      <c r="C4500" s="384" t="s">
        <v>83</v>
      </c>
      <c r="D4500" s="385" t="s">
        <v>15052</v>
      </c>
    </row>
    <row r="4501" spans="1:4" x14ac:dyDescent="0.25">
      <c r="A4501" s="384" t="s">
        <v>17339</v>
      </c>
      <c r="B4501" s="384" t="s">
        <v>17340</v>
      </c>
      <c r="C4501" s="384" t="s">
        <v>83</v>
      </c>
      <c r="D4501" s="385" t="s">
        <v>17341</v>
      </c>
    </row>
    <row r="4502" spans="1:4" x14ac:dyDescent="0.25">
      <c r="A4502" s="384" t="s">
        <v>17342</v>
      </c>
      <c r="B4502" s="384" t="s">
        <v>17343</v>
      </c>
      <c r="C4502" s="384" t="s">
        <v>83</v>
      </c>
      <c r="D4502" s="385" t="s">
        <v>17344</v>
      </c>
    </row>
    <row r="4503" spans="1:4" x14ac:dyDescent="0.25">
      <c r="A4503" s="384" t="s">
        <v>17345</v>
      </c>
      <c r="B4503" s="384" t="s">
        <v>17346</v>
      </c>
      <c r="C4503" s="384" t="s">
        <v>83</v>
      </c>
      <c r="D4503" s="385" t="s">
        <v>17347</v>
      </c>
    </row>
    <row r="4504" spans="1:4" x14ac:dyDescent="0.25">
      <c r="A4504" s="384" t="s">
        <v>17348</v>
      </c>
      <c r="B4504" s="384" t="s">
        <v>17349</v>
      </c>
      <c r="C4504" s="384" t="s">
        <v>83</v>
      </c>
      <c r="D4504" s="385" t="s">
        <v>17350</v>
      </c>
    </row>
    <row r="4505" spans="1:4" x14ac:dyDescent="0.25">
      <c r="A4505" s="384" t="s">
        <v>17351</v>
      </c>
      <c r="B4505" s="384" t="s">
        <v>17352</v>
      </c>
      <c r="C4505" s="384" t="s">
        <v>83</v>
      </c>
      <c r="D4505" s="385" t="s">
        <v>17353</v>
      </c>
    </row>
    <row r="4506" spans="1:4" x14ac:dyDescent="0.25">
      <c r="A4506" s="384" t="s">
        <v>17354</v>
      </c>
      <c r="B4506" s="384" t="s">
        <v>17355</v>
      </c>
      <c r="C4506" s="384" t="s">
        <v>83</v>
      </c>
      <c r="D4506" s="385" t="s">
        <v>17356</v>
      </c>
    </row>
    <row r="4507" spans="1:4" x14ac:dyDescent="0.25">
      <c r="A4507" s="384" t="s">
        <v>17357</v>
      </c>
      <c r="B4507" s="384" t="s">
        <v>17358</v>
      </c>
      <c r="C4507" s="384" t="s">
        <v>83</v>
      </c>
      <c r="D4507" s="385" t="s">
        <v>17359</v>
      </c>
    </row>
    <row r="4508" spans="1:4" x14ac:dyDescent="0.25">
      <c r="A4508" s="384" t="s">
        <v>17360</v>
      </c>
      <c r="B4508" s="384" t="s">
        <v>17361</v>
      </c>
      <c r="C4508" s="384" t="s">
        <v>83</v>
      </c>
      <c r="D4508" s="385" t="s">
        <v>17362</v>
      </c>
    </row>
    <row r="4509" spans="1:4" x14ac:dyDescent="0.25">
      <c r="A4509" s="384" t="s">
        <v>17363</v>
      </c>
      <c r="B4509" s="384" t="s">
        <v>17364</v>
      </c>
      <c r="C4509" s="384" t="s">
        <v>83</v>
      </c>
      <c r="D4509" s="385" t="s">
        <v>17365</v>
      </c>
    </row>
    <row r="4510" spans="1:4" x14ac:dyDescent="0.25">
      <c r="A4510" s="384" t="s">
        <v>17366</v>
      </c>
      <c r="B4510" s="384" t="s">
        <v>17367</v>
      </c>
      <c r="C4510" s="384" t="s">
        <v>83</v>
      </c>
      <c r="D4510" s="385" t="s">
        <v>17368</v>
      </c>
    </row>
    <row r="4511" spans="1:4" x14ac:dyDescent="0.25">
      <c r="A4511" s="384" t="s">
        <v>17369</v>
      </c>
      <c r="B4511" s="384" t="s">
        <v>17370</v>
      </c>
      <c r="C4511" s="384" t="s">
        <v>83</v>
      </c>
      <c r="D4511" s="385" t="s">
        <v>17371</v>
      </c>
    </row>
    <row r="4512" spans="1:4" x14ac:dyDescent="0.25">
      <c r="A4512" s="384" t="s">
        <v>17372</v>
      </c>
      <c r="B4512" s="384" t="s">
        <v>17373</v>
      </c>
      <c r="C4512" s="384" t="s">
        <v>83</v>
      </c>
      <c r="D4512" s="385" t="s">
        <v>17374</v>
      </c>
    </row>
    <row r="4513" spans="1:4" x14ac:dyDescent="0.25">
      <c r="A4513" s="384" t="s">
        <v>17375</v>
      </c>
      <c r="B4513" s="384" t="s">
        <v>17376</v>
      </c>
      <c r="C4513" s="384" t="s">
        <v>83</v>
      </c>
      <c r="D4513" s="385" t="s">
        <v>17377</v>
      </c>
    </row>
    <row r="4514" spans="1:4" x14ac:dyDescent="0.25">
      <c r="A4514" s="384" t="s">
        <v>17378</v>
      </c>
      <c r="B4514" s="384" t="s">
        <v>17379</v>
      </c>
      <c r="C4514" s="384" t="s">
        <v>83</v>
      </c>
      <c r="D4514" s="385" t="s">
        <v>17380</v>
      </c>
    </row>
    <row r="4515" spans="1:4" x14ac:dyDescent="0.25">
      <c r="A4515" s="384" t="s">
        <v>17381</v>
      </c>
      <c r="B4515" s="384" t="s">
        <v>17382</v>
      </c>
      <c r="C4515" s="384" t="s">
        <v>83</v>
      </c>
      <c r="D4515" s="385" t="s">
        <v>8707</v>
      </c>
    </row>
    <row r="4516" spans="1:4" x14ac:dyDescent="0.25">
      <c r="A4516" s="384" t="s">
        <v>17383</v>
      </c>
      <c r="B4516" s="384" t="s">
        <v>17384</v>
      </c>
      <c r="C4516" s="384" t="s">
        <v>83</v>
      </c>
      <c r="D4516" s="385" t="s">
        <v>17385</v>
      </c>
    </row>
    <row r="4517" spans="1:4" x14ac:dyDescent="0.25">
      <c r="A4517" s="384" t="s">
        <v>17386</v>
      </c>
      <c r="B4517" s="384" t="s">
        <v>17387</v>
      </c>
      <c r="C4517" s="384" t="s">
        <v>83</v>
      </c>
      <c r="D4517" s="385" t="s">
        <v>17388</v>
      </c>
    </row>
    <row r="4518" spans="1:4" x14ac:dyDescent="0.25">
      <c r="A4518" s="384" t="s">
        <v>17389</v>
      </c>
      <c r="B4518" s="384" t="s">
        <v>17390</v>
      </c>
      <c r="C4518" s="384" t="s">
        <v>83</v>
      </c>
      <c r="D4518" s="385" t="s">
        <v>17391</v>
      </c>
    </row>
    <row r="4519" spans="1:4" x14ac:dyDescent="0.25">
      <c r="A4519" s="384" t="s">
        <v>17392</v>
      </c>
      <c r="B4519" s="384" t="s">
        <v>17393</v>
      </c>
      <c r="C4519" s="384" t="s">
        <v>83</v>
      </c>
      <c r="D4519" s="385" t="s">
        <v>11382</v>
      </c>
    </row>
    <row r="4520" spans="1:4" x14ac:dyDescent="0.25">
      <c r="A4520" s="384" t="s">
        <v>17394</v>
      </c>
      <c r="B4520" s="384" t="s">
        <v>17395</v>
      </c>
      <c r="C4520" s="384" t="s">
        <v>83</v>
      </c>
      <c r="D4520" s="385" t="s">
        <v>17396</v>
      </c>
    </row>
    <row r="4521" spans="1:4" x14ac:dyDescent="0.25">
      <c r="A4521" s="384" t="s">
        <v>17397</v>
      </c>
      <c r="B4521" s="384" t="s">
        <v>17398</v>
      </c>
      <c r="C4521" s="384" t="s">
        <v>83</v>
      </c>
      <c r="D4521" s="385" t="s">
        <v>17399</v>
      </c>
    </row>
    <row r="4522" spans="1:4" x14ac:dyDescent="0.25">
      <c r="A4522" s="384" t="s">
        <v>17400</v>
      </c>
      <c r="B4522" s="384" t="s">
        <v>17401</v>
      </c>
      <c r="C4522" s="384" t="s">
        <v>83</v>
      </c>
      <c r="D4522" s="385" t="s">
        <v>17402</v>
      </c>
    </row>
    <row r="4523" spans="1:4" x14ac:dyDescent="0.25">
      <c r="A4523" s="384" t="s">
        <v>17403</v>
      </c>
      <c r="B4523" s="384" t="s">
        <v>17404</v>
      </c>
      <c r="C4523" s="384" t="s">
        <v>83</v>
      </c>
      <c r="D4523" s="385" t="s">
        <v>17405</v>
      </c>
    </row>
    <row r="4524" spans="1:4" x14ac:dyDescent="0.25">
      <c r="A4524" s="384" t="s">
        <v>17406</v>
      </c>
      <c r="B4524" s="384" t="s">
        <v>17407</v>
      </c>
      <c r="C4524" s="384" t="s">
        <v>83</v>
      </c>
      <c r="D4524" s="385" t="s">
        <v>8070</v>
      </c>
    </row>
    <row r="4525" spans="1:4" x14ac:dyDescent="0.25">
      <c r="A4525" s="384" t="s">
        <v>17408</v>
      </c>
      <c r="B4525" s="384" t="s">
        <v>17409</v>
      </c>
      <c r="C4525" s="384" t="s">
        <v>83</v>
      </c>
      <c r="D4525" s="385" t="s">
        <v>17410</v>
      </c>
    </row>
    <row r="4526" spans="1:4" x14ac:dyDescent="0.25">
      <c r="A4526" s="384" t="s">
        <v>17411</v>
      </c>
      <c r="B4526" s="384" t="s">
        <v>17412</v>
      </c>
      <c r="C4526" s="384" t="s">
        <v>83</v>
      </c>
      <c r="D4526" s="385" t="s">
        <v>17410</v>
      </c>
    </row>
    <row r="4527" spans="1:4" x14ac:dyDescent="0.25">
      <c r="A4527" s="384" t="s">
        <v>17413</v>
      </c>
      <c r="B4527" s="384" t="s">
        <v>17414</v>
      </c>
      <c r="C4527" s="384" t="s">
        <v>83</v>
      </c>
      <c r="D4527" s="385" t="s">
        <v>17415</v>
      </c>
    </row>
    <row r="4528" spans="1:4" x14ac:dyDescent="0.25">
      <c r="A4528" s="384" t="s">
        <v>17416</v>
      </c>
      <c r="B4528" s="384" t="s">
        <v>17417</v>
      </c>
      <c r="C4528" s="384" t="s">
        <v>83</v>
      </c>
      <c r="D4528" s="385" t="s">
        <v>17418</v>
      </c>
    </row>
    <row r="4529" spans="1:4" x14ac:dyDescent="0.25">
      <c r="A4529" s="384" t="s">
        <v>17419</v>
      </c>
      <c r="B4529" s="384" t="s">
        <v>17420</v>
      </c>
      <c r="C4529" s="384" t="s">
        <v>83</v>
      </c>
      <c r="D4529" s="385" t="s">
        <v>17421</v>
      </c>
    </row>
    <row r="4530" spans="1:4" x14ac:dyDescent="0.25">
      <c r="A4530" s="384" t="s">
        <v>17422</v>
      </c>
      <c r="B4530" s="384" t="s">
        <v>17423</v>
      </c>
      <c r="C4530" s="384" t="s">
        <v>83</v>
      </c>
      <c r="D4530" s="385" t="s">
        <v>16563</v>
      </c>
    </row>
    <row r="4531" spans="1:4" x14ac:dyDescent="0.25">
      <c r="A4531" s="384" t="s">
        <v>17424</v>
      </c>
      <c r="B4531" s="384" t="s">
        <v>17425</v>
      </c>
      <c r="C4531" s="384" t="s">
        <v>83</v>
      </c>
      <c r="D4531" s="385" t="s">
        <v>17426</v>
      </c>
    </row>
    <row r="4532" spans="1:4" x14ac:dyDescent="0.25">
      <c r="A4532" s="384" t="s">
        <v>17427</v>
      </c>
      <c r="B4532" s="384" t="s">
        <v>17428</v>
      </c>
      <c r="C4532" s="384" t="s">
        <v>83</v>
      </c>
      <c r="D4532" s="385" t="s">
        <v>8009</v>
      </c>
    </row>
    <row r="4533" spans="1:4" x14ac:dyDescent="0.25">
      <c r="A4533" s="384" t="s">
        <v>17429</v>
      </c>
      <c r="B4533" s="384" t="s">
        <v>17430</v>
      </c>
      <c r="C4533" s="384" t="s">
        <v>83</v>
      </c>
      <c r="D4533" s="385" t="s">
        <v>17431</v>
      </c>
    </row>
    <row r="4534" spans="1:4" x14ac:dyDescent="0.25">
      <c r="A4534" s="384" t="s">
        <v>17432</v>
      </c>
      <c r="B4534" s="384" t="s">
        <v>17433</v>
      </c>
      <c r="C4534" s="384" t="s">
        <v>83</v>
      </c>
      <c r="D4534" s="385" t="s">
        <v>12994</v>
      </c>
    </row>
    <row r="4535" spans="1:4" x14ac:dyDescent="0.25">
      <c r="A4535" s="384" t="s">
        <v>17434</v>
      </c>
      <c r="B4535" s="384" t="s">
        <v>17435</v>
      </c>
      <c r="C4535" s="384" t="s">
        <v>83</v>
      </c>
      <c r="D4535" s="385" t="s">
        <v>17436</v>
      </c>
    </row>
    <row r="4536" spans="1:4" x14ac:dyDescent="0.25">
      <c r="A4536" s="384" t="s">
        <v>17437</v>
      </c>
      <c r="B4536" s="384" t="s">
        <v>17438</v>
      </c>
      <c r="C4536" s="384" t="s">
        <v>83</v>
      </c>
      <c r="D4536" s="385" t="s">
        <v>11850</v>
      </c>
    </row>
    <row r="4537" spans="1:4" x14ac:dyDescent="0.25">
      <c r="A4537" s="384" t="s">
        <v>17439</v>
      </c>
      <c r="B4537" s="384" t="s">
        <v>17440</v>
      </c>
      <c r="C4537" s="384" t="s">
        <v>83</v>
      </c>
      <c r="D4537" s="385" t="s">
        <v>13011</v>
      </c>
    </row>
    <row r="4538" spans="1:4" x14ac:dyDescent="0.25">
      <c r="A4538" s="384" t="s">
        <v>17441</v>
      </c>
      <c r="B4538" s="384" t="s">
        <v>17442</v>
      </c>
      <c r="C4538" s="384" t="s">
        <v>83</v>
      </c>
      <c r="D4538" s="385" t="s">
        <v>17443</v>
      </c>
    </row>
    <row r="4539" spans="1:4" x14ac:dyDescent="0.25">
      <c r="A4539" s="384" t="s">
        <v>17444</v>
      </c>
      <c r="B4539" s="384" t="s">
        <v>17445</v>
      </c>
      <c r="C4539" s="384" t="s">
        <v>83</v>
      </c>
      <c r="D4539" s="385" t="s">
        <v>10828</v>
      </c>
    </row>
    <row r="4540" spans="1:4" x14ac:dyDescent="0.25">
      <c r="A4540" s="384" t="s">
        <v>17446</v>
      </c>
      <c r="B4540" s="384" t="s">
        <v>17447</v>
      </c>
      <c r="C4540" s="384" t="s">
        <v>83</v>
      </c>
      <c r="D4540" s="385" t="s">
        <v>17448</v>
      </c>
    </row>
    <row r="4541" spans="1:4" x14ac:dyDescent="0.25">
      <c r="A4541" s="384" t="s">
        <v>17449</v>
      </c>
      <c r="B4541" s="384" t="s">
        <v>17450</v>
      </c>
      <c r="C4541" s="384" t="s">
        <v>83</v>
      </c>
      <c r="D4541" s="385" t="s">
        <v>17451</v>
      </c>
    </row>
    <row r="4542" spans="1:4" x14ac:dyDescent="0.25">
      <c r="A4542" s="384" t="s">
        <v>17452</v>
      </c>
      <c r="B4542" s="384" t="s">
        <v>17453</v>
      </c>
      <c r="C4542" s="384" t="s">
        <v>83</v>
      </c>
      <c r="D4542" s="385" t="s">
        <v>17454</v>
      </c>
    </row>
    <row r="4543" spans="1:4" x14ac:dyDescent="0.25">
      <c r="A4543" s="384" t="s">
        <v>17455</v>
      </c>
      <c r="B4543" s="384" t="s">
        <v>17456</v>
      </c>
      <c r="C4543" s="384" t="s">
        <v>83</v>
      </c>
      <c r="D4543" s="385" t="s">
        <v>17457</v>
      </c>
    </row>
    <row r="4544" spans="1:4" x14ac:dyDescent="0.25">
      <c r="A4544" s="384" t="s">
        <v>17458</v>
      </c>
      <c r="B4544" s="384" t="s">
        <v>17459</v>
      </c>
      <c r="C4544" s="384" t="s">
        <v>83</v>
      </c>
      <c r="D4544" s="385" t="s">
        <v>17460</v>
      </c>
    </row>
    <row r="4545" spans="1:4" x14ac:dyDescent="0.25">
      <c r="A4545" s="384" t="s">
        <v>17461</v>
      </c>
      <c r="B4545" s="384" t="s">
        <v>17462</v>
      </c>
      <c r="C4545" s="384" t="s">
        <v>83</v>
      </c>
      <c r="D4545" s="385" t="s">
        <v>17463</v>
      </c>
    </row>
    <row r="4546" spans="1:4" x14ac:dyDescent="0.25">
      <c r="A4546" s="384" t="s">
        <v>17464</v>
      </c>
      <c r="B4546" s="384" t="s">
        <v>17465</v>
      </c>
      <c r="C4546" s="384" t="s">
        <v>83</v>
      </c>
      <c r="D4546" s="385" t="s">
        <v>17466</v>
      </c>
    </row>
    <row r="4547" spans="1:4" x14ac:dyDescent="0.25">
      <c r="A4547" s="384" t="s">
        <v>17467</v>
      </c>
      <c r="B4547" s="384" t="s">
        <v>17468</v>
      </c>
      <c r="C4547" s="384" t="s">
        <v>83</v>
      </c>
      <c r="D4547" s="385" t="s">
        <v>17469</v>
      </c>
    </row>
    <row r="4548" spans="1:4" x14ac:dyDescent="0.25">
      <c r="A4548" s="384" t="s">
        <v>17470</v>
      </c>
      <c r="B4548" s="384" t="s">
        <v>17471</v>
      </c>
      <c r="C4548" s="384" t="s">
        <v>83</v>
      </c>
      <c r="D4548" s="385" t="s">
        <v>17472</v>
      </c>
    </row>
    <row r="4549" spans="1:4" x14ac:dyDescent="0.25">
      <c r="A4549" s="384" t="s">
        <v>17473</v>
      </c>
      <c r="B4549" s="384" t="s">
        <v>17474</v>
      </c>
      <c r="C4549" s="384" t="s">
        <v>83</v>
      </c>
      <c r="D4549" s="385" t="s">
        <v>16192</v>
      </c>
    </row>
    <row r="4550" spans="1:4" x14ac:dyDescent="0.25">
      <c r="A4550" s="384" t="s">
        <v>17475</v>
      </c>
      <c r="B4550" s="384" t="s">
        <v>17476</v>
      </c>
      <c r="C4550" s="384" t="s">
        <v>83</v>
      </c>
      <c r="D4550" s="385" t="s">
        <v>17477</v>
      </c>
    </row>
    <row r="4551" spans="1:4" x14ac:dyDescent="0.25">
      <c r="A4551" s="384" t="s">
        <v>17478</v>
      </c>
      <c r="B4551" s="384" t="s">
        <v>17479</v>
      </c>
      <c r="C4551" s="384" t="s">
        <v>83</v>
      </c>
      <c r="D4551" s="385" t="s">
        <v>17480</v>
      </c>
    </row>
    <row r="4552" spans="1:4" x14ac:dyDescent="0.25">
      <c r="A4552" s="384" t="s">
        <v>17481</v>
      </c>
      <c r="B4552" s="384" t="s">
        <v>17482</v>
      </c>
      <c r="C4552" s="384" t="s">
        <v>83</v>
      </c>
      <c r="D4552" s="385" t="s">
        <v>17483</v>
      </c>
    </row>
    <row r="4553" spans="1:4" x14ac:dyDescent="0.25">
      <c r="A4553" s="384" t="s">
        <v>17484</v>
      </c>
      <c r="B4553" s="384" t="s">
        <v>17485</v>
      </c>
      <c r="C4553" s="384" t="s">
        <v>83</v>
      </c>
      <c r="D4553" s="385" t="s">
        <v>17486</v>
      </c>
    </row>
    <row r="4554" spans="1:4" x14ac:dyDescent="0.25">
      <c r="A4554" s="384" t="s">
        <v>17487</v>
      </c>
      <c r="B4554" s="384" t="s">
        <v>17488</v>
      </c>
      <c r="C4554" s="384" t="s">
        <v>83</v>
      </c>
      <c r="D4554" s="385" t="s">
        <v>17489</v>
      </c>
    </row>
    <row r="4555" spans="1:4" x14ac:dyDescent="0.25">
      <c r="A4555" s="384" t="s">
        <v>17490</v>
      </c>
      <c r="B4555" s="384" t="s">
        <v>17491</v>
      </c>
      <c r="C4555" s="384" t="s">
        <v>83</v>
      </c>
      <c r="D4555" s="385" t="s">
        <v>17492</v>
      </c>
    </row>
    <row r="4556" spans="1:4" x14ac:dyDescent="0.25">
      <c r="A4556" s="384" t="s">
        <v>17493</v>
      </c>
      <c r="B4556" s="384" t="s">
        <v>17494</v>
      </c>
      <c r="C4556" s="384" t="s">
        <v>83</v>
      </c>
      <c r="D4556" s="385" t="s">
        <v>11200</v>
      </c>
    </row>
    <row r="4557" spans="1:4" x14ac:dyDescent="0.25">
      <c r="A4557" s="384" t="s">
        <v>17495</v>
      </c>
      <c r="B4557" s="384" t="s">
        <v>17496</v>
      </c>
      <c r="C4557" s="384" t="s">
        <v>83</v>
      </c>
      <c r="D4557" s="385" t="s">
        <v>17497</v>
      </c>
    </row>
    <row r="4558" spans="1:4" x14ac:dyDescent="0.25">
      <c r="A4558" s="384" t="s">
        <v>17498</v>
      </c>
      <c r="B4558" s="384" t="s">
        <v>17499</v>
      </c>
      <c r="C4558" s="384" t="s">
        <v>83</v>
      </c>
      <c r="D4558" s="385" t="s">
        <v>17500</v>
      </c>
    </row>
    <row r="4559" spans="1:4" x14ac:dyDescent="0.25">
      <c r="A4559" s="384" t="s">
        <v>17501</v>
      </c>
      <c r="B4559" s="384" t="s">
        <v>17502</v>
      </c>
      <c r="C4559" s="384" t="s">
        <v>83</v>
      </c>
      <c r="D4559" s="385" t="s">
        <v>14675</v>
      </c>
    </row>
    <row r="4560" spans="1:4" x14ac:dyDescent="0.25">
      <c r="A4560" s="384" t="s">
        <v>17503</v>
      </c>
      <c r="B4560" s="384" t="s">
        <v>17504</v>
      </c>
      <c r="C4560" s="384" t="s">
        <v>83</v>
      </c>
      <c r="D4560" s="385" t="s">
        <v>17505</v>
      </c>
    </row>
    <row r="4561" spans="1:4" x14ac:dyDescent="0.25">
      <c r="A4561" s="384" t="s">
        <v>17506</v>
      </c>
      <c r="B4561" s="384" t="s">
        <v>17507</v>
      </c>
      <c r="C4561" s="384" t="s">
        <v>83</v>
      </c>
      <c r="D4561" s="385" t="s">
        <v>6245</v>
      </c>
    </row>
    <row r="4562" spans="1:4" x14ac:dyDescent="0.25">
      <c r="A4562" s="384" t="s">
        <v>17508</v>
      </c>
      <c r="B4562" s="384" t="s">
        <v>17509</v>
      </c>
      <c r="C4562" s="384" t="s">
        <v>83</v>
      </c>
      <c r="D4562" s="385" t="s">
        <v>17510</v>
      </c>
    </row>
    <row r="4563" spans="1:4" x14ac:dyDescent="0.25">
      <c r="A4563" s="384" t="s">
        <v>17511</v>
      </c>
      <c r="B4563" s="384" t="s">
        <v>17512</v>
      </c>
      <c r="C4563" s="384" t="s">
        <v>83</v>
      </c>
      <c r="D4563" s="385" t="s">
        <v>17513</v>
      </c>
    </row>
    <row r="4564" spans="1:4" x14ac:dyDescent="0.25">
      <c r="A4564" s="384" t="s">
        <v>17514</v>
      </c>
      <c r="B4564" s="384" t="s">
        <v>17515</v>
      </c>
      <c r="C4564" s="384" t="s">
        <v>83</v>
      </c>
      <c r="D4564" s="385" t="s">
        <v>17516</v>
      </c>
    </row>
    <row r="4565" spans="1:4" x14ac:dyDescent="0.25">
      <c r="A4565" s="384" t="s">
        <v>17517</v>
      </c>
      <c r="B4565" s="384" t="s">
        <v>17518</v>
      </c>
      <c r="C4565" s="384" t="s">
        <v>83</v>
      </c>
      <c r="D4565" s="385" t="s">
        <v>17519</v>
      </c>
    </row>
    <row r="4566" spans="1:4" x14ac:dyDescent="0.25">
      <c r="A4566" s="384" t="s">
        <v>17520</v>
      </c>
      <c r="B4566" s="384" t="s">
        <v>17521</v>
      </c>
      <c r="C4566" s="384" t="s">
        <v>83</v>
      </c>
      <c r="D4566" s="385" t="s">
        <v>17522</v>
      </c>
    </row>
    <row r="4567" spans="1:4" x14ac:dyDescent="0.25">
      <c r="A4567" s="384" t="s">
        <v>17523</v>
      </c>
      <c r="B4567" s="384" t="s">
        <v>17524</v>
      </c>
      <c r="C4567" s="384" t="s">
        <v>83</v>
      </c>
      <c r="D4567" s="385" t="s">
        <v>17525</v>
      </c>
    </row>
    <row r="4568" spans="1:4" x14ac:dyDescent="0.25">
      <c r="A4568" s="384" t="s">
        <v>17526</v>
      </c>
      <c r="B4568" s="384" t="s">
        <v>17527</v>
      </c>
      <c r="C4568" s="384" t="s">
        <v>83</v>
      </c>
      <c r="D4568" s="385" t="s">
        <v>17528</v>
      </c>
    </row>
    <row r="4569" spans="1:4" x14ac:dyDescent="0.25">
      <c r="A4569" s="384" t="s">
        <v>17529</v>
      </c>
      <c r="B4569" s="384" t="s">
        <v>17530</v>
      </c>
      <c r="C4569" s="384" t="s">
        <v>83</v>
      </c>
      <c r="D4569" s="385" t="s">
        <v>17531</v>
      </c>
    </row>
    <row r="4570" spans="1:4" x14ac:dyDescent="0.25">
      <c r="A4570" s="384" t="s">
        <v>17532</v>
      </c>
      <c r="B4570" s="384" t="s">
        <v>17533</v>
      </c>
      <c r="C4570" s="384" t="s">
        <v>83</v>
      </c>
      <c r="D4570" s="385" t="s">
        <v>6881</v>
      </c>
    </row>
    <row r="4571" spans="1:4" x14ac:dyDescent="0.25">
      <c r="A4571" s="384" t="s">
        <v>17534</v>
      </c>
      <c r="B4571" s="384" t="s">
        <v>17535</v>
      </c>
      <c r="C4571" s="384" t="s">
        <v>83</v>
      </c>
      <c r="D4571" s="385" t="s">
        <v>17536</v>
      </c>
    </row>
    <row r="4572" spans="1:4" x14ac:dyDescent="0.25">
      <c r="A4572" s="384" t="s">
        <v>17537</v>
      </c>
      <c r="B4572" s="384" t="s">
        <v>17538</v>
      </c>
      <c r="C4572" s="384" t="s">
        <v>83</v>
      </c>
      <c r="D4572" s="385" t="s">
        <v>17539</v>
      </c>
    </row>
    <row r="4573" spans="1:4" x14ac:dyDescent="0.25">
      <c r="A4573" s="384" t="s">
        <v>17540</v>
      </c>
      <c r="B4573" s="384" t="s">
        <v>17541</v>
      </c>
      <c r="C4573" s="384" t="s">
        <v>83</v>
      </c>
      <c r="D4573" s="385" t="s">
        <v>17542</v>
      </c>
    </row>
    <row r="4574" spans="1:4" x14ac:dyDescent="0.25">
      <c r="A4574" s="384" t="s">
        <v>17543</v>
      </c>
      <c r="B4574" s="384" t="s">
        <v>17544</v>
      </c>
      <c r="C4574" s="384" t="s">
        <v>83</v>
      </c>
      <c r="D4574" s="385" t="s">
        <v>17545</v>
      </c>
    </row>
    <row r="4575" spans="1:4" x14ac:dyDescent="0.25">
      <c r="A4575" s="384" t="s">
        <v>17546</v>
      </c>
      <c r="B4575" s="384" t="s">
        <v>17547</v>
      </c>
      <c r="C4575" s="384" t="s">
        <v>83</v>
      </c>
      <c r="D4575" s="385" t="s">
        <v>17548</v>
      </c>
    </row>
    <row r="4576" spans="1:4" x14ac:dyDescent="0.25">
      <c r="A4576" s="384" t="s">
        <v>17549</v>
      </c>
      <c r="B4576" s="384" t="s">
        <v>17550</v>
      </c>
      <c r="C4576" s="384" t="s">
        <v>83</v>
      </c>
      <c r="D4576" s="385" t="s">
        <v>17551</v>
      </c>
    </row>
    <row r="4577" spans="1:4" x14ac:dyDescent="0.25">
      <c r="A4577" s="384" t="s">
        <v>17552</v>
      </c>
      <c r="B4577" s="384" t="s">
        <v>17553</v>
      </c>
      <c r="C4577" s="384" t="s">
        <v>83</v>
      </c>
      <c r="D4577" s="385" t="s">
        <v>9437</v>
      </c>
    </row>
    <row r="4578" spans="1:4" x14ac:dyDescent="0.25">
      <c r="A4578" s="384" t="s">
        <v>17554</v>
      </c>
      <c r="B4578" s="384" t="s">
        <v>17555</v>
      </c>
      <c r="C4578" s="384" t="s">
        <v>83</v>
      </c>
      <c r="D4578" s="385" t="s">
        <v>17556</v>
      </c>
    </row>
    <row r="4579" spans="1:4" x14ac:dyDescent="0.25">
      <c r="A4579" s="384" t="s">
        <v>17557</v>
      </c>
      <c r="B4579" s="384" t="s">
        <v>17558</v>
      </c>
      <c r="C4579" s="384" t="s">
        <v>83</v>
      </c>
      <c r="D4579" s="385" t="s">
        <v>17559</v>
      </c>
    </row>
    <row r="4580" spans="1:4" x14ac:dyDescent="0.25">
      <c r="A4580" s="384" t="s">
        <v>17560</v>
      </c>
      <c r="B4580" s="384" t="s">
        <v>17561</v>
      </c>
      <c r="C4580" s="384" t="s">
        <v>83</v>
      </c>
      <c r="D4580" s="385" t="s">
        <v>17562</v>
      </c>
    </row>
    <row r="4581" spans="1:4" x14ac:dyDescent="0.25">
      <c r="A4581" s="384" t="s">
        <v>17563</v>
      </c>
      <c r="B4581" s="384" t="s">
        <v>17564</v>
      </c>
      <c r="C4581" s="384" t="s">
        <v>83</v>
      </c>
      <c r="D4581" s="385" t="s">
        <v>17565</v>
      </c>
    </row>
    <row r="4582" spans="1:4" x14ac:dyDescent="0.25">
      <c r="A4582" s="384" t="s">
        <v>17566</v>
      </c>
      <c r="B4582" s="384" t="s">
        <v>17567</v>
      </c>
      <c r="C4582" s="384" t="s">
        <v>83</v>
      </c>
      <c r="D4582" s="385" t="s">
        <v>17568</v>
      </c>
    </row>
    <row r="4583" spans="1:4" x14ac:dyDescent="0.25">
      <c r="A4583" s="384" t="s">
        <v>17569</v>
      </c>
      <c r="B4583" s="384" t="s">
        <v>17570</v>
      </c>
      <c r="C4583" s="384" t="s">
        <v>83</v>
      </c>
      <c r="D4583" s="385" t="s">
        <v>17571</v>
      </c>
    </row>
    <row r="4584" spans="1:4" x14ac:dyDescent="0.25">
      <c r="A4584" s="384" t="s">
        <v>17572</v>
      </c>
      <c r="B4584" s="384" t="s">
        <v>17573</v>
      </c>
      <c r="C4584" s="384" t="s">
        <v>83</v>
      </c>
      <c r="D4584" s="385" t="s">
        <v>10858</v>
      </c>
    </row>
    <row r="4585" spans="1:4" x14ac:dyDescent="0.25">
      <c r="A4585" s="384" t="s">
        <v>17574</v>
      </c>
      <c r="B4585" s="384" t="s">
        <v>17575</v>
      </c>
      <c r="C4585" s="384" t="s">
        <v>83</v>
      </c>
      <c r="D4585" s="385" t="s">
        <v>17576</v>
      </c>
    </row>
    <row r="4586" spans="1:4" x14ac:dyDescent="0.25">
      <c r="A4586" s="384" t="s">
        <v>17577</v>
      </c>
      <c r="B4586" s="384" t="s">
        <v>17578</v>
      </c>
      <c r="C4586" s="384" t="s">
        <v>83</v>
      </c>
      <c r="D4586" s="385" t="s">
        <v>17579</v>
      </c>
    </row>
    <row r="4587" spans="1:4" x14ac:dyDescent="0.25">
      <c r="A4587" s="384" t="s">
        <v>17580</v>
      </c>
      <c r="B4587" s="384" t="s">
        <v>17581</v>
      </c>
      <c r="C4587" s="384" t="s">
        <v>83</v>
      </c>
      <c r="D4587" s="385" t="s">
        <v>17582</v>
      </c>
    </row>
    <row r="4588" spans="1:4" x14ac:dyDescent="0.25">
      <c r="A4588" s="384" t="s">
        <v>17583</v>
      </c>
      <c r="B4588" s="384" t="s">
        <v>17584</v>
      </c>
      <c r="C4588" s="384" t="s">
        <v>83</v>
      </c>
      <c r="D4588" s="385" t="s">
        <v>17585</v>
      </c>
    </row>
    <row r="4589" spans="1:4" x14ac:dyDescent="0.25">
      <c r="A4589" s="384" t="s">
        <v>17586</v>
      </c>
      <c r="B4589" s="384" t="s">
        <v>17587</v>
      </c>
      <c r="C4589" s="384" t="s">
        <v>83</v>
      </c>
      <c r="D4589" s="385" t="s">
        <v>17588</v>
      </c>
    </row>
    <row r="4590" spans="1:4" x14ac:dyDescent="0.25">
      <c r="A4590" s="384" t="s">
        <v>17589</v>
      </c>
      <c r="B4590" s="384" t="s">
        <v>17590</v>
      </c>
      <c r="C4590" s="384" t="s">
        <v>83</v>
      </c>
      <c r="D4590" s="385" t="s">
        <v>17591</v>
      </c>
    </row>
    <row r="4591" spans="1:4" x14ac:dyDescent="0.25">
      <c r="A4591" s="384" t="s">
        <v>17592</v>
      </c>
      <c r="B4591" s="384" t="s">
        <v>17593</v>
      </c>
      <c r="C4591" s="384" t="s">
        <v>83</v>
      </c>
      <c r="D4591" s="385" t="s">
        <v>6861</v>
      </c>
    </row>
    <row r="4592" spans="1:4" x14ac:dyDescent="0.25">
      <c r="A4592" s="384" t="s">
        <v>17594</v>
      </c>
      <c r="B4592" s="384" t="s">
        <v>17595</v>
      </c>
      <c r="C4592" s="384" t="s">
        <v>83</v>
      </c>
      <c r="D4592" s="385" t="s">
        <v>17596</v>
      </c>
    </row>
    <row r="4593" spans="1:4" x14ac:dyDescent="0.25">
      <c r="A4593" s="384" t="s">
        <v>17597</v>
      </c>
      <c r="B4593" s="384" t="s">
        <v>17598</v>
      </c>
      <c r="C4593" s="384" t="s">
        <v>83</v>
      </c>
      <c r="D4593" s="385" t="s">
        <v>17599</v>
      </c>
    </row>
    <row r="4594" spans="1:4" x14ac:dyDescent="0.25">
      <c r="A4594" s="384" t="s">
        <v>17600</v>
      </c>
      <c r="B4594" s="384" t="s">
        <v>17601</v>
      </c>
      <c r="C4594" s="384" t="s">
        <v>83</v>
      </c>
      <c r="D4594" s="385" t="s">
        <v>17602</v>
      </c>
    </row>
    <row r="4595" spans="1:4" x14ac:dyDescent="0.25">
      <c r="A4595" s="384" t="s">
        <v>17603</v>
      </c>
      <c r="B4595" s="384" t="s">
        <v>17604</v>
      </c>
      <c r="C4595" s="384" t="s">
        <v>83</v>
      </c>
      <c r="D4595" s="385" t="s">
        <v>17605</v>
      </c>
    </row>
    <row r="4596" spans="1:4" x14ac:dyDescent="0.25">
      <c r="A4596" s="384" t="s">
        <v>17606</v>
      </c>
      <c r="B4596" s="384" t="s">
        <v>17607</v>
      </c>
      <c r="C4596" s="384" t="s">
        <v>83</v>
      </c>
      <c r="D4596" s="385" t="s">
        <v>17608</v>
      </c>
    </row>
    <row r="4597" spans="1:4" x14ac:dyDescent="0.25">
      <c r="A4597" s="384" t="s">
        <v>17609</v>
      </c>
      <c r="B4597" s="384" t="s">
        <v>17610</v>
      </c>
      <c r="C4597" s="384" t="s">
        <v>83</v>
      </c>
      <c r="D4597" s="385" t="s">
        <v>17611</v>
      </c>
    </row>
    <row r="4598" spans="1:4" x14ac:dyDescent="0.25">
      <c r="A4598" s="384" t="s">
        <v>17612</v>
      </c>
      <c r="B4598" s="384" t="s">
        <v>17613</v>
      </c>
      <c r="C4598" s="384" t="s">
        <v>83</v>
      </c>
      <c r="D4598" s="385" t="s">
        <v>17614</v>
      </c>
    </row>
    <row r="4599" spans="1:4" x14ac:dyDescent="0.25">
      <c r="A4599" s="384" t="s">
        <v>17615</v>
      </c>
      <c r="B4599" s="384" t="s">
        <v>17616</v>
      </c>
      <c r="C4599" s="384" t="s">
        <v>83</v>
      </c>
      <c r="D4599" s="385" t="s">
        <v>17617</v>
      </c>
    </row>
    <row r="4600" spans="1:4" x14ac:dyDescent="0.25">
      <c r="A4600" s="384" t="s">
        <v>17618</v>
      </c>
      <c r="B4600" s="384" t="s">
        <v>17619</v>
      </c>
      <c r="C4600" s="384" t="s">
        <v>83</v>
      </c>
      <c r="D4600" s="385" t="s">
        <v>17620</v>
      </c>
    </row>
    <row r="4601" spans="1:4" x14ac:dyDescent="0.25">
      <c r="A4601" s="384" t="s">
        <v>17621</v>
      </c>
      <c r="B4601" s="384" t="s">
        <v>17622</v>
      </c>
      <c r="C4601" s="384" t="s">
        <v>83</v>
      </c>
      <c r="D4601" s="385" t="s">
        <v>17623</v>
      </c>
    </row>
    <row r="4602" spans="1:4" x14ac:dyDescent="0.25">
      <c r="A4602" s="384" t="s">
        <v>17624</v>
      </c>
      <c r="B4602" s="384" t="s">
        <v>17625</v>
      </c>
      <c r="C4602" s="384" t="s">
        <v>83</v>
      </c>
      <c r="D4602" s="385" t="s">
        <v>17626</v>
      </c>
    </row>
    <row r="4603" spans="1:4" x14ac:dyDescent="0.25">
      <c r="A4603" s="384" t="s">
        <v>17627</v>
      </c>
      <c r="B4603" s="384" t="s">
        <v>17628</v>
      </c>
      <c r="C4603" s="384" t="s">
        <v>83</v>
      </c>
      <c r="D4603" s="385" t="s">
        <v>17629</v>
      </c>
    </row>
    <row r="4604" spans="1:4" x14ac:dyDescent="0.25">
      <c r="A4604" s="384" t="s">
        <v>17630</v>
      </c>
      <c r="B4604" s="384" t="s">
        <v>17631</v>
      </c>
      <c r="C4604" s="384" t="s">
        <v>83</v>
      </c>
      <c r="D4604" s="385" t="s">
        <v>17632</v>
      </c>
    </row>
    <row r="4605" spans="1:4" x14ac:dyDescent="0.25">
      <c r="A4605" s="384" t="s">
        <v>17633</v>
      </c>
      <c r="B4605" s="384" t="s">
        <v>17634</v>
      </c>
      <c r="C4605" s="384" t="s">
        <v>83</v>
      </c>
      <c r="D4605" s="385" t="s">
        <v>17635</v>
      </c>
    </row>
    <row r="4606" spans="1:4" x14ac:dyDescent="0.25">
      <c r="A4606" s="384" t="s">
        <v>17636</v>
      </c>
      <c r="B4606" s="384" t="s">
        <v>17637</v>
      </c>
      <c r="C4606" s="384" t="s">
        <v>83</v>
      </c>
      <c r="D4606" s="385" t="s">
        <v>17638</v>
      </c>
    </row>
    <row r="4607" spans="1:4" x14ac:dyDescent="0.25">
      <c r="A4607" s="384" t="s">
        <v>17639</v>
      </c>
      <c r="B4607" s="384" t="s">
        <v>17640</v>
      </c>
      <c r="C4607" s="384" t="s">
        <v>83</v>
      </c>
      <c r="D4607" s="385" t="s">
        <v>17641</v>
      </c>
    </row>
    <row r="4608" spans="1:4" x14ac:dyDescent="0.25">
      <c r="A4608" s="384" t="s">
        <v>17642</v>
      </c>
      <c r="B4608" s="384" t="s">
        <v>17643</v>
      </c>
      <c r="C4608" s="384" t="s">
        <v>83</v>
      </c>
      <c r="D4608" s="385" t="s">
        <v>17644</v>
      </c>
    </row>
    <row r="4609" spans="1:4" x14ac:dyDescent="0.25">
      <c r="A4609" s="384" t="s">
        <v>17645</v>
      </c>
      <c r="B4609" s="384" t="s">
        <v>17646</v>
      </c>
      <c r="C4609" s="384" t="s">
        <v>83</v>
      </c>
      <c r="D4609" s="385" t="s">
        <v>17644</v>
      </c>
    </row>
    <row r="4610" spans="1:4" x14ac:dyDescent="0.25">
      <c r="A4610" s="384" t="s">
        <v>17647</v>
      </c>
      <c r="B4610" s="384" t="s">
        <v>17648</v>
      </c>
      <c r="C4610" s="384" t="s">
        <v>83</v>
      </c>
      <c r="D4610" s="385" t="s">
        <v>17649</v>
      </c>
    </row>
    <row r="4611" spans="1:4" x14ac:dyDescent="0.25">
      <c r="A4611" s="384" t="s">
        <v>17650</v>
      </c>
      <c r="B4611" s="384" t="s">
        <v>17651</v>
      </c>
      <c r="C4611" s="384" t="s">
        <v>83</v>
      </c>
      <c r="D4611" s="385" t="s">
        <v>17652</v>
      </c>
    </row>
    <row r="4612" spans="1:4" x14ac:dyDescent="0.25">
      <c r="A4612" s="384" t="s">
        <v>17653</v>
      </c>
      <c r="B4612" s="384" t="s">
        <v>17654</v>
      </c>
      <c r="C4612" s="384" t="s">
        <v>83</v>
      </c>
      <c r="D4612" s="385" t="s">
        <v>17655</v>
      </c>
    </row>
    <row r="4613" spans="1:4" x14ac:dyDescent="0.25">
      <c r="A4613" s="384" t="s">
        <v>17656</v>
      </c>
      <c r="B4613" s="384" t="s">
        <v>17657</v>
      </c>
      <c r="C4613" s="384" t="s">
        <v>83</v>
      </c>
      <c r="D4613" s="385" t="s">
        <v>17658</v>
      </c>
    </row>
    <row r="4614" spans="1:4" x14ac:dyDescent="0.25">
      <c r="A4614" s="384" t="s">
        <v>17659</v>
      </c>
      <c r="B4614" s="384" t="s">
        <v>17660</v>
      </c>
      <c r="C4614" s="384" t="s">
        <v>83</v>
      </c>
      <c r="D4614" s="385" t="s">
        <v>17661</v>
      </c>
    </row>
    <row r="4615" spans="1:4" x14ac:dyDescent="0.25">
      <c r="A4615" s="384" t="s">
        <v>17662</v>
      </c>
      <c r="B4615" s="384" t="s">
        <v>17663</v>
      </c>
      <c r="C4615" s="384" t="s">
        <v>83</v>
      </c>
      <c r="D4615" s="385" t="s">
        <v>17664</v>
      </c>
    </row>
    <row r="4616" spans="1:4" x14ac:dyDescent="0.25">
      <c r="A4616" s="384" t="s">
        <v>17665</v>
      </c>
      <c r="B4616" s="384" t="s">
        <v>17666</v>
      </c>
      <c r="C4616" s="384" t="s">
        <v>83</v>
      </c>
      <c r="D4616" s="385" t="s">
        <v>17667</v>
      </c>
    </row>
    <row r="4617" spans="1:4" x14ac:dyDescent="0.25">
      <c r="A4617" s="384" t="s">
        <v>17668</v>
      </c>
      <c r="B4617" s="384" t="s">
        <v>17669</v>
      </c>
      <c r="C4617" s="384" t="s">
        <v>83</v>
      </c>
      <c r="D4617" s="385" t="s">
        <v>17670</v>
      </c>
    </row>
    <row r="4618" spans="1:4" x14ac:dyDescent="0.25">
      <c r="A4618" s="384" t="s">
        <v>17671</v>
      </c>
      <c r="B4618" s="384" t="s">
        <v>17672</v>
      </c>
      <c r="C4618" s="384" t="s">
        <v>83</v>
      </c>
      <c r="D4618" s="385" t="s">
        <v>17673</v>
      </c>
    </row>
    <row r="4619" spans="1:4" x14ac:dyDescent="0.25">
      <c r="A4619" s="384" t="s">
        <v>17674</v>
      </c>
      <c r="B4619" s="384" t="s">
        <v>17675</v>
      </c>
      <c r="C4619" s="384" t="s">
        <v>83</v>
      </c>
      <c r="D4619" s="385" t="s">
        <v>17676</v>
      </c>
    </row>
    <row r="4620" spans="1:4" x14ac:dyDescent="0.25">
      <c r="A4620" s="384" t="s">
        <v>17677</v>
      </c>
      <c r="B4620" s="384" t="s">
        <v>17678</v>
      </c>
      <c r="C4620" s="384" t="s">
        <v>83</v>
      </c>
      <c r="D4620" s="385" t="s">
        <v>17679</v>
      </c>
    </row>
    <row r="4621" spans="1:4" x14ac:dyDescent="0.25">
      <c r="A4621" s="384" t="s">
        <v>17680</v>
      </c>
      <c r="B4621" s="384" t="s">
        <v>17681</v>
      </c>
      <c r="C4621" s="384" t="s">
        <v>83</v>
      </c>
      <c r="D4621" s="385" t="s">
        <v>12054</v>
      </c>
    </row>
    <row r="4622" spans="1:4" x14ac:dyDescent="0.25">
      <c r="A4622" s="384" t="s">
        <v>17682</v>
      </c>
      <c r="B4622" s="384" t="s">
        <v>17683</v>
      </c>
      <c r="C4622" s="384" t="s">
        <v>83</v>
      </c>
      <c r="D4622" s="385" t="s">
        <v>16189</v>
      </c>
    </row>
    <row r="4623" spans="1:4" x14ac:dyDescent="0.25">
      <c r="A4623" s="384" t="s">
        <v>17684</v>
      </c>
      <c r="B4623" s="384" t="s">
        <v>17685</v>
      </c>
      <c r="C4623" s="384" t="s">
        <v>83</v>
      </c>
      <c r="D4623" s="385" t="s">
        <v>14523</v>
      </c>
    </row>
    <row r="4624" spans="1:4" x14ac:dyDescent="0.25">
      <c r="A4624" s="384" t="s">
        <v>17686</v>
      </c>
      <c r="B4624" s="384" t="s">
        <v>17687</v>
      </c>
      <c r="C4624" s="384" t="s">
        <v>83</v>
      </c>
      <c r="D4624" s="385" t="s">
        <v>17688</v>
      </c>
    </row>
    <row r="4625" spans="1:4" x14ac:dyDescent="0.25">
      <c r="A4625" s="384" t="s">
        <v>17689</v>
      </c>
      <c r="B4625" s="384" t="s">
        <v>17690</v>
      </c>
      <c r="C4625" s="384" t="s">
        <v>83</v>
      </c>
      <c r="D4625" s="385" t="s">
        <v>17691</v>
      </c>
    </row>
    <row r="4626" spans="1:4" x14ac:dyDescent="0.25">
      <c r="A4626" s="384" t="s">
        <v>17692</v>
      </c>
      <c r="B4626" s="384" t="s">
        <v>17693</v>
      </c>
      <c r="C4626" s="384" t="s">
        <v>83</v>
      </c>
      <c r="D4626" s="385" t="s">
        <v>17694</v>
      </c>
    </row>
    <row r="4627" spans="1:4" x14ac:dyDescent="0.25">
      <c r="A4627" s="384" t="s">
        <v>17695</v>
      </c>
      <c r="B4627" s="384" t="s">
        <v>17696</v>
      </c>
      <c r="C4627" s="384" t="s">
        <v>83</v>
      </c>
      <c r="D4627" s="385" t="s">
        <v>17697</v>
      </c>
    </row>
    <row r="4628" spans="1:4" x14ac:dyDescent="0.25">
      <c r="A4628" s="384" t="s">
        <v>17698</v>
      </c>
      <c r="B4628" s="384" t="s">
        <v>17699</v>
      </c>
      <c r="C4628" s="384" t="s">
        <v>83</v>
      </c>
      <c r="D4628" s="385" t="s">
        <v>17700</v>
      </c>
    </row>
    <row r="4629" spans="1:4" x14ac:dyDescent="0.25">
      <c r="A4629" s="384" t="s">
        <v>17701</v>
      </c>
      <c r="B4629" s="384" t="s">
        <v>17702</v>
      </c>
      <c r="C4629" s="384" t="s">
        <v>83</v>
      </c>
      <c r="D4629" s="385" t="s">
        <v>17703</v>
      </c>
    </row>
    <row r="4630" spans="1:4" x14ac:dyDescent="0.25">
      <c r="A4630" s="384" t="s">
        <v>17704</v>
      </c>
      <c r="B4630" s="384" t="s">
        <v>17705</v>
      </c>
      <c r="C4630" s="384" t="s">
        <v>83</v>
      </c>
      <c r="D4630" s="385" t="s">
        <v>17706</v>
      </c>
    </row>
    <row r="4631" spans="1:4" x14ac:dyDescent="0.25">
      <c r="A4631" s="384" t="s">
        <v>17707</v>
      </c>
      <c r="B4631" s="384" t="s">
        <v>17708</v>
      </c>
      <c r="C4631" s="384" t="s">
        <v>83</v>
      </c>
      <c r="D4631" s="385" t="s">
        <v>17709</v>
      </c>
    </row>
    <row r="4632" spans="1:4" x14ac:dyDescent="0.25">
      <c r="A4632" s="384" t="s">
        <v>17710</v>
      </c>
      <c r="B4632" s="384" t="s">
        <v>17711</v>
      </c>
      <c r="C4632" s="384" t="s">
        <v>83</v>
      </c>
      <c r="D4632" s="385" t="s">
        <v>17712</v>
      </c>
    </row>
    <row r="4633" spans="1:4" x14ac:dyDescent="0.25">
      <c r="A4633" s="384" t="s">
        <v>17713</v>
      </c>
      <c r="B4633" s="384" t="s">
        <v>17714</v>
      </c>
      <c r="C4633" s="384" t="s">
        <v>83</v>
      </c>
      <c r="D4633" s="385" t="s">
        <v>17715</v>
      </c>
    </row>
    <row r="4634" spans="1:4" x14ac:dyDescent="0.25">
      <c r="A4634" s="384" t="s">
        <v>17716</v>
      </c>
      <c r="B4634" s="384" t="s">
        <v>17717</v>
      </c>
      <c r="C4634" s="384" t="s">
        <v>83</v>
      </c>
      <c r="D4634" s="385" t="s">
        <v>17715</v>
      </c>
    </row>
    <row r="4635" spans="1:4" x14ac:dyDescent="0.25">
      <c r="A4635" s="384" t="s">
        <v>17718</v>
      </c>
      <c r="B4635" s="384" t="s">
        <v>17719</v>
      </c>
      <c r="C4635" s="384" t="s">
        <v>83</v>
      </c>
      <c r="D4635" s="385" t="s">
        <v>17720</v>
      </c>
    </row>
    <row r="4636" spans="1:4" x14ac:dyDescent="0.25">
      <c r="A4636" s="384" t="s">
        <v>17721</v>
      </c>
      <c r="B4636" s="384" t="s">
        <v>17722</v>
      </c>
      <c r="C4636" s="384" t="s">
        <v>83</v>
      </c>
      <c r="D4636" s="385" t="s">
        <v>17720</v>
      </c>
    </row>
    <row r="4637" spans="1:4" x14ac:dyDescent="0.25">
      <c r="A4637" s="384" t="s">
        <v>17723</v>
      </c>
      <c r="B4637" s="384" t="s">
        <v>17724</v>
      </c>
      <c r="C4637" s="384" t="s">
        <v>83</v>
      </c>
      <c r="D4637" s="385" t="s">
        <v>17725</v>
      </c>
    </row>
    <row r="4638" spans="1:4" x14ac:dyDescent="0.25">
      <c r="A4638" s="384" t="s">
        <v>17726</v>
      </c>
      <c r="B4638" s="384" t="s">
        <v>17727</v>
      </c>
      <c r="C4638" s="384" t="s">
        <v>83</v>
      </c>
      <c r="D4638" s="385" t="s">
        <v>17725</v>
      </c>
    </row>
    <row r="4639" spans="1:4" x14ac:dyDescent="0.25">
      <c r="A4639" s="384" t="s">
        <v>17728</v>
      </c>
      <c r="B4639" s="384" t="s">
        <v>17729</v>
      </c>
      <c r="C4639" s="384" t="s">
        <v>83</v>
      </c>
      <c r="D4639" s="385" t="s">
        <v>17730</v>
      </c>
    </row>
    <row r="4640" spans="1:4" x14ac:dyDescent="0.25">
      <c r="A4640" s="384" t="s">
        <v>17731</v>
      </c>
      <c r="B4640" s="384" t="s">
        <v>17732</v>
      </c>
      <c r="C4640" s="384" t="s">
        <v>83</v>
      </c>
      <c r="D4640" s="385" t="s">
        <v>5740</v>
      </c>
    </row>
    <row r="4641" spans="1:4" x14ac:dyDescent="0.25">
      <c r="A4641" s="384" t="s">
        <v>17733</v>
      </c>
      <c r="B4641" s="384" t="s">
        <v>17734</v>
      </c>
      <c r="C4641" s="384" t="s">
        <v>83</v>
      </c>
      <c r="D4641" s="385" t="s">
        <v>17735</v>
      </c>
    </row>
    <row r="4642" spans="1:4" x14ac:dyDescent="0.25">
      <c r="A4642" s="384" t="s">
        <v>17736</v>
      </c>
      <c r="B4642" s="384" t="s">
        <v>17737</v>
      </c>
      <c r="C4642" s="384" t="s">
        <v>83</v>
      </c>
      <c r="D4642" s="385" t="s">
        <v>17738</v>
      </c>
    </row>
    <row r="4643" spans="1:4" x14ac:dyDescent="0.25">
      <c r="A4643" s="384" t="s">
        <v>17739</v>
      </c>
      <c r="B4643" s="384" t="s">
        <v>17740</v>
      </c>
      <c r="C4643" s="384" t="s">
        <v>83</v>
      </c>
      <c r="D4643" s="385" t="s">
        <v>17741</v>
      </c>
    </row>
    <row r="4644" spans="1:4" x14ac:dyDescent="0.25">
      <c r="A4644" s="384" t="s">
        <v>17742</v>
      </c>
      <c r="B4644" s="384" t="s">
        <v>17743</v>
      </c>
      <c r="C4644" s="384" t="s">
        <v>83</v>
      </c>
      <c r="D4644" s="385" t="s">
        <v>17744</v>
      </c>
    </row>
    <row r="4645" spans="1:4" x14ac:dyDescent="0.25">
      <c r="A4645" s="384" t="s">
        <v>17745</v>
      </c>
      <c r="B4645" s="384" t="s">
        <v>17746</v>
      </c>
      <c r="C4645" s="384" t="s">
        <v>83</v>
      </c>
      <c r="D4645" s="385" t="s">
        <v>8131</v>
      </c>
    </row>
    <row r="4646" spans="1:4" x14ac:dyDescent="0.25">
      <c r="A4646" s="384" t="s">
        <v>17747</v>
      </c>
      <c r="B4646" s="384" t="s">
        <v>17748</v>
      </c>
      <c r="C4646" s="384" t="s">
        <v>83</v>
      </c>
      <c r="D4646" s="385" t="s">
        <v>17749</v>
      </c>
    </row>
    <row r="4647" spans="1:4" x14ac:dyDescent="0.25">
      <c r="A4647" s="384" t="s">
        <v>17750</v>
      </c>
      <c r="B4647" s="384" t="s">
        <v>17751</v>
      </c>
      <c r="C4647" s="384" t="s">
        <v>83</v>
      </c>
      <c r="D4647" s="385" t="s">
        <v>17752</v>
      </c>
    </row>
    <row r="4648" spans="1:4" x14ac:dyDescent="0.25">
      <c r="A4648" s="384" t="s">
        <v>17753</v>
      </c>
      <c r="B4648" s="384" t="s">
        <v>17754</v>
      </c>
      <c r="C4648" s="384" t="s">
        <v>83</v>
      </c>
      <c r="D4648" s="385" t="s">
        <v>17755</v>
      </c>
    </row>
    <row r="4649" spans="1:4" x14ac:dyDescent="0.25">
      <c r="A4649" s="384" t="s">
        <v>17756</v>
      </c>
      <c r="B4649" s="384" t="s">
        <v>17757</v>
      </c>
      <c r="C4649" s="384" t="s">
        <v>83</v>
      </c>
      <c r="D4649" s="385" t="s">
        <v>17758</v>
      </c>
    </row>
    <row r="4650" spans="1:4" x14ac:dyDescent="0.25">
      <c r="A4650" s="384" t="s">
        <v>17759</v>
      </c>
      <c r="B4650" s="384" t="s">
        <v>17760</v>
      </c>
      <c r="C4650" s="384" t="s">
        <v>83</v>
      </c>
      <c r="D4650" s="385" t="s">
        <v>17761</v>
      </c>
    </row>
    <row r="4651" spans="1:4" x14ac:dyDescent="0.25">
      <c r="A4651" s="384" t="s">
        <v>17762</v>
      </c>
      <c r="B4651" s="384" t="s">
        <v>17763</v>
      </c>
      <c r="C4651" s="384" t="s">
        <v>83</v>
      </c>
      <c r="D4651" s="385" t="s">
        <v>17764</v>
      </c>
    </row>
    <row r="4652" spans="1:4" x14ac:dyDescent="0.25">
      <c r="A4652" s="384" t="s">
        <v>17765</v>
      </c>
      <c r="B4652" s="384" t="s">
        <v>17766</v>
      </c>
      <c r="C4652" s="384" t="s">
        <v>83</v>
      </c>
      <c r="D4652" s="385" t="s">
        <v>17767</v>
      </c>
    </row>
    <row r="4653" spans="1:4" x14ac:dyDescent="0.25">
      <c r="A4653" s="384" t="s">
        <v>17768</v>
      </c>
      <c r="B4653" s="384" t="s">
        <v>17769</v>
      </c>
      <c r="C4653" s="384" t="s">
        <v>83</v>
      </c>
      <c r="D4653" s="385" t="s">
        <v>17770</v>
      </c>
    </row>
    <row r="4654" spans="1:4" x14ac:dyDescent="0.25">
      <c r="A4654" s="384" t="s">
        <v>17771</v>
      </c>
      <c r="B4654" s="384" t="s">
        <v>17772</v>
      </c>
      <c r="C4654" s="384" t="s">
        <v>83</v>
      </c>
      <c r="D4654" s="385" t="s">
        <v>17773</v>
      </c>
    </row>
    <row r="4655" spans="1:4" x14ac:dyDescent="0.25">
      <c r="A4655" s="384" t="s">
        <v>17774</v>
      </c>
      <c r="B4655" s="384" t="s">
        <v>17775</v>
      </c>
      <c r="C4655" s="384" t="s">
        <v>83</v>
      </c>
      <c r="D4655" s="385" t="s">
        <v>17776</v>
      </c>
    </row>
    <row r="4656" spans="1:4" x14ac:dyDescent="0.25">
      <c r="A4656" s="384" t="s">
        <v>17777</v>
      </c>
      <c r="B4656" s="384" t="s">
        <v>17778</v>
      </c>
      <c r="C4656" s="384" t="s">
        <v>83</v>
      </c>
      <c r="D4656" s="385" t="s">
        <v>17779</v>
      </c>
    </row>
    <row r="4657" spans="1:4" x14ac:dyDescent="0.25">
      <c r="A4657" s="384" t="s">
        <v>17780</v>
      </c>
      <c r="B4657" s="384" t="s">
        <v>17781</v>
      </c>
      <c r="C4657" s="384" t="s">
        <v>83</v>
      </c>
      <c r="D4657" s="385" t="s">
        <v>17782</v>
      </c>
    </row>
    <row r="4658" spans="1:4" x14ac:dyDescent="0.25">
      <c r="A4658" s="384" t="s">
        <v>17783</v>
      </c>
      <c r="B4658" s="384" t="s">
        <v>17784</v>
      </c>
      <c r="C4658" s="384" t="s">
        <v>83</v>
      </c>
      <c r="D4658" s="385" t="s">
        <v>17785</v>
      </c>
    </row>
    <row r="4659" spans="1:4" x14ac:dyDescent="0.25">
      <c r="A4659" s="384" t="s">
        <v>17786</v>
      </c>
      <c r="B4659" s="384" t="s">
        <v>17787</v>
      </c>
      <c r="C4659" s="384" t="s">
        <v>83</v>
      </c>
      <c r="D4659" s="385" t="s">
        <v>17788</v>
      </c>
    </row>
    <row r="4660" spans="1:4" x14ac:dyDescent="0.25">
      <c r="A4660" s="384" t="s">
        <v>17789</v>
      </c>
      <c r="B4660" s="384" t="s">
        <v>17790</v>
      </c>
      <c r="C4660" s="384" t="s">
        <v>83</v>
      </c>
      <c r="D4660" s="385" t="s">
        <v>17791</v>
      </c>
    </row>
    <row r="4661" spans="1:4" x14ac:dyDescent="0.25">
      <c r="A4661" s="384" t="s">
        <v>17792</v>
      </c>
      <c r="B4661" s="384" t="s">
        <v>17793</v>
      </c>
      <c r="C4661" s="384" t="s">
        <v>83</v>
      </c>
      <c r="D4661" s="385" t="s">
        <v>17794</v>
      </c>
    </row>
    <row r="4662" spans="1:4" x14ac:dyDescent="0.25">
      <c r="A4662" s="384" t="s">
        <v>17795</v>
      </c>
      <c r="B4662" s="384" t="s">
        <v>17796</v>
      </c>
      <c r="C4662" s="384" t="s">
        <v>83</v>
      </c>
      <c r="D4662" s="385" t="s">
        <v>17797</v>
      </c>
    </row>
    <row r="4663" spans="1:4" x14ac:dyDescent="0.25">
      <c r="A4663" s="384" t="s">
        <v>17798</v>
      </c>
      <c r="B4663" s="384" t="s">
        <v>17799</v>
      </c>
      <c r="C4663" s="384" t="s">
        <v>83</v>
      </c>
      <c r="D4663" s="385" t="s">
        <v>14215</v>
      </c>
    </row>
    <row r="4664" spans="1:4" x14ac:dyDescent="0.25">
      <c r="A4664" s="384" t="s">
        <v>17800</v>
      </c>
      <c r="B4664" s="384" t="s">
        <v>17801</v>
      </c>
      <c r="C4664" s="384" t="s">
        <v>83</v>
      </c>
      <c r="D4664" s="385" t="s">
        <v>14215</v>
      </c>
    </row>
    <row r="4665" spans="1:4" x14ac:dyDescent="0.25">
      <c r="A4665" s="384" t="s">
        <v>17802</v>
      </c>
      <c r="B4665" s="384" t="s">
        <v>17803</v>
      </c>
      <c r="C4665" s="384" t="s">
        <v>83</v>
      </c>
      <c r="D4665" s="385" t="s">
        <v>17804</v>
      </c>
    </row>
    <row r="4666" spans="1:4" x14ac:dyDescent="0.25">
      <c r="A4666" s="384" t="s">
        <v>17805</v>
      </c>
      <c r="B4666" s="384" t="s">
        <v>17806</v>
      </c>
      <c r="C4666" s="384" t="s">
        <v>83</v>
      </c>
      <c r="D4666" s="385" t="s">
        <v>17804</v>
      </c>
    </row>
    <row r="4667" spans="1:4" x14ac:dyDescent="0.25">
      <c r="A4667" s="384" t="s">
        <v>17807</v>
      </c>
      <c r="B4667" s="384" t="s">
        <v>17808</v>
      </c>
      <c r="C4667" s="384" t="s">
        <v>83</v>
      </c>
      <c r="D4667" s="385" t="s">
        <v>17809</v>
      </c>
    </row>
    <row r="4668" spans="1:4" x14ac:dyDescent="0.25">
      <c r="A4668" s="384" t="s">
        <v>17810</v>
      </c>
      <c r="B4668" s="384" t="s">
        <v>17811</v>
      </c>
      <c r="C4668" s="384" t="s">
        <v>83</v>
      </c>
      <c r="D4668" s="385" t="s">
        <v>17809</v>
      </c>
    </row>
    <row r="4669" spans="1:4" x14ac:dyDescent="0.25">
      <c r="A4669" s="384" t="s">
        <v>17812</v>
      </c>
      <c r="B4669" s="384" t="s">
        <v>17813</v>
      </c>
      <c r="C4669" s="384" t="s">
        <v>83</v>
      </c>
      <c r="D4669" s="385" t="s">
        <v>17814</v>
      </c>
    </row>
    <row r="4670" spans="1:4" x14ac:dyDescent="0.25">
      <c r="A4670" s="384" t="s">
        <v>17815</v>
      </c>
      <c r="B4670" s="384" t="s">
        <v>17816</v>
      </c>
      <c r="C4670" s="384" t="s">
        <v>83</v>
      </c>
      <c r="D4670" s="385" t="s">
        <v>17817</v>
      </c>
    </row>
    <row r="4671" spans="1:4" x14ac:dyDescent="0.25">
      <c r="A4671" s="384" t="s">
        <v>17818</v>
      </c>
      <c r="B4671" s="384" t="s">
        <v>17819</v>
      </c>
      <c r="C4671" s="384" t="s">
        <v>83</v>
      </c>
      <c r="D4671" s="385" t="s">
        <v>17820</v>
      </c>
    </row>
    <row r="4672" spans="1:4" x14ac:dyDescent="0.25">
      <c r="A4672" s="384" t="s">
        <v>17821</v>
      </c>
      <c r="B4672" s="384" t="s">
        <v>17822</v>
      </c>
      <c r="C4672" s="384" t="s">
        <v>83</v>
      </c>
      <c r="D4672" s="385" t="s">
        <v>17823</v>
      </c>
    </row>
    <row r="4673" spans="1:4" x14ac:dyDescent="0.25">
      <c r="A4673" s="384" t="s">
        <v>17824</v>
      </c>
      <c r="B4673" s="384" t="s">
        <v>17825</v>
      </c>
      <c r="C4673" s="384" t="s">
        <v>83</v>
      </c>
      <c r="D4673" s="385" t="s">
        <v>17826</v>
      </c>
    </row>
    <row r="4674" spans="1:4" x14ac:dyDescent="0.25">
      <c r="A4674" s="384" t="s">
        <v>17827</v>
      </c>
      <c r="B4674" s="384" t="s">
        <v>17828</v>
      </c>
      <c r="C4674" s="384" t="s">
        <v>83</v>
      </c>
      <c r="D4674" s="385" t="s">
        <v>17829</v>
      </c>
    </row>
    <row r="4675" spans="1:4" x14ac:dyDescent="0.25">
      <c r="A4675" s="384" t="s">
        <v>17830</v>
      </c>
      <c r="B4675" s="384" t="s">
        <v>17831</v>
      </c>
      <c r="C4675" s="384" t="s">
        <v>83</v>
      </c>
      <c r="D4675" s="385" t="s">
        <v>17832</v>
      </c>
    </row>
    <row r="4676" spans="1:4" x14ac:dyDescent="0.25">
      <c r="A4676" s="384" t="s">
        <v>17833</v>
      </c>
      <c r="B4676" s="384" t="s">
        <v>17834</v>
      </c>
      <c r="C4676" s="384" t="s">
        <v>83</v>
      </c>
      <c r="D4676" s="385" t="s">
        <v>17835</v>
      </c>
    </row>
    <row r="4677" spans="1:4" x14ac:dyDescent="0.25">
      <c r="A4677" s="384" t="s">
        <v>17836</v>
      </c>
      <c r="B4677" s="384" t="s">
        <v>17837</v>
      </c>
      <c r="C4677" s="384" t="s">
        <v>83</v>
      </c>
      <c r="D4677" s="385" t="s">
        <v>17838</v>
      </c>
    </row>
    <row r="4678" spans="1:4" x14ac:dyDescent="0.25">
      <c r="A4678" s="384" t="s">
        <v>17839</v>
      </c>
      <c r="B4678" s="384" t="s">
        <v>17840</v>
      </c>
      <c r="C4678" s="384" t="s">
        <v>83</v>
      </c>
      <c r="D4678" s="385" t="s">
        <v>17841</v>
      </c>
    </row>
    <row r="4679" spans="1:4" x14ac:dyDescent="0.25">
      <c r="A4679" s="384" t="s">
        <v>17842</v>
      </c>
      <c r="B4679" s="384" t="s">
        <v>17843</v>
      </c>
      <c r="C4679" s="384" t="s">
        <v>83</v>
      </c>
      <c r="D4679" s="385" t="s">
        <v>17844</v>
      </c>
    </row>
    <row r="4680" spans="1:4" x14ac:dyDescent="0.25">
      <c r="A4680" s="384" t="s">
        <v>17845</v>
      </c>
      <c r="B4680" s="384" t="s">
        <v>17846</v>
      </c>
      <c r="C4680" s="384" t="s">
        <v>83</v>
      </c>
      <c r="D4680" s="385" t="s">
        <v>17847</v>
      </c>
    </row>
    <row r="4681" spans="1:4" x14ac:dyDescent="0.25">
      <c r="A4681" s="384" t="s">
        <v>17848</v>
      </c>
      <c r="B4681" s="384" t="s">
        <v>17849</v>
      </c>
      <c r="C4681" s="384" t="s">
        <v>83</v>
      </c>
      <c r="D4681" s="385" t="s">
        <v>17850</v>
      </c>
    </row>
    <row r="4682" spans="1:4" x14ac:dyDescent="0.25">
      <c r="A4682" s="384" t="s">
        <v>17851</v>
      </c>
      <c r="B4682" s="384" t="s">
        <v>17852</v>
      </c>
      <c r="C4682" s="384" t="s">
        <v>83</v>
      </c>
      <c r="D4682" s="385" t="s">
        <v>17853</v>
      </c>
    </row>
    <row r="4683" spans="1:4" x14ac:dyDescent="0.25">
      <c r="A4683" s="384" t="s">
        <v>17854</v>
      </c>
      <c r="B4683" s="384" t="s">
        <v>17855</v>
      </c>
      <c r="C4683" s="384" t="s">
        <v>83</v>
      </c>
      <c r="D4683" s="385" t="s">
        <v>17856</v>
      </c>
    </row>
    <row r="4684" spans="1:4" x14ac:dyDescent="0.25">
      <c r="A4684" s="384" t="s">
        <v>17857</v>
      </c>
      <c r="B4684" s="384" t="s">
        <v>17858</v>
      </c>
      <c r="C4684" s="384" t="s">
        <v>83</v>
      </c>
      <c r="D4684" s="385" t="s">
        <v>17859</v>
      </c>
    </row>
    <row r="4685" spans="1:4" x14ac:dyDescent="0.25">
      <c r="A4685" s="384" t="s">
        <v>17860</v>
      </c>
      <c r="B4685" s="384" t="s">
        <v>17861</v>
      </c>
      <c r="C4685" s="384" t="s">
        <v>83</v>
      </c>
      <c r="D4685" s="385" t="s">
        <v>17862</v>
      </c>
    </row>
    <row r="4686" spans="1:4" x14ac:dyDescent="0.25">
      <c r="A4686" s="384" t="s">
        <v>17863</v>
      </c>
      <c r="B4686" s="384" t="s">
        <v>17864</v>
      </c>
      <c r="C4686" s="384" t="s">
        <v>83</v>
      </c>
      <c r="D4686" s="385" t="s">
        <v>17865</v>
      </c>
    </row>
    <row r="4687" spans="1:4" x14ac:dyDescent="0.25">
      <c r="A4687" s="384" t="s">
        <v>17866</v>
      </c>
      <c r="B4687" s="384" t="s">
        <v>17867</v>
      </c>
      <c r="C4687" s="384" t="s">
        <v>83</v>
      </c>
      <c r="D4687" s="385" t="s">
        <v>17865</v>
      </c>
    </row>
    <row r="4688" spans="1:4" x14ac:dyDescent="0.25">
      <c r="A4688" s="384" t="s">
        <v>17868</v>
      </c>
      <c r="B4688" s="384" t="s">
        <v>17869</v>
      </c>
      <c r="C4688" s="384" t="s">
        <v>83</v>
      </c>
      <c r="D4688" s="385" t="s">
        <v>17870</v>
      </c>
    </row>
    <row r="4689" spans="1:4" x14ac:dyDescent="0.25">
      <c r="A4689" s="384" t="s">
        <v>17871</v>
      </c>
      <c r="B4689" s="384" t="s">
        <v>17872</v>
      </c>
      <c r="C4689" s="384" t="s">
        <v>83</v>
      </c>
      <c r="D4689" s="385" t="s">
        <v>17870</v>
      </c>
    </row>
    <row r="4690" spans="1:4" x14ac:dyDescent="0.25">
      <c r="A4690" s="384" t="s">
        <v>17873</v>
      </c>
      <c r="B4690" s="384" t="s">
        <v>17874</v>
      </c>
      <c r="C4690" s="384" t="s">
        <v>83</v>
      </c>
      <c r="D4690" s="385" t="s">
        <v>17875</v>
      </c>
    </row>
    <row r="4691" spans="1:4" x14ac:dyDescent="0.25">
      <c r="A4691" s="384" t="s">
        <v>17876</v>
      </c>
      <c r="B4691" s="384" t="s">
        <v>17877</v>
      </c>
      <c r="C4691" s="384" t="s">
        <v>83</v>
      </c>
      <c r="D4691" s="385" t="s">
        <v>17875</v>
      </c>
    </row>
    <row r="4692" spans="1:4" x14ac:dyDescent="0.25">
      <c r="A4692" s="384" t="s">
        <v>17878</v>
      </c>
      <c r="B4692" s="384" t="s">
        <v>17879</v>
      </c>
      <c r="C4692" s="384" t="s">
        <v>83</v>
      </c>
      <c r="D4692" s="385" t="s">
        <v>17880</v>
      </c>
    </row>
    <row r="4693" spans="1:4" x14ac:dyDescent="0.25">
      <c r="A4693" s="384" t="s">
        <v>17881</v>
      </c>
      <c r="B4693" s="384" t="s">
        <v>17882</v>
      </c>
      <c r="C4693" s="384" t="s">
        <v>83</v>
      </c>
      <c r="D4693" s="385" t="s">
        <v>17883</v>
      </c>
    </row>
    <row r="4694" spans="1:4" x14ac:dyDescent="0.25">
      <c r="A4694" s="384" t="s">
        <v>17884</v>
      </c>
      <c r="B4694" s="384" t="s">
        <v>17885</v>
      </c>
      <c r="C4694" s="384" t="s">
        <v>83</v>
      </c>
      <c r="D4694" s="385" t="s">
        <v>17886</v>
      </c>
    </row>
    <row r="4695" spans="1:4" x14ac:dyDescent="0.25">
      <c r="A4695" s="384" t="s">
        <v>17887</v>
      </c>
      <c r="B4695" s="384" t="s">
        <v>17888</v>
      </c>
      <c r="C4695" s="384" t="s">
        <v>83</v>
      </c>
      <c r="D4695" s="385" t="s">
        <v>17889</v>
      </c>
    </row>
    <row r="4696" spans="1:4" x14ac:dyDescent="0.25">
      <c r="A4696" s="384" t="s">
        <v>17890</v>
      </c>
      <c r="B4696" s="384" t="s">
        <v>17891</v>
      </c>
      <c r="C4696" s="384" t="s">
        <v>83</v>
      </c>
      <c r="D4696" s="385" t="s">
        <v>17892</v>
      </c>
    </row>
    <row r="4697" spans="1:4" x14ac:dyDescent="0.25">
      <c r="A4697" s="384" t="s">
        <v>17893</v>
      </c>
      <c r="B4697" s="384" t="s">
        <v>17894</v>
      </c>
      <c r="C4697" s="384" t="s">
        <v>83</v>
      </c>
      <c r="D4697" s="385" t="s">
        <v>17895</v>
      </c>
    </row>
    <row r="4698" spans="1:4" x14ac:dyDescent="0.25">
      <c r="A4698" s="384" t="s">
        <v>17896</v>
      </c>
      <c r="B4698" s="384" t="s">
        <v>17897</v>
      </c>
      <c r="C4698" s="384" t="s">
        <v>83</v>
      </c>
      <c r="D4698" s="385" t="s">
        <v>17898</v>
      </c>
    </row>
    <row r="4699" spans="1:4" x14ac:dyDescent="0.25">
      <c r="A4699" s="384" t="s">
        <v>17899</v>
      </c>
      <c r="B4699" s="384" t="s">
        <v>17900</v>
      </c>
      <c r="C4699" s="384" t="s">
        <v>83</v>
      </c>
      <c r="D4699" s="385" t="s">
        <v>17901</v>
      </c>
    </row>
    <row r="4700" spans="1:4" x14ac:dyDescent="0.25">
      <c r="A4700" s="384" t="s">
        <v>17902</v>
      </c>
      <c r="B4700" s="384" t="s">
        <v>17903</v>
      </c>
      <c r="C4700" s="384" t="s">
        <v>83</v>
      </c>
      <c r="D4700" s="385" t="s">
        <v>17904</v>
      </c>
    </row>
    <row r="4701" spans="1:4" x14ac:dyDescent="0.25">
      <c r="A4701" s="384" t="s">
        <v>17905</v>
      </c>
      <c r="B4701" s="384" t="s">
        <v>17906</v>
      </c>
      <c r="C4701" s="384" t="s">
        <v>83</v>
      </c>
      <c r="D4701" s="385" t="s">
        <v>17907</v>
      </c>
    </row>
    <row r="4702" spans="1:4" x14ac:dyDescent="0.25">
      <c r="A4702" s="384" t="s">
        <v>17908</v>
      </c>
      <c r="B4702" s="384" t="s">
        <v>17909</v>
      </c>
      <c r="C4702" s="384" t="s">
        <v>83</v>
      </c>
      <c r="D4702" s="385" t="s">
        <v>17910</v>
      </c>
    </row>
    <row r="4703" spans="1:4" x14ac:dyDescent="0.25">
      <c r="A4703" s="384" t="s">
        <v>17911</v>
      </c>
      <c r="B4703" s="384" t="s">
        <v>17912</v>
      </c>
      <c r="C4703" s="384" t="s">
        <v>83</v>
      </c>
      <c r="D4703" s="385" t="s">
        <v>17913</v>
      </c>
    </row>
    <row r="4704" spans="1:4" x14ac:dyDescent="0.25">
      <c r="A4704" s="384" t="s">
        <v>17914</v>
      </c>
      <c r="B4704" s="384" t="s">
        <v>17915</v>
      </c>
      <c r="C4704" s="384" t="s">
        <v>83</v>
      </c>
      <c r="D4704" s="385" t="s">
        <v>17916</v>
      </c>
    </row>
    <row r="4705" spans="1:4" x14ac:dyDescent="0.25">
      <c r="A4705" s="384" t="s">
        <v>17917</v>
      </c>
      <c r="B4705" s="384" t="s">
        <v>17918</v>
      </c>
      <c r="C4705" s="384" t="s">
        <v>83</v>
      </c>
      <c r="D4705" s="385" t="s">
        <v>17919</v>
      </c>
    </row>
    <row r="4706" spans="1:4" x14ac:dyDescent="0.25">
      <c r="A4706" s="384" t="s">
        <v>17920</v>
      </c>
      <c r="B4706" s="384" t="s">
        <v>17921</v>
      </c>
      <c r="C4706" s="384" t="s">
        <v>83</v>
      </c>
      <c r="D4706" s="385" t="s">
        <v>17922</v>
      </c>
    </row>
    <row r="4707" spans="1:4" x14ac:dyDescent="0.25">
      <c r="A4707" s="384" t="s">
        <v>17923</v>
      </c>
      <c r="B4707" s="384" t="s">
        <v>17924</v>
      </c>
      <c r="C4707" s="384" t="s">
        <v>83</v>
      </c>
      <c r="D4707" s="385" t="s">
        <v>17925</v>
      </c>
    </row>
    <row r="4708" spans="1:4" x14ac:dyDescent="0.25">
      <c r="A4708" s="384" t="s">
        <v>17926</v>
      </c>
      <c r="B4708" s="384" t="s">
        <v>17927</v>
      </c>
      <c r="C4708" s="384" t="s">
        <v>83</v>
      </c>
      <c r="D4708" s="385" t="s">
        <v>17928</v>
      </c>
    </row>
    <row r="4709" spans="1:4" x14ac:dyDescent="0.25">
      <c r="A4709" s="384" t="s">
        <v>17929</v>
      </c>
      <c r="B4709" s="384" t="s">
        <v>17930</v>
      </c>
      <c r="C4709" s="384" t="s">
        <v>83</v>
      </c>
      <c r="D4709" s="385" t="s">
        <v>17931</v>
      </c>
    </row>
    <row r="4710" spans="1:4" x14ac:dyDescent="0.25">
      <c r="A4710" s="384" t="s">
        <v>17932</v>
      </c>
      <c r="B4710" s="384" t="s">
        <v>17933</v>
      </c>
      <c r="C4710" s="384" t="s">
        <v>83</v>
      </c>
      <c r="D4710" s="385" t="s">
        <v>17934</v>
      </c>
    </row>
    <row r="4711" spans="1:4" x14ac:dyDescent="0.25">
      <c r="A4711" s="384" t="s">
        <v>17935</v>
      </c>
      <c r="B4711" s="384" t="s">
        <v>17936</v>
      </c>
      <c r="C4711" s="384" t="s">
        <v>83</v>
      </c>
      <c r="D4711" s="385" t="s">
        <v>17937</v>
      </c>
    </row>
    <row r="4712" spans="1:4" x14ac:dyDescent="0.25">
      <c r="A4712" s="384" t="s">
        <v>17938</v>
      </c>
      <c r="B4712" s="384" t="s">
        <v>17939</v>
      </c>
      <c r="C4712" s="384" t="s">
        <v>83</v>
      </c>
      <c r="D4712" s="385" t="s">
        <v>17940</v>
      </c>
    </row>
    <row r="4713" spans="1:4" x14ac:dyDescent="0.25">
      <c r="A4713" s="384" t="s">
        <v>17941</v>
      </c>
      <c r="B4713" s="384" t="s">
        <v>17942</v>
      </c>
      <c r="C4713" s="384" t="s">
        <v>83</v>
      </c>
      <c r="D4713" s="385" t="s">
        <v>17943</v>
      </c>
    </row>
    <row r="4714" spans="1:4" x14ac:dyDescent="0.25">
      <c r="A4714" s="384" t="s">
        <v>17944</v>
      </c>
      <c r="B4714" s="384" t="s">
        <v>17945</v>
      </c>
      <c r="C4714" s="384" t="s">
        <v>83</v>
      </c>
      <c r="D4714" s="385" t="s">
        <v>17946</v>
      </c>
    </row>
    <row r="4715" spans="1:4" x14ac:dyDescent="0.25">
      <c r="A4715" s="384" t="s">
        <v>17947</v>
      </c>
      <c r="B4715" s="384" t="s">
        <v>17948</v>
      </c>
      <c r="C4715" s="384" t="s">
        <v>83</v>
      </c>
      <c r="D4715" s="385" t="s">
        <v>17949</v>
      </c>
    </row>
    <row r="4716" spans="1:4" x14ac:dyDescent="0.25">
      <c r="A4716" s="384" t="s">
        <v>17950</v>
      </c>
      <c r="B4716" s="384" t="s">
        <v>17951</v>
      </c>
      <c r="C4716" s="384" t="s">
        <v>83</v>
      </c>
      <c r="D4716" s="385" t="s">
        <v>17952</v>
      </c>
    </row>
    <row r="4717" spans="1:4" x14ac:dyDescent="0.25">
      <c r="A4717" s="384" t="s">
        <v>17953</v>
      </c>
      <c r="B4717" s="384" t="s">
        <v>17954</v>
      </c>
      <c r="C4717" s="384" t="s">
        <v>83</v>
      </c>
      <c r="D4717" s="385" t="s">
        <v>17955</v>
      </c>
    </row>
    <row r="4718" spans="1:4" x14ac:dyDescent="0.25">
      <c r="A4718" s="384" t="s">
        <v>17956</v>
      </c>
      <c r="B4718" s="384" t="s">
        <v>17957</v>
      </c>
      <c r="C4718" s="384" t="s">
        <v>83</v>
      </c>
      <c r="D4718" s="385" t="s">
        <v>17958</v>
      </c>
    </row>
    <row r="4719" spans="1:4" x14ac:dyDescent="0.25">
      <c r="A4719" s="384" t="s">
        <v>17959</v>
      </c>
      <c r="B4719" s="384" t="s">
        <v>17960</v>
      </c>
      <c r="C4719" s="384" t="s">
        <v>83</v>
      </c>
      <c r="D4719" s="385" t="s">
        <v>17961</v>
      </c>
    </row>
    <row r="4720" spans="1:4" x14ac:dyDescent="0.25">
      <c r="A4720" s="384" t="s">
        <v>17962</v>
      </c>
      <c r="B4720" s="384" t="s">
        <v>17963</v>
      </c>
      <c r="C4720" s="384" t="s">
        <v>83</v>
      </c>
      <c r="D4720" s="385" t="s">
        <v>17964</v>
      </c>
    </row>
    <row r="4721" spans="1:4" x14ac:dyDescent="0.25">
      <c r="A4721" s="384" t="s">
        <v>17965</v>
      </c>
      <c r="B4721" s="384" t="s">
        <v>17966</v>
      </c>
      <c r="C4721" s="384" t="s">
        <v>83</v>
      </c>
      <c r="D4721" s="385" t="s">
        <v>17967</v>
      </c>
    </row>
    <row r="4722" spans="1:4" x14ac:dyDescent="0.25">
      <c r="A4722" s="384" t="s">
        <v>17968</v>
      </c>
      <c r="B4722" s="384" t="s">
        <v>17969</v>
      </c>
      <c r="C4722" s="384" t="s">
        <v>83</v>
      </c>
      <c r="D4722" s="385" t="s">
        <v>17970</v>
      </c>
    </row>
    <row r="4723" spans="1:4" x14ac:dyDescent="0.25">
      <c r="A4723" s="384" t="s">
        <v>17971</v>
      </c>
      <c r="B4723" s="384" t="s">
        <v>17972</v>
      </c>
      <c r="C4723" s="384" t="s">
        <v>83</v>
      </c>
      <c r="D4723" s="385" t="s">
        <v>17973</v>
      </c>
    </row>
    <row r="4724" spans="1:4" x14ac:dyDescent="0.25">
      <c r="A4724" s="384" t="s">
        <v>17974</v>
      </c>
      <c r="B4724" s="384" t="s">
        <v>17975</v>
      </c>
      <c r="C4724" s="384" t="s">
        <v>83</v>
      </c>
      <c r="D4724" s="385" t="s">
        <v>4730</v>
      </c>
    </row>
    <row r="4725" spans="1:4" x14ac:dyDescent="0.25">
      <c r="A4725" s="384" t="s">
        <v>17976</v>
      </c>
      <c r="B4725" s="384" t="s">
        <v>17977</v>
      </c>
      <c r="C4725" s="384" t="s">
        <v>83</v>
      </c>
      <c r="D4725" s="385" t="s">
        <v>17978</v>
      </c>
    </row>
    <row r="4726" spans="1:4" x14ac:dyDescent="0.25">
      <c r="A4726" s="384" t="s">
        <v>17979</v>
      </c>
      <c r="B4726" s="384" t="s">
        <v>17980</v>
      </c>
      <c r="C4726" s="384" t="s">
        <v>83</v>
      </c>
      <c r="D4726" s="385" t="s">
        <v>17981</v>
      </c>
    </row>
    <row r="4727" spans="1:4" x14ac:dyDescent="0.25">
      <c r="A4727" s="384" t="s">
        <v>17982</v>
      </c>
      <c r="B4727" s="384" t="s">
        <v>17983</v>
      </c>
      <c r="C4727" s="384" t="s">
        <v>83</v>
      </c>
      <c r="D4727" s="385" t="s">
        <v>6964</v>
      </c>
    </row>
    <row r="4728" spans="1:4" x14ac:dyDescent="0.25">
      <c r="A4728" s="384" t="s">
        <v>17984</v>
      </c>
      <c r="B4728" s="384" t="s">
        <v>17985</v>
      </c>
      <c r="C4728" s="384" t="s">
        <v>83</v>
      </c>
      <c r="D4728" s="385" t="s">
        <v>17986</v>
      </c>
    </row>
    <row r="4729" spans="1:4" x14ac:dyDescent="0.25">
      <c r="A4729" s="384" t="s">
        <v>17987</v>
      </c>
      <c r="B4729" s="384" t="s">
        <v>17988</v>
      </c>
      <c r="C4729" s="384" t="s">
        <v>83</v>
      </c>
      <c r="D4729" s="385" t="s">
        <v>17989</v>
      </c>
    </row>
    <row r="4730" spans="1:4" x14ac:dyDescent="0.25">
      <c r="A4730" s="384" t="s">
        <v>17990</v>
      </c>
      <c r="B4730" s="384" t="s">
        <v>17991</v>
      </c>
      <c r="C4730" s="384" t="s">
        <v>83</v>
      </c>
      <c r="D4730" s="385" t="s">
        <v>17992</v>
      </c>
    </row>
    <row r="4731" spans="1:4" x14ac:dyDescent="0.25">
      <c r="A4731" s="384" t="s">
        <v>17993</v>
      </c>
      <c r="B4731" s="384" t="s">
        <v>17994</v>
      </c>
      <c r="C4731" s="384" t="s">
        <v>83</v>
      </c>
      <c r="D4731" s="385" t="s">
        <v>17995</v>
      </c>
    </row>
    <row r="4732" spans="1:4" x14ac:dyDescent="0.25">
      <c r="A4732" s="384" t="s">
        <v>17996</v>
      </c>
      <c r="B4732" s="384" t="s">
        <v>17997</v>
      </c>
      <c r="C4732" s="384" t="s">
        <v>83</v>
      </c>
      <c r="D4732" s="385" t="s">
        <v>6964</v>
      </c>
    </row>
    <row r="4733" spans="1:4" x14ac:dyDescent="0.25">
      <c r="A4733" s="384" t="s">
        <v>17998</v>
      </c>
      <c r="B4733" s="384" t="s">
        <v>17999</v>
      </c>
      <c r="C4733" s="384" t="s">
        <v>83</v>
      </c>
      <c r="D4733" s="385" t="s">
        <v>18000</v>
      </c>
    </row>
    <row r="4734" spans="1:4" x14ac:dyDescent="0.25">
      <c r="A4734" s="384" t="s">
        <v>18001</v>
      </c>
      <c r="B4734" s="384" t="s">
        <v>18002</v>
      </c>
      <c r="C4734" s="384" t="s">
        <v>83</v>
      </c>
      <c r="D4734" s="385" t="s">
        <v>12265</v>
      </c>
    </row>
    <row r="4735" spans="1:4" x14ac:dyDescent="0.25">
      <c r="A4735" s="384" t="s">
        <v>18003</v>
      </c>
      <c r="B4735" s="384" t="s">
        <v>18004</v>
      </c>
      <c r="C4735" s="384" t="s">
        <v>83</v>
      </c>
      <c r="D4735" s="385" t="s">
        <v>18005</v>
      </c>
    </row>
    <row r="4736" spans="1:4" x14ac:dyDescent="0.25">
      <c r="A4736" s="384" t="s">
        <v>18006</v>
      </c>
      <c r="B4736" s="384" t="s">
        <v>18007</v>
      </c>
      <c r="C4736" s="384" t="s">
        <v>83</v>
      </c>
      <c r="D4736" s="385" t="s">
        <v>6869</v>
      </c>
    </row>
    <row r="4737" spans="1:4" x14ac:dyDescent="0.25">
      <c r="A4737" s="384" t="s">
        <v>18008</v>
      </c>
      <c r="B4737" s="384" t="s">
        <v>18009</v>
      </c>
      <c r="C4737" s="384" t="s">
        <v>83</v>
      </c>
      <c r="D4737" s="385" t="s">
        <v>18010</v>
      </c>
    </row>
    <row r="4738" spans="1:4" x14ac:dyDescent="0.25">
      <c r="A4738" s="384" t="s">
        <v>18011</v>
      </c>
      <c r="B4738" s="384" t="s">
        <v>18012</v>
      </c>
      <c r="C4738" s="384" t="s">
        <v>83</v>
      </c>
      <c r="D4738" s="385" t="s">
        <v>18013</v>
      </c>
    </row>
    <row r="4739" spans="1:4" x14ac:dyDescent="0.25">
      <c r="A4739" s="384" t="s">
        <v>18014</v>
      </c>
      <c r="B4739" s="384" t="s">
        <v>18015</v>
      </c>
      <c r="C4739" s="384" t="s">
        <v>83</v>
      </c>
      <c r="D4739" s="385" t="s">
        <v>18016</v>
      </c>
    </row>
    <row r="4740" spans="1:4" x14ac:dyDescent="0.25">
      <c r="A4740" s="384" t="s">
        <v>18017</v>
      </c>
      <c r="B4740" s="384" t="s">
        <v>18018</v>
      </c>
      <c r="C4740" s="384" t="s">
        <v>83</v>
      </c>
      <c r="D4740" s="385" t="s">
        <v>18019</v>
      </c>
    </row>
    <row r="4741" spans="1:4" x14ac:dyDescent="0.25">
      <c r="A4741" s="384" t="s">
        <v>18020</v>
      </c>
      <c r="B4741" s="384" t="s">
        <v>18021</v>
      </c>
      <c r="C4741" s="384" t="s">
        <v>83</v>
      </c>
      <c r="D4741" s="385" t="s">
        <v>12298</v>
      </c>
    </row>
    <row r="4742" spans="1:4" x14ac:dyDescent="0.25">
      <c r="A4742" s="384" t="s">
        <v>18022</v>
      </c>
      <c r="B4742" s="384" t="s">
        <v>18023</v>
      </c>
      <c r="C4742" s="384" t="s">
        <v>83</v>
      </c>
      <c r="D4742" s="385" t="s">
        <v>18024</v>
      </c>
    </row>
    <row r="4743" spans="1:4" x14ac:dyDescent="0.25">
      <c r="A4743" s="384" t="s">
        <v>18025</v>
      </c>
      <c r="B4743" s="384" t="s">
        <v>18026</v>
      </c>
      <c r="C4743" s="384" t="s">
        <v>83</v>
      </c>
      <c r="D4743" s="385" t="s">
        <v>18027</v>
      </c>
    </row>
    <row r="4744" spans="1:4" x14ac:dyDescent="0.25">
      <c r="A4744" s="384" t="s">
        <v>18028</v>
      </c>
      <c r="B4744" s="384" t="s">
        <v>18029</v>
      </c>
      <c r="C4744" s="384" t="s">
        <v>83</v>
      </c>
      <c r="D4744" s="385" t="s">
        <v>18030</v>
      </c>
    </row>
    <row r="4745" spans="1:4" x14ac:dyDescent="0.25">
      <c r="A4745" s="384" t="s">
        <v>18031</v>
      </c>
      <c r="B4745" s="384" t="s">
        <v>18032</v>
      </c>
      <c r="C4745" s="384" t="s">
        <v>83</v>
      </c>
      <c r="D4745" s="385" t="s">
        <v>18033</v>
      </c>
    </row>
    <row r="4746" spans="1:4" x14ac:dyDescent="0.25">
      <c r="A4746" s="384" t="s">
        <v>18034</v>
      </c>
      <c r="B4746" s="384" t="s">
        <v>18035</v>
      </c>
      <c r="C4746" s="384" t="s">
        <v>83</v>
      </c>
      <c r="D4746" s="385" t="s">
        <v>18036</v>
      </c>
    </row>
    <row r="4747" spans="1:4" x14ac:dyDescent="0.25">
      <c r="A4747" s="384" t="s">
        <v>18037</v>
      </c>
      <c r="B4747" s="384" t="s">
        <v>18038</v>
      </c>
      <c r="C4747" s="384" t="s">
        <v>83</v>
      </c>
      <c r="D4747" s="385" t="s">
        <v>18039</v>
      </c>
    </row>
    <row r="4748" spans="1:4" x14ac:dyDescent="0.25">
      <c r="A4748" s="384" t="s">
        <v>18040</v>
      </c>
      <c r="B4748" s="384" t="s">
        <v>18041</v>
      </c>
      <c r="C4748" s="384" t="s">
        <v>83</v>
      </c>
      <c r="D4748" s="385" t="s">
        <v>18042</v>
      </c>
    </row>
    <row r="4749" spans="1:4" x14ac:dyDescent="0.25">
      <c r="A4749" s="384" t="s">
        <v>18043</v>
      </c>
      <c r="B4749" s="384" t="s">
        <v>18044</v>
      </c>
      <c r="C4749" s="384" t="s">
        <v>83</v>
      </c>
      <c r="D4749" s="385" t="s">
        <v>18045</v>
      </c>
    </row>
    <row r="4750" spans="1:4" x14ac:dyDescent="0.25">
      <c r="A4750" s="384" t="s">
        <v>18046</v>
      </c>
      <c r="B4750" s="384" t="s">
        <v>18047</v>
      </c>
      <c r="C4750" s="384" t="s">
        <v>83</v>
      </c>
      <c r="D4750" s="385" t="s">
        <v>18048</v>
      </c>
    </row>
    <row r="4751" spans="1:4" x14ac:dyDescent="0.25">
      <c r="A4751" s="384" t="s">
        <v>18049</v>
      </c>
      <c r="B4751" s="384" t="s">
        <v>18050</v>
      </c>
      <c r="C4751" s="384" t="s">
        <v>83</v>
      </c>
      <c r="D4751" s="385" t="s">
        <v>18051</v>
      </c>
    </row>
    <row r="4752" spans="1:4" x14ac:dyDescent="0.25">
      <c r="A4752" s="384" t="s">
        <v>18052</v>
      </c>
      <c r="B4752" s="384" t="s">
        <v>18053</v>
      </c>
      <c r="C4752" s="384" t="s">
        <v>83</v>
      </c>
      <c r="D4752" s="385" t="s">
        <v>18054</v>
      </c>
    </row>
    <row r="4753" spans="1:4" x14ac:dyDescent="0.25">
      <c r="A4753" s="384" t="s">
        <v>18055</v>
      </c>
      <c r="B4753" s="384" t="s">
        <v>18056</v>
      </c>
      <c r="C4753" s="384" t="s">
        <v>83</v>
      </c>
      <c r="D4753" s="385" t="s">
        <v>18057</v>
      </c>
    </row>
    <row r="4754" spans="1:4" x14ac:dyDescent="0.25">
      <c r="A4754" s="384" t="s">
        <v>18058</v>
      </c>
      <c r="B4754" s="384" t="s">
        <v>18059</v>
      </c>
      <c r="C4754" s="384" t="s">
        <v>83</v>
      </c>
      <c r="D4754" s="385" t="s">
        <v>18060</v>
      </c>
    </row>
    <row r="4755" spans="1:4" x14ac:dyDescent="0.25">
      <c r="A4755" s="384" t="s">
        <v>18061</v>
      </c>
      <c r="B4755" s="384" t="s">
        <v>18062</v>
      </c>
      <c r="C4755" s="384" t="s">
        <v>83</v>
      </c>
      <c r="D4755" s="385" t="s">
        <v>18063</v>
      </c>
    </row>
    <row r="4756" spans="1:4" x14ac:dyDescent="0.25">
      <c r="A4756" s="384" t="s">
        <v>18064</v>
      </c>
      <c r="B4756" s="384" t="s">
        <v>18065</v>
      </c>
      <c r="C4756" s="384" t="s">
        <v>83</v>
      </c>
      <c r="D4756" s="385" t="s">
        <v>18066</v>
      </c>
    </row>
    <row r="4757" spans="1:4" x14ac:dyDescent="0.25">
      <c r="A4757" s="384" t="s">
        <v>18067</v>
      </c>
      <c r="B4757" s="384" t="s">
        <v>18068</v>
      </c>
      <c r="C4757" s="384" t="s">
        <v>83</v>
      </c>
      <c r="D4757" s="385" t="s">
        <v>11338</v>
      </c>
    </row>
    <row r="4758" spans="1:4" x14ac:dyDescent="0.25">
      <c r="A4758" s="384" t="s">
        <v>18069</v>
      </c>
      <c r="B4758" s="384" t="s">
        <v>18070</v>
      </c>
      <c r="C4758" s="384" t="s">
        <v>83</v>
      </c>
      <c r="D4758" s="385" t="s">
        <v>18071</v>
      </c>
    </row>
    <row r="4759" spans="1:4" x14ac:dyDescent="0.25">
      <c r="A4759" s="384" t="s">
        <v>18072</v>
      </c>
      <c r="B4759" s="384" t="s">
        <v>18073</v>
      </c>
      <c r="C4759" s="384" t="s">
        <v>83</v>
      </c>
      <c r="D4759" s="385" t="s">
        <v>18074</v>
      </c>
    </row>
    <row r="4760" spans="1:4" x14ac:dyDescent="0.25">
      <c r="A4760" s="384" t="s">
        <v>18075</v>
      </c>
      <c r="B4760" s="384" t="s">
        <v>18076</v>
      </c>
      <c r="C4760" s="384" t="s">
        <v>83</v>
      </c>
      <c r="D4760" s="385" t="s">
        <v>11305</v>
      </c>
    </row>
    <row r="4761" spans="1:4" x14ac:dyDescent="0.25">
      <c r="A4761" s="384" t="s">
        <v>18077</v>
      </c>
      <c r="B4761" s="384" t="s">
        <v>18078</v>
      </c>
      <c r="C4761" s="384" t="s">
        <v>83</v>
      </c>
      <c r="D4761" s="385" t="s">
        <v>18079</v>
      </c>
    </row>
    <row r="4762" spans="1:4" x14ac:dyDescent="0.25">
      <c r="A4762" s="384" t="s">
        <v>18080</v>
      </c>
      <c r="B4762" s="384" t="s">
        <v>18081</v>
      </c>
      <c r="C4762" s="384" t="s">
        <v>83</v>
      </c>
      <c r="D4762" s="385" t="s">
        <v>18082</v>
      </c>
    </row>
    <row r="4763" spans="1:4" x14ac:dyDescent="0.25">
      <c r="A4763" s="384" t="s">
        <v>18083</v>
      </c>
      <c r="B4763" s="384" t="s">
        <v>18084</v>
      </c>
      <c r="C4763" s="384" t="s">
        <v>83</v>
      </c>
      <c r="D4763" s="385" t="s">
        <v>18085</v>
      </c>
    </row>
    <row r="4764" spans="1:4" x14ac:dyDescent="0.25">
      <c r="A4764" s="384" t="s">
        <v>18086</v>
      </c>
      <c r="B4764" s="384" t="s">
        <v>18087</v>
      </c>
      <c r="C4764" s="384" t="s">
        <v>83</v>
      </c>
      <c r="D4764" s="385" t="s">
        <v>18088</v>
      </c>
    </row>
    <row r="4765" spans="1:4" x14ac:dyDescent="0.25">
      <c r="A4765" s="384" t="s">
        <v>18089</v>
      </c>
      <c r="B4765" s="384" t="s">
        <v>18090</v>
      </c>
      <c r="C4765" s="384" t="s">
        <v>83</v>
      </c>
      <c r="D4765" s="385" t="s">
        <v>18091</v>
      </c>
    </row>
    <row r="4766" spans="1:4" x14ac:dyDescent="0.25">
      <c r="A4766" s="384" t="s">
        <v>18092</v>
      </c>
      <c r="B4766" s="384" t="s">
        <v>18093</v>
      </c>
      <c r="C4766" s="384" t="s">
        <v>83</v>
      </c>
      <c r="D4766" s="385" t="s">
        <v>18094</v>
      </c>
    </row>
    <row r="4767" spans="1:4" x14ac:dyDescent="0.25">
      <c r="A4767" s="384" t="s">
        <v>18095</v>
      </c>
      <c r="B4767" s="384" t="s">
        <v>18096</v>
      </c>
      <c r="C4767" s="384" t="s">
        <v>83</v>
      </c>
      <c r="D4767" s="385" t="s">
        <v>18097</v>
      </c>
    </row>
    <row r="4768" spans="1:4" x14ac:dyDescent="0.25">
      <c r="A4768" s="384" t="s">
        <v>18098</v>
      </c>
      <c r="B4768" s="384" t="s">
        <v>18099</v>
      </c>
      <c r="C4768" s="384" t="s">
        <v>83</v>
      </c>
      <c r="D4768" s="385" t="s">
        <v>6027</v>
      </c>
    </row>
    <row r="4769" spans="1:4" x14ac:dyDescent="0.25">
      <c r="A4769" s="384" t="s">
        <v>18100</v>
      </c>
      <c r="B4769" s="384" t="s">
        <v>18101</v>
      </c>
      <c r="C4769" s="384" t="s">
        <v>83</v>
      </c>
      <c r="D4769" s="385" t="s">
        <v>18102</v>
      </c>
    </row>
    <row r="4770" spans="1:4" x14ac:dyDescent="0.25">
      <c r="A4770" s="384" t="s">
        <v>18103</v>
      </c>
      <c r="B4770" s="384" t="s">
        <v>18104</v>
      </c>
      <c r="C4770" s="384" t="s">
        <v>83</v>
      </c>
      <c r="D4770" s="385" t="s">
        <v>18105</v>
      </c>
    </row>
    <row r="4771" spans="1:4" x14ac:dyDescent="0.25">
      <c r="A4771" s="384" t="s">
        <v>18106</v>
      </c>
      <c r="B4771" s="384" t="s">
        <v>18107</v>
      </c>
      <c r="C4771" s="384" t="s">
        <v>83</v>
      </c>
      <c r="D4771" s="385" t="s">
        <v>18108</v>
      </c>
    </row>
    <row r="4772" spans="1:4" x14ac:dyDescent="0.25">
      <c r="A4772" s="384" t="s">
        <v>18109</v>
      </c>
      <c r="B4772" s="384" t="s">
        <v>18110</v>
      </c>
      <c r="C4772" s="384" t="s">
        <v>83</v>
      </c>
      <c r="D4772" s="385" t="s">
        <v>15077</v>
      </c>
    </row>
    <row r="4773" spans="1:4" x14ac:dyDescent="0.25">
      <c r="A4773" s="384" t="s">
        <v>18111</v>
      </c>
      <c r="B4773" s="384" t="s">
        <v>18112</v>
      </c>
      <c r="C4773" s="384" t="s">
        <v>83</v>
      </c>
      <c r="D4773" s="385" t="s">
        <v>18113</v>
      </c>
    </row>
    <row r="4774" spans="1:4" x14ac:dyDescent="0.25">
      <c r="A4774" s="384" t="s">
        <v>18114</v>
      </c>
      <c r="B4774" s="384" t="s">
        <v>18115</v>
      </c>
      <c r="C4774" s="384" t="s">
        <v>83</v>
      </c>
      <c r="D4774" s="385" t="s">
        <v>14165</v>
      </c>
    </row>
    <row r="4775" spans="1:4" x14ac:dyDescent="0.25">
      <c r="A4775" s="384" t="s">
        <v>18116</v>
      </c>
      <c r="B4775" s="384" t="s">
        <v>18117</v>
      </c>
      <c r="C4775" s="384" t="s">
        <v>83</v>
      </c>
      <c r="D4775" s="385" t="s">
        <v>18118</v>
      </c>
    </row>
    <row r="4776" spans="1:4" x14ac:dyDescent="0.25">
      <c r="A4776" s="384" t="s">
        <v>18119</v>
      </c>
      <c r="B4776" s="384" t="s">
        <v>18120</v>
      </c>
      <c r="C4776" s="384" t="s">
        <v>83</v>
      </c>
      <c r="D4776" s="385" t="s">
        <v>18121</v>
      </c>
    </row>
    <row r="4777" spans="1:4" x14ac:dyDescent="0.25">
      <c r="A4777" s="384" t="s">
        <v>18122</v>
      </c>
      <c r="B4777" s="384" t="s">
        <v>18123</v>
      </c>
      <c r="C4777" s="384" t="s">
        <v>83</v>
      </c>
      <c r="D4777" s="385" t="s">
        <v>18124</v>
      </c>
    </row>
    <row r="4778" spans="1:4" x14ac:dyDescent="0.25">
      <c r="A4778" s="384" t="s">
        <v>18125</v>
      </c>
      <c r="B4778" s="384" t="s">
        <v>18126</v>
      </c>
      <c r="C4778" s="384" t="s">
        <v>83</v>
      </c>
      <c r="D4778" s="385" t="s">
        <v>18127</v>
      </c>
    </row>
    <row r="4779" spans="1:4" x14ac:dyDescent="0.25">
      <c r="A4779" s="384" t="s">
        <v>18128</v>
      </c>
      <c r="B4779" s="384" t="s">
        <v>18129</v>
      </c>
      <c r="C4779" s="384" t="s">
        <v>83</v>
      </c>
      <c r="D4779" s="385" t="s">
        <v>18130</v>
      </c>
    </row>
    <row r="4780" spans="1:4" x14ac:dyDescent="0.25">
      <c r="A4780" s="384" t="s">
        <v>18131</v>
      </c>
      <c r="B4780" s="384" t="s">
        <v>18132</v>
      </c>
      <c r="C4780" s="384" t="s">
        <v>83</v>
      </c>
      <c r="D4780" s="385" t="s">
        <v>18133</v>
      </c>
    </row>
    <row r="4781" spans="1:4" x14ac:dyDescent="0.25">
      <c r="A4781" s="384" t="s">
        <v>18134</v>
      </c>
      <c r="B4781" s="384" t="s">
        <v>18135</v>
      </c>
      <c r="C4781" s="384" t="s">
        <v>83</v>
      </c>
      <c r="D4781" s="385" t="s">
        <v>18136</v>
      </c>
    </row>
    <row r="4782" spans="1:4" x14ac:dyDescent="0.25">
      <c r="A4782" s="384" t="s">
        <v>18137</v>
      </c>
      <c r="B4782" s="384" t="s">
        <v>18138</v>
      </c>
      <c r="C4782" s="384" t="s">
        <v>83</v>
      </c>
      <c r="D4782" s="385" t="s">
        <v>18139</v>
      </c>
    </row>
    <row r="4783" spans="1:4" x14ac:dyDescent="0.25">
      <c r="A4783" s="384" t="s">
        <v>18140</v>
      </c>
      <c r="B4783" s="384" t="s">
        <v>18141</v>
      </c>
      <c r="C4783" s="384" t="s">
        <v>83</v>
      </c>
      <c r="D4783" s="385" t="s">
        <v>18142</v>
      </c>
    </row>
    <row r="4784" spans="1:4" x14ac:dyDescent="0.25">
      <c r="A4784" s="384" t="s">
        <v>18143</v>
      </c>
      <c r="B4784" s="384" t="s">
        <v>18144</v>
      </c>
      <c r="C4784" s="384" t="s">
        <v>83</v>
      </c>
      <c r="D4784" s="385" t="s">
        <v>18145</v>
      </c>
    </row>
    <row r="4785" spans="1:4" x14ac:dyDescent="0.25">
      <c r="A4785" s="384" t="s">
        <v>18146</v>
      </c>
      <c r="B4785" s="384" t="s">
        <v>18147</v>
      </c>
      <c r="C4785" s="384" t="s">
        <v>83</v>
      </c>
      <c r="D4785" s="385" t="s">
        <v>18148</v>
      </c>
    </row>
    <row r="4786" spans="1:4" x14ac:dyDescent="0.25">
      <c r="A4786" s="384" t="s">
        <v>18149</v>
      </c>
      <c r="B4786" s="384" t="s">
        <v>18150</v>
      </c>
      <c r="C4786" s="384" t="s">
        <v>83</v>
      </c>
      <c r="D4786" s="385" t="s">
        <v>18151</v>
      </c>
    </row>
    <row r="4787" spans="1:4" x14ac:dyDescent="0.25">
      <c r="A4787" s="384" t="s">
        <v>18152</v>
      </c>
      <c r="B4787" s="384" t="s">
        <v>18153</v>
      </c>
      <c r="C4787" s="384" t="s">
        <v>83</v>
      </c>
      <c r="D4787" s="385" t="s">
        <v>18154</v>
      </c>
    </row>
    <row r="4788" spans="1:4" x14ac:dyDescent="0.25">
      <c r="A4788" s="384" t="s">
        <v>18155</v>
      </c>
      <c r="B4788" s="384" t="s">
        <v>18156</v>
      </c>
      <c r="C4788" s="384" t="s">
        <v>83</v>
      </c>
      <c r="D4788" s="385" t="s">
        <v>18157</v>
      </c>
    </row>
    <row r="4789" spans="1:4" x14ac:dyDescent="0.25">
      <c r="A4789" s="384" t="s">
        <v>18158</v>
      </c>
      <c r="B4789" s="384" t="s">
        <v>18159</v>
      </c>
      <c r="C4789" s="384" t="s">
        <v>83</v>
      </c>
      <c r="D4789" s="385" t="s">
        <v>18160</v>
      </c>
    </row>
    <row r="4790" spans="1:4" x14ac:dyDescent="0.25">
      <c r="A4790" s="384" t="s">
        <v>18161</v>
      </c>
      <c r="B4790" s="384" t="s">
        <v>18162</v>
      </c>
      <c r="C4790" s="384" t="s">
        <v>83</v>
      </c>
      <c r="D4790" s="385" t="s">
        <v>18163</v>
      </c>
    </row>
    <row r="4791" spans="1:4" x14ac:dyDescent="0.25">
      <c r="A4791" s="384" t="s">
        <v>18164</v>
      </c>
      <c r="B4791" s="384" t="s">
        <v>18165</v>
      </c>
      <c r="C4791" s="384" t="s">
        <v>83</v>
      </c>
      <c r="D4791" s="385" t="s">
        <v>5018</v>
      </c>
    </row>
    <row r="4792" spans="1:4" x14ac:dyDescent="0.25">
      <c r="A4792" s="384" t="s">
        <v>18166</v>
      </c>
      <c r="B4792" s="384" t="s">
        <v>18167</v>
      </c>
      <c r="C4792" s="384" t="s">
        <v>83</v>
      </c>
      <c r="D4792" s="385" t="s">
        <v>18168</v>
      </c>
    </row>
    <row r="4793" spans="1:4" x14ac:dyDescent="0.25">
      <c r="A4793" s="384" t="s">
        <v>18169</v>
      </c>
      <c r="B4793" s="384" t="s">
        <v>18170</v>
      </c>
      <c r="C4793" s="384" t="s">
        <v>83</v>
      </c>
      <c r="D4793" s="385" t="s">
        <v>18171</v>
      </c>
    </row>
    <row r="4794" spans="1:4" x14ac:dyDescent="0.25">
      <c r="A4794" s="384" t="s">
        <v>18172</v>
      </c>
      <c r="B4794" s="384" t="s">
        <v>18173</v>
      </c>
      <c r="C4794" s="384" t="s">
        <v>83</v>
      </c>
      <c r="D4794" s="385" t="s">
        <v>12026</v>
      </c>
    </row>
    <row r="4795" spans="1:4" x14ac:dyDescent="0.25">
      <c r="A4795" s="384" t="s">
        <v>18174</v>
      </c>
      <c r="B4795" s="384" t="s">
        <v>18175</v>
      </c>
      <c r="C4795" s="384" t="s">
        <v>83</v>
      </c>
      <c r="D4795" s="385" t="s">
        <v>18176</v>
      </c>
    </row>
    <row r="4796" spans="1:4" x14ac:dyDescent="0.25">
      <c r="A4796" s="384" t="s">
        <v>18177</v>
      </c>
      <c r="B4796" s="384" t="s">
        <v>18178</v>
      </c>
      <c r="C4796" s="384" t="s">
        <v>83</v>
      </c>
      <c r="D4796" s="385" t="s">
        <v>18179</v>
      </c>
    </row>
    <row r="4797" spans="1:4" x14ac:dyDescent="0.25">
      <c r="A4797" s="384" t="s">
        <v>18180</v>
      </c>
      <c r="B4797" s="384" t="s">
        <v>18181</v>
      </c>
      <c r="C4797" s="384" t="s">
        <v>83</v>
      </c>
      <c r="D4797" s="385" t="s">
        <v>18182</v>
      </c>
    </row>
    <row r="4798" spans="1:4" x14ac:dyDescent="0.25">
      <c r="A4798" s="384" t="s">
        <v>18183</v>
      </c>
      <c r="B4798" s="384" t="s">
        <v>18184</v>
      </c>
      <c r="C4798" s="384" t="s">
        <v>83</v>
      </c>
      <c r="D4798" s="385" t="s">
        <v>18185</v>
      </c>
    </row>
    <row r="4799" spans="1:4" x14ac:dyDescent="0.25">
      <c r="A4799" s="384" t="s">
        <v>18186</v>
      </c>
      <c r="B4799" s="384" t="s">
        <v>18187</v>
      </c>
      <c r="C4799" s="384" t="s">
        <v>83</v>
      </c>
      <c r="D4799" s="385" t="s">
        <v>18188</v>
      </c>
    </row>
    <row r="4800" spans="1:4" x14ac:dyDescent="0.25">
      <c r="A4800" s="384" t="s">
        <v>18189</v>
      </c>
      <c r="B4800" s="384" t="s">
        <v>18190</v>
      </c>
      <c r="C4800" s="384" t="s">
        <v>83</v>
      </c>
      <c r="D4800" s="385" t="s">
        <v>18191</v>
      </c>
    </row>
    <row r="4801" spans="1:4" x14ac:dyDescent="0.25">
      <c r="A4801" s="384" t="s">
        <v>18192</v>
      </c>
      <c r="B4801" s="384" t="s">
        <v>18193</v>
      </c>
      <c r="C4801" s="384" t="s">
        <v>83</v>
      </c>
      <c r="D4801" s="385" t="s">
        <v>18194</v>
      </c>
    </row>
    <row r="4802" spans="1:4" x14ac:dyDescent="0.25">
      <c r="A4802" s="384" t="s">
        <v>18195</v>
      </c>
      <c r="B4802" s="384" t="s">
        <v>18196</v>
      </c>
      <c r="C4802" s="384" t="s">
        <v>83</v>
      </c>
      <c r="D4802" s="385" t="s">
        <v>18197</v>
      </c>
    </row>
    <row r="4803" spans="1:4" x14ac:dyDescent="0.25">
      <c r="A4803" s="384" t="s">
        <v>18198</v>
      </c>
      <c r="B4803" s="384" t="s">
        <v>18199</v>
      </c>
      <c r="C4803" s="384" t="s">
        <v>83</v>
      </c>
      <c r="D4803" s="385" t="s">
        <v>18200</v>
      </c>
    </row>
    <row r="4804" spans="1:4" x14ac:dyDescent="0.25">
      <c r="A4804" s="384" t="s">
        <v>18201</v>
      </c>
      <c r="B4804" s="384" t="s">
        <v>18202</v>
      </c>
      <c r="C4804" s="384" t="s">
        <v>83</v>
      </c>
      <c r="D4804" s="385" t="s">
        <v>18203</v>
      </c>
    </row>
    <row r="4805" spans="1:4" x14ac:dyDescent="0.25">
      <c r="A4805" s="384" t="s">
        <v>18204</v>
      </c>
      <c r="B4805" s="384" t="s">
        <v>18205</v>
      </c>
      <c r="C4805" s="384" t="s">
        <v>83</v>
      </c>
      <c r="D4805" s="385" t="s">
        <v>18206</v>
      </c>
    </row>
    <row r="4806" spans="1:4" x14ac:dyDescent="0.25">
      <c r="A4806" s="384" t="s">
        <v>18207</v>
      </c>
      <c r="B4806" s="384" t="s">
        <v>18208</v>
      </c>
      <c r="C4806" s="384" t="s">
        <v>83</v>
      </c>
      <c r="D4806" s="385" t="s">
        <v>18209</v>
      </c>
    </row>
    <row r="4807" spans="1:4" x14ac:dyDescent="0.25">
      <c r="A4807" s="384" t="s">
        <v>18210</v>
      </c>
      <c r="B4807" s="384" t="s">
        <v>18211</v>
      </c>
      <c r="C4807" s="384" t="s">
        <v>83</v>
      </c>
      <c r="D4807" s="385" t="s">
        <v>18212</v>
      </c>
    </row>
    <row r="4808" spans="1:4" x14ac:dyDescent="0.25">
      <c r="A4808" s="384" t="s">
        <v>18213</v>
      </c>
      <c r="B4808" s="384" t="s">
        <v>18214</v>
      </c>
      <c r="C4808" s="384" t="s">
        <v>83</v>
      </c>
      <c r="D4808" s="385" t="s">
        <v>18215</v>
      </c>
    </row>
    <row r="4809" spans="1:4" x14ac:dyDescent="0.25">
      <c r="A4809" s="384" t="s">
        <v>18216</v>
      </c>
      <c r="B4809" s="384" t="s">
        <v>18217</v>
      </c>
      <c r="C4809" s="384" t="s">
        <v>83</v>
      </c>
      <c r="D4809" s="385" t="s">
        <v>18218</v>
      </c>
    </row>
    <row r="4810" spans="1:4" x14ac:dyDescent="0.25">
      <c r="A4810" s="384" t="s">
        <v>18219</v>
      </c>
      <c r="B4810" s="384" t="s">
        <v>18220</v>
      </c>
      <c r="C4810" s="384" t="s">
        <v>83</v>
      </c>
      <c r="D4810" s="385" t="s">
        <v>18221</v>
      </c>
    </row>
    <row r="4811" spans="1:4" x14ac:dyDescent="0.25">
      <c r="A4811" s="384" t="s">
        <v>18222</v>
      </c>
      <c r="B4811" s="384" t="s">
        <v>18223</v>
      </c>
      <c r="C4811" s="384" t="s">
        <v>83</v>
      </c>
      <c r="D4811" s="385" t="s">
        <v>18224</v>
      </c>
    </row>
    <row r="4812" spans="1:4" x14ac:dyDescent="0.25">
      <c r="A4812" s="384" t="s">
        <v>18225</v>
      </c>
      <c r="B4812" s="384" t="s">
        <v>18226</v>
      </c>
      <c r="C4812" s="384" t="s">
        <v>83</v>
      </c>
      <c r="D4812" s="385" t="s">
        <v>18227</v>
      </c>
    </row>
    <row r="4813" spans="1:4" x14ac:dyDescent="0.25">
      <c r="A4813" s="384" t="s">
        <v>18228</v>
      </c>
      <c r="B4813" s="384" t="s">
        <v>18229</v>
      </c>
      <c r="C4813" s="384" t="s">
        <v>83</v>
      </c>
      <c r="D4813" s="385" t="s">
        <v>18230</v>
      </c>
    </row>
    <row r="4814" spans="1:4" x14ac:dyDescent="0.25">
      <c r="A4814" s="384" t="s">
        <v>18231</v>
      </c>
      <c r="B4814" s="384" t="s">
        <v>18232</v>
      </c>
      <c r="C4814" s="384" t="s">
        <v>83</v>
      </c>
      <c r="D4814" s="385" t="s">
        <v>18233</v>
      </c>
    </row>
    <row r="4815" spans="1:4" x14ac:dyDescent="0.25">
      <c r="A4815" s="384" t="s">
        <v>18234</v>
      </c>
      <c r="B4815" s="384" t="s">
        <v>18235</v>
      </c>
      <c r="C4815" s="384" t="s">
        <v>83</v>
      </c>
      <c r="D4815" s="385" t="s">
        <v>18236</v>
      </c>
    </row>
    <row r="4816" spans="1:4" x14ac:dyDescent="0.25">
      <c r="A4816" s="384" t="s">
        <v>18237</v>
      </c>
      <c r="B4816" s="384" t="s">
        <v>18238</v>
      </c>
      <c r="C4816" s="384" t="s">
        <v>83</v>
      </c>
      <c r="D4816" s="385" t="s">
        <v>18239</v>
      </c>
    </row>
    <row r="4817" spans="1:4" x14ac:dyDescent="0.25">
      <c r="A4817" s="384" t="s">
        <v>18240</v>
      </c>
      <c r="B4817" s="384" t="s">
        <v>18241</v>
      </c>
      <c r="C4817" s="384" t="s">
        <v>83</v>
      </c>
      <c r="D4817" s="385" t="s">
        <v>18242</v>
      </c>
    </row>
    <row r="4818" spans="1:4" x14ac:dyDescent="0.25">
      <c r="A4818" s="384" t="s">
        <v>18243</v>
      </c>
      <c r="B4818" s="384" t="s">
        <v>18244</v>
      </c>
      <c r="C4818" s="384" t="s">
        <v>83</v>
      </c>
      <c r="D4818" s="385" t="s">
        <v>18245</v>
      </c>
    </row>
    <row r="4819" spans="1:4" x14ac:dyDescent="0.25">
      <c r="A4819" s="384" t="s">
        <v>18246</v>
      </c>
      <c r="B4819" s="384" t="s">
        <v>18247</v>
      </c>
      <c r="C4819" s="384" t="s">
        <v>83</v>
      </c>
      <c r="D4819" s="385" t="s">
        <v>18248</v>
      </c>
    </row>
    <row r="4820" spans="1:4" x14ac:dyDescent="0.25">
      <c r="A4820" s="384" t="s">
        <v>18249</v>
      </c>
      <c r="B4820" s="384" t="s">
        <v>18250</v>
      </c>
      <c r="C4820" s="384" t="s">
        <v>83</v>
      </c>
      <c r="D4820" s="385" t="s">
        <v>18251</v>
      </c>
    </row>
    <row r="4821" spans="1:4" x14ac:dyDescent="0.25">
      <c r="A4821" s="384" t="s">
        <v>18252</v>
      </c>
      <c r="B4821" s="384" t="s">
        <v>18253</v>
      </c>
      <c r="C4821" s="384" t="s">
        <v>83</v>
      </c>
      <c r="D4821" s="385" t="s">
        <v>18254</v>
      </c>
    </row>
    <row r="4822" spans="1:4" x14ac:dyDescent="0.25">
      <c r="A4822" s="384" t="s">
        <v>18255</v>
      </c>
      <c r="B4822" s="384" t="s">
        <v>18256</v>
      </c>
      <c r="C4822" s="384" t="s">
        <v>83</v>
      </c>
      <c r="D4822" s="385" t="s">
        <v>18257</v>
      </c>
    </row>
    <row r="4823" spans="1:4" x14ac:dyDescent="0.25">
      <c r="A4823" s="384" t="s">
        <v>18258</v>
      </c>
      <c r="B4823" s="384" t="s">
        <v>18259</v>
      </c>
      <c r="C4823" s="384" t="s">
        <v>83</v>
      </c>
      <c r="D4823" s="385" t="s">
        <v>18260</v>
      </c>
    </row>
    <row r="4824" spans="1:4" x14ac:dyDescent="0.25">
      <c r="A4824" s="384" t="s">
        <v>18261</v>
      </c>
      <c r="B4824" s="384" t="s">
        <v>18262</v>
      </c>
      <c r="C4824" s="384" t="s">
        <v>83</v>
      </c>
      <c r="D4824" s="385" t="s">
        <v>18263</v>
      </c>
    </row>
    <row r="4825" spans="1:4" x14ac:dyDescent="0.25">
      <c r="A4825" s="384" t="s">
        <v>18264</v>
      </c>
      <c r="B4825" s="384" t="s">
        <v>18265</v>
      </c>
      <c r="C4825" s="384" t="s">
        <v>83</v>
      </c>
      <c r="D4825" s="385" t="s">
        <v>18266</v>
      </c>
    </row>
    <row r="4826" spans="1:4" x14ac:dyDescent="0.25">
      <c r="A4826" s="384" t="s">
        <v>18267</v>
      </c>
      <c r="B4826" s="384" t="s">
        <v>18268</v>
      </c>
      <c r="C4826" s="384" t="s">
        <v>83</v>
      </c>
      <c r="D4826" s="385" t="s">
        <v>18269</v>
      </c>
    </row>
    <row r="4827" spans="1:4" x14ac:dyDescent="0.25">
      <c r="A4827" s="384" t="s">
        <v>18270</v>
      </c>
      <c r="B4827" s="384" t="s">
        <v>18271</v>
      </c>
      <c r="C4827" s="384" t="s">
        <v>83</v>
      </c>
      <c r="D4827" s="385" t="s">
        <v>18272</v>
      </c>
    </row>
    <row r="4828" spans="1:4" x14ac:dyDescent="0.25">
      <c r="A4828" s="384" t="s">
        <v>18273</v>
      </c>
      <c r="B4828" s="384" t="s">
        <v>18274</v>
      </c>
      <c r="C4828" s="384" t="s">
        <v>83</v>
      </c>
      <c r="D4828" s="385" t="s">
        <v>18275</v>
      </c>
    </row>
    <row r="4829" spans="1:4" x14ac:dyDescent="0.25">
      <c r="A4829" s="384" t="s">
        <v>18276</v>
      </c>
      <c r="B4829" s="384" t="s">
        <v>18277</v>
      </c>
      <c r="C4829" s="384" t="s">
        <v>83</v>
      </c>
      <c r="D4829" s="385" t="s">
        <v>18278</v>
      </c>
    </row>
    <row r="4830" spans="1:4" x14ac:dyDescent="0.25">
      <c r="A4830" s="384" t="s">
        <v>18279</v>
      </c>
      <c r="B4830" s="384" t="s">
        <v>18280</v>
      </c>
      <c r="C4830" s="384" t="s">
        <v>83</v>
      </c>
      <c r="D4830" s="385" t="s">
        <v>18281</v>
      </c>
    </row>
    <row r="4831" spans="1:4" x14ac:dyDescent="0.25">
      <c r="A4831" s="384" t="s">
        <v>18282</v>
      </c>
      <c r="B4831" s="384" t="s">
        <v>18283</v>
      </c>
      <c r="C4831" s="384" t="s">
        <v>83</v>
      </c>
      <c r="D4831" s="385" t="s">
        <v>17301</v>
      </c>
    </row>
    <row r="4832" spans="1:4" x14ac:dyDescent="0.25">
      <c r="A4832" s="384" t="s">
        <v>18284</v>
      </c>
      <c r="B4832" s="384" t="s">
        <v>18285</v>
      </c>
      <c r="C4832" s="384" t="s">
        <v>83</v>
      </c>
      <c r="D4832" s="385" t="s">
        <v>6127</v>
      </c>
    </row>
    <row r="4833" spans="1:4" x14ac:dyDescent="0.25">
      <c r="A4833" s="384" t="s">
        <v>18286</v>
      </c>
      <c r="B4833" s="384" t="s">
        <v>18287</v>
      </c>
      <c r="C4833" s="384" t="s">
        <v>83</v>
      </c>
      <c r="D4833" s="385" t="s">
        <v>18288</v>
      </c>
    </row>
    <row r="4834" spans="1:4" x14ac:dyDescent="0.25">
      <c r="A4834" s="384" t="s">
        <v>18289</v>
      </c>
      <c r="B4834" s="384" t="s">
        <v>18290</v>
      </c>
      <c r="C4834" s="384" t="s">
        <v>83</v>
      </c>
      <c r="D4834" s="385" t="s">
        <v>9691</v>
      </c>
    </row>
    <row r="4835" spans="1:4" x14ac:dyDescent="0.25">
      <c r="A4835" s="384" t="s">
        <v>18291</v>
      </c>
      <c r="B4835" s="384" t="s">
        <v>18292</v>
      </c>
      <c r="C4835" s="384" t="s">
        <v>83</v>
      </c>
      <c r="D4835" s="385" t="s">
        <v>18293</v>
      </c>
    </row>
    <row r="4836" spans="1:4" x14ac:dyDescent="0.25">
      <c r="A4836" s="384" t="s">
        <v>18294</v>
      </c>
      <c r="B4836" s="384" t="s">
        <v>18295</v>
      </c>
      <c r="C4836" s="384" t="s">
        <v>83</v>
      </c>
      <c r="D4836" s="385" t="s">
        <v>18296</v>
      </c>
    </row>
    <row r="4837" spans="1:4" x14ac:dyDescent="0.25">
      <c r="A4837" s="384" t="s">
        <v>18297</v>
      </c>
      <c r="B4837" s="384" t="s">
        <v>18298</v>
      </c>
      <c r="C4837" s="384" t="s">
        <v>83</v>
      </c>
      <c r="D4837" s="385" t="s">
        <v>18299</v>
      </c>
    </row>
    <row r="4838" spans="1:4" x14ac:dyDescent="0.25">
      <c r="A4838" s="384" t="s">
        <v>18300</v>
      </c>
      <c r="B4838" s="384" t="s">
        <v>18301</v>
      </c>
      <c r="C4838" s="384" t="s">
        <v>83</v>
      </c>
      <c r="D4838" s="385" t="s">
        <v>18302</v>
      </c>
    </row>
    <row r="4839" spans="1:4" x14ac:dyDescent="0.25">
      <c r="A4839" s="384" t="s">
        <v>18303</v>
      </c>
      <c r="B4839" s="384" t="s">
        <v>18304</v>
      </c>
      <c r="C4839" s="384" t="s">
        <v>83</v>
      </c>
      <c r="D4839" s="385" t="s">
        <v>18305</v>
      </c>
    </row>
    <row r="4840" spans="1:4" x14ac:dyDescent="0.25">
      <c r="A4840" s="384" t="s">
        <v>18306</v>
      </c>
      <c r="B4840" s="384" t="s">
        <v>18307</v>
      </c>
      <c r="C4840" s="384" t="s">
        <v>83</v>
      </c>
      <c r="D4840" s="385" t="s">
        <v>18308</v>
      </c>
    </row>
    <row r="4841" spans="1:4" x14ac:dyDescent="0.25">
      <c r="A4841" s="384" t="s">
        <v>18309</v>
      </c>
      <c r="B4841" s="384" t="s">
        <v>18310</v>
      </c>
      <c r="C4841" s="384" t="s">
        <v>83</v>
      </c>
      <c r="D4841" s="385" t="s">
        <v>18311</v>
      </c>
    </row>
    <row r="4842" spans="1:4" x14ac:dyDescent="0.25">
      <c r="A4842" s="384" t="s">
        <v>18312</v>
      </c>
      <c r="B4842" s="384" t="s">
        <v>18313</v>
      </c>
      <c r="C4842" s="384" t="s">
        <v>83</v>
      </c>
      <c r="D4842" s="385" t="s">
        <v>18314</v>
      </c>
    </row>
    <row r="4843" spans="1:4" x14ac:dyDescent="0.25">
      <c r="A4843" s="384" t="s">
        <v>18315</v>
      </c>
      <c r="B4843" s="384" t="s">
        <v>18316</v>
      </c>
      <c r="C4843" s="384" t="s">
        <v>83</v>
      </c>
      <c r="D4843" s="385" t="s">
        <v>9691</v>
      </c>
    </row>
    <row r="4844" spans="1:4" x14ac:dyDescent="0.25">
      <c r="A4844" s="384" t="s">
        <v>18317</v>
      </c>
      <c r="B4844" s="384" t="s">
        <v>18318</v>
      </c>
      <c r="C4844" s="384" t="s">
        <v>83</v>
      </c>
      <c r="D4844" s="385" t="s">
        <v>16648</v>
      </c>
    </row>
    <row r="4845" spans="1:4" x14ac:dyDescent="0.25">
      <c r="A4845" s="384" t="s">
        <v>18319</v>
      </c>
      <c r="B4845" s="384" t="s">
        <v>18320</v>
      </c>
      <c r="C4845" s="384" t="s">
        <v>83</v>
      </c>
      <c r="D4845" s="385" t="s">
        <v>18321</v>
      </c>
    </row>
    <row r="4846" spans="1:4" x14ac:dyDescent="0.25">
      <c r="A4846" s="384" t="s">
        <v>18322</v>
      </c>
      <c r="B4846" s="384" t="s">
        <v>18323</v>
      </c>
      <c r="C4846" s="384" t="s">
        <v>83</v>
      </c>
      <c r="D4846" s="385" t="s">
        <v>18324</v>
      </c>
    </row>
    <row r="4847" spans="1:4" x14ac:dyDescent="0.25">
      <c r="A4847" s="384" t="s">
        <v>18325</v>
      </c>
      <c r="B4847" s="384" t="s">
        <v>18326</v>
      </c>
      <c r="C4847" s="384" t="s">
        <v>83</v>
      </c>
      <c r="D4847" s="385" t="s">
        <v>18327</v>
      </c>
    </row>
    <row r="4848" spans="1:4" x14ac:dyDescent="0.25">
      <c r="A4848" s="384" t="s">
        <v>18328</v>
      </c>
      <c r="B4848" s="384" t="s">
        <v>18329</v>
      </c>
      <c r="C4848" s="384" t="s">
        <v>83</v>
      </c>
      <c r="D4848" s="385" t="s">
        <v>18330</v>
      </c>
    </row>
    <row r="4849" spans="1:4" x14ac:dyDescent="0.25">
      <c r="A4849" s="384" t="s">
        <v>18331</v>
      </c>
      <c r="B4849" s="384" t="s">
        <v>18332</v>
      </c>
      <c r="C4849" s="384" t="s">
        <v>83</v>
      </c>
      <c r="D4849" s="385" t="s">
        <v>9400</v>
      </c>
    </row>
    <row r="4850" spans="1:4" x14ac:dyDescent="0.25">
      <c r="A4850" s="384" t="s">
        <v>18333</v>
      </c>
      <c r="B4850" s="384" t="s">
        <v>18334</v>
      </c>
      <c r="C4850" s="384" t="s">
        <v>83</v>
      </c>
      <c r="D4850" s="385" t="s">
        <v>18335</v>
      </c>
    </row>
    <row r="4851" spans="1:4" x14ac:dyDescent="0.25">
      <c r="A4851" s="384" t="s">
        <v>18336</v>
      </c>
      <c r="B4851" s="384" t="s">
        <v>18337</v>
      </c>
      <c r="C4851" s="384" t="s">
        <v>83</v>
      </c>
      <c r="D4851" s="385" t="s">
        <v>18338</v>
      </c>
    </row>
    <row r="4852" spans="1:4" x14ac:dyDescent="0.25">
      <c r="A4852" s="384" t="s">
        <v>18339</v>
      </c>
      <c r="B4852" s="384" t="s">
        <v>18340</v>
      </c>
      <c r="C4852" s="384" t="s">
        <v>83</v>
      </c>
      <c r="D4852" s="385" t="s">
        <v>18341</v>
      </c>
    </row>
    <row r="4853" spans="1:4" x14ac:dyDescent="0.25">
      <c r="A4853" s="384" t="s">
        <v>18342</v>
      </c>
      <c r="B4853" s="384" t="s">
        <v>18343</v>
      </c>
      <c r="C4853" s="384" t="s">
        <v>83</v>
      </c>
      <c r="D4853" s="385" t="s">
        <v>18344</v>
      </c>
    </row>
    <row r="4854" spans="1:4" x14ac:dyDescent="0.25">
      <c r="A4854" s="384" t="s">
        <v>18345</v>
      </c>
      <c r="B4854" s="384" t="s">
        <v>18346</v>
      </c>
      <c r="C4854" s="384" t="s">
        <v>83</v>
      </c>
      <c r="D4854" s="385" t="s">
        <v>18347</v>
      </c>
    </row>
    <row r="4855" spans="1:4" x14ac:dyDescent="0.25">
      <c r="A4855" s="384" t="s">
        <v>18348</v>
      </c>
      <c r="B4855" s="384" t="s">
        <v>18349</v>
      </c>
      <c r="C4855" s="384" t="s">
        <v>83</v>
      </c>
      <c r="D4855" s="385" t="s">
        <v>14332</v>
      </c>
    </row>
    <row r="4856" spans="1:4" x14ac:dyDescent="0.25">
      <c r="A4856" s="384" t="s">
        <v>18350</v>
      </c>
      <c r="B4856" s="384" t="s">
        <v>18351</v>
      </c>
      <c r="C4856" s="384" t="s">
        <v>83</v>
      </c>
      <c r="D4856" s="385" t="s">
        <v>18352</v>
      </c>
    </row>
    <row r="4857" spans="1:4" x14ac:dyDescent="0.25">
      <c r="A4857" s="384" t="s">
        <v>18353</v>
      </c>
      <c r="B4857" s="384" t="s">
        <v>18354</v>
      </c>
      <c r="C4857" s="384" t="s">
        <v>83</v>
      </c>
      <c r="D4857" s="385" t="s">
        <v>18355</v>
      </c>
    </row>
    <row r="4858" spans="1:4" x14ac:dyDescent="0.25">
      <c r="A4858" s="384" t="s">
        <v>18356</v>
      </c>
      <c r="B4858" s="384" t="s">
        <v>18357</v>
      </c>
      <c r="C4858" s="384" t="s">
        <v>83</v>
      </c>
      <c r="D4858" s="385" t="s">
        <v>18358</v>
      </c>
    </row>
    <row r="4859" spans="1:4" x14ac:dyDescent="0.25">
      <c r="A4859" s="384" t="s">
        <v>18359</v>
      </c>
      <c r="B4859" s="384" t="s">
        <v>18360</v>
      </c>
      <c r="C4859" s="384" t="s">
        <v>83</v>
      </c>
      <c r="D4859" s="385" t="s">
        <v>18361</v>
      </c>
    </row>
    <row r="4860" spans="1:4" x14ac:dyDescent="0.25">
      <c r="A4860" s="384" t="s">
        <v>18362</v>
      </c>
      <c r="B4860" s="384" t="s">
        <v>18363</v>
      </c>
      <c r="C4860" s="384" t="s">
        <v>83</v>
      </c>
      <c r="D4860" s="385" t="s">
        <v>18212</v>
      </c>
    </row>
    <row r="4861" spans="1:4" x14ac:dyDescent="0.25">
      <c r="A4861" s="384" t="s">
        <v>18364</v>
      </c>
      <c r="B4861" s="384" t="s">
        <v>18365</v>
      </c>
      <c r="C4861" s="384" t="s">
        <v>83</v>
      </c>
      <c r="D4861" s="385" t="s">
        <v>18366</v>
      </c>
    </row>
    <row r="4862" spans="1:4" x14ac:dyDescent="0.25">
      <c r="A4862" s="384" t="s">
        <v>18367</v>
      </c>
      <c r="B4862" s="384" t="s">
        <v>18368</v>
      </c>
      <c r="C4862" s="384" t="s">
        <v>83</v>
      </c>
      <c r="D4862" s="385" t="s">
        <v>18347</v>
      </c>
    </row>
    <row r="4863" spans="1:4" x14ac:dyDescent="0.25">
      <c r="A4863" s="384" t="s">
        <v>18369</v>
      </c>
      <c r="B4863" s="384" t="s">
        <v>18370</v>
      </c>
      <c r="C4863" s="384" t="s">
        <v>83</v>
      </c>
      <c r="D4863" s="385" t="s">
        <v>18371</v>
      </c>
    </row>
    <row r="4864" spans="1:4" x14ac:dyDescent="0.25">
      <c r="A4864" s="384" t="s">
        <v>18372</v>
      </c>
      <c r="B4864" s="384" t="s">
        <v>18373</v>
      </c>
      <c r="C4864" s="384" t="s">
        <v>83</v>
      </c>
      <c r="D4864" s="385" t="s">
        <v>18374</v>
      </c>
    </row>
    <row r="4865" spans="1:4" x14ac:dyDescent="0.25">
      <c r="A4865" s="384" t="s">
        <v>18375</v>
      </c>
      <c r="B4865" s="384" t="s">
        <v>18376</v>
      </c>
      <c r="C4865" s="384" t="s">
        <v>83</v>
      </c>
      <c r="D4865" s="385" t="s">
        <v>18377</v>
      </c>
    </row>
    <row r="4866" spans="1:4" x14ac:dyDescent="0.25">
      <c r="A4866" s="384" t="s">
        <v>18378</v>
      </c>
      <c r="B4866" s="384" t="s">
        <v>18379</v>
      </c>
      <c r="C4866" s="384" t="s">
        <v>83</v>
      </c>
      <c r="D4866" s="385" t="s">
        <v>18380</v>
      </c>
    </row>
    <row r="4867" spans="1:4" x14ac:dyDescent="0.25">
      <c r="A4867" s="384" t="s">
        <v>18381</v>
      </c>
      <c r="B4867" s="384" t="s">
        <v>18382</v>
      </c>
      <c r="C4867" s="384" t="s">
        <v>83</v>
      </c>
      <c r="D4867" s="385" t="s">
        <v>18383</v>
      </c>
    </row>
    <row r="4868" spans="1:4" x14ac:dyDescent="0.25">
      <c r="A4868" s="384" t="s">
        <v>18384</v>
      </c>
      <c r="B4868" s="384" t="s">
        <v>18385</v>
      </c>
      <c r="C4868" s="384" t="s">
        <v>83</v>
      </c>
      <c r="D4868" s="385" t="s">
        <v>18386</v>
      </c>
    </row>
    <row r="4869" spans="1:4" x14ac:dyDescent="0.25">
      <c r="A4869" s="384" t="s">
        <v>18387</v>
      </c>
      <c r="B4869" s="384" t="s">
        <v>18388</v>
      </c>
      <c r="C4869" s="384" t="s">
        <v>83</v>
      </c>
      <c r="D4869" s="385" t="s">
        <v>18389</v>
      </c>
    </row>
    <row r="4870" spans="1:4" x14ac:dyDescent="0.25">
      <c r="A4870" s="384" t="s">
        <v>18390</v>
      </c>
      <c r="B4870" s="384" t="s">
        <v>18391</v>
      </c>
      <c r="C4870" s="384" t="s">
        <v>83</v>
      </c>
      <c r="D4870" s="385" t="s">
        <v>18392</v>
      </c>
    </row>
    <row r="4871" spans="1:4" x14ac:dyDescent="0.25">
      <c r="A4871" s="384" t="s">
        <v>18393</v>
      </c>
      <c r="B4871" s="384" t="s">
        <v>18394</v>
      </c>
      <c r="C4871" s="384" t="s">
        <v>83</v>
      </c>
      <c r="D4871" s="385" t="s">
        <v>18395</v>
      </c>
    </row>
    <row r="4872" spans="1:4" x14ac:dyDescent="0.25">
      <c r="A4872" s="384" t="s">
        <v>18396</v>
      </c>
      <c r="B4872" s="384" t="s">
        <v>18397</v>
      </c>
      <c r="C4872" s="384" t="s">
        <v>83</v>
      </c>
      <c r="D4872" s="385" t="s">
        <v>18398</v>
      </c>
    </row>
    <row r="4873" spans="1:4" x14ac:dyDescent="0.25">
      <c r="A4873" s="384" t="s">
        <v>18399</v>
      </c>
      <c r="B4873" s="384" t="s">
        <v>18400</v>
      </c>
      <c r="C4873" s="384" t="s">
        <v>83</v>
      </c>
      <c r="D4873" s="385" t="s">
        <v>18401</v>
      </c>
    </row>
    <row r="4874" spans="1:4" x14ac:dyDescent="0.25">
      <c r="A4874" s="384" t="s">
        <v>18402</v>
      </c>
      <c r="B4874" s="384" t="s">
        <v>18403</v>
      </c>
      <c r="C4874" s="384" t="s">
        <v>83</v>
      </c>
      <c r="D4874" s="385" t="s">
        <v>18404</v>
      </c>
    </row>
    <row r="4875" spans="1:4" x14ac:dyDescent="0.25">
      <c r="A4875" s="384" t="s">
        <v>18405</v>
      </c>
      <c r="B4875" s="384" t="s">
        <v>18406</v>
      </c>
      <c r="C4875" s="384" t="s">
        <v>83</v>
      </c>
      <c r="D4875" s="385" t="s">
        <v>18407</v>
      </c>
    </row>
    <row r="4876" spans="1:4" x14ac:dyDescent="0.25">
      <c r="A4876" s="384" t="s">
        <v>18408</v>
      </c>
      <c r="B4876" s="384" t="s">
        <v>18409</v>
      </c>
      <c r="C4876" s="384" t="s">
        <v>83</v>
      </c>
      <c r="D4876" s="385" t="s">
        <v>18410</v>
      </c>
    </row>
    <row r="4877" spans="1:4" x14ac:dyDescent="0.25">
      <c r="A4877" s="384" t="s">
        <v>18411</v>
      </c>
      <c r="B4877" s="384" t="s">
        <v>18412</v>
      </c>
      <c r="C4877" s="384" t="s">
        <v>83</v>
      </c>
      <c r="D4877" s="385" t="s">
        <v>18413</v>
      </c>
    </row>
    <row r="4878" spans="1:4" x14ac:dyDescent="0.25">
      <c r="A4878" s="384" t="s">
        <v>18414</v>
      </c>
      <c r="B4878" s="384" t="s">
        <v>18415</v>
      </c>
      <c r="C4878" s="384" t="s">
        <v>83</v>
      </c>
      <c r="D4878" s="385" t="s">
        <v>18416</v>
      </c>
    </row>
    <row r="4879" spans="1:4" x14ac:dyDescent="0.25">
      <c r="A4879" s="384" t="s">
        <v>18417</v>
      </c>
      <c r="B4879" s="384" t="s">
        <v>18418</v>
      </c>
      <c r="C4879" s="384" t="s">
        <v>83</v>
      </c>
      <c r="D4879" s="385" t="s">
        <v>18419</v>
      </c>
    </row>
    <row r="4880" spans="1:4" x14ac:dyDescent="0.25">
      <c r="A4880" s="384" t="s">
        <v>18420</v>
      </c>
      <c r="B4880" s="384" t="s">
        <v>18421</v>
      </c>
      <c r="C4880" s="384" t="s">
        <v>83</v>
      </c>
      <c r="D4880" s="385" t="s">
        <v>18422</v>
      </c>
    </row>
    <row r="4881" spans="1:4" x14ac:dyDescent="0.25">
      <c r="A4881" s="384" t="s">
        <v>18423</v>
      </c>
      <c r="B4881" s="384" t="s">
        <v>18424</v>
      </c>
      <c r="C4881" s="384" t="s">
        <v>83</v>
      </c>
      <c r="D4881" s="385" t="s">
        <v>18425</v>
      </c>
    </row>
    <row r="4882" spans="1:4" x14ac:dyDescent="0.25">
      <c r="A4882" s="384" t="s">
        <v>18426</v>
      </c>
      <c r="B4882" s="384" t="s">
        <v>18427</v>
      </c>
      <c r="C4882" s="384" t="s">
        <v>83</v>
      </c>
      <c r="D4882" s="385" t="s">
        <v>18428</v>
      </c>
    </row>
    <row r="4883" spans="1:4" x14ac:dyDescent="0.25">
      <c r="A4883" s="384" t="s">
        <v>18429</v>
      </c>
      <c r="B4883" s="384" t="s">
        <v>18430</v>
      </c>
      <c r="C4883" s="384" t="s">
        <v>83</v>
      </c>
      <c r="D4883" s="385" t="s">
        <v>18431</v>
      </c>
    </row>
    <row r="4884" spans="1:4" x14ac:dyDescent="0.25">
      <c r="A4884" s="384" t="s">
        <v>18432</v>
      </c>
      <c r="B4884" s="384" t="s">
        <v>18433</v>
      </c>
      <c r="C4884" s="384" t="s">
        <v>83</v>
      </c>
      <c r="D4884" s="385" t="s">
        <v>18434</v>
      </c>
    </row>
    <row r="4885" spans="1:4" x14ac:dyDescent="0.25">
      <c r="A4885" s="384" t="s">
        <v>18435</v>
      </c>
      <c r="B4885" s="384" t="s">
        <v>18436</v>
      </c>
      <c r="C4885" s="384" t="s">
        <v>83</v>
      </c>
      <c r="D4885" s="385" t="s">
        <v>18437</v>
      </c>
    </row>
    <row r="4886" spans="1:4" x14ac:dyDescent="0.25">
      <c r="A4886" s="384" t="s">
        <v>18438</v>
      </c>
      <c r="B4886" s="384" t="s">
        <v>18439</v>
      </c>
      <c r="C4886" s="384" t="s">
        <v>83</v>
      </c>
      <c r="D4886" s="385" t="s">
        <v>18440</v>
      </c>
    </row>
    <row r="4887" spans="1:4" x14ac:dyDescent="0.25">
      <c r="A4887" s="384" t="s">
        <v>18441</v>
      </c>
      <c r="B4887" s="384" t="s">
        <v>18442</v>
      </c>
      <c r="C4887" s="384" t="s">
        <v>83</v>
      </c>
      <c r="D4887" s="385" t="s">
        <v>18443</v>
      </c>
    </row>
    <row r="4888" spans="1:4" x14ac:dyDescent="0.25">
      <c r="A4888" s="384" t="s">
        <v>18444</v>
      </c>
      <c r="B4888" s="384" t="s">
        <v>18445</v>
      </c>
      <c r="C4888" s="384" t="s">
        <v>83</v>
      </c>
      <c r="D4888" s="385" t="s">
        <v>18446</v>
      </c>
    </row>
    <row r="4889" spans="1:4" x14ac:dyDescent="0.25">
      <c r="A4889" s="384" t="s">
        <v>18447</v>
      </c>
      <c r="B4889" s="384" t="s">
        <v>18448</v>
      </c>
      <c r="C4889" s="384" t="s">
        <v>83</v>
      </c>
      <c r="D4889" s="385" t="s">
        <v>18449</v>
      </c>
    </row>
    <row r="4890" spans="1:4" x14ac:dyDescent="0.25">
      <c r="A4890" s="384" t="s">
        <v>18450</v>
      </c>
      <c r="B4890" s="384" t="s">
        <v>18451</v>
      </c>
      <c r="C4890" s="384" t="s">
        <v>83</v>
      </c>
      <c r="D4890" s="385" t="s">
        <v>18452</v>
      </c>
    </row>
    <row r="4891" spans="1:4" x14ac:dyDescent="0.25">
      <c r="A4891" s="384" t="s">
        <v>18453</v>
      </c>
      <c r="B4891" s="384" t="s">
        <v>18454</v>
      </c>
      <c r="C4891" s="384" t="s">
        <v>83</v>
      </c>
      <c r="D4891" s="385" t="s">
        <v>18455</v>
      </c>
    </row>
    <row r="4892" spans="1:4" x14ac:dyDescent="0.25">
      <c r="A4892" s="384" t="s">
        <v>18456</v>
      </c>
      <c r="B4892" s="384" t="s">
        <v>18457</v>
      </c>
      <c r="C4892" s="384" t="s">
        <v>83</v>
      </c>
      <c r="D4892" s="385" t="s">
        <v>18458</v>
      </c>
    </row>
    <row r="4893" spans="1:4" x14ac:dyDescent="0.25">
      <c r="A4893" s="384" t="s">
        <v>18459</v>
      </c>
      <c r="B4893" s="384" t="s">
        <v>18460</v>
      </c>
      <c r="C4893" s="384" t="s">
        <v>83</v>
      </c>
      <c r="D4893" s="385" t="s">
        <v>18461</v>
      </c>
    </row>
    <row r="4894" spans="1:4" x14ac:dyDescent="0.25">
      <c r="A4894" s="384" t="s">
        <v>18462</v>
      </c>
      <c r="B4894" s="384" t="s">
        <v>18463</v>
      </c>
      <c r="C4894" s="384" t="s">
        <v>83</v>
      </c>
      <c r="D4894" s="385" t="s">
        <v>18464</v>
      </c>
    </row>
    <row r="4895" spans="1:4" x14ac:dyDescent="0.25">
      <c r="A4895" s="384" t="s">
        <v>18465</v>
      </c>
      <c r="B4895" s="384" t="s">
        <v>18466</v>
      </c>
      <c r="C4895" s="384" t="s">
        <v>83</v>
      </c>
      <c r="D4895" s="385" t="s">
        <v>18467</v>
      </c>
    </row>
    <row r="4896" spans="1:4" x14ac:dyDescent="0.25">
      <c r="A4896" s="384" t="s">
        <v>18468</v>
      </c>
      <c r="B4896" s="384" t="s">
        <v>18469</v>
      </c>
      <c r="C4896" s="384" t="s">
        <v>83</v>
      </c>
      <c r="D4896" s="385" t="s">
        <v>18470</v>
      </c>
    </row>
    <row r="4897" spans="1:4" x14ac:dyDescent="0.25">
      <c r="A4897" s="384" t="s">
        <v>18471</v>
      </c>
      <c r="B4897" s="384" t="s">
        <v>18472</v>
      </c>
      <c r="C4897" s="384" t="s">
        <v>83</v>
      </c>
      <c r="D4897" s="385" t="s">
        <v>18473</v>
      </c>
    </row>
    <row r="4898" spans="1:4" x14ac:dyDescent="0.25">
      <c r="A4898" s="384" t="s">
        <v>18474</v>
      </c>
      <c r="B4898" s="384" t="s">
        <v>18475</v>
      </c>
      <c r="C4898" s="384" t="s">
        <v>83</v>
      </c>
      <c r="D4898" s="385" t="s">
        <v>18476</v>
      </c>
    </row>
    <row r="4899" spans="1:4" x14ac:dyDescent="0.25">
      <c r="A4899" s="384" t="s">
        <v>18477</v>
      </c>
      <c r="B4899" s="384" t="s">
        <v>18478</v>
      </c>
      <c r="C4899" s="384" t="s">
        <v>83</v>
      </c>
      <c r="D4899" s="385" t="s">
        <v>18479</v>
      </c>
    </row>
    <row r="4900" spans="1:4" x14ac:dyDescent="0.25">
      <c r="A4900" s="384" t="s">
        <v>18480</v>
      </c>
      <c r="B4900" s="384" t="s">
        <v>18481</v>
      </c>
      <c r="C4900" s="384" t="s">
        <v>83</v>
      </c>
      <c r="D4900" s="385" t="s">
        <v>18482</v>
      </c>
    </row>
    <row r="4901" spans="1:4" x14ac:dyDescent="0.25">
      <c r="A4901" s="384" t="s">
        <v>18483</v>
      </c>
      <c r="B4901" s="384" t="s">
        <v>18484</v>
      </c>
      <c r="C4901" s="384" t="s">
        <v>83</v>
      </c>
      <c r="D4901" s="385" t="s">
        <v>18485</v>
      </c>
    </row>
    <row r="4902" spans="1:4" x14ac:dyDescent="0.25">
      <c r="A4902" s="384" t="s">
        <v>18486</v>
      </c>
      <c r="B4902" s="384" t="s">
        <v>18487</v>
      </c>
      <c r="C4902" s="384" t="s">
        <v>83</v>
      </c>
      <c r="D4902" s="385" t="s">
        <v>18488</v>
      </c>
    </row>
    <row r="4903" spans="1:4" x14ac:dyDescent="0.25">
      <c r="A4903" s="384" t="s">
        <v>18489</v>
      </c>
      <c r="B4903" s="384" t="s">
        <v>18490</v>
      </c>
      <c r="C4903" s="384" t="s">
        <v>83</v>
      </c>
      <c r="D4903" s="385" t="s">
        <v>18491</v>
      </c>
    </row>
    <row r="4904" spans="1:4" x14ac:dyDescent="0.25">
      <c r="A4904" s="384" t="s">
        <v>18492</v>
      </c>
      <c r="B4904" s="384" t="s">
        <v>18493</v>
      </c>
      <c r="C4904" s="384" t="s">
        <v>83</v>
      </c>
      <c r="D4904" s="385" t="s">
        <v>18494</v>
      </c>
    </row>
    <row r="4905" spans="1:4" x14ac:dyDescent="0.25">
      <c r="A4905" s="384" t="s">
        <v>18495</v>
      </c>
      <c r="B4905" s="384" t="s">
        <v>18496</v>
      </c>
      <c r="C4905" s="384" t="s">
        <v>83</v>
      </c>
      <c r="D4905" s="385" t="s">
        <v>18497</v>
      </c>
    </row>
    <row r="4906" spans="1:4" x14ac:dyDescent="0.25">
      <c r="A4906" s="384" t="s">
        <v>18498</v>
      </c>
      <c r="B4906" s="384" t="s">
        <v>18499</v>
      </c>
      <c r="C4906" s="384" t="s">
        <v>83</v>
      </c>
      <c r="D4906" s="385" t="s">
        <v>18500</v>
      </c>
    </row>
    <row r="4907" spans="1:4" x14ac:dyDescent="0.25">
      <c r="A4907" s="384" t="s">
        <v>18501</v>
      </c>
      <c r="B4907" s="384" t="s">
        <v>18502</v>
      </c>
      <c r="C4907" s="384" t="s">
        <v>83</v>
      </c>
      <c r="D4907" s="385" t="s">
        <v>18503</v>
      </c>
    </row>
    <row r="4908" spans="1:4" x14ac:dyDescent="0.25">
      <c r="A4908" s="384" t="s">
        <v>18504</v>
      </c>
      <c r="B4908" s="384" t="s">
        <v>18505</v>
      </c>
      <c r="C4908" s="384" t="s">
        <v>83</v>
      </c>
      <c r="D4908" s="385" t="s">
        <v>18506</v>
      </c>
    </row>
    <row r="4909" spans="1:4" x14ac:dyDescent="0.25">
      <c r="A4909" s="384" t="s">
        <v>18507</v>
      </c>
      <c r="B4909" s="384" t="s">
        <v>18508</v>
      </c>
      <c r="C4909" s="384" t="s">
        <v>83</v>
      </c>
      <c r="D4909" s="385" t="s">
        <v>18509</v>
      </c>
    </row>
    <row r="4910" spans="1:4" x14ac:dyDescent="0.25">
      <c r="A4910" s="384" t="s">
        <v>18510</v>
      </c>
      <c r="B4910" s="384" t="s">
        <v>18511</v>
      </c>
      <c r="C4910" s="384" t="s">
        <v>83</v>
      </c>
      <c r="D4910" s="385" t="s">
        <v>18512</v>
      </c>
    </row>
    <row r="4911" spans="1:4" x14ac:dyDescent="0.25">
      <c r="A4911" s="384" t="s">
        <v>18513</v>
      </c>
      <c r="B4911" s="384" t="s">
        <v>18514</v>
      </c>
      <c r="C4911" s="384" t="s">
        <v>83</v>
      </c>
      <c r="D4911" s="385" t="s">
        <v>18515</v>
      </c>
    </row>
    <row r="4912" spans="1:4" x14ac:dyDescent="0.25">
      <c r="A4912" s="384" t="s">
        <v>18516</v>
      </c>
      <c r="B4912" s="384" t="s">
        <v>18517</v>
      </c>
      <c r="C4912" s="384" t="s">
        <v>83</v>
      </c>
      <c r="D4912" s="385" t="s">
        <v>18518</v>
      </c>
    </row>
    <row r="4913" spans="1:4" x14ac:dyDescent="0.25">
      <c r="A4913" s="384" t="s">
        <v>18519</v>
      </c>
      <c r="B4913" s="384" t="s">
        <v>18520</v>
      </c>
      <c r="C4913" s="384" t="s">
        <v>83</v>
      </c>
      <c r="D4913" s="385" t="s">
        <v>18521</v>
      </c>
    </row>
    <row r="4914" spans="1:4" x14ac:dyDescent="0.25">
      <c r="A4914" s="384" t="s">
        <v>18522</v>
      </c>
      <c r="B4914" s="384" t="s">
        <v>18523</v>
      </c>
      <c r="C4914" s="384" t="s">
        <v>83</v>
      </c>
      <c r="D4914" s="385" t="s">
        <v>18524</v>
      </c>
    </row>
    <row r="4915" spans="1:4" x14ac:dyDescent="0.25">
      <c r="A4915" s="384" t="s">
        <v>18525</v>
      </c>
      <c r="B4915" s="384" t="s">
        <v>18526</v>
      </c>
      <c r="C4915" s="384" t="s">
        <v>83</v>
      </c>
      <c r="D4915" s="385" t="s">
        <v>18527</v>
      </c>
    </row>
    <row r="4916" spans="1:4" x14ac:dyDescent="0.25">
      <c r="A4916" s="384" t="s">
        <v>18528</v>
      </c>
      <c r="B4916" s="384" t="s">
        <v>18529</v>
      </c>
      <c r="C4916" s="384" t="s">
        <v>83</v>
      </c>
      <c r="D4916" s="385" t="s">
        <v>18530</v>
      </c>
    </row>
    <row r="4917" spans="1:4" x14ac:dyDescent="0.25">
      <c r="A4917" s="384" t="s">
        <v>18531</v>
      </c>
      <c r="B4917" s="384" t="s">
        <v>18532</v>
      </c>
      <c r="C4917" s="384" t="s">
        <v>83</v>
      </c>
      <c r="D4917" s="385" t="s">
        <v>18533</v>
      </c>
    </row>
    <row r="4918" spans="1:4" x14ac:dyDescent="0.25">
      <c r="A4918" s="384" t="s">
        <v>18534</v>
      </c>
      <c r="B4918" s="384" t="s">
        <v>18535</v>
      </c>
      <c r="C4918" s="384" t="s">
        <v>83</v>
      </c>
      <c r="D4918" s="385" t="s">
        <v>18536</v>
      </c>
    </row>
    <row r="4919" spans="1:4" x14ac:dyDescent="0.25">
      <c r="A4919" s="384" t="s">
        <v>18537</v>
      </c>
      <c r="B4919" s="384" t="s">
        <v>18538</v>
      </c>
      <c r="C4919" s="384" t="s">
        <v>83</v>
      </c>
      <c r="D4919" s="385" t="s">
        <v>18539</v>
      </c>
    </row>
    <row r="4920" spans="1:4" x14ac:dyDescent="0.25">
      <c r="A4920" s="384" t="s">
        <v>18540</v>
      </c>
      <c r="B4920" s="384" t="s">
        <v>18541</v>
      </c>
      <c r="C4920" s="384" t="s">
        <v>83</v>
      </c>
      <c r="D4920" s="385" t="s">
        <v>18542</v>
      </c>
    </row>
    <row r="4921" spans="1:4" x14ac:dyDescent="0.25">
      <c r="A4921" s="384" t="s">
        <v>18543</v>
      </c>
      <c r="B4921" s="384" t="s">
        <v>18544</v>
      </c>
      <c r="C4921" s="384" t="s">
        <v>83</v>
      </c>
      <c r="D4921" s="385" t="s">
        <v>18545</v>
      </c>
    </row>
    <row r="4922" spans="1:4" x14ac:dyDescent="0.25">
      <c r="A4922" s="384" t="s">
        <v>18546</v>
      </c>
      <c r="B4922" s="384" t="s">
        <v>18547</v>
      </c>
      <c r="C4922" s="384" t="s">
        <v>83</v>
      </c>
      <c r="D4922" s="385" t="s">
        <v>9361</v>
      </c>
    </row>
    <row r="4923" spans="1:4" x14ac:dyDescent="0.25">
      <c r="A4923" s="384" t="s">
        <v>18548</v>
      </c>
      <c r="B4923" s="384" t="s">
        <v>18549</v>
      </c>
      <c r="C4923" s="384" t="s">
        <v>83</v>
      </c>
      <c r="D4923" s="385" t="s">
        <v>18550</v>
      </c>
    </row>
    <row r="4924" spans="1:4" x14ac:dyDescent="0.25">
      <c r="A4924" s="384" t="s">
        <v>18551</v>
      </c>
      <c r="B4924" s="384" t="s">
        <v>18552</v>
      </c>
      <c r="C4924" s="384" t="s">
        <v>83</v>
      </c>
      <c r="D4924" s="385" t="s">
        <v>18553</v>
      </c>
    </row>
    <row r="4925" spans="1:4" x14ac:dyDescent="0.25">
      <c r="A4925" s="384" t="s">
        <v>18554</v>
      </c>
      <c r="B4925" s="384" t="s">
        <v>18555</v>
      </c>
      <c r="C4925" s="384" t="s">
        <v>83</v>
      </c>
      <c r="D4925" s="385" t="s">
        <v>18556</v>
      </c>
    </row>
    <row r="4926" spans="1:4" x14ac:dyDescent="0.25">
      <c r="A4926" s="384" t="s">
        <v>18557</v>
      </c>
      <c r="B4926" s="384" t="s">
        <v>18558</v>
      </c>
      <c r="C4926" s="384" t="s">
        <v>83</v>
      </c>
      <c r="D4926" s="385" t="s">
        <v>18559</v>
      </c>
    </row>
    <row r="4927" spans="1:4" x14ac:dyDescent="0.25">
      <c r="A4927" s="384" t="s">
        <v>18560</v>
      </c>
      <c r="B4927" s="384" t="s">
        <v>18561</v>
      </c>
      <c r="C4927" s="384" t="s">
        <v>83</v>
      </c>
      <c r="D4927" s="385" t="s">
        <v>18562</v>
      </c>
    </row>
    <row r="4928" spans="1:4" x14ac:dyDescent="0.25">
      <c r="A4928" s="384" t="s">
        <v>18563</v>
      </c>
      <c r="B4928" s="384" t="s">
        <v>18564</v>
      </c>
      <c r="C4928" s="384" t="s">
        <v>83</v>
      </c>
      <c r="D4928" s="385" t="s">
        <v>18565</v>
      </c>
    </row>
    <row r="4929" spans="1:4" x14ac:dyDescent="0.25">
      <c r="A4929" s="384" t="s">
        <v>18566</v>
      </c>
      <c r="B4929" s="384" t="s">
        <v>18567</v>
      </c>
      <c r="C4929" s="384" t="s">
        <v>83</v>
      </c>
      <c r="D4929" s="385" t="s">
        <v>18568</v>
      </c>
    </row>
    <row r="4930" spans="1:4" x14ac:dyDescent="0.25">
      <c r="A4930" s="384" t="s">
        <v>18569</v>
      </c>
      <c r="B4930" s="384" t="s">
        <v>18570</v>
      </c>
      <c r="C4930" s="384" t="s">
        <v>83</v>
      </c>
      <c r="D4930" s="385" t="s">
        <v>18571</v>
      </c>
    </row>
    <row r="4931" spans="1:4" x14ac:dyDescent="0.25">
      <c r="A4931" s="384" t="s">
        <v>18572</v>
      </c>
      <c r="B4931" s="384" t="s">
        <v>18573</v>
      </c>
      <c r="C4931" s="384" t="s">
        <v>83</v>
      </c>
      <c r="D4931" s="385" t="s">
        <v>18574</v>
      </c>
    </row>
    <row r="4932" spans="1:4" x14ac:dyDescent="0.25">
      <c r="A4932" s="384" t="s">
        <v>18575</v>
      </c>
      <c r="B4932" s="384" t="s">
        <v>18576</v>
      </c>
      <c r="C4932" s="384" t="s">
        <v>83</v>
      </c>
      <c r="D4932" s="385" t="s">
        <v>18577</v>
      </c>
    </row>
    <row r="4933" spans="1:4" x14ac:dyDescent="0.25">
      <c r="A4933" s="384" t="s">
        <v>18578</v>
      </c>
      <c r="B4933" s="384" t="s">
        <v>18579</v>
      </c>
      <c r="C4933" s="384" t="s">
        <v>83</v>
      </c>
      <c r="D4933" s="385" t="s">
        <v>18580</v>
      </c>
    </row>
    <row r="4934" spans="1:4" x14ac:dyDescent="0.25">
      <c r="A4934" s="384" t="s">
        <v>18581</v>
      </c>
      <c r="B4934" s="384" t="s">
        <v>18582</v>
      </c>
      <c r="C4934" s="384" t="s">
        <v>83</v>
      </c>
      <c r="D4934" s="385" t="s">
        <v>18583</v>
      </c>
    </row>
    <row r="4935" spans="1:4" x14ac:dyDescent="0.25">
      <c r="A4935" s="384" t="s">
        <v>18584</v>
      </c>
      <c r="B4935" s="384" t="s">
        <v>18585</v>
      </c>
      <c r="C4935" s="384" t="s">
        <v>83</v>
      </c>
      <c r="D4935" s="385" t="s">
        <v>18586</v>
      </c>
    </row>
    <row r="4936" spans="1:4" x14ac:dyDescent="0.25">
      <c r="A4936" s="384" t="s">
        <v>18587</v>
      </c>
      <c r="B4936" s="384" t="s">
        <v>18588</v>
      </c>
      <c r="C4936" s="384" t="s">
        <v>83</v>
      </c>
      <c r="D4936" s="385" t="s">
        <v>18589</v>
      </c>
    </row>
    <row r="4937" spans="1:4" x14ac:dyDescent="0.25">
      <c r="A4937" s="384" t="s">
        <v>18590</v>
      </c>
      <c r="B4937" s="384" t="s">
        <v>18591</v>
      </c>
      <c r="C4937" s="384" t="s">
        <v>83</v>
      </c>
      <c r="D4937" s="385" t="s">
        <v>18592</v>
      </c>
    </row>
    <row r="4938" spans="1:4" x14ac:dyDescent="0.25">
      <c r="A4938" s="384" t="s">
        <v>18593</v>
      </c>
      <c r="B4938" s="384" t="s">
        <v>18594</v>
      </c>
      <c r="C4938" s="384" t="s">
        <v>83</v>
      </c>
      <c r="D4938" s="385" t="s">
        <v>18595</v>
      </c>
    </row>
    <row r="4939" spans="1:4" x14ac:dyDescent="0.25">
      <c r="A4939" s="384" t="s">
        <v>18596</v>
      </c>
      <c r="B4939" s="384" t="s">
        <v>18597</v>
      </c>
      <c r="C4939" s="384" t="s">
        <v>83</v>
      </c>
      <c r="D4939" s="385" t="s">
        <v>18598</v>
      </c>
    </row>
    <row r="4940" spans="1:4" x14ac:dyDescent="0.25">
      <c r="A4940" s="384" t="s">
        <v>18599</v>
      </c>
      <c r="B4940" s="384" t="s">
        <v>18600</v>
      </c>
      <c r="C4940" s="384" t="s">
        <v>83</v>
      </c>
      <c r="D4940" s="385" t="s">
        <v>18601</v>
      </c>
    </row>
    <row r="4941" spans="1:4" x14ac:dyDescent="0.25">
      <c r="A4941" s="384" t="s">
        <v>18602</v>
      </c>
      <c r="B4941" s="384" t="s">
        <v>18603</v>
      </c>
      <c r="C4941" s="384" t="s">
        <v>83</v>
      </c>
      <c r="D4941" s="385" t="s">
        <v>18604</v>
      </c>
    </row>
    <row r="4942" spans="1:4" x14ac:dyDescent="0.25">
      <c r="A4942" s="384" t="s">
        <v>18605</v>
      </c>
      <c r="B4942" s="384" t="s">
        <v>18606</v>
      </c>
      <c r="C4942" s="384" t="s">
        <v>83</v>
      </c>
      <c r="D4942" s="385" t="s">
        <v>18607</v>
      </c>
    </row>
    <row r="4943" spans="1:4" x14ac:dyDescent="0.25">
      <c r="A4943" s="384" t="s">
        <v>18608</v>
      </c>
      <c r="B4943" s="384" t="s">
        <v>18609</v>
      </c>
      <c r="C4943" s="384" t="s">
        <v>83</v>
      </c>
      <c r="D4943" s="385" t="s">
        <v>18610</v>
      </c>
    </row>
    <row r="4944" spans="1:4" x14ac:dyDescent="0.25">
      <c r="A4944" s="384" t="s">
        <v>18611</v>
      </c>
      <c r="B4944" s="384" t="s">
        <v>18612</v>
      </c>
      <c r="C4944" s="384" t="s">
        <v>83</v>
      </c>
      <c r="D4944" s="385" t="s">
        <v>18613</v>
      </c>
    </row>
    <row r="4945" spans="1:4" x14ac:dyDescent="0.25">
      <c r="A4945" s="384" t="s">
        <v>18614</v>
      </c>
      <c r="B4945" s="384" t="s">
        <v>18615</v>
      </c>
      <c r="C4945" s="384" t="s">
        <v>83</v>
      </c>
      <c r="D4945" s="385" t="s">
        <v>18616</v>
      </c>
    </row>
    <row r="4946" spans="1:4" x14ac:dyDescent="0.25">
      <c r="A4946" s="384" t="s">
        <v>18617</v>
      </c>
      <c r="B4946" s="384" t="s">
        <v>18618</v>
      </c>
      <c r="C4946" s="384" t="s">
        <v>83</v>
      </c>
      <c r="D4946" s="385" t="s">
        <v>18619</v>
      </c>
    </row>
    <row r="4947" spans="1:4" x14ac:dyDescent="0.25">
      <c r="A4947" s="384" t="s">
        <v>18620</v>
      </c>
      <c r="B4947" s="384" t="s">
        <v>18621</v>
      </c>
      <c r="C4947" s="384" t="s">
        <v>83</v>
      </c>
      <c r="D4947" s="385" t="s">
        <v>18622</v>
      </c>
    </row>
    <row r="4948" spans="1:4" x14ac:dyDescent="0.25">
      <c r="A4948" s="384" t="s">
        <v>18623</v>
      </c>
      <c r="B4948" s="384" t="s">
        <v>18624</v>
      </c>
      <c r="C4948" s="384" t="s">
        <v>83</v>
      </c>
      <c r="D4948" s="385" t="s">
        <v>18625</v>
      </c>
    </row>
    <row r="4949" spans="1:4" x14ac:dyDescent="0.25">
      <c r="A4949" s="384" t="s">
        <v>18626</v>
      </c>
      <c r="B4949" s="384" t="s">
        <v>18627</v>
      </c>
      <c r="C4949" s="384" t="s">
        <v>83</v>
      </c>
      <c r="D4949" s="385" t="s">
        <v>18628</v>
      </c>
    </row>
    <row r="4950" spans="1:4" x14ac:dyDescent="0.25">
      <c r="A4950" s="384" t="s">
        <v>18629</v>
      </c>
      <c r="B4950" s="384" t="s">
        <v>18630</v>
      </c>
      <c r="C4950" s="384" t="s">
        <v>83</v>
      </c>
      <c r="D4950" s="385" t="s">
        <v>18631</v>
      </c>
    </row>
    <row r="4951" spans="1:4" x14ac:dyDescent="0.25">
      <c r="A4951" s="384" t="s">
        <v>18632</v>
      </c>
      <c r="B4951" s="384" t="s">
        <v>18633</v>
      </c>
      <c r="C4951" s="384" t="s">
        <v>83</v>
      </c>
      <c r="D4951" s="385" t="s">
        <v>18634</v>
      </c>
    </row>
    <row r="4952" spans="1:4" x14ac:dyDescent="0.25">
      <c r="A4952" s="384" t="s">
        <v>18635</v>
      </c>
      <c r="B4952" s="384" t="s">
        <v>18636</v>
      </c>
      <c r="C4952" s="384" t="s">
        <v>83</v>
      </c>
      <c r="D4952" s="385" t="s">
        <v>18637</v>
      </c>
    </row>
    <row r="4953" spans="1:4" x14ac:dyDescent="0.25">
      <c r="A4953" s="384" t="s">
        <v>18638</v>
      </c>
      <c r="B4953" s="384" t="s">
        <v>18639</v>
      </c>
      <c r="C4953" s="384" t="s">
        <v>83</v>
      </c>
      <c r="D4953" s="385" t="s">
        <v>18640</v>
      </c>
    </row>
    <row r="4954" spans="1:4" x14ac:dyDescent="0.25">
      <c r="A4954" s="384" t="s">
        <v>18641</v>
      </c>
      <c r="B4954" s="384" t="s">
        <v>18642</v>
      </c>
      <c r="C4954" s="384" t="s">
        <v>83</v>
      </c>
      <c r="D4954" s="385" t="s">
        <v>18643</v>
      </c>
    </row>
    <row r="4955" spans="1:4" x14ac:dyDescent="0.25">
      <c r="A4955" s="384" t="s">
        <v>18644</v>
      </c>
      <c r="B4955" s="384" t="s">
        <v>18645</v>
      </c>
      <c r="C4955" s="384" t="s">
        <v>83</v>
      </c>
      <c r="D4955" s="385" t="s">
        <v>18646</v>
      </c>
    </row>
    <row r="4956" spans="1:4" x14ac:dyDescent="0.25">
      <c r="A4956" s="384" t="s">
        <v>18647</v>
      </c>
      <c r="B4956" s="384" t="s">
        <v>18648</v>
      </c>
      <c r="C4956" s="384" t="s">
        <v>83</v>
      </c>
      <c r="D4956" s="385" t="s">
        <v>18649</v>
      </c>
    </row>
    <row r="4957" spans="1:4" x14ac:dyDescent="0.25">
      <c r="A4957" s="384" t="s">
        <v>18650</v>
      </c>
      <c r="B4957" s="384" t="s">
        <v>18651</v>
      </c>
      <c r="C4957" s="384" t="s">
        <v>83</v>
      </c>
      <c r="D4957" s="385" t="s">
        <v>18652</v>
      </c>
    </row>
    <row r="4958" spans="1:4" x14ac:dyDescent="0.25">
      <c r="A4958" s="384" t="s">
        <v>18653</v>
      </c>
      <c r="B4958" s="384" t="s">
        <v>18654</v>
      </c>
      <c r="C4958" s="384" t="s">
        <v>83</v>
      </c>
      <c r="D4958" s="385" t="s">
        <v>18655</v>
      </c>
    </row>
    <row r="4959" spans="1:4" x14ac:dyDescent="0.25">
      <c r="A4959" s="384" t="s">
        <v>18656</v>
      </c>
      <c r="B4959" s="384" t="s">
        <v>18657</v>
      </c>
      <c r="C4959" s="384" t="s">
        <v>83</v>
      </c>
      <c r="D4959" s="385" t="s">
        <v>18658</v>
      </c>
    </row>
    <row r="4960" spans="1:4" x14ac:dyDescent="0.25">
      <c r="A4960" s="384" t="s">
        <v>18659</v>
      </c>
      <c r="B4960" s="384" t="s">
        <v>18660</v>
      </c>
      <c r="C4960" s="384" t="s">
        <v>83</v>
      </c>
      <c r="D4960" s="385" t="s">
        <v>18661</v>
      </c>
    </row>
    <row r="4961" spans="1:4" x14ac:dyDescent="0.25">
      <c r="A4961" s="384" t="s">
        <v>18662</v>
      </c>
      <c r="B4961" s="384" t="s">
        <v>18663</v>
      </c>
      <c r="C4961" s="384" t="s">
        <v>83</v>
      </c>
      <c r="D4961" s="385" t="s">
        <v>18664</v>
      </c>
    </row>
    <row r="4962" spans="1:4" x14ac:dyDescent="0.25">
      <c r="A4962" s="384" t="s">
        <v>18665</v>
      </c>
      <c r="B4962" s="384" t="s">
        <v>18666</v>
      </c>
      <c r="C4962" s="384" t="s">
        <v>83</v>
      </c>
      <c r="D4962" s="385" t="s">
        <v>18667</v>
      </c>
    </row>
    <row r="4963" spans="1:4" x14ac:dyDescent="0.25">
      <c r="A4963" s="384" t="s">
        <v>18668</v>
      </c>
      <c r="B4963" s="384" t="s">
        <v>18669</v>
      </c>
      <c r="C4963" s="384" t="s">
        <v>83</v>
      </c>
      <c r="D4963" s="385" t="s">
        <v>18670</v>
      </c>
    </row>
    <row r="4964" spans="1:4" x14ac:dyDescent="0.25">
      <c r="A4964" s="384" t="s">
        <v>18671</v>
      </c>
      <c r="B4964" s="384" t="s">
        <v>18672</v>
      </c>
      <c r="C4964" s="384" t="s">
        <v>83</v>
      </c>
      <c r="D4964" s="385" t="s">
        <v>18673</v>
      </c>
    </row>
    <row r="4965" spans="1:4" x14ac:dyDescent="0.25">
      <c r="A4965" s="384" t="s">
        <v>18674</v>
      </c>
      <c r="B4965" s="384" t="s">
        <v>18675</v>
      </c>
      <c r="C4965" s="384" t="s">
        <v>83</v>
      </c>
      <c r="D4965" s="385" t="s">
        <v>18676</v>
      </c>
    </row>
    <row r="4966" spans="1:4" x14ac:dyDescent="0.25">
      <c r="A4966" s="384" t="s">
        <v>18677</v>
      </c>
      <c r="B4966" s="384" t="s">
        <v>18678</v>
      </c>
      <c r="C4966" s="384" t="s">
        <v>83</v>
      </c>
      <c r="D4966" s="385" t="s">
        <v>18679</v>
      </c>
    </row>
    <row r="4967" spans="1:4" x14ac:dyDescent="0.25">
      <c r="A4967" s="384" t="s">
        <v>18680</v>
      </c>
      <c r="B4967" s="384" t="s">
        <v>18681</v>
      </c>
      <c r="C4967" s="384" t="s">
        <v>83</v>
      </c>
      <c r="D4967" s="385" t="s">
        <v>11746</v>
      </c>
    </row>
    <row r="4968" spans="1:4" x14ac:dyDescent="0.25">
      <c r="A4968" s="384" t="s">
        <v>18682</v>
      </c>
      <c r="B4968" s="384" t="s">
        <v>18683</v>
      </c>
      <c r="C4968" s="384" t="s">
        <v>83</v>
      </c>
      <c r="D4968" s="385" t="s">
        <v>18684</v>
      </c>
    </row>
    <row r="4969" spans="1:4" x14ac:dyDescent="0.25">
      <c r="A4969" s="384" t="s">
        <v>18685</v>
      </c>
      <c r="B4969" s="384" t="s">
        <v>18686</v>
      </c>
      <c r="C4969" s="384" t="s">
        <v>83</v>
      </c>
      <c r="D4969" s="385" t="s">
        <v>18687</v>
      </c>
    </row>
    <row r="4970" spans="1:4" x14ac:dyDescent="0.25">
      <c r="A4970" s="384" t="s">
        <v>18688</v>
      </c>
      <c r="B4970" s="384" t="s">
        <v>18689</v>
      </c>
      <c r="C4970" s="384" t="s">
        <v>83</v>
      </c>
      <c r="D4970" s="385" t="s">
        <v>16230</v>
      </c>
    </row>
    <row r="4971" spans="1:4" x14ac:dyDescent="0.25">
      <c r="A4971" s="384" t="s">
        <v>18690</v>
      </c>
      <c r="B4971" s="384" t="s">
        <v>18691</v>
      </c>
      <c r="C4971" s="384" t="s">
        <v>83</v>
      </c>
      <c r="D4971" s="385" t="s">
        <v>18692</v>
      </c>
    </row>
    <row r="4972" spans="1:4" x14ac:dyDescent="0.25">
      <c r="A4972" s="384" t="s">
        <v>18693</v>
      </c>
      <c r="B4972" s="384" t="s">
        <v>18694</v>
      </c>
      <c r="C4972" s="384" t="s">
        <v>83</v>
      </c>
      <c r="D4972" s="385" t="s">
        <v>18695</v>
      </c>
    </row>
    <row r="4973" spans="1:4" x14ac:dyDescent="0.25">
      <c r="A4973" s="384" t="s">
        <v>18696</v>
      </c>
      <c r="B4973" s="384" t="s">
        <v>18697</v>
      </c>
      <c r="C4973" s="384" t="s">
        <v>83</v>
      </c>
      <c r="D4973" s="385" t="s">
        <v>18698</v>
      </c>
    </row>
    <row r="4974" spans="1:4" x14ac:dyDescent="0.25">
      <c r="A4974" s="384" t="s">
        <v>18699</v>
      </c>
      <c r="B4974" s="384" t="s">
        <v>18700</v>
      </c>
      <c r="C4974" s="384" t="s">
        <v>83</v>
      </c>
      <c r="D4974" s="385" t="s">
        <v>18701</v>
      </c>
    </row>
    <row r="4975" spans="1:4" x14ac:dyDescent="0.25">
      <c r="A4975" s="384" t="s">
        <v>18702</v>
      </c>
      <c r="B4975" s="384" t="s">
        <v>18703</v>
      </c>
      <c r="C4975" s="384" t="s">
        <v>83</v>
      </c>
      <c r="D4975" s="385" t="s">
        <v>18704</v>
      </c>
    </row>
    <row r="4976" spans="1:4" x14ac:dyDescent="0.25">
      <c r="A4976" s="384" t="s">
        <v>18705</v>
      </c>
      <c r="B4976" s="384" t="s">
        <v>18706</v>
      </c>
      <c r="C4976" s="384" t="s">
        <v>83</v>
      </c>
      <c r="D4976" s="385" t="s">
        <v>18707</v>
      </c>
    </row>
    <row r="4977" spans="1:4" x14ac:dyDescent="0.25">
      <c r="A4977" s="384" t="s">
        <v>18708</v>
      </c>
      <c r="B4977" s="384" t="s">
        <v>18709</v>
      </c>
      <c r="C4977" s="384" t="s">
        <v>83</v>
      </c>
      <c r="D4977" s="385" t="s">
        <v>18710</v>
      </c>
    </row>
    <row r="4978" spans="1:4" x14ac:dyDescent="0.25">
      <c r="A4978" s="384" t="s">
        <v>18711</v>
      </c>
      <c r="B4978" s="384" t="s">
        <v>18712</v>
      </c>
      <c r="C4978" s="384" t="s">
        <v>83</v>
      </c>
      <c r="D4978" s="385" t="s">
        <v>18713</v>
      </c>
    </row>
    <row r="4979" spans="1:4" x14ac:dyDescent="0.25">
      <c r="A4979" s="384" t="s">
        <v>18714</v>
      </c>
      <c r="B4979" s="384" t="s">
        <v>18715</v>
      </c>
      <c r="C4979" s="384" t="s">
        <v>83</v>
      </c>
      <c r="D4979" s="385" t="s">
        <v>18716</v>
      </c>
    </row>
    <row r="4980" spans="1:4" x14ac:dyDescent="0.25">
      <c r="A4980" s="384" t="s">
        <v>18717</v>
      </c>
      <c r="B4980" s="384" t="s">
        <v>18718</v>
      </c>
      <c r="C4980" s="384" t="s">
        <v>83</v>
      </c>
      <c r="D4980" s="385" t="s">
        <v>18719</v>
      </c>
    </row>
    <row r="4981" spans="1:4" x14ac:dyDescent="0.25">
      <c r="A4981" s="384" t="s">
        <v>18720</v>
      </c>
      <c r="B4981" s="384" t="s">
        <v>18721</v>
      </c>
      <c r="C4981" s="384" t="s">
        <v>83</v>
      </c>
      <c r="D4981" s="385" t="s">
        <v>18722</v>
      </c>
    </row>
    <row r="4982" spans="1:4" x14ac:dyDescent="0.25">
      <c r="A4982" s="384" t="s">
        <v>18723</v>
      </c>
      <c r="B4982" s="384" t="s">
        <v>18724</v>
      </c>
      <c r="C4982" s="384" t="s">
        <v>83</v>
      </c>
      <c r="D4982" s="385" t="s">
        <v>18725</v>
      </c>
    </row>
    <row r="4983" spans="1:4" x14ac:dyDescent="0.25">
      <c r="A4983" s="384" t="s">
        <v>18726</v>
      </c>
      <c r="B4983" s="384" t="s">
        <v>18727</v>
      </c>
      <c r="C4983" s="384" t="s">
        <v>83</v>
      </c>
      <c r="D4983" s="385" t="s">
        <v>18728</v>
      </c>
    </row>
    <row r="4984" spans="1:4" x14ac:dyDescent="0.25">
      <c r="A4984" s="384" t="s">
        <v>18729</v>
      </c>
      <c r="B4984" s="384" t="s">
        <v>18730</v>
      </c>
      <c r="C4984" s="384" t="s">
        <v>83</v>
      </c>
      <c r="D4984" s="385" t="s">
        <v>18731</v>
      </c>
    </row>
    <row r="4985" spans="1:4" x14ac:dyDescent="0.25">
      <c r="A4985" s="384" t="s">
        <v>18732</v>
      </c>
      <c r="B4985" s="384" t="s">
        <v>18733</v>
      </c>
      <c r="C4985" s="384" t="s">
        <v>83</v>
      </c>
      <c r="D4985" s="385" t="s">
        <v>18734</v>
      </c>
    </row>
    <row r="4986" spans="1:4" x14ac:dyDescent="0.25">
      <c r="A4986" s="384" t="s">
        <v>18735</v>
      </c>
      <c r="B4986" s="384" t="s">
        <v>18736</v>
      </c>
      <c r="C4986" s="384" t="s">
        <v>83</v>
      </c>
      <c r="D4986" s="385" t="s">
        <v>18737</v>
      </c>
    </row>
    <row r="4987" spans="1:4" x14ac:dyDescent="0.25">
      <c r="A4987" s="384" t="s">
        <v>18738</v>
      </c>
      <c r="B4987" s="384" t="s">
        <v>18739</v>
      </c>
      <c r="C4987" s="384" t="s">
        <v>83</v>
      </c>
      <c r="D4987" s="385" t="s">
        <v>18740</v>
      </c>
    </row>
    <row r="4988" spans="1:4" x14ac:dyDescent="0.25">
      <c r="A4988" s="384" t="s">
        <v>18741</v>
      </c>
      <c r="B4988" s="384" t="s">
        <v>18742</v>
      </c>
      <c r="C4988" s="384" t="s">
        <v>83</v>
      </c>
      <c r="D4988" s="385" t="s">
        <v>18743</v>
      </c>
    </row>
    <row r="4989" spans="1:4" x14ac:dyDescent="0.25">
      <c r="A4989" s="384" t="s">
        <v>18744</v>
      </c>
      <c r="B4989" s="384" t="s">
        <v>18745</v>
      </c>
      <c r="C4989" s="384" t="s">
        <v>83</v>
      </c>
      <c r="D4989" s="385" t="s">
        <v>18746</v>
      </c>
    </row>
    <row r="4990" spans="1:4" x14ac:dyDescent="0.25">
      <c r="A4990" s="384" t="s">
        <v>18747</v>
      </c>
      <c r="B4990" s="384" t="s">
        <v>18748</v>
      </c>
      <c r="C4990" s="384" t="s">
        <v>83</v>
      </c>
      <c r="D4990" s="385" t="s">
        <v>18749</v>
      </c>
    </row>
    <row r="4991" spans="1:4" x14ac:dyDescent="0.25">
      <c r="A4991" s="384" t="s">
        <v>18750</v>
      </c>
      <c r="B4991" s="384" t="s">
        <v>18751</v>
      </c>
      <c r="C4991" s="384" t="s">
        <v>83</v>
      </c>
      <c r="D4991" s="385" t="s">
        <v>18752</v>
      </c>
    </row>
    <row r="4992" spans="1:4" x14ac:dyDescent="0.25">
      <c r="A4992" s="384" t="s">
        <v>18753</v>
      </c>
      <c r="B4992" s="384" t="s">
        <v>18754</v>
      </c>
      <c r="C4992" s="384" t="s">
        <v>83</v>
      </c>
      <c r="D4992" s="385" t="s">
        <v>8719</v>
      </c>
    </row>
    <row r="4993" spans="1:4" x14ac:dyDescent="0.25">
      <c r="A4993" s="384" t="s">
        <v>18755</v>
      </c>
      <c r="B4993" s="384" t="s">
        <v>18756</v>
      </c>
      <c r="C4993" s="384" t="s">
        <v>83</v>
      </c>
      <c r="D4993" s="385" t="s">
        <v>18757</v>
      </c>
    </row>
    <row r="4994" spans="1:4" x14ac:dyDescent="0.25">
      <c r="A4994" s="384" t="s">
        <v>18758</v>
      </c>
      <c r="B4994" s="384" t="s">
        <v>18759</v>
      </c>
      <c r="C4994" s="384" t="s">
        <v>83</v>
      </c>
      <c r="D4994" s="385" t="s">
        <v>18760</v>
      </c>
    </row>
    <row r="4995" spans="1:4" x14ac:dyDescent="0.25">
      <c r="A4995" s="384" t="s">
        <v>18761</v>
      </c>
      <c r="B4995" s="384" t="s">
        <v>18762</v>
      </c>
      <c r="C4995" s="384" t="s">
        <v>83</v>
      </c>
      <c r="D4995" s="385" t="s">
        <v>18763</v>
      </c>
    </row>
    <row r="4996" spans="1:4" x14ac:dyDescent="0.25">
      <c r="A4996" s="384" t="s">
        <v>18764</v>
      </c>
      <c r="B4996" s="384" t="s">
        <v>18765</v>
      </c>
      <c r="C4996" s="384" t="s">
        <v>83</v>
      </c>
      <c r="D4996" s="385" t="s">
        <v>18766</v>
      </c>
    </row>
    <row r="4997" spans="1:4" x14ac:dyDescent="0.25">
      <c r="A4997" s="384" t="s">
        <v>18767</v>
      </c>
      <c r="B4997" s="384" t="s">
        <v>18768</v>
      </c>
      <c r="C4997" s="384" t="s">
        <v>83</v>
      </c>
      <c r="D4997" s="385" t="s">
        <v>14209</v>
      </c>
    </row>
    <row r="4998" spans="1:4" x14ac:dyDescent="0.25">
      <c r="A4998" s="384" t="s">
        <v>18769</v>
      </c>
      <c r="B4998" s="384" t="s">
        <v>18770</v>
      </c>
      <c r="C4998" s="384" t="s">
        <v>83</v>
      </c>
      <c r="D4998" s="385" t="s">
        <v>18771</v>
      </c>
    </row>
    <row r="4999" spans="1:4" x14ac:dyDescent="0.25">
      <c r="A4999" s="384" t="s">
        <v>18772</v>
      </c>
      <c r="B4999" s="384" t="s">
        <v>18773</v>
      </c>
      <c r="C4999" s="384" t="s">
        <v>83</v>
      </c>
      <c r="D4999" s="385" t="s">
        <v>18774</v>
      </c>
    </row>
    <row r="5000" spans="1:4" x14ac:dyDescent="0.25">
      <c r="A5000" s="384" t="s">
        <v>18775</v>
      </c>
      <c r="B5000" s="384" t="s">
        <v>18776</v>
      </c>
      <c r="C5000" s="384" t="s">
        <v>83</v>
      </c>
      <c r="D5000" s="385" t="s">
        <v>18777</v>
      </c>
    </row>
    <row r="5001" spans="1:4" x14ac:dyDescent="0.25">
      <c r="A5001" s="384" t="s">
        <v>18778</v>
      </c>
      <c r="B5001" s="384" t="s">
        <v>18779</v>
      </c>
      <c r="C5001" s="384" t="s">
        <v>83</v>
      </c>
      <c r="D5001" s="385" t="s">
        <v>18780</v>
      </c>
    </row>
    <row r="5002" spans="1:4" x14ac:dyDescent="0.25">
      <c r="A5002" s="384" t="s">
        <v>18781</v>
      </c>
      <c r="B5002" s="384" t="s">
        <v>18782</v>
      </c>
      <c r="C5002" s="384" t="s">
        <v>83</v>
      </c>
      <c r="D5002" s="385" t="s">
        <v>12481</v>
      </c>
    </row>
    <row r="5003" spans="1:4" x14ac:dyDescent="0.25">
      <c r="A5003" s="384" t="s">
        <v>18783</v>
      </c>
      <c r="B5003" s="384" t="s">
        <v>18784</v>
      </c>
      <c r="C5003" s="384" t="s">
        <v>83</v>
      </c>
      <c r="D5003" s="385" t="s">
        <v>18785</v>
      </c>
    </row>
    <row r="5004" spans="1:4" x14ac:dyDescent="0.25">
      <c r="A5004" s="384" t="s">
        <v>18786</v>
      </c>
      <c r="B5004" s="384" t="s">
        <v>18787</v>
      </c>
      <c r="C5004" s="384" t="s">
        <v>83</v>
      </c>
      <c r="D5004" s="385" t="s">
        <v>17463</v>
      </c>
    </row>
    <row r="5005" spans="1:4" x14ac:dyDescent="0.25">
      <c r="A5005" s="384" t="s">
        <v>18788</v>
      </c>
      <c r="B5005" s="384" t="s">
        <v>18789</v>
      </c>
      <c r="C5005" s="384" t="s">
        <v>83</v>
      </c>
      <c r="D5005" s="385" t="s">
        <v>8043</v>
      </c>
    </row>
    <row r="5006" spans="1:4" x14ac:dyDescent="0.25">
      <c r="A5006" s="384" t="s">
        <v>18790</v>
      </c>
      <c r="B5006" s="384" t="s">
        <v>18791</v>
      </c>
      <c r="C5006" s="384" t="s">
        <v>83</v>
      </c>
      <c r="D5006" s="385" t="s">
        <v>6644</v>
      </c>
    </row>
    <row r="5007" spans="1:4" x14ac:dyDescent="0.25">
      <c r="A5007" s="384" t="s">
        <v>18792</v>
      </c>
      <c r="B5007" s="384" t="s">
        <v>18793</v>
      </c>
      <c r="C5007" s="384" t="s">
        <v>83</v>
      </c>
      <c r="D5007" s="385" t="s">
        <v>17208</v>
      </c>
    </row>
    <row r="5008" spans="1:4" x14ac:dyDescent="0.25">
      <c r="A5008" s="384" t="s">
        <v>18794</v>
      </c>
      <c r="B5008" s="384" t="s">
        <v>18795</v>
      </c>
      <c r="C5008" s="384" t="s">
        <v>83</v>
      </c>
      <c r="D5008" s="385" t="s">
        <v>18796</v>
      </c>
    </row>
    <row r="5009" spans="1:4" x14ac:dyDescent="0.25">
      <c r="A5009" s="384" t="s">
        <v>18797</v>
      </c>
      <c r="B5009" s="384" t="s">
        <v>18798</v>
      </c>
      <c r="C5009" s="384" t="s">
        <v>83</v>
      </c>
      <c r="D5009" s="385" t="s">
        <v>18799</v>
      </c>
    </row>
    <row r="5010" spans="1:4" x14ac:dyDescent="0.25">
      <c r="A5010" s="384" t="s">
        <v>18800</v>
      </c>
      <c r="B5010" s="384" t="s">
        <v>18801</v>
      </c>
      <c r="C5010" s="384" t="s">
        <v>83</v>
      </c>
      <c r="D5010" s="385" t="s">
        <v>18802</v>
      </c>
    </row>
    <row r="5011" spans="1:4" x14ac:dyDescent="0.25">
      <c r="A5011" s="384" t="s">
        <v>18803</v>
      </c>
      <c r="B5011" s="384" t="s">
        <v>18804</v>
      </c>
      <c r="C5011" s="384" t="s">
        <v>83</v>
      </c>
      <c r="D5011" s="385" t="s">
        <v>18805</v>
      </c>
    </row>
    <row r="5012" spans="1:4" x14ac:dyDescent="0.25">
      <c r="A5012" s="384" t="s">
        <v>18806</v>
      </c>
      <c r="B5012" s="384" t="s">
        <v>18807</v>
      </c>
      <c r="C5012" s="384" t="s">
        <v>83</v>
      </c>
      <c r="D5012" s="385" t="s">
        <v>18808</v>
      </c>
    </row>
    <row r="5013" spans="1:4" x14ac:dyDescent="0.25">
      <c r="A5013" s="384" t="s">
        <v>18809</v>
      </c>
      <c r="B5013" s="384" t="s">
        <v>18810</v>
      </c>
      <c r="C5013" s="384" t="s">
        <v>83</v>
      </c>
      <c r="D5013" s="385" t="s">
        <v>18811</v>
      </c>
    </row>
    <row r="5014" spans="1:4" x14ac:dyDescent="0.25">
      <c r="A5014" s="384" t="s">
        <v>18812</v>
      </c>
      <c r="B5014" s="384" t="s">
        <v>18813</v>
      </c>
      <c r="C5014" s="384" t="s">
        <v>83</v>
      </c>
      <c r="D5014" s="385" t="s">
        <v>18814</v>
      </c>
    </row>
    <row r="5015" spans="1:4" x14ac:dyDescent="0.25">
      <c r="A5015" s="384" t="s">
        <v>18815</v>
      </c>
      <c r="B5015" s="384" t="s">
        <v>18816</v>
      </c>
      <c r="C5015" s="384" t="s">
        <v>83</v>
      </c>
      <c r="D5015" s="385" t="s">
        <v>18817</v>
      </c>
    </row>
    <row r="5016" spans="1:4" x14ac:dyDescent="0.25">
      <c r="A5016" s="384" t="s">
        <v>18818</v>
      </c>
      <c r="B5016" s="384" t="s">
        <v>18819</v>
      </c>
      <c r="C5016" s="384" t="s">
        <v>83</v>
      </c>
      <c r="D5016" s="385" t="s">
        <v>18820</v>
      </c>
    </row>
    <row r="5017" spans="1:4" x14ac:dyDescent="0.25">
      <c r="A5017" s="384" t="s">
        <v>18821</v>
      </c>
      <c r="B5017" s="384" t="s">
        <v>18822</v>
      </c>
      <c r="C5017" s="384" t="s">
        <v>83</v>
      </c>
      <c r="D5017" s="385" t="s">
        <v>18823</v>
      </c>
    </row>
    <row r="5018" spans="1:4" x14ac:dyDescent="0.25">
      <c r="A5018" s="384" t="s">
        <v>18824</v>
      </c>
      <c r="B5018" s="384" t="s">
        <v>18825</v>
      </c>
      <c r="C5018" s="384" t="s">
        <v>83</v>
      </c>
      <c r="D5018" s="385" t="s">
        <v>18826</v>
      </c>
    </row>
    <row r="5019" spans="1:4" x14ac:dyDescent="0.25">
      <c r="A5019" s="384" t="s">
        <v>18827</v>
      </c>
      <c r="B5019" s="384" t="s">
        <v>18828</v>
      </c>
      <c r="C5019" s="384" t="s">
        <v>83</v>
      </c>
      <c r="D5019" s="385" t="s">
        <v>18829</v>
      </c>
    </row>
    <row r="5020" spans="1:4" x14ac:dyDescent="0.25">
      <c r="A5020" s="384" t="s">
        <v>18830</v>
      </c>
      <c r="B5020" s="384" t="s">
        <v>18831</v>
      </c>
      <c r="C5020" s="384" t="s">
        <v>83</v>
      </c>
      <c r="D5020" s="385" t="s">
        <v>18832</v>
      </c>
    </row>
    <row r="5021" spans="1:4" x14ac:dyDescent="0.25">
      <c r="A5021" s="384" t="s">
        <v>18833</v>
      </c>
      <c r="B5021" s="384" t="s">
        <v>18834</v>
      </c>
      <c r="C5021" s="384" t="s">
        <v>83</v>
      </c>
      <c r="D5021" s="385" t="s">
        <v>18835</v>
      </c>
    </row>
    <row r="5022" spans="1:4" x14ac:dyDescent="0.25">
      <c r="A5022" s="384" t="s">
        <v>18836</v>
      </c>
      <c r="B5022" s="384" t="s">
        <v>18837</v>
      </c>
      <c r="C5022" s="384" t="s">
        <v>83</v>
      </c>
      <c r="D5022" s="385" t="s">
        <v>18838</v>
      </c>
    </row>
    <row r="5023" spans="1:4" x14ac:dyDescent="0.25">
      <c r="A5023" s="384" t="s">
        <v>18839</v>
      </c>
      <c r="B5023" s="384" t="s">
        <v>18840</v>
      </c>
      <c r="C5023" s="384" t="s">
        <v>83</v>
      </c>
      <c r="D5023" s="385" t="s">
        <v>18841</v>
      </c>
    </row>
    <row r="5024" spans="1:4" x14ac:dyDescent="0.25">
      <c r="A5024" s="384" t="s">
        <v>18842</v>
      </c>
      <c r="B5024" s="384" t="s">
        <v>18843</v>
      </c>
      <c r="C5024" s="384" t="s">
        <v>83</v>
      </c>
      <c r="D5024" s="385" t="s">
        <v>18844</v>
      </c>
    </row>
    <row r="5025" spans="1:4" x14ac:dyDescent="0.25">
      <c r="A5025" s="384" t="s">
        <v>18845</v>
      </c>
      <c r="B5025" s="384" t="s">
        <v>18846</v>
      </c>
      <c r="C5025" s="384" t="s">
        <v>83</v>
      </c>
      <c r="D5025" s="385" t="s">
        <v>5171</v>
      </c>
    </row>
    <row r="5026" spans="1:4" x14ac:dyDescent="0.25">
      <c r="A5026" s="384" t="s">
        <v>18847</v>
      </c>
      <c r="B5026" s="384" t="s">
        <v>18848</v>
      </c>
      <c r="C5026" s="384" t="s">
        <v>83</v>
      </c>
      <c r="D5026" s="385" t="s">
        <v>18849</v>
      </c>
    </row>
    <row r="5027" spans="1:4" x14ac:dyDescent="0.25">
      <c r="A5027" s="384" t="s">
        <v>18850</v>
      </c>
      <c r="B5027" s="384" t="s">
        <v>18851</v>
      </c>
      <c r="C5027" s="384" t="s">
        <v>83</v>
      </c>
      <c r="D5027" s="385" t="s">
        <v>18852</v>
      </c>
    </row>
    <row r="5028" spans="1:4" x14ac:dyDescent="0.25">
      <c r="A5028" s="384" t="s">
        <v>18853</v>
      </c>
      <c r="B5028" s="384" t="s">
        <v>18854</v>
      </c>
      <c r="C5028" s="384" t="s">
        <v>83</v>
      </c>
      <c r="D5028" s="385" t="s">
        <v>7015</v>
      </c>
    </row>
    <row r="5029" spans="1:4" x14ac:dyDescent="0.25">
      <c r="A5029" s="384" t="s">
        <v>18855</v>
      </c>
      <c r="B5029" s="384" t="s">
        <v>18856</v>
      </c>
      <c r="C5029" s="384" t="s">
        <v>83</v>
      </c>
      <c r="D5029" s="385" t="s">
        <v>18857</v>
      </c>
    </row>
    <row r="5030" spans="1:4" x14ac:dyDescent="0.25">
      <c r="A5030" s="384" t="s">
        <v>18858</v>
      </c>
      <c r="B5030" s="384" t="s">
        <v>18859</v>
      </c>
      <c r="C5030" s="384" t="s">
        <v>83</v>
      </c>
      <c r="D5030" s="385" t="s">
        <v>18860</v>
      </c>
    </row>
    <row r="5031" spans="1:4" x14ac:dyDescent="0.25">
      <c r="A5031" s="384" t="s">
        <v>18861</v>
      </c>
      <c r="B5031" s="384" t="s">
        <v>18862</v>
      </c>
      <c r="C5031" s="384" t="s">
        <v>83</v>
      </c>
      <c r="D5031" s="385" t="s">
        <v>18863</v>
      </c>
    </row>
    <row r="5032" spans="1:4" x14ac:dyDescent="0.25">
      <c r="A5032" s="384" t="s">
        <v>18864</v>
      </c>
      <c r="B5032" s="384" t="s">
        <v>18865</v>
      </c>
      <c r="C5032" s="384" t="s">
        <v>83</v>
      </c>
      <c r="D5032" s="385" t="s">
        <v>18866</v>
      </c>
    </row>
    <row r="5033" spans="1:4" x14ac:dyDescent="0.25">
      <c r="A5033" s="384" t="s">
        <v>18867</v>
      </c>
      <c r="B5033" s="384" t="s">
        <v>18868</v>
      </c>
      <c r="C5033" s="384" t="s">
        <v>82</v>
      </c>
      <c r="D5033" s="385" t="s">
        <v>18869</v>
      </c>
    </row>
    <row r="5034" spans="1:4" x14ac:dyDescent="0.25">
      <c r="A5034" s="384" t="s">
        <v>18870</v>
      </c>
      <c r="B5034" s="384" t="s">
        <v>18871</v>
      </c>
      <c r="C5034" s="384" t="s">
        <v>82</v>
      </c>
      <c r="D5034" s="385" t="s">
        <v>18872</v>
      </c>
    </row>
    <row r="5035" spans="1:4" x14ac:dyDescent="0.25">
      <c r="A5035" s="384" t="s">
        <v>18873</v>
      </c>
      <c r="B5035" s="384" t="s">
        <v>18874</v>
      </c>
      <c r="C5035" s="384" t="s">
        <v>82</v>
      </c>
      <c r="D5035" s="385" t="s">
        <v>18875</v>
      </c>
    </row>
    <row r="5036" spans="1:4" x14ac:dyDescent="0.25">
      <c r="A5036" s="384" t="s">
        <v>18876</v>
      </c>
      <c r="B5036" s="384" t="s">
        <v>18877</v>
      </c>
      <c r="C5036" s="384" t="s">
        <v>82</v>
      </c>
      <c r="D5036" s="385" t="s">
        <v>6638</v>
      </c>
    </row>
    <row r="5037" spans="1:4" x14ac:dyDescent="0.25">
      <c r="A5037" s="384" t="s">
        <v>18878</v>
      </c>
      <c r="B5037" s="384" t="s">
        <v>18879</v>
      </c>
      <c r="C5037" s="384" t="s">
        <v>82</v>
      </c>
      <c r="D5037" s="385" t="s">
        <v>18880</v>
      </c>
    </row>
    <row r="5038" spans="1:4" x14ac:dyDescent="0.25">
      <c r="A5038" s="384" t="s">
        <v>18881</v>
      </c>
      <c r="B5038" s="384" t="s">
        <v>18882</v>
      </c>
      <c r="C5038" s="384" t="s">
        <v>83</v>
      </c>
      <c r="D5038" s="385" t="s">
        <v>18883</v>
      </c>
    </row>
    <row r="5039" spans="1:4" x14ac:dyDescent="0.25">
      <c r="A5039" s="384" t="s">
        <v>18884</v>
      </c>
      <c r="B5039" s="384" t="s">
        <v>18885</v>
      </c>
      <c r="C5039" s="384" t="s">
        <v>83</v>
      </c>
      <c r="D5039" s="385" t="s">
        <v>5576</v>
      </c>
    </row>
    <row r="5040" spans="1:4" x14ac:dyDescent="0.25">
      <c r="A5040" s="384" t="s">
        <v>18886</v>
      </c>
      <c r="B5040" s="384" t="s">
        <v>18887</v>
      </c>
      <c r="C5040" s="384" t="s">
        <v>83</v>
      </c>
      <c r="D5040" s="385" t="s">
        <v>7223</v>
      </c>
    </row>
    <row r="5041" spans="1:4" x14ac:dyDescent="0.25">
      <c r="A5041" s="384" t="s">
        <v>18888</v>
      </c>
      <c r="B5041" s="384" t="s">
        <v>18889</v>
      </c>
      <c r="C5041" s="384" t="s">
        <v>83</v>
      </c>
      <c r="D5041" s="385" t="s">
        <v>7077</v>
      </c>
    </row>
    <row r="5042" spans="1:4" x14ac:dyDescent="0.25">
      <c r="A5042" s="384" t="s">
        <v>18890</v>
      </c>
      <c r="B5042" s="384" t="s">
        <v>18891</v>
      </c>
      <c r="C5042" s="384" t="s">
        <v>83</v>
      </c>
      <c r="D5042" s="385" t="s">
        <v>17158</v>
      </c>
    </row>
    <row r="5043" spans="1:4" x14ac:dyDescent="0.25">
      <c r="A5043" s="384" t="s">
        <v>18892</v>
      </c>
      <c r="B5043" s="384" t="s">
        <v>18893</v>
      </c>
      <c r="C5043" s="384" t="s">
        <v>83</v>
      </c>
      <c r="D5043" s="385" t="s">
        <v>18894</v>
      </c>
    </row>
    <row r="5044" spans="1:4" x14ac:dyDescent="0.25">
      <c r="A5044" s="384" t="s">
        <v>18895</v>
      </c>
      <c r="B5044" s="384" t="s">
        <v>18896</v>
      </c>
      <c r="C5044" s="384" t="s">
        <v>83</v>
      </c>
      <c r="D5044" s="385" t="s">
        <v>12121</v>
      </c>
    </row>
    <row r="5045" spans="1:4" x14ac:dyDescent="0.25">
      <c r="A5045" s="384" t="s">
        <v>18897</v>
      </c>
      <c r="B5045" s="384" t="s">
        <v>18898</v>
      </c>
      <c r="C5045" s="384" t="s">
        <v>83</v>
      </c>
      <c r="D5045" s="385" t="s">
        <v>18899</v>
      </c>
    </row>
    <row r="5046" spans="1:4" x14ac:dyDescent="0.25">
      <c r="A5046" s="384" t="s">
        <v>18900</v>
      </c>
      <c r="B5046" s="384" t="s">
        <v>18901</v>
      </c>
      <c r="C5046" s="384" t="s">
        <v>83</v>
      </c>
      <c r="D5046" s="385" t="s">
        <v>8446</v>
      </c>
    </row>
    <row r="5047" spans="1:4" x14ac:dyDescent="0.25">
      <c r="A5047" s="384" t="s">
        <v>18902</v>
      </c>
      <c r="B5047" s="384" t="s">
        <v>18903</v>
      </c>
      <c r="C5047" s="384" t="s">
        <v>82</v>
      </c>
      <c r="D5047" s="385" t="s">
        <v>18904</v>
      </c>
    </row>
    <row r="5048" spans="1:4" x14ac:dyDescent="0.25">
      <c r="A5048" s="384" t="s">
        <v>18905</v>
      </c>
      <c r="B5048" s="384" t="s">
        <v>18906</v>
      </c>
      <c r="C5048" s="384" t="s">
        <v>82</v>
      </c>
      <c r="D5048" s="385" t="s">
        <v>15074</v>
      </c>
    </row>
    <row r="5049" spans="1:4" x14ac:dyDescent="0.25">
      <c r="A5049" s="384" t="s">
        <v>18907</v>
      </c>
      <c r="B5049" s="384" t="s">
        <v>18908</v>
      </c>
      <c r="C5049" s="384" t="s">
        <v>82</v>
      </c>
      <c r="D5049" s="385" t="s">
        <v>7150</v>
      </c>
    </row>
    <row r="5050" spans="1:4" x14ac:dyDescent="0.25">
      <c r="A5050" s="384" t="s">
        <v>18909</v>
      </c>
      <c r="B5050" s="384" t="s">
        <v>18910</v>
      </c>
      <c r="C5050" s="384" t="s">
        <v>82</v>
      </c>
      <c r="D5050" s="385" t="s">
        <v>6036</v>
      </c>
    </row>
    <row r="5051" spans="1:4" x14ac:dyDescent="0.25">
      <c r="A5051" s="384" t="s">
        <v>18911</v>
      </c>
      <c r="B5051" s="384" t="s">
        <v>18912</v>
      </c>
      <c r="C5051" s="384" t="s">
        <v>82</v>
      </c>
      <c r="D5051" s="385" t="s">
        <v>18913</v>
      </c>
    </row>
    <row r="5052" spans="1:4" x14ac:dyDescent="0.25">
      <c r="A5052" s="384" t="s">
        <v>18914</v>
      </c>
      <c r="B5052" s="384" t="s">
        <v>18915</v>
      </c>
      <c r="C5052" s="384" t="s">
        <v>82</v>
      </c>
      <c r="D5052" s="385" t="s">
        <v>11231</v>
      </c>
    </row>
    <row r="5053" spans="1:4" x14ac:dyDescent="0.25">
      <c r="A5053" s="384" t="s">
        <v>18916</v>
      </c>
      <c r="B5053" s="384" t="s">
        <v>18917</v>
      </c>
      <c r="C5053" s="384" t="s">
        <v>82</v>
      </c>
      <c r="D5053" s="385" t="s">
        <v>18918</v>
      </c>
    </row>
    <row r="5054" spans="1:4" x14ac:dyDescent="0.25">
      <c r="A5054" s="384" t="s">
        <v>18919</v>
      </c>
      <c r="B5054" s="384" t="s">
        <v>18920</v>
      </c>
      <c r="C5054" s="384" t="s">
        <v>82</v>
      </c>
      <c r="D5054" s="385" t="s">
        <v>18921</v>
      </c>
    </row>
    <row r="5055" spans="1:4" x14ac:dyDescent="0.25">
      <c r="A5055" s="384" t="s">
        <v>18922</v>
      </c>
      <c r="B5055" s="384" t="s">
        <v>18923</v>
      </c>
      <c r="C5055" s="384" t="s">
        <v>82</v>
      </c>
      <c r="D5055" s="385" t="s">
        <v>12132</v>
      </c>
    </row>
    <row r="5056" spans="1:4" x14ac:dyDescent="0.25">
      <c r="A5056" s="384" t="s">
        <v>18924</v>
      </c>
      <c r="B5056" s="384" t="s">
        <v>18925</v>
      </c>
      <c r="C5056" s="384" t="s">
        <v>82</v>
      </c>
      <c r="D5056" s="385" t="s">
        <v>18926</v>
      </c>
    </row>
    <row r="5057" spans="1:4" x14ac:dyDescent="0.25">
      <c r="A5057" s="384" t="s">
        <v>18927</v>
      </c>
      <c r="B5057" s="384" t="s">
        <v>18928</v>
      </c>
      <c r="C5057" s="384" t="s">
        <v>82</v>
      </c>
      <c r="D5057" s="385" t="s">
        <v>18929</v>
      </c>
    </row>
    <row r="5058" spans="1:4" x14ac:dyDescent="0.25">
      <c r="A5058" s="384" t="s">
        <v>18930</v>
      </c>
      <c r="B5058" s="384" t="s">
        <v>18931</v>
      </c>
      <c r="C5058" s="384" t="s">
        <v>82</v>
      </c>
      <c r="D5058" s="385" t="s">
        <v>12270</v>
      </c>
    </row>
    <row r="5059" spans="1:4" x14ac:dyDescent="0.25">
      <c r="A5059" s="384" t="s">
        <v>18932</v>
      </c>
      <c r="B5059" s="384" t="s">
        <v>18933</v>
      </c>
      <c r="C5059" s="384" t="s">
        <v>82</v>
      </c>
      <c r="D5059" s="385" t="s">
        <v>18934</v>
      </c>
    </row>
    <row r="5060" spans="1:4" x14ac:dyDescent="0.25">
      <c r="A5060" s="384" t="s">
        <v>18935</v>
      </c>
      <c r="B5060" s="384" t="s">
        <v>18936</v>
      </c>
      <c r="C5060" s="384" t="s">
        <v>82</v>
      </c>
      <c r="D5060" s="385" t="s">
        <v>18937</v>
      </c>
    </row>
    <row r="5061" spans="1:4" x14ac:dyDescent="0.25">
      <c r="A5061" s="384" t="s">
        <v>18938</v>
      </c>
      <c r="B5061" s="384" t="s">
        <v>18939</v>
      </c>
      <c r="C5061" s="384" t="s">
        <v>82</v>
      </c>
      <c r="D5061" s="385" t="s">
        <v>4763</v>
      </c>
    </row>
    <row r="5062" spans="1:4" x14ac:dyDescent="0.25">
      <c r="A5062" s="384" t="s">
        <v>18940</v>
      </c>
      <c r="B5062" s="384" t="s">
        <v>18941</v>
      </c>
      <c r="C5062" s="384" t="s">
        <v>82</v>
      </c>
      <c r="D5062" s="385" t="s">
        <v>18942</v>
      </c>
    </row>
    <row r="5063" spans="1:4" x14ac:dyDescent="0.25">
      <c r="A5063" s="384" t="s">
        <v>18943</v>
      </c>
      <c r="B5063" s="384" t="s">
        <v>18944</v>
      </c>
      <c r="C5063" s="384" t="s">
        <v>82</v>
      </c>
      <c r="D5063" s="385" t="s">
        <v>7363</v>
      </c>
    </row>
    <row r="5064" spans="1:4" x14ac:dyDescent="0.25">
      <c r="A5064" s="384" t="s">
        <v>18945</v>
      </c>
      <c r="B5064" s="384" t="s">
        <v>18946</v>
      </c>
      <c r="C5064" s="384" t="s">
        <v>82</v>
      </c>
      <c r="D5064" s="385" t="s">
        <v>18947</v>
      </c>
    </row>
    <row r="5065" spans="1:4" x14ac:dyDescent="0.25">
      <c r="A5065" s="384" t="s">
        <v>18948</v>
      </c>
      <c r="B5065" s="384" t="s">
        <v>18949</v>
      </c>
      <c r="C5065" s="384" t="s">
        <v>82</v>
      </c>
      <c r="D5065" s="385" t="s">
        <v>14988</v>
      </c>
    </row>
    <row r="5066" spans="1:4" x14ac:dyDescent="0.25">
      <c r="A5066" s="384" t="s">
        <v>18950</v>
      </c>
      <c r="B5066" s="384" t="s">
        <v>18951</v>
      </c>
      <c r="C5066" s="384" t="s">
        <v>82</v>
      </c>
      <c r="D5066" s="385" t="s">
        <v>6847</v>
      </c>
    </row>
    <row r="5067" spans="1:4" x14ac:dyDescent="0.25">
      <c r="A5067" s="384" t="s">
        <v>18952</v>
      </c>
      <c r="B5067" s="384" t="s">
        <v>18953</v>
      </c>
      <c r="C5067" s="384" t="s">
        <v>82</v>
      </c>
      <c r="D5067" s="385" t="s">
        <v>18954</v>
      </c>
    </row>
    <row r="5068" spans="1:4" x14ac:dyDescent="0.25">
      <c r="A5068" s="384" t="s">
        <v>18955</v>
      </c>
      <c r="B5068" s="384" t="s">
        <v>18956</v>
      </c>
      <c r="C5068" s="384" t="s">
        <v>82</v>
      </c>
      <c r="D5068" s="385" t="s">
        <v>18957</v>
      </c>
    </row>
    <row r="5069" spans="1:4" x14ac:dyDescent="0.25">
      <c r="A5069" s="384" t="s">
        <v>18958</v>
      </c>
      <c r="B5069" s="384" t="s">
        <v>18959</v>
      </c>
      <c r="C5069" s="384" t="s">
        <v>82</v>
      </c>
      <c r="D5069" s="385" t="s">
        <v>18960</v>
      </c>
    </row>
    <row r="5070" spans="1:4" x14ac:dyDescent="0.25">
      <c r="A5070" s="384" t="s">
        <v>18961</v>
      </c>
      <c r="B5070" s="384" t="s">
        <v>18962</v>
      </c>
      <c r="C5070" s="384" t="s">
        <v>82</v>
      </c>
      <c r="D5070" s="385" t="s">
        <v>12393</v>
      </c>
    </row>
    <row r="5071" spans="1:4" x14ac:dyDescent="0.25">
      <c r="A5071" s="384" t="s">
        <v>18963</v>
      </c>
      <c r="B5071" s="384" t="s">
        <v>18964</v>
      </c>
      <c r="C5071" s="384" t="s">
        <v>82</v>
      </c>
      <c r="D5071" s="385" t="s">
        <v>18965</v>
      </c>
    </row>
    <row r="5072" spans="1:4" x14ac:dyDescent="0.25">
      <c r="A5072" s="384" t="s">
        <v>18966</v>
      </c>
      <c r="B5072" s="384" t="s">
        <v>18967</v>
      </c>
      <c r="C5072" s="384" t="s">
        <v>82</v>
      </c>
      <c r="D5072" s="385" t="s">
        <v>18968</v>
      </c>
    </row>
    <row r="5073" spans="1:4" x14ac:dyDescent="0.25">
      <c r="A5073" s="384" t="s">
        <v>18969</v>
      </c>
      <c r="B5073" s="384" t="s">
        <v>18970</v>
      </c>
      <c r="C5073" s="384" t="s">
        <v>82</v>
      </c>
      <c r="D5073" s="385" t="s">
        <v>15019</v>
      </c>
    </row>
    <row r="5074" spans="1:4" x14ac:dyDescent="0.25">
      <c r="A5074" s="384" t="s">
        <v>18971</v>
      </c>
      <c r="B5074" s="384" t="s">
        <v>18972</v>
      </c>
      <c r="C5074" s="384" t="s">
        <v>82</v>
      </c>
      <c r="D5074" s="385" t="s">
        <v>18973</v>
      </c>
    </row>
    <row r="5075" spans="1:4" x14ac:dyDescent="0.25">
      <c r="A5075" s="384" t="s">
        <v>18974</v>
      </c>
      <c r="B5075" s="384" t="s">
        <v>18975</v>
      </c>
      <c r="C5075" s="384" t="s">
        <v>82</v>
      </c>
      <c r="D5075" s="385" t="s">
        <v>18005</v>
      </c>
    </row>
    <row r="5076" spans="1:4" x14ac:dyDescent="0.25">
      <c r="A5076" s="384" t="s">
        <v>18976</v>
      </c>
      <c r="B5076" s="384" t="s">
        <v>18977</v>
      </c>
      <c r="C5076" s="384" t="s">
        <v>82</v>
      </c>
      <c r="D5076" s="385" t="s">
        <v>18978</v>
      </c>
    </row>
    <row r="5077" spans="1:4" x14ac:dyDescent="0.25">
      <c r="A5077" s="384" t="s">
        <v>18979</v>
      </c>
      <c r="B5077" s="384" t="s">
        <v>18980</v>
      </c>
      <c r="C5077" s="384" t="s">
        <v>82</v>
      </c>
      <c r="D5077" s="385" t="s">
        <v>11847</v>
      </c>
    </row>
    <row r="5078" spans="1:4" x14ac:dyDescent="0.25">
      <c r="A5078" s="384" t="s">
        <v>18981</v>
      </c>
      <c r="B5078" s="384" t="s">
        <v>18982</v>
      </c>
      <c r="C5078" s="384" t="s">
        <v>83</v>
      </c>
      <c r="D5078" s="385" t="s">
        <v>6613</v>
      </c>
    </row>
    <row r="5079" spans="1:4" x14ac:dyDescent="0.25">
      <c r="A5079" s="384" t="s">
        <v>18983</v>
      </c>
      <c r="B5079" s="384" t="s">
        <v>18984</v>
      </c>
      <c r="C5079" s="384" t="s">
        <v>83</v>
      </c>
      <c r="D5079" s="385" t="s">
        <v>9731</v>
      </c>
    </row>
    <row r="5080" spans="1:4" x14ac:dyDescent="0.25">
      <c r="A5080" s="384" t="s">
        <v>18985</v>
      </c>
      <c r="B5080" s="384" t="s">
        <v>18986</v>
      </c>
      <c r="C5080" s="384" t="s">
        <v>83</v>
      </c>
      <c r="D5080" s="385" t="s">
        <v>18987</v>
      </c>
    </row>
    <row r="5081" spans="1:4" x14ac:dyDescent="0.25">
      <c r="A5081" s="384" t="s">
        <v>18988</v>
      </c>
      <c r="B5081" s="384" t="s">
        <v>18989</v>
      </c>
      <c r="C5081" s="384" t="s">
        <v>83</v>
      </c>
      <c r="D5081" s="385" t="s">
        <v>5492</v>
      </c>
    </row>
    <row r="5082" spans="1:4" x14ac:dyDescent="0.25">
      <c r="A5082" s="384" t="s">
        <v>18990</v>
      </c>
      <c r="B5082" s="384" t="s">
        <v>18991</v>
      </c>
      <c r="C5082" s="384" t="s">
        <v>83</v>
      </c>
      <c r="D5082" s="385" t="s">
        <v>18992</v>
      </c>
    </row>
    <row r="5083" spans="1:4" x14ac:dyDescent="0.25">
      <c r="A5083" s="384" t="s">
        <v>18993</v>
      </c>
      <c r="B5083" s="384" t="s">
        <v>18994</v>
      </c>
      <c r="C5083" s="384" t="s">
        <v>82</v>
      </c>
      <c r="D5083" s="385" t="s">
        <v>18995</v>
      </c>
    </row>
    <row r="5084" spans="1:4" x14ac:dyDescent="0.25">
      <c r="A5084" s="384" t="s">
        <v>18996</v>
      </c>
      <c r="B5084" s="384" t="s">
        <v>18997</v>
      </c>
      <c r="C5084" s="384" t="s">
        <v>83</v>
      </c>
      <c r="D5084" s="385" t="s">
        <v>18998</v>
      </c>
    </row>
    <row r="5085" spans="1:4" x14ac:dyDescent="0.25">
      <c r="A5085" s="384" t="s">
        <v>18999</v>
      </c>
      <c r="B5085" s="384" t="s">
        <v>19000</v>
      </c>
      <c r="C5085" s="384" t="s">
        <v>83</v>
      </c>
      <c r="D5085" s="385" t="s">
        <v>19001</v>
      </c>
    </row>
    <row r="5086" spans="1:4" x14ac:dyDescent="0.25">
      <c r="A5086" s="384" t="s">
        <v>19002</v>
      </c>
      <c r="B5086" s="384" t="s">
        <v>19003</v>
      </c>
      <c r="C5086" s="384" t="s">
        <v>83</v>
      </c>
      <c r="D5086" s="385" t="s">
        <v>19004</v>
      </c>
    </row>
    <row r="5087" spans="1:4" x14ac:dyDescent="0.25">
      <c r="A5087" s="384" t="s">
        <v>19005</v>
      </c>
      <c r="B5087" s="384" t="s">
        <v>19006</v>
      </c>
      <c r="C5087" s="384" t="s">
        <v>83</v>
      </c>
      <c r="D5087" s="385" t="s">
        <v>19007</v>
      </c>
    </row>
    <row r="5088" spans="1:4" x14ac:dyDescent="0.25">
      <c r="A5088" s="384" t="s">
        <v>19008</v>
      </c>
      <c r="B5088" s="384" t="s">
        <v>19009</v>
      </c>
      <c r="C5088" s="384" t="s">
        <v>83</v>
      </c>
      <c r="D5088" s="385" t="s">
        <v>19010</v>
      </c>
    </row>
    <row r="5089" spans="1:4" x14ac:dyDescent="0.25">
      <c r="A5089" s="384" t="s">
        <v>19011</v>
      </c>
      <c r="B5089" s="384" t="s">
        <v>19012</v>
      </c>
      <c r="C5089" s="384" t="s">
        <v>2884</v>
      </c>
      <c r="D5089" s="385" t="s">
        <v>19013</v>
      </c>
    </row>
    <row r="5090" spans="1:4" x14ac:dyDescent="0.25">
      <c r="A5090" s="384" t="s">
        <v>19014</v>
      </c>
      <c r="B5090" s="384" t="s">
        <v>19015</v>
      </c>
      <c r="C5090" s="384" t="s">
        <v>2884</v>
      </c>
      <c r="D5090" s="385" t="s">
        <v>17133</v>
      </c>
    </row>
    <row r="5091" spans="1:4" x14ac:dyDescent="0.25">
      <c r="A5091" s="384" t="s">
        <v>19016</v>
      </c>
      <c r="B5091" s="384" t="s">
        <v>19017</v>
      </c>
      <c r="C5091" s="384" t="s">
        <v>2884</v>
      </c>
      <c r="D5091" s="385" t="s">
        <v>19018</v>
      </c>
    </row>
    <row r="5092" spans="1:4" x14ac:dyDescent="0.25">
      <c r="A5092" s="384" t="s">
        <v>19019</v>
      </c>
      <c r="B5092" s="384" t="s">
        <v>19020</v>
      </c>
      <c r="C5092" s="384" t="s">
        <v>82</v>
      </c>
      <c r="D5092" s="385" t="s">
        <v>19021</v>
      </c>
    </row>
    <row r="5093" spans="1:4" x14ac:dyDescent="0.25">
      <c r="A5093" s="384" t="s">
        <v>19022</v>
      </c>
      <c r="B5093" s="384" t="s">
        <v>19023</v>
      </c>
      <c r="C5093" s="384" t="s">
        <v>82</v>
      </c>
      <c r="D5093" s="385" t="s">
        <v>12899</v>
      </c>
    </row>
    <row r="5094" spans="1:4" x14ac:dyDescent="0.25">
      <c r="A5094" s="384" t="s">
        <v>19024</v>
      </c>
      <c r="B5094" s="384" t="s">
        <v>19025</v>
      </c>
      <c r="C5094" s="384" t="s">
        <v>83</v>
      </c>
      <c r="D5094" s="385" t="s">
        <v>19026</v>
      </c>
    </row>
    <row r="5095" spans="1:4" x14ac:dyDescent="0.25">
      <c r="A5095" s="384" t="s">
        <v>19027</v>
      </c>
      <c r="B5095" s="384" t="s">
        <v>19028</v>
      </c>
      <c r="C5095" s="384" t="s">
        <v>83</v>
      </c>
      <c r="D5095" s="385" t="s">
        <v>19029</v>
      </c>
    </row>
    <row r="5096" spans="1:4" x14ac:dyDescent="0.25">
      <c r="A5096" s="384" t="s">
        <v>19030</v>
      </c>
      <c r="B5096" s="384" t="s">
        <v>19031</v>
      </c>
      <c r="C5096" s="384" t="s">
        <v>83</v>
      </c>
      <c r="D5096" s="385" t="s">
        <v>19032</v>
      </c>
    </row>
    <row r="5097" spans="1:4" x14ac:dyDescent="0.25">
      <c r="A5097" s="384" t="s">
        <v>19033</v>
      </c>
      <c r="B5097" s="384" t="s">
        <v>19034</v>
      </c>
      <c r="C5097" s="384" t="s">
        <v>83</v>
      </c>
      <c r="D5097" s="385" t="s">
        <v>19035</v>
      </c>
    </row>
    <row r="5098" spans="1:4" x14ac:dyDescent="0.25">
      <c r="A5098" s="384" t="s">
        <v>19036</v>
      </c>
      <c r="B5098" s="384" t="s">
        <v>19037</v>
      </c>
      <c r="C5098" s="384" t="s">
        <v>83</v>
      </c>
      <c r="D5098" s="385" t="s">
        <v>19038</v>
      </c>
    </row>
    <row r="5099" spans="1:4" x14ac:dyDescent="0.25">
      <c r="A5099" s="384" t="s">
        <v>19039</v>
      </c>
      <c r="B5099" s="384" t="s">
        <v>19040</v>
      </c>
      <c r="C5099" s="384" t="s">
        <v>83</v>
      </c>
      <c r="D5099" s="385" t="s">
        <v>19041</v>
      </c>
    </row>
    <row r="5100" spans="1:4" x14ac:dyDescent="0.25">
      <c r="A5100" s="384" t="s">
        <v>19042</v>
      </c>
      <c r="B5100" s="384" t="s">
        <v>19043</v>
      </c>
      <c r="C5100" s="384" t="s">
        <v>83</v>
      </c>
      <c r="D5100" s="385" t="s">
        <v>19044</v>
      </c>
    </row>
    <row r="5101" spans="1:4" x14ac:dyDescent="0.25">
      <c r="A5101" s="384" t="s">
        <v>19045</v>
      </c>
      <c r="B5101" s="384" t="s">
        <v>19046</v>
      </c>
      <c r="C5101" s="384" t="s">
        <v>83</v>
      </c>
      <c r="D5101" s="385" t="s">
        <v>19047</v>
      </c>
    </row>
    <row r="5102" spans="1:4" x14ac:dyDescent="0.25">
      <c r="A5102" s="384" t="s">
        <v>19048</v>
      </c>
      <c r="B5102" s="384" t="s">
        <v>19049</v>
      </c>
      <c r="C5102" s="384" t="s">
        <v>83</v>
      </c>
      <c r="D5102" s="385" t="s">
        <v>19050</v>
      </c>
    </row>
    <row r="5103" spans="1:4" x14ac:dyDescent="0.25">
      <c r="A5103" s="384" t="s">
        <v>19051</v>
      </c>
      <c r="B5103" s="384" t="s">
        <v>19052</v>
      </c>
      <c r="C5103" s="384" t="s">
        <v>83</v>
      </c>
      <c r="D5103" s="385" t="s">
        <v>19053</v>
      </c>
    </row>
    <row r="5104" spans="1:4" x14ac:dyDescent="0.25">
      <c r="A5104" s="384" t="s">
        <v>19054</v>
      </c>
      <c r="B5104" s="384" t="s">
        <v>19055</v>
      </c>
      <c r="C5104" s="384" t="s">
        <v>83</v>
      </c>
      <c r="D5104" s="385" t="s">
        <v>19056</v>
      </c>
    </row>
    <row r="5105" spans="1:4" x14ac:dyDescent="0.25">
      <c r="A5105" s="384" t="s">
        <v>19057</v>
      </c>
      <c r="B5105" s="384" t="s">
        <v>19058</v>
      </c>
      <c r="C5105" s="384" t="s">
        <v>83</v>
      </c>
      <c r="D5105" s="385" t="s">
        <v>19059</v>
      </c>
    </row>
    <row r="5106" spans="1:4" x14ac:dyDescent="0.25">
      <c r="A5106" s="384" t="s">
        <v>19060</v>
      </c>
      <c r="B5106" s="384" t="s">
        <v>19061</v>
      </c>
      <c r="C5106" s="384" t="s">
        <v>83</v>
      </c>
      <c r="D5106" s="385" t="s">
        <v>19062</v>
      </c>
    </row>
    <row r="5107" spans="1:4" x14ac:dyDescent="0.25">
      <c r="A5107" s="384" t="s">
        <v>19063</v>
      </c>
      <c r="B5107" s="384" t="s">
        <v>19064</v>
      </c>
      <c r="C5107" s="384" t="s">
        <v>83</v>
      </c>
      <c r="D5107" s="385" t="s">
        <v>12703</v>
      </c>
    </row>
    <row r="5108" spans="1:4" x14ac:dyDescent="0.25">
      <c r="A5108" s="384" t="s">
        <v>19065</v>
      </c>
      <c r="B5108" s="384" t="s">
        <v>19066</v>
      </c>
      <c r="C5108" s="384" t="s">
        <v>83</v>
      </c>
      <c r="D5108" s="385" t="s">
        <v>19067</v>
      </c>
    </row>
    <row r="5109" spans="1:4" x14ac:dyDescent="0.25">
      <c r="A5109" s="384" t="s">
        <v>19068</v>
      </c>
      <c r="B5109" s="384" t="s">
        <v>19069</v>
      </c>
      <c r="C5109" s="384" t="s">
        <v>83</v>
      </c>
      <c r="D5109" s="385" t="s">
        <v>19070</v>
      </c>
    </row>
    <row r="5110" spans="1:4" x14ac:dyDescent="0.25">
      <c r="A5110" s="384" t="s">
        <v>19071</v>
      </c>
      <c r="B5110" s="384" t="s">
        <v>19072</v>
      </c>
      <c r="C5110" s="384" t="s">
        <v>83</v>
      </c>
      <c r="D5110" s="385" t="s">
        <v>19073</v>
      </c>
    </row>
    <row r="5111" spans="1:4" x14ac:dyDescent="0.25">
      <c r="A5111" s="384" t="s">
        <v>19074</v>
      </c>
      <c r="B5111" s="384" t="s">
        <v>19075</v>
      </c>
      <c r="C5111" s="384" t="s">
        <v>83</v>
      </c>
      <c r="D5111" s="385" t="s">
        <v>19076</v>
      </c>
    </row>
    <row r="5112" spans="1:4" x14ac:dyDescent="0.25">
      <c r="A5112" s="384" t="s">
        <v>19077</v>
      </c>
      <c r="B5112" s="384" t="s">
        <v>19078</v>
      </c>
      <c r="C5112" s="384" t="s">
        <v>83</v>
      </c>
      <c r="D5112" s="385" t="s">
        <v>19079</v>
      </c>
    </row>
    <row r="5113" spans="1:4" x14ac:dyDescent="0.25">
      <c r="A5113" s="384" t="s">
        <v>19080</v>
      </c>
      <c r="B5113" s="384" t="s">
        <v>19081</v>
      </c>
      <c r="C5113" s="384" t="s">
        <v>83</v>
      </c>
      <c r="D5113" s="385" t="s">
        <v>19082</v>
      </c>
    </row>
    <row r="5114" spans="1:4" x14ac:dyDescent="0.25">
      <c r="A5114" s="384" t="s">
        <v>19083</v>
      </c>
      <c r="B5114" s="384" t="s">
        <v>19084</v>
      </c>
      <c r="C5114" s="384" t="s">
        <v>83</v>
      </c>
      <c r="D5114" s="385" t="s">
        <v>19085</v>
      </c>
    </row>
    <row r="5115" spans="1:4" x14ac:dyDescent="0.25">
      <c r="A5115" s="384" t="s">
        <v>19086</v>
      </c>
      <c r="B5115" s="384" t="s">
        <v>19087</v>
      </c>
      <c r="C5115" s="384" t="s">
        <v>83</v>
      </c>
      <c r="D5115" s="385" t="s">
        <v>19088</v>
      </c>
    </row>
    <row r="5116" spans="1:4" x14ac:dyDescent="0.25">
      <c r="A5116" s="384" t="s">
        <v>19089</v>
      </c>
      <c r="B5116" s="384" t="s">
        <v>19090</v>
      </c>
      <c r="C5116" s="384" t="s">
        <v>83</v>
      </c>
      <c r="D5116" s="385" t="s">
        <v>19091</v>
      </c>
    </row>
    <row r="5117" spans="1:4" x14ac:dyDescent="0.25">
      <c r="A5117" s="384" t="s">
        <v>19092</v>
      </c>
      <c r="B5117" s="384" t="s">
        <v>19093</v>
      </c>
      <c r="C5117" s="384" t="s">
        <v>83</v>
      </c>
      <c r="D5117" s="385" t="s">
        <v>19094</v>
      </c>
    </row>
    <row r="5118" spans="1:4" x14ac:dyDescent="0.25">
      <c r="A5118" s="384" t="s">
        <v>19095</v>
      </c>
      <c r="B5118" s="384" t="s">
        <v>19096</v>
      </c>
      <c r="C5118" s="384" t="s">
        <v>83</v>
      </c>
      <c r="D5118" s="385" t="s">
        <v>19097</v>
      </c>
    </row>
    <row r="5119" spans="1:4" x14ac:dyDescent="0.25">
      <c r="A5119" s="384" t="s">
        <v>19098</v>
      </c>
      <c r="B5119" s="384" t="s">
        <v>19099</v>
      </c>
      <c r="C5119" s="384" t="s">
        <v>83</v>
      </c>
      <c r="D5119" s="385" t="s">
        <v>19100</v>
      </c>
    </row>
    <row r="5120" spans="1:4" x14ac:dyDescent="0.25">
      <c r="A5120" s="384" t="s">
        <v>19101</v>
      </c>
      <c r="B5120" s="384" t="s">
        <v>19102</v>
      </c>
      <c r="C5120" s="384" t="s">
        <v>83</v>
      </c>
      <c r="D5120" s="385" t="s">
        <v>19103</v>
      </c>
    </row>
    <row r="5121" spans="1:4" x14ac:dyDescent="0.25">
      <c r="A5121" s="384" t="s">
        <v>19104</v>
      </c>
      <c r="B5121" s="384" t="s">
        <v>19105</v>
      </c>
      <c r="C5121" s="384" t="s">
        <v>76</v>
      </c>
      <c r="D5121" s="385" t="s">
        <v>19106</v>
      </c>
    </row>
    <row r="5122" spans="1:4" x14ac:dyDescent="0.25">
      <c r="A5122" s="384" t="s">
        <v>19107</v>
      </c>
      <c r="B5122" s="384" t="s">
        <v>19108</v>
      </c>
      <c r="C5122" s="384" t="s">
        <v>76</v>
      </c>
      <c r="D5122" s="385" t="s">
        <v>17168</v>
      </c>
    </row>
    <row r="5123" spans="1:4" x14ac:dyDescent="0.25">
      <c r="A5123" s="384" t="s">
        <v>19109</v>
      </c>
      <c r="B5123" s="384" t="s">
        <v>19110</v>
      </c>
      <c r="C5123" s="384" t="s">
        <v>76</v>
      </c>
      <c r="D5123" s="385" t="s">
        <v>19111</v>
      </c>
    </row>
    <row r="5124" spans="1:4" x14ac:dyDescent="0.25">
      <c r="A5124" s="384" t="s">
        <v>19112</v>
      </c>
      <c r="B5124" s="384" t="s">
        <v>19113</v>
      </c>
      <c r="C5124" s="384" t="s">
        <v>76</v>
      </c>
      <c r="D5124" s="385" t="s">
        <v>19114</v>
      </c>
    </row>
    <row r="5125" spans="1:4" x14ac:dyDescent="0.25">
      <c r="A5125" s="384" t="s">
        <v>19115</v>
      </c>
      <c r="B5125" s="384" t="s">
        <v>19116</v>
      </c>
      <c r="C5125" s="384" t="s">
        <v>76</v>
      </c>
      <c r="D5125" s="385" t="s">
        <v>19117</v>
      </c>
    </row>
    <row r="5126" spans="1:4" x14ac:dyDescent="0.25">
      <c r="A5126" s="384" t="s">
        <v>19118</v>
      </c>
      <c r="B5126" s="384" t="s">
        <v>19119</v>
      </c>
      <c r="C5126" s="384" t="s">
        <v>76</v>
      </c>
      <c r="D5126" s="385" t="s">
        <v>19120</v>
      </c>
    </row>
    <row r="5127" spans="1:4" x14ac:dyDescent="0.25">
      <c r="A5127" s="384" t="s">
        <v>19121</v>
      </c>
      <c r="B5127" s="384" t="s">
        <v>19122</v>
      </c>
      <c r="C5127" s="384" t="s">
        <v>76</v>
      </c>
      <c r="D5127" s="385" t="s">
        <v>19123</v>
      </c>
    </row>
    <row r="5128" spans="1:4" x14ac:dyDescent="0.25">
      <c r="A5128" s="384" t="s">
        <v>19124</v>
      </c>
      <c r="B5128" s="384" t="s">
        <v>19125</v>
      </c>
      <c r="C5128" s="384" t="s">
        <v>76</v>
      </c>
      <c r="D5128" s="385" t="s">
        <v>17614</v>
      </c>
    </row>
    <row r="5129" spans="1:4" x14ac:dyDescent="0.25">
      <c r="A5129" s="384" t="s">
        <v>19126</v>
      </c>
      <c r="B5129" s="384" t="s">
        <v>19127</v>
      </c>
      <c r="C5129" s="384" t="s">
        <v>2884</v>
      </c>
      <c r="D5129" s="385" t="s">
        <v>19128</v>
      </c>
    </row>
    <row r="5130" spans="1:4" x14ac:dyDescent="0.25">
      <c r="A5130" s="384" t="s">
        <v>19129</v>
      </c>
      <c r="B5130" s="384" t="s">
        <v>19130</v>
      </c>
      <c r="C5130" s="384" t="s">
        <v>76</v>
      </c>
      <c r="D5130" s="385" t="s">
        <v>19131</v>
      </c>
    </row>
    <row r="5131" spans="1:4" x14ac:dyDescent="0.25">
      <c r="A5131" s="384" t="s">
        <v>19132</v>
      </c>
      <c r="B5131" s="384" t="s">
        <v>19133</v>
      </c>
      <c r="C5131" s="384" t="s">
        <v>76</v>
      </c>
      <c r="D5131" s="385" t="s">
        <v>19134</v>
      </c>
    </row>
    <row r="5132" spans="1:4" x14ac:dyDescent="0.25">
      <c r="A5132" s="384" t="s">
        <v>19135</v>
      </c>
      <c r="B5132" s="384" t="s">
        <v>19136</v>
      </c>
      <c r="C5132" s="384" t="s">
        <v>76</v>
      </c>
      <c r="D5132" s="385" t="s">
        <v>6910</v>
      </c>
    </row>
    <row r="5133" spans="1:4" x14ac:dyDescent="0.25">
      <c r="A5133" s="384" t="s">
        <v>19137</v>
      </c>
      <c r="B5133" s="384" t="s">
        <v>19138</v>
      </c>
      <c r="C5133" s="384" t="s">
        <v>76</v>
      </c>
      <c r="D5133" s="385" t="s">
        <v>7528</v>
      </c>
    </row>
    <row r="5134" spans="1:4" x14ac:dyDescent="0.25">
      <c r="A5134" s="384" t="s">
        <v>19139</v>
      </c>
      <c r="B5134" s="384" t="s">
        <v>19140</v>
      </c>
      <c r="C5134" s="384" t="s">
        <v>76</v>
      </c>
      <c r="D5134" s="385" t="s">
        <v>7138</v>
      </c>
    </row>
    <row r="5135" spans="1:4" x14ac:dyDescent="0.25">
      <c r="A5135" s="384" t="s">
        <v>19141</v>
      </c>
      <c r="B5135" s="384" t="s">
        <v>19142</v>
      </c>
      <c r="C5135" s="384" t="s">
        <v>76</v>
      </c>
      <c r="D5135" s="385" t="s">
        <v>19143</v>
      </c>
    </row>
    <row r="5136" spans="1:4" x14ac:dyDescent="0.25">
      <c r="A5136" s="384" t="s">
        <v>19144</v>
      </c>
      <c r="B5136" s="384" t="s">
        <v>19145</v>
      </c>
      <c r="C5136" s="384" t="s">
        <v>76</v>
      </c>
      <c r="D5136" s="385" t="s">
        <v>5922</v>
      </c>
    </row>
    <row r="5137" spans="1:4" x14ac:dyDescent="0.25">
      <c r="A5137" s="384" t="s">
        <v>19146</v>
      </c>
      <c r="B5137" s="384" t="s">
        <v>19147</v>
      </c>
      <c r="C5137" s="384" t="s">
        <v>76</v>
      </c>
      <c r="D5137" s="385" t="s">
        <v>19148</v>
      </c>
    </row>
    <row r="5138" spans="1:4" x14ac:dyDescent="0.25">
      <c r="A5138" s="384" t="s">
        <v>19149</v>
      </c>
      <c r="B5138" s="384" t="s">
        <v>19150</v>
      </c>
      <c r="C5138" s="384" t="s">
        <v>76</v>
      </c>
      <c r="D5138" s="385" t="s">
        <v>12265</v>
      </c>
    </row>
    <row r="5139" spans="1:4" x14ac:dyDescent="0.25">
      <c r="A5139" s="384" t="s">
        <v>19151</v>
      </c>
      <c r="B5139" s="384" t="s">
        <v>19152</v>
      </c>
      <c r="C5139" s="384" t="s">
        <v>76</v>
      </c>
      <c r="D5139" s="385" t="s">
        <v>6967</v>
      </c>
    </row>
    <row r="5140" spans="1:4" x14ac:dyDescent="0.25">
      <c r="A5140" s="384" t="s">
        <v>19153</v>
      </c>
      <c r="B5140" s="384" t="s">
        <v>19154</v>
      </c>
      <c r="C5140" s="384" t="s">
        <v>76</v>
      </c>
      <c r="D5140" s="385" t="s">
        <v>16092</v>
      </c>
    </row>
    <row r="5141" spans="1:4" x14ac:dyDescent="0.25">
      <c r="A5141" s="384" t="s">
        <v>19155</v>
      </c>
      <c r="B5141" s="384" t="s">
        <v>19156</v>
      </c>
      <c r="C5141" s="384" t="s">
        <v>76</v>
      </c>
      <c r="D5141" s="385" t="s">
        <v>6923</v>
      </c>
    </row>
    <row r="5142" spans="1:4" x14ac:dyDescent="0.25">
      <c r="A5142" s="384" t="s">
        <v>19157</v>
      </c>
      <c r="B5142" s="384" t="s">
        <v>19158</v>
      </c>
      <c r="C5142" s="384" t="s">
        <v>76</v>
      </c>
      <c r="D5142" s="385" t="s">
        <v>19159</v>
      </c>
    </row>
    <row r="5143" spans="1:4" x14ac:dyDescent="0.25">
      <c r="A5143" s="384" t="s">
        <v>19160</v>
      </c>
      <c r="B5143" s="384" t="s">
        <v>19161</v>
      </c>
      <c r="C5143" s="384" t="s">
        <v>76</v>
      </c>
      <c r="D5143" s="385" t="s">
        <v>12891</v>
      </c>
    </row>
    <row r="5144" spans="1:4" x14ac:dyDescent="0.25">
      <c r="A5144" s="384" t="s">
        <v>19162</v>
      </c>
      <c r="B5144" s="384" t="s">
        <v>19163</v>
      </c>
      <c r="C5144" s="384" t="s">
        <v>76</v>
      </c>
      <c r="D5144" s="385" t="s">
        <v>6826</v>
      </c>
    </row>
    <row r="5145" spans="1:4" x14ac:dyDescent="0.25">
      <c r="A5145" s="384" t="s">
        <v>19164</v>
      </c>
      <c r="B5145" s="384" t="s">
        <v>19165</v>
      </c>
      <c r="C5145" s="384" t="s">
        <v>76</v>
      </c>
      <c r="D5145" s="385" t="s">
        <v>19166</v>
      </c>
    </row>
    <row r="5146" spans="1:4" x14ac:dyDescent="0.25">
      <c r="A5146" s="384" t="s">
        <v>19167</v>
      </c>
      <c r="B5146" s="384" t="s">
        <v>19168</v>
      </c>
      <c r="C5146" s="384" t="s">
        <v>76</v>
      </c>
      <c r="D5146" s="385" t="s">
        <v>10468</v>
      </c>
    </row>
    <row r="5147" spans="1:4" x14ac:dyDescent="0.25">
      <c r="A5147" s="384" t="s">
        <v>19169</v>
      </c>
      <c r="B5147" s="384" t="s">
        <v>19170</v>
      </c>
      <c r="C5147" s="384" t="s">
        <v>76</v>
      </c>
      <c r="D5147" s="385" t="s">
        <v>12326</v>
      </c>
    </row>
    <row r="5148" spans="1:4" x14ac:dyDescent="0.25">
      <c r="A5148" s="384" t="s">
        <v>19171</v>
      </c>
      <c r="B5148" s="384" t="s">
        <v>19172</v>
      </c>
      <c r="C5148" s="384" t="s">
        <v>76</v>
      </c>
      <c r="D5148" s="385" t="s">
        <v>19173</v>
      </c>
    </row>
    <row r="5149" spans="1:4" x14ac:dyDescent="0.25">
      <c r="A5149" s="384" t="s">
        <v>19174</v>
      </c>
      <c r="B5149" s="384" t="s">
        <v>19175</v>
      </c>
      <c r="C5149" s="384" t="s">
        <v>76</v>
      </c>
      <c r="D5149" s="385" t="s">
        <v>5579</v>
      </c>
    </row>
    <row r="5150" spans="1:4" x14ac:dyDescent="0.25">
      <c r="A5150" s="384" t="s">
        <v>19176</v>
      </c>
      <c r="B5150" s="384" t="s">
        <v>19177</v>
      </c>
      <c r="C5150" s="384" t="s">
        <v>76</v>
      </c>
      <c r="D5150" s="385" t="s">
        <v>19178</v>
      </c>
    </row>
    <row r="5151" spans="1:4" x14ac:dyDescent="0.25">
      <c r="A5151" s="384" t="s">
        <v>19179</v>
      </c>
      <c r="B5151" s="384" t="s">
        <v>19180</v>
      </c>
      <c r="C5151" s="384" t="s">
        <v>76</v>
      </c>
      <c r="D5151" s="385" t="s">
        <v>19181</v>
      </c>
    </row>
    <row r="5152" spans="1:4" x14ac:dyDescent="0.25">
      <c r="A5152" s="384" t="s">
        <v>19182</v>
      </c>
      <c r="B5152" s="384" t="s">
        <v>19183</v>
      </c>
      <c r="C5152" s="384" t="s">
        <v>76</v>
      </c>
      <c r="D5152" s="385" t="s">
        <v>4802</v>
      </c>
    </row>
    <row r="5153" spans="1:4" x14ac:dyDescent="0.25">
      <c r="A5153" s="384" t="s">
        <v>19184</v>
      </c>
      <c r="B5153" s="384" t="s">
        <v>19185</v>
      </c>
      <c r="C5153" s="384" t="s">
        <v>76</v>
      </c>
      <c r="D5153" s="385" t="s">
        <v>19186</v>
      </c>
    </row>
    <row r="5154" spans="1:4" x14ac:dyDescent="0.25">
      <c r="A5154" s="384" t="s">
        <v>19187</v>
      </c>
      <c r="B5154" s="384" t="s">
        <v>19188</v>
      </c>
      <c r="C5154" s="384" t="s">
        <v>76</v>
      </c>
      <c r="D5154" s="385" t="s">
        <v>15368</v>
      </c>
    </row>
    <row r="5155" spans="1:4" x14ac:dyDescent="0.25">
      <c r="A5155" s="384" t="s">
        <v>19189</v>
      </c>
      <c r="B5155" s="384" t="s">
        <v>19190</v>
      </c>
      <c r="C5155" s="384" t="s">
        <v>76</v>
      </c>
      <c r="D5155" s="385" t="s">
        <v>19191</v>
      </c>
    </row>
    <row r="5156" spans="1:4" x14ac:dyDescent="0.25">
      <c r="A5156" s="384" t="s">
        <v>19192</v>
      </c>
      <c r="B5156" s="384" t="s">
        <v>19193</v>
      </c>
      <c r="C5156" s="384" t="s">
        <v>76</v>
      </c>
      <c r="D5156" s="385" t="s">
        <v>19194</v>
      </c>
    </row>
    <row r="5157" spans="1:4" x14ac:dyDescent="0.25">
      <c r="A5157" s="384" t="s">
        <v>19195</v>
      </c>
      <c r="B5157" s="384" t="s">
        <v>19196</v>
      </c>
      <c r="C5157" s="384" t="s">
        <v>76</v>
      </c>
      <c r="D5157" s="385" t="s">
        <v>11308</v>
      </c>
    </row>
    <row r="5158" spans="1:4" x14ac:dyDescent="0.25">
      <c r="A5158" s="384" t="s">
        <v>19197</v>
      </c>
      <c r="B5158" s="384" t="s">
        <v>19198</v>
      </c>
      <c r="C5158" s="384" t="s">
        <v>76</v>
      </c>
      <c r="D5158" s="385" t="s">
        <v>19199</v>
      </c>
    </row>
    <row r="5159" spans="1:4" x14ac:dyDescent="0.25">
      <c r="A5159" s="384" t="s">
        <v>19200</v>
      </c>
      <c r="B5159" s="384" t="s">
        <v>19201</v>
      </c>
      <c r="C5159" s="384" t="s">
        <v>76</v>
      </c>
      <c r="D5159" s="385" t="s">
        <v>19202</v>
      </c>
    </row>
    <row r="5160" spans="1:4" x14ac:dyDescent="0.25">
      <c r="A5160" s="384" t="s">
        <v>19203</v>
      </c>
      <c r="B5160" s="384" t="s">
        <v>19204</v>
      </c>
      <c r="C5160" s="384" t="s">
        <v>76</v>
      </c>
      <c r="D5160" s="385" t="s">
        <v>19205</v>
      </c>
    </row>
    <row r="5161" spans="1:4" x14ac:dyDescent="0.25">
      <c r="A5161" s="384" t="s">
        <v>19206</v>
      </c>
      <c r="B5161" s="384" t="s">
        <v>19207</v>
      </c>
      <c r="C5161" s="384" t="s">
        <v>76</v>
      </c>
      <c r="D5161" s="385" t="s">
        <v>15368</v>
      </c>
    </row>
    <row r="5162" spans="1:4" x14ac:dyDescent="0.25">
      <c r="A5162" s="384" t="s">
        <v>19208</v>
      </c>
      <c r="B5162" s="384" t="s">
        <v>19209</v>
      </c>
      <c r="C5162" s="384" t="s">
        <v>76</v>
      </c>
      <c r="D5162" s="385" t="s">
        <v>11353</v>
      </c>
    </row>
    <row r="5163" spans="1:4" x14ac:dyDescent="0.25">
      <c r="A5163" s="384" t="s">
        <v>19210</v>
      </c>
      <c r="B5163" s="384" t="s">
        <v>19211</v>
      </c>
      <c r="C5163" s="384" t="s">
        <v>76</v>
      </c>
      <c r="D5163" s="385" t="s">
        <v>19212</v>
      </c>
    </row>
    <row r="5164" spans="1:4" x14ac:dyDescent="0.25">
      <c r="A5164" s="384" t="s">
        <v>19213</v>
      </c>
      <c r="B5164" s="384" t="s">
        <v>19214</v>
      </c>
      <c r="C5164" s="384" t="s">
        <v>76</v>
      </c>
      <c r="D5164" s="385" t="s">
        <v>15800</v>
      </c>
    </row>
    <row r="5165" spans="1:4" x14ac:dyDescent="0.25">
      <c r="A5165" s="384" t="s">
        <v>19215</v>
      </c>
      <c r="B5165" s="384" t="s">
        <v>19216</v>
      </c>
      <c r="C5165" s="384" t="s">
        <v>76</v>
      </c>
      <c r="D5165" s="385" t="s">
        <v>11434</v>
      </c>
    </row>
    <row r="5166" spans="1:4" x14ac:dyDescent="0.25">
      <c r="A5166" s="384" t="s">
        <v>19217</v>
      </c>
      <c r="B5166" s="384" t="s">
        <v>19218</v>
      </c>
      <c r="C5166" s="384" t="s">
        <v>76</v>
      </c>
      <c r="D5166" s="385" t="s">
        <v>15281</v>
      </c>
    </row>
    <row r="5167" spans="1:4" x14ac:dyDescent="0.25">
      <c r="A5167" s="384" t="s">
        <v>19219</v>
      </c>
      <c r="B5167" s="384" t="s">
        <v>19220</v>
      </c>
      <c r="C5167" s="384" t="s">
        <v>76</v>
      </c>
      <c r="D5167" s="385" t="s">
        <v>8704</v>
      </c>
    </row>
    <row r="5168" spans="1:4" x14ac:dyDescent="0.25">
      <c r="A5168" s="384" t="s">
        <v>19221</v>
      </c>
      <c r="B5168" s="384" t="s">
        <v>19222</v>
      </c>
      <c r="C5168" s="384" t="s">
        <v>76</v>
      </c>
      <c r="D5168" s="385" t="s">
        <v>19223</v>
      </c>
    </row>
    <row r="5169" spans="1:4" x14ac:dyDescent="0.25">
      <c r="A5169" s="384" t="s">
        <v>19224</v>
      </c>
      <c r="B5169" s="384" t="s">
        <v>19225</v>
      </c>
      <c r="C5169" s="384" t="s">
        <v>76</v>
      </c>
      <c r="D5169" s="385" t="s">
        <v>17039</v>
      </c>
    </row>
    <row r="5170" spans="1:4" x14ac:dyDescent="0.25">
      <c r="A5170" s="384" t="s">
        <v>19226</v>
      </c>
      <c r="B5170" s="384" t="s">
        <v>19227</v>
      </c>
      <c r="C5170" s="384" t="s">
        <v>76</v>
      </c>
      <c r="D5170" s="385" t="s">
        <v>12132</v>
      </c>
    </row>
    <row r="5171" spans="1:4" x14ac:dyDescent="0.25">
      <c r="A5171" s="384" t="s">
        <v>19228</v>
      </c>
      <c r="B5171" s="384" t="s">
        <v>19229</v>
      </c>
      <c r="C5171" s="384" t="s">
        <v>76</v>
      </c>
      <c r="D5171" s="385" t="s">
        <v>6955</v>
      </c>
    </row>
    <row r="5172" spans="1:4" x14ac:dyDescent="0.25">
      <c r="A5172" s="384" t="s">
        <v>19230</v>
      </c>
      <c r="B5172" s="384" t="s">
        <v>19231</v>
      </c>
      <c r="C5172" s="384" t="s">
        <v>76</v>
      </c>
      <c r="D5172" s="385" t="s">
        <v>19232</v>
      </c>
    </row>
    <row r="5173" spans="1:4" x14ac:dyDescent="0.25">
      <c r="A5173" s="384" t="s">
        <v>19233</v>
      </c>
      <c r="B5173" s="384" t="s">
        <v>19234</v>
      </c>
      <c r="C5173" s="384" t="s">
        <v>76</v>
      </c>
      <c r="D5173" s="385" t="s">
        <v>19235</v>
      </c>
    </row>
    <row r="5174" spans="1:4" x14ac:dyDescent="0.25">
      <c r="A5174" s="384" t="s">
        <v>19236</v>
      </c>
      <c r="B5174" s="384" t="s">
        <v>19237</v>
      </c>
      <c r="C5174" s="384" t="s">
        <v>76</v>
      </c>
      <c r="D5174" s="385" t="s">
        <v>14173</v>
      </c>
    </row>
    <row r="5175" spans="1:4" x14ac:dyDescent="0.25">
      <c r="A5175" s="384" t="s">
        <v>19238</v>
      </c>
      <c r="B5175" s="384" t="s">
        <v>19239</v>
      </c>
      <c r="C5175" s="384" t="s">
        <v>76</v>
      </c>
      <c r="D5175" s="385" t="s">
        <v>19240</v>
      </c>
    </row>
    <row r="5176" spans="1:4" x14ac:dyDescent="0.25">
      <c r="A5176" s="384" t="s">
        <v>19241</v>
      </c>
      <c r="B5176" s="384" t="s">
        <v>19242</v>
      </c>
      <c r="C5176" s="384" t="s">
        <v>76</v>
      </c>
      <c r="D5176" s="385" t="s">
        <v>8055</v>
      </c>
    </row>
    <row r="5177" spans="1:4" x14ac:dyDescent="0.25">
      <c r="A5177" s="384" t="s">
        <v>19243</v>
      </c>
      <c r="B5177" s="384" t="s">
        <v>19244</v>
      </c>
      <c r="C5177" s="384" t="s">
        <v>76</v>
      </c>
      <c r="D5177" s="385" t="s">
        <v>17133</v>
      </c>
    </row>
    <row r="5178" spans="1:4" x14ac:dyDescent="0.25">
      <c r="A5178" s="384" t="s">
        <v>19245</v>
      </c>
      <c r="B5178" s="384" t="s">
        <v>19246</v>
      </c>
      <c r="C5178" s="384" t="s">
        <v>76</v>
      </c>
      <c r="D5178" s="385" t="s">
        <v>12199</v>
      </c>
    </row>
    <row r="5179" spans="1:4" x14ac:dyDescent="0.25">
      <c r="A5179" s="384" t="s">
        <v>19247</v>
      </c>
      <c r="B5179" s="384" t="s">
        <v>19248</v>
      </c>
      <c r="C5179" s="384" t="s">
        <v>76</v>
      </c>
      <c r="D5179" s="385" t="s">
        <v>19249</v>
      </c>
    </row>
    <row r="5180" spans="1:4" x14ac:dyDescent="0.25">
      <c r="A5180" s="384" t="s">
        <v>19250</v>
      </c>
      <c r="B5180" s="384" t="s">
        <v>19251</v>
      </c>
      <c r="C5180" s="384" t="s">
        <v>76</v>
      </c>
      <c r="D5180" s="385" t="s">
        <v>5576</v>
      </c>
    </row>
    <row r="5181" spans="1:4" x14ac:dyDescent="0.25">
      <c r="A5181" s="384" t="s">
        <v>19252</v>
      </c>
      <c r="B5181" s="384" t="s">
        <v>19253</v>
      </c>
      <c r="C5181" s="384" t="s">
        <v>76</v>
      </c>
      <c r="D5181" s="385" t="s">
        <v>19254</v>
      </c>
    </row>
    <row r="5182" spans="1:4" x14ac:dyDescent="0.25">
      <c r="A5182" s="384" t="s">
        <v>19255</v>
      </c>
      <c r="B5182" s="384" t="s">
        <v>19256</v>
      </c>
      <c r="C5182" s="384" t="s">
        <v>76</v>
      </c>
      <c r="D5182" s="385" t="s">
        <v>14566</v>
      </c>
    </row>
    <row r="5183" spans="1:4" x14ac:dyDescent="0.25">
      <c r="A5183" s="384" t="s">
        <v>19257</v>
      </c>
      <c r="B5183" s="384" t="s">
        <v>19258</v>
      </c>
      <c r="C5183" s="384" t="s">
        <v>76</v>
      </c>
      <c r="D5183" s="385" t="s">
        <v>19259</v>
      </c>
    </row>
    <row r="5184" spans="1:4" x14ac:dyDescent="0.25">
      <c r="A5184" s="384" t="s">
        <v>19260</v>
      </c>
      <c r="B5184" s="384" t="s">
        <v>19261</v>
      </c>
      <c r="C5184" s="384" t="s">
        <v>76</v>
      </c>
      <c r="D5184" s="385" t="s">
        <v>11493</v>
      </c>
    </row>
    <row r="5185" spans="1:4" x14ac:dyDescent="0.25">
      <c r="A5185" s="384" t="s">
        <v>19262</v>
      </c>
      <c r="B5185" s="384" t="s">
        <v>19263</v>
      </c>
      <c r="C5185" s="384" t="s">
        <v>76</v>
      </c>
      <c r="D5185" s="385" t="s">
        <v>14955</v>
      </c>
    </row>
    <row r="5186" spans="1:4" x14ac:dyDescent="0.25">
      <c r="A5186" s="384" t="s">
        <v>19264</v>
      </c>
      <c r="B5186" s="384" t="s">
        <v>19265</v>
      </c>
      <c r="C5186" s="384" t="s">
        <v>76</v>
      </c>
      <c r="D5186" s="385" t="s">
        <v>19266</v>
      </c>
    </row>
    <row r="5187" spans="1:4" x14ac:dyDescent="0.25">
      <c r="A5187" s="384" t="s">
        <v>19267</v>
      </c>
      <c r="B5187" s="384" t="s">
        <v>19268</v>
      </c>
      <c r="C5187" s="384" t="s">
        <v>76</v>
      </c>
      <c r="D5187" s="385" t="s">
        <v>15168</v>
      </c>
    </row>
    <row r="5188" spans="1:4" x14ac:dyDescent="0.25">
      <c r="A5188" s="384" t="s">
        <v>19269</v>
      </c>
      <c r="B5188" s="384" t="s">
        <v>19270</v>
      </c>
      <c r="C5188" s="384" t="s">
        <v>76</v>
      </c>
      <c r="D5188" s="385" t="s">
        <v>8058</v>
      </c>
    </row>
    <row r="5189" spans="1:4" x14ac:dyDescent="0.25">
      <c r="A5189" s="384" t="s">
        <v>19271</v>
      </c>
      <c r="B5189" s="384" t="s">
        <v>19272</v>
      </c>
      <c r="C5189" s="384" t="s">
        <v>76</v>
      </c>
      <c r="D5189" s="385" t="s">
        <v>11265</v>
      </c>
    </row>
    <row r="5190" spans="1:4" x14ac:dyDescent="0.25">
      <c r="A5190" s="384" t="s">
        <v>19273</v>
      </c>
      <c r="B5190" s="384" t="s">
        <v>19274</v>
      </c>
      <c r="C5190" s="384" t="s">
        <v>76</v>
      </c>
      <c r="D5190" s="385" t="s">
        <v>18079</v>
      </c>
    </row>
    <row r="5191" spans="1:4" x14ac:dyDescent="0.25">
      <c r="A5191" s="384" t="s">
        <v>19275</v>
      </c>
      <c r="B5191" s="384" t="s">
        <v>19276</v>
      </c>
      <c r="C5191" s="384" t="s">
        <v>76</v>
      </c>
      <c r="D5191" s="385" t="s">
        <v>19277</v>
      </c>
    </row>
    <row r="5192" spans="1:4" x14ac:dyDescent="0.25">
      <c r="A5192" s="384" t="s">
        <v>19278</v>
      </c>
      <c r="B5192" s="384" t="s">
        <v>19279</v>
      </c>
      <c r="C5192" s="384" t="s">
        <v>76</v>
      </c>
      <c r="D5192" s="385" t="s">
        <v>19280</v>
      </c>
    </row>
    <row r="5193" spans="1:4" x14ac:dyDescent="0.25">
      <c r="A5193" s="384" t="s">
        <v>19281</v>
      </c>
      <c r="B5193" s="384" t="s">
        <v>19282</v>
      </c>
      <c r="C5193" s="384" t="s">
        <v>76</v>
      </c>
      <c r="D5193" s="385" t="s">
        <v>19283</v>
      </c>
    </row>
    <row r="5194" spans="1:4" x14ac:dyDescent="0.25">
      <c r="A5194" s="384" t="s">
        <v>19284</v>
      </c>
      <c r="B5194" s="384" t="s">
        <v>19285</v>
      </c>
      <c r="C5194" s="384" t="s">
        <v>76</v>
      </c>
      <c r="D5194" s="385" t="s">
        <v>19286</v>
      </c>
    </row>
    <row r="5195" spans="1:4" x14ac:dyDescent="0.25">
      <c r="A5195" s="384" t="s">
        <v>19287</v>
      </c>
      <c r="B5195" s="384" t="s">
        <v>19288</v>
      </c>
      <c r="C5195" s="384" t="s">
        <v>76</v>
      </c>
      <c r="D5195" s="385" t="s">
        <v>19289</v>
      </c>
    </row>
    <row r="5196" spans="1:4" x14ac:dyDescent="0.25">
      <c r="A5196" s="384" t="s">
        <v>19290</v>
      </c>
      <c r="B5196" s="384" t="s">
        <v>19291</v>
      </c>
      <c r="C5196" s="384" t="s">
        <v>76</v>
      </c>
      <c r="D5196" s="385" t="s">
        <v>7356</v>
      </c>
    </row>
    <row r="5197" spans="1:4" x14ac:dyDescent="0.25">
      <c r="A5197" s="384" t="s">
        <v>19292</v>
      </c>
      <c r="B5197" s="384" t="s">
        <v>19293</v>
      </c>
      <c r="C5197" s="384" t="s">
        <v>76</v>
      </c>
      <c r="D5197" s="385" t="s">
        <v>12882</v>
      </c>
    </row>
    <row r="5198" spans="1:4" x14ac:dyDescent="0.25">
      <c r="A5198" s="384" t="s">
        <v>19294</v>
      </c>
      <c r="B5198" s="384" t="s">
        <v>19295</v>
      </c>
      <c r="C5198" s="384" t="s">
        <v>76</v>
      </c>
      <c r="D5198" s="385" t="s">
        <v>19296</v>
      </c>
    </row>
    <row r="5199" spans="1:4" x14ac:dyDescent="0.25">
      <c r="A5199" s="384" t="s">
        <v>19297</v>
      </c>
      <c r="B5199" s="384" t="s">
        <v>19298</v>
      </c>
      <c r="C5199" s="384" t="s">
        <v>76</v>
      </c>
      <c r="D5199" s="385" t="s">
        <v>19299</v>
      </c>
    </row>
    <row r="5200" spans="1:4" x14ac:dyDescent="0.25">
      <c r="A5200" s="384" t="s">
        <v>19300</v>
      </c>
      <c r="B5200" s="384" t="s">
        <v>19301</v>
      </c>
      <c r="C5200" s="384" t="s">
        <v>76</v>
      </c>
      <c r="D5200" s="385" t="s">
        <v>19302</v>
      </c>
    </row>
    <row r="5201" spans="1:4" x14ac:dyDescent="0.25">
      <c r="A5201" s="384" t="s">
        <v>19303</v>
      </c>
      <c r="B5201" s="384" t="s">
        <v>19304</v>
      </c>
      <c r="C5201" s="384" t="s">
        <v>76</v>
      </c>
      <c r="D5201" s="385" t="s">
        <v>19305</v>
      </c>
    </row>
    <row r="5202" spans="1:4" x14ac:dyDescent="0.25">
      <c r="A5202" s="384" t="s">
        <v>19306</v>
      </c>
      <c r="B5202" s="384" t="s">
        <v>19307</v>
      </c>
      <c r="C5202" s="384" t="s">
        <v>76</v>
      </c>
      <c r="D5202" s="385" t="s">
        <v>19308</v>
      </c>
    </row>
    <row r="5203" spans="1:4" x14ac:dyDescent="0.25">
      <c r="A5203" s="384" t="s">
        <v>19309</v>
      </c>
      <c r="B5203" s="384" t="s">
        <v>19310</v>
      </c>
      <c r="C5203" s="384" t="s">
        <v>76</v>
      </c>
      <c r="D5203" s="385" t="s">
        <v>11440</v>
      </c>
    </row>
    <row r="5204" spans="1:4" x14ac:dyDescent="0.25">
      <c r="A5204" s="384" t="s">
        <v>19311</v>
      </c>
      <c r="B5204" s="384" t="s">
        <v>19312</v>
      </c>
      <c r="C5204" s="384" t="s">
        <v>76</v>
      </c>
      <c r="D5204" s="385" t="s">
        <v>19313</v>
      </c>
    </row>
    <row r="5205" spans="1:4" x14ac:dyDescent="0.25">
      <c r="A5205" s="384" t="s">
        <v>19314</v>
      </c>
      <c r="B5205" s="384" t="s">
        <v>19315</v>
      </c>
      <c r="C5205" s="384" t="s">
        <v>76</v>
      </c>
      <c r="D5205" s="385" t="s">
        <v>19316</v>
      </c>
    </row>
    <row r="5206" spans="1:4" x14ac:dyDescent="0.25">
      <c r="A5206" s="384" t="s">
        <v>19317</v>
      </c>
      <c r="B5206" s="384" t="s">
        <v>19318</v>
      </c>
      <c r="C5206" s="384" t="s">
        <v>76</v>
      </c>
      <c r="D5206" s="385" t="s">
        <v>19319</v>
      </c>
    </row>
    <row r="5207" spans="1:4" x14ac:dyDescent="0.25">
      <c r="A5207" s="384" t="s">
        <v>19320</v>
      </c>
      <c r="B5207" s="384" t="s">
        <v>19321</v>
      </c>
      <c r="C5207" s="384" t="s">
        <v>76</v>
      </c>
      <c r="D5207" s="385" t="s">
        <v>17298</v>
      </c>
    </row>
    <row r="5208" spans="1:4" x14ac:dyDescent="0.25">
      <c r="A5208" s="384" t="s">
        <v>19322</v>
      </c>
      <c r="B5208" s="384" t="s">
        <v>19323</v>
      </c>
      <c r="C5208" s="384" t="s">
        <v>76</v>
      </c>
      <c r="D5208" s="385" t="s">
        <v>11365</v>
      </c>
    </row>
    <row r="5209" spans="1:4" x14ac:dyDescent="0.25">
      <c r="A5209" s="384" t="s">
        <v>19324</v>
      </c>
      <c r="B5209" s="384" t="s">
        <v>19325</v>
      </c>
      <c r="C5209" s="384" t="s">
        <v>76</v>
      </c>
      <c r="D5209" s="385" t="s">
        <v>19326</v>
      </c>
    </row>
    <row r="5210" spans="1:4" x14ac:dyDescent="0.25">
      <c r="A5210" s="384" t="s">
        <v>19327</v>
      </c>
      <c r="B5210" s="384" t="s">
        <v>19328</v>
      </c>
      <c r="C5210" s="384" t="s">
        <v>76</v>
      </c>
      <c r="D5210" s="385" t="s">
        <v>19329</v>
      </c>
    </row>
    <row r="5211" spans="1:4" x14ac:dyDescent="0.25">
      <c r="A5211" s="384" t="s">
        <v>19330</v>
      </c>
      <c r="B5211" s="384" t="s">
        <v>19331</v>
      </c>
      <c r="C5211" s="384" t="s">
        <v>76</v>
      </c>
      <c r="D5211" s="385" t="s">
        <v>19332</v>
      </c>
    </row>
    <row r="5212" spans="1:4" x14ac:dyDescent="0.25">
      <c r="A5212" s="384" t="s">
        <v>19333</v>
      </c>
      <c r="B5212" s="384" t="s">
        <v>19334</v>
      </c>
      <c r="C5212" s="384" t="s">
        <v>76</v>
      </c>
      <c r="D5212" s="385" t="s">
        <v>19335</v>
      </c>
    </row>
    <row r="5213" spans="1:4" x14ac:dyDescent="0.25">
      <c r="A5213" s="384" t="s">
        <v>19336</v>
      </c>
      <c r="B5213" s="384" t="s">
        <v>19337</v>
      </c>
      <c r="C5213" s="384" t="s">
        <v>76</v>
      </c>
      <c r="D5213" s="385" t="s">
        <v>16359</v>
      </c>
    </row>
    <row r="5214" spans="1:4" x14ac:dyDescent="0.25">
      <c r="A5214" s="384" t="s">
        <v>19338</v>
      </c>
      <c r="B5214" s="384" t="s">
        <v>19339</v>
      </c>
      <c r="C5214" s="384" t="s">
        <v>76</v>
      </c>
      <c r="D5214" s="385" t="s">
        <v>19340</v>
      </c>
    </row>
    <row r="5215" spans="1:4" x14ac:dyDescent="0.25">
      <c r="A5215" s="384" t="s">
        <v>19341</v>
      </c>
      <c r="B5215" s="384" t="s">
        <v>19342</v>
      </c>
      <c r="C5215" s="384" t="s">
        <v>76</v>
      </c>
      <c r="D5215" s="385" t="s">
        <v>19343</v>
      </c>
    </row>
    <row r="5216" spans="1:4" x14ac:dyDescent="0.25">
      <c r="A5216" s="384" t="s">
        <v>19344</v>
      </c>
      <c r="B5216" s="384" t="s">
        <v>19345</v>
      </c>
      <c r="C5216" s="384" t="s">
        <v>76</v>
      </c>
      <c r="D5216" s="385" t="s">
        <v>19346</v>
      </c>
    </row>
    <row r="5217" spans="1:4" x14ac:dyDescent="0.25">
      <c r="A5217" s="384" t="s">
        <v>19347</v>
      </c>
      <c r="B5217" s="384" t="s">
        <v>19348</v>
      </c>
      <c r="C5217" s="384" t="s">
        <v>76</v>
      </c>
      <c r="D5217" s="385" t="s">
        <v>19349</v>
      </c>
    </row>
    <row r="5218" spans="1:4" x14ac:dyDescent="0.25">
      <c r="A5218" s="384" t="s">
        <v>19350</v>
      </c>
      <c r="B5218" s="384" t="s">
        <v>19351</v>
      </c>
      <c r="C5218" s="384" t="s">
        <v>76</v>
      </c>
      <c r="D5218" s="385" t="s">
        <v>19352</v>
      </c>
    </row>
    <row r="5219" spans="1:4" x14ac:dyDescent="0.25">
      <c r="A5219" s="384" t="s">
        <v>19353</v>
      </c>
      <c r="B5219" s="384" t="s">
        <v>19354</v>
      </c>
      <c r="C5219" s="384" t="s">
        <v>76</v>
      </c>
      <c r="D5219" s="385" t="s">
        <v>4454</v>
      </c>
    </row>
    <row r="5220" spans="1:4" x14ac:dyDescent="0.25">
      <c r="A5220" s="384" t="s">
        <v>19355</v>
      </c>
      <c r="B5220" s="384" t="s">
        <v>19356</v>
      </c>
      <c r="C5220" s="384" t="s">
        <v>76</v>
      </c>
      <c r="D5220" s="385" t="s">
        <v>19357</v>
      </c>
    </row>
    <row r="5221" spans="1:4" x14ac:dyDescent="0.25">
      <c r="A5221" s="384" t="s">
        <v>19358</v>
      </c>
      <c r="B5221" s="384" t="s">
        <v>19359</v>
      </c>
      <c r="C5221" s="384" t="s">
        <v>76</v>
      </c>
      <c r="D5221" s="385" t="s">
        <v>19254</v>
      </c>
    </row>
    <row r="5222" spans="1:4" x14ac:dyDescent="0.25">
      <c r="A5222" s="384" t="s">
        <v>19360</v>
      </c>
      <c r="B5222" s="384" t="s">
        <v>19361</v>
      </c>
      <c r="C5222" s="384" t="s">
        <v>76</v>
      </c>
      <c r="D5222" s="385" t="s">
        <v>17396</v>
      </c>
    </row>
    <row r="5223" spans="1:4" x14ac:dyDescent="0.25">
      <c r="A5223" s="384" t="s">
        <v>19362</v>
      </c>
      <c r="B5223" s="384" t="s">
        <v>19363</v>
      </c>
      <c r="C5223" s="384" t="s">
        <v>76</v>
      </c>
      <c r="D5223" s="385" t="s">
        <v>16095</v>
      </c>
    </row>
    <row r="5224" spans="1:4" x14ac:dyDescent="0.25">
      <c r="A5224" s="384" t="s">
        <v>19364</v>
      </c>
      <c r="B5224" s="384" t="s">
        <v>19365</v>
      </c>
      <c r="C5224" s="384" t="s">
        <v>76</v>
      </c>
      <c r="D5224" s="385" t="s">
        <v>19366</v>
      </c>
    </row>
    <row r="5225" spans="1:4" x14ac:dyDescent="0.25">
      <c r="A5225" s="384" t="s">
        <v>19367</v>
      </c>
      <c r="B5225" s="384" t="s">
        <v>19368</v>
      </c>
      <c r="C5225" s="384" t="s">
        <v>76</v>
      </c>
      <c r="D5225" s="385" t="s">
        <v>19369</v>
      </c>
    </row>
    <row r="5226" spans="1:4" x14ac:dyDescent="0.25">
      <c r="A5226" s="384" t="s">
        <v>19370</v>
      </c>
      <c r="B5226" s="384" t="s">
        <v>19371</v>
      </c>
      <c r="C5226" s="384" t="s">
        <v>76</v>
      </c>
      <c r="D5226" s="385" t="s">
        <v>15467</v>
      </c>
    </row>
    <row r="5227" spans="1:4" x14ac:dyDescent="0.25">
      <c r="A5227" s="384" t="s">
        <v>19372</v>
      </c>
      <c r="B5227" s="384" t="s">
        <v>19373</v>
      </c>
      <c r="C5227" s="384" t="s">
        <v>76</v>
      </c>
      <c r="D5227" s="385" t="s">
        <v>11225</v>
      </c>
    </row>
    <row r="5228" spans="1:4" x14ac:dyDescent="0.25">
      <c r="A5228" s="384" t="s">
        <v>19374</v>
      </c>
      <c r="B5228" s="384" t="s">
        <v>19375</v>
      </c>
      <c r="C5228" s="384" t="s">
        <v>76</v>
      </c>
      <c r="D5228" s="385" t="s">
        <v>12359</v>
      </c>
    </row>
    <row r="5229" spans="1:4" x14ac:dyDescent="0.25">
      <c r="A5229" s="384" t="s">
        <v>19376</v>
      </c>
      <c r="B5229" s="384" t="s">
        <v>19377</v>
      </c>
      <c r="C5229" s="384" t="s">
        <v>76</v>
      </c>
      <c r="D5229" s="385" t="s">
        <v>13441</v>
      </c>
    </row>
    <row r="5230" spans="1:4" x14ac:dyDescent="0.25">
      <c r="A5230" s="384" t="s">
        <v>19378</v>
      </c>
      <c r="B5230" s="384" t="s">
        <v>19379</v>
      </c>
      <c r="C5230" s="384" t="s">
        <v>76</v>
      </c>
      <c r="D5230" s="385" t="s">
        <v>19380</v>
      </c>
    </row>
    <row r="5231" spans="1:4" x14ac:dyDescent="0.25">
      <c r="A5231" s="384" t="s">
        <v>19381</v>
      </c>
      <c r="B5231" s="384" t="s">
        <v>19382</v>
      </c>
      <c r="C5231" s="384" t="s">
        <v>76</v>
      </c>
      <c r="D5231" s="385" t="s">
        <v>19383</v>
      </c>
    </row>
    <row r="5232" spans="1:4" x14ac:dyDescent="0.25">
      <c r="A5232" s="384" t="s">
        <v>19384</v>
      </c>
      <c r="B5232" s="384" t="s">
        <v>19385</v>
      </c>
      <c r="C5232" s="384" t="s">
        <v>76</v>
      </c>
      <c r="D5232" s="385" t="s">
        <v>11313</v>
      </c>
    </row>
    <row r="5233" spans="1:4" x14ac:dyDescent="0.25">
      <c r="A5233" s="384" t="s">
        <v>19386</v>
      </c>
      <c r="B5233" s="384" t="s">
        <v>19387</v>
      </c>
      <c r="C5233" s="384" t="s">
        <v>76</v>
      </c>
      <c r="D5233" s="385" t="s">
        <v>19388</v>
      </c>
    </row>
    <row r="5234" spans="1:4" x14ac:dyDescent="0.25">
      <c r="A5234" s="384" t="s">
        <v>19389</v>
      </c>
      <c r="B5234" s="384" t="s">
        <v>19390</v>
      </c>
      <c r="C5234" s="384" t="s">
        <v>76</v>
      </c>
      <c r="D5234" s="385" t="s">
        <v>19391</v>
      </c>
    </row>
    <row r="5235" spans="1:4" x14ac:dyDescent="0.25">
      <c r="A5235" s="384" t="s">
        <v>19392</v>
      </c>
      <c r="B5235" s="384" t="s">
        <v>19393</v>
      </c>
      <c r="C5235" s="384" t="s">
        <v>76</v>
      </c>
      <c r="D5235" s="385" t="s">
        <v>19394</v>
      </c>
    </row>
    <row r="5236" spans="1:4" x14ac:dyDescent="0.25">
      <c r="A5236" s="384" t="s">
        <v>19395</v>
      </c>
      <c r="B5236" s="384" t="s">
        <v>19396</v>
      </c>
      <c r="C5236" s="384" t="s">
        <v>76</v>
      </c>
      <c r="D5236" s="385" t="s">
        <v>19397</v>
      </c>
    </row>
    <row r="5237" spans="1:4" x14ac:dyDescent="0.25">
      <c r="A5237" s="384" t="s">
        <v>19398</v>
      </c>
      <c r="B5237" s="384" t="s">
        <v>19399</v>
      </c>
      <c r="C5237" s="384" t="s">
        <v>76</v>
      </c>
      <c r="D5237" s="385" t="s">
        <v>10379</v>
      </c>
    </row>
    <row r="5238" spans="1:4" x14ac:dyDescent="0.25">
      <c r="A5238" s="384" t="s">
        <v>19400</v>
      </c>
      <c r="B5238" s="384" t="s">
        <v>19401</v>
      </c>
      <c r="C5238" s="384" t="s">
        <v>76</v>
      </c>
      <c r="D5238" s="385" t="s">
        <v>19402</v>
      </c>
    </row>
    <row r="5239" spans="1:4" x14ac:dyDescent="0.25">
      <c r="A5239" s="384" t="s">
        <v>19403</v>
      </c>
      <c r="B5239" s="384" t="s">
        <v>19404</v>
      </c>
      <c r="C5239" s="384" t="s">
        <v>76</v>
      </c>
      <c r="D5239" s="385" t="s">
        <v>5874</v>
      </c>
    </row>
    <row r="5240" spans="1:4" x14ac:dyDescent="0.25">
      <c r="A5240" s="384" t="s">
        <v>19405</v>
      </c>
      <c r="B5240" s="384" t="s">
        <v>19406</v>
      </c>
      <c r="C5240" s="384" t="s">
        <v>76</v>
      </c>
      <c r="D5240" s="385" t="s">
        <v>19407</v>
      </c>
    </row>
    <row r="5241" spans="1:4" x14ac:dyDescent="0.25">
      <c r="A5241" s="384" t="s">
        <v>19408</v>
      </c>
      <c r="B5241" s="384" t="s">
        <v>19409</v>
      </c>
      <c r="C5241" s="384" t="s">
        <v>76</v>
      </c>
      <c r="D5241" s="385" t="s">
        <v>9677</v>
      </c>
    </row>
    <row r="5242" spans="1:4" x14ac:dyDescent="0.25">
      <c r="A5242" s="384" t="s">
        <v>19410</v>
      </c>
      <c r="B5242" s="384" t="s">
        <v>19411</v>
      </c>
      <c r="C5242" s="384" t="s">
        <v>76</v>
      </c>
      <c r="D5242" s="385" t="s">
        <v>19412</v>
      </c>
    </row>
    <row r="5243" spans="1:4" x14ac:dyDescent="0.25">
      <c r="A5243" s="384" t="s">
        <v>19413</v>
      </c>
      <c r="B5243" s="384" t="s">
        <v>19414</v>
      </c>
      <c r="C5243" s="384" t="s">
        <v>76</v>
      </c>
      <c r="D5243" s="385" t="s">
        <v>19415</v>
      </c>
    </row>
    <row r="5244" spans="1:4" x14ac:dyDescent="0.25">
      <c r="A5244" s="384" t="s">
        <v>19416</v>
      </c>
      <c r="B5244" s="384" t="s">
        <v>19417</v>
      </c>
      <c r="C5244" s="384" t="s">
        <v>76</v>
      </c>
      <c r="D5244" s="385" t="s">
        <v>19418</v>
      </c>
    </row>
    <row r="5245" spans="1:4" x14ac:dyDescent="0.25">
      <c r="A5245" s="384" t="s">
        <v>19419</v>
      </c>
      <c r="B5245" s="384" t="s">
        <v>19420</v>
      </c>
      <c r="C5245" s="384" t="s">
        <v>76</v>
      </c>
      <c r="D5245" s="385" t="s">
        <v>19421</v>
      </c>
    </row>
    <row r="5246" spans="1:4" x14ac:dyDescent="0.25">
      <c r="A5246" s="384" t="s">
        <v>19422</v>
      </c>
      <c r="B5246" s="384" t="s">
        <v>19423</v>
      </c>
      <c r="C5246" s="384" t="s">
        <v>76</v>
      </c>
      <c r="D5246" s="385" t="s">
        <v>6502</v>
      </c>
    </row>
    <row r="5247" spans="1:4" x14ac:dyDescent="0.25">
      <c r="A5247" s="384" t="s">
        <v>19424</v>
      </c>
      <c r="B5247" s="384" t="s">
        <v>19425</v>
      </c>
      <c r="C5247" s="384" t="s">
        <v>76</v>
      </c>
      <c r="D5247" s="385" t="s">
        <v>19426</v>
      </c>
    </row>
    <row r="5248" spans="1:4" x14ac:dyDescent="0.25">
      <c r="A5248" s="384" t="s">
        <v>19427</v>
      </c>
      <c r="B5248" s="384" t="s">
        <v>19428</v>
      </c>
      <c r="C5248" s="384" t="s">
        <v>76</v>
      </c>
      <c r="D5248" s="385" t="s">
        <v>19429</v>
      </c>
    </row>
    <row r="5249" spans="1:4" x14ac:dyDescent="0.25">
      <c r="A5249" s="384" t="s">
        <v>19430</v>
      </c>
      <c r="B5249" s="384" t="s">
        <v>19431</v>
      </c>
      <c r="C5249" s="384" t="s">
        <v>76</v>
      </c>
      <c r="D5249" s="385" t="s">
        <v>19432</v>
      </c>
    </row>
    <row r="5250" spans="1:4" x14ac:dyDescent="0.25">
      <c r="A5250" s="384" t="s">
        <v>19433</v>
      </c>
      <c r="B5250" s="384" t="s">
        <v>19434</v>
      </c>
      <c r="C5250" s="384" t="s">
        <v>76</v>
      </c>
      <c r="D5250" s="385" t="s">
        <v>15512</v>
      </c>
    </row>
    <row r="5251" spans="1:4" x14ac:dyDescent="0.25">
      <c r="A5251" s="384" t="s">
        <v>19435</v>
      </c>
      <c r="B5251" s="384" t="s">
        <v>19436</v>
      </c>
      <c r="C5251" s="384" t="s">
        <v>76</v>
      </c>
      <c r="D5251" s="385" t="s">
        <v>19437</v>
      </c>
    </row>
    <row r="5252" spans="1:4" x14ac:dyDescent="0.25">
      <c r="A5252" s="384" t="s">
        <v>19438</v>
      </c>
      <c r="B5252" s="384" t="s">
        <v>19439</v>
      </c>
      <c r="C5252" s="384" t="s">
        <v>76</v>
      </c>
      <c r="D5252" s="385" t="s">
        <v>19440</v>
      </c>
    </row>
    <row r="5253" spans="1:4" x14ac:dyDescent="0.25">
      <c r="A5253" s="384" t="s">
        <v>19441</v>
      </c>
      <c r="B5253" s="384" t="s">
        <v>19442</v>
      </c>
      <c r="C5253" s="384" t="s">
        <v>76</v>
      </c>
      <c r="D5253" s="385" t="s">
        <v>7393</v>
      </c>
    </row>
    <row r="5254" spans="1:4" x14ac:dyDescent="0.25">
      <c r="A5254" s="384" t="s">
        <v>19443</v>
      </c>
      <c r="B5254" s="384" t="s">
        <v>19444</v>
      </c>
      <c r="C5254" s="384" t="s">
        <v>76</v>
      </c>
      <c r="D5254" s="385" t="s">
        <v>19445</v>
      </c>
    </row>
    <row r="5255" spans="1:4" x14ac:dyDescent="0.25">
      <c r="A5255" s="384" t="s">
        <v>19446</v>
      </c>
      <c r="B5255" s="384" t="s">
        <v>19447</v>
      </c>
      <c r="C5255" s="384" t="s">
        <v>76</v>
      </c>
      <c r="D5255" s="385" t="s">
        <v>19448</v>
      </c>
    </row>
    <row r="5256" spans="1:4" x14ac:dyDescent="0.25">
      <c r="A5256" s="384" t="s">
        <v>19449</v>
      </c>
      <c r="B5256" s="384" t="s">
        <v>19450</v>
      </c>
      <c r="C5256" s="384" t="s">
        <v>76</v>
      </c>
      <c r="D5256" s="385" t="s">
        <v>12435</v>
      </c>
    </row>
    <row r="5257" spans="1:4" x14ac:dyDescent="0.25">
      <c r="A5257" s="384" t="s">
        <v>19451</v>
      </c>
      <c r="B5257" s="384" t="s">
        <v>19452</v>
      </c>
      <c r="C5257" s="384" t="s">
        <v>76</v>
      </c>
      <c r="D5257" s="385" t="s">
        <v>19453</v>
      </c>
    </row>
    <row r="5258" spans="1:4" x14ac:dyDescent="0.25">
      <c r="A5258" s="384" t="s">
        <v>19454</v>
      </c>
      <c r="B5258" s="384" t="s">
        <v>19455</v>
      </c>
      <c r="C5258" s="384" t="s">
        <v>76</v>
      </c>
      <c r="D5258" s="385" t="s">
        <v>19456</v>
      </c>
    </row>
    <row r="5259" spans="1:4" x14ac:dyDescent="0.25">
      <c r="A5259" s="384" t="s">
        <v>19457</v>
      </c>
      <c r="B5259" s="384" t="s">
        <v>19458</v>
      </c>
      <c r="C5259" s="384" t="s">
        <v>76</v>
      </c>
      <c r="D5259" s="385" t="s">
        <v>12417</v>
      </c>
    </row>
    <row r="5260" spans="1:4" x14ac:dyDescent="0.25">
      <c r="A5260" s="384" t="s">
        <v>19459</v>
      </c>
      <c r="B5260" s="384" t="s">
        <v>19460</v>
      </c>
      <c r="C5260" s="384" t="s">
        <v>76</v>
      </c>
      <c r="D5260" s="385" t="s">
        <v>19461</v>
      </c>
    </row>
    <row r="5261" spans="1:4" x14ac:dyDescent="0.25">
      <c r="A5261" s="384" t="s">
        <v>19462</v>
      </c>
      <c r="B5261" s="384" t="s">
        <v>19463</v>
      </c>
      <c r="C5261" s="384" t="s">
        <v>76</v>
      </c>
      <c r="D5261" s="385" t="s">
        <v>12118</v>
      </c>
    </row>
    <row r="5262" spans="1:4" x14ac:dyDescent="0.25">
      <c r="A5262" s="384" t="s">
        <v>19464</v>
      </c>
      <c r="B5262" s="384" t="s">
        <v>19465</v>
      </c>
      <c r="C5262" s="384" t="s">
        <v>76</v>
      </c>
      <c r="D5262" s="385" t="s">
        <v>19466</v>
      </c>
    </row>
    <row r="5263" spans="1:4" x14ac:dyDescent="0.25">
      <c r="A5263" s="384" t="s">
        <v>19467</v>
      </c>
      <c r="B5263" s="384" t="s">
        <v>19468</v>
      </c>
      <c r="C5263" s="384" t="s">
        <v>76</v>
      </c>
      <c r="D5263" s="385" t="s">
        <v>4688</v>
      </c>
    </row>
    <row r="5264" spans="1:4" x14ac:dyDescent="0.25">
      <c r="A5264" s="384" t="s">
        <v>19469</v>
      </c>
      <c r="B5264" s="384" t="s">
        <v>19470</v>
      </c>
      <c r="C5264" s="384" t="s">
        <v>76</v>
      </c>
      <c r="D5264" s="385" t="s">
        <v>19471</v>
      </c>
    </row>
    <row r="5265" spans="1:4" x14ac:dyDescent="0.25">
      <c r="A5265" s="384" t="s">
        <v>19472</v>
      </c>
      <c r="B5265" s="384" t="s">
        <v>19473</v>
      </c>
      <c r="C5265" s="384" t="s">
        <v>76</v>
      </c>
      <c r="D5265" s="385" t="s">
        <v>19474</v>
      </c>
    </row>
    <row r="5266" spans="1:4" x14ac:dyDescent="0.25">
      <c r="A5266" s="384" t="s">
        <v>19475</v>
      </c>
      <c r="B5266" s="384" t="s">
        <v>19476</v>
      </c>
      <c r="C5266" s="384" t="s">
        <v>76</v>
      </c>
      <c r="D5266" s="385" t="s">
        <v>4454</v>
      </c>
    </row>
    <row r="5267" spans="1:4" x14ac:dyDescent="0.25">
      <c r="A5267" s="384" t="s">
        <v>19477</v>
      </c>
      <c r="B5267" s="384" t="s">
        <v>19478</v>
      </c>
      <c r="C5267" s="384" t="s">
        <v>76</v>
      </c>
      <c r="D5267" s="385" t="s">
        <v>19479</v>
      </c>
    </row>
    <row r="5268" spans="1:4" x14ac:dyDescent="0.25">
      <c r="A5268" s="384" t="s">
        <v>19480</v>
      </c>
      <c r="B5268" s="384" t="s">
        <v>19481</v>
      </c>
      <c r="C5268" s="384" t="s">
        <v>76</v>
      </c>
      <c r="D5268" s="385" t="s">
        <v>4706</v>
      </c>
    </row>
    <row r="5269" spans="1:4" x14ac:dyDescent="0.25">
      <c r="A5269" s="384" t="s">
        <v>19482</v>
      </c>
      <c r="B5269" s="384" t="s">
        <v>19483</v>
      </c>
      <c r="C5269" s="384" t="s">
        <v>76</v>
      </c>
      <c r="D5269" s="385" t="s">
        <v>19484</v>
      </c>
    </row>
    <row r="5270" spans="1:4" x14ac:dyDescent="0.25">
      <c r="A5270" s="384" t="s">
        <v>19485</v>
      </c>
      <c r="B5270" s="384" t="s">
        <v>19486</v>
      </c>
      <c r="C5270" s="384" t="s">
        <v>76</v>
      </c>
      <c r="D5270" s="385" t="s">
        <v>5529</v>
      </c>
    </row>
    <row r="5271" spans="1:4" x14ac:dyDescent="0.25">
      <c r="A5271" s="384" t="s">
        <v>19487</v>
      </c>
      <c r="B5271" s="384" t="s">
        <v>19488</v>
      </c>
      <c r="C5271" s="384" t="s">
        <v>76</v>
      </c>
      <c r="D5271" s="385" t="s">
        <v>19489</v>
      </c>
    </row>
    <row r="5272" spans="1:4" x14ac:dyDescent="0.25">
      <c r="A5272" s="384" t="s">
        <v>19490</v>
      </c>
      <c r="B5272" s="384" t="s">
        <v>19491</v>
      </c>
      <c r="C5272" s="384" t="s">
        <v>76</v>
      </c>
      <c r="D5272" s="385" t="s">
        <v>19492</v>
      </c>
    </row>
    <row r="5273" spans="1:4" x14ac:dyDescent="0.25">
      <c r="A5273" s="384" t="s">
        <v>19493</v>
      </c>
      <c r="B5273" s="384" t="s">
        <v>19494</v>
      </c>
      <c r="C5273" s="384" t="s">
        <v>76</v>
      </c>
      <c r="D5273" s="385" t="s">
        <v>4802</v>
      </c>
    </row>
    <row r="5274" spans="1:4" x14ac:dyDescent="0.25">
      <c r="A5274" s="384" t="s">
        <v>19495</v>
      </c>
      <c r="B5274" s="384" t="s">
        <v>19496</v>
      </c>
      <c r="C5274" s="384" t="s">
        <v>76</v>
      </c>
      <c r="D5274" s="385" t="s">
        <v>19497</v>
      </c>
    </row>
    <row r="5275" spans="1:4" x14ac:dyDescent="0.25">
      <c r="A5275" s="384" t="s">
        <v>19498</v>
      </c>
      <c r="B5275" s="384" t="s">
        <v>19499</v>
      </c>
      <c r="C5275" s="384" t="s">
        <v>76</v>
      </c>
      <c r="D5275" s="385" t="s">
        <v>19500</v>
      </c>
    </row>
    <row r="5276" spans="1:4" x14ac:dyDescent="0.25">
      <c r="A5276" s="384" t="s">
        <v>19501</v>
      </c>
      <c r="B5276" s="384" t="s">
        <v>19502</v>
      </c>
      <c r="C5276" s="384" t="s">
        <v>76</v>
      </c>
      <c r="D5276" s="385" t="s">
        <v>12097</v>
      </c>
    </row>
    <row r="5277" spans="1:4" x14ac:dyDescent="0.25">
      <c r="A5277" s="384" t="s">
        <v>19503</v>
      </c>
      <c r="B5277" s="384" t="s">
        <v>19504</v>
      </c>
      <c r="C5277" s="384" t="s">
        <v>76</v>
      </c>
      <c r="D5277" s="385" t="s">
        <v>19505</v>
      </c>
    </row>
    <row r="5278" spans="1:4" x14ac:dyDescent="0.25">
      <c r="A5278" s="384" t="s">
        <v>19506</v>
      </c>
      <c r="B5278" s="384" t="s">
        <v>19507</v>
      </c>
      <c r="C5278" s="384" t="s">
        <v>76</v>
      </c>
      <c r="D5278" s="385" t="s">
        <v>12217</v>
      </c>
    </row>
    <row r="5279" spans="1:4" x14ac:dyDescent="0.25">
      <c r="A5279" s="384" t="s">
        <v>19508</v>
      </c>
      <c r="B5279" s="384" t="s">
        <v>19509</v>
      </c>
      <c r="C5279" s="384" t="s">
        <v>76</v>
      </c>
      <c r="D5279" s="385" t="s">
        <v>15055</v>
      </c>
    </row>
    <row r="5280" spans="1:4" x14ac:dyDescent="0.25">
      <c r="A5280" s="384" t="s">
        <v>19510</v>
      </c>
      <c r="B5280" s="384" t="s">
        <v>19511</v>
      </c>
      <c r="C5280" s="384" t="s">
        <v>76</v>
      </c>
      <c r="D5280" s="385" t="s">
        <v>19512</v>
      </c>
    </row>
    <row r="5281" spans="1:4" x14ac:dyDescent="0.25">
      <c r="A5281" s="384" t="s">
        <v>19513</v>
      </c>
      <c r="B5281" s="384" t="s">
        <v>19514</v>
      </c>
      <c r="C5281" s="384" t="s">
        <v>76</v>
      </c>
      <c r="D5281" s="385" t="s">
        <v>19515</v>
      </c>
    </row>
    <row r="5282" spans="1:4" x14ac:dyDescent="0.25">
      <c r="A5282" s="384" t="s">
        <v>19516</v>
      </c>
      <c r="B5282" s="384" t="s">
        <v>19517</v>
      </c>
      <c r="C5282" s="384" t="s">
        <v>76</v>
      </c>
      <c r="D5282" s="385" t="s">
        <v>7259</v>
      </c>
    </row>
    <row r="5283" spans="1:4" x14ac:dyDescent="0.25">
      <c r="A5283" s="384" t="s">
        <v>19518</v>
      </c>
      <c r="B5283" s="384" t="s">
        <v>19519</v>
      </c>
      <c r="C5283" s="384" t="s">
        <v>76</v>
      </c>
      <c r="D5283" s="385" t="s">
        <v>19520</v>
      </c>
    </row>
    <row r="5284" spans="1:4" x14ac:dyDescent="0.25">
      <c r="A5284" s="384" t="s">
        <v>19521</v>
      </c>
      <c r="B5284" s="384" t="s">
        <v>19522</v>
      </c>
      <c r="C5284" s="384" t="s">
        <v>76</v>
      </c>
      <c r="D5284" s="385" t="s">
        <v>6981</v>
      </c>
    </row>
    <row r="5285" spans="1:4" x14ac:dyDescent="0.25">
      <c r="A5285" s="384" t="s">
        <v>19523</v>
      </c>
      <c r="B5285" s="384" t="s">
        <v>19524</v>
      </c>
      <c r="C5285" s="384" t="s">
        <v>76</v>
      </c>
      <c r="D5285" s="385" t="s">
        <v>18942</v>
      </c>
    </row>
    <row r="5286" spans="1:4" x14ac:dyDescent="0.25">
      <c r="A5286" s="384" t="s">
        <v>19525</v>
      </c>
      <c r="B5286" s="384" t="s">
        <v>19526</v>
      </c>
      <c r="C5286" s="384" t="s">
        <v>76</v>
      </c>
      <c r="D5286" s="385" t="s">
        <v>4700</v>
      </c>
    </row>
    <row r="5287" spans="1:4" x14ac:dyDescent="0.25">
      <c r="A5287" s="384" t="s">
        <v>19527</v>
      </c>
      <c r="B5287" s="384" t="s">
        <v>19528</v>
      </c>
      <c r="C5287" s="384" t="s">
        <v>76</v>
      </c>
      <c r="D5287" s="385" t="s">
        <v>19529</v>
      </c>
    </row>
    <row r="5288" spans="1:4" x14ac:dyDescent="0.25">
      <c r="A5288" s="384" t="s">
        <v>19530</v>
      </c>
      <c r="B5288" s="384" t="s">
        <v>19531</v>
      </c>
      <c r="C5288" s="384" t="s">
        <v>76</v>
      </c>
      <c r="D5288" s="385" t="s">
        <v>19532</v>
      </c>
    </row>
    <row r="5289" spans="1:4" x14ac:dyDescent="0.25">
      <c r="A5289" s="384" t="s">
        <v>19533</v>
      </c>
      <c r="B5289" s="384" t="s">
        <v>19534</v>
      </c>
      <c r="C5289" s="384" t="s">
        <v>76</v>
      </c>
      <c r="D5289" s="385" t="s">
        <v>6024</v>
      </c>
    </row>
    <row r="5290" spans="1:4" x14ac:dyDescent="0.25">
      <c r="A5290" s="384" t="s">
        <v>19535</v>
      </c>
      <c r="B5290" s="384" t="s">
        <v>19536</v>
      </c>
      <c r="C5290" s="384" t="s">
        <v>76</v>
      </c>
      <c r="D5290" s="385" t="s">
        <v>12160</v>
      </c>
    </row>
    <row r="5291" spans="1:4" x14ac:dyDescent="0.25">
      <c r="A5291" s="384" t="s">
        <v>19537</v>
      </c>
      <c r="B5291" s="384" t="s">
        <v>19538</v>
      </c>
      <c r="C5291" s="384" t="s">
        <v>76</v>
      </c>
      <c r="D5291" s="385" t="s">
        <v>19539</v>
      </c>
    </row>
    <row r="5292" spans="1:4" x14ac:dyDescent="0.25">
      <c r="A5292" s="384" t="s">
        <v>19540</v>
      </c>
      <c r="B5292" s="384" t="s">
        <v>19541</v>
      </c>
      <c r="C5292" s="384" t="s">
        <v>76</v>
      </c>
      <c r="D5292" s="385" t="s">
        <v>12214</v>
      </c>
    </row>
    <row r="5293" spans="1:4" x14ac:dyDescent="0.25">
      <c r="A5293" s="384" t="s">
        <v>19542</v>
      </c>
      <c r="B5293" s="384" t="s">
        <v>19543</v>
      </c>
      <c r="C5293" s="384" t="s">
        <v>76</v>
      </c>
      <c r="D5293" s="385" t="s">
        <v>19544</v>
      </c>
    </row>
    <row r="5294" spans="1:4" x14ac:dyDescent="0.25">
      <c r="A5294" s="384" t="s">
        <v>19545</v>
      </c>
      <c r="B5294" s="384" t="s">
        <v>19546</v>
      </c>
      <c r="C5294" s="384" t="s">
        <v>76</v>
      </c>
      <c r="D5294" s="385" t="s">
        <v>18010</v>
      </c>
    </row>
    <row r="5295" spans="1:4" x14ac:dyDescent="0.25">
      <c r="A5295" s="384" t="s">
        <v>19547</v>
      </c>
      <c r="B5295" s="384" t="s">
        <v>19548</v>
      </c>
      <c r="C5295" s="384" t="s">
        <v>76</v>
      </c>
      <c r="D5295" s="385" t="s">
        <v>13919</v>
      </c>
    </row>
    <row r="5296" spans="1:4" x14ac:dyDescent="0.25">
      <c r="A5296" s="384" t="s">
        <v>19549</v>
      </c>
      <c r="B5296" s="384" t="s">
        <v>19550</v>
      </c>
      <c r="C5296" s="384" t="s">
        <v>76</v>
      </c>
      <c r="D5296" s="385" t="s">
        <v>19551</v>
      </c>
    </row>
    <row r="5297" spans="1:4" x14ac:dyDescent="0.25">
      <c r="A5297" s="384" t="s">
        <v>19552</v>
      </c>
      <c r="B5297" s="384" t="s">
        <v>19553</v>
      </c>
      <c r="C5297" s="384" t="s">
        <v>76</v>
      </c>
      <c r="D5297" s="385" t="s">
        <v>5033</v>
      </c>
    </row>
    <row r="5298" spans="1:4" x14ac:dyDescent="0.25">
      <c r="A5298" s="384" t="s">
        <v>19554</v>
      </c>
      <c r="B5298" s="384" t="s">
        <v>19555</v>
      </c>
      <c r="C5298" s="384" t="s">
        <v>76</v>
      </c>
      <c r="D5298" s="385" t="s">
        <v>19556</v>
      </c>
    </row>
    <row r="5299" spans="1:4" x14ac:dyDescent="0.25">
      <c r="A5299" s="384" t="s">
        <v>19557</v>
      </c>
      <c r="B5299" s="384" t="s">
        <v>19558</v>
      </c>
      <c r="C5299" s="384" t="s">
        <v>76</v>
      </c>
      <c r="D5299" s="385" t="s">
        <v>17318</v>
      </c>
    </row>
    <row r="5300" spans="1:4" x14ac:dyDescent="0.25">
      <c r="A5300" s="384" t="s">
        <v>19559</v>
      </c>
      <c r="B5300" s="384" t="s">
        <v>19560</v>
      </c>
      <c r="C5300" s="384" t="s">
        <v>76</v>
      </c>
      <c r="D5300" s="385" t="s">
        <v>16549</v>
      </c>
    </row>
    <row r="5301" spans="1:4" x14ac:dyDescent="0.25">
      <c r="A5301" s="384" t="s">
        <v>19561</v>
      </c>
      <c r="B5301" s="384" t="s">
        <v>19562</v>
      </c>
      <c r="C5301" s="384" t="s">
        <v>76</v>
      </c>
      <c r="D5301" s="385" t="s">
        <v>19563</v>
      </c>
    </row>
    <row r="5302" spans="1:4" x14ac:dyDescent="0.25">
      <c r="A5302" s="384" t="s">
        <v>19564</v>
      </c>
      <c r="B5302" s="384" t="s">
        <v>19565</v>
      </c>
      <c r="C5302" s="384" t="s">
        <v>76</v>
      </c>
      <c r="D5302" s="385" t="s">
        <v>19566</v>
      </c>
    </row>
    <row r="5303" spans="1:4" x14ac:dyDescent="0.25">
      <c r="A5303" s="384" t="s">
        <v>19567</v>
      </c>
      <c r="B5303" s="384" t="s">
        <v>19568</v>
      </c>
      <c r="C5303" s="384" t="s">
        <v>76</v>
      </c>
      <c r="D5303" s="385" t="s">
        <v>19569</v>
      </c>
    </row>
    <row r="5304" spans="1:4" x14ac:dyDescent="0.25">
      <c r="A5304" s="384" t="s">
        <v>19570</v>
      </c>
      <c r="B5304" s="384" t="s">
        <v>19571</v>
      </c>
      <c r="C5304" s="384" t="s">
        <v>76</v>
      </c>
      <c r="D5304" s="385" t="s">
        <v>15662</v>
      </c>
    </row>
    <row r="5305" spans="1:4" x14ac:dyDescent="0.25">
      <c r="A5305" s="384" t="s">
        <v>19572</v>
      </c>
      <c r="B5305" s="384" t="s">
        <v>19573</v>
      </c>
      <c r="C5305" s="384" t="s">
        <v>76</v>
      </c>
      <c r="D5305" s="385" t="s">
        <v>7683</v>
      </c>
    </row>
    <row r="5306" spans="1:4" x14ac:dyDescent="0.25">
      <c r="A5306" s="384" t="s">
        <v>19574</v>
      </c>
      <c r="B5306" s="384" t="s">
        <v>19575</v>
      </c>
      <c r="C5306" s="384" t="s">
        <v>76</v>
      </c>
      <c r="D5306" s="385" t="s">
        <v>7645</v>
      </c>
    </row>
    <row r="5307" spans="1:4" x14ac:dyDescent="0.25">
      <c r="A5307" s="384" t="s">
        <v>19576</v>
      </c>
      <c r="B5307" s="384" t="s">
        <v>19577</v>
      </c>
      <c r="C5307" s="384" t="s">
        <v>76</v>
      </c>
      <c r="D5307" s="385" t="s">
        <v>19578</v>
      </c>
    </row>
    <row r="5308" spans="1:4" x14ac:dyDescent="0.25">
      <c r="A5308" s="384" t="s">
        <v>19579</v>
      </c>
      <c r="B5308" s="384" t="s">
        <v>19580</v>
      </c>
      <c r="C5308" s="384" t="s">
        <v>76</v>
      </c>
      <c r="D5308" s="385" t="s">
        <v>12275</v>
      </c>
    </row>
    <row r="5309" spans="1:4" x14ac:dyDescent="0.25">
      <c r="A5309" s="384" t="s">
        <v>19581</v>
      </c>
      <c r="B5309" s="384" t="s">
        <v>19582</v>
      </c>
      <c r="C5309" s="384" t="s">
        <v>76</v>
      </c>
      <c r="D5309" s="385" t="s">
        <v>15728</v>
      </c>
    </row>
    <row r="5310" spans="1:4" x14ac:dyDescent="0.25">
      <c r="A5310" s="384" t="s">
        <v>19583</v>
      </c>
      <c r="B5310" s="384" t="s">
        <v>19584</v>
      </c>
      <c r="C5310" s="384" t="s">
        <v>76</v>
      </c>
      <c r="D5310" s="385" t="s">
        <v>7259</v>
      </c>
    </row>
    <row r="5311" spans="1:4" x14ac:dyDescent="0.25">
      <c r="A5311" s="384" t="s">
        <v>19585</v>
      </c>
      <c r="B5311" s="384" t="s">
        <v>19586</v>
      </c>
      <c r="C5311" s="384" t="s">
        <v>76</v>
      </c>
      <c r="D5311" s="385" t="s">
        <v>19587</v>
      </c>
    </row>
    <row r="5312" spans="1:4" x14ac:dyDescent="0.25">
      <c r="A5312" s="384" t="s">
        <v>19588</v>
      </c>
      <c r="B5312" s="384" t="s">
        <v>19589</v>
      </c>
      <c r="C5312" s="384" t="s">
        <v>76</v>
      </c>
      <c r="D5312" s="385" t="s">
        <v>5579</v>
      </c>
    </row>
    <row r="5313" spans="1:4" x14ac:dyDescent="0.25">
      <c r="A5313" s="384" t="s">
        <v>19590</v>
      </c>
      <c r="B5313" s="384" t="s">
        <v>19591</v>
      </c>
      <c r="C5313" s="384" t="s">
        <v>76</v>
      </c>
      <c r="D5313" s="385" t="s">
        <v>10468</v>
      </c>
    </row>
    <row r="5314" spans="1:4" x14ac:dyDescent="0.25">
      <c r="A5314" s="384" t="s">
        <v>19592</v>
      </c>
      <c r="B5314" s="384" t="s">
        <v>19593</v>
      </c>
      <c r="C5314" s="384" t="s">
        <v>76</v>
      </c>
      <c r="D5314" s="385" t="s">
        <v>11493</v>
      </c>
    </row>
    <row r="5315" spans="1:4" x14ac:dyDescent="0.25">
      <c r="A5315" s="384" t="s">
        <v>19594</v>
      </c>
      <c r="B5315" s="384" t="s">
        <v>19595</v>
      </c>
      <c r="C5315" s="384" t="s">
        <v>76</v>
      </c>
      <c r="D5315" s="385" t="s">
        <v>19596</v>
      </c>
    </row>
    <row r="5316" spans="1:4" x14ac:dyDescent="0.25">
      <c r="A5316" s="384" t="s">
        <v>19597</v>
      </c>
      <c r="B5316" s="384" t="s">
        <v>19598</v>
      </c>
      <c r="C5316" s="384" t="s">
        <v>76</v>
      </c>
      <c r="D5316" s="385" t="s">
        <v>19599</v>
      </c>
    </row>
    <row r="5317" spans="1:4" x14ac:dyDescent="0.25">
      <c r="A5317" s="384" t="s">
        <v>19600</v>
      </c>
      <c r="B5317" s="384" t="s">
        <v>19601</v>
      </c>
      <c r="C5317" s="384" t="s">
        <v>76</v>
      </c>
      <c r="D5317" s="385" t="s">
        <v>15006</v>
      </c>
    </row>
    <row r="5318" spans="1:4" x14ac:dyDescent="0.25">
      <c r="A5318" s="384" t="s">
        <v>19602</v>
      </c>
      <c r="B5318" s="384" t="s">
        <v>19603</v>
      </c>
      <c r="C5318" s="384" t="s">
        <v>76</v>
      </c>
      <c r="D5318" s="385" t="s">
        <v>6577</v>
      </c>
    </row>
    <row r="5319" spans="1:4" x14ac:dyDescent="0.25">
      <c r="A5319" s="384" t="s">
        <v>19604</v>
      </c>
      <c r="B5319" s="384" t="s">
        <v>19605</v>
      </c>
      <c r="C5319" s="384" t="s">
        <v>76</v>
      </c>
      <c r="D5319" s="385" t="s">
        <v>19606</v>
      </c>
    </row>
    <row r="5320" spans="1:4" x14ac:dyDescent="0.25">
      <c r="A5320" s="384" t="s">
        <v>19607</v>
      </c>
      <c r="B5320" s="384" t="s">
        <v>19608</v>
      </c>
      <c r="C5320" s="384" t="s">
        <v>76</v>
      </c>
      <c r="D5320" s="385" t="s">
        <v>19609</v>
      </c>
    </row>
    <row r="5321" spans="1:4" x14ac:dyDescent="0.25">
      <c r="A5321" s="384" t="s">
        <v>19610</v>
      </c>
      <c r="B5321" s="384" t="s">
        <v>19611</v>
      </c>
      <c r="C5321" s="384" t="s">
        <v>76</v>
      </c>
      <c r="D5321" s="385" t="s">
        <v>19612</v>
      </c>
    </row>
    <row r="5322" spans="1:4" x14ac:dyDescent="0.25">
      <c r="A5322" s="384" t="s">
        <v>19613</v>
      </c>
      <c r="B5322" s="384" t="s">
        <v>19614</v>
      </c>
      <c r="C5322" s="384" t="s">
        <v>76</v>
      </c>
      <c r="D5322" s="385" t="s">
        <v>12646</v>
      </c>
    </row>
    <row r="5323" spans="1:4" x14ac:dyDescent="0.25">
      <c r="A5323" s="384" t="s">
        <v>19615</v>
      </c>
      <c r="B5323" s="384" t="s">
        <v>19616</v>
      </c>
      <c r="C5323" s="384" t="s">
        <v>76</v>
      </c>
      <c r="D5323" s="385" t="s">
        <v>11981</v>
      </c>
    </row>
    <row r="5324" spans="1:4" x14ac:dyDescent="0.25">
      <c r="A5324" s="384" t="s">
        <v>19617</v>
      </c>
      <c r="B5324" s="384" t="s">
        <v>19618</v>
      </c>
      <c r="C5324" s="384" t="s">
        <v>76</v>
      </c>
      <c r="D5324" s="385" t="s">
        <v>14664</v>
      </c>
    </row>
    <row r="5325" spans="1:4" x14ac:dyDescent="0.25">
      <c r="A5325" s="384" t="s">
        <v>19619</v>
      </c>
      <c r="B5325" s="384" t="s">
        <v>19620</v>
      </c>
      <c r="C5325" s="384" t="s">
        <v>76</v>
      </c>
      <c r="D5325" s="385" t="s">
        <v>19621</v>
      </c>
    </row>
    <row r="5326" spans="1:4" x14ac:dyDescent="0.25">
      <c r="A5326" s="384" t="s">
        <v>19622</v>
      </c>
      <c r="B5326" s="384" t="s">
        <v>19623</v>
      </c>
      <c r="C5326" s="384" t="s">
        <v>76</v>
      </c>
      <c r="D5326" s="385" t="s">
        <v>19624</v>
      </c>
    </row>
    <row r="5327" spans="1:4" x14ac:dyDescent="0.25">
      <c r="A5327" s="384" t="s">
        <v>19625</v>
      </c>
      <c r="B5327" s="384" t="s">
        <v>19626</v>
      </c>
      <c r="C5327" s="384" t="s">
        <v>76</v>
      </c>
      <c r="D5327" s="385" t="s">
        <v>16098</v>
      </c>
    </row>
    <row r="5328" spans="1:4" x14ac:dyDescent="0.25">
      <c r="A5328" s="384" t="s">
        <v>19627</v>
      </c>
      <c r="B5328" s="384" t="s">
        <v>19628</v>
      </c>
      <c r="C5328" s="384" t="s">
        <v>76</v>
      </c>
      <c r="D5328" s="385" t="s">
        <v>19629</v>
      </c>
    </row>
    <row r="5329" spans="1:4" x14ac:dyDescent="0.25">
      <c r="A5329" s="384" t="s">
        <v>19630</v>
      </c>
      <c r="B5329" s="384" t="s">
        <v>19631</v>
      </c>
      <c r="C5329" s="384" t="s">
        <v>76</v>
      </c>
      <c r="D5329" s="385" t="s">
        <v>19632</v>
      </c>
    </row>
    <row r="5330" spans="1:4" x14ac:dyDescent="0.25">
      <c r="A5330" s="384" t="s">
        <v>19633</v>
      </c>
      <c r="B5330" s="384" t="s">
        <v>19634</v>
      </c>
      <c r="C5330" s="384" t="s">
        <v>76</v>
      </c>
      <c r="D5330" s="385" t="s">
        <v>19635</v>
      </c>
    </row>
    <row r="5331" spans="1:4" x14ac:dyDescent="0.25">
      <c r="A5331" s="384" t="s">
        <v>19636</v>
      </c>
      <c r="B5331" s="384" t="s">
        <v>19637</v>
      </c>
      <c r="C5331" s="384" t="s">
        <v>76</v>
      </c>
      <c r="D5331" s="385" t="s">
        <v>19638</v>
      </c>
    </row>
    <row r="5332" spans="1:4" x14ac:dyDescent="0.25">
      <c r="A5332" s="384" t="s">
        <v>19639</v>
      </c>
      <c r="B5332" s="384" t="s">
        <v>19640</v>
      </c>
      <c r="C5332" s="384" t="s">
        <v>76</v>
      </c>
      <c r="D5332" s="385" t="s">
        <v>19641</v>
      </c>
    </row>
    <row r="5333" spans="1:4" x14ac:dyDescent="0.25">
      <c r="A5333" s="384" t="s">
        <v>19642</v>
      </c>
      <c r="B5333" s="384" t="s">
        <v>19643</v>
      </c>
      <c r="C5333" s="384" t="s">
        <v>76</v>
      </c>
      <c r="D5333" s="385" t="s">
        <v>19644</v>
      </c>
    </row>
    <row r="5334" spans="1:4" x14ac:dyDescent="0.25">
      <c r="A5334" s="384" t="s">
        <v>19645</v>
      </c>
      <c r="B5334" s="384" t="s">
        <v>19646</v>
      </c>
      <c r="C5334" s="384" t="s">
        <v>76</v>
      </c>
      <c r="D5334" s="385" t="s">
        <v>19647</v>
      </c>
    </row>
    <row r="5335" spans="1:4" x14ac:dyDescent="0.25">
      <c r="A5335" s="384" t="s">
        <v>19648</v>
      </c>
      <c r="B5335" s="384" t="s">
        <v>19649</v>
      </c>
      <c r="C5335" s="384" t="s">
        <v>76</v>
      </c>
      <c r="D5335" s="385" t="s">
        <v>19650</v>
      </c>
    </row>
    <row r="5336" spans="1:4" x14ac:dyDescent="0.25">
      <c r="A5336" s="384" t="s">
        <v>19651</v>
      </c>
      <c r="B5336" s="384" t="s">
        <v>19652</v>
      </c>
      <c r="C5336" s="384" t="s">
        <v>76</v>
      </c>
      <c r="D5336" s="385" t="s">
        <v>7671</v>
      </c>
    </row>
    <row r="5337" spans="1:4" x14ac:dyDescent="0.25">
      <c r="A5337" s="384" t="s">
        <v>19653</v>
      </c>
      <c r="B5337" s="384" t="s">
        <v>19654</v>
      </c>
      <c r="C5337" s="384" t="s">
        <v>76</v>
      </c>
      <c r="D5337" s="385" t="s">
        <v>19655</v>
      </c>
    </row>
    <row r="5338" spans="1:4" x14ac:dyDescent="0.25">
      <c r="A5338" s="384" t="s">
        <v>19656</v>
      </c>
      <c r="B5338" s="384" t="s">
        <v>19657</v>
      </c>
      <c r="C5338" s="384" t="s">
        <v>76</v>
      </c>
      <c r="D5338" s="385" t="s">
        <v>19658</v>
      </c>
    </row>
    <row r="5339" spans="1:4" x14ac:dyDescent="0.25">
      <c r="A5339" s="384" t="s">
        <v>19659</v>
      </c>
      <c r="B5339" s="384" t="s">
        <v>19660</v>
      </c>
      <c r="C5339" s="384" t="s">
        <v>76</v>
      </c>
      <c r="D5339" s="385" t="s">
        <v>19661</v>
      </c>
    </row>
    <row r="5340" spans="1:4" x14ac:dyDescent="0.25">
      <c r="A5340" s="384" t="s">
        <v>19662</v>
      </c>
      <c r="B5340" s="384" t="s">
        <v>19663</v>
      </c>
      <c r="C5340" s="384" t="s">
        <v>76</v>
      </c>
      <c r="D5340" s="385" t="s">
        <v>19664</v>
      </c>
    </row>
    <row r="5341" spans="1:4" x14ac:dyDescent="0.25">
      <c r="A5341" s="384" t="s">
        <v>19665</v>
      </c>
      <c r="B5341" s="384" t="s">
        <v>19666</v>
      </c>
      <c r="C5341" s="384" t="s">
        <v>76</v>
      </c>
      <c r="D5341" s="385" t="s">
        <v>19667</v>
      </c>
    </row>
    <row r="5342" spans="1:4" x14ac:dyDescent="0.25">
      <c r="A5342" s="384" t="s">
        <v>19668</v>
      </c>
      <c r="B5342" s="384" t="s">
        <v>19669</v>
      </c>
      <c r="C5342" s="384" t="s">
        <v>76</v>
      </c>
      <c r="D5342" s="385" t="s">
        <v>19670</v>
      </c>
    </row>
    <row r="5343" spans="1:4" x14ac:dyDescent="0.25">
      <c r="A5343" s="384" t="s">
        <v>19671</v>
      </c>
      <c r="B5343" s="384" t="s">
        <v>19672</v>
      </c>
      <c r="C5343" s="384" t="s">
        <v>76</v>
      </c>
      <c r="D5343" s="385" t="s">
        <v>7385</v>
      </c>
    </row>
    <row r="5344" spans="1:4" x14ac:dyDescent="0.25">
      <c r="A5344" s="384" t="s">
        <v>19673</v>
      </c>
      <c r="B5344" s="384" t="s">
        <v>19674</v>
      </c>
      <c r="C5344" s="384" t="s">
        <v>76</v>
      </c>
      <c r="D5344" s="385" t="s">
        <v>19675</v>
      </c>
    </row>
    <row r="5345" spans="1:4" x14ac:dyDescent="0.25">
      <c r="A5345" s="384" t="s">
        <v>19676</v>
      </c>
      <c r="B5345" s="384" t="s">
        <v>19677</v>
      </c>
      <c r="C5345" s="384" t="s">
        <v>76</v>
      </c>
      <c r="D5345" s="385" t="s">
        <v>19678</v>
      </c>
    </row>
    <row r="5346" spans="1:4" x14ac:dyDescent="0.25">
      <c r="A5346" s="384" t="s">
        <v>19679</v>
      </c>
      <c r="B5346" s="384" t="s">
        <v>19680</v>
      </c>
      <c r="C5346" s="384" t="s">
        <v>76</v>
      </c>
      <c r="D5346" s="385" t="s">
        <v>19681</v>
      </c>
    </row>
    <row r="5347" spans="1:4" x14ac:dyDescent="0.25">
      <c r="A5347" s="384" t="s">
        <v>19682</v>
      </c>
      <c r="B5347" s="384" t="s">
        <v>19683</v>
      </c>
      <c r="C5347" s="384" t="s">
        <v>76</v>
      </c>
      <c r="D5347" s="385" t="s">
        <v>11262</v>
      </c>
    </row>
    <row r="5348" spans="1:4" x14ac:dyDescent="0.25">
      <c r="A5348" s="384" t="s">
        <v>19684</v>
      </c>
      <c r="B5348" s="384" t="s">
        <v>19685</v>
      </c>
      <c r="C5348" s="384" t="s">
        <v>76</v>
      </c>
      <c r="D5348" s="385" t="s">
        <v>7220</v>
      </c>
    </row>
    <row r="5349" spans="1:4" x14ac:dyDescent="0.25">
      <c r="A5349" s="384" t="s">
        <v>19686</v>
      </c>
      <c r="B5349" s="384" t="s">
        <v>19687</v>
      </c>
      <c r="C5349" s="384" t="s">
        <v>76</v>
      </c>
      <c r="D5349" s="385" t="s">
        <v>13435</v>
      </c>
    </row>
    <row r="5350" spans="1:4" x14ac:dyDescent="0.25">
      <c r="A5350" s="384" t="s">
        <v>19688</v>
      </c>
      <c r="B5350" s="384" t="s">
        <v>19689</v>
      </c>
      <c r="C5350" s="384" t="s">
        <v>76</v>
      </c>
      <c r="D5350" s="385" t="s">
        <v>19690</v>
      </c>
    </row>
    <row r="5351" spans="1:4" x14ac:dyDescent="0.25">
      <c r="A5351" s="384" t="s">
        <v>19691</v>
      </c>
      <c r="B5351" s="384" t="s">
        <v>19692</v>
      </c>
      <c r="C5351" s="384" t="s">
        <v>76</v>
      </c>
      <c r="D5351" s="385" t="s">
        <v>19693</v>
      </c>
    </row>
    <row r="5352" spans="1:4" x14ac:dyDescent="0.25">
      <c r="A5352" s="384" t="s">
        <v>19694</v>
      </c>
      <c r="B5352" s="384" t="s">
        <v>19695</v>
      </c>
      <c r="C5352" s="384" t="s">
        <v>76</v>
      </c>
      <c r="D5352" s="385" t="s">
        <v>12359</v>
      </c>
    </row>
    <row r="5353" spans="1:4" x14ac:dyDescent="0.25">
      <c r="A5353" s="384" t="s">
        <v>19696</v>
      </c>
      <c r="B5353" s="384" t="s">
        <v>19697</v>
      </c>
      <c r="C5353" s="384" t="s">
        <v>76</v>
      </c>
      <c r="D5353" s="385" t="s">
        <v>11257</v>
      </c>
    </row>
    <row r="5354" spans="1:4" x14ac:dyDescent="0.25">
      <c r="A5354" s="384" t="s">
        <v>19698</v>
      </c>
      <c r="B5354" s="384" t="s">
        <v>19699</v>
      </c>
      <c r="C5354" s="384" t="s">
        <v>76</v>
      </c>
      <c r="D5354" s="385" t="s">
        <v>12891</v>
      </c>
    </row>
    <row r="5355" spans="1:4" x14ac:dyDescent="0.25">
      <c r="A5355" s="384" t="s">
        <v>19700</v>
      </c>
      <c r="B5355" s="384" t="s">
        <v>19701</v>
      </c>
      <c r="C5355" s="384" t="s">
        <v>76</v>
      </c>
      <c r="D5355" s="385" t="s">
        <v>17174</v>
      </c>
    </row>
    <row r="5356" spans="1:4" x14ac:dyDescent="0.25">
      <c r="A5356" s="384" t="s">
        <v>19702</v>
      </c>
      <c r="B5356" s="384" t="s">
        <v>19703</v>
      </c>
      <c r="C5356" s="384" t="s">
        <v>76</v>
      </c>
      <c r="D5356" s="385" t="s">
        <v>12124</v>
      </c>
    </row>
    <row r="5357" spans="1:4" x14ac:dyDescent="0.25">
      <c r="A5357" s="384" t="s">
        <v>19704</v>
      </c>
      <c r="B5357" s="384" t="s">
        <v>19705</v>
      </c>
      <c r="C5357" s="384" t="s">
        <v>76</v>
      </c>
      <c r="D5357" s="385" t="s">
        <v>13891</v>
      </c>
    </row>
    <row r="5358" spans="1:4" x14ac:dyDescent="0.25">
      <c r="A5358" s="384" t="s">
        <v>19706</v>
      </c>
      <c r="B5358" s="384" t="s">
        <v>19707</v>
      </c>
      <c r="C5358" s="384" t="s">
        <v>76</v>
      </c>
      <c r="D5358" s="385" t="s">
        <v>19708</v>
      </c>
    </row>
    <row r="5359" spans="1:4" x14ac:dyDescent="0.25">
      <c r="A5359" s="384" t="s">
        <v>19709</v>
      </c>
      <c r="B5359" s="384" t="s">
        <v>19710</v>
      </c>
      <c r="C5359" s="384" t="s">
        <v>76</v>
      </c>
      <c r="D5359" s="385" t="s">
        <v>19711</v>
      </c>
    </row>
    <row r="5360" spans="1:4" x14ac:dyDescent="0.25">
      <c r="A5360" s="384" t="s">
        <v>19712</v>
      </c>
      <c r="B5360" s="384" t="s">
        <v>19713</v>
      </c>
      <c r="C5360" s="384" t="s">
        <v>76</v>
      </c>
      <c r="D5360" s="385" t="s">
        <v>5042</v>
      </c>
    </row>
    <row r="5361" spans="1:4" x14ac:dyDescent="0.25">
      <c r="A5361" s="384" t="s">
        <v>19714</v>
      </c>
      <c r="B5361" s="384" t="s">
        <v>19715</v>
      </c>
      <c r="C5361" s="384" t="s">
        <v>76</v>
      </c>
      <c r="D5361" s="385" t="s">
        <v>19329</v>
      </c>
    </row>
    <row r="5362" spans="1:4" x14ac:dyDescent="0.25">
      <c r="A5362" s="384" t="s">
        <v>19716</v>
      </c>
      <c r="B5362" s="384" t="s">
        <v>19717</v>
      </c>
      <c r="C5362" s="384" t="s">
        <v>76</v>
      </c>
      <c r="D5362" s="385" t="s">
        <v>5728</v>
      </c>
    </row>
    <row r="5363" spans="1:4" x14ac:dyDescent="0.25">
      <c r="A5363" s="384" t="s">
        <v>19718</v>
      </c>
      <c r="B5363" s="384" t="s">
        <v>19719</v>
      </c>
      <c r="C5363" s="384" t="s">
        <v>76</v>
      </c>
      <c r="D5363" s="385" t="s">
        <v>19720</v>
      </c>
    </row>
    <row r="5364" spans="1:4" x14ac:dyDescent="0.25">
      <c r="A5364" s="384" t="s">
        <v>19721</v>
      </c>
      <c r="B5364" s="384" t="s">
        <v>19722</v>
      </c>
      <c r="C5364" s="384" t="s">
        <v>76</v>
      </c>
      <c r="D5364" s="385" t="s">
        <v>15168</v>
      </c>
    </row>
    <row r="5365" spans="1:4" x14ac:dyDescent="0.25">
      <c r="A5365" s="384" t="s">
        <v>19723</v>
      </c>
      <c r="B5365" s="384" t="s">
        <v>19724</v>
      </c>
      <c r="C5365" s="384" t="s">
        <v>76</v>
      </c>
      <c r="D5365" s="385" t="s">
        <v>19725</v>
      </c>
    </row>
    <row r="5366" spans="1:4" x14ac:dyDescent="0.25">
      <c r="A5366" s="384" t="s">
        <v>19726</v>
      </c>
      <c r="B5366" s="384" t="s">
        <v>19727</v>
      </c>
      <c r="C5366" s="384" t="s">
        <v>76</v>
      </c>
      <c r="D5366" s="385" t="s">
        <v>19728</v>
      </c>
    </row>
    <row r="5367" spans="1:4" x14ac:dyDescent="0.25">
      <c r="A5367" s="384" t="s">
        <v>19729</v>
      </c>
      <c r="B5367" s="384" t="s">
        <v>19730</v>
      </c>
      <c r="C5367" s="384" t="s">
        <v>76</v>
      </c>
      <c r="D5367" s="385" t="s">
        <v>15483</v>
      </c>
    </row>
    <row r="5368" spans="1:4" x14ac:dyDescent="0.25">
      <c r="A5368" s="384" t="s">
        <v>19731</v>
      </c>
      <c r="B5368" s="384" t="s">
        <v>19732</v>
      </c>
      <c r="C5368" s="384" t="s">
        <v>76</v>
      </c>
      <c r="D5368" s="385" t="s">
        <v>19733</v>
      </c>
    </row>
    <row r="5369" spans="1:4" x14ac:dyDescent="0.25">
      <c r="A5369" s="384" t="s">
        <v>19734</v>
      </c>
      <c r="B5369" s="384" t="s">
        <v>19735</v>
      </c>
      <c r="C5369" s="384" t="s">
        <v>19736</v>
      </c>
      <c r="D5369" s="385" t="s">
        <v>19737</v>
      </c>
    </row>
    <row r="5370" spans="1:4" x14ac:dyDescent="0.25">
      <c r="A5370" s="384" t="s">
        <v>19738</v>
      </c>
      <c r="B5370" s="384" t="s">
        <v>19739</v>
      </c>
      <c r="C5370" s="384" t="s">
        <v>19736</v>
      </c>
      <c r="D5370" s="385" t="s">
        <v>19740</v>
      </c>
    </row>
    <row r="5371" spans="1:4" x14ac:dyDescent="0.25">
      <c r="A5371" s="384" t="s">
        <v>19741</v>
      </c>
      <c r="B5371" s="384" t="s">
        <v>19742</v>
      </c>
      <c r="C5371" s="384" t="s">
        <v>19736</v>
      </c>
      <c r="D5371" s="385" t="s">
        <v>6850</v>
      </c>
    </row>
    <row r="5372" spans="1:4" x14ac:dyDescent="0.25">
      <c r="A5372" s="384" t="s">
        <v>19743</v>
      </c>
      <c r="B5372" s="384" t="s">
        <v>19744</v>
      </c>
      <c r="C5372" s="384" t="s">
        <v>19736</v>
      </c>
      <c r="D5372" s="385" t="s">
        <v>7262</v>
      </c>
    </row>
    <row r="5373" spans="1:4" x14ac:dyDescent="0.25">
      <c r="A5373" s="384" t="s">
        <v>19745</v>
      </c>
      <c r="B5373" s="384" t="s">
        <v>19746</v>
      </c>
      <c r="C5373" s="384" t="s">
        <v>2884</v>
      </c>
      <c r="D5373" s="385" t="s">
        <v>19747</v>
      </c>
    </row>
    <row r="5374" spans="1:4" x14ac:dyDescent="0.25">
      <c r="A5374" s="384" t="s">
        <v>19748</v>
      </c>
      <c r="B5374" s="384" t="s">
        <v>19749</v>
      </c>
      <c r="C5374" s="384" t="s">
        <v>2884</v>
      </c>
      <c r="D5374" s="385" t="s">
        <v>19750</v>
      </c>
    </row>
    <row r="5375" spans="1:4" x14ac:dyDescent="0.25">
      <c r="A5375" s="384" t="s">
        <v>19751</v>
      </c>
      <c r="B5375" s="384" t="s">
        <v>19752</v>
      </c>
      <c r="C5375" s="384" t="s">
        <v>76</v>
      </c>
      <c r="D5375" s="385" t="s">
        <v>19753</v>
      </c>
    </row>
    <row r="5376" spans="1:4" x14ac:dyDescent="0.25">
      <c r="A5376" s="384" t="s">
        <v>19754</v>
      </c>
      <c r="B5376" s="384" t="s">
        <v>19755</v>
      </c>
      <c r="C5376" s="384" t="s">
        <v>76</v>
      </c>
      <c r="D5376" s="385" t="s">
        <v>19756</v>
      </c>
    </row>
    <row r="5377" spans="1:4" x14ac:dyDescent="0.25">
      <c r="A5377" s="384" t="s">
        <v>19757</v>
      </c>
      <c r="B5377" s="384" t="s">
        <v>19758</v>
      </c>
      <c r="C5377" s="384" t="s">
        <v>76</v>
      </c>
      <c r="D5377" s="385" t="s">
        <v>19759</v>
      </c>
    </row>
    <row r="5378" spans="1:4" x14ac:dyDescent="0.25">
      <c r="A5378" s="384" t="s">
        <v>19760</v>
      </c>
      <c r="B5378" s="384" t="s">
        <v>19761</v>
      </c>
      <c r="C5378" s="384" t="s">
        <v>76</v>
      </c>
      <c r="D5378" s="385" t="s">
        <v>19762</v>
      </c>
    </row>
    <row r="5379" spans="1:4" x14ac:dyDescent="0.25">
      <c r="A5379" s="384" t="s">
        <v>19763</v>
      </c>
      <c r="B5379" s="384" t="s">
        <v>19764</v>
      </c>
      <c r="C5379" s="384" t="s">
        <v>76</v>
      </c>
      <c r="D5379" s="385" t="s">
        <v>19765</v>
      </c>
    </row>
    <row r="5380" spans="1:4" x14ac:dyDescent="0.25">
      <c r="A5380" s="384" t="s">
        <v>19766</v>
      </c>
      <c r="B5380" s="384" t="s">
        <v>19767</v>
      </c>
      <c r="C5380" s="384" t="s">
        <v>76</v>
      </c>
      <c r="D5380" s="385" t="s">
        <v>19768</v>
      </c>
    </row>
    <row r="5381" spans="1:4" x14ac:dyDescent="0.25">
      <c r="A5381" s="384" t="s">
        <v>19769</v>
      </c>
      <c r="B5381" s="384" t="s">
        <v>19770</v>
      </c>
      <c r="C5381" s="384" t="s">
        <v>76</v>
      </c>
      <c r="D5381" s="385" t="s">
        <v>19771</v>
      </c>
    </row>
    <row r="5382" spans="1:4" x14ac:dyDescent="0.25">
      <c r="A5382" s="384" t="s">
        <v>19772</v>
      </c>
      <c r="B5382" s="384" t="s">
        <v>19773</v>
      </c>
      <c r="C5382" s="384" t="s">
        <v>76</v>
      </c>
      <c r="D5382" s="385" t="s">
        <v>19774</v>
      </c>
    </row>
    <row r="5383" spans="1:4" x14ac:dyDescent="0.25">
      <c r="A5383" s="384" t="s">
        <v>19775</v>
      </c>
      <c r="B5383" s="384" t="s">
        <v>19776</v>
      </c>
      <c r="C5383" s="384" t="s">
        <v>76</v>
      </c>
      <c r="D5383" s="385" t="s">
        <v>6469</v>
      </c>
    </row>
    <row r="5384" spans="1:4" x14ac:dyDescent="0.25">
      <c r="A5384" s="384" t="s">
        <v>19777</v>
      </c>
      <c r="B5384" s="384" t="s">
        <v>19778</v>
      </c>
      <c r="C5384" s="384" t="s">
        <v>2884</v>
      </c>
      <c r="D5384" s="385" t="s">
        <v>19779</v>
      </c>
    </row>
    <row r="5385" spans="1:4" x14ac:dyDescent="0.25">
      <c r="A5385" s="384" t="s">
        <v>19780</v>
      </c>
      <c r="B5385" s="384" t="s">
        <v>19781</v>
      </c>
      <c r="C5385" s="384" t="s">
        <v>2884</v>
      </c>
      <c r="D5385" s="385" t="s">
        <v>19782</v>
      </c>
    </row>
    <row r="5386" spans="1:4" x14ac:dyDescent="0.25">
      <c r="A5386" s="384" t="s">
        <v>19783</v>
      </c>
      <c r="B5386" s="384" t="s">
        <v>19784</v>
      </c>
      <c r="C5386" s="384" t="s">
        <v>2884</v>
      </c>
      <c r="D5386" s="385" t="s">
        <v>19785</v>
      </c>
    </row>
    <row r="5387" spans="1:4" x14ac:dyDescent="0.25">
      <c r="A5387" s="384" t="s">
        <v>19786</v>
      </c>
      <c r="B5387" s="384" t="s">
        <v>19787</v>
      </c>
      <c r="C5387" s="384" t="s">
        <v>2884</v>
      </c>
      <c r="D5387" s="385" t="s">
        <v>19788</v>
      </c>
    </row>
    <row r="5388" spans="1:4" x14ac:dyDescent="0.25">
      <c r="A5388" s="384" t="s">
        <v>19789</v>
      </c>
      <c r="B5388" s="384" t="s">
        <v>19790</v>
      </c>
      <c r="C5388" s="384" t="s">
        <v>2884</v>
      </c>
      <c r="D5388" s="385" t="s">
        <v>19791</v>
      </c>
    </row>
    <row r="5389" spans="1:4" x14ac:dyDescent="0.25">
      <c r="A5389" s="384" t="s">
        <v>19792</v>
      </c>
      <c r="B5389" s="384" t="s">
        <v>19793</v>
      </c>
      <c r="C5389" s="384" t="s">
        <v>2884</v>
      </c>
      <c r="D5389" s="385" t="s">
        <v>19794</v>
      </c>
    </row>
    <row r="5390" spans="1:4" x14ac:dyDescent="0.25">
      <c r="A5390" s="384" t="s">
        <v>19795</v>
      </c>
      <c r="B5390" s="384" t="s">
        <v>19796</v>
      </c>
      <c r="C5390" s="384" t="s">
        <v>2884</v>
      </c>
      <c r="D5390" s="385" t="s">
        <v>19797</v>
      </c>
    </row>
    <row r="5391" spans="1:4" x14ac:dyDescent="0.25">
      <c r="A5391" s="384" t="s">
        <v>19798</v>
      </c>
      <c r="B5391" s="384" t="s">
        <v>19799</v>
      </c>
      <c r="C5391" s="384" t="s">
        <v>2884</v>
      </c>
      <c r="D5391" s="385" t="s">
        <v>19800</v>
      </c>
    </row>
    <row r="5392" spans="1:4" x14ac:dyDescent="0.25">
      <c r="A5392" s="384" t="s">
        <v>19801</v>
      </c>
      <c r="B5392" s="384" t="s">
        <v>19802</v>
      </c>
      <c r="C5392" s="384" t="s">
        <v>2884</v>
      </c>
      <c r="D5392" s="385" t="s">
        <v>17715</v>
      </c>
    </row>
    <row r="5393" spans="1:4" x14ac:dyDescent="0.25">
      <c r="A5393" s="384" t="s">
        <v>19803</v>
      </c>
      <c r="B5393" s="384" t="s">
        <v>19804</v>
      </c>
      <c r="C5393" s="384" t="s">
        <v>2884</v>
      </c>
      <c r="D5393" s="385" t="s">
        <v>19805</v>
      </c>
    </row>
    <row r="5394" spans="1:4" x14ac:dyDescent="0.25">
      <c r="A5394" s="384" t="s">
        <v>19806</v>
      </c>
      <c r="B5394" s="384" t="s">
        <v>19807</v>
      </c>
      <c r="C5394" s="384" t="s">
        <v>2884</v>
      </c>
      <c r="D5394" s="385" t="s">
        <v>19808</v>
      </c>
    </row>
    <row r="5395" spans="1:4" x14ac:dyDescent="0.25">
      <c r="A5395" s="384" t="s">
        <v>19809</v>
      </c>
      <c r="B5395" s="384" t="s">
        <v>19810</v>
      </c>
      <c r="C5395" s="384" t="s">
        <v>2884</v>
      </c>
      <c r="D5395" s="385" t="s">
        <v>19811</v>
      </c>
    </row>
    <row r="5396" spans="1:4" x14ac:dyDescent="0.25">
      <c r="A5396" s="384" t="s">
        <v>19812</v>
      </c>
      <c r="B5396" s="384" t="s">
        <v>19813</v>
      </c>
      <c r="C5396" s="384" t="s">
        <v>2884</v>
      </c>
      <c r="D5396" s="385" t="s">
        <v>19814</v>
      </c>
    </row>
    <row r="5397" spans="1:4" x14ac:dyDescent="0.25">
      <c r="A5397" s="384" t="s">
        <v>19815</v>
      </c>
      <c r="B5397" s="384" t="s">
        <v>19816</v>
      </c>
      <c r="C5397" s="384" t="s">
        <v>2884</v>
      </c>
      <c r="D5397" s="385" t="s">
        <v>19817</v>
      </c>
    </row>
    <row r="5398" spans="1:4" x14ac:dyDescent="0.25">
      <c r="A5398" s="384" t="s">
        <v>19818</v>
      </c>
      <c r="B5398" s="384" t="s">
        <v>19819</v>
      </c>
      <c r="C5398" s="384" t="s">
        <v>2884</v>
      </c>
      <c r="D5398" s="385" t="s">
        <v>19820</v>
      </c>
    </row>
    <row r="5399" spans="1:4" x14ac:dyDescent="0.25">
      <c r="A5399" s="384" t="s">
        <v>19821</v>
      </c>
      <c r="B5399" s="384" t="s">
        <v>19822</v>
      </c>
      <c r="C5399" s="384" t="s">
        <v>2884</v>
      </c>
      <c r="D5399" s="385" t="s">
        <v>19823</v>
      </c>
    </row>
    <row r="5400" spans="1:4" x14ac:dyDescent="0.25">
      <c r="A5400" s="384" t="s">
        <v>19824</v>
      </c>
      <c r="B5400" s="384" t="s">
        <v>19825</v>
      </c>
      <c r="C5400" s="384" t="s">
        <v>2884</v>
      </c>
      <c r="D5400" s="385" t="s">
        <v>19826</v>
      </c>
    </row>
    <row r="5401" spans="1:4" x14ac:dyDescent="0.25">
      <c r="A5401" s="384" t="s">
        <v>19827</v>
      </c>
      <c r="B5401" s="384" t="s">
        <v>19828</v>
      </c>
      <c r="C5401" s="384" t="s">
        <v>2884</v>
      </c>
      <c r="D5401" s="385" t="s">
        <v>19829</v>
      </c>
    </row>
    <row r="5402" spans="1:4" x14ac:dyDescent="0.25">
      <c r="A5402" s="384" t="s">
        <v>19830</v>
      </c>
      <c r="B5402" s="384" t="s">
        <v>19831</v>
      </c>
      <c r="C5402" s="384" t="s">
        <v>2884</v>
      </c>
      <c r="D5402" s="385" t="s">
        <v>19832</v>
      </c>
    </row>
    <row r="5403" spans="1:4" x14ac:dyDescent="0.25">
      <c r="A5403" s="384" t="s">
        <v>19833</v>
      </c>
      <c r="B5403" s="384" t="s">
        <v>19834</v>
      </c>
      <c r="C5403" s="384" t="s">
        <v>2884</v>
      </c>
      <c r="D5403" s="385" t="s">
        <v>13211</v>
      </c>
    </row>
    <row r="5404" spans="1:4" x14ac:dyDescent="0.25">
      <c r="A5404" s="384" t="s">
        <v>19835</v>
      </c>
      <c r="B5404" s="384" t="s">
        <v>19836</v>
      </c>
      <c r="C5404" s="384" t="s">
        <v>2884</v>
      </c>
      <c r="D5404" s="385" t="s">
        <v>19837</v>
      </c>
    </row>
    <row r="5405" spans="1:4" x14ac:dyDescent="0.25">
      <c r="A5405" s="384" t="s">
        <v>19838</v>
      </c>
      <c r="B5405" s="384" t="s">
        <v>19839</v>
      </c>
      <c r="C5405" s="384" t="s">
        <v>2884</v>
      </c>
      <c r="D5405" s="385" t="s">
        <v>19840</v>
      </c>
    </row>
    <row r="5406" spans="1:4" x14ac:dyDescent="0.25">
      <c r="A5406" s="384" t="s">
        <v>19841</v>
      </c>
      <c r="B5406" s="384" t="s">
        <v>19842</v>
      </c>
      <c r="C5406" s="384" t="s">
        <v>2884</v>
      </c>
      <c r="D5406" s="385" t="s">
        <v>9379</v>
      </c>
    </row>
    <row r="5407" spans="1:4" x14ac:dyDescent="0.25">
      <c r="A5407" s="384" t="s">
        <v>19843</v>
      </c>
      <c r="B5407" s="384" t="s">
        <v>19844</v>
      </c>
      <c r="C5407" s="384" t="s">
        <v>2884</v>
      </c>
      <c r="D5407" s="385" t="s">
        <v>19845</v>
      </c>
    </row>
    <row r="5408" spans="1:4" x14ac:dyDescent="0.25">
      <c r="A5408" s="384" t="s">
        <v>19846</v>
      </c>
      <c r="B5408" s="384" t="s">
        <v>19847</v>
      </c>
      <c r="C5408" s="384" t="s">
        <v>2884</v>
      </c>
      <c r="D5408" s="385" t="s">
        <v>19848</v>
      </c>
    </row>
    <row r="5409" spans="1:4" x14ac:dyDescent="0.25">
      <c r="A5409" s="384" t="s">
        <v>19849</v>
      </c>
      <c r="B5409" s="384" t="s">
        <v>19850</v>
      </c>
      <c r="C5409" s="384" t="s">
        <v>2884</v>
      </c>
      <c r="D5409" s="385" t="s">
        <v>19851</v>
      </c>
    </row>
    <row r="5410" spans="1:4" x14ac:dyDescent="0.25">
      <c r="A5410" s="384" t="s">
        <v>19852</v>
      </c>
      <c r="B5410" s="384" t="s">
        <v>19853</v>
      </c>
      <c r="C5410" s="384" t="s">
        <v>2884</v>
      </c>
      <c r="D5410" s="385" t="s">
        <v>19854</v>
      </c>
    </row>
    <row r="5411" spans="1:4" x14ac:dyDescent="0.25">
      <c r="A5411" s="384" t="s">
        <v>19855</v>
      </c>
      <c r="B5411" s="384" t="s">
        <v>19856</v>
      </c>
      <c r="C5411" s="384" t="s">
        <v>2884</v>
      </c>
      <c r="D5411" s="385" t="s">
        <v>19857</v>
      </c>
    </row>
    <row r="5412" spans="1:4" x14ac:dyDescent="0.25">
      <c r="A5412" s="384" t="s">
        <v>19858</v>
      </c>
      <c r="B5412" s="384" t="s">
        <v>19859</v>
      </c>
      <c r="C5412" s="384" t="s">
        <v>2884</v>
      </c>
      <c r="D5412" s="385" t="s">
        <v>19860</v>
      </c>
    </row>
    <row r="5413" spans="1:4" x14ac:dyDescent="0.25">
      <c r="A5413" s="384" t="s">
        <v>19861</v>
      </c>
      <c r="B5413" s="384" t="s">
        <v>19862</v>
      </c>
      <c r="C5413" s="384" t="s">
        <v>2884</v>
      </c>
      <c r="D5413" s="385" t="s">
        <v>19863</v>
      </c>
    </row>
    <row r="5414" spans="1:4" x14ac:dyDescent="0.25">
      <c r="A5414" s="384" t="s">
        <v>19864</v>
      </c>
      <c r="B5414" s="384" t="s">
        <v>19865</v>
      </c>
      <c r="C5414" s="384" t="s">
        <v>2884</v>
      </c>
      <c r="D5414" s="385" t="s">
        <v>19866</v>
      </c>
    </row>
    <row r="5415" spans="1:4" x14ac:dyDescent="0.25">
      <c r="A5415" s="384" t="s">
        <v>19867</v>
      </c>
      <c r="B5415" s="384" t="s">
        <v>19868</v>
      </c>
      <c r="C5415" s="384" t="s">
        <v>2884</v>
      </c>
      <c r="D5415" s="385" t="s">
        <v>19869</v>
      </c>
    </row>
    <row r="5416" spans="1:4" x14ac:dyDescent="0.25">
      <c r="A5416" s="384" t="s">
        <v>19870</v>
      </c>
      <c r="B5416" s="384" t="s">
        <v>19871</v>
      </c>
      <c r="C5416" s="384" t="s">
        <v>2884</v>
      </c>
      <c r="D5416" s="385" t="s">
        <v>19872</v>
      </c>
    </row>
    <row r="5417" spans="1:4" x14ac:dyDescent="0.25">
      <c r="A5417" s="384" t="s">
        <v>19873</v>
      </c>
      <c r="B5417" s="384" t="s">
        <v>19874</v>
      </c>
      <c r="C5417" s="384" t="s">
        <v>2884</v>
      </c>
      <c r="D5417" s="385" t="s">
        <v>19875</v>
      </c>
    </row>
    <row r="5418" spans="1:4" x14ac:dyDescent="0.25">
      <c r="A5418" s="384" t="s">
        <v>19876</v>
      </c>
      <c r="B5418" s="384" t="s">
        <v>19877</v>
      </c>
      <c r="C5418" s="384" t="s">
        <v>2884</v>
      </c>
      <c r="D5418" s="385" t="s">
        <v>19878</v>
      </c>
    </row>
    <row r="5419" spans="1:4" x14ac:dyDescent="0.25">
      <c r="A5419" s="384" t="s">
        <v>19879</v>
      </c>
      <c r="B5419" s="384" t="s">
        <v>19880</v>
      </c>
      <c r="C5419" s="384" t="s">
        <v>2884</v>
      </c>
      <c r="D5419" s="385" t="s">
        <v>17804</v>
      </c>
    </row>
    <row r="5420" spans="1:4" x14ac:dyDescent="0.25">
      <c r="A5420" s="384" t="s">
        <v>19881</v>
      </c>
      <c r="B5420" s="384" t="s">
        <v>19882</v>
      </c>
      <c r="C5420" s="384" t="s">
        <v>2884</v>
      </c>
      <c r="D5420" s="385" t="s">
        <v>19883</v>
      </c>
    </row>
    <row r="5421" spans="1:4" x14ac:dyDescent="0.25">
      <c r="A5421" s="384" t="s">
        <v>19884</v>
      </c>
      <c r="B5421" s="384" t="s">
        <v>19885</v>
      </c>
      <c r="C5421" s="384" t="s">
        <v>2884</v>
      </c>
      <c r="D5421" s="385" t="s">
        <v>19886</v>
      </c>
    </row>
    <row r="5422" spans="1:4" x14ac:dyDescent="0.25">
      <c r="A5422" s="384" t="s">
        <v>19887</v>
      </c>
      <c r="B5422" s="384" t="s">
        <v>19888</v>
      </c>
      <c r="C5422" s="384" t="s">
        <v>2884</v>
      </c>
      <c r="D5422" s="385" t="s">
        <v>19889</v>
      </c>
    </row>
    <row r="5423" spans="1:4" x14ac:dyDescent="0.25">
      <c r="A5423" s="384" t="s">
        <v>19890</v>
      </c>
      <c r="B5423" s="384" t="s">
        <v>19891</v>
      </c>
      <c r="C5423" s="384" t="s">
        <v>2884</v>
      </c>
      <c r="D5423" s="385" t="s">
        <v>19892</v>
      </c>
    </row>
    <row r="5424" spans="1:4" x14ac:dyDescent="0.25">
      <c r="A5424" s="384" t="s">
        <v>19893</v>
      </c>
      <c r="B5424" s="384" t="s">
        <v>19894</v>
      </c>
      <c r="C5424" s="384" t="s">
        <v>2884</v>
      </c>
      <c r="D5424" s="385" t="s">
        <v>19895</v>
      </c>
    </row>
    <row r="5425" spans="1:4" x14ac:dyDescent="0.25">
      <c r="A5425" s="384" t="s">
        <v>19896</v>
      </c>
      <c r="B5425" s="384" t="s">
        <v>19897</v>
      </c>
      <c r="C5425" s="384" t="s">
        <v>2884</v>
      </c>
      <c r="D5425" s="385" t="s">
        <v>19898</v>
      </c>
    </row>
    <row r="5426" spans="1:4" x14ac:dyDescent="0.25">
      <c r="A5426" s="384" t="s">
        <v>19899</v>
      </c>
      <c r="B5426" s="384" t="s">
        <v>19900</v>
      </c>
      <c r="C5426" s="384" t="s">
        <v>2884</v>
      </c>
      <c r="D5426" s="385" t="s">
        <v>19901</v>
      </c>
    </row>
    <row r="5427" spans="1:4" x14ac:dyDescent="0.25">
      <c r="A5427" s="384" t="s">
        <v>19902</v>
      </c>
      <c r="B5427" s="384" t="s">
        <v>19903</v>
      </c>
      <c r="C5427" s="384" t="s">
        <v>2884</v>
      </c>
      <c r="D5427" s="385" t="s">
        <v>5594</v>
      </c>
    </row>
    <row r="5428" spans="1:4" x14ac:dyDescent="0.25">
      <c r="A5428" s="384" t="s">
        <v>19904</v>
      </c>
      <c r="B5428" s="384" t="s">
        <v>19905</v>
      </c>
      <c r="C5428" s="384" t="s">
        <v>2884</v>
      </c>
      <c r="D5428" s="385" t="s">
        <v>19906</v>
      </c>
    </row>
    <row r="5429" spans="1:4" x14ac:dyDescent="0.25">
      <c r="A5429" s="384" t="s">
        <v>19907</v>
      </c>
      <c r="B5429" s="384" t="s">
        <v>19908</v>
      </c>
      <c r="C5429" s="384" t="s">
        <v>2884</v>
      </c>
      <c r="D5429" s="385" t="s">
        <v>19909</v>
      </c>
    </row>
    <row r="5430" spans="1:4" x14ac:dyDescent="0.25">
      <c r="A5430" s="384" t="s">
        <v>19910</v>
      </c>
      <c r="B5430" s="384" t="s">
        <v>19911</v>
      </c>
      <c r="C5430" s="384" t="s">
        <v>2884</v>
      </c>
      <c r="D5430" s="385" t="s">
        <v>19912</v>
      </c>
    </row>
    <row r="5431" spans="1:4" x14ac:dyDescent="0.25">
      <c r="A5431" s="384" t="s">
        <v>19913</v>
      </c>
      <c r="B5431" s="384" t="s">
        <v>19914</v>
      </c>
      <c r="C5431" s="384" t="s">
        <v>2884</v>
      </c>
      <c r="D5431" s="385" t="s">
        <v>19915</v>
      </c>
    </row>
    <row r="5432" spans="1:4" x14ac:dyDescent="0.25">
      <c r="A5432" s="384" t="s">
        <v>19916</v>
      </c>
      <c r="B5432" s="384" t="s">
        <v>19917</v>
      </c>
      <c r="C5432" s="384" t="s">
        <v>2884</v>
      </c>
      <c r="D5432" s="385" t="s">
        <v>19918</v>
      </c>
    </row>
    <row r="5433" spans="1:4" x14ac:dyDescent="0.25">
      <c r="A5433" s="384" t="s">
        <v>19919</v>
      </c>
      <c r="B5433" s="384" t="s">
        <v>19920</v>
      </c>
      <c r="C5433" s="384" t="s">
        <v>2884</v>
      </c>
      <c r="D5433" s="385" t="s">
        <v>19921</v>
      </c>
    </row>
    <row r="5434" spans="1:4" x14ac:dyDescent="0.25">
      <c r="A5434" s="384" t="s">
        <v>19922</v>
      </c>
      <c r="B5434" s="384" t="s">
        <v>19923</v>
      </c>
      <c r="C5434" s="384" t="s">
        <v>2884</v>
      </c>
      <c r="D5434" s="385" t="s">
        <v>19924</v>
      </c>
    </row>
    <row r="5435" spans="1:4" x14ac:dyDescent="0.25">
      <c r="A5435" s="384" t="s">
        <v>19925</v>
      </c>
      <c r="B5435" s="384" t="s">
        <v>19926</v>
      </c>
      <c r="C5435" s="384" t="s">
        <v>2884</v>
      </c>
      <c r="D5435" s="385" t="s">
        <v>19927</v>
      </c>
    </row>
    <row r="5436" spans="1:4" x14ac:dyDescent="0.25">
      <c r="A5436" s="384" t="s">
        <v>19928</v>
      </c>
      <c r="B5436" s="384" t="s">
        <v>19929</v>
      </c>
      <c r="C5436" s="384" t="s">
        <v>2884</v>
      </c>
      <c r="D5436" s="385" t="s">
        <v>19930</v>
      </c>
    </row>
    <row r="5437" spans="1:4" x14ac:dyDescent="0.25">
      <c r="A5437" s="384" t="s">
        <v>19931</v>
      </c>
      <c r="B5437" s="384" t="s">
        <v>19932</v>
      </c>
      <c r="C5437" s="384" t="s">
        <v>2884</v>
      </c>
      <c r="D5437" s="385" t="s">
        <v>19933</v>
      </c>
    </row>
    <row r="5438" spans="1:4" x14ac:dyDescent="0.25">
      <c r="A5438" s="384" t="s">
        <v>19934</v>
      </c>
      <c r="B5438" s="384" t="s">
        <v>19935</v>
      </c>
      <c r="C5438" s="384" t="s">
        <v>2884</v>
      </c>
      <c r="D5438" s="385" t="s">
        <v>19936</v>
      </c>
    </row>
    <row r="5439" spans="1:4" x14ac:dyDescent="0.25">
      <c r="A5439" s="384" t="s">
        <v>19937</v>
      </c>
      <c r="B5439" s="384" t="s">
        <v>19938</v>
      </c>
      <c r="C5439" s="384" t="s">
        <v>2884</v>
      </c>
      <c r="D5439" s="385" t="s">
        <v>16908</v>
      </c>
    </row>
    <row r="5440" spans="1:4" x14ac:dyDescent="0.25">
      <c r="A5440" s="384" t="s">
        <v>19939</v>
      </c>
      <c r="B5440" s="384" t="s">
        <v>19940</v>
      </c>
      <c r="C5440" s="384" t="s">
        <v>2884</v>
      </c>
      <c r="D5440" s="385" t="s">
        <v>19941</v>
      </c>
    </row>
    <row r="5441" spans="1:4" x14ac:dyDescent="0.25">
      <c r="A5441" s="384" t="s">
        <v>19942</v>
      </c>
      <c r="B5441" s="384" t="s">
        <v>19943</v>
      </c>
      <c r="C5441" s="384" t="s">
        <v>2884</v>
      </c>
      <c r="D5441" s="385" t="s">
        <v>19944</v>
      </c>
    </row>
    <row r="5442" spans="1:4" x14ac:dyDescent="0.25">
      <c r="A5442" s="384" t="s">
        <v>19945</v>
      </c>
      <c r="B5442" s="384" t="s">
        <v>19946</v>
      </c>
      <c r="C5442" s="384" t="s">
        <v>2884</v>
      </c>
      <c r="D5442" s="385" t="s">
        <v>19947</v>
      </c>
    </row>
    <row r="5443" spans="1:4" x14ac:dyDescent="0.25">
      <c r="A5443" s="384" t="s">
        <v>19948</v>
      </c>
      <c r="B5443" s="384" t="s">
        <v>19949</v>
      </c>
      <c r="C5443" s="384" t="s">
        <v>2884</v>
      </c>
      <c r="D5443" s="385" t="s">
        <v>19950</v>
      </c>
    </row>
    <row r="5444" spans="1:4" x14ac:dyDescent="0.25">
      <c r="A5444" s="384" t="s">
        <v>19951</v>
      </c>
      <c r="B5444" s="384" t="s">
        <v>19952</v>
      </c>
      <c r="C5444" s="384" t="s">
        <v>2884</v>
      </c>
      <c r="D5444" s="385" t="s">
        <v>19953</v>
      </c>
    </row>
    <row r="5445" spans="1:4" x14ac:dyDescent="0.25">
      <c r="A5445" s="384" t="s">
        <v>19954</v>
      </c>
      <c r="B5445" s="384" t="s">
        <v>19955</v>
      </c>
      <c r="C5445" s="384" t="s">
        <v>2884</v>
      </c>
      <c r="D5445" s="385" t="s">
        <v>19956</v>
      </c>
    </row>
    <row r="5446" spans="1:4" x14ac:dyDescent="0.25">
      <c r="A5446" s="384" t="s">
        <v>19957</v>
      </c>
      <c r="B5446" s="384" t="s">
        <v>19958</v>
      </c>
      <c r="C5446" s="384" t="s">
        <v>2884</v>
      </c>
      <c r="D5446" s="385" t="s">
        <v>19959</v>
      </c>
    </row>
    <row r="5447" spans="1:4" x14ac:dyDescent="0.25">
      <c r="A5447" s="384" t="s">
        <v>19960</v>
      </c>
      <c r="B5447" s="384" t="s">
        <v>19961</v>
      </c>
      <c r="C5447" s="384" t="s">
        <v>2884</v>
      </c>
      <c r="D5447" s="385" t="s">
        <v>10488</v>
      </c>
    </row>
    <row r="5448" spans="1:4" x14ac:dyDescent="0.25">
      <c r="A5448" s="384" t="s">
        <v>19962</v>
      </c>
      <c r="B5448" s="384" t="s">
        <v>19963</v>
      </c>
      <c r="C5448" s="384" t="s">
        <v>2884</v>
      </c>
      <c r="D5448" s="385" t="s">
        <v>19964</v>
      </c>
    </row>
    <row r="5449" spans="1:4" x14ac:dyDescent="0.25">
      <c r="A5449" s="384" t="s">
        <v>19965</v>
      </c>
      <c r="B5449" s="384" t="s">
        <v>19966</v>
      </c>
      <c r="C5449" s="384" t="s">
        <v>2884</v>
      </c>
      <c r="D5449" s="385" t="s">
        <v>19967</v>
      </c>
    </row>
    <row r="5450" spans="1:4" x14ac:dyDescent="0.25">
      <c r="A5450" s="384" t="s">
        <v>19968</v>
      </c>
      <c r="B5450" s="384" t="s">
        <v>19969</v>
      </c>
      <c r="C5450" s="384" t="s">
        <v>2884</v>
      </c>
      <c r="D5450" s="385" t="s">
        <v>19970</v>
      </c>
    </row>
    <row r="5451" spans="1:4" x14ac:dyDescent="0.25">
      <c r="A5451" s="384" t="s">
        <v>19971</v>
      </c>
      <c r="B5451" s="384" t="s">
        <v>19972</v>
      </c>
      <c r="C5451" s="384" t="s">
        <v>2884</v>
      </c>
      <c r="D5451" s="385" t="s">
        <v>19973</v>
      </c>
    </row>
    <row r="5452" spans="1:4" x14ac:dyDescent="0.25">
      <c r="A5452" s="384" t="s">
        <v>19974</v>
      </c>
      <c r="B5452" s="384" t="s">
        <v>19975</v>
      </c>
      <c r="C5452" s="384" t="s">
        <v>2884</v>
      </c>
      <c r="D5452" s="385" t="s">
        <v>13450</v>
      </c>
    </row>
    <row r="5453" spans="1:4" x14ac:dyDescent="0.25">
      <c r="A5453" s="384" t="s">
        <v>19976</v>
      </c>
      <c r="B5453" s="384" t="s">
        <v>19977</v>
      </c>
      <c r="C5453" s="384" t="s">
        <v>2884</v>
      </c>
      <c r="D5453" s="385" t="s">
        <v>19978</v>
      </c>
    </row>
    <row r="5454" spans="1:4" x14ac:dyDescent="0.25">
      <c r="A5454" s="384" t="s">
        <v>19979</v>
      </c>
      <c r="B5454" s="384" t="s">
        <v>19980</v>
      </c>
      <c r="C5454" s="384" t="s">
        <v>2884</v>
      </c>
      <c r="D5454" s="385" t="s">
        <v>7807</v>
      </c>
    </row>
    <row r="5455" spans="1:4" x14ac:dyDescent="0.25">
      <c r="A5455" s="384" t="s">
        <v>19981</v>
      </c>
      <c r="B5455" s="384" t="s">
        <v>19982</v>
      </c>
      <c r="C5455" s="384" t="s">
        <v>2884</v>
      </c>
      <c r="D5455" s="385" t="s">
        <v>19983</v>
      </c>
    </row>
    <row r="5456" spans="1:4" x14ac:dyDescent="0.25">
      <c r="A5456" s="384" t="s">
        <v>19984</v>
      </c>
      <c r="B5456" s="384" t="s">
        <v>19985</v>
      </c>
      <c r="C5456" s="384" t="s">
        <v>2884</v>
      </c>
      <c r="D5456" s="385" t="s">
        <v>18595</v>
      </c>
    </row>
    <row r="5457" spans="1:4" x14ac:dyDescent="0.25">
      <c r="A5457" s="384" t="s">
        <v>19986</v>
      </c>
      <c r="B5457" s="384" t="s">
        <v>19987</v>
      </c>
      <c r="C5457" s="384" t="s">
        <v>2884</v>
      </c>
      <c r="D5457" s="385" t="s">
        <v>19988</v>
      </c>
    </row>
    <row r="5458" spans="1:4" x14ac:dyDescent="0.25">
      <c r="A5458" s="384" t="s">
        <v>19989</v>
      </c>
      <c r="B5458" s="384" t="s">
        <v>19990</v>
      </c>
      <c r="C5458" s="384" t="s">
        <v>2884</v>
      </c>
      <c r="D5458" s="385" t="s">
        <v>19991</v>
      </c>
    </row>
    <row r="5459" spans="1:4" x14ac:dyDescent="0.25">
      <c r="A5459" s="384" t="s">
        <v>19992</v>
      </c>
      <c r="B5459" s="384" t="s">
        <v>19993</v>
      </c>
      <c r="C5459" s="384" t="s">
        <v>2884</v>
      </c>
      <c r="D5459" s="385" t="s">
        <v>19994</v>
      </c>
    </row>
    <row r="5460" spans="1:4" x14ac:dyDescent="0.25">
      <c r="A5460" s="384" t="s">
        <v>19995</v>
      </c>
      <c r="B5460" s="384" t="s">
        <v>19996</v>
      </c>
      <c r="C5460" s="384" t="s">
        <v>2884</v>
      </c>
      <c r="D5460" s="385" t="s">
        <v>19997</v>
      </c>
    </row>
    <row r="5461" spans="1:4" x14ac:dyDescent="0.25">
      <c r="A5461" s="384" t="s">
        <v>19998</v>
      </c>
      <c r="B5461" s="384" t="s">
        <v>19999</v>
      </c>
      <c r="C5461" s="384" t="s">
        <v>2884</v>
      </c>
      <c r="D5461" s="385" t="s">
        <v>20000</v>
      </c>
    </row>
    <row r="5462" spans="1:4" x14ac:dyDescent="0.25">
      <c r="A5462" s="384" t="s">
        <v>20001</v>
      </c>
      <c r="B5462" s="384" t="s">
        <v>20002</v>
      </c>
      <c r="C5462" s="384" t="s">
        <v>2884</v>
      </c>
      <c r="D5462" s="385" t="s">
        <v>20003</v>
      </c>
    </row>
    <row r="5463" spans="1:4" x14ac:dyDescent="0.25">
      <c r="A5463" s="384" t="s">
        <v>20004</v>
      </c>
      <c r="B5463" s="384" t="s">
        <v>20005</v>
      </c>
      <c r="C5463" s="384" t="s">
        <v>2884</v>
      </c>
      <c r="D5463" s="385" t="s">
        <v>20006</v>
      </c>
    </row>
    <row r="5464" spans="1:4" x14ac:dyDescent="0.25">
      <c r="A5464" s="384" t="s">
        <v>20007</v>
      </c>
      <c r="B5464" s="384" t="s">
        <v>20008</v>
      </c>
      <c r="C5464" s="384" t="s">
        <v>2884</v>
      </c>
      <c r="D5464" s="385" t="s">
        <v>20009</v>
      </c>
    </row>
    <row r="5465" spans="1:4" x14ac:dyDescent="0.25">
      <c r="A5465" s="384" t="s">
        <v>20010</v>
      </c>
      <c r="B5465" s="384" t="s">
        <v>20011</v>
      </c>
      <c r="C5465" s="384" t="s">
        <v>2884</v>
      </c>
      <c r="D5465" s="385" t="s">
        <v>20012</v>
      </c>
    </row>
    <row r="5466" spans="1:4" x14ac:dyDescent="0.25">
      <c r="A5466" s="384" t="s">
        <v>20013</v>
      </c>
      <c r="B5466" s="384" t="s">
        <v>20014</v>
      </c>
      <c r="C5466" s="384" t="s">
        <v>2884</v>
      </c>
      <c r="D5466" s="385" t="s">
        <v>20015</v>
      </c>
    </row>
    <row r="5467" spans="1:4" x14ac:dyDescent="0.25">
      <c r="A5467" s="384" t="s">
        <v>20016</v>
      </c>
      <c r="B5467" s="384" t="s">
        <v>20017</v>
      </c>
      <c r="C5467" s="384" t="s">
        <v>2884</v>
      </c>
      <c r="D5467" s="385" t="s">
        <v>20018</v>
      </c>
    </row>
    <row r="5468" spans="1:4" x14ac:dyDescent="0.25">
      <c r="A5468" s="384" t="s">
        <v>20019</v>
      </c>
      <c r="B5468" s="384" t="s">
        <v>20020</v>
      </c>
      <c r="C5468" s="384" t="s">
        <v>2884</v>
      </c>
      <c r="D5468" s="385" t="s">
        <v>20021</v>
      </c>
    </row>
    <row r="5469" spans="1:4" x14ac:dyDescent="0.25">
      <c r="A5469" s="384" t="s">
        <v>20022</v>
      </c>
      <c r="B5469" s="384" t="s">
        <v>20023</v>
      </c>
      <c r="C5469" s="384" t="s">
        <v>2884</v>
      </c>
      <c r="D5469" s="385" t="s">
        <v>20024</v>
      </c>
    </row>
    <row r="5470" spans="1:4" x14ac:dyDescent="0.25">
      <c r="A5470" s="384" t="s">
        <v>20025</v>
      </c>
      <c r="B5470" s="384" t="s">
        <v>20026</v>
      </c>
      <c r="C5470" s="384" t="s">
        <v>2884</v>
      </c>
      <c r="D5470" s="385" t="s">
        <v>20027</v>
      </c>
    </row>
    <row r="5471" spans="1:4" x14ac:dyDescent="0.25">
      <c r="A5471" s="384" t="s">
        <v>20028</v>
      </c>
      <c r="B5471" s="384" t="s">
        <v>20029</v>
      </c>
      <c r="C5471" s="384" t="s">
        <v>2884</v>
      </c>
      <c r="D5471" s="385" t="s">
        <v>20030</v>
      </c>
    </row>
    <row r="5472" spans="1:4" x14ac:dyDescent="0.25">
      <c r="A5472" s="384" t="s">
        <v>20031</v>
      </c>
      <c r="B5472" s="384" t="s">
        <v>20032</v>
      </c>
      <c r="C5472" s="384" t="s">
        <v>2884</v>
      </c>
      <c r="D5472" s="385" t="s">
        <v>20033</v>
      </c>
    </row>
    <row r="5473" spans="1:4" x14ac:dyDescent="0.25">
      <c r="A5473" s="384" t="s">
        <v>20034</v>
      </c>
      <c r="B5473" s="384" t="s">
        <v>20035</v>
      </c>
      <c r="C5473" s="384" t="s">
        <v>2884</v>
      </c>
      <c r="D5473" s="385" t="s">
        <v>20036</v>
      </c>
    </row>
    <row r="5474" spans="1:4" x14ac:dyDescent="0.25">
      <c r="A5474" s="384" t="s">
        <v>20037</v>
      </c>
      <c r="B5474" s="384" t="s">
        <v>20038</v>
      </c>
      <c r="C5474" s="384" t="s">
        <v>2884</v>
      </c>
      <c r="D5474" s="385" t="s">
        <v>20039</v>
      </c>
    </row>
    <row r="5475" spans="1:4" x14ac:dyDescent="0.25">
      <c r="A5475" s="384" t="s">
        <v>20040</v>
      </c>
      <c r="B5475" s="384" t="s">
        <v>20041</v>
      </c>
      <c r="C5475" s="384" t="s">
        <v>2884</v>
      </c>
      <c r="D5475" s="385" t="s">
        <v>20042</v>
      </c>
    </row>
    <row r="5476" spans="1:4" x14ac:dyDescent="0.25">
      <c r="A5476" s="384" t="s">
        <v>20043</v>
      </c>
      <c r="B5476" s="384" t="s">
        <v>20044</v>
      </c>
      <c r="C5476" s="384" t="s">
        <v>2884</v>
      </c>
      <c r="D5476" s="385" t="s">
        <v>20045</v>
      </c>
    </row>
    <row r="5477" spans="1:4" x14ac:dyDescent="0.25">
      <c r="A5477" s="384" t="s">
        <v>20046</v>
      </c>
      <c r="B5477" s="384" t="s">
        <v>20047</v>
      </c>
      <c r="C5477" s="384" t="s">
        <v>2884</v>
      </c>
      <c r="D5477" s="385" t="s">
        <v>20048</v>
      </c>
    </row>
    <row r="5478" spans="1:4" x14ac:dyDescent="0.25">
      <c r="A5478" s="384" t="s">
        <v>20049</v>
      </c>
      <c r="B5478" s="384" t="s">
        <v>20050</v>
      </c>
      <c r="C5478" s="384" t="s">
        <v>2884</v>
      </c>
      <c r="D5478" s="385" t="s">
        <v>20051</v>
      </c>
    </row>
    <row r="5479" spans="1:4" x14ac:dyDescent="0.25">
      <c r="A5479" s="384" t="s">
        <v>20052</v>
      </c>
      <c r="B5479" s="384" t="s">
        <v>20053</v>
      </c>
      <c r="C5479" s="384" t="s">
        <v>2884</v>
      </c>
      <c r="D5479" s="385" t="s">
        <v>20054</v>
      </c>
    </row>
    <row r="5480" spans="1:4" x14ac:dyDescent="0.25">
      <c r="A5480" s="384" t="s">
        <v>20055</v>
      </c>
      <c r="B5480" s="384" t="s">
        <v>20056</v>
      </c>
      <c r="C5480" s="384" t="s">
        <v>2884</v>
      </c>
      <c r="D5480" s="385" t="s">
        <v>20057</v>
      </c>
    </row>
    <row r="5481" spans="1:4" x14ac:dyDescent="0.25">
      <c r="A5481" s="384" t="s">
        <v>20058</v>
      </c>
      <c r="B5481" s="384" t="s">
        <v>20059</v>
      </c>
      <c r="C5481" s="384" t="s">
        <v>2884</v>
      </c>
      <c r="D5481" s="385" t="s">
        <v>20060</v>
      </c>
    </row>
    <row r="5482" spans="1:4" x14ac:dyDescent="0.25">
      <c r="A5482" s="384" t="s">
        <v>20061</v>
      </c>
      <c r="B5482" s="384" t="s">
        <v>20062</v>
      </c>
      <c r="C5482" s="384" t="s">
        <v>2884</v>
      </c>
      <c r="D5482" s="385" t="s">
        <v>20063</v>
      </c>
    </row>
    <row r="5483" spans="1:4" x14ac:dyDescent="0.25">
      <c r="A5483" s="384" t="s">
        <v>20064</v>
      </c>
      <c r="B5483" s="384" t="s">
        <v>20065</v>
      </c>
      <c r="C5483" s="384" t="s">
        <v>2884</v>
      </c>
      <c r="D5483" s="385" t="s">
        <v>20066</v>
      </c>
    </row>
    <row r="5484" spans="1:4" x14ac:dyDescent="0.25">
      <c r="A5484" s="384" t="s">
        <v>20067</v>
      </c>
      <c r="B5484" s="384" t="s">
        <v>20068</v>
      </c>
      <c r="C5484" s="384" t="s">
        <v>2884</v>
      </c>
      <c r="D5484" s="385" t="s">
        <v>20069</v>
      </c>
    </row>
    <row r="5485" spans="1:4" x14ac:dyDescent="0.25">
      <c r="A5485" s="384" t="s">
        <v>20070</v>
      </c>
      <c r="B5485" s="384" t="s">
        <v>20071</v>
      </c>
      <c r="C5485" s="384" t="s">
        <v>2884</v>
      </c>
      <c r="D5485" s="385" t="s">
        <v>20072</v>
      </c>
    </row>
    <row r="5486" spans="1:4" x14ac:dyDescent="0.25">
      <c r="A5486" s="384" t="s">
        <v>20073</v>
      </c>
      <c r="B5486" s="384" t="s">
        <v>20074</v>
      </c>
      <c r="C5486" s="384" t="s">
        <v>2884</v>
      </c>
      <c r="D5486" s="385" t="s">
        <v>20075</v>
      </c>
    </row>
    <row r="5487" spans="1:4" x14ac:dyDescent="0.25">
      <c r="A5487" s="384" t="s">
        <v>20076</v>
      </c>
      <c r="B5487" s="384" t="s">
        <v>20077</v>
      </c>
      <c r="C5487" s="384" t="s">
        <v>2884</v>
      </c>
      <c r="D5487" s="385" t="s">
        <v>20078</v>
      </c>
    </row>
    <row r="5488" spans="1:4" x14ac:dyDescent="0.25">
      <c r="A5488" s="384" t="s">
        <v>20079</v>
      </c>
      <c r="B5488" s="384" t="s">
        <v>20080</v>
      </c>
      <c r="C5488" s="384" t="s">
        <v>2884</v>
      </c>
      <c r="D5488" s="385" t="s">
        <v>10747</v>
      </c>
    </row>
    <row r="5489" spans="1:4" x14ac:dyDescent="0.25">
      <c r="A5489" s="384" t="s">
        <v>20081</v>
      </c>
      <c r="B5489" s="384" t="s">
        <v>20082</v>
      </c>
      <c r="C5489" s="384" t="s">
        <v>2884</v>
      </c>
      <c r="D5489" s="385" t="s">
        <v>12390</v>
      </c>
    </row>
    <row r="5490" spans="1:4" x14ac:dyDescent="0.25">
      <c r="A5490" s="384" t="s">
        <v>20083</v>
      </c>
      <c r="B5490" s="384" t="s">
        <v>20084</v>
      </c>
      <c r="C5490" s="384" t="s">
        <v>2884</v>
      </c>
      <c r="D5490" s="385" t="s">
        <v>20085</v>
      </c>
    </row>
    <row r="5491" spans="1:4" x14ac:dyDescent="0.25">
      <c r="A5491" s="384" t="s">
        <v>20086</v>
      </c>
      <c r="B5491" s="384" t="s">
        <v>20087</v>
      </c>
      <c r="C5491" s="384" t="s">
        <v>2884</v>
      </c>
      <c r="D5491" s="385" t="s">
        <v>20088</v>
      </c>
    </row>
    <row r="5492" spans="1:4" x14ac:dyDescent="0.25">
      <c r="A5492" s="384" t="s">
        <v>20089</v>
      </c>
      <c r="B5492" s="384" t="s">
        <v>20090</v>
      </c>
      <c r="C5492" s="384" t="s">
        <v>2884</v>
      </c>
      <c r="D5492" s="385" t="s">
        <v>20091</v>
      </c>
    </row>
    <row r="5493" spans="1:4" x14ac:dyDescent="0.25">
      <c r="A5493" s="384" t="s">
        <v>20092</v>
      </c>
      <c r="B5493" s="384" t="s">
        <v>20093</v>
      </c>
      <c r="C5493" s="384" t="s">
        <v>2884</v>
      </c>
      <c r="D5493" s="385" t="s">
        <v>20094</v>
      </c>
    </row>
    <row r="5494" spans="1:4" x14ac:dyDescent="0.25">
      <c r="A5494" s="384" t="s">
        <v>20095</v>
      </c>
      <c r="B5494" s="384" t="s">
        <v>20096</v>
      </c>
      <c r="C5494" s="384" t="s">
        <v>2884</v>
      </c>
      <c r="D5494" s="385" t="s">
        <v>20097</v>
      </c>
    </row>
    <row r="5495" spans="1:4" x14ac:dyDescent="0.25">
      <c r="A5495" s="384" t="s">
        <v>20098</v>
      </c>
      <c r="B5495" s="384" t="s">
        <v>20099</v>
      </c>
      <c r="C5495" s="384" t="s">
        <v>2884</v>
      </c>
      <c r="D5495" s="385" t="s">
        <v>20100</v>
      </c>
    </row>
    <row r="5496" spans="1:4" x14ac:dyDescent="0.25">
      <c r="A5496" s="384" t="s">
        <v>20101</v>
      </c>
      <c r="B5496" s="384" t="s">
        <v>20102</v>
      </c>
      <c r="C5496" s="384" t="s">
        <v>2884</v>
      </c>
      <c r="D5496" s="385" t="s">
        <v>20103</v>
      </c>
    </row>
    <row r="5497" spans="1:4" x14ac:dyDescent="0.25">
      <c r="A5497" s="384" t="s">
        <v>20104</v>
      </c>
      <c r="B5497" s="384" t="s">
        <v>20105</v>
      </c>
      <c r="C5497" s="384" t="s">
        <v>2884</v>
      </c>
      <c r="D5497" s="385" t="s">
        <v>20106</v>
      </c>
    </row>
    <row r="5498" spans="1:4" x14ac:dyDescent="0.25">
      <c r="A5498" s="384" t="s">
        <v>20107</v>
      </c>
      <c r="B5498" s="384" t="s">
        <v>20108</v>
      </c>
      <c r="C5498" s="384" t="s">
        <v>2884</v>
      </c>
      <c r="D5498" s="385" t="s">
        <v>20109</v>
      </c>
    </row>
    <row r="5499" spans="1:4" x14ac:dyDescent="0.25">
      <c r="A5499" s="384" t="s">
        <v>20110</v>
      </c>
      <c r="B5499" s="384" t="s">
        <v>20111</v>
      </c>
      <c r="C5499" s="384" t="s">
        <v>2884</v>
      </c>
      <c r="D5499" s="385" t="s">
        <v>12952</v>
      </c>
    </row>
    <row r="5500" spans="1:4" x14ac:dyDescent="0.25">
      <c r="A5500" s="384" t="s">
        <v>20112</v>
      </c>
      <c r="B5500" s="384" t="s">
        <v>20113</v>
      </c>
      <c r="C5500" s="384" t="s">
        <v>2884</v>
      </c>
      <c r="D5500" s="385" t="s">
        <v>17559</v>
      </c>
    </row>
    <row r="5501" spans="1:4" x14ac:dyDescent="0.25">
      <c r="A5501" s="384" t="s">
        <v>20114</v>
      </c>
      <c r="B5501" s="384" t="s">
        <v>20115</v>
      </c>
      <c r="C5501" s="384" t="s">
        <v>2884</v>
      </c>
      <c r="D5501" s="385" t="s">
        <v>20116</v>
      </c>
    </row>
    <row r="5502" spans="1:4" x14ac:dyDescent="0.25">
      <c r="A5502" s="384" t="s">
        <v>20117</v>
      </c>
      <c r="B5502" s="384" t="s">
        <v>20118</v>
      </c>
      <c r="C5502" s="384" t="s">
        <v>2884</v>
      </c>
      <c r="D5502" s="385" t="s">
        <v>20119</v>
      </c>
    </row>
    <row r="5503" spans="1:4" x14ac:dyDescent="0.25">
      <c r="A5503" s="384" t="s">
        <v>20120</v>
      </c>
      <c r="B5503" s="384" t="s">
        <v>20121</v>
      </c>
      <c r="C5503" s="384" t="s">
        <v>2884</v>
      </c>
      <c r="D5503" s="385" t="s">
        <v>20122</v>
      </c>
    </row>
    <row r="5504" spans="1:4" x14ac:dyDescent="0.25">
      <c r="A5504" s="384" t="s">
        <v>20123</v>
      </c>
      <c r="B5504" s="384" t="s">
        <v>20124</v>
      </c>
      <c r="C5504" s="384" t="s">
        <v>2884</v>
      </c>
      <c r="D5504" s="385" t="s">
        <v>20125</v>
      </c>
    </row>
    <row r="5505" spans="1:4" x14ac:dyDescent="0.25">
      <c r="A5505" s="384" t="s">
        <v>20126</v>
      </c>
      <c r="B5505" s="384" t="s">
        <v>20127</v>
      </c>
      <c r="C5505" s="384" t="s">
        <v>2884</v>
      </c>
      <c r="D5505" s="385" t="s">
        <v>20128</v>
      </c>
    </row>
    <row r="5506" spans="1:4" x14ac:dyDescent="0.25">
      <c r="A5506" s="384" t="s">
        <v>20129</v>
      </c>
      <c r="B5506" s="384" t="s">
        <v>20130</v>
      </c>
      <c r="C5506" s="384" t="s">
        <v>2884</v>
      </c>
      <c r="D5506" s="385" t="s">
        <v>6254</v>
      </c>
    </row>
    <row r="5507" spans="1:4" x14ac:dyDescent="0.25">
      <c r="A5507" s="384" t="s">
        <v>20131</v>
      </c>
      <c r="B5507" s="384" t="s">
        <v>20132</v>
      </c>
      <c r="C5507" s="384" t="s">
        <v>2884</v>
      </c>
      <c r="D5507" s="385" t="s">
        <v>20133</v>
      </c>
    </row>
    <row r="5508" spans="1:4" x14ac:dyDescent="0.25">
      <c r="A5508" s="384" t="s">
        <v>20134</v>
      </c>
      <c r="B5508" s="384" t="s">
        <v>20135</v>
      </c>
      <c r="C5508" s="384" t="s">
        <v>2884</v>
      </c>
      <c r="D5508" s="385" t="s">
        <v>20136</v>
      </c>
    </row>
    <row r="5509" spans="1:4" x14ac:dyDescent="0.25">
      <c r="A5509" s="384" t="s">
        <v>20137</v>
      </c>
      <c r="B5509" s="384" t="s">
        <v>20138</v>
      </c>
      <c r="C5509" s="384" t="s">
        <v>2884</v>
      </c>
      <c r="D5509" s="385" t="s">
        <v>20139</v>
      </c>
    </row>
    <row r="5510" spans="1:4" x14ac:dyDescent="0.25">
      <c r="A5510" s="384" t="s">
        <v>20140</v>
      </c>
      <c r="B5510" s="384" t="s">
        <v>20141</v>
      </c>
      <c r="C5510" s="384" t="s">
        <v>2884</v>
      </c>
      <c r="D5510" s="385" t="s">
        <v>20142</v>
      </c>
    </row>
    <row r="5511" spans="1:4" x14ac:dyDescent="0.25">
      <c r="A5511" s="384" t="s">
        <v>20143</v>
      </c>
      <c r="B5511" s="384" t="s">
        <v>20144</v>
      </c>
      <c r="C5511" s="384" t="s">
        <v>2884</v>
      </c>
      <c r="D5511" s="385" t="s">
        <v>14367</v>
      </c>
    </row>
    <row r="5512" spans="1:4" x14ac:dyDescent="0.25">
      <c r="A5512" s="384" t="s">
        <v>20145</v>
      </c>
      <c r="B5512" s="384" t="s">
        <v>20146</v>
      </c>
      <c r="C5512" s="384" t="s">
        <v>2884</v>
      </c>
      <c r="D5512" s="385" t="s">
        <v>20147</v>
      </c>
    </row>
    <row r="5513" spans="1:4" x14ac:dyDescent="0.25">
      <c r="A5513" s="384" t="s">
        <v>20148</v>
      </c>
      <c r="B5513" s="384" t="s">
        <v>20149</v>
      </c>
      <c r="C5513" s="384" t="s">
        <v>2884</v>
      </c>
      <c r="D5513" s="385" t="s">
        <v>20150</v>
      </c>
    </row>
    <row r="5514" spans="1:4" x14ac:dyDescent="0.25">
      <c r="A5514" s="384" t="s">
        <v>20151</v>
      </c>
      <c r="B5514" s="384" t="s">
        <v>20152</v>
      </c>
      <c r="C5514" s="384" t="s">
        <v>2884</v>
      </c>
      <c r="D5514" s="385" t="s">
        <v>20153</v>
      </c>
    </row>
    <row r="5515" spans="1:4" x14ac:dyDescent="0.25">
      <c r="A5515" s="384" t="s">
        <v>20154</v>
      </c>
      <c r="B5515" s="384" t="s">
        <v>20155</v>
      </c>
      <c r="C5515" s="384" t="s">
        <v>2884</v>
      </c>
      <c r="D5515" s="385" t="s">
        <v>20156</v>
      </c>
    </row>
    <row r="5516" spans="1:4" x14ac:dyDescent="0.25">
      <c r="A5516" s="384" t="s">
        <v>20157</v>
      </c>
      <c r="B5516" s="384" t="s">
        <v>20158</v>
      </c>
      <c r="C5516" s="384" t="s">
        <v>2884</v>
      </c>
      <c r="D5516" s="385" t="s">
        <v>20159</v>
      </c>
    </row>
    <row r="5517" spans="1:4" x14ac:dyDescent="0.25">
      <c r="A5517" s="384" t="s">
        <v>20160</v>
      </c>
      <c r="B5517" s="384" t="s">
        <v>20161</v>
      </c>
      <c r="C5517" s="384" t="s">
        <v>2884</v>
      </c>
      <c r="D5517" s="385" t="s">
        <v>20162</v>
      </c>
    </row>
    <row r="5518" spans="1:4" x14ac:dyDescent="0.25">
      <c r="A5518" s="384" t="s">
        <v>20163</v>
      </c>
      <c r="B5518" s="384" t="s">
        <v>20164</v>
      </c>
      <c r="C5518" s="384" t="s">
        <v>2884</v>
      </c>
      <c r="D5518" s="385" t="s">
        <v>20165</v>
      </c>
    </row>
    <row r="5519" spans="1:4" x14ac:dyDescent="0.25">
      <c r="A5519" s="384" t="s">
        <v>20166</v>
      </c>
      <c r="B5519" s="384" t="s">
        <v>20167</v>
      </c>
      <c r="C5519" s="384" t="s">
        <v>2884</v>
      </c>
      <c r="D5519" s="385" t="s">
        <v>20168</v>
      </c>
    </row>
    <row r="5520" spans="1:4" x14ac:dyDescent="0.25">
      <c r="A5520" s="384" t="s">
        <v>20169</v>
      </c>
      <c r="B5520" s="384" t="s">
        <v>20170</v>
      </c>
      <c r="C5520" s="384" t="s">
        <v>2884</v>
      </c>
      <c r="D5520" s="385" t="s">
        <v>20171</v>
      </c>
    </row>
    <row r="5521" spans="1:4" x14ac:dyDescent="0.25">
      <c r="A5521" s="384" t="s">
        <v>20172</v>
      </c>
      <c r="B5521" s="384" t="s">
        <v>20173</v>
      </c>
      <c r="C5521" s="384" t="s">
        <v>2884</v>
      </c>
      <c r="D5521" s="385" t="s">
        <v>20174</v>
      </c>
    </row>
    <row r="5522" spans="1:4" x14ac:dyDescent="0.25">
      <c r="A5522" s="384" t="s">
        <v>20175</v>
      </c>
      <c r="B5522" s="384" t="s">
        <v>20176</v>
      </c>
      <c r="C5522" s="384" t="s">
        <v>2884</v>
      </c>
      <c r="D5522" s="385" t="s">
        <v>20177</v>
      </c>
    </row>
    <row r="5523" spans="1:4" x14ac:dyDescent="0.25">
      <c r="A5523" s="384" t="s">
        <v>20178</v>
      </c>
      <c r="B5523" s="384" t="s">
        <v>20179</v>
      </c>
      <c r="C5523" s="384" t="s">
        <v>2884</v>
      </c>
      <c r="D5523" s="385" t="s">
        <v>20180</v>
      </c>
    </row>
    <row r="5524" spans="1:4" x14ac:dyDescent="0.25">
      <c r="A5524" s="384" t="s">
        <v>20181</v>
      </c>
      <c r="B5524" s="384" t="s">
        <v>20182</v>
      </c>
      <c r="C5524" s="384" t="s">
        <v>2884</v>
      </c>
      <c r="D5524" s="385" t="s">
        <v>13489</v>
      </c>
    </row>
    <row r="5525" spans="1:4" x14ac:dyDescent="0.25">
      <c r="A5525" s="384" t="s">
        <v>20183</v>
      </c>
      <c r="B5525" s="384" t="s">
        <v>20184</v>
      </c>
      <c r="C5525" s="384" t="s">
        <v>2884</v>
      </c>
      <c r="D5525" s="385" t="s">
        <v>20185</v>
      </c>
    </row>
    <row r="5526" spans="1:4" x14ac:dyDescent="0.25">
      <c r="A5526" s="384" t="s">
        <v>20186</v>
      </c>
      <c r="B5526" s="384" t="s">
        <v>20187</v>
      </c>
      <c r="C5526" s="384" t="s">
        <v>2884</v>
      </c>
      <c r="D5526" s="385" t="s">
        <v>20188</v>
      </c>
    </row>
    <row r="5527" spans="1:4" x14ac:dyDescent="0.25">
      <c r="A5527" s="384" t="s">
        <v>20189</v>
      </c>
      <c r="B5527" s="384" t="s">
        <v>20190</v>
      </c>
      <c r="C5527" s="384" t="s">
        <v>2884</v>
      </c>
      <c r="D5527" s="385" t="s">
        <v>20191</v>
      </c>
    </row>
    <row r="5528" spans="1:4" x14ac:dyDescent="0.25">
      <c r="A5528" s="384" t="s">
        <v>20192</v>
      </c>
      <c r="B5528" s="384" t="s">
        <v>20193</v>
      </c>
      <c r="C5528" s="384" t="s">
        <v>2884</v>
      </c>
      <c r="D5528" s="385" t="s">
        <v>20194</v>
      </c>
    </row>
    <row r="5529" spans="1:4" x14ac:dyDescent="0.25">
      <c r="A5529" s="384" t="s">
        <v>20195</v>
      </c>
      <c r="B5529" s="384" t="s">
        <v>20196</v>
      </c>
      <c r="C5529" s="384" t="s">
        <v>2884</v>
      </c>
      <c r="D5529" s="385" t="s">
        <v>11835</v>
      </c>
    </row>
    <row r="5530" spans="1:4" x14ac:dyDescent="0.25">
      <c r="A5530" s="384" t="s">
        <v>20197</v>
      </c>
      <c r="B5530" s="384" t="s">
        <v>20198</v>
      </c>
      <c r="C5530" s="384" t="s">
        <v>2884</v>
      </c>
      <c r="D5530" s="385" t="s">
        <v>17697</v>
      </c>
    </row>
    <row r="5531" spans="1:4" x14ac:dyDescent="0.25">
      <c r="A5531" s="384" t="s">
        <v>20199</v>
      </c>
      <c r="B5531" s="384" t="s">
        <v>20200</v>
      </c>
      <c r="C5531" s="384" t="s">
        <v>2884</v>
      </c>
      <c r="D5531" s="385" t="s">
        <v>20201</v>
      </c>
    </row>
    <row r="5532" spans="1:4" x14ac:dyDescent="0.25">
      <c r="A5532" s="384" t="s">
        <v>20202</v>
      </c>
      <c r="B5532" s="384" t="s">
        <v>20203</v>
      </c>
      <c r="C5532" s="384" t="s">
        <v>2884</v>
      </c>
      <c r="D5532" s="385" t="s">
        <v>20204</v>
      </c>
    </row>
    <row r="5533" spans="1:4" x14ac:dyDescent="0.25">
      <c r="A5533" s="384" t="s">
        <v>20205</v>
      </c>
      <c r="B5533" s="384" t="s">
        <v>20206</v>
      </c>
      <c r="C5533" s="384" t="s">
        <v>2884</v>
      </c>
      <c r="D5533" s="385" t="s">
        <v>20207</v>
      </c>
    </row>
    <row r="5534" spans="1:4" x14ac:dyDescent="0.25">
      <c r="A5534" s="384" t="s">
        <v>20208</v>
      </c>
      <c r="B5534" s="384" t="s">
        <v>20209</v>
      </c>
      <c r="C5534" s="384" t="s">
        <v>2884</v>
      </c>
      <c r="D5534" s="385" t="s">
        <v>11928</v>
      </c>
    </row>
    <row r="5535" spans="1:4" x14ac:dyDescent="0.25">
      <c r="A5535" s="384" t="s">
        <v>20210</v>
      </c>
      <c r="B5535" s="384" t="s">
        <v>20211</v>
      </c>
      <c r="C5535" s="384" t="s">
        <v>2884</v>
      </c>
      <c r="D5535" s="385" t="s">
        <v>20212</v>
      </c>
    </row>
    <row r="5536" spans="1:4" x14ac:dyDescent="0.25">
      <c r="A5536" s="384" t="s">
        <v>20213</v>
      </c>
      <c r="B5536" s="384" t="s">
        <v>20214</v>
      </c>
      <c r="C5536" s="384" t="s">
        <v>2884</v>
      </c>
      <c r="D5536" s="385" t="s">
        <v>20215</v>
      </c>
    </row>
    <row r="5537" spans="1:4" x14ac:dyDescent="0.25">
      <c r="A5537" s="384" t="s">
        <v>20216</v>
      </c>
      <c r="B5537" s="384" t="s">
        <v>20217</v>
      </c>
      <c r="C5537" s="384" t="s">
        <v>2884</v>
      </c>
      <c r="D5537" s="385" t="s">
        <v>20218</v>
      </c>
    </row>
    <row r="5538" spans="1:4" x14ac:dyDescent="0.25">
      <c r="A5538" s="384" t="s">
        <v>20219</v>
      </c>
      <c r="B5538" s="384" t="s">
        <v>20220</v>
      </c>
      <c r="C5538" s="384" t="s">
        <v>2884</v>
      </c>
      <c r="D5538" s="385" t="s">
        <v>16667</v>
      </c>
    </row>
    <row r="5539" spans="1:4" x14ac:dyDescent="0.25">
      <c r="A5539" s="384" t="s">
        <v>20221</v>
      </c>
      <c r="B5539" s="384" t="s">
        <v>20222</v>
      </c>
      <c r="C5539" s="384" t="s">
        <v>2884</v>
      </c>
      <c r="D5539" s="385" t="s">
        <v>14698</v>
      </c>
    </row>
    <row r="5540" spans="1:4" x14ac:dyDescent="0.25">
      <c r="A5540" s="384" t="s">
        <v>20223</v>
      </c>
      <c r="B5540" s="384" t="s">
        <v>20224</v>
      </c>
      <c r="C5540" s="384" t="s">
        <v>2884</v>
      </c>
      <c r="D5540" s="385" t="s">
        <v>20225</v>
      </c>
    </row>
    <row r="5541" spans="1:4" x14ac:dyDescent="0.25">
      <c r="A5541" s="384" t="s">
        <v>20226</v>
      </c>
      <c r="B5541" s="384" t="s">
        <v>20227</v>
      </c>
      <c r="C5541" s="384" t="s">
        <v>2884</v>
      </c>
      <c r="D5541" s="385" t="s">
        <v>20228</v>
      </c>
    </row>
    <row r="5542" spans="1:4" x14ac:dyDescent="0.25">
      <c r="A5542" s="384" t="s">
        <v>20229</v>
      </c>
      <c r="B5542" s="384" t="s">
        <v>20230</v>
      </c>
      <c r="C5542" s="384" t="s">
        <v>2884</v>
      </c>
      <c r="D5542" s="385" t="s">
        <v>20231</v>
      </c>
    </row>
    <row r="5543" spans="1:4" x14ac:dyDescent="0.25">
      <c r="A5543" s="384" t="s">
        <v>20232</v>
      </c>
      <c r="B5543" s="384" t="s">
        <v>20233</v>
      </c>
      <c r="C5543" s="384" t="s">
        <v>2884</v>
      </c>
      <c r="D5543" s="385" t="s">
        <v>20234</v>
      </c>
    </row>
    <row r="5544" spans="1:4" x14ac:dyDescent="0.25">
      <c r="A5544" s="384" t="s">
        <v>20235</v>
      </c>
      <c r="B5544" s="384" t="s">
        <v>20236</v>
      </c>
      <c r="C5544" s="384" t="s">
        <v>2884</v>
      </c>
      <c r="D5544" s="385" t="s">
        <v>20237</v>
      </c>
    </row>
    <row r="5545" spans="1:4" x14ac:dyDescent="0.25">
      <c r="A5545" s="384" t="s">
        <v>20238</v>
      </c>
      <c r="B5545" s="384" t="s">
        <v>20239</v>
      </c>
      <c r="C5545" s="384" t="s">
        <v>2884</v>
      </c>
      <c r="D5545" s="385" t="s">
        <v>20240</v>
      </c>
    </row>
    <row r="5546" spans="1:4" x14ac:dyDescent="0.25">
      <c r="A5546" s="384" t="s">
        <v>20241</v>
      </c>
      <c r="B5546" s="384" t="s">
        <v>20242</v>
      </c>
      <c r="C5546" s="384" t="s">
        <v>2884</v>
      </c>
      <c r="D5546" s="385" t="s">
        <v>20243</v>
      </c>
    </row>
    <row r="5547" spans="1:4" x14ac:dyDescent="0.25">
      <c r="A5547" s="384" t="s">
        <v>20244</v>
      </c>
      <c r="B5547" s="384" t="s">
        <v>20245</v>
      </c>
      <c r="C5547" s="384" t="s">
        <v>2884</v>
      </c>
      <c r="D5547" s="385" t="s">
        <v>20246</v>
      </c>
    </row>
    <row r="5548" spans="1:4" x14ac:dyDescent="0.25">
      <c r="A5548" s="384" t="s">
        <v>20247</v>
      </c>
      <c r="B5548" s="384" t="s">
        <v>20248</v>
      </c>
      <c r="C5548" s="384" t="s">
        <v>2884</v>
      </c>
      <c r="D5548" s="385" t="s">
        <v>20249</v>
      </c>
    </row>
    <row r="5549" spans="1:4" x14ac:dyDescent="0.25">
      <c r="A5549" s="384" t="s">
        <v>20250</v>
      </c>
      <c r="B5549" s="384" t="s">
        <v>20251</v>
      </c>
      <c r="C5549" s="384" t="s">
        <v>2884</v>
      </c>
      <c r="D5549" s="385" t="s">
        <v>20252</v>
      </c>
    </row>
    <row r="5550" spans="1:4" x14ac:dyDescent="0.25">
      <c r="A5550" s="384" t="s">
        <v>20253</v>
      </c>
      <c r="B5550" s="384" t="s">
        <v>20254</v>
      </c>
      <c r="C5550" s="384" t="s">
        <v>2884</v>
      </c>
      <c r="D5550" s="385" t="s">
        <v>10941</v>
      </c>
    </row>
    <row r="5551" spans="1:4" x14ac:dyDescent="0.25">
      <c r="A5551" s="384" t="s">
        <v>20255</v>
      </c>
      <c r="B5551" s="384" t="s">
        <v>20256</v>
      </c>
      <c r="C5551" s="384" t="s">
        <v>2884</v>
      </c>
      <c r="D5551" s="385" t="s">
        <v>20257</v>
      </c>
    </row>
    <row r="5552" spans="1:4" x14ac:dyDescent="0.25">
      <c r="A5552" s="384" t="s">
        <v>20258</v>
      </c>
      <c r="B5552" s="384" t="s">
        <v>20259</v>
      </c>
      <c r="C5552" s="384" t="s">
        <v>2884</v>
      </c>
      <c r="D5552" s="385" t="s">
        <v>20260</v>
      </c>
    </row>
    <row r="5553" spans="1:4" x14ac:dyDescent="0.25">
      <c r="A5553" s="384" t="s">
        <v>20261</v>
      </c>
      <c r="B5553" s="384" t="s">
        <v>20262</v>
      </c>
      <c r="C5553" s="384" t="s">
        <v>2884</v>
      </c>
      <c r="D5553" s="385" t="s">
        <v>20263</v>
      </c>
    </row>
    <row r="5554" spans="1:4" x14ac:dyDescent="0.25">
      <c r="A5554" s="384" t="s">
        <v>20264</v>
      </c>
      <c r="B5554" s="384" t="s">
        <v>20265</v>
      </c>
      <c r="C5554" s="384" t="s">
        <v>2884</v>
      </c>
      <c r="D5554" s="385" t="s">
        <v>20266</v>
      </c>
    </row>
    <row r="5555" spans="1:4" x14ac:dyDescent="0.25">
      <c r="A5555" s="384" t="s">
        <v>20267</v>
      </c>
      <c r="B5555" s="384" t="s">
        <v>20268</v>
      </c>
      <c r="C5555" s="384" t="s">
        <v>2884</v>
      </c>
      <c r="D5555" s="385" t="s">
        <v>20269</v>
      </c>
    </row>
    <row r="5556" spans="1:4" x14ac:dyDescent="0.25">
      <c r="A5556" s="384" t="s">
        <v>20270</v>
      </c>
      <c r="B5556" s="384" t="s">
        <v>20271</v>
      </c>
      <c r="C5556" s="384" t="s">
        <v>2884</v>
      </c>
      <c r="D5556" s="385" t="s">
        <v>15985</v>
      </c>
    </row>
    <row r="5557" spans="1:4" x14ac:dyDescent="0.25">
      <c r="A5557" s="384" t="s">
        <v>20272</v>
      </c>
      <c r="B5557" s="384" t="s">
        <v>20273</v>
      </c>
      <c r="C5557" s="384" t="s">
        <v>82</v>
      </c>
      <c r="D5557" s="385" t="s">
        <v>11344</v>
      </c>
    </row>
    <row r="5558" spans="1:4" x14ac:dyDescent="0.25">
      <c r="A5558" s="384" t="s">
        <v>20274</v>
      </c>
      <c r="B5558" s="384" t="s">
        <v>20275</v>
      </c>
      <c r="C5558" s="384" t="s">
        <v>82</v>
      </c>
      <c r="D5558" s="385" t="s">
        <v>12905</v>
      </c>
    </row>
    <row r="5559" spans="1:4" x14ac:dyDescent="0.25">
      <c r="A5559" s="384" t="s">
        <v>20276</v>
      </c>
      <c r="B5559" s="384" t="s">
        <v>20277</v>
      </c>
      <c r="C5559" s="384" t="s">
        <v>2884</v>
      </c>
      <c r="D5559" s="385" t="s">
        <v>20278</v>
      </c>
    </row>
    <row r="5560" spans="1:4" x14ac:dyDescent="0.25">
      <c r="A5560" s="384" t="s">
        <v>20279</v>
      </c>
      <c r="B5560" s="384" t="s">
        <v>20280</v>
      </c>
      <c r="C5560" s="384" t="s">
        <v>2884</v>
      </c>
      <c r="D5560" s="385" t="s">
        <v>20281</v>
      </c>
    </row>
    <row r="5561" spans="1:4" x14ac:dyDescent="0.25">
      <c r="A5561" s="384" t="s">
        <v>20282</v>
      </c>
      <c r="B5561" s="384" t="s">
        <v>20283</v>
      </c>
      <c r="C5561" s="384" t="s">
        <v>2884</v>
      </c>
      <c r="D5561" s="385" t="s">
        <v>20284</v>
      </c>
    </row>
    <row r="5562" spans="1:4" x14ac:dyDescent="0.25">
      <c r="A5562" s="384" t="s">
        <v>20285</v>
      </c>
      <c r="B5562" s="384" t="s">
        <v>20286</v>
      </c>
      <c r="C5562" s="384" t="s">
        <v>2884</v>
      </c>
      <c r="D5562" s="385" t="s">
        <v>20287</v>
      </c>
    </row>
    <row r="5563" spans="1:4" x14ac:dyDescent="0.25">
      <c r="A5563" s="384" t="s">
        <v>20288</v>
      </c>
      <c r="B5563" s="384" t="s">
        <v>20289</v>
      </c>
      <c r="C5563" s="384" t="s">
        <v>2884</v>
      </c>
      <c r="D5563" s="385" t="s">
        <v>20290</v>
      </c>
    </row>
    <row r="5564" spans="1:4" x14ac:dyDescent="0.25">
      <c r="A5564" s="384" t="s">
        <v>20291</v>
      </c>
      <c r="B5564" s="384" t="s">
        <v>20292</v>
      </c>
      <c r="C5564" s="384" t="s">
        <v>2884</v>
      </c>
      <c r="D5564" s="385" t="s">
        <v>20293</v>
      </c>
    </row>
    <row r="5565" spans="1:4" x14ac:dyDescent="0.25">
      <c r="A5565" s="384" t="s">
        <v>20294</v>
      </c>
      <c r="B5565" s="384" t="s">
        <v>20295</v>
      </c>
      <c r="C5565" s="384" t="s">
        <v>2884</v>
      </c>
      <c r="D5565" s="385" t="s">
        <v>20296</v>
      </c>
    </row>
    <row r="5566" spans="1:4" x14ac:dyDescent="0.25">
      <c r="A5566" s="384" t="s">
        <v>20297</v>
      </c>
      <c r="B5566" s="384" t="s">
        <v>20298</v>
      </c>
      <c r="C5566" s="384" t="s">
        <v>2884</v>
      </c>
      <c r="D5566" s="385" t="s">
        <v>16996</v>
      </c>
    </row>
    <row r="5567" spans="1:4" x14ac:dyDescent="0.25">
      <c r="A5567" s="384" t="s">
        <v>20299</v>
      </c>
      <c r="B5567" s="384" t="s">
        <v>20300</v>
      </c>
      <c r="C5567" s="384" t="s">
        <v>2884</v>
      </c>
      <c r="D5567" s="385" t="s">
        <v>20301</v>
      </c>
    </row>
    <row r="5568" spans="1:4" x14ac:dyDescent="0.25">
      <c r="A5568" s="384" t="s">
        <v>20302</v>
      </c>
      <c r="B5568" s="384" t="s">
        <v>20303</v>
      </c>
      <c r="C5568" s="384" t="s">
        <v>2884</v>
      </c>
      <c r="D5568" s="385" t="s">
        <v>20304</v>
      </c>
    </row>
    <row r="5569" spans="1:4" x14ac:dyDescent="0.25">
      <c r="A5569" s="384" t="s">
        <v>20305</v>
      </c>
      <c r="B5569" s="384" t="s">
        <v>20306</v>
      </c>
      <c r="C5569" s="384" t="s">
        <v>76</v>
      </c>
      <c r="D5569" s="385" t="s">
        <v>20307</v>
      </c>
    </row>
    <row r="5570" spans="1:4" x14ac:dyDescent="0.25">
      <c r="A5570" s="384" t="s">
        <v>20308</v>
      </c>
      <c r="B5570" s="384" t="s">
        <v>20309</v>
      </c>
      <c r="C5570" s="384" t="s">
        <v>76</v>
      </c>
      <c r="D5570" s="385" t="s">
        <v>20310</v>
      </c>
    </row>
    <row r="5571" spans="1:4" x14ac:dyDescent="0.25">
      <c r="A5571" s="384" t="s">
        <v>20311</v>
      </c>
      <c r="B5571" s="384" t="s">
        <v>20312</v>
      </c>
      <c r="C5571" s="384" t="s">
        <v>76</v>
      </c>
      <c r="D5571" s="385" t="s">
        <v>20313</v>
      </c>
    </row>
    <row r="5572" spans="1:4" x14ac:dyDescent="0.25">
      <c r="A5572" s="384" t="s">
        <v>20314</v>
      </c>
      <c r="B5572" s="384" t="s">
        <v>20315</v>
      </c>
      <c r="C5572" s="384" t="s">
        <v>76</v>
      </c>
      <c r="D5572" s="385" t="s">
        <v>20316</v>
      </c>
    </row>
    <row r="5573" spans="1:4" x14ac:dyDescent="0.25">
      <c r="A5573" s="384" t="s">
        <v>20317</v>
      </c>
      <c r="B5573" s="384" t="s">
        <v>20318</v>
      </c>
      <c r="C5573" s="384" t="s">
        <v>2884</v>
      </c>
      <c r="D5573" s="385" t="s">
        <v>20319</v>
      </c>
    </row>
    <row r="5574" spans="1:4" x14ac:dyDescent="0.25">
      <c r="A5574" s="384" t="s">
        <v>20320</v>
      </c>
      <c r="B5574" s="384" t="s">
        <v>20321</v>
      </c>
      <c r="C5574" s="384" t="s">
        <v>2884</v>
      </c>
      <c r="D5574" s="385" t="s">
        <v>12946</v>
      </c>
    </row>
    <row r="5575" spans="1:4" x14ac:dyDescent="0.25">
      <c r="A5575" s="384" t="s">
        <v>20322</v>
      </c>
      <c r="B5575" s="384" t="s">
        <v>20323</v>
      </c>
      <c r="C5575" s="384" t="s">
        <v>2884</v>
      </c>
      <c r="D5575" s="385" t="s">
        <v>20324</v>
      </c>
    </row>
    <row r="5576" spans="1:4" x14ac:dyDescent="0.25">
      <c r="A5576" s="384" t="s">
        <v>20325</v>
      </c>
      <c r="B5576" s="384" t="s">
        <v>20326</v>
      </c>
      <c r="C5576" s="384" t="s">
        <v>2884</v>
      </c>
      <c r="D5576" s="385" t="s">
        <v>20327</v>
      </c>
    </row>
    <row r="5577" spans="1:4" x14ac:dyDescent="0.25">
      <c r="A5577" s="384" t="s">
        <v>20328</v>
      </c>
      <c r="B5577" s="384" t="s">
        <v>20329</v>
      </c>
      <c r="C5577" s="384" t="s">
        <v>2884</v>
      </c>
      <c r="D5577" s="385" t="s">
        <v>20330</v>
      </c>
    </row>
    <row r="5578" spans="1:4" x14ac:dyDescent="0.25">
      <c r="A5578" s="384" t="s">
        <v>20331</v>
      </c>
      <c r="B5578" s="384" t="s">
        <v>20332</v>
      </c>
      <c r="C5578" s="384" t="s">
        <v>2884</v>
      </c>
      <c r="D5578" s="385" t="s">
        <v>20333</v>
      </c>
    </row>
    <row r="5579" spans="1:4" x14ac:dyDescent="0.25">
      <c r="A5579" s="384" t="s">
        <v>20334</v>
      </c>
      <c r="B5579" s="384" t="s">
        <v>20335</v>
      </c>
      <c r="C5579" s="384" t="s">
        <v>2884</v>
      </c>
      <c r="D5579" s="385" t="s">
        <v>17108</v>
      </c>
    </row>
    <row r="5580" spans="1:4" x14ac:dyDescent="0.25">
      <c r="A5580" s="384" t="s">
        <v>20336</v>
      </c>
      <c r="B5580" s="384" t="s">
        <v>20337</v>
      </c>
      <c r="C5580" s="384" t="s">
        <v>76</v>
      </c>
      <c r="D5580" s="385" t="s">
        <v>20338</v>
      </c>
    </row>
    <row r="5581" spans="1:4" x14ac:dyDescent="0.25">
      <c r="A5581" s="384" t="s">
        <v>20339</v>
      </c>
      <c r="B5581" s="384" t="s">
        <v>20340</v>
      </c>
      <c r="C5581" s="384" t="s">
        <v>76</v>
      </c>
      <c r="D5581" s="385" t="s">
        <v>20341</v>
      </c>
    </row>
    <row r="5582" spans="1:4" x14ac:dyDescent="0.25">
      <c r="A5582" s="384" t="s">
        <v>20342</v>
      </c>
      <c r="B5582" s="384" t="s">
        <v>20343</v>
      </c>
      <c r="C5582" s="384" t="s">
        <v>76</v>
      </c>
      <c r="D5582" s="385" t="s">
        <v>20344</v>
      </c>
    </row>
    <row r="5583" spans="1:4" x14ac:dyDescent="0.25">
      <c r="A5583" s="384" t="s">
        <v>20345</v>
      </c>
      <c r="B5583" s="384" t="s">
        <v>20346</v>
      </c>
      <c r="C5583" s="384" t="s">
        <v>76</v>
      </c>
      <c r="D5583" s="385" t="s">
        <v>20347</v>
      </c>
    </row>
    <row r="5584" spans="1:4" x14ac:dyDescent="0.25">
      <c r="A5584" s="384" t="s">
        <v>20348</v>
      </c>
      <c r="B5584" s="384" t="s">
        <v>20349</v>
      </c>
      <c r="C5584" s="384" t="s">
        <v>76</v>
      </c>
      <c r="D5584" s="385" t="s">
        <v>20350</v>
      </c>
    </row>
    <row r="5585" spans="1:4" x14ac:dyDescent="0.25">
      <c r="A5585" s="384" t="s">
        <v>20351</v>
      </c>
      <c r="B5585" s="384" t="s">
        <v>20352</v>
      </c>
      <c r="C5585" s="384" t="s">
        <v>76</v>
      </c>
      <c r="D5585" s="385" t="s">
        <v>20353</v>
      </c>
    </row>
    <row r="5586" spans="1:4" x14ac:dyDescent="0.25">
      <c r="A5586" s="384" t="s">
        <v>20354</v>
      </c>
      <c r="B5586" s="384" t="s">
        <v>20355</v>
      </c>
      <c r="C5586" s="384" t="s">
        <v>76</v>
      </c>
      <c r="D5586" s="385" t="s">
        <v>20356</v>
      </c>
    </row>
    <row r="5587" spans="1:4" x14ac:dyDescent="0.25">
      <c r="A5587" s="384" t="s">
        <v>20357</v>
      </c>
      <c r="B5587" s="384" t="s">
        <v>20358</v>
      </c>
      <c r="C5587" s="384" t="s">
        <v>76</v>
      </c>
      <c r="D5587" s="385" t="s">
        <v>14654</v>
      </c>
    </row>
    <row r="5588" spans="1:4" x14ac:dyDescent="0.25">
      <c r="A5588" s="384" t="s">
        <v>20359</v>
      </c>
      <c r="B5588" s="384" t="s">
        <v>20360</v>
      </c>
      <c r="C5588" s="384" t="s">
        <v>76</v>
      </c>
      <c r="D5588" s="385" t="s">
        <v>20361</v>
      </c>
    </row>
    <row r="5589" spans="1:4" x14ac:dyDescent="0.25">
      <c r="A5589" s="384" t="s">
        <v>20362</v>
      </c>
      <c r="B5589" s="384" t="s">
        <v>20363</v>
      </c>
      <c r="C5589" s="384" t="s">
        <v>76</v>
      </c>
      <c r="D5589" s="385" t="s">
        <v>20364</v>
      </c>
    </row>
    <row r="5590" spans="1:4" x14ac:dyDescent="0.25">
      <c r="A5590" s="384" t="s">
        <v>20365</v>
      </c>
      <c r="B5590" s="384" t="s">
        <v>20366</v>
      </c>
      <c r="C5590" s="384" t="s">
        <v>76</v>
      </c>
      <c r="D5590" s="385" t="s">
        <v>20367</v>
      </c>
    </row>
    <row r="5591" spans="1:4" x14ac:dyDescent="0.25">
      <c r="A5591" s="384" t="s">
        <v>20368</v>
      </c>
      <c r="B5591" s="384" t="s">
        <v>20369</v>
      </c>
      <c r="C5591" s="384" t="s">
        <v>76</v>
      </c>
      <c r="D5591" s="385" t="s">
        <v>20370</v>
      </c>
    </row>
    <row r="5592" spans="1:4" x14ac:dyDescent="0.25">
      <c r="A5592" s="384" t="s">
        <v>20371</v>
      </c>
      <c r="B5592" s="384" t="s">
        <v>20372</v>
      </c>
      <c r="C5592" s="384" t="s">
        <v>76</v>
      </c>
      <c r="D5592" s="385" t="s">
        <v>20373</v>
      </c>
    </row>
    <row r="5593" spans="1:4" x14ac:dyDescent="0.25">
      <c r="A5593" s="384" t="s">
        <v>20374</v>
      </c>
      <c r="B5593" s="384" t="s">
        <v>20375</v>
      </c>
      <c r="C5593" s="384" t="s">
        <v>76</v>
      </c>
      <c r="D5593" s="385" t="s">
        <v>20376</v>
      </c>
    </row>
    <row r="5594" spans="1:4" x14ac:dyDescent="0.25">
      <c r="A5594" s="384" t="s">
        <v>20377</v>
      </c>
      <c r="B5594" s="384" t="s">
        <v>20378</v>
      </c>
      <c r="C5594" s="384" t="s">
        <v>76</v>
      </c>
      <c r="D5594" s="385" t="s">
        <v>11976</v>
      </c>
    </row>
    <row r="5595" spans="1:4" x14ac:dyDescent="0.25">
      <c r="A5595" s="384" t="s">
        <v>20379</v>
      </c>
      <c r="B5595" s="384" t="s">
        <v>20380</v>
      </c>
      <c r="C5595" s="384" t="s">
        <v>76</v>
      </c>
      <c r="D5595" s="385" t="s">
        <v>20381</v>
      </c>
    </row>
    <row r="5596" spans="1:4" x14ac:dyDescent="0.25">
      <c r="A5596" s="384" t="s">
        <v>20382</v>
      </c>
      <c r="B5596" s="384" t="s">
        <v>20383</v>
      </c>
      <c r="C5596" s="384" t="s">
        <v>76</v>
      </c>
      <c r="D5596" s="385" t="s">
        <v>6379</v>
      </c>
    </row>
    <row r="5597" spans="1:4" x14ac:dyDescent="0.25">
      <c r="A5597" s="384" t="s">
        <v>20384</v>
      </c>
      <c r="B5597" s="384" t="s">
        <v>20385</v>
      </c>
      <c r="C5597" s="384" t="s">
        <v>76</v>
      </c>
      <c r="D5597" s="385" t="s">
        <v>20386</v>
      </c>
    </row>
    <row r="5598" spans="1:4" x14ac:dyDescent="0.25">
      <c r="A5598" s="384" t="s">
        <v>20387</v>
      </c>
      <c r="B5598" s="384" t="s">
        <v>20388</v>
      </c>
      <c r="C5598" s="384" t="s">
        <v>76</v>
      </c>
      <c r="D5598" s="385" t="s">
        <v>20389</v>
      </c>
    </row>
    <row r="5599" spans="1:4" x14ac:dyDescent="0.25">
      <c r="A5599" s="384" t="s">
        <v>20390</v>
      </c>
      <c r="B5599" s="384" t="s">
        <v>20391</v>
      </c>
      <c r="C5599" s="384" t="s">
        <v>76</v>
      </c>
      <c r="D5599" s="385" t="s">
        <v>20392</v>
      </c>
    </row>
    <row r="5600" spans="1:4" x14ac:dyDescent="0.25">
      <c r="A5600" s="384" t="s">
        <v>20393</v>
      </c>
      <c r="B5600" s="384" t="s">
        <v>20394</v>
      </c>
      <c r="C5600" s="384" t="s">
        <v>76</v>
      </c>
      <c r="D5600" s="385" t="s">
        <v>20395</v>
      </c>
    </row>
    <row r="5601" spans="1:4" x14ac:dyDescent="0.25">
      <c r="A5601" s="384" t="s">
        <v>20396</v>
      </c>
      <c r="B5601" s="384" t="s">
        <v>20397</v>
      </c>
      <c r="C5601" s="384" t="s">
        <v>76</v>
      </c>
      <c r="D5601" s="385" t="s">
        <v>20398</v>
      </c>
    </row>
    <row r="5602" spans="1:4" x14ac:dyDescent="0.25">
      <c r="A5602" s="384" t="s">
        <v>20399</v>
      </c>
      <c r="B5602" s="384" t="s">
        <v>20400</v>
      </c>
      <c r="C5602" s="384" t="s">
        <v>76</v>
      </c>
      <c r="D5602" s="385" t="s">
        <v>20401</v>
      </c>
    </row>
    <row r="5603" spans="1:4" x14ac:dyDescent="0.25">
      <c r="A5603" s="384" t="s">
        <v>20402</v>
      </c>
      <c r="B5603" s="384" t="s">
        <v>20403</v>
      </c>
      <c r="C5603" s="384" t="s">
        <v>76</v>
      </c>
      <c r="D5603" s="385" t="s">
        <v>20404</v>
      </c>
    </row>
    <row r="5604" spans="1:4" x14ac:dyDescent="0.25">
      <c r="A5604" s="384" t="s">
        <v>20405</v>
      </c>
      <c r="B5604" s="384" t="s">
        <v>20406</v>
      </c>
      <c r="C5604" s="384" t="s">
        <v>76</v>
      </c>
      <c r="D5604" s="385" t="s">
        <v>20407</v>
      </c>
    </row>
    <row r="5605" spans="1:4" x14ac:dyDescent="0.25">
      <c r="A5605" s="384" t="s">
        <v>20408</v>
      </c>
      <c r="B5605" s="384" t="s">
        <v>20409</v>
      </c>
      <c r="C5605" s="384" t="s">
        <v>76</v>
      </c>
      <c r="D5605" s="385" t="s">
        <v>20410</v>
      </c>
    </row>
    <row r="5606" spans="1:4" x14ac:dyDescent="0.25">
      <c r="A5606" s="384" t="s">
        <v>20411</v>
      </c>
      <c r="B5606" s="384" t="s">
        <v>20412</v>
      </c>
      <c r="C5606" s="384" t="s">
        <v>76</v>
      </c>
      <c r="D5606" s="385" t="s">
        <v>20413</v>
      </c>
    </row>
    <row r="5607" spans="1:4" x14ac:dyDescent="0.25">
      <c r="A5607" s="384" t="s">
        <v>20414</v>
      </c>
      <c r="B5607" s="384" t="s">
        <v>20415</v>
      </c>
      <c r="C5607" s="384" t="s">
        <v>76</v>
      </c>
      <c r="D5607" s="385" t="s">
        <v>20416</v>
      </c>
    </row>
    <row r="5608" spans="1:4" x14ac:dyDescent="0.25">
      <c r="A5608" s="384" t="s">
        <v>20417</v>
      </c>
      <c r="B5608" s="384" t="s">
        <v>20418</v>
      </c>
      <c r="C5608" s="384" t="s">
        <v>2884</v>
      </c>
      <c r="D5608" s="385" t="s">
        <v>20419</v>
      </c>
    </row>
    <row r="5609" spans="1:4" x14ac:dyDescent="0.25">
      <c r="A5609" s="384" t="s">
        <v>20420</v>
      </c>
      <c r="B5609" s="384" t="s">
        <v>20421</v>
      </c>
      <c r="C5609" s="384" t="s">
        <v>2884</v>
      </c>
      <c r="D5609" s="385" t="s">
        <v>20422</v>
      </c>
    </row>
    <row r="5610" spans="1:4" x14ac:dyDescent="0.25">
      <c r="A5610" s="384" t="s">
        <v>20423</v>
      </c>
      <c r="B5610" s="384" t="s">
        <v>20424</v>
      </c>
      <c r="C5610" s="384" t="s">
        <v>2884</v>
      </c>
      <c r="D5610" s="385" t="s">
        <v>20425</v>
      </c>
    </row>
    <row r="5611" spans="1:4" x14ac:dyDescent="0.25">
      <c r="A5611" s="384" t="s">
        <v>20426</v>
      </c>
      <c r="B5611" s="384" t="s">
        <v>20427</v>
      </c>
      <c r="C5611" s="384" t="s">
        <v>2884</v>
      </c>
      <c r="D5611" s="385" t="s">
        <v>20428</v>
      </c>
    </row>
    <row r="5612" spans="1:4" x14ac:dyDescent="0.25">
      <c r="A5612" s="384" t="s">
        <v>20429</v>
      </c>
      <c r="B5612" s="384" t="s">
        <v>20430</v>
      </c>
      <c r="C5612" s="384" t="s">
        <v>2884</v>
      </c>
      <c r="D5612" s="385" t="s">
        <v>20431</v>
      </c>
    </row>
    <row r="5613" spans="1:4" x14ac:dyDescent="0.25">
      <c r="A5613" s="384" t="s">
        <v>20432</v>
      </c>
      <c r="B5613" s="384" t="s">
        <v>20433</v>
      </c>
      <c r="C5613" s="384" t="s">
        <v>2884</v>
      </c>
      <c r="D5613" s="385" t="s">
        <v>20434</v>
      </c>
    </row>
    <row r="5614" spans="1:4" x14ac:dyDescent="0.25">
      <c r="A5614" s="384" t="s">
        <v>20435</v>
      </c>
      <c r="B5614" s="384" t="s">
        <v>20436</v>
      </c>
      <c r="C5614" s="384" t="s">
        <v>2884</v>
      </c>
      <c r="D5614" s="385" t="s">
        <v>11473</v>
      </c>
    </row>
    <row r="5615" spans="1:4" x14ac:dyDescent="0.25">
      <c r="A5615" s="384" t="s">
        <v>20437</v>
      </c>
      <c r="B5615" s="384" t="s">
        <v>20438</v>
      </c>
      <c r="C5615" s="384" t="s">
        <v>2884</v>
      </c>
      <c r="D5615" s="385" t="s">
        <v>20439</v>
      </c>
    </row>
    <row r="5616" spans="1:4" x14ac:dyDescent="0.25">
      <c r="A5616" s="384" t="s">
        <v>20440</v>
      </c>
      <c r="B5616" s="384" t="s">
        <v>20441</v>
      </c>
      <c r="C5616" s="384" t="s">
        <v>2884</v>
      </c>
      <c r="D5616" s="385" t="s">
        <v>7686</v>
      </c>
    </row>
    <row r="5617" spans="1:4" x14ac:dyDescent="0.25">
      <c r="A5617" s="384" t="s">
        <v>20442</v>
      </c>
      <c r="B5617" s="384" t="s">
        <v>20443</v>
      </c>
      <c r="C5617" s="384" t="s">
        <v>2884</v>
      </c>
      <c r="D5617" s="385" t="s">
        <v>18875</v>
      </c>
    </row>
    <row r="5618" spans="1:4" x14ac:dyDescent="0.25">
      <c r="A5618" s="384" t="s">
        <v>20444</v>
      </c>
      <c r="B5618" s="384" t="s">
        <v>20445</v>
      </c>
      <c r="C5618" s="384" t="s">
        <v>2884</v>
      </c>
      <c r="D5618" s="385" t="s">
        <v>20446</v>
      </c>
    </row>
    <row r="5619" spans="1:4" x14ac:dyDescent="0.25">
      <c r="A5619" s="384" t="s">
        <v>20447</v>
      </c>
      <c r="B5619" s="384" t="s">
        <v>20448</v>
      </c>
      <c r="C5619" s="384" t="s">
        <v>2884</v>
      </c>
      <c r="D5619" s="385" t="s">
        <v>20449</v>
      </c>
    </row>
    <row r="5620" spans="1:4" x14ac:dyDescent="0.25">
      <c r="A5620" s="384" t="s">
        <v>20450</v>
      </c>
      <c r="B5620" s="384" t="s">
        <v>20451</v>
      </c>
      <c r="C5620" s="384" t="s">
        <v>2884</v>
      </c>
      <c r="D5620" s="385" t="s">
        <v>20452</v>
      </c>
    </row>
    <row r="5621" spans="1:4" x14ac:dyDescent="0.25">
      <c r="A5621" s="384" t="s">
        <v>20453</v>
      </c>
      <c r="B5621" s="384" t="s">
        <v>20454</v>
      </c>
      <c r="C5621" s="384" t="s">
        <v>2884</v>
      </c>
      <c r="D5621" s="385" t="s">
        <v>20455</v>
      </c>
    </row>
    <row r="5622" spans="1:4" x14ac:dyDescent="0.25">
      <c r="A5622" s="384" t="s">
        <v>20456</v>
      </c>
      <c r="B5622" s="384" t="s">
        <v>20457</v>
      </c>
      <c r="C5622" s="384" t="s">
        <v>2884</v>
      </c>
      <c r="D5622" s="385" t="s">
        <v>11467</v>
      </c>
    </row>
    <row r="5623" spans="1:4" x14ac:dyDescent="0.25">
      <c r="A5623" s="384" t="s">
        <v>20458</v>
      </c>
      <c r="B5623" s="384" t="s">
        <v>20459</v>
      </c>
      <c r="C5623" s="384" t="s">
        <v>2884</v>
      </c>
      <c r="D5623" s="385" t="s">
        <v>20460</v>
      </c>
    </row>
    <row r="5624" spans="1:4" x14ac:dyDescent="0.25">
      <c r="A5624" s="384" t="s">
        <v>20461</v>
      </c>
      <c r="B5624" s="384" t="s">
        <v>20462</v>
      </c>
      <c r="C5624" s="384" t="s">
        <v>2884</v>
      </c>
      <c r="D5624" s="385" t="s">
        <v>20463</v>
      </c>
    </row>
    <row r="5625" spans="1:4" x14ac:dyDescent="0.25">
      <c r="A5625" s="384" t="s">
        <v>20464</v>
      </c>
      <c r="B5625" s="384" t="s">
        <v>20465</v>
      </c>
      <c r="C5625" s="384" t="s">
        <v>2884</v>
      </c>
      <c r="D5625" s="385" t="s">
        <v>20466</v>
      </c>
    </row>
    <row r="5626" spans="1:4" x14ac:dyDescent="0.25">
      <c r="A5626" s="384" t="s">
        <v>20467</v>
      </c>
      <c r="B5626" s="384" t="s">
        <v>20468</v>
      </c>
      <c r="C5626" s="384" t="s">
        <v>2884</v>
      </c>
      <c r="D5626" s="385" t="s">
        <v>20469</v>
      </c>
    </row>
    <row r="5627" spans="1:4" x14ac:dyDescent="0.25">
      <c r="A5627" s="384" t="s">
        <v>20470</v>
      </c>
      <c r="B5627" s="384" t="s">
        <v>20471</v>
      </c>
      <c r="C5627" s="384" t="s">
        <v>2884</v>
      </c>
      <c r="D5627" s="385" t="s">
        <v>8070</v>
      </c>
    </row>
    <row r="5628" spans="1:4" x14ac:dyDescent="0.25">
      <c r="A5628" s="384" t="s">
        <v>20472</v>
      </c>
      <c r="B5628" s="384" t="s">
        <v>20473</v>
      </c>
      <c r="C5628" s="384" t="s">
        <v>2884</v>
      </c>
      <c r="D5628" s="385" t="s">
        <v>16473</v>
      </c>
    </row>
    <row r="5629" spans="1:4" x14ac:dyDescent="0.25">
      <c r="A5629" s="384" t="s">
        <v>20474</v>
      </c>
      <c r="B5629" s="384" t="s">
        <v>20475</v>
      </c>
      <c r="C5629" s="384" t="s">
        <v>76</v>
      </c>
      <c r="D5629" s="385" t="s">
        <v>20476</v>
      </c>
    </row>
    <row r="5630" spans="1:4" x14ac:dyDescent="0.25">
      <c r="A5630" s="384" t="s">
        <v>20477</v>
      </c>
      <c r="B5630" s="384" t="s">
        <v>20478</v>
      </c>
      <c r="C5630" s="384" t="s">
        <v>76</v>
      </c>
      <c r="D5630" s="385" t="s">
        <v>20479</v>
      </c>
    </row>
    <row r="5631" spans="1:4" x14ac:dyDescent="0.25">
      <c r="A5631" s="384" t="s">
        <v>20480</v>
      </c>
      <c r="B5631" s="384" t="s">
        <v>20481</v>
      </c>
      <c r="C5631" s="384" t="s">
        <v>2884</v>
      </c>
      <c r="D5631" s="385" t="s">
        <v>6641</v>
      </c>
    </row>
    <row r="5632" spans="1:4" x14ac:dyDescent="0.25">
      <c r="A5632" s="384" t="s">
        <v>20482</v>
      </c>
      <c r="B5632" s="384" t="s">
        <v>20483</v>
      </c>
      <c r="C5632" s="384" t="s">
        <v>2884</v>
      </c>
      <c r="D5632" s="385" t="s">
        <v>20484</v>
      </c>
    </row>
    <row r="5633" spans="1:4" x14ac:dyDescent="0.25">
      <c r="A5633" s="384" t="s">
        <v>20485</v>
      </c>
      <c r="B5633" s="384" t="s">
        <v>20486</v>
      </c>
      <c r="C5633" s="384" t="s">
        <v>2884</v>
      </c>
      <c r="D5633" s="385" t="s">
        <v>20487</v>
      </c>
    </row>
    <row r="5634" spans="1:4" x14ac:dyDescent="0.25">
      <c r="A5634" s="384" t="s">
        <v>20488</v>
      </c>
      <c r="B5634" s="384" t="s">
        <v>20489</v>
      </c>
      <c r="C5634" s="384" t="s">
        <v>2884</v>
      </c>
      <c r="D5634" s="385" t="s">
        <v>20490</v>
      </c>
    </row>
    <row r="5635" spans="1:4" x14ac:dyDescent="0.25">
      <c r="A5635" s="384" t="s">
        <v>20491</v>
      </c>
      <c r="B5635" s="384" t="s">
        <v>20492</v>
      </c>
      <c r="C5635" s="384" t="s">
        <v>76</v>
      </c>
      <c r="D5635" s="385" t="s">
        <v>12105</v>
      </c>
    </row>
    <row r="5636" spans="1:4" x14ac:dyDescent="0.25">
      <c r="A5636" s="384" t="s">
        <v>20493</v>
      </c>
      <c r="B5636" s="384" t="s">
        <v>20494</v>
      </c>
      <c r="C5636" s="384" t="s">
        <v>76</v>
      </c>
      <c r="D5636" s="385" t="s">
        <v>20495</v>
      </c>
    </row>
    <row r="5637" spans="1:4" x14ac:dyDescent="0.25">
      <c r="A5637" s="384" t="s">
        <v>20496</v>
      </c>
      <c r="B5637" s="384" t="s">
        <v>20497</v>
      </c>
      <c r="C5637" s="384" t="s">
        <v>76</v>
      </c>
      <c r="D5637" s="385" t="s">
        <v>20498</v>
      </c>
    </row>
    <row r="5638" spans="1:4" x14ac:dyDescent="0.25">
      <c r="A5638" s="384" t="s">
        <v>20499</v>
      </c>
      <c r="B5638" s="384" t="s">
        <v>20500</v>
      </c>
      <c r="C5638" s="384" t="s">
        <v>76</v>
      </c>
      <c r="D5638" s="385" t="s">
        <v>20501</v>
      </c>
    </row>
    <row r="5639" spans="1:4" x14ac:dyDescent="0.25">
      <c r="A5639" s="384" t="s">
        <v>20502</v>
      </c>
      <c r="B5639" s="384" t="s">
        <v>20503</v>
      </c>
      <c r="C5639" s="384" t="s">
        <v>76</v>
      </c>
      <c r="D5639" s="385" t="s">
        <v>20504</v>
      </c>
    </row>
    <row r="5640" spans="1:4" x14ac:dyDescent="0.25">
      <c r="A5640" s="384" t="s">
        <v>20505</v>
      </c>
      <c r="B5640" s="384" t="s">
        <v>20506</v>
      </c>
      <c r="C5640" s="384" t="s">
        <v>76</v>
      </c>
      <c r="D5640" s="385" t="s">
        <v>20507</v>
      </c>
    </row>
    <row r="5641" spans="1:4" x14ac:dyDescent="0.25">
      <c r="A5641" s="384" t="s">
        <v>20508</v>
      </c>
      <c r="B5641" s="384" t="s">
        <v>20509</v>
      </c>
      <c r="C5641" s="384" t="s">
        <v>76</v>
      </c>
      <c r="D5641" s="385" t="s">
        <v>20510</v>
      </c>
    </row>
    <row r="5642" spans="1:4" x14ac:dyDescent="0.25">
      <c r="A5642" s="384" t="s">
        <v>20511</v>
      </c>
      <c r="B5642" s="384" t="s">
        <v>20512</v>
      </c>
      <c r="C5642" s="384" t="s">
        <v>76</v>
      </c>
      <c r="D5642" s="385" t="s">
        <v>20513</v>
      </c>
    </row>
    <row r="5643" spans="1:4" x14ac:dyDescent="0.25">
      <c r="A5643" s="384" t="s">
        <v>20514</v>
      </c>
      <c r="B5643" s="384" t="s">
        <v>20515</v>
      </c>
      <c r="C5643" s="384" t="s">
        <v>76</v>
      </c>
      <c r="D5643" s="385" t="s">
        <v>20516</v>
      </c>
    </row>
    <row r="5644" spans="1:4" x14ac:dyDescent="0.25">
      <c r="A5644" s="384" t="s">
        <v>20517</v>
      </c>
      <c r="B5644" s="384" t="s">
        <v>20518</v>
      </c>
      <c r="C5644" s="384" t="s">
        <v>76</v>
      </c>
      <c r="D5644" s="385" t="s">
        <v>20519</v>
      </c>
    </row>
    <row r="5645" spans="1:4" x14ac:dyDescent="0.25">
      <c r="A5645" s="384" t="s">
        <v>20520</v>
      </c>
      <c r="B5645" s="384" t="s">
        <v>20521</v>
      </c>
      <c r="C5645" s="384" t="s">
        <v>2884</v>
      </c>
      <c r="D5645" s="385" t="s">
        <v>20522</v>
      </c>
    </row>
    <row r="5646" spans="1:4" x14ac:dyDescent="0.25">
      <c r="A5646" s="384" t="s">
        <v>20523</v>
      </c>
      <c r="B5646" s="384" t="s">
        <v>20524</v>
      </c>
      <c r="C5646" s="384" t="s">
        <v>76</v>
      </c>
      <c r="D5646" s="385" t="s">
        <v>20525</v>
      </c>
    </row>
    <row r="5647" spans="1:4" x14ac:dyDescent="0.25">
      <c r="A5647" s="384" t="s">
        <v>20526</v>
      </c>
      <c r="B5647" s="384" t="s">
        <v>20527</v>
      </c>
      <c r="C5647" s="384" t="s">
        <v>76</v>
      </c>
      <c r="D5647" s="385" t="s">
        <v>20528</v>
      </c>
    </row>
    <row r="5648" spans="1:4" x14ac:dyDescent="0.25">
      <c r="A5648" s="384" t="s">
        <v>20529</v>
      </c>
      <c r="B5648" s="384" t="s">
        <v>20530</v>
      </c>
      <c r="C5648" s="384" t="s">
        <v>76</v>
      </c>
      <c r="D5648" s="385" t="s">
        <v>20531</v>
      </c>
    </row>
    <row r="5649" spans="1:4" x14ac:dyDescent="0.25">
      <c r="A5649" s="384" t="s">
        <v>20532</v>
      </c>
      <c r="B5649" s="384" t="s">
        <v>20533</v>
      </c>
      <c r="C5649" s="384" t="s">
        <v>76</v>
      </c>
      <c r="D5649" s="385" t="s">
        <v>20534</v>
      </c>
    </row>
    <row r="5650" spans="1:4" x14ac:dyDescent="0.25">
      <c r="A5650" s="384" t="s">
        <v>20535</v>
      </c>
      <c r="B5650" s="384" t="s">
        <v>20536</v>
      </c>
      <c r="C5650" s="384" t="s">
        <v>76</v>
      </c>
      <c r="D5650" s="385" t="s">
        <v>20537</v>
      </c>
    </row>
    <row r="5651" spans="1:4" x14ac:dyDescent="0.25">
      <c r="A5651" s="384" t="s">
        <v>20538</v>
      </c>
      <c r="B5651" s="384" t="s">
        <v>20539</v>
      </c>
      <c r="C5651" s="384" t="s">
        <v>76</v>
      </c>
      <c r="D5651" s="385" t="s">
        <v>20540</v>
      </c>
    </row>
    <row r="5652" spans="1:4" x14ac:dyDescent="0.25">
      <c r="A5652" s="384" t="s">
        <v>20541</v>
      </c>
      <c r="B5652" s="384" t="s">
        <v>20542</v>
      </c>
      <c r="C5652" s="384" t="s">
        <v>76</v>
      </c>
      <c r="D5652" s="385" t="s">
        <v>20543</v>
      </c>
    </row>
    <row r="5653" spans="1:4" x14ac:dyDescent="0.25">
      <c r="A5653" s="384" t="s">
        <v>20544</v>
      </c>
      <c r="B5653" s="384" t="s">
        <v>20545</v>
      </c>
      <c r="C5653" s="384" t="s">
        <v>76</v>
      </c>
      <c r="D5653" s="385" t="s">
        <v>20546</v>
      </c>
    </row>
    <row r="5654" spans="1:4" x14ac:dyDescent="0.25">
      <c r="A5654" s="384" t="s">
        <v>20547</v>
      </c>
      <c r="B5654" s="384" t="s">
        <v>20548</v>
      </c>
      <c r="C5654" s="384" t="s">
        <v>76</v>
      </c>
      <c r="D5654" s="385" t="s">
        <v>20549</v>
      </c>
    </row>
    <row r="5655" spans="1:4" x14ac:dyDescent="0.25">
      <c r="A5655" s="384" t="s">
        <v>20550</v>
      </c>
      <c r="B5655" s="384" t="s">
        <v>20551</v>
      </c>
      <c r="C5655" s="384" t="s">
        <v>76</v>
      </c>
      <c r="D5655" s="385" t="s">
        <v>20552</v>
      </c>
    </row>
    <row r="5656" spans="1:4" x14ac:dyDescent="0.25">
      <c r="A5656" s="384" t="s">
        <v>20553</v>
      </c>
      <c r="B5656" s="384" t="s">
        <v>20554</v>
      </c>
      <c r="C5656" s="384" t="s">
        <v>76</v>
      </c>
      <c r="D5656" s="385" t="s">
        <v>20555</v>
      </c>
    </row>
    <row r="5657" spans="1:4" x14ac:dyDescent="0.25">
      <c r="A5657" s="384" t="s">
        <v>20556</v>
      </c>
      <c r="B5657" s="384" t="s">
        <v>20557</v>
      </c>
      <c r="C5657" s="384" t="s">
        <v>2884</v>
      </c>
      <c r="D5657" s="385" t="s">
        <v>6068</v>
      </c>
    </row>
    <row r="5658" spans="1:4" x14ac:dyDescent="0.25">
      <c r="A5658" s="384" t="s">
        <v>20558</v>
      </c>
      <c r="B5658" s="384" t="s">
        <v>20559</v>
      </c>
      <c r="C5658" s="384" t="s">
        <v>76</v>
      </c>
      <c r="D5658" s="385" t="s">
        <v>20560</v>
      </c>
    </row>
    <row r="5659" spans="1:4" x14ac:dyDescent="0.25">
      <c r="A5659" s="384" t="s">
        <v>20561</v>
      </c>
      <c r="B5659" s="384" t="s">
        <v>20562</v>
      </c>
      <c r="C5659" s="384" t="s">
        <v>76</v>
      </c>
      <c r="D5659" s="385" t="s">
        <v>20563</v>
      </c>
    </row>
    <row r="5660" spans="1:4" x14ac:dyDescent="0.25">
      <c r="A5660" s="384" t="s">
        <v>20564</v>
      </c>
      <c r="B5660" s="384" t="s">
        <v>20565</v>
      </c>
      <c r="C5660" s="384" t="s">
        <v>2884</v>
      </c>
      <c r="D5660" s="385" t="s">
        <v>20566</v>
      </c>
    </row>
    <row r="5661" spans="1:4" x14ac:dyDescent="0.25">
      <c r="A5661" s="384" t="s">
        <v>20567</v>
      </c>
      <c r="B5661" s="384" t="s">
        <v>20568</v>
      </c>
      <c r="C5661" s="384" t="s">
        <v>2884</v>
      </c>
      <c r="D5661" s="385" t="s">
        <v>20569</v>
      </c>
    </row>
    <row r="5662" spans="1:4" x14ac:dyDescent="0.25">
      <c r="A5662" s="384" t="s">
        <v>20570</v>
      </c>
      <c r="B5662" s="384" t="s">
        <v>20571</v>
      </c>
      <c r="C5662" s="384" t="s">
        <v>2884</v>
      </c>
      <c r="D5662" s="385" t="s">
        <v>16344</v>
      </c>
    </row>
    <row r="5663" spans="1:4" x14ac:dyDescent="0.25">
      <c r="A5663" s="384" t="s">
        <v>20572</v>
      </c>
      <c r="B5663" s="384" t="s">
        <v>20573</v>
      </c>
      <c r="C5663" s="384" t="s">
        <v>2884</v>
      </c>
      <c r="D5663" s="385" t="s">
        <v>20574</v>
      </c>
    </row>
    <row r="5664" spans="1:4" x14ac:dyDescent="0.25">
      <c r="A5664" s="384" t="s">
        <v>20575</v>
      </c>
      <c r="B5664" s="384" t="s">
        <v>20576</v>
      </c>
      <c r="C5664" s="384" t="s">
        <v>2884</v>
      </c>
      <c r="D5664" s="385" t="s">
        <v>20577</v>
      </c>
    </row>
    <row r="5665" spans="1:4" x14ac:dyDescent="0.25">
      <c r="A5665" s="384" t="s">
        <v>20578</v>
      </c>
      <c r="B5665" s="384" t="s">
        <v>20579</v>
      </c>
      <c r="C5665" s="384" t="s">
        <v>2884</v>
      </c>
      <c r="D5665" s="385" t="s">
        <v>20580</v>
      </c>
    </row>
    <row r="5666" spans="1:4" x14ac:dyDescent="0.25">
      <c r="A5666" s="384" t="s">
        <v>20581</v>
      </c>
      <c r="B5666" s="384" t="s">
        <v>20582</v>
      </c>
      <c r="C5666" s="384" t="s">
        <v>2884</v>
      </c>
      <c r="D5666" s="385" t="s">
        <v>20583</v>
      </c>
    </row>
    <row r="5667" spans="1:4" x14ac:dyDescent="0.25">
      <c r="A5667" s="384" t="s">
        <v>20584</v>
      </c>
      <c r="B5667" s="384" t="s">
        <v>20585</v>
      </c>
      <c r="C5667" s="384" t="s">
        <v>2884</v>
      </c>
      <c r="D5667" s="385" t="s">
        <v>20586</v>
      </c>
    </row>
    <row r="5668" spans="1:4" x14ac:dyDescent="0.25">
      <c r="A5668" s="384" t="s">
        <v>20587</v>
      </c>
      <c r="B5668" s="384" t="s">
        <v>20588</v>
      </c>
      <c r="C5668" s="384" t="s">
        <v>2884</v>
      </c>
      <c r="D5668" s="385" t="s">
        <v>20589</v>
      </c>
    </row>
    <row r="5669" spans="1:4" x14ac:dyDescent="0.25">
      <c r="A5669" s="384" t="s">
        <v>20590</v>
      </c>
      <c r="B5669" s="384" t="s">
        <v>20591</v>
      </c>
      <c r="C5669" s="384" t="s">
        <v>2884</v>
      </c>
      <c r="D5669" s="385" t="s">
        <v>20592</v>
      </c>
    </row>
    <row r="5670" spans="1:4" x14ac:dyDescent="0.25">
      <c r="A5670" s="384" t="s">
        <v>20593</v>
      </c>
      <c r="B5670" s="384" t="s">
        <v>20594</v>
      </c>
      <c r="C5670" s="384" t="s">
        <v>2884</v>
      </c>
      <c r="D5670" s="385" t="s">
        <v>20595</v>
      </c>
    </row>
    <row r="5671" spans="1:4" x14ac:dyDescent="0.25">
      <c r="A5671" s="384" t="s">
        <v>20596</v>
      </c>
      <c r="B5671" s="384" t="s">
        <v>20597</v>
      </c>
      <c r="C5671" s="384" t="s">
        <v>2884</v>
      </c>
      <c r="D5671" s="385" t="s">
        <v>20598</v>
      </c>
    </row>
    <row r="5672" spans="1:4" x14ac:dyDescent="0.25">
      <c r="A5672" s="384" t="s">
        <v>20599</v>
      </c>
      <c r="B5672" s="384" t="s">
        <v>20600</v>
      </c>
      <c r="C5672" s="384" t="s">
        <v>2884</v>
      </c>
      <c r="D5672" s="385" t="s">
        <v>20601</v>
      </c>
    </row>
    <row r="5673" spans="1:4" x14ac:dyDescent="0.25">
      <c r="A5673" s="384" t="s">
        <v>20602</v>
      </c>
      <c r="B5673" s="384" t="s">
        <v>20603</v>
      </c>
      <c r="C5673" s="384" t="s">
        <v>2884</v>
      </c>
      <c r="D5673" s="385" t="s">
        <v>20604</v>
      </c>
    </row>
    <row r="5674" spans="1:4" x14ac:dyDescent="0.25">
      <c r="A5674" s="384" t="s">
        <v>20605</v>
      </c>
      <c r="B5674" s="384" t="s">
        <v>20606</v>
      </c>
      <c r="C5674" s="384" t="s">
        <v>2884</v>
      </c>
      <c r="D5674" s="385" t="s">
        <v>20607</v>
      </c>
    </row>
    <row r="5675" spans="1:4" x14ac:dyDescent="0.25">
      <c r="A5675" s="384" t="s">
        <v>20608</v>
      </c>
      <c r="B5675" s="384" t="s">
        <v>20609</v>
      </c>
      <c r="C5675" s="384" t="s">
        <v>2884</v>
      </c>
      <c r="D5675" s="385" t="s">
        <v>20610</v>
      </c>
    </row>
    <row r="5676" spans="1:4" x14ac:dyDescent="0.25">
      <c r="A5676" s="384" t="s">
        <v>20611</v>
      </c>
      <c r="B5676" s="384" t="s">
        <v>20612</v>
      </c>
      <c r="C5676" s="384" t="s">
        <v>2884</v>
      </c>
      <c r="D5676" s="385" t="s">
        <v>20613</v>
      </c>
    </row>
    <row r="5677" spans="1:4" x14ac:dyDescent="0.25">
      <c r="A5677" s="384" t="s">
        <v>20614</v>
      </c>
      <c r="B5677" s="384" t="s">
        <v>20615</v>
      </c>
      <c r="C5677" s="384" t="s">
        <v>2884</v>
      </c>
      <c r="D5677" s="385" t="s">
        <v>20616</v>
      </c>
    </row>
    <row r="5678" spans="1:4" x14ac:dyDescent="0.25">
      <c r="A5678" s="384" t="s">
        <v>20617</v>
      </c>
      <c r="B5678" s="384" t="s">
        <v>20618</v>
      </c>
      <c r="C5678" s="384" t="s">
        <v>2884</v>
      </c>
      <c r="D5678" s="385" t="s">
        <v>20619</v>
      </c>
    </row>
    <row r="5679" spans="1:4" x14ac:dyDescent="0.25">
      <c r="A5679" s="384" t="s">
        <v>20620</v>
      </c>
      <c r="B5679" s="384" t="s">
        <v>20621</v>
      </c>
      <c r="C5679" s="384" t="s">
        <v>2884</v>
      </c>
      <c r="D5679" s="385" t="s">
        <v>20622</v>
      </c>
    </row>
    <row r="5680" spans="1:4" x14ac:dyDescent="0.25">
      <c r="A5680" s="384" t="s">
        <v>20623</v>
      </c>
      <c r="B5680" s="384" t="s">
        <v>20624</v>
      </c>
      <c r="C5680" s="384" t="s">
        <v>2884</v>
      </c>
      <c r="D5680" s="385" t="s">
        <v>20625</v>
      </c>
    </row>
    <row r="5681" spans="1:4" x14ac:dyDescent="0.25">
      <c r="A5681" s="384" t="s">
        <v>20626</v>
      </c>
      <c r="B5681" s="384" t="s">
        <v>20627</v>
      </c>
      <c r="C5681" s="384" t="s">
        <v>2884</v>
      </c>
      <c r="D5681" s="385" t="s">
        <v>20628</v>
      </c>
    </row>
    <row r="5682" spans="1:4" x14ac:dyDescent="0.25">
      <c r="A5682" s="384" t="s">
        <v>20629</v>
      </c>
      <c r="B5682" s="384" t="s">
        <v>20630</v>
      </c>
      <c r="C5682" s="384" t="s">
        <v>2884</v>
      </c>
      <c r="D5682" s="385" t="s">
        <v>20631</v>
      </c>
    </row>
    <row r="5683" spans="1:4" x14ac:dyDescent="0.25">
      <c r="A5683" s="384" t="s">
        <v>20632</v>
      </c>
      <c r="B5683" s="384" t="s">
        <v>20633</v>
      </c>
      <c r="C5683" s="384" t="s">
        <v>2884</v>
      </c>
      <c r="D5683" s="385" t="s">
        <v>20634</v>
      </c>
    </row>
    <row r="5684" spans="1:4" x14ac:dyDescent="0.25">
      <c r="A5684" s="384" t="s">
        <v>20635</v>
      </c>
      <c r="B5684" s="384" t="s">
        <v>20636</v>
      </c>
      <c r="C5684" s="384" t="s">
        <v>2884</v>
      </c>
      <c r="D5684" s="385" t="s">
        <v>20637</v>
      </c>
    </row>
    <row r="5685" spans="1:4" x14ac:dyDescent="0.25">
      <c r="A5685" s="384" t="s">
        <v>20638</v>
      </c>
      <c r="B5685" s="384" t="s">
        <v>20639</v>
      </c>
      <c r="C5685" s="384" t="s">
        <v>2884</v>
      </c>
      <c r="D5685" s="385" t="s">
        <v>20640</v>
      </c>
    </row>
    <row r="5686" spans="1:4" x14ac:dyDescent="0.25">
      <c r="A5686" s="384" t="s">
        <v>20641</v>
      </c>
      <c r="B5686" s="384" t="s">
        <v>20642</v>
      </c>
      <c r="C5686" s="384" t="s">
        <v>2884</v>
      </c>
      <c r="D5686" s="385" t="s">
        <v>20643</v>
      </c>
    </row>
    <row r="5687" spans="1:4" x14ac:dyDescent="0.25">
      <c r="A5687" s="384" t="s">
        <v>20644</v>
      </c>
      <c r="B5687" s="384" t="s">
        <v>20645</v>
      </c>
      <c r="C5687" s="384" t="s">
        <v>2884</v>
      </c>
      <c r="D5687" s="385" t="s">
        <v>20646</v>
      </c>
    </row>
    <row r="5688" spans="1:4" x14ac:dyDescent="0.25">
      <c r="A5688" s="384" t="s">
        <v>20647</v>
      </c>
      <c r="B5688" s="384" t="s">
        <v>20648</v>
      </c>
      <c r="C5688" s="384" t="s">
        <v>2884</v>
      </c>
      <c r="D5688" s="385" t="s">
        <v>20649</v>
      </c>
    </row>
    <row r="5689" spans="1:4" x14ac:dyDescent="0.25">
      <c r="A5689" s="384" t="s">
        <v>20650</v>
      </c>
      <c r="B5689" s="384" t="s">
        <v>20651</v>
      </c>
      <c r="C5689" s="384" t="s">
        <v>2884</v>
      </c>
      <c r="D5689" s="385" t="s">
        <v>20652</v>
      </c>
    </row>
    <row r="5690" spans="1:4" x14ac:dyDescent="0.25">
      <c r="A5690" s="384" t="s">
        <v>20653</v>
      </c>
      <c r="B5690" s="384" t="s">
        <v>20654</v>
      </c>
      <c r="C5690" s="384" t="s">
        <v>2884</v>
      </c>
      <c r="D5690" s="385" t="s">
        <v>5970</v>
      </c>
    </row>
    <row r="5691" spans="1:4" x14ac:dyDescent="0.25">
      <c r="A5691" s="384" t="s">
        <v>20655</v>
      </c>
      <c r="B5691" s="384" t="s">
        <v>20656</v>
      </c>
      <c r="C5691" s="384" t="s">
        <v>82</v>
      </c>
      <c r="D5691" s="385" t="s">
        <v>5910</v>
      </c>
    </row>
    <row r="5692" spans="1:4" x14ac:dyDescent="0.25">
      <c r="A5692" s="384" t="s">
        <v>20657</v>
      </c>
      <c r="B5692" s="384" t="s">
        <v>20658</v>
      </c>
      <c r="C5692" s="384" t="s">
        <v>77</v>
      </c>
      <c r="D5692" s="385" t="s">
        <v>20659</v>
      </c>
    </row>
    <row r="5693" spans="1:4" x14ac:dyDescent="0.25">
      <c r="A5693" s="384" t="s">
        <v>20660</v>
      </c>
      <c r="B5693" s="384" t="s">
        <v>20661</v>
      </c>
      <c r="C5693" s="384" t="s">
        <v>77</v>
      </c>
      <c r="D5693" s="385" t="s">
        <v>20662</v>
      </c>
    </row>
    <row r="5694" spans="1:4" x14ac:dyDescent="0.25">
      <c r="A5694" s="384" t="s">
        <v>20663</v>
      </c>
      <c r="B5694" s="384" t="s">
        <v>20664</v>
      </c>
      <c r="C5694" s="384" t="s">
        <v>77</v>
      </c>
      <c r="D5694" s="385" t="s">
        <v>16134</v>
      </c>
    </row>
    <row r="5695" spans="1:4" x14ac:dyDescent="0.25">
      <c r="A5695" s="384" t="s">
        <v>20665</v>
      </c>
      <c r="B5695" s="384" t="s">
        <v>20666</v>
      </c>
      <c r="C5695" s="384" t="s">
        <v>77</v>
      </c>
      <c r="D5695" s="385" t="s">
        <v>20667</v>
      </c>
    </row>
    <row r="5696" spans="1:4" x14ac:dyDescent="0.25">
      <c r="A5696" s="384" t="s">
        <v>20668</v>
      </c>
      <c r="B5696" s="384" t="s">
        <v>20669</v>
      </c>
      <c r="C5696" s="384" t="s">
        <v>77</v>
      </c>
      <c r="D5696" s="385" t="s">
        <v>11197</v>
      </c>
    </row>
    <row r="5697" spans="1:4" x14ac:dyDescent="0.25">
      <c r="A5697" s="384" t="s">
        <v>20670</v>
      </c>
      <c r="B5697" s="384" t="s">
        <v>20671</v>
      </c>
      <c r="C5697" s="384" t="s">
        <v>77</v>
      </c>
      <c r="D5697" s="385" t="s">
        <v>20672</v>
      </c>
    </row>
    <row r="5698" spans="1:4" x14ac:dyDescent="0.25">
      <c r="A5698" s="384" t="s">
        <v>20673</v>
      </c>
      <c r="B5698" s="384" t="s">
        <v>20674</v>
      </c>
      <c r="C5698" s="384" t="s">
        <v>2884</v>
      </c>
      <c r="D5698" s="385" t="s">
        <v>14941</v>
      </c>
    </row>
    <row r="5699" spans="1:4" x14ac:dyDescent="0.25">
      <c r="A5699" s="384" t="s">
        <v>20675</v>
      </c>
      <c r="B5699" s="384" t="s">
        <v>20676</v>
      </c>
      <c r="C5699" s="384" t="s">
        <v>2884</v>
      </c>
      <c r="D5699" s="385" t="s">
        <v>20677</v>
      </c>
    </row>
    <row r="5700" spans="1:4" x14ac:dyDescent="0.25">
      <c r="A5700" s="384" t="s">
        <v>20678</v>
      </c>
      <c r="B5700" s="384" t="s">
        <v>20679</v>
      </c>
      <c r="C5700" s="384" t="s">
        <v>2884</v>
      </c>
      <c r="D5700" s="385" t="s">
        <v>15174</v>
      </c>
    </row>
    <row r="5701" spans="1:4" x14ac:dyDescent="0.25">
      <c r="A5701" s="384" t="s">
        <v>20680</v>
      </c>
      <c r="B5701" s="384" t="s">
        <v>20681</v>
      </c>
      <c r="C5701" s="384" t="s">
        <v>2884</v>
      </c>
      <c r="D5701" s="385" t="s">
        <v>11197</v>
      </c>
    </row>
    <row r="5702" spans="1:4" x14ac:dyDescent="0.25">
      <c r="A5702" s="384" t="s">
        <v>20682</v>
      </c>
      <c r="B5702" s="384" t="s">
        <v>20683</v>
      </c>
      <c r="C5702" s="384" t="s">
        <v>2884</v>
      </c>
      <c r="D5702" s="385" t="s">
        <v>14613</v>
      </c>
    </row>
    <row r="5703" spans="1:4" x14ac:dyDescent="0.25">
      <c r="A5703" s="384" t="s">
        <v>20684</v>
      </c>
      <c r="B5703" s="384" t="s">
        <v>20685</v>
      </c>
      <c r="C5703" s="384" t="s">
        <v>2884</v>
      </c>
      <c r="D5703" s="385" t="s">
        <v>11464</v>
      </c>
    </row>
    <row r="5704" spans="1:4" x14ac:dyDescent="0.25">
      <c r="A5704" s="384" t="s">
        <v>20686</v>
      </c>
      <c r="B5704" s="384" t="s">
        <v>20687</v>
      </c>
      <c r="C5704" s="384" t="s">
        <v>2884</v>
      </c>
      <c r="D5704" s="385" t="s">
        <v>20688</v>
      </c>
    </row>
    <row r="5705" spans="1:4" x14ac:dyDescent="0.25">
      <c r="A5705" s="384" t="s">
        <v>20689</v>
      </c>
      <c r="B5705" s="384" t="s">
        <v>20690</v>
      </c>
      <c r="C5705" s="384" t="s">
        <v>2884</v>
      </c>
      <c r="D5705" s="385" t="s">
        <v>11987</v>
      </c>
    </row>
    <row r="5706" spans="1:4" x14ac:dyDescent="0.25">
      <c r="A5706" s="384" t="s">
        <v>20691</v>
      </c>
      <c r="B5706" s="384" t="s">
        <v>20692</v>
      </c>
      <c r="C5706" s="384" t="s">
        <v>2884</v>
      </c>
      <c r="D5706" s="385" t="s">
        <v>20693</v>
      </c>
    </row>
    <row r="5707" spans="1:4" x14ac:dyDescent="0.25">
      <c r="A5707" s="384" t="s">
        <v>20694</v>
      </c>
      <c r="B5707" s="384" t="s">
        <v>20695</v>
      </c>
      <c r="C5707" s="384" t="s">
        <v>2884</v>
      </c>
      <c r="D5707" s="385" t="s">
        <v>20696</v>
      </c>
    </row>
    <row r="5708" spans="1:4" x14ac:dyDescent="0.25">
      <c r="A5708" s="384" t="s">
        <v>20697</v>
      </c>
      <c r="B5708" s="384" t="s">
        <v>20698</v>
      </c>
      <c r="C5708" s="384" t="s">
        <v>2884</v>
      </c>
      <c r="D5708" s="385" t="s">
        <v>20699</v>
      </c>
    </row>
    <row r="5709" spans="1:4" x14ac:dyDescent="0.25">
      <c r="A5709" s="384" t="s">
        <v>20700</v>
      </c>
      <c r="B5709" s="384" t="s">
        <v>20701</v>
      </c>
      <c r="C5709" s="384" t="s">
        <v>2884</v>
      </c>
      <c r="D5709" s="385" t="s">
        <v>20702</v>
      </c>
    </row>
    <row r="5710" spans="1:4" x14ac:dyDescent="0.25">
      <c r="A5710" s="384" t="s">
        <v>20703</v>
      </c>
      <c r="B5710" s="384" t="s">
        <v>20704</v>
      </c>
      <c r="C5710" s="384" t="s">
        <v>2884</v>
      </c>
      <c r="D5710" s="385" t="s">
        <v>20705</v>
      </c>
    </row>
    <row r="5711" spans="1:4" x14ac:dyDescent="0.25">
      <c r="A5711" s="384" t="s">
        <v>20706</v>
      </c>
      <c r="B5711" s="384" t="s">
        <v>20707</v>
      </c>
      <c r="C5711" s="384" t="s">
        <v>2884</v>
      </c>
      <c r="D5711" s="385" t="s">
        <v>19959</v>
      </c>
    </row>
    <row r="5712" spans="1:4" x14ac:dyDescent="0.25">
      <c r="A5712" s="384" t="s">
        <v>20708</v>
      </c>
      <c r="B5712" s="384" t="s">
        <v>20709</v>
      </c>
      <c r="C5712" s="384" t="s">
        <v>76</v>
      </c>
      <c r="D5712" s="385" t="s">
        <v>20710</v>
      </c>
    </row>
    <row r="5713" spans="1:4" x14ac:dyDescent="0.25">
      <c r="A5713" s="384" t="s">
        <v>20711</v>
      </c>
      <c r="B5713" s="384" t="s">
        <v>20712</v>
      </c>
      <c r="C5713" s="384" t="s">
        <v>76</v>
      </c>
      <c r="D5713" s="385" t="s">
        <v>20713</v>
      </c>
    </row>
    <row r="5714" spans="1:4" x14ac:dyDescent="0.25">
      <c r="A5714" s="384" t="s">
        <v>20714</v>
      </c>
      <c r="B5714" s="384" t="s">
        <v>20715</v>
      </c>
      <c r="C5714" s="384" t="s">
        <v>2884</v>
      </c>
      <c r="D5714" s="385" t="s">
        <v>7833</v>
      </c>
    </row>
    <row r="5715" spans="1:4" x14ac:dyDescent="0.25">
      <c r="A5715" s="384" t="s">
        <v>20716</v>
      </c>
      <c r="B5715" s="384" t="s">
        <v>20717</v>
      </c>
      <c r="C5715" s="384" t="s">
        <v>76</v>
      </c>
      <c r="D5715" s="385" t="s">
        <v>20718</v>
      </c>
    </row>
    <row r="5716" spans="1:4" x14ac:dyDescent="0.25">
      <c r="A5716" s="384" t="s">
        <v>20719</v>
      </c>
      <c r="B5716" s="384" t="s">
        <v>20720</v>
      </c>
      <c r="C5716" s="384" t="s">
        <v>76</v>
      </c>
      <c r="D5716" s="385" t="s">
        <v>20721</v>
      </c>
    </row>
    <row r="5717" spans="1:4" x14ac:dyDescent="0.25">
      <c r="A5717" s="384" t="s">
        <v>20722</v>
      </c>
      <c r="B5717" s="384" t="s">
        <v>20723</v>
      </c>
      <c r="C5717" s="384" t="s">
        <v>76</v>
      </c>
      <c r="D5717" s="385" t="s">
        <v>20724</v>
      </c>
    </row>
    <row r="5718" spans="1:4" x14ac:dyDescent="0.25">
      <c r="A5718" s="384" t="s">
        <v>20725</v>
      </c>
      <c r="B5718" s="384" t="s">
        <v>20726</v>
      </c>
      <c r="C5718" s="384" t="s">
        <v>76</v>
      </c>
      <c r="D5718" s="385" t="s">
        <v>20727</v>
      </c>
    </row>
    <row r="5719" spans="1:4" x14ac:dyDescent="0.25">
      <c r="A5719" s="384" t="s">
        <v>20728</v>
      </c>
      <c r="B5719" s="384" t="s">
        <v>20729</v>
      </c>
      <c r="C5719" s="384" t="s">
        <v>76</v>
      </c>
      <c r="D5719" s="385" t="s">
        <v>20730</v>
      </c>
    </row>
    <row r="5720" spans="1:4" x14ac:dyDescent="0.25">
      <c r="A5720" s="384" t="s">
        <v>20731</v>
      </c>
      <c r="B5720" s="384" t="s">
        <v>20732</v>
      </c>
      <c r="C5720" s="384" t="s">
        <v>3464</v>
      </c>
      <c r="D5720" s="385" t="s">
        <v>20733</v>
      </c>
    </row>
    <row r="5721" spans="1:4" x14ac:dyDescent="0.25">
      <c r="A5721" s="384" t="s">
        <v>20734</v>
      </c>
      <c r="B5721" s="384" t="s">
        <v>20735</v>
      </c>
      <c r="C5721" s="384" t="s">
        <v>3464</v>
      </c>
      <c r="D5721" s="385" t="s">
        <v>20736</v>
      </c>
    </row>
    <row r="5722" spans="1:4" x14ac:dyDescent="0.25">
      <c r="A5722" s="384" t="s">
        <v>20737</v>
      </c>
      <c r="B5722" s="384" t="s">
        <v>20738</v>
      </c>
      <c r="C5722" s="384" t="s">
        <v>3464</v>
      </c>
      <c r="D5722" s="385" t="s">
        <v>20739</v>
      </c>
    </row>
    <row r="5723" spans="1:4" x14ac:dyDescent="0.25">
      <c r="A5723" s="384" t="s">
        <v>20740</v>
      </c>
      <c r="B5723" s="384" t="s">
        <v>20741</v>
      </c>
      <c r="C5723" s="384" t="s">
        <v>3464</v>
      </c>
      <c r="D5723" s="385" t="s">
        <v>20742</v>
      </c>
    </row>
    <row r="5724" spans="1:4" x14ac:dyDescent="0.25">
      <c r="A5724" s="384" t="s">
        <v>20743</v>
      </c>
      <c r="B5724" s="384" t="s">
        <v>20744</v>
      </c>
      <c r="C5724" s="384" t="s">
        <v>3464</v>
      </c>
      <c r="D5724" s="385" t="s">
        <v>20745</v>
      </c>
    </row>
    <row r="5725" spans="1:4" x14ac:dyDescent="0.25">
      <c r="A5725" s="384" t="s">
        <v>20746</v>
      </c>
      <c r="B5725" s="384" t="s">
        <v>20747</v>
      </c>
      <c r="C5725" s="384" t="s">
        <v>3464</v>
      </c>
      <c r="D5725" s="385" t="s">
        <v>20748</v>
      </c>
    </row>
    <row r="5726" spans="1:4" x14ac:dyDescent="0.25">
      <c r="A5726" s="384" t="s">
        <v>20749</v>
      </c>
      <c r="B5726" s="384" t="s">
        <v>20750</v>
      </c>
      <c r="C5726" s="384" t="s">
        <v>3464</v>
      </c>
      <c r="D5726" s="385" t="s">
        <v>20751</v>
      </c>
    </row>
    <row r="5727" spans="1:4" x14ac:dyDescent="0.25">
      <c r="A5727" s="384" t="s">
        <v>20752</v>
      </c>
      <c r="B5727" s="384" t="s">
        <v>20753</v>
      </c>
      <c r="C5727" s="384" t="s">
        <v>3464</v>
      </c>
      <c r="D5727" s="385" t="s">
        <v>20754</v>
      </c>
    </row>
    <row r="5728" spans="1:4" x14ac:dyDescent="0.25">
      <c r="A5728" s="384" t="s">
        <v>20755</v>
      </c>
      <c r="B5728" s="384" t="s">
        <v>20756</v>
      </c>
      <c r="C5728" s="384" t="s">
        <v>2884</v>
      </c>
      <c r="D5728" s="385" t="s">
        <v>20757</v>
      </c>
    </row>
    <row r="5729" spans="1:4" x14ac:dyDescent="0.25">
      <c r="A5729" s="384" t="s">
        <v>20758</v>
      </c>
      <c r="B5729" s="384" t="s">
        <v>20759</v>
      </c>
      <c r="C5729" s="384" t="s">
        <v>2884</v>
      </c>
      <c r="D5729" s="385" t="s">
        <v>20760</v>
      </c>
    </row>
    <row r="5730" spans="1:4" x14ac:dyDescent="0.25">
      <c r="A5730" s="384" t="s">
        <v>20761</v>
      </c>
      <c r="B5730" s="384" t="s">
        <v>20762</v>
      </c>
      <c r="C5730" s="384" t="s">
        <v>2884</v>
      </c>
      <c r="D5730" s="385" t="s">
        <v>20763</v>
      </c>
    </row>
    <row r="5731" spans="1:4" x14ac:dyDescent="0.25">
      <c r="A5731" s="384" t="s">
        <v>20764</v>
      </c>
      <c r="B5731" s="384" t="s">
        <v>20765</v>
      </c>
      <c r="C5731" s="384" t="s">
        <v>2884</v>
      </c>
      <c r="D5731" s="385" t="s">
        <v>20766</v>
      </c>
    </row>
    <row r="5732" spans="1:4" x14ac:dyDescent="0.25">
      <c r="A5732" s="384" t="s">
        <v>20767</v>
      </c>
      <c r="B5732" s="384" t="s">
        <v>20768</v>
      </c>
      <c r="C5732" s="384" t="s">
        <v>2884</v>
      </c>
      <c r="D5732" s="385" t="s">
        <v>20769</v>
      </c>
    </row>
    <row r="5733" spans="1:4" x14ac:dyDescent="0.25">
      <c r="A5733" s="384" t="s">
        <v>20770</v>
      </c>
      <c r="B5733" s="384" t="s">
        <v>20771</v>
      </c>
      <c r="C5733" s="384" t="s">
        <v>2884</v>
      </c>
      <c r="D5733" s="385" t="s">
        <v>20772</v>
      </c>
    </row>
    <row r="5734" spans="1:4" x14ac:dyDescent="0.25">
      <c r="A5734" s="384" t="s">
        <v>20773</v>
      </c>
      <c r="B5734" s="384" t="s">
        <v>20774</v>
      </c>
      <c r="C5734" s="384" t="s">
        <v>2884</v>
      </c>
      <c r="D5734" s="385" t="s">
        <v>16104</v>
      </c>
    </row>
    <row r="5735" spans="1:4" x14ac:dyDescent="0.25">
      <c r="A5735" s="384" t="s">
        <v>20775</v>
      </c>
      <c r="B5735" s="384" t="s">
        <v>20776</v>
      </c>
      <c r="C5735" s="384" t="s">
        <v>2884</v>
      </c>
      <c r="D5735" s="385" t="s">
        <v>20777</v>
      </c>
    </row>
    <row r="5736" spans="1:4" x14ac:dyDescent="0.25">
      <c r="A5736" s="384" t="s">
        <v>20778</v>
      </c>
      <c r="B5736" s="384" t="s">
        <v>20779</v>
      </c>
      <c r="C5736" s="384" t="s">
        <v>2884</v>
      </c>
      <c r="D5736" s="385" t="s">
        <v>15569</v>
      </c>
    </row>
    <row r="5737" spans="1:4" x14ac:dyDescent="0.25">
      <c r="A5737" s="384" t="s">
        <v>20780</v>
      </c>
      <c r="B5737" s="384" t="s">
        <v>20781</v>
      </c>
      <c r="C5737" s="384" t="s">
        <v>2884</v>
      </c>
      <c r="D5737" s="385" t="s">
        <v>20782</v>
      </c>
    </row>
    <row r="5738" spans="1:4" x14ac:dyDescent="0.25">
      <c r="A5738" s="384" t="s">
        <v>20783</v>
      </c>
      <c r="B5738" s="384" t="s">
        <v>20784</v>
      </c>
      <c r="C5738" s="384" t="s">
        <v>2884</v>
      </c>
      <c r="D5738" s="385" t="s">
        <v>7901</v>
      </c>
    </row>
    <row r="5739" spans="1:4" x14ac:dyDescent="0.25">
      <c r="A5739" s="384" t="s">
        <v>20785</v>
      </c>
      <c r="B5739" s="384" t="s">
        <v>20786</v>
      </c>
      <c r="C5739" s="384" t="s">
        <v>2884</v>
      </c>
      <c r="D5739" s="385" t="s">
        <v>20672</v>
      </c>
    </row>
    <row r="5740" spans="1:4" x14ac:dyDescent="0.25">
      <c r="A5740" s="384" t="s">
        <v>20787</v>
      </c>
      <c r="B5740" s="384" t="s">
        <v>20788</v>
      </c>
      <c r="C5740" s="384" t="s">
        <v>2884</v>
      </c>
      <c r="D5740" s="385" t="s">
        <v>20789</v>
      </c>
    </row>
    <row r="5741" spans="1:4" x14ac:dyDescent="0.25">
      <c r="A5741" s="384" t="s">
        <v>20790</v>
      </c>
      <c r="B5741" s="384" t="s">
        <v>20791</v>
      </c>
      <c r="C5741" s="384" t="s">
        <v>2884</v>
      </c>
      <c r="D5741" s="385" t="s">
        <v>20792</v>
      </c>
    </row>
    <row r="5742" spans="1:4" x14ac:dyDescent="0.25">
      <c r="A5742" s="384" t="s">
        <v>20793</v>
      </c>
      <c r="B5742" s="384" t="s">
        <v>20794</v>
      </c>
      <c r="C5742" s="384" t="s">
        <v>2884</v>
      </c>
      <c r="D5742" s="385" t="s">
        <v>20795</v>
      </c>
    </row>
    <row r="5743" spans="1:4" x14ac:dyDescent="0.25">
      <c r="A5743" s="384" t="s">
        <v>20796</v>
      </c>
      <c r="B5743" s="384" t="s">
        <v>20797</v>
      </c>
      <c r="C5743" s="384" t="s">
        <v>2884</v>
      </c>
      <c r="D5743" s="385" t="s">
        <v>20798</v>
      </c>
    </row>
    <row r="5744" spans="1:4" x14ac:dyDescent="0.25">
      <c r="A5744" s="384" t="s">
        <v>20799</v>
      </c>
      <c r="B5744" s="384" t="s">
        <v>20800</v>
      </c>
      <c r="C5744" s="384" t="s">
        <v>2884</v>
      </c>
      <c r="D5744" s="385" t="s">
        <v>20801</v>
      </c>
    </row>
    <row r="5745" spans="1:4" x14ac:dyDescent="0.25">
      <c r="A5745" s="384" t="s">
        <v>20802</v>
      </c>
      <c r="B5745" s="384" t="s">
        <v>20803</v>
      </c>
      <c r="C5745" s="384" t="s">
        <v>2884</v>
      </c>
      <c r="D5745" s="385" t="s">
        <v>20804</v>
      </c>
    </row>
    <row r="5746" spans="1:4" x14ac:dyDescent="0.25">
      <c r="A5746" s="384" t="s">
        <v>20805</v>
      </c>
      <c r="B5746" s="384" t="s">
        <v>20806</v>
      </c>
      <c r="C5746" s="384" t="s">
        <v>2884</v>
      </c>
      <c r="D5746" s="385" t="s">
        <v>20807</v>
      </c>
    </row>
    <row r="5747" spans="1:4" x14ac:dyDescent="0.25">
      <c r="A5747" s="384" t="s">
        <v>20808</v>
      </c>
      <c r="B5747" s="384" t="s">
        <v>20809</v>
      </c>
      <c r="C5747" s="384" t="s">
        <v>2884</v>
      </c>
      <c r="D5747" s="385" t="s">
        <v>11428</v>
      </c>
    </row>
    <row r="5748" spans="1:4" x14ac:dyDescent="0.25">
      <c r="A5748" s="384" t="s">
        <v>20810</v>
      </c>
      <c r="B5748" s="384" t="s">
        <v>20811</v>
      </c>
      <c r="C5748" s="384" t="s">
        <v>2884</v>
      </c>
      <c r="D5748" s="385" t="s">
        <v>15993</v>
      </c>
    </row>
    <row r="5749" spans="1:4" x14ac:dyDescent="0.25">
      <c r="A5749" s="384" t="s">
        <v>20812</v>
      </c>
      <c r="B5749" s="384" t="s">
        <v>20813</v>
      </c>
      <c r="C5749" s="384" t="s">
        <v>2884</v>
      </c>
      <c r="D5749" s="385" t="s">
        <v>16549</v>
      </c>
    </row>
    <row r="5750" spans="1:4" x14ac:dyDescent="0.25">
      <c r="A5750" s="384" t="s">
        <v>20814</v>
      </c>
      <c r="B5750" s="384" t="s">
        <v>20815</v>
      </c>
      <c r="C5750" s="384" t="s">
        <v>2884</v>
      </c>
      <c r="D5750" s="385" t="s">
        <v>17301</v>
      </c>
    </row>
    <row r="5751" spans="1:4" x14ac:dyDescent="0.25">
      <c r="A5751" s="384" t="s">
        <v>20816</v>
      </c>
      <c r="B5751" s="384" t="s">
        <v>20817</v>
      </c>
      <c r="C5751" s="384" t="s">
        <v>2884</v>
      </c>
      <c r="D5751" s="385" t="s">
        <v>20782</v>
      </c>
    </row>
    <row r="5752" spans="1:4" x14ac:dyDescent="0.25">
      <c r="A5752" s="384" t="s">
        <v>20818</v>
      </c>
      <c r="B5752" s="384" t="s">
        <v>20819</v>
      </c>
      <c r="C5752" s="384" t="s">
        <v>2884</v>
      </c>
      <c r="D5752" s="385" t="s">
        <v>20820</v>
      </c>
    </row>
    <row r="5753" spans="1:4" x14ac:dyDescent="0.25">
      <c r="A5753" s="384" t="s">
        <v>20821</v>
      </c>
      <c r="B5753" s="384" t="s">
        <v>20822</v>
      </c>
      <c r="C5753" s="384" t="s">
        <v>2884</v>
      </c>
      <c r="D5753" s="385" t="s">
        <v>14977</v>
      </c>
    </row>
    <row r="5754" spans="1:4" x14ac:dyDescent="0.25">
      <c r="A5754" s="384" t="s">
        <v>20823</v>
      </c>
      <c r="B5754" s="384" t="s">
        <v>20824</v>
      </c>
      <c r="C5754" s="384" t="s">
        <v>2884</v>
      </c>
      <c r="D5754" s="385" t="s">
        <v>20825</v>
      </c>
    </row>
    <row r="5755" spans="1:4" x14ac:dyDescent="0.25">
      <c r="A5755" s="384" t="s">
        <v>20826</v>
      </c>
      <c r="B5755" s="384" t="s">
        <v>20827</v>
      </c>
      <c r="C5755" s="384" t="s">
        <v>2884</v>
      </c>
      <c r="D5755" s="385" t="s">
        <v>20828</v>
      </c>
    </row>
    <row r="5756" spans="1:4" x14ac:dyDescent="0.25">
      <c r="A5756" s="384" t="s">
        <v>20829</v>
      </c>
      <c r="B5756" s="384" t="s">
        <v>20830</v>
      </c>
      <c r="C5756" s="384" t="s">
        <v>2884</v>
      </c>
      <c r="D5756" s="385" t="s">
        <v>20831</v>
      </c>
    </row>
    <row r="5757" spans="1:4" x14ac:dyDescent="0.25">
      <c r="A5757" s="384" t="s">
        <v>20832</v>
      </c>
      <c r="B5757" s="384" t="s">
        <v>20833</v>
      </c>
      <c r="C5757" s="384" t="s">
        <v>2884</v>
      </c>
      <c r="D5757" s="385" t="s">
        <v>20834</v>
      </c>
    </row>
    <row r="5758" spans="1:4" x14ac:dyDescent="0.25">
      <c r="A5758" s="384" t="s">
        <v>20835</v>
      </c>
      <c r="B5758" s="384" t="s">
        <v>20836</v>
      </c>
      <c r="C5758" s="384" t="s">
        <v>2884</v>
      </c>
      <c r="D5758" s="385" t="s">
        <v>20837</v>
      </c>
    </row>
    <row r="5759" spans="1:4" x14ac:dyDescent="0.25">
      <c r="A5759" s="384" t="s">
        <v>20838</v>
      </c>
      <c r="B5759" s="384" t="s">
        <v>20839</v>
      </c>
      <c r="C5759" s="384" t="s">
        <v>2884</v>
      </c>
      <c r="D5759" s="385" t="s">
        <v>16039</v>
      </c>
    </row>
    <row r="5760" spans="1:4" x14ac:dyDescent="0.25">
      <c r="A5760" s="384" t="s">
        <v>20840</v>
      </c>
      <c r="B5760" s="384" t="s">
        <v>20841</v>
      </c>
      <c r="C5760" s="384" t="s">
        <v>2884</v>
      </c>
      <c r="D5760" s="385" t="s">
        <v>13423</v>
      </c>
    </row>
    <row r="5761" spans="1:4" x14ac:dyDescent="0.25">
      <c r="A5761" s="384" t="s">
        <v>20842</v>
      </c>
      <c r="B5761" s="384" t="s">
        <v>20843</v>
      </c>
      <c r="C5761" s="384" t="s">
        <v>2884</v>
      </c>
      <c r="D5761" s="385" t="s">
        <v>20844</v>
      </c>
    </row>
    <row r="5762" spans="1:4" x14ac:dyDescent="0.25">
      <c r="A5762" s="384" t="s">
        <v>20845</v>
      </c>
      <c r="B5762" s="384" t="s">
        <v>20846</v>
      </c>
      <c r="C5762" s="384" t="s">
        <v>2884</v>
      </c>
      <c r="D5762" s="385" t="s">
        <v>20847</v>
      </c>
    </row>
    <row r="5763" spans="1:4" x14ac:dyDescent="0.25">
      <c r="A5763" s="384" t="s">
        <v>20848</v>
      </c>
      <c r="B5763" s="384" t="s">
        <v>20849</v>
      </c>
      <c r="C5763" s="384" t="s">
        <v>2884</v>
      </c>
      <c r="D5763" s="385" t="s">
        <v>20850</v>
      </c>
    </row>
    <row r="5764" spans="1:4" x14ac:dyDescent="0.25">
      <c r="A5764" s="384" t="s">
        <v>20851</v>
      </c>
      <c r="B5764" s="384" t="s">
        <v>20852</v>
      </c>
      <c r="C5764" s="384" t="s">
        <v>2884</v>
      </c>
      <c r="D5764" s="385" t="s">
        <v>15245</v>
      </c>
    </row>
    <row r="5765" spans="1:4" x14ac:dyDescent="0.25">
      <c r="A5765" s="384" t="s">
        <v>20853</v>
      </c>
      <c r="B5765" s="384" t="s">
        <v>20854</v>
      </c>
      <c r="C5765" s="384" t="s">
        <v>2884</v>
      </c>
      <c r="D5765" s="385" t="s">
        <v>20855</v>
      </c>
    </row>
    <row r="5766" spans="1:4" x14ac:dyDescent="0.25">
      <c r="A5766" s="384" t="s">
        <v>20856</v>
      </c>
      <c r="B5766" s="384" t="s">
        <v>20857</v>
      </c>
      <c r="C5766" s="384" t="s">
        <v>2884</v>
      </c>
      <c r="D5766" s="385" t="s">
        <v>20858</v>
      </c>
    </row>
    <row r="5767" spans="1:4" x14ac:dyDescent="0.25">
      <c r="A5767" s="384" t="s">
        <v>20859</v>
      </c>
      <c r="B5767" s="384" t="s">
        <v>20860</v>
      </c>
      <c r="C5767" s="384" t="s">
        <v>2884</v>
      </c>
      <c r="D5767" s="385" t="s">
        <v>20861</v>
      </c>
    </row>
    <row r="5768" spans="1:4" x14ac:dyDescent="0.25">
      <c r="A5768" s="384" t="s">
        <v>20862</v>
      </c>
      <c r="B5768" s="384" t="s">
        <v>20863</v>
      </c>
      <c r="C5768" s="384" t="s">
        <v>2884</v>
      </c>
      <c r="D5768" s="385" t="s">
        <v>20864</v>
      </c>
    </row>
    <row r="5769" spans="1:4" x14ac:dyDescent="0.25">
      <c r="A5769" s="384" t="s">
        <v>20865</v>
      </c>
      <c r="B5769" s="384" t="s">
        <v>20866</v>
      </c>
      <c r="C5769" s="384" t="s">
        <v>2884</v>
      </c>
      <c r="D5769" s="385" t="s">
        <v>20867</v>
      </c>
    </row>
    <row r="5770" spans="1:4" x14ac:dyDescent="0.25">
      <c r="A5770" s="384" t="s">
        <v>20868</v>
      </c>
      <c r="B5770" s="384" t="s">
        <v>20869</v>
      </c>
      <c r="C5770" s="384" t="s">
        <v>2884</v>
      </c>
      <c r="D5770" s="385" t="s">
        <v>5057</v>
      </c>
    </row>
    <row r="5771" spans="1:4" x14ac:dyDescent="0.25">
      <c r="A5771" s="384" t="s">
        <v>20870</v>
      </c>
      <c r="B5771" s="384" t="s">
        <v>20871</v>
      </c>
      <c r="C5771" s="384" t="s">
        <v>2884</v>
      </c>
      <c r="D5771" s="385" t="s">
        <v>20872</v>
      </c>
    </row>
    <row r="5772" spans="1:4" x14ac:dyDescent="0.25">
      <c r="A5772" s="384" t="s">
        <v>20873</v>
      </c>
      <c r="B5772" s="384" t="s">
        <v>20874</v>
      </c>
      <c r="C5772" s="384" t="s">
        <v>2884</v>
      </c>
      <c r="D5772" s="385" t="s">
        <v>20875</v>
      </c>
    </row>
    <row r="5773" spans="1:4" x14ac:dyDescent="0.25">
      <c r="A5773" s="384" t="s">
        <v>20876</v>
      </c>
      <c r="B5773" s="384" t="s">
        <v>20877</v>
      </c>
      <c r="C5773" s="384" t="s">
        <v>2884</v>
      </c>
      <c r="D5773" s="385" t="s">
        <v>20878</v>
      </c>
    </row>
    <row r="5774" spans="1:4" x14ac:dyDescent="0.25">
      <c r="A5774" s="384" t="s">
        <v>20879</v>
      </c>
      <c r="B5774" s="384" t="s">
        <v>20880</v>
      </c>
      <c r="C5774" s="384" t="s">
        <v>2884</v>
      </c>
      <c r="D5774" s="385" t="s">
        <v>20881</v>
      </c>
    </row>
    <row r="5775" spans="1:4" x14ac:dyDescent="0.25">
      <c r="A5775" s="384" t="s">
        <v>20882</v>
      </c>
      <c r="B5775" s="384" t="s">
        <v>20883</v>
      </c>
      <c r="C5775" s="384" t="s">
        <v>2884</v>
      </c>
      <c r="D5775" s="385" t="s">
        <v>20884</v>
      </c>
    </row>
    <row r="5776" spans="1:4" x14ac:dyDescent="0.25">
      <c r="A5776" s="384" t="s">
        <v>20885</v>
      </c>
      <c r="B5776" s="384" t="s">
        <v>20886</v>
      </c>
      <c r="C5776" s="384" t="s">
        <v>2884</v>
      </c>
      <c r="D5776" s="385" t="s">
        <v>20887</v>
      </c>
    </row>
    <row r="5777" spans="1:4" x14ac:dyDescent="0.25">
      <c r="A5777" s="384" t="s">
        <v>20888</v>
      </c>
      <c r="B5777" s="384" t="s">
        <v>20889</v>
      </c>
      <c r="C5777" s="384" t="s">
        <v>2884</v>
      </c>
      <c r="D5777" s="385" t="s">
        <v>18113</v>
      </c>
    </row>
    <row r="5778" spans="1:4" x14ac:dyDescent="0.25">
      <c r="A5778" s="384" t="s">
        <v>20890</v>
      </c>
      <c r="B5778" s="384" t="s">
        <v>20891</v>
      </c>
      <c r="C5778" s="384" t="s">
        <v>2884</v>
      </c>
      <c r="D5778" s="385" t="s">
        <v>6762</v>
      </c>
    </row>
    <row r="5779" spans="1:4" x14ac:dyDescent="0.25">
      <c r="A5779" s="384" t="s">
        <v>20892</v>
      </c>
      <c r="B5779" s="384" t="s">
        <v>20893</v>
      </c>
      <c r="C5779" s="384" t="s">
        <v>2884</v>
      </c>
      <c r="D5779" s="385" t="s">
        <v>7657</v>
      </c>
    </row>
    <row r="5780" spans="1:4" x14ac:dyDescent="0.25">
      <c r="A5780" s="384" t="s">
        <v>20894</v>
      </c>
      <c r="B5780" s="384" t="s">
        <v>20895</v>
      </c>
      <c r="C5780" s="384" t="s">
        <v>2884</v>
      </c>
      <c r="D5780" s="385" t="s">
        <v>20896</v>
      </c>
    </row>
    <row r="5781" spans="1:4" x14ac:dyDescent="0.25">
      <c r="A5781" s="384" t="s">
        <v>20897</v>
      </c>
      <c r="B5781" s="384" t="s">
        <v>20898</v>
      </c>
      <c r="C5781" s="384" t="s">
        <v>2884</v>
      </c>
      <c r="D5781" s="385" t="s">
        <v>19681</v>
      </c>
    </row>
    <row r="5782" spans="1:4" x14ac:dyDescent="0.25">
      <c r="A5782" s="384" t="s">
        <v>20899</v>
      </c>
      <c r="B5782" s="384" t="s">
        <v>20900</v>
      </c>
      <c r="C5782" s="384" t="s">
        <v>2884</v>
      </c>
      <c r="D5782" s="385" t="s">
        <v>11225</v>
      </c>
    </row>
    <row r="5783" spans="1:4" x14ac:dyDescent="0.25">
      <c r="A5783" s="384" t="s">
        <v>20901</v>
      </c>
      <c r="B5783" s="384" t="s">
        <v>20902</v>
      </c>
      <c r="C5783" s="384" t="s">
        <v>2884</v>
      </c>
      <c r="D5783" s="385" t="s">
        <v>20903</v>
      </c>
    </row>
    <row r="5784" spans="1:4" x14ac:dyDescent="0.25">
      <c r="A5784" s="384" t="s">
        <v>20904</v>
      </c>
      <c r="B5784" s="384" t="s">
        <v>20905</v>
      </c>
      <c r="C5784" s="384" t="s">
        <v>2884</v>
      </c>
      <c r="D5784" s="385" t="s">
        <v>20906</v>
      </c>
    </row>
    <row r="5785" spans="1:4" x14ac:dyDescent="0.25">
      <c r="A5785" s="384" t="s">
        <v>20907</v>
      </c>
      <c r="B5785" s="384" t="s">
        <v>20908</v>
      </c>
      <c r="C5785" s="384" t="s">
        <v>2884</v>
      </c>
      <c r="D5785" s="385" t="s">
        <v>19199</v>
      </c>
    </row>
    <row r="5786" spans="1:4" x14ac:dyDescent="0.25">
      <c r="A5786" s="384" t="s">
        <v>20909</v>
      </c>
      <c r="B5786" s="384" t="s">
        <v>20910</v>
      </c>
      <c r="C5786" s="384" t="s">
        <v>2884</v>
      </c>
      <c r="D5786" s="385" t="s">
        <v>15305</v>
      </c>
    </row>
    <row r="5787" spans="1:4" x14ac:dyDescent="0.25">
      <c r="A5787" s="384" t="s">
        <v>20911</v>
      </c>
      <c r="B5787" s="384" t="s">
        <v>20912</v>
      </c>
      <c r="C5787" s="384" t="s">
        <v>2884</v>
      </c>
      <c r="D5787" s="385" t="s">
        <v>11338</v>
      </c>
    </row>
    <row r="5788" spans="1:4" x14ac:dyDescent="0.25">
      <c r="A5788" s="384" t="s">
        <v>20913</v>
      </c>
      <c r="B5788" s="384" t="s">
        <v>20914</v>
      </c>
      <c r="C5788" s="384" t="s">
        <v>2884</v>
      </c>
      <c r="D5788" s="385" t="s">
        <v>12652</v>
      </c>
    </row>
    <row r="5789" spans="1:4" x14ac:dyDescent="0.25">
      <c r="A5789" s="384" t="s">
        <v>20915</v>
      </c>
      <c r="B5789" s="384" t="s">
        <v>20916</v>
      </c>
      <c r="C5789" s="384" t="s">
        <v>2884</v>
      </c>
      <c r="D5789" s="385" t="s">
        <v>20917</v>
      </c>
    </row>
    <row r="5790" spans="1:4" x14ac:dyDescent="0.25">
      <c r="A5790" s="384" t="s">
        <v>20918</v>
      </c>
      <c r="B5790" s="384" t="s">
        <v>20919</v>
      </c>
      <c r="C5790" s="384" t="s">
        <v>2884</v>
      </c>
      <c r="D5790" s="385" t="s">
        <v>20920</v>
      </c>
    </row>
    <row r="5791" spans="1:4" x14ac:dyDescent="0.25">
      <c r="A5791" s="384" t="s">
        <v>20921</v>
      </c>
      <c r="B5791" s="384" t="s">
        <v>20922</v>
      </c>
      <c r="C5791" s="384" t="s">
        <v>2884</v>
      </c>
      <c r="D5791" s="385" t="s">
        <v>20923</v>
      </c>
    </row>
    <row r="5792" spans="1:4" x14ac:dyDescent="0.25">
      <c r="A5792" s="384" t="s">
        <v>20924</v>
      </c>
      <c r="B5792" s="384" t="s">
        <v>20925</v>
      </c>
      <c r="C5792" s="384" t="s">
        <v>2884</v>
      </c>
      <c r="D5792" s="385" t="s">
        <v>20926</v>
      </c>
    </row>
    <row r="5793" spans="1:4" x14ac:dyDescent="0.25">
      <c r="A5793" s="384" t="s">
        <v>20927</v>
      </c>
      <c r="B5793" s="384" t="s">
        <v>20928</v>
      </c>
      <c r="C5793" s="384" t="s">
        <v>2884</v>
      </c>
      <c r="D5793" s="385" t="s">
        <v>16509</v>
      </c>
    </row>
    <row r="5794" spans="1:4" x14ac:dyDescent="0.25">
      <c r="A5794" s="384" t="s">
        <v>20929</v>
      </c>
      <c r="B5794" s="384" t="s">
        <v>20930</v>
      </c>
      <c r="C5794" s="384" t="s">
        <v>2884</v>
      </c>
      <c r="D5794" s="385" t="s">
        <v>20931</v>
      </c>
    </row>
    <row r="5795" spans="1:4" x14ac:dyDescent="0.25">
      <c r="A5795" s="384" t="s">
        <v>20932</v>
      </c>
      <c r="B5795" s="384" t="s">
        <v>20933</v>
      </c>
      <c r="C5795" s="384" t="s">
        <v>2884</v>
      </c>
      <c r="D5795" s="385" t="s">
        <v>20934</v>
      </c>
    </row>
    <row r="5796" spans="1:4" x14ac:dyDescent="0.25">
      <c r="A5796" s="384" t="s">
        <v>20935</v>
      </c>
      <c r="B5796" s="384" t="s">
        <v>20936</v>
      </c>
      <c r="C5796" s="384" t="s">
        <v>2884</v>
      </c>
      <c r="D5796" s="385" t="s">
        <v>8037</v>
      </c>
    </row>
    <row r="5797" spans="1:4" x14ac:dyDescent="0.25">
      <c r="A5797" s="384" t="s">
        <v>20937</v>
      </c>
      <c r="B5797" s="384" t="s">
        <v>20938</v>
      </c>
      <c r="C5797" s="384" t="s">
        <v>2884</v>
      </c>
      <c r="D5797" s="385" t="s">
        <v>20939</v>
      </c>
    </row>
    <row r="5798" spans="1:4" x14ac:dyDescent="0.25">
      <c r="A5798" s="384" t="s">
        <v>20940</v>
      </c>
      <c r="B5798" s="384" t="s">
        <v>20941</v>
      </c>
      <c r="C5798" s="384" t="s">
        <v>2884</v>
      </c>
      <c r="D5798" s="385" t="s">
        <v>20942</v>
      </c>
    </row>
    <row r="5799" spans="1:4" x14ac:dyDescent="0.25">
      <c r="A5799" s="384" t="s">
        <v>20943</v>
      </c>
      <c r="B5799" s="384" t="s">
        <v>20944</v>
      </c>
      <c r="C5799" s="384" t="s">
        <v>82</v>
      </c>
      <c r="D5799" s="385" t="s">
        <v>20945</v>
      </c>
    </row>
    <row r="5800" spans="1:4" x14ac:dyDescent="0.25">
      <c r="A5800" s="384" t="s">
        <v>20946</v>
      </c>
      <c r="B5800" s="384" t="s">
        <v>20947</v>
      </c>
      <c r="C5800" s="384" t="s">
        <v>2884</v>
      </c>
      <c r="D5800" s="385" t="s">
        <v>12217</v>
      </c>
    </row>
    <row r="5801" spans="1:4" x14ac:dyDescent="0.25">
      <c r="A5801" s="384" t="s">
        <v>20948</v>
      </c>
      <c r="B5801" s="384" t="s">
        <v>20949</v>
      </c>
      <c r="C5801" s="384" t="s">
        <v>2884</v>
      </c>
      <c r="D5801" s="385" t="s">
        <v>12591</v>
      </c>
    </row>
    <row r="5802" spans="1:4" x14ac:dyDescent="0.25">
      <c r="A5802" s="384" t="s">
        <v>20950</v>
      </c>
      <c r="B5802" s="384" t="s">
        <v>20951</v>
      </c>
      <c r="C5802" s="384" t="s">
        <v>2884</v>
      </c>
      <c r="D5802" s="385" t="s">
        <v>5856</v>
      </c>
    </row>
    <row r="5803" spans="1:4" x14ac:dyDescent="0.25">
      <c r="A5803" s="384" t="s">
        <v>20952</v>
      </c>
      <c r="B5803" s="384" t="s">
        <v>20953</v>
      </c>
      <c r="C5803" s="384" t="s">
        <v>2884</v>
      </c>
      <c r="D5803" s="385" t="s">
        <v>20954</v>
      </c>
    </row>
    <row r="5804" spans="1:4" x14ac:dyDescent="0.25">
      <c r="A5804" s="384" t="s">
        <v>20955</v>
      </c>
      <c r="B5804" s="384" t="s">
        <v>20956</v>
      </c>
      <c r="C5804" s="384" t="s">
        <v>2884</v>
      </c>
      <c r="D5804" s="385" t="s">
        <v>20957</v>
      </c>
    </row>
    <row r="5805" spans="1:4" x14ac:dyDescent="0.25">
      <c r="A5805" s="384" t="s">
        <v>20958</v>
      </c>
      <c r="B5805" s="384" t="s">
        <v>20959</v>
      </c>
      <c r="C5805" s="384" t="s">
        <v>2884</v>
      </c>
      <c r="D5805" s="385" t="s">
        <v>11440</v>
      </c>
    </row>
    <row r="5806" spans="1:4" x14ac:dyDescent="0.25">
      <c r="A5806" s="384" t="s">
        <v>20960</v>
      </c>
      <c r="B5806" s="384" t="s">
        <v>20961</v>
      </c>
      <c r="C5806" s="384" t="s">
        <v>2884</v>
      </c>
      <c r="D5806" s="385" t="s">
        <v>12902</v>
      </c>
    </row>
    <row r="5807" spans="1:4" x14ac:dyDescent="0.25">
      <c r="A5807" s="384" t="s">
        <v>20962</v>
      </c>
      <c r="B5807" s="384" t="s">
        <v>20963</v>
      </c>
      <c r="C5807" s="384" t="s">
        <v>2884</v>
      </c>
      <c r="D5807" s="385" t="s">
        <v>20964</v>
      </c>
    </row>
    <row r="5808" spans="1:4" x14ac:dyDescent="0.25">
      <c r="A5808" s="384" t="s">
        <v>20965</v>
      </c>
      <c r="B5808" s="384" t="s">
        <v>20966</v>
      </c>
      <c r="C5808" s="384" t="s">
        <v>2884</v>
      </c>
      <c r="D5808" s="385" t="s">
        <v>20967</v>
      </c>
    </row>
    <row r="5809" spans="1:4" x14ac:dyDescent="0.25">
      <c r="A5809" s="384" t="s">
        <v>20968</v>
      </c>
      <c r="B5809" s="384" t="s">
        <v>20969</v>
      </c>
      <c r="C5809" s="384" t="s">
        <v>2884</v>
      </c>
      <c r="D5809" s="385" t="s">
        <v>20970</v>
      </c>
    </row>
    <row r="5810" spans="1:4" x14ac:dyDescent="0.25">
      <c r="A5810" s="384" t="s">
        <v>20971</v>
      </c>
      <c r="B5810" s="384" t="s">
        <v>20972</v>
      </c>
      <c r="C5810" s="384" t="s">
        <v>2884</v>
      </c>
      <c r="D5810" s="385" t="s">
        <v>20973</v>
      </c>
    </row>
    <row r="5811" spans="1:4" x14ac:dyDescent="0.25">
      <c r="A5811" s="384" t="s">
        <v>20974</v>
      </c>
      <c r="B5811" s="384" t="s">
        <v>20975</v>
      </c>
      <c r="C5811" s="384" t="s">
        <v>2884</v>
      </c>
      <c r="D5811" s="385" t="s">
        <v>9682</v>
      </c>
    </row>
    <row r="5812" spans="1:4" x14ac:dyDescent="0.25">
      <c r="A5812" s="384" t="s">
        <v>20976</v>
      </c>
      <c r="B5812" s="384" t="s">
        <v>20977</v>
      </c>
      <c r="C5812" s="384" t="s">
        <v>2884</v>
      </c>
      <c r="D5812" s="385" t="s">
        <v>7065</v>
      </c>
    </row>
    <row r="5813" spans="1:4" x14ac:dyDescent="0.25">
      <c r="A5813" s="384" t="s">
        <v>20978</v>
      </c>
      <c r="B5813" s="384" t="s">
        <v>20979</v>
      </c>
      <c r="C5813" s="384" t="s">
        <v>2884</v>
      </c>
      <c r="D5813" s="385" t="s">
        <v>20980</v>
      </c>
    </row>
    <row r="5814" spans="1:4" x14ac:dyDescent="0.25">
      <c r="A5814" s="384" t="s">
        <v>20981</v>
      </c>
      <c r="B5814" s="384" t="s">
        <v>20982</v>
      </c>
      <c r="C5814" s="384" t="s">
        <v>2884</v>
      </c>
      <c r="D5814" s="385" t="s">
        <v>20983</v>
      </c>
    </row>
    <row r="5815" spans="1:4" x14ac:dyDescent="0.25">
      <c r="A5815" s="384" t="s">
        <v>20984</v>
      </c>
      <c r="B5815" s="384" t="s">
        <v>20985</v>
      </c>
      <c r="C5815" s="384" t="s">
        <v>2884</v>
      </c>
      <c r="D5815" s="385" t="s">
        <v>16855</v>
      </c>
    </row>
    <row r="5816" spans="1:4" x14ac:dyDescent="0.25">
      <c r="A5816" s="384" t="s">
        <v>20986</v>
      </c>
      <c r="B5816" s="384" t="s">
        <v>20987</v>
      </c>
      <c r="C5816" s="384" t="s">
        <v>2884</v>
      </c>
      <c r="D5816" s="385" t="s">
        <v>20988</v>
      </c>
    </row>
    <row r="5817" spans="1:4" x14ac:dyDescent="0.25">
      <c r="A5817" s="384" t="s">
        <v>20989</v>
      </c>
      <c r="B5817" s="384" t="s">
        <v>20990</v>
      </c>
      <c r="C5817" s="384" t="s">
        <v>2884</v>
      </c>
      <c r="D5817" s="385" t="s">
        <v>20991</v>
      </c>
    </row>
    <row r="5818" spans="1:4" x14ac:dyDescent="0.25">
      <c r="A5818" s="384" t="s">
        <v>20992</v>
      </c>
      <c r="B5818" s="384" t="s">
        <v>20993</v>
      </c>
      <c r="C5818" s="384" t="s">
        <v>2884</v>
      </c>
      <c r="D5818" s="385" t="s">
        <v>11987</v>
      </c>
    </row>
    <row r="5819" spans="1:4" x14ac:dyDescent="0.25">
      <c r="A5819" s="384" t="s">
        <v>20994</v>
      </c>
      <c r="B5819" s="384" t="s">
        <v>20995</v>
      </c>
      <c r="C5819" s="384" t="s">
        <v>2884</v>
      </c>
      <c r="D5819" s="385" t="s">
        <v>6251</v>
      </c>
    </row>
    <row r="5820" spans="1:4" x14ac:dyDescent="0.25">
      <c r="A5820" s="384" t="s">
        <v>20996</v>
      </c>
      <c r="B5820" s="384" t="s">
        <v>20997</v>
      </c>
      <c r="C5820" s="384" t="s">
        <v>2884</v>
      </c>
      <c r="D5820" s="385" t="s">
        <v>12454</v>
      </c>
    </row>
    <row r="5821" spans="1:4" x14ac:dyDescent="0.25">
      <c r="A5821" s="384" t="s">
        <v>20998</v>
      </c>
      <c r="B5821" s="384" t="s">
        <v>20999</v>
      </c>
      <c r="C5821" s="384" t="s">
        <v>2884</v>
      </c>
      <c r="D5821" s="385" t="s">
        <v>4511</v>
      </c>
    </row>
    <row r="5822" spans="1:4" x14ac:dyDescent="0.25">
      <c r="A5822" s="384" t="s">
        <v>21000</v>
      </c>
      <c r="B5822" s="384" t="s">
        <v>21001</v>
      </c>
      <c r="C5822" s="384" t="s">
        <v>2884</v>
      </c>
      <c r="D5822" s="385" t="s">
        <v>19678</v>
      </c>
    </row>
    <row r="5823" spans="1:4" x14ac:dyDescent="0.25">
      <c r="A5823" s="384" t="s">
        <v>21002</v>
      </c>
      <c r="B5823" s="384" t="s">
        <v>21003</v>
      </c>
      <c r="C5823" s="384" t="s">
        <v>2884</v>
      </c>
      <c r="D5823" s="385" t="s">
        <v>5856</v>
      </c>
    </row>
    <row r="5824" spans="1:4" x14ac:dyDescent="0.25">
      <c r="A5824" s="384" t="s">
        <v>21004</v>
      </c>
      <c r="B5824" s="384" t="s">
        <v>21005</v>
      </c>
      <c r="C5824" s="384" t="s">
        <v>2884</v>
      </c>
      <c r="D5824" s="385" t="s">
        <v>21006</v>
      </c>
    </row>
    <row r="5825" spans="1:4" x14ac:dyDescent="0.25">
      <c r="A5825" s="384" t="s">
        <v>21007</v>
      </c>
      <c r="B5825" s="384" t="s">
        <v>21008</v>
      </c>
      <c r="C5825" s="384" t="s">
        <v>2884</v>
      </c>
      <c r="D5825" s="385" t="s">
        <v>17033</v>
      </c>
    </row>
    <row r="5826" spans="1:4" x14ac:dyDescent="0.25">
      <c r="A5826" s="384" t="s">
        <v>21009</v>
      </c>
      <c r="B5826" s="384" t="s">
        <v>21010</v>
      </c>
      <c r="C5826" s="384" t="s">
        <v>2884</v>
      </c>
      <c r="D5826" s="385" t="s">
        <v>21011</v>
      </c>
    </row>
    <row r="5827" spans="1:4" x14ac:dyDescent="0.25">
      <c r="A5827" s="384" t="s">
        <v>21012</v>
      </c>
      <c r="B5827" s="384" t="s">
        <v>21013</v>
      </c>
      <c r="C5827" s="384" t="s">
        <v>2884</v>
      </c>
      <c r="D5827" s="385" t="s">
        <v>21014</v>
      </c>
    </row>
    <row r="5828" spans="1:4" x14ac:dyDescent="0.25">
      <c r="A5828" s="384" t="s">
        <v>21015</v>
      </c>
      <c r="B5828" s="384" t="s">
        <v>21016</v>
      </c>
      <c r="C5828" s="384" t="s">
        <v>2884</v>
      </c>
      <c r="D5828" s="385" t="s">
        <v>21017</v>
      </c>
    </row>
    <row r="5829" spans="1:4" x14ac:dyDescent="0.25">
      <c r="A5829" s="384" t="s">
        <v>21018</v>
      </c>
      <c r="B5829" s="384" t="s">
        <v>21019</v>
      </c>
      <c r="C5829" s="384" t="s">
        <v>2884</v>
      </c>
      <c r="D5829" s="385" t="s">
        <v>10792</v>
      </c>
    </row>
    <row r="5830" spans="1:4" x14ac:dyDescent="0.25">
      <c r="A5830" s="384" t="s">
        <v>21020</v>
      </c>
      <c r="B5830" s="384" t="s">
        <v>21021</v>
      </c>
      <c r="C5830" s="384" t="s">
        <v>2884</v>
      </c>
      <c r="D5830" s="385" t="s">
        <v>21022</v>
      </c>
    </row>
    <row r="5831" spans="1:4" x14ac:dyDescent="0.25">
      <c r="A5831" s="384" t="s">
        <v>21023</v>
      </c>
      <c r="B5831" s="384" t="s">
        <v>21024</v>
      </c>
      <c r="C5831" s="384" t="s">
        <v>2884</v>
      </c>
      <c r="D5831" s="385" t="s">
        <v>21025</v>
      </c>
    </row>
    <row r="5832" spans="1:4" x14ac:dyDescent="0.25">
      <c r="A5832" s="384" t="s">
        <v>21026</v>
      </c>
      <c r="B5832" s="384" t="s">
        <v>21027</v>
      </c>
      <c r="C5832" s="384" t="s">
        <v>2884</v>
      </c>
      <c r="D5832" s="385" t="s">
        <v>21028</v>
      </c>
    </row>
    <row r="5833" spans="1:4" x14ac:dyDescent="0.25">
      <c r="A5833" s="384" t="s">
        <v>21029</v>
      </c>
      <c r="B5833" s="384" t="s">
        <v>21030</v>
      </c>
      <c r="C5833" s="384" t="s">
        <v>2884</v>
      </c>
      <c r="D5833" s="385" t="s">
        <v>21031</v>
      </c>
    </row>
    <row r="5834" spans="1:4" x14ac:dyDescent="0.25">
      <c r="A5834" s="384" t="s">
        <v>21032</v>
      </c>
      <c r="B5834" s="384" t="s">
        <v>21033</v>
      </c>
      <c r="C5834" s="384" t="s">
        <v>2884</v>
      </c>
      <c r="D5834" s="385" t="s">
        <v>21034</v>
      </c>
    </row>
    <row r="5835" spans="1:4" x14ac:dyDescent="0.25">
      <c r="A5835" s="384" t="s">
        <v>21035</v>
      </c>
      <c r="B5835" s="384" t="s">
        <v>21036</v>
      </c>
      <c r="C5835" s="384" t="s">
        <v>2884</v>
      </c>
      <c r="D5835" s="385" t="s">
        <v>21037</v>
      </c>
    </row>
    <row r="5836" spans="1:4" x14ac:dyDescent="0.25">
      <c r="A5836" s="384" t="s">
        <v>21038</v>
      </c>
      <c r="B5836" s="384" t="s">
        <v>21039</v>
      </c>
      <c r="C5836" s="384" t="s">
        <v>2884</v>
      </c>
      <c r="D5836" s="385" t="s">
        <v>21040</v>
      </c>
    </row>
    <row r="5837" spans="1:4" x14ac:dyDescent="0.25">
      <c r="A5837" s="384" t="s">
        <v>21041</v>
      </c>
      <c r="B5837" s="384" t="s">
        <v>21042</v>
      </c>
      <c r="C5837" s="384" t="s">
        <v>2884</v>
      </c>
      <c r="D5837" s="385" t="s">
        <v>21043</v>
      </c>
    </row>
    <row r="5838" spans="1:4" x14ac:dyDescent="0.25">
      <c r="A5838" s="384" t="s">
        <v>21044</v>
      </c>
      <c r="B5838" s="384" t="s">
        <v>21045</v>
      </c>
      <c r="C5838" s="384" t="s">
        <v>2884</v>
      </c>
      <c r="D5838" s="385" t="s">
        <v>21046</v>
      </c>
    </row>
    <row r="5839" spans="1:4" x14ac:dyDescent="0.25">
      <c r="A5839" s="384" t="s">
        <v>21047</v>
      </c>
      <c r="B5839" s="384" t="s">
        <v>21048</v>
      </c>
      <c r="C5839" s="384" t="s">
        <v>2884</v>
      </c>
      <c r="D5839" s="385" t="s">
        <v>12199</v>
      </c>
    </row>
    <row r="5840" spans="1:4" x14ac:dyDescent="0.25">
      <c r="A5840" s="384" t="s">
        <v>21049</v>
      </c>
      <c r="B5840" s="384" t="s">
        <v>21050</v>
      </c>
      <c r="C5840" s="384" t="s">
        <v>2884</v>
      </c>
      <c r="D5840" s="385" t="s">
        <v>15095</v>
      </c>
    </row>
    <row r="5841" spans="1:4" x14ac:dyDescent="0.25">
      <c r="A5841" s="384" t="s">
        <v>21051</v>
      </c>
      <c r="B5841" s="384" t="s">
        <v>21052</v>
      </c>
      <c r="C5841" s="384" t="s">
        <v>2884</v>
      </c>
      <c r="D5841" s="385" t="s">
        <v>21053</v>
      </c>
    </row>
    <row r="5842" spans="1:4" x14ac:dyDescent="0.25">
      <c r="A5842" s="384" t="s">
        <v>21054</v>
      </c>
      <c r="B5842" s="384" t="s">
        <v>21055</v>
      </c>
      <c r="C5842" s="384" t="s">
        <v>2884</v>
      </c>
      <c r="D5842" s="385" t="s">
        <v>21056</v>
      </c>
    </row>
    <row r="5843" spans="1:4" x14ac:dyDescent="0.25">
      <c r="A5843" s="384" t="s">
        <v>21057</v>
      </c>
      <c r="B5843" s="384" t="s">
        <v>21058</v>
      </c>
      <c r="C5843" s="384" t="s">
        <v>82</v>
      </c>
      <c r="D5843" s="385" t="s">
        <v>11182</v>
      </c>
    </row>
    <row r="5844" spans="1:4" x14ac:dyDescent="0.25">
      <c r="A5844" s="384" t="s">
        <v>21059</v>
      </c>
      <c r="B5844" s="384" t="s">
        <v>21060</v>
      </c>
      <c r="C5844" s="384" t="s">
        <v>82</v>
      </c>
      <c r="D5844" s="385" t="s">
        <v>21061</v>
      </c>
    </row>
    <row r="5845" spans="1:4" x14ac:dyDescent="0.25">
      <c r="A5845" s="384" t="s">
        <v>21062</v>
      </c>
      <c r="B5845" s="384" t="s">
        <v>21063</v>
      </c>
      <c r="C5845" s="384" t="s">
        <v>82</v>
      </c>
      <c r="D5845" s="385" t="s">
        <v>21064</v>
      </c>
    </row>
    <row r="5846" spans="1:4" x14ac:dyDescent="0.25">
      <c r="A5846" s="384" t="s">
        <v>21065</v>
      </c>
      <c r="B5846" s="384" t="s">
        <v>21066</v>
      </c>
      <c r="C5846" s="384" t="s">
        <v>2884</v>
      </c>
      <c r="D5846" s="385" t="s">
        <v>21067</v>
      </c>
    </row>
    <row r="5847" spans="1:4" x14ac:dyDescent="0.25">
      <c r="A5847" s="384" t="s">
        <v>21068</v>
      </c>
      <c r="B5847" s="384" t="s">
        <v>21069</v>
      </c>
      <c r="C5847" s="384" t="s">
        <v>82</v>
      </c>
      <c r="D5847" s="385" t="s">
        <v>17992</v>
      </c>
    </row>
    <row r="5848" spans="1:4" x14ac:dyDescent="0.25">
      <c r="A5848" s="384" t="s">
        <v>21070</v>
      </c>
      <c r="B5848" s="384" t="s">
        <v>21071</v>
      </c>
      <c r="C5848" s="384" t="s">
        <v>2884</v>
      </c>
      <c r="D5848" s="385" t="s">
        <v>20855</v>
      </c>
    </row>
    <row r="5849" spans="1:4" x14ac:dyDescent="0.25">
      <c r="A5849" s="384" t="s">
        <v>21072</v>
      </c>
      <c r="B5849" s="384" t="s">
        <v>21073</v>
      </c>
      <c r="C5849" s="384" t="s">
        <v>82</v>
      </c>
      <c r="D5849" s="385" t="s">
        <v>19432</v>
      </c>
    </row>
    <row r="5850" spans="1:4" x14ac:dyDescent="0.25">
      <c r="A5850" s="384" t="s">
        <v>21074</v>
      </c>
      <c r="B5850" s="384" t="s">
        <v>21075</v>
      </c>
      <c r="C5850" s="384" t="s">
        <v>82</v>
      </c>
      <c r="D5850" s="385" t="s">
        <v>21076</v>
      </c>
    </row>
    <row r="5851" spans="1:4" x14ac:dyDescent="0.25">
      <c r="A5851" s="384" t="s">
        <v>21077</v>
      </c>
      <c r="B5851" s="384" t="s">
        <v>21078</v>
      </c>
      <c r="C5851" s="384" t="s">
        <v>82</v>
      </c>
      <c r="D5851" s="385" t="s">
        <v>21079</v>
      </c>
    </row>
    <row r="5852" spans="1:4" x14ac:dyDescent="0.25">
      <c r="A5852" s="384" t="s">
        <v>21080</v>
      </c>
      <c r="B5852" s="384" t="s">
        <v>21081</v>
      </c>
      <c r="C5852" s="384" t="s">
        <v>82</v>
      </c>
      <c r="D5852" s="385" t="s">
        <v>19747</v>
      </c>
    </row>
    <row r="5853" spans="1:4" x14ac:dyDescent="0.25">
      <c r="A5853" s="384" t="s">
        <v>21082</v>
      </c>
      <c r="B5853" s="384" t="s">
        <v>21083</v>
      </c>
      <c r="C5853" s="384" t="s">
        <v>2884</v>
      </c>
      <c r="D5853" s="385" t="s">
        <v>9700</v>
      </c>
    </row>
    <row r="5854" spans="1:4" x14ac:dyDescent="0.25">
      <c r="A5854" s="384" t="s">
        <v>21084</v>
      </c>
      <c r="B5854" s="384" t="s">
        <v>21085</v>
      </c>
      <c r="C5854" s="384" t="s">
        <v>2884</v>
      </c>
      <c r="D5854" s="385" t="s">
        <v>21086</v>
      </c>
    </row>
    <row r="5855" spans="1:4" x14ac:dyDescent="0.25">
      <c r="A5855" s="384" t="s">
        <v>21087</v>
      </c>
      <c r="B5855" s="384" t="s">
        <v>21088</v>
      </c>
      <c r="C5855" s="384" t="s">
        <v>82</v>
      </c>
      <c r="D5855" s="385" t="s">
        <v>21089</v>
      </c>
    </row>
    <row r="5856" spans="1:4" x14ac:dyDescent="0.25">
      <c r="A5856" s="384" t="s">
        <v>21090</v>
      </c>
      <c r="B5856" s="384" t="s">
        <v>21091</v>
      </c>
      <c r="C5856" s="384" t="s">
        <v>2884</v>
      </c>
      <c r="D5856" s="385" t="s">
        <v>21092</v>
      </c>
    </row>
    <row r="5857" spans="1:4" x14ac:dyDescent="0.25">
      <c r="A5857" s="384" t="s">
        <v>21093</v>
      </c>
      <c r="B5857" s="384" t="s">
        <v>21094</v>
      </c>
      <c r="C5857" s="384" t="s">
        <v>2884</v>
      </c>
      <c r="D5857" s="385" t="s">
        <v>21095</v>
      </c>
    </row>
    <row r="5858" spans="1:4" x14ac:dyDescent="0.25">
      <c r="A5858" s="384" t="s">
        <v>21096</v>
      </c>
      <c r="B5858" s="384" t="s">
        <v>21097</v>
      </c>
      <c r="C5858" s="384" t="s">
        <v>2884</v>
      </c>
      <c r="D5858" s="385" t="s">
        <v>16313</v>
      </c>
    </row>
    <row r="5859" spans="1:4" x14ac:dyDescent="0.25">
      <c r="A5859" s="384" t="s">
        <v>21098</v>
      </c>
      <c r="B5859" s="384" t="s">
        <v>21099</v>
      </c>
      <c r="C5859" s="384" t="s">
        <v>2884</v>
      </c>
      <c r="D5859" s="385" t="s">
        <v>21100</v>
      </c>
    </row>
    <row r="5860" spans="1:4" x14ac:dyDescent="0.25">
      <c r="A5860" s="384" t="s">
        <v>21101</v>
      </c>
      <c r="B5860" s="384" t="s">
        <v>21102</v>
      </c>
      <c r="C5860" s="384" t="s">
        <v>2884</v>
      </c>
      <c r="D5860" s="385" t="s">
        <v>21103</v>
      </c>
    </row>
    <row r="5861" spans="1:4" x14ac:dyDescent="0.25">
      <c r="A5861" s="384" t="s">
        <v>21104</v>
      </c>
      <c r="B5861" s="384" t="s">
        <v>21105</v>
      </c>
      <c r="C5861" s="384" t="s">
        <v>2884</v>
      </c>
      <c r="D5861" s="385" t="s">
        <v>21106</v>
      </c>
    </row>
    <row r="5862" spans="1:4" x14ac:dyDescent="0.25">
      <c r="A5862" s="384" t="s">
        <v>21107</v>
      </c>
      <c r="B5862" s="384" t="s">
        <v>21108</v>
      </c>
      <c r="C5862" s="384" t="s">
        <v>2884</v>
      </c>
      <c r="D5862" s="385" t="s">
        <v>21109</v>
      </c>
    </row>
    <row r="5863" spans="1:4" x14ac:dyDescent="0.25">
      <c r="A5863" s="384" t="s">
        <v>21110</v>
      </c>
      <c r="B5863" s="384" t="s">
        <v>21111</v>
      </c>
      <c r="C5863" s="384" t="s">
        <v>2884</v>
      </c>
      <c r="D5863" s="385" t="s">
        <v>21112</v>
      </c>
    </row>
    <row r="5864" spans="1:4" x14ac:dyDescent="0.25">
      <c r="A5864" s="384" t="s">
        <v>21113</v>
      </c>
      <c r="B5864" s="384" t="s">
        <v>21114</v>
      </c>
      <c r="C5864" s="384" t="s">
        <v>2884</v>
      </c>
      <c r="D5864" s="385" t="s">
        <v>4934</v>
      </c>
    </row>
    <row r="5865" spans="1:4" x14ac:dyDescent="0.25">
      <c r="A5865" s="384" t="s">
        <v>21115</v>
      </c>
      <c r="B5865" s="384" t="s">
        <v>21116</v>
      </c>
      <c r="C5865" s="384" t="s">
        <v>2884</v>
      </c>
      <c r="D5865" s="385" t="s">
        <v>21117</v>
      </c>
    </row>
    <row r="5866" spans="1:4" x14ac:dyDescent="0.25">
      <c r="A5866" s="384" t="s">
        <v>21118</v>
      </c>
      <c r="B5866" s="384" t="s">
        <v>21119</v>
      </c>
      <c r="C5866" s="384" t="s">
        <v>2884</v>
      </c>
      <c r="D5866" s="385" t="s">
        <v>21120</v>
      </c>
    </row>
    <row r="5867" spans="1:4" x14ac:dyDescent="0.25">
      <c r="A5867" s="384" t="s">
        <v>21121</v>
      </c>
      <c r="B5867" s="384" t="s">
        <v>21122</v>
      </c>
      <c r="C5867" s="384" t="s">
        <v>2884</v>
      </c>
      <c r="D5867" s="385" t="s">
        <v>17139</v>
      </c>
    </row>
    <row r="5868" spans="1:4" x14ac:dyDescent="0.25">
      <c r="A5868" s="384" t="s">
        <v>21123</v>
      </c>
      <c r="B5868" s="384" t="s">
        <v>21124</v>
      </c>
      <c r="C5868" s="384" t="s">
        <v>2884</v>
      </c>
      <c r="D5868" s="385" t="s">
        <v>21125</v>
      </c>
    </row>
    <row r="5869" spans="1:4" x14ac:dyDescent="0.25">
      <c r="A5869" s="384" t="s">
        <v>21126</v>
      </c>
      <c r="B5869" s="384" t="s">
        <v>21127</v>
      </c>
      <c r="C5869" s="384" t="s">
        <v>2884</v>
      </c>
      <c r="D5869" s="385" t="s">
        <v>21128</v>
      </c>
    </row>
    <row r="5870" spans="1:4" x14ac:dyDescent="0.25">
      <c r="A5870" s="384" t="s">
        <v>21129</v>
      </c>
      <c r="B5870" s="384" t="s">
        <v>21130</v>
      </c>
      <c r="C5870" s="384" t="s">
        <v>2884</v>
      </c>
      <c r="D5870" s="385" t="s">
        <v>21131</v>
      </c>
    </row>
    <row r="5871" spans="1:4" x14ac:dyDescent="0.25">
      <c r="A5871" s="384" t="s">
        <v>21132</v>
      </c>
      <c r="B5871" s="384" t="s">
        <v>21133</v>
      </c>
      <c r="C5871" s="384" t="s">
        <v>2884</v>
      </c>
      <c r="D5871" s="385" t="s">
        <v>21134</v>
      </c>
    </row>
    <row r="5872" spans="1:4" x14ac:dyDescent="0.25">
      <c r="A5872" s="384" t="s">
        <v>21135</v>
      </c>
      <c r="B5872" s="384" t="s">
        <v>21136</v>
      </c>
      <c r="C5872" s="384" t="s">
        <v>2884</v>
      </c>
      <c r="D5872" s="385" t="s">
        <v>21137</v>
      </c>
    </row>
    <row r="5873" spans="1:4" x14ac:dyDescent="0.25">
      <c r="A5873" s="384" t="s">
        <v>21138</v>
      </c>
      <c r="B5873" s="384" t="s">
        <v>21139</v>
      </c>
      <c r="C5873" s="384" t="s">
        <v>2884</v>
      </c>
      <c r="D5873" s="385" t="s">
        <v>21140</v>
      </c>
    </row>
    <row r="5874" spans="1:4" x14ac:dyDescent="0.25">
      <c r="A5874" s="384" t="s">
        <v>21141</v>
      </c>
      <c r="B5874" s="384" t="s">
        <v>21142</v>
      </c>
      <c r="C5874" s="384" t="s">
        <v>2884</v>
      </c>
      <c r="D5874" s="385" t="s">
        <v>5006</v>
      </c>
    </row>
    <row r="5875" spans="1:4" x14ac:dyDescent="0.25">
      <c r="A5875" s="384" t="s">
        <v>21143</v>
      </c>
      <c r="B5875" s="384" t="s">
        <v>21144</v>
      </c>
      <c r="C5875" s="384" t="s">
        <v>2884</v>
      </c>
      <c r="D5875" s="385" t="s">
        <v>21145</v>
      </c>
    </row>
    <row r="5876" spans="1:4" x14ac:dyDescent="0.25">
      <c r="A5876" s="384" t="s">
        <v>21146</v>
      </c>
      <c r="B5876" s="384" t="s">
        <v>21147</v>
      </c>
      <c r="C5876" s="384" t="s">
        <v>2884</v>
      </c>
      <c r="D5876" s="385" t="s">
        <v>8604</v>
      </c>
    </row>
    <row r="5877" spans="1:4" x14ac:dyDescent="0.25">
      <c r="A5877" s="384" t="s">
        <v>21148</v>
      </c>
      <c r="B5877" s="384" t="s">
        <v>21149</v>
      </c>
      <c r="C5877" s="384" t="s">
        <v>2884</v>
      </c>
      <c r="D5877" s="385" t="s">
        <v>21150</v>
      </c>
    </row>
    <row r="5878" spans="1:4" x14ac:dyDescent="0.25">
      <c r="A5878" s="384" t="s">
        <v>21151</v>
      </c>
      <c r="B5878" s="384" t="s">
        <v>21152</v>
      </c>
      <c r="C5878" s="384" t="s">
        <v>2884</v>
      </c>
      <c r="D5878" s="385" t="s">
        <v>21153</v>
      </c>
    </row>
    <row r="5879" spans="1:4" x14ac:dyDescent="0.25">
      <c r="A5879" s="384" t="s">
        <v>21154</v>
      </c>
      <c r="B5879" s="384" t="s">
        <v>21155</v>
      </c>
      <c r="C5879" s="384" t="s">
        <v>2884</v>
      </c>
      <c r="D5879" s="385" t="s">
        <v>21156</v>
      </c>
    </row>
    <row r="5880" spans="1:4" x14ac:dyDescent="0.25">
      <c r="A5880" s="384" t="s">
        <v>21157</v>
      </c>
      <c r="B5880" s="384" t="s">
        <v>21158</v>
      </c>
      <c r="C5880" s="384" t="s">
        <v>2884</v>
      </c>
      <c r="D5880" s="385" t="s">
        <v>21159</v>
      </c>
    </row>
    <row r="5881" spans="1:4" x14ac:dyDescent="0.25">
      <c r="A5881" s="384" t="s">
        <v>21160</v>
      </c>
      <c r="B5881" s="384" t="s">
        <v>21161</v>
      </c>
      <c r="C5881" s="384" t="s">
        <v>2884</v>
      </c>
      <c r="D5881" s="385" t="s">
        <v>21162</v>
      </c>
    </row>
    <row r="5882" spans="1:4" x14ac:dyDescent="0.25">
      <c r="A5882" s="384" t="s">
        <v>21163</v>
      </c>
      <c r="B5882" s="384" t="s">
        <v>21164</v>
      </c>
      <c r="C5882" s="384" t="s">
        <v>2884</v>
      </c>
      <c r="D5882" s="385" t="s">
        <v>4874</v>
      </c>
    </row>
    <row r="5883" spans="1:4" x14ac:dyDescent="0.25">
      <c r="A5883" s="384" t="s">
        <v>21165</v>
      </c>
      <c r="B5883" s="384" t="s">
        <v>21166</v>
      </c>
      <c r="C5883" s="384" t="s">
        <v>2884</v>
      </c>
      <c r="D5883" s="385" t="s">
        <v>21167</v>
      </c>
    </row>
    <row r="5884" spans="1:4" x14ac:dyDescent="0.25">
      <c r="A5884" s="384" t="s">
        <v>21168</v>
      </c>
      <c r="B5884" s="384" t="s">
        <v>21169</v>
      </c>
      <c r="C5884" s="384" t="s">
        <v>2884</v>
      </c>
      <c r="D5884" s="385" t="s">
        <v>21170</v>
      </c>
    </row>
    <row r="5885" spans="1:4" x14ac:dyDescent="0.25">
      <c r="A5885" s="384" t="s">
        <v>21171</v>
      </c>
      <c r="B5885" s="384" t="s">
        <v>21172</v>
      </c>
      <c r="C5885" s="384" t="s">
        <v>2884</v>
      </c>
      <c r="D5885" s="385" t="s">
        <v>21173</v>
      </c>
    </row>
    <row r="5886" spans="1:4" x14ac:dyDescent="0.25">
      <c r="A5886" s="384" t="s">
        <v>21174</v>
      </c>
      <c r="B5886" s="384" t="s">
        <v>21175</v>
      </c>
      <c r="C5886" s="384" t="s">
        <v>2884</v>
      </c>
      <c r="D5886" s="385" t="s">
        <v>13562</v>
      </c>
    </row>
    <row r="5887" spans="1:4" x14ac:dyDescent="0.25">
      <c r="A5887" s="384" t="s">
        <v>21176</v>
      </c>
      <c r="B5887" s="384" t="s">
        <v>21177</v>
      </c>
      <c r="C5887" s="384" t="s">
        <v>2884</v>
      </c>
      <c r="D5887" s="385" t="s">
        <v>21178</v>
      </c>
    </row>
    <row r="5888" spans="1:4" x14ac:dyDescent="0.25">
      <c r="A5888" s="384" t="s">
        <v>21179</v>
      </c>
      <c r="B5888" s="384" t="s">
        <v>21180</v>
      </c>
      <c r="C5888" s="384" t="s">
        <v>2884</v>
      </c>
      <c r="D5888" s="385" t="s">
        <v>21181</v>
      </c>
    </row>
    <row r="5889" spans="1:4" x14ac:dyDescent="0.25">
      <c r="A5889" s="384" t="s">
        <v>21182</v>
      </c>
      <c r="B5889" s="384" t="s">
        <v>21183</v>
      </c>
      <c r="C5889" s="384" t="s">
        <v>2884</v>
      </c>
      <c r="D5889" s="385" t="s">
        <v>16394</v>
      </c>
    </row>
    <row r="5890" spans="1:4" x14ac:dyDescent="0.25">
      <c r="A5890" s="384" t="s">
        <v>21184</v>
      </c>
      <c r="B5890" s="384" t="s">
        <v>21185</v>
      </c>
      <c r="C5890" s="384" t="s">
        <v>82</v>
      </c>
      <c r="D5890" s="385" t="s">
        <v>21186</v>
      </c>
    </row>
    <row r="5891" spans="1:4" x14ac:dyDescent="0.25">
      <c r="A5891" s="384" t="s">
        <v>21187</v>
      </c>
      <c r="B5891" s="384" t="s">
        <v>21188</v>
      </c>
      <c r="C5891" s="384" t="s">
        <v>82</v>
      </c>
      <c r="D5891" s="385" t="s">
        <v>13014</v>
      </c>
    </row>
    <row r="5892" spans="1:4" x14ac:dyDescent="0.25">
      <c r="A5892" s="384" t="s">
        <v>21189</v>
      </c>
      <c r="B5892" s="384" t="s">
        <v>21190</v>
      </c>
      <c r="C5892" s="384" t="s">
        <v>82</v>
      </c>
      <c r="D5892" s="385" t="s">
        <v>21191</v>
      </c>
    </row>
    <row r="5893" spans="1:4" x14ac:dyDescent="0.25">
      <c r="A5893" s="384" t="s">
        <v>21192</v>
      </c>
      <c r="B5893" s="384" t="s">
        <v>21193</v>
      </c>
      <c r="C5893" s="384" t="s">
        <v>82</v>
      </c>
      <c r="D5893" s="385" t="s">
        <v>20106</v>
      </c>
    </row>
    <row r="5894" spans="1:4" x14ac:dyDescent="0.25">
      <c r="A5894" s="384" t="s">
        <v>21194</v>
      </c>
      <c r="B5894" s="384" t="s">
        <v>21195</v>
      </c>
      <c r="C5894" s="384" t="s">
        <v>2884</v>
      </c>
      <c r="D5894" s="385" t="s">
        <v>21196</v>
      </c>
    </row>
    <row r="5895" spans="1:4" x14ac:dyDescent="0.25">
      <c r="A5895" s="384" t="s">
        <v>21197</v>
      </c>
      <c r="B5895" s="384" t="s">
        <v>21198</v>
      </c>
      <c r="C5895" s="384" t="s">
        <v>2884</v>
      </c>
      <c r="D5895" s="385" t="s">
        <v>21199</v>
      </c>
    </row>
    <row r="5896" spans="1:4" x14ac:dyDescent="0.25">
      <c r="A5896" s="384" t="s">
        <v>21200</v>
      </c>
      <c r="B5896" s="384" t="s">
        <v>21201</v>
      </c>
      <c r="C5896" s="384" t="s">
        <v>2884</v>
      </c>
      <c r="D5896" s="385" t="s">
        <v>21202</v>
      </c>
    </row>
    <row r="5897" spans="1:4" x14ac:dyDescent="0.25">
      <c r="A5897" s="384" t="s">
        <v>21203</v>
      </c>
      <c r="B5897" s="384" t="s">
        <v>21204</v>
      </c>
      <c r="C5897" s="384" t="s">
        <v>2884</v>
      </c>
      <c r="D5897" s="385" t="s">
        <v>21205</v>
      </c>
    </row>
    <row r="5898" spans="1:4" x14ac:dyDescent="0.25">
      <c r="A5898" s="384" t="s">
        <v>21206</v>
      </c>
      <c r="B5898" s="384" t="s">
        <v>21207</v>
      </c>
      <c r="C5898" s="384" t="s">
        <v>2884</v>
      </c>
      <c r="D5898" s="385" t="s">
        <v>21208</v>
      </c>
    </row>
    <row r="5899" spans="1:4" x14ac:dyDescent="0.25">
      <c r="A5899" s="384" t="s">
        <v>21209</v>
      </c>
      <c r="B5899" s="384" t="s">
        <v>21210</v>
      </c>
      <c r="C5899" s="384" t="s">
        <v>2884</v>
      </c>
      <c r="D5899" s="385" t="s">
        <v>20595</v>
      </c>
    </row>
    <row r="5900" spans="1:4" x14ac:dyDescent="0.25">
      <c r="A5900" s="384" t="s">
        <v>21211</v>
      </c>
      <c r="B5900" s="384" t="s">
        <v>21212</v>
      </c>
      <c r="C5900" s="384" t="s">
        <v>82</v>
      </c>
      <c r="D5900" s="385" t="s">
        <v>13399</v>
      </c>
    </row>
    <row r="5901" spans="1:4" x14ac:dyDescent="0.25">
      <c r="A5901" s="384" t="s">
        <v>21213</v>
      </c>
      <c r="B5901" s="384" t="s">
        <v>21214</v>
      </c>
      <c r="C5901" s="384" t="s">
        <v>2884</v>
      </c>
      <c r="D5901" s="385" t="s">
        <v>21215</v>
      </c>
    </row>
    <row r="5902" spans="1:4" x14ac:dyDescent="0.25">
      <c r="A5902" s="384" t="s">
        <v>21216</v>
      </c>
      <c r="B5902" s="384" t="s">
        <v>21217</v>
      </c>
      <c r="C5902" s="384" t="s">
        <v>2884</v>
      </c>
      <c r="D5902" s="385" t="s">
        <v>21218</v>
      </c>
    </row>
    <row r="5903" spans="1:4" x14ac:dyDescent="0.25">
      <c r="A5903" s="384" t="s">
        <v>21219</v>
      </c>
      <c r="B5903" s="384" t="s">
        <v>21220</v>
      </c>
      <c r="C5903" s="384" t="s">
        <v>2884</v>
      </c>
      <c r="D5903" s="385" t="s">
        <v>21221</v>
      </c>
    </row>
    <row r="5904" spans="1:4" x14ac:dyDescent="0.25">
      <c r="A5904" s="384" t="s">
        <v>21222</v>
      </c>
      <c r="B5904" s="384" t="s">
        <v>21223</v>
      </c>
      <c r="C5904" s="384" t="s">
        <v>2884</v>
      </c>
      <c r="D5904" s="385" t="s">
        <v>21224</v>
      </c>
    </row>
    <row r="5905" spans="1:4" x14ac:dyDescent="0.25">
      <c r="A5905" s="384" t="s">
        <v>21225</v>
      </c>
      <c r="B5905" s="384" t="s">
        <v>21226</v>
      </c>
      <c r="C5905" s="384" t="s">
        <v>2884</v>
      </c>
      <c r="D5905" s="385" t="s">
        <v>21227</v>
      </c>
    </row>
    <row r="5906" spans="1:4" x14ac:dyDescent="0.25">
      <c r="A5906" s="384" t="s">
        <v>21228</v>
      </c>
      <c r="B5906" s="384" t="s">
        <v>21229</v>
      </c>
      <c r="C5906" s="384" t="s">
        <v>2884</v>
      </c>
      <c r="D5906" s="385" t="s">
        <v>21230</v>
      </c>
    </row>
    <row r="5907" spans="1:4" x14ac:dyDescent="0.25">
      <c r="A5907" s="384" t="s">
        <v>21231</v>
      </c>
      <c r="B5907" s="384" t="s">
        <v>21232</v>
      </c>
      <c r="C5907" s="384" t="s">
        <v>2884</v>
      </c>
      <c r="D5907" s="385" t="s">
        <v>21233</v>
      </c>
    </row>
    <row r="5908" spans="1:4" x14ac:dyDescent="0.25">
      <c r="A5908" s="384" t="s">
        <v>21234</v>
      </c>
      <c r="B5908" s="384" t="s">
        <v>21235</v>
      </c>
      <c r="C5908" s="384" t="s">
        <v>2884</v>
      </c>
      <c r="D5908" s="385" t="s">
        <v>21236</v>
      </c>
    </row>
    <row r="5909" spans="1:4" x14ac:dyDescent="0.25">
      <c r="A5909" s="384" t="s">
        <v>21237</v>
      </c>
      <c r="B5909" s="384" t="s">
        <v>21238</v>
      </c>
      <c r="C5909" s="384" t="s">
        <v>2884</v>
      </c>
      <c r="D5909" s="385" t="s">
        <v>21239</v>
      </c>
    </row>
    <row r="5910" spans="1:4" x14ac:dyDescent="0.25">
      <c r="A5910" s="384" t="s">
        <v>21240</v>
      </c>
      <c r="B5910" s="384" t="s">
        <v>21241</v>
      </c>
      <c r="C5910" s="384" t="s">
        <v>82</v>
      </c>
      <c r="D5910" s="385" t="s">
        <v>21242</v>
      </c>
    </row>
    <row r="5911" spans="1:4" x14ac:dyDescent="0.25">
      <c r="A5911" s="384" t="s">
        <v>21243</v>
      </c>
      <c r="B5911" s="384" t="s">
        <v>21244</v>
      </c>
      <c r="C5911" s="384" t="s">
        <v>82</v>
      </c>
      <c r="D5911" s="385" t="s">
        <v>21245</v>
      </c>
    </row>
    <row r="5912" spans="1:4" x14ac:dyDescent="0.25">
      <c r="A5912" s="384" t="s">
        <v>21246</v>
      </c>
      <c r="B5912" s="384" t="s">
        <v>21247</v>
      </c>
      <c r="C5912" s="384" t="s">
        <v>82</v>
      </c>
      <c r="D5912" s="385" t="s">
        <v>17469</v>
      </c>
    </row>
    <row r="5913" spans="1:4" x14ac:dyDescent="0.25">
      <c r="A5913" s="384" t="s">
        <v>21248</v>
      </c>
      <c r="B5913" s="384" t="s">
        <v>21249</v>
      </c>
      <c r="C5913" s="384" t="s">
        <v>82</v>
      </c>
      <c r="D5913" s="385" t="s">
        <v>21250</v>
      </c>
    </row>
    <row r="5914" spans="1:4" x14ac:dyDescent="0.25">
      <c r="A5914" s="384" t="s">
        <v>21251</v>
      </c>
      <c r="B5914" s="384" t="s">
        <v>21252</v>
      </c>
      <c r="C5914" s="384" t="s">
        <v>82</v>
      </c>
      <c r="D5914" s="385" t="s">
        <v>21253</v>
      </c>
    </row>
    <row r="5915" spans="1:4" x14ac:dyDescent="0.25">
      <c r="A5915" s="384" t="s">
        <v>21254</v>
      </c>
      <c r="B5915" s="384" t="s">
        <v>21255</v>
      </c>
      <c r="C5915" s="384" t="s">
        <v>82</v>
      </c>
      <c r="D5915" s="385" t="s">
        <v>15109</v>
      </c>
    </row>
    <row r="5916" spans="1:4" x14ac:dyDescent="0.25">
      <c r="A5916" s="384" t="s">
        <v>21256</v>
      </c>
      <c r="B5916" s="384" t="s">
        <v>21257</v>
      </c>
      <c r="C5916" s="384" t="s">
        <v>82</v>
      </c>
      <c r="D5916" s="385" t="s">
        <v>6817</v>
      </c>
    </row>
    <row r="5917" spans="1:4" x14ac:dyDescent="0.25">
      <c r="A5917" s="384" t="s">
        <v>21258</v>
      </c>
      <c r="B5917" s="384" t="s">
        <v>21259</v>
      </c>
      <c r="C5917" s="384" t="s">
        <v>82</v>
      </c>
      <c r="D5917" s="385" t="s">
        <v>6986</v>
      </c>
    </row>
    <row r="5918" spans="1:4" x14ac:dyDescent="0.25">
      <c r="A5918" s="384" t="s">
        <v>21260</v>
      </c>
      <c r="B5918" s="384" t="s">
        <v>21261</v>
      </c>
      <c r="C5918" s="384" t="s">
        <v>82</v>
      </c>
      <c r="D5918" s="385" t="s">
        <v>21262</v>
      </c>
    </row>
    <row r="5919" spans="1:4" x14ac:dyDescent="0.25">
      <c r="A5919" s="384" t="s">
        <v>21263</v>
      </c>
      <c r="B5919" s="384" t="s">
        <v>21264</v>
      </c>
      <c r="C5919" s="384" t="s">
        <v>82</v>
      </c>
      <c r="D5919" s="385" t="s">
        <v>20831</v>
      </c>
    </row>
    <row r="5920" spans="1:4" x14ac:dyDescent="0.25">
      <c r="A5920" s="384" t="s">
        <v>21265</v>
      </c>
      <c r="B5920" s="384" t="s">
        <v>21266</v>
      </c>
      <c r="C5920" s="384" t="s">
        <v>76</v>
      </c>
      <c r="D5920" s="385" t="s">
        <v>21267</v>
      </c>
    </row>
    <row r="5921" spans="1:4" x14ac:dyDescent="0.25">
      <c r="A5921" s="384" t="s">
        <v>21268</v>
      </c>
      <c r="B5921" s="384" t="s">
        <v>21269</v>
      </c>
      <c r="C5921" s="384" t="s">
        <v>76</v>
      </c>
      <c r="D5921" s="385" t="s">
        <v>21270</v>
      </c>
    </row>
    <row r="5922" spans="1:4" x14ac:dyDescent="0.25">
      <c r="A5922" s="384" t="s">
        <v>21271</v>
      </c>
      <c r="B5922" s="384" t="s">
        <v>21272</v>
      </c>
      <c r="C5922" s="384" t="s">
        <v>2884</v>
      </c>
      <c r="D5922" s="385" t="s">
        <v>21273</v>
      </c>
    </row>
    <row r="5923" spans="1:4" x14ac:dyDescent="0.25">
      <c r="A5923" s="384" t="s">
        <v>21274</v>
      </c>
      <c r="B5923" s="384" t="s">
        <v>21275</v>
      </c>
      <c r="C5923" s="384" t="s">
        <v>2884</v>
      </c>
      <c r="D5923" s="385" t="s">
        <v>21276</v>
      </c>
    </row>
    <row r="5924" spans="1:4" x14ac:dyDescent="0.25">
      <c r="A5924" s="384" t="s">
        <v>21277</v>
      </c>
      <c r="B5924" s="384" t="s">
        <v>21278</v>
      </c>
      <c r="C5924" s="384" t="s">
        <v>2884</v>
      </c>
      <c r="D5924" s="385" t="s">
        <v>21279</v>
      </c>
    </row>
    <row r="5925" spans="1:4" x14ac:dyDescent="0.25">
      <c r="A5925" s="384" t="s">
        <v>21280</v>
      </c>
      <c r="B5925" s="384" t="s">
        <v>21281</v>
      </c>
      <c r="C5925" s="384" t="s">
        <v>2884</v>
      </c>
      <c r="D5925" s="385" t="s">
        <v>21282</v>
      </c>
    </row>
    <row r="5926" spans="1:4" x14ac:dyDescent="0.25">
      <c r="A5926" s="384" t="s">
        <v>21283</v>
      </c>
      <c r="B5926" s="384" t="s">
        <v>21284</v>
      </c>
      <c r="C5926" s="384" t="s">
        <v>2884</v>
      </c>
      <c r="D5926" s="385" t="s">
        <v>21285</v>
      </c>
    </row>
    <row r="5927" spans="1:4" x14ac:dyDescent="0.25">
      <c r="A5927" s="384" t="s">
        <v>21286</v>
      </c>
      <c r="B5927" s="384" t="s">
        <v>21287</v>
      </c>
      <c r="C5927" s="384" t="s">
        <v>2884</v>
      </c>
      <c r="D5927" s="385" t="s">
        <v>21288</v>
      </c>
    </row>
    <row r="5928" spans="1:4" x14ac:dyDescent="0.25">
      <c r="A5928" s="384" t="s">
        <v>21289</v>
      </c>
      <c r="B5928" s="384" t="s">
        <v>21290</v>
      </c>
      <c r="C5928" s="384" t="s">
        <v>2884</v>
      </c>
      <c r="D5928" s="385" t="s">
        <v>21291</v>
      </c>
    </row>
    <row r="5929" spans="1:4" x14ac:dyDescent="0.25">
      <c r="A5929" s="384" t="s">
        <v>21292</v>
      </c>
      <c r="B5929" s="384" t="s">
        <v>21293</v>
      </c>
      <c r="C5929" s="384" t="s">
        <v>2884</v>
      </c>
      <c r="D5929" s="385" t="s">
        <v>21294</v>
      </c>
    </row>
    <row r="5930" spans="1:4" x14ac:dyDescent="0.25">
      <c r="A5930" s="384" t="s">
        <v>21295</v>
      </c>
      <c r="B5930" s="384" t="s">
        <v>21296</v>
      </c>
      <c r="C5930" s="384" t="s">
        <v>2884</v>
      </c>
      <c r="D5930" s="385" t="s">
        <v>21297</v>
      </c>
    </row>
    <row r="5931" spans="1:4" x14ac:dyDescent="0.25">
      <c r="A5931" s="384" t="s">
        <v>21298</v>
      </c>
      <c r="B5931" s="384" t="s">
        <v>21299</v>
      </c>
      <c r="C5931" s="384" t="s">
        <v>2884</v>
      </c>
      <c r="D5931" s="385" t="s">
        <v>21300</v>
      </c>
    </row>
    <row r="5932" spans="1:4" x14ac:dyDescent="0.25">
      <c r="A5932" s="384" t="s">
        <v>21301</v>
      </c>
      <c r="B5932" s="384" t="s">
        <v>21302</v>
      </c>
      <c r="C5932" s="384" t="s">
        <v>2884</v>
      </c>
      <c r="D5932" s="385" t="s">
        <v>21303</v>
      </c>
    </row>
    <row r="5933" spans="1:4" x14ac:dyDescent="0.25">
      <c r="A5933" s="384" t="s">
        <v>21304</v>
      </c>
      <c r="B5933" s="384" t="s">
        <v>21305</v>
      </c>
      <c r="C5933" s="384" t="s">
        <v>2884</v>
      </c>
      <c r="D5933" s="385" t="s">
        <v>21306</v>
      </c>
    </row>
    <row r="5934" spans="1:4" x14ac:dyDescent="0.25">
      <c r="A5934" s="384" t="s">
        <v>21307</v>
      </c>
      <c r="B5934" s="384" t="s">
        <v>21308</v>
      </c>
      <c r="C5934" s="384" t="s">
        <v>2884</v>
      </c>
      <c r="D5934" s="385" t="s">
        <v>17287</v>
      </c>
    </row>
    <row r="5935" spans="1:4" x14ac:dyDescent="0.25">
      <c r="A5935" s="384" t="s">
        <v>21309</v>
      </c>
      <c r="B5935" s="384" t="s">
        <v>21310</v>
      </c>
      <c r="C5935" s="384" t="s">
        <v>2884</v>
      </c>
      <c r="D5935" s="385" t="s">
        <v>15138</v>
      </c>
    </row>
    <row r="5936" spans="1:4" x14ac:dyDescent="0.25">
      <c r="A5936" s="384" t="s">
        <v>21311</v>
      </c>
      <c r="B5936" s="384" t="s">
        <v>21312</v>
      </c>
      <c r="C5936" s="384" t="s">
        <v>2884</v>
      </c>
      <c r="D5936" s="385" t="s">
        <v>21313</v>
      </c>
    </row>
    <row r="5937" spans="1:4" x14ac:dyDescent="0.25">
      <c r="A5937" s="384" t="s">
        <v>21314</v>
      </c>
      <c r="B5937" s="384" t="s">
        <v>21312</v>
      </c>
      <c r="C5937" s="384" t="s">
        <v>2884</v>
      </c>
      <c r="D5937" s="385" t="s">
        <v>21315</v>
      </c>
    </row>
    <row r="5938" spans="1:4" x14ac:dyDescent="0.25">
      <c r="A5938" s="384" t="s">
        <v>21316</v>
      </c>
      <c r="B5938" s="384" t="s">
        <v>21317</v>
      </c>
      <c r="C5938" s="384" t="s">
        <v>2884</v>
      </c>
      <c r="D5938" s="385" t="s">
        <v>16192</v>
      </c>
    </row>
    <row r="5939" spans="1:4" x14ac:dyDescent="0.25">
      <c r="A5939" s="384" t="s">
        <v>21318</v>
      </c>
      <c r="B5939" s="384" t="s">
        <v>21319</v>
      </c>
      <c r="C5939" s="384" t="s">
        <v>2884</v>
      </c>
      <c r="D5939" s="385" t="s">
        <v>21320</v>
      </c>
    </row>
    <row r="5940" spans="1:4" x14ac:dyDescent="0.25">
      <c r="A5940" s="384" t="s">
        <v>21321</v>
      </c>
      <c r="B5940" s="384" t="s">
        <v>21322</v>
      </c>
      <c r="C5940" s="384" t="s">
        <v>2884</v>
      </c>
      <c r="D5940" s="385" t="s">
        <v>21323</v>
      </c>
    </row>
    <row r="5941" spans="1:4" x14ac:dyDescent="0.25">
      <c r="A5941" s="384" t="s">
        <v>21324</v>
      </c>
      <c r="B5941" s="384" t="s">
        <v>21325</v>
      </c>
      <c r="C5941" s="384" t="s">
        <v>2884</v>
      </c>
      <c r="D5941" s="385" t="s">
        <v>21326</v>
      </c>
    </row>
    <row r="5942" spans="1:4" x14ac:dyDescent="0.25">
      <c r="A5942" s="384" t="s">
        <v>21327</v>
      </c>
      <c r="B5942" s="384" t="s">
        <v>21328</v>
      </c>
      <c r="C5942" s="384" t="s">
        <v>2884</v>
      </c>
      <c r="D5942" s="385" t="s">
        <v>21329</v>
      </c>
    </row>
    <row r="5943" spans="1:4" x14ac:dyDescent="0.25">
      <c r="A5943" s="384" t="s">
        <v>21330</v>
      </c>
      <c r="B5943" s="384" t="s">
        <v>21331</v>
      </c>
      <c r="C5943" s="384" t="s">
        <v>2884</v>
      </c>
      <c r="D5943" s="385" t="s">
        <v>4931</v>
      </c>
    </row>
    <row r="5944" spans="1:4" x14ac:dyDescent="0.25">
      <c r="A5944" s="384" t="s">
        <v>21332</v>
      </c>
      <c r="B5944" s="384" t="s">
        <v>21333</v>
      </c>
      <c r="C5944" s="384" t="s">
        <v>2884</v>
      </c>
      <c r="D5944" s="385" t="s">
        <v>21334</v>
      </c>
    </row>
    <row r="5945" spans="1:4" x14ac:dyDescent="0.25">
      <c r="A5945" s="384" t="s">
        <v>21335</v>
      </c>
      <c r="B5945" s="384" t="s">
        <v>21336</v>
      </c>
      <c r="C5945" s="384" t="s">
        <v>2884</v>
      </c>
      <c r="D5945" s="385" t="s">
        <v>21337</v>
      </c>
    </row>
    <row r="5946" spans="1:4" x14ac:dyDescent="0.25">
      <c r="A5946" s="384" t="s">
        <v>21338</v>
      </c>
      <c r="B5946" s="384" t="s">
        <v>21339</v>
      </c>
      <c r="C5946" s="384" t="s">
        <v>2884</v>
      </c>
      <c r="D5946" s="385" t="s">
        <v>21340</v>
      </c>
    </row>
    <row r="5947" spans="1:4" x14ac:dyDescent="0.25">
      <c r="A5947" s="384" t="s">
        <v>21341</v>
      </c>
      <c r="B5947" s="384" t="s">
        <v>21342</v>
      </c>
      <c r="C5947" s="384" t="s">
        <v>2884</v>
      </c>
      <c r="D5947" s="385" t="s">
        <v>21343</v>
      </c>
    </row>
    <row r="5948" spans="1:4" x14ac:dyDescent="0.25">
      <c r="A5948" s="384" t="s">
        <v>21344</v>
      </c>
      <c r="B5948" s="384" t="s">
        <v>21345</v>
      </c>
      <c r="C5948" s="384" t="s">
        <v>2884</v>
      </c>
      <c r="D5948" s="385" t="s">
        <v>21346</v>
      </c>
    </row>
    <row r="5949" spans="1:4" x14ac:dyDescent="0.25">
      <c r="A5949" s="384" t="s">
        <v>21347</v>
      </c>
      <c r="B5949" s="384" t="s">
        <v>21348</v>
      </c>
      <c r="C5949" s="384" t="s">
        <v>2884</v>
      </c>
      <c r="D5949" s="385" t="s">
        <v>21349</v>
      </c>
    </row>
    <row r="5950" spans="1:4" x14ac:dyDescent="0.25">
      <c r="A5950" s="384" t="s">
        <v>21350</v>
      </c>
      <c r="B5950" s="384" t="s">
        <v>21351</v>
      </c>
      <c r="C5950" s="384" t="s">
        <v>2884</v>
      </c>
      <c r="D5950" s="385" t="s">
        <v>21352</v>
      </c>
    </row>
    <row r="5951" spans="1:4" x14ac:dyDescent="0.25">
      <c r="A5951" s="384" t="s">
        <v>21353</v>
      </c>
      <c r="B5951" s="384" t="s">
        <v>21354</v>
      </c>
      <c r="C5951" s="384" t="s">
        <v>2884</v>
      </c>
      <c r="D5951" s="385" t="s">
        <v>21355</v>
      </c>
    </row>
    <row r="5952" spans="1:4" x14ac:dyDescent="0.25">
      <c r="A5952" s="384" t="s">
        <v>21356</v>
      </c>
      <c r="B5952" s="384" t="s">
        <v>21357</v>
      </c>
      <c r="C5952" s="384" t="s">
        <v>2884</v>
      </c>
      <c r="D5952" s="385" t="s">
        <v>21358</v>
      </c>
    </row>
    <row r="5953" spans="1:4" x14ac:dyDescent="0.25">
      <c r="A5953" s="384" t="s">
        <v>21359</v>
      </c>
      <c r="B5953" s="384" t="s">
        <v>21360</v>
      </c>
      <c r="C5953" s="384" t="s">
        <v>2884</v>
      </c>
      <c r="D5953" s="385" t="s">
        <v>11805</v>
      </c>
    </row>
    <row r="5954" spans="1:4" x14ac:dyDescent="0.25">
      <c r="A5954" s="384" t="s">
        <v>21361</v>
      </c>
      <c r="B5954" s="384" t="s">
        <v>21362</v>
      </c>
      <c r="C5954" s="384" t="s">
        <v>2884</v>
      </c>
      <c r="D5954" s="385" t="s">
        <v>5737</v>
      </c>
    </row>
    <row r="5955" spans="1:4" x14ac:dyDescent="0.25">
      <c r="A5955" s="384" t="s">
        <v>21363</v>
      </c>
      <c r="B5955" s="384" t="s">
        <v>21364</v>
      </c>
      <c r="C5955" s="384" t="s">
        <v>2884</v>
      </c>
      <c r="D5955" s="385" t="s">
        <v>21365</v>
      </c>
    </row>
    <row r="5956" spans="1:4" x14ac:dyDescent="0.25">
      <c r="A5956" s="384" t="s">
        <v>21366</v>
      </c>
      <c r="B5956" s="384" t="s">
        <v>21367</v>
      </c>
      <c r="C5956" s="384" t="s">
        <v>2884</v>
      </c>
      <c r="D5956" s="385" t="s">
        <v>21368</v>
      </c>
    </row>
    <row r="5957" spans="1:4" x14ac:dyDescent="0.25">
      <c r="A5957" s="384" t="s">
        <v>21369</v>
      </c>
      <c r="B5957" s="384" t="s">
        <v>21370</v>
      </c>
      <c r="C5957" s="384" t="s">
        <v>2884</v>
      </c>
      <c r="D5957" s="385" t="s">
        <v>21371</v>
      </c>
    </row>
    <row r="5958" spans="1:4" x14ac:dyDescent="0.25">
      <c r="A5958" s="384" t="s">
        <v>21372</v>
      </c>
      <c r="B5958" s="384" t="s">
        <v>21373</v>
      </c>
      <c r="C5958" s="384" t="s">
        <v>2884</v>
      </c>
      <c r="D5958" s="385" t="s">
        <v>21374</v>
      </c>
    </row>
    <row r="5959" spans="1:4" x14ac:dyDescent="0.25">
      <c r="A5959" s="384" t="s">
        <v>21375</v>
      </c>
      <c r="B5959" s="384" t="s">
        <v>21376</v>
      </c>
      <c r="C5959" s="384" t="s">
        <v>2884</v>
      </c>
      <c r="D5959" s="385" t="s">
        <v>17551</v>
      </c>
    </row>
    <row r="5960" spans="1:4" x14ac:dyDescent="0.25">
      <c r="A5960" s="384" t="s">
        <v>21377</v>
      </c>
      <c r="B5960" s="384" t="s">
        <v>21378</v>
      </c>
      <c r="C5960" s="384" t="s">
        <v>2884</v>
      </c>
      <c r="D5960" s="385" t="s">
        <v>21379</v>
      </c>
    </row>
    <row r="5961" spans="1:4" x14ac:dyDescent="0.25">
      <c r="A5961" s="384" t="s">
        <v>21380</v>
      </c>
      <c r="B5961" s="384" t="s">
        <v>21381</v>
      </c>
      <c r="C5961" s="384" t="s">
        <v>2884</v>
      </c>
      <c r="D5961" s="385" t="s">
        <v>21382</v>
      </c>
    </row>
    <row r="5962" spans="1:4" x14ac:dyDescent="0.25">
      <c r="A5962" s="384" t="s">
        <v>21383</v>
      </c>
      <c r="B5962" s="384" t="s">
        <v>21384</v>
      </c>
      <c r="C5962" s="384" t="s">
        <v>2884</v>
      </c>
      <c r="D5962" s="385" t="s">
        <v>21385</v>
      </c>
    </row>
    <row r="5963" spans="1:4" x14ac:dyDescent="0.25">
      <c r="A5963" s="384" t="s">
        <v>21386</v>
      </c>
      <c r="B5963" s="384" t="s">
        <v>21387</v>
      </c>
      <c r="C5963" s="384" t="s">
        <v>2884</v>
      </c>
      <c r="D5963" s="385" t="s">
        <v>21388</v>
      </c>
    </row>
    <row r="5964" spans="1:4" x14ac:dyDescent="0.25">
      <c r="A5964" s="384" t="s">
        <v>21389</v>
      </c>
      <c r="B5964" s="384" t="s">
        <v>21390</v>
      </c>
      <c r="C5964" s="384" t="s">
        <v>2884</v>
      </c>
      <c r="D5964" s="385" t="s">
        <v>21346</v>
      </c>
    </row>
    <row r="5965" spans="1:4" x14ac:dyDescent="0.25">
      <c r="A5965" s="384" t="s">
        <v>21391</v>
      </c>
      <c r="B5965" s="384" t="s">
        <v>21392</v>
      </c>
      <c r="C5965" s="384" t="s">
        <v>2884</v>
      </c>
      <c r="D5965" s="385" t="s">
        <v>21393</v>
      </c>
    </row>
    <row r="5966" spans="1:4" x14ac:dyDescent="0.25">
      <c r="A5966" s="384" t="s">
        <v>21394</v>
      </c>
      <c r="B5966" s="384" t="s">
        <v>21395</v>
      </c>
      <c r="C5966" s="384" t="s">
        <v>2884</v>
      </c>
      <c r="D5966" s="385" t="s">
        <v>21396</v>
      </c>
    </row>
    <row r="5967" spans="1:4" x14ac:dyDescent="0.25">
      <c r="A5967" s="384" t="s">
        <v>21397</v>
      </c>
      <c r="B5967" s="384" t="s">
        <v>21398</v>
      </c>
      <c r="C5967" s="384" t="s">
        <v>2884</v>
      </c>
      <c r="D5967" s="385" t="s">
        <v>14820</v>
      </c>
    </row>
    <row r="5968" spans="1:4" x14ac:dyDescent="0.25">
      <c r="A5968" s="384" t="s">
        <v>21399</v>
      </c>
      <c r="B5968" s="384" t="s">
        <v>21400</v>
      </c>
      <c r="C5968" s="384" t="s">
        <v>2884</v>
      </c>
      <c r="D5968" s="385" t="s">
        <v>21401</v>
      </c>
    </row>
    <row r="5969" spans="1:4" x14ac:dyDescent="0.25">
      <c r="A5969" s="384" t="s">
        <v>21402</v>
      </c>
      <c r="B5969" s="384" t="s">
        <v>21403</v>
      </c>
      <c r="C5969" s="384" t="s">
        <v>2884</v>
      </c>
      <c r="D5969" s="385" t="s">
        <v>16772</v>
      </c>
    </row>
    <row r="5970" spans="1:4" x14ac:dyDescent="0.25">
      <c r="A5970" s="384" t="s">
        <v>21404</v>
      </c>
      <c r="B5970" s="384" t="s">
        <v>21405</v>
      </c>
      <c r="C5970" s="384" t="s">
        <v>2884</v>
      </c>
      <c r="D5970" s="385" t="s">
        <v>21406</v>
      </c>
    </row>
    <row r="5971" spans="1:4" x14ac:dyDescent="0.25">
      <c r="A5971" s="384" t="s">
        <v>21407</v>
      </c>
      <c r="B5971" s="384" t="s">
        <v>21408</v>
      </c>
      <c r="C5971" s="384" t="s">
        <v>2884</v>
      </c>
      <c r="D5971" s="385" t="s">
        <v>6725</v>
      </c>
    </row>
    <row r="5972" spans="1:4" x14ac:dyDescent="0.25">
      <c r="A5972" s="384" t="s">
        <v>21409</v>
      </c>
      <c r="B5972" s="384" t="s">
        <v>21410</v>
      </c>
      <c r="C5972" s="384" t="s">
        <v>2884</v>
      </c>
      <c r="D5972" s="385" t="s">
        <v>21411</v>
      </c>
    </row>
    <row r="5973" spans="1:4" x14ac:dyDescent="0.25">
      <c r="A5973" s="384" t="s">
        <v>21412</v>
      </c>
      <c r="B5973" s="384" t="s">
        <v>21413</v>
      </c>
      <c r="C5973" s="384" t="s">
        <v>2884</v>
      </c>
      <c r="D5973" s="385" t="s">
        <v>21414</v>
      </c>
    </row>
    <row r="5974" spans="1:4" x14ac:dyDescent="0.25">
      <c r="A5974" s="384" t="s">
        <v>21415</v>
      </c>
      <c r="B5974" s="384" t="s">
        <v>21416</v>
      </c>
      <c r="C5974" s="384" t="s">
        <v>2884</v>
      </c>
      <c r="D5974" s="385" t="s">
        <v>18102</v>
      </c>
    </row>
    <row r="5975" spans="1:4" x14ac:dyDescent="0.25">
      <c r="A5975" s="384" t="s">
        <v>21417</v>
      </c>
      <c r="B5975" s="384" t="s">
        <v>21418</v>
      </c>
      <c r="C5975" s="384" t="s">
        <v>2884</v>
      </c>
      <c r="D5975" s="385" t="s">
        <v>12674</v>
      </c>
    </row>
    <row r="5976" spans="1:4" x14ac:dyDescent="0.25">
      <c r="A5976" s="384" t="s">
        <v>21419</v>
      </c>
      <c r="B5976" s="384" t="s">
        <v>21420</v>
      </c>
      <c r="C5976" s="384" t="s">
        <v>2884</v>
      </c>
      <c r="D5976" s="385" t="s">
        <v>21421</v>
      </c>
    </row>
    <row r="5977" spans="1:4" x14ac:dyDescent="0.25">
      <c r="A5977" s="384" t="s">
        <v>21422</v>
      </c>
      <c r="B5977" s="384" t="s">
        <v>21423</v>
      </c>
      <c r="C5977" s="384" t="s">
        <v>2884</v>
      </c>
      <c r="D5977" s="385" t="s">
        <v>10283</v>
      </c>
    </row>
    <row r="5978" spans="1:4" x14ac:dyDescent="0.25">
      <c r="A5978" s="384" t="s">
        <v>21424</v>
      </c>
      <c r="B5978" s="384" t="s">
        <v>21425</v>
      </c>
      <c r="C5978" s="384" t="s">
        <v>2884</v>
      </c>
      <c r="D5978" s="385" t="s">
        <v>15083</v>
      </c>
    </row>
    <row r="5979" spans="1:4" x14ac:dyDescent="0.25">
      <c r="A5979" s="384" t="s">
        <v>21426</v>
      </c>
      <c r="B5979" s="384" t="s">
        <v>21427</v>
      </c>
      <c r="C5979" s="384" t="s">
        <v>2884</v>
      </c>
      <c r="D5979" s="385" t="s">
        <v>21428</v>
      </c>
    </row>
    <row r="5980" spans="1:4" x14ac:dyDescent="0.25">
      <c r="A5980" s="384" t="s">
        <v>21429</v>
      </c>
      <c r="B5980" s="384" t="s">
        <v>21430</v>
      </c>
      <c r="C5980" s="384" t="s">
        <v>2884</v>
      </c>
      <c r="D5980" s="385" t="s">
        <v>21431</v>
      </c>
    </row>
    <row r="5981" spans="1:4" x14ac:dyDescent="0.25">
      <c r="A5981" s="384" t="s">
        <v>21432</v>
      </c>
      <c r="B5981" s="384" t="s">
        <v>21433</v>
      </c>
      <c r="C5981" s="384" t="s">
        <v>2884</v>
      </c>
      <c r="D5981" s="385" t="s">
        <v>21434</v>
      </c>
    </row>
    <row r="5982" spans="1:4" x14ac:dyDescent="0.25">
      <c r="A5982" s="384" t="s">
        <v>21435</v>
      </c>
      <c r="B5982" s="384" t="s">
        <v>21436</v>
      </c>
      <c r="C5982" s="384" t="s">
        <v>2884</v>
      </c>
      <c r="D5982" s="385" t="s">
        <v>21437</v>
      </c>
    </row>
    <row r="5983" spans="1:4" x14ac:dyDescent="0.25">
      <c r="A5983" s="384" t="s">
        <v>21438</v>
      </c>
      <c r="B5983" s="384" t="s">
        <v>21439</v>
      </c>
      <c r="C5983" s="384" t="s">
        <v>2884</v>
      </c>
      <c r="D5983" s="385" t="s">
        <v>21440</v>
      </c>
    </row>
    <row r="5984" spans="1:4" x14ac:dyDescent="0.25">
      <c r="A5984" s="384" t="s">
        <v>21441</v>
      </c>
      <c r="B5984" s="384" t="s">
        <v>21442</v>
      </c>
      <c r="C5984" s="384" t="s">
        <v>2884</v>
      </c>
      <c r="D5984" s="385" t="s">
        <v>21443</v>
      </c>
    </row>
    <row r="5985" spans="1:4" x14ac:dyDescent="0.25">
      <c r="A5985" s="384" t="s">
        <v>21444</v>
      </c>
      <c r="B5985" s="384" t="s">
        <v>21445</v>
      </c>
      <c r="C5985" s="384" t="s">
        <v>2884</v>
      </c>
      <c r="D5985" s="385" t="s">
        <v>21446</v>
      </c>
    </row>
    <row r="5986" spans="1:4" x14ac:dyDescent="0.25">
      <c r="A5986" s="384" t="s">
        <v>21447</v>
      </c>
      <c r="B5986" s="384" t="s">
        <v>21448</v>
      </c>
      <c r="C5986" s="384" t="s">
        <v>2884</v>
      </c>
      <c r="D5986" s="385" t="s">
        <v>21449</v>
      </c>
    </row>
    <row r="5987" spans="1:4" x14ac:dyDescent="0.25">
      <c r="A5987" s="384" t="s">
        <v>21450</v>
      </c>
      <c r="B5987" s="384" t="s">
        <v>21451</v>
      </c>
      <c r="C5987" s="384" t="s">
        <v>2884</v>
      </c>
      <c r="D5987" s="385" t="s">
        <v>21452</v>
      </c>
    </row>
    <row r="5988" spans="1:4" x14ac:dyDescent="0.25">
      <c r="A5988" s="384" t="s">
        <v>21453</v>
      </c>
      <c r="B5988" s="384" t="s">
        <v>21454</v>
      </c>
      <c r="C5988" s="384" t="s">
        <v>2884</v>
      </c>
      <c r="D5988" s="385" t="s">
        <v>21455</v>
      </c>
    </row>
    <row r="5989" spans="1:4" x14ac:dyDescent="0.25">
      <c r="A5989" s="384" t="s">
        <v>21456</v>
      </c>
      <c r="B5989" s="384" t="s">
        <v>21457</v>
      </c>
      <c r="C5989" s="384" t="s">
        <v>2884</v>
      </c>
      <c r="D5989" s="385" t="s">
        <v>21458</v>
      </c>
    </row>
    <row r="5990" spans="1:4" x14ac:dyDescent="0.25">
      <c r="A5990" s="384" t="s">
        <v>21459</v>
      </c>
      <c r="B5990" s="384" t="s">
        <v>21460</v>
      </c>
      <c r="C5990" s="384" t="s">
        <v>2884</v>
      </c>
      <c r="D5990" s="385" t="s">
        <v>21461</v>
      </c>
    </row>
    <row r="5991" spans="1:4" x14ac:dyDescent="0.25">
      <c r="A5991" s="384" t="s">
        <v>21462</v>
      </c>
      <c r="B5991" s="384" t="s">
        <v>21463</v>
      </c>
      <c r="C5991" s="384" t="s">
        <v>2884</v>
      </c>
      <c r="D5991" s="385" t="s">
        <v>21464</v>
      </c>
    </row>
    <row r="5992" spans="1:4" x14ac:dyDescent="0.25">
      <c r="A5992" s="384" t="s">
        <v>21465</v>
      </c>
      <c r="B5992" s="384" t="s">
        <v>21466</v>
      </c>
      <c r="C5992" s="384" t="s">
        <v>2884</v>
      </c>
      <c r="D5992" s="385" t="s">
        <v>21467</v>
      </c>
    </row>
    <row r="5993" spans="1:4" x14ac:dyDescent="0.25">
      <c r="A5993" s="384" t="s">
        <v>21468</v>
      </c>
      <c r="B5993" s="384" t="s">
        <v>21469</v>
      </c>
      <c r="C5993" s="384" t="s">
        <v>2884</v>
      </c>
      <c r="D5993" s="385" t="s">
        <v>21470</v>
      </c>
    </row>
    <row r="5994" spans="1:4" x14ac:dyDescent="0.25">
      <c r="A5994" s="384" t="s">
        <v>21471</v>
      </c>
      <c r="B5994" s="384" t="s">
        <v>21472</v>
      </c>
      <c r="C5994" s="384" t="s">
        <v>2884</v>
      </c>
      <c r="D5994" s="385" t="s">
        <v>21473</v>
      </c>
    </row>
    <row r="5995" spans="1:4" x14ac:dyDescent="0.25">
      <c r="A5995" s="384" t="s">
        <v>21474</v>
      </c>
      <c r="B5995" s="384" t="s">
        <v>21475</v>
      </c>
      <c r="C5995" s="384" t="s">
        <v>2884</v>
      </c>
      <c r="D5995" s="385" t="s">
        <v>21476</v>
      </c>
    </row>
    <row r="5996" spans="1:4" x14ac:dyDescent="0.25">
      <c r="A5996" s="384" t="s">
        <v>21477</v>
      </c>
      <c r="B5996" s="384" t="s">
        <v>21478</v>
      </c>
      <c r="C5996" s="384" t="s">
        <v>2884</v>
      </c>
      <c r="D5996" s="385" t="s">
        <v>21479</v>
      </c>
    </row>
    <row r="5997" spans="1:4" x14ac:dyDescent="0.25">
      <c r="A5997" s="384" t="s">
        <v>21480</v>
      </c>
      <c r="B5997" s="384" t="s">
        <v>21481</v>
      </c>
      <c r="C5997" s="384" t="s">
        <v>82</v>
      </c>
      <c r="D5997" s="385" t="s">
        <v>21482</v>
      </c>
    </row>
    <row r="5998" spans="1:4" x14ac:dyDescent="0.25">
      <c r="A5998" s="384" t="s">
        <v>21483</v>
      </c>
      <c r="B5998" s="384" t="s">
        <v>21484</v>
      </c>
      <c r="C5998" s="384" t="s">
        <v>2884</v>
      </c>
      <c r="D5998" s="385" t="s">
        <v>7065</v>
      </c>
    </row>
    <row r="5999" spans="1:4" x14ac:dyDescent="0.25">
      <c r="A5999" s="384" t="s">
        <v>21485</v>
      </c>
      <c r="B5999" s="384" t="s">
        <v>21486</v>
      </c>
      <c r="C5999" s="384" t="s">
        <v>2884</v>
      </c>
      <c r="D5999" s="385" t="s">
        <v>7297</v>
      </c>
    </row>
    <row r="6000" spans="1:4" x14ac:dyDescent="0.25">
      <c r="A6000" s="384" t="s">
        <v>21487</v>
      </c>
      <c r="B6000" s="384" t="s">
        <v>21488</v>
      </c>
      <c r="C6000" s="384" t="s">
        <v>2884</v>
      </c>
      <c r="D6000" s="385" t="s">
        <v>7540</v>
      </c>
    </row>
    <row r="6001" spans="1:4" x14ac:dyDescent="0.25">
      <c r="A6001" s="384" t="s">
        <v>21489</v>
      </c>
      <c r="B6001" s="384" t="s">
        <v>21490</v>
      </c>
      <c r="C6001" s="384" t="s">
        <v>2884</v>
      </c>
      <c r="D6001" s="385" t="s">
        <v>21491</v>
      </c>
    </row>
    <row r="6002" spans="1:4" x14ac:dyDescent="0.25">
      <c r="A6002" s="384" t="s">
        <v>21492</v>
      </c>
      <c r="B6002" s="384" t="s">
        <v>21493</v>
      </c>
      <c r="C6002" s="384" t="s">
        <v>2884</v>
      </c>
      <c r="D6002" s="385" t="s">
        <v>21494</v>
      </c>
    </row>
    <row r="6003" spans="1:4" x14ac:dyDescent="0.25">
      <c r="A6003" s="384" t="s">
        <v>21495</v>
      </c>
      <c r="B6003" s="384" t="s">
        <v>21496</v>
      </c>
      <c r="C6003" s="384" t="s">
        <v>2884</v>
      </c>
      <c r="D6003" s="385" t="s">
        <v>7238</v>
      </c>
    </row>
    <row r="6004" spans="1:4" x14ac:dyDescent="0.25">
      <c r="A6004" s="384" t="s">
        <v>21497</v>
      </c>
      <c r="B6004" s="384" t="s">
        <v>21498</v>
      </c>
      <c r="C6004" s="384" t="s">
        <v>2884</v>
      </c>
      <c r="D6004" s="385" t="s">
        <v>21499</v>
      </c>
    </row>
    <row r="6005" spans="1:4" x14ac:dyDescent="0.25">
      <c r="A6005" s="384" t="s">
        <v>21500</v>
      </c>
      <c r="B6005" s="384" t="s">
        <v>21501</v>
      </c>
      <c r="C6005" s="384" t="s">
        <v>2884</v>
      </c>
      <c r="D6005" s="385" t="s">
        <v>7093</v>
      </c>
    </row>
    <row r="6006" spans="1:4" x14ac:dyDescent="0.25">
      <c r="A6006" s="384" t="s">
        <v>21502</v>
      </c>
      <c r="B6006" s="384" t="s">
        <v>21503</v>
      </c>
      <c r="C6006" s="384" t="s">
        <v>2884</v>
      </c>
      <c r="D6006" s="385" t="s">
        <v>21491</v>
      </c>
    </row>
    <row r="6007" spans="1:4" x14ac:dyDescent="0.25">
      <c r="A6007" s="384" t="s">
        <v>21504</v>
      </c>
      <c r="B6007" s="384" t="s">
        <v>21505</v>
      </c>
      <c r="C6007" s="384" t="s">
        <v>2884</v>
      </c>
      <c r="D6007" s="385" t="s">
        <v>16013</v>
      </c>
    </row>
    <row r="6008" spans="1:4" x14ac:dyDescent="0.25">
      <c r="A6008" s="384" t="s">
        <v>21506</v>
      </c>
      <c r="B6008" s="384" t="s">
        <v>21507</v>
      </c>
      <c r="C6008" s="384" t="s">
        <v>2884</v>
      </c>
      <c r="D6008" s="385" t="s">
        <v>12118</v>
      </c>
    </row>
    <row r="6009" spans="1:4" x14ac:dyDescent="0.25">
      <c r="A6009" s="384" t="s">
        <v>21508</v>
      </c>
      <c r="B6009" s="384" t="s">
        <v>21509</v>
      </c>
      <c r="C6009" s="384" t="s">
        <v>2884</v>
      </c>
      <c r="D6009" s="385" t="s">
        <v>7769</v>
      </c>
    </row>
    <row r="6010" spans="1:4" x14ac:dyDescent="0.25">
      <c r="A6010" s="384" t="s">
        <v>21510</v>
      </c>
      <c r="B6010" s="384" t="s">
        <v>21511</v>
      </c>
      <c r="C6010" s="384" t="s">
        <v>2884</v>
      </c>
      <c r="D6010" s="385" t="s">
        <v>14895</v>
      </c>
    </row>
    <row r="6011" spans="1:4" x14ac:dyDescent="0.25">
      <c r="A6011" s="384" t="s">
        <v>21512</v>
      </c>
      <c r="B6011" s="384" t="s">
        <v>21513</v>
      </c>
      <c r="C6011" s="384" t="s">
        <v>2884</v>
      </c>
      <c r="D6011" s="385" t="s">
        <v>21514</v>
      </c>
    </row>
    <row r="6012" spans="1:4" x14ac:dyDescent="0.25">
      <c r="A6012" s="384" t="s">
        <v>21515</v>
      </c>
      <c r="B6012" s="384" t="s">
        <v>21516</v>
      </c>
      <c r="C6012" s="384" t="s">
        <v>2884</v>
      </c>
      <c r="D6012" s="385" t="s">
        <v>7238</v>
      </c>
    </row>
    <row r="6013" spans="1:4" x14ac:dyDescent="0.25">
      <c r="A6013" s="384" t="s">
        <v>21517</v>
      </c>
      <c r="B6013" s="384" t="s">
        <v>21518</v>
      </c>
      <c r="C6013" s="384" t="s">
        <v>2884</v>
      </c>
      <c r="D6013" s="385" t="s">
        <v>7769</v>
      </c>
    </row>
    <row r="6014" spans="1:4" x14ac:dyDescent="0.25">
      <c r="A6014" s="384" t="s">
        <v>21519</v>
      </c>
      <c r="B6014" s="384" t="s">
        <v>21520</v>
      </c>
      <c r="C6014" s="384" t="s">
        <v>2884</v>
      </c>
      <c r="D6014" s="385" t="s">
        <v>21521</v>
      </c>
    </row>
    <row r="6015" spans="1:4" x14ac:dyDescent="0.25">
      <c r="A6015" s="384" t="s">
        <v>21522</v>
      </c>
      <c r="B6015" s="384" t="s">
        <v>21523</v>
      </c>
      <c r="C6015" s="384" t="s">
        <v>2884</v>
      </c>
      <c r="D6015" s="385" t="s">
        <v>7356</v>
      </c>
    </row>
    <row r="6016" spans="1:4" x14ac:dyDescent="0.25">
      <c r="A6016" s="384" t="s">
        <v>21524</v>
      </c>
      <c r="B6016" s="384" t="s">
        <v>21525</v>
      </c>
      <c r="C6016" s="384" t="s">
        <v>2884</v>
      </c>
      <c r="D6016" s="385" t="s">
        <v>21526</v>
      </c>
    </row>
    <row r="6017" spans="1:4" x14ac:dyDescent="0.25">
      <c r="A6017" s="384" t="s">
        <v>21527</v>
      </c>
      <c r="B6017" s="384" t="s">
        <v>21528</v>
      </c>
      <c r="C6017" s="384" t="s">
        <v>2884</v>
      </c>
      <c r="D6017" s="385" t="s">
        <v>21529</v>
      </c>
    </row>
    <row r="6018" spans="1:4" x14ac:dyDescent="0.25">
      <c r="A6018" s="384" t="s">
        <v>21530</v>
      </c>
      <c r="B6018" s="384" t="s">
        <v>21531</v>
      </c>
      <c r="C6018" s="384" t="s">
        <v>2884</v>
      </c>
      <c r="D6018" s="385" t="s">
        <v>11847</v>
      </c>
    </row>
    <row r="6019" spans="1:4" x14ac:dyDescent="0.25">
      <c r="A6019" s="384" t="s">
        <v>21532</v>
      </c>
      <c r="B6019" s="384" t="s">
        <v>21533</v>
      </c>
      <c r="C6019" s="384" t="s">
        <v>2884</v>
      </c>
      <c r="D6019" s="385" t="s">
        <v>21534</v>
      </c>
    </row>
    <row r="6020" spans="1:4" x14ac:dyDescent="0.25">
      <c r="A6020" s="384" t="s">
        <v>21535</v>
      </c>
      <c r="B6020" s="384" t="s">
        <v>21536</v>
      </c>
      <c r="C6020" s="384" t="s">
        <v>2884</v>
      </c>
      <c r="D6020" s="385" t="s">
        <v>21537</v>
      </c>
    </row>
    <row r="6021" spans="1:4" x14ac:dyDescent="0.25">
      <c r="A6021" s="384" t="s">
        <v>21538</v>
      </c>
      <c r="B6021" s="384" t="s">
        <v>21539</v>
      </c>
      <c r="C6021" s="384" t="s">
        <v>2884</v>
      </c>
      <c r="D6021" s="385" t="s">
        <v>6838</v>
      </c>
    </row>
    <row r="6022" spans="1:4" x14ac:dyDescent="0.25">
      <c r="A6022" s="384" t="s">
        <v>21540</v>
      </c>
      <c r="B6022" s="384" t="s">
        <v>21541</v>
      </c>
      <c r="C6022" s="384" t="s">
        <v>2884</v>
      </c>
      <c r="D6022" s="385" t="s">
        <v>21542</v>
      </c>
    </row>
    <row r="6023" spans="1:4" x14ac:dyDescent="0.25">
      <c r="A6023" s="384" t="s">
        <v>21543</v>
      </c>
      <c r="B6023" s="384" t="s">
        <v>21544</v>
      </c>
      <c r="C6023" s="384" t="s">
        <v>2884</v>
      </c>
      <c r="D6023" s="385" t="s">
        <v>6955</v>
      </c>
    </row>
    <row r="6024" spans="1:4" x14ac:dyDescent="0.25">
      <c r="A6024" s="384" t="s">
        <v>21545</v>
      </c>
      <c r="B6024" s="384" t="s">
        <v>21546</v>
      </c>
      <c r="C6024" s="384" t="s">
        <v>2884</v>
      </c>
      <c r="D6024" s="385" t="s">
        <v>21547</v>
      </c>
    </row>
    <row r="6025" spans="1:4" x14ac:dyDescent="0.25">
      <c r="A6025" s="384" t="s">
        <v>21548</v>
      </c>
      <c r="B6025" s="384" t="s">
        <v>21549</v>
      </c>
      <c r="C6025" s="384" t="s">
        <v>2884</v>
      </c>
      <c r="D6025" s="385" t="s">
        <v>21550</v>
      </c>
    </row>
    <row r="6026" spans="1:4" x14ac:dyDescent="0.25">
      <c r="A6026" s="384" t="s">
        <v>21551</v>
      </c>
      <c r="B6026" s="384" t="s">
        <v>21552</v>
      </c>
      <c r="C6026" s="384" t="s">
        <v>2884</v>
      </c>
      <c r="D6026" s="385" t="s">
        <v>21553</v>
      </c>
    </row>
    <row r="6027" spans="1:4" x14ac:dyDescent="0.25">
      <c r="A6027" s="384" t="s">
        <v>21554</v>
      </c>
      <c r="B6027" s="384" t="s">
        <v>21555</v>
      </c>
      <c r="C6027" s="384" t="s">
        <v>2884</v>
      </c>
      <c r="D6027" s="385" t="s">
        <v>21556</v>
      </c>
    </row>
    <row r="6028" spans="1:4" x14ac:dyDescent="0.25">
      <c r="A6028" s="384" t="s">
        <v>21557</v>
      </c>
      <c r="B6028" s="384" t="s">
        <v>21558</v>
      </c>
      <c r="C6028" s="384" t="s">
        <v>2884</v>
      </c>
      <c r="D6028" s="385" t="s">
        <v>12353</v>
      </c>
    </row>
    <row r="6029" spans="1:4" x14ac:dyDescent="0.25">
      <c r="A6029" s="384" t="s">
        <v>21559</v>
      </c>
      <c r="B6029" s="384" t="s">
        <v>21560</v>
      </c>
      <c r="C6029" s="384" t="s">
        <v>2884</v>
      </c>
      <c r="D6029" s="385" t="s">
        <v>12008</v>
      </c>
    </row>
    <row r="6030" spans="1:4" x14ac:dyDescent="0.25">
      <c r="A6030" s="384" t="s">
        <v>21561</v>
      </c>
      <c r="B6030" s="384" t="s">
        <v>21562</v>
      </c>
      <c r="C6030" s="384" t="s">
        <v>2884</v>
      </c>
      <c r="D6030" s="385" t="s">
        <v>11374</v>
      </c>
    </row>
    <row r="6031" spans="1:4" x14ac:dyDescent="0.25">
      <c r="A6031" s="384" t="s">
        <v>21563</v>
      </c>
      <c r="B6031" s="384" t="s">
        <v>21564</v>
      </c>
      <c r="C6031" s="384" t="s">
        <v>2884</v>
      </c>
      <c r="D6031" s="385" t="s">
        <v>21565</v>
      </c>
    </row>
    <row r="6032" spans="1:4" x14ac:dyDescent="0.25">
      <c r="A6032" s="384" t="s">
        <v>21566</v>
      </c>
      <c r="B6032" s="384" t="s">
        <v>21567</v>
      </c>
      <c r="C6032" s="384" t="s">
        <v>2884</v>
      </c>
      <c r="D6032" s="385" t="s">
        <v>12340</v>
      </c>
    </row>
    <row r="6033" spans="1:4" x14ac:dyDescent="0.25">
      <c r="A6033" s="384" t="s">
        <v>21568</v>
      </c>
      <c r="B6033" s="384" t="s">
        <v>21569</v>
      </c>
      <c r="C6033" s="384" t="s">
        <v>2884</v>
      </c>
      <c r="D6033" s="385" t="s">
        <v>21570</v>
      </c>
    </row>
    <row r="6034" spans="1:4" x14ac:dyDescent="0.25">
      <c r="A6034" s="384" t="s">
        <v>21571</v>
      </c>
      <c r="B6034" s="384" t="s">
        <v>21572</v>
      </c>
      <c r="C6034" s="384" t="s">
        <v>2884</v>
      </c>
      <c r="D6034" s="385" t="s">
        <v>21573</v>
      </c>
    </row>
    <row r="6035" spans="1:4" x14ac:dyDescent="0.25">
      <c r="A6035" s="384" t="s">
        <v>21574</v>
      </c>
      <c r="B6035" s="384" t="s">
        <v>21575</v>
      </c>
      <c r="C6035" s="384" t="s">
        <v>2884</v>
      </c>
      <c r="D6035" s="385" t="s">
        <v>4652</v>
      </c>
    </row>
    <row r="6036" spans="1:4" x14ac:dyDescent="0.25">
      <c r="A6036" s="384" t="s">
        <v>21576</v>
      </c>
      <c r="B6036" s="384" t="s">
        <v>21577</v>
      </c>
      <c r="C6036" s="384" t="s">
        <v>2884</v>
      </c>
      <c r="D6036" s="385" t="s">
        <v>21578</v>
      </c>
    </row>
    <row r="6037" spans="1:4" x14ac:dyDescent="0.25">
      <c r="A6037" s="384" t="s">
        <v>21579</v>
      </c>
      <c r="B6037" s="384" t="s">
        <v>21580</v>
      </c>
      <c r="C6037" s="384" t="s">
        <v>2884</v>
      </c>
      <c r="D6037" s="385" t="s">
        <v>14901</v>
      </c>
    </row>
    <row r="6038" spans="1:4" x14ac:dyDescent="0.25">
      <c r="A6038" s="384" t="s">
        <v>21581</v>
      </c>
      <c r="B6038" s="384" t="s">
        <v>21582</v>
      </c>
      <c r="C6038" s="384" t="s">
        <v>2884</v>
      </c>
      <c r="D6038" s="385" t="s">
        <v>21583</v>
      </c>
    </row>
    <row r="6039" spans="1:4" x14ac:dyDescent="0.25">
      <c r="A6039" s="384" t="s">
        <v>21584</v>
      </c>
      <c r="B6039" s="384" t="s">
        <v>21585</v>
      </c>
      <c r="C6039" s="384" t="s">
        <v>2884</v>
      </c>
      <c r="D6039" s="385" t="s">
        <v>10411</v>
      </c>
    </row>
    <row r="6040" spans="1:4" x14ac:dyDescent="0.25">
      <c r="A6040" s="384" t="s">
        <v>21586</v>
      </c>
      <c r="B6040" s="384" t="s">
        <v>21587</v>
      </c>
      <c r="C6040" s="384" t="s">
        <v>2884</v>
      </c>
      <c r="D6040" s="385" t="s">
        <v>21588</v>
      </c>
    </row>
    <row r="6041" spans="1:4" x14ac:dyDescent="0.25">
      <c r="A6041" s="384" t="s">
        <v>21589</v>
      </c>
      <c r="B6041" s="384" t="s">
        <v>21590</v>
      </c>
      <c r="C6041" s="384" t="s">
        <v>2884</v>
      </c>
      <c r="D6041" s="385" t="s">
        <v>17185</v>
      </c>
    </row>
    <row r="6042" spans="1:4" x14ac:dyDescent="0.25">
      <c r="A6042" s="384" t="s">
        <v>21591</v>
      </c>
      <c r="B6042" s="384" t="s">
        <v>21592</v>
      </c>
      <c r="C6042" s="384" t="s">
        <v>2884</v>
      </c>
      <c r="D6042" s="385" t="s">
        <v>21593</v>
      </c>
    </row>
    <row r="6043" spans="1:4" x14ac:dyDescent="0.25">
      <c r="A6043" s="384" t="s">
        <v>21594</v>
      </c>
      <c r="B6043" s="384" t="s">
        <v>21595</v>
      </c>
      <c r="C6043" s="384" t="s">
        <v>2884</v>
      </c>
      <c r="D6043" s="385" t="s">
        <v>4652</v>
      </c>
    </row>
    <row r="6044" spans="1:4" x14ac:dyDescent="0.25">
      <c r="A6044" s="384" t="s">
        <v>21596</v>
      </c>
      <c r="B6044" s="384" t="s">
        <v>21597</v>
      </c>
      <c r="C6044" s="384" t="s">
        <v>2884</v>
      </c>
      <c r="D6044" s="385" t="s">
        <v>21598</v>
      </c>
    </row>
    <row r="6045" spans="1:4" x14ac:dyDescent="0.25">
      <c r="A6045" s="384" t="s">
        <v>21599</v>
      </c>
      <c r="B6045" s="384" t="s">
        <v>21600</v>
      </c>
      <c r="C6045" s="384" t="s">
        <v>2884</v>
      </c>
      <c r="D6045" s="385" t="s">
        <v>21601</v>
      </c>
    </row>
    <row r="6046" spans="1:4" x14ac:dyDescent="0.25">
      <c r="A6046" s="384" t="s">
        <v>21602</v>
      </c>
      <c r="B6046" s="384" t="s">
        <v>21603</v>
      </c>
      <c r="C6046" s="384" t="s">
        <v>2884</v>
      </c>
      <c r="D6046" s="385" t="s">
        <v>21017</v>
      </c>
    </row>
    <row r="6047" spans="1:4" x14ac:dyDescent="0.25">
      <c r="A6047" s="384" t="s">
        <v>21604</v>
      </c>
      <c r="B6047" s="384" t="s">
        <v>21605</v>
      </c>
      <c r="C6047" s="384" t="s">
        <v>2884</v>
      </c>
      <c r="D6047" s="385" t="s">
        <v>21606</v>
      </c>
    </row>
    <row r="6048" spans="1:4" x14ac:dyDescent="0.25">
      <c r="A6048" s="384" t="s">
        <v>21607</v>
      </c>
      <c r="B6048" s="384" t="s">
        <v>21608</v>
      </c>
      <c r="C6048" s="384" t="s">
        <v>2884</v>
      </c>
      <c r="D6048" s="385" t="s">
        <v>21609</v>
      </c>
    </row>
    <row r="6049" spans="1:4" x14ac:dyDescent="0.25">
      <c r="A6049" s="384" t="s">
        <v>21610</v>
      </c>
      <c r="B6049" s="384" t="s">
        <v>21611</v>
      </c>
      <c r="C6049" s="384" t="s">
        <v>2884</v>
      </c>
      <c r="D6049" s="385" t="s">
        <v>21612</v>
      </c>
    </row>
    <row r="6050" spans="1:4" x14ac:dyDescent="0.25">
      <c r="A6050" s="384" t="s">
        <v>21613</v>
      </c>
      <c r="B6050" s="384" t="s">
        <v>21614</v>
      </c>
      <c r="C6050" s="384" t="s">
        <v>2884</v>
      </c>
      <c r="D6050" s="385" t="s">
        <v>21615</v>
      </c>
    </row>
    <row r="6051" spans="1:4" x14ac:dyDescent="0.25">
      <c r="A6051" s="384" t="s">
        <v>21616</v>
      </c>
      <c r="B6051" s="384" t="s">
        <v>21617</v>
      </c>
      <c r="C6051" s="384" t="s">
        <v>2884</v>
      </c>
      <c r="D6051" s="385" t="s">
        <v>21618</v>
      </c>
    </row>
    <row r="6052" spans="1:4" x14ac:dyDescent="0.25">
      <c r="A6052" s="384" t="s">
        <v>21619</v>
      </c>
      <c r="B6052" s="384" t="s">
        <v>21620</v>
      </c>
      <c r="C6052" s="384" t="s">
        <v>2884</v>
      </c>
      <c r="D6052" s="385" t="s">
        <v>17472</v>
      </c>
    </row>
    <row r="6053" spans="1:4" x14ac:dyDescent="0.25">
      <c r="A6053" s="384" t="s">
        <v>21621</v>
      </c>
      <c r="B6053" s="384" t="s">
        <v>21622</v>
      </c>
      <c r="C6053" s="384" t="s">
        <v>2884</v>
      </c>
      <c r="D6053" s="385" t="s">
        <v>21623</v>
      </c>
    </row>
    <row r="6054" spans="1:4" x14ac:dyDescent="0.25">
      <c r="A6054" s="384" t="s">
        <v>21624</v>
      </c>
      <c r="B6054" s="384" t="s">
        <v>21625</v>
      </c>
      <c r="C6054" s="384" t="s">
        <v>2884</v>
      </c>
      <c r="D6054" s="385" t="s">
        <v>21626</v>
      </c>
    </row>
    <row r="6055" spans="1:4" x14ac:dyDescent="0.25">
      <c r="A6055" s="384" t="s">
        <v>21627</v>
      </c>
      <c r="B6055" s="384" t="s">
        <v>21628</v>
      </c>
      <c r="C6055" s="384" t="s">
        <v>2884</v>
      </c>
      <c r="D6055" s="385" t="s">
        <v>21629</v>
      </c>
    </row>
    <row r="6056" spans="1:4" x14ac:dyDescent="0.25">
      <c r="A6056" s="384" t="s">
        <v>21630</v>
      </c>
      <c r="B6056" s="384" t="s">
        <v>21631</v>
      </c>
      <c r="C6056" s="384" t="s">
        <v>2884</v>
      </c>
      <c r="D6056" s="385" t="s">
        <v>18774</v>
      </c>
    </row>
    <row r="6057" spans="1:4" x14ac:dyDescent="0.25">
      <c r="A6057" s="384" t="s">
        <v>21632</v>
      </c>
      <c r="B6057" s="384" t="s">
        <v>21633</v>
      </c>
      <c r="C6057" s="384" t="s">
        <v>2884</v>
      </c>
      <c r="D6057" s="385" t="s">
        <v>21634</v>
      </c>
    </row>
    <row r="6058" spans="1:4" x14ac:dyDescent="0.25">
      <c r="A6058" s="384" t="s">
        <v>21635</v>
      </c>
      <c r="B6058" s="384" t="s">
        <v>21636</v>
      </c>
      <c r="C6058" s="384" t="s">
        <v>2884</v>
      </c>
      <c r="D6058" s="385" t="s">
        <v>21637</v>
      </c>
    </row>
    <row r="6059" spans="1:4" x14ac:dyDescent="0.25">
      <c r="A6059" s="384" t="s">
        <v>21638</v>
      </c>
      <c r="B6059" s="384" t="s">
        <v>21639</v>
      </c>
      <c r="C6059" s="384" t="s">
        <v>2884</v>
      </c>
      <c r="D6059" s="385" t="s">
        <v>21640</v>
      </c>
    </row>
    <row r="6060" spans="1:4" x14ac:dyDescent="0.25">
      <c r="A6060" s="384" t="s">
        <v>21641</v>
      </c>
      <c r="B6060" s="384" t="s">
        <v>21642</v>
      </c>
      <c r="C6060" s="384" t="s">
        <v>2884</v>
      </c>
      <c r="D6060" s="385" t="s">
        <v>21643</v>
      </c>
    </row>
    <row r="6061" spans="1:4" x14ac:dyDescent="0.25">
      <c r="A6061" s="384" t="s">
        <v>21644</v>
      </c>
      <c r="B6061" s="384" t="s">
        <v>21645</v>
      </c>
      <c r="C6061" s="384" t="s">
        <v>2884</v>
      </c>
      <c r="D6061" s="385" t="s">
        <v>17418</v>
      </c>
    </row>
    <row r="6062" spans="1:4" x14ac:dyDescent="0.25">
      <c r="A6062" s="384" t="s">
        <v>21646</v>
      </c>
      <c r="B6062" s="384" t="s">
        <v>21647</v>
      </c>
      <c r="C6062" s="384" t="s">
        <v>2884</v>
      </c>
      <c r="D6062" s="385" t="s">
        <v>21648</v>
      </c>
    </row>
    <row r="6063" spans="1:4" x14ac:dyDescent="0.25">
      <c r="A6063" s="384" t="s">
        <v>21649</v>
      </c>
      <c r="B6063" s="384" t="s">
        <v>21650</v>
      </c>
      <c r="C6063" s="384" t="s">
        <v>2884</v>
      </c>
      <c r="D6063" s="385" t="s">
        <v>21651</v>
      </c>
    </row>
    <row r="6064" spans="1:4" x14ac:dyDescent="0.25">
      <c r="A6064" s="384" t="s">
        <v>21652</v>
      </c>
      <c r="B6064" s="384" t="s">
        <v>21653</v>
      </c>
      <c r="C6064" s="384" t="s">
        <v>2884</v>
      </c>
      <c r="D6064" s="385" t="s">
        <v>21654</v>
      </c>
    </row>
    <row r="6065" spans="1:4" x14ac:dyDescent="0.25">
      <c r="A6065" s="384" t="s">
        <v>21655</v>
      </c>
      <c r="B6065" s="384" t="s">
        <v>21656</v>
      </c>
      <c r="C6065" s="384" t="s">
        <v>2884</v>
      </c>
      <c r="D6065" s="385" t="s">
        <v>12660</v>
      </c>
    </row>
    <row r="6066" spans="1:4" x14ac:dyDescent="0.25">
      <c r="A6066" s="384" t="s">
        <v>21657</v>
      </c>
      <c r="B6066" s="384" t="s">
        <v>21658</v>
      </c>
      <c r="C6066" s="384" t="s">
        <v>2884</v>
      </c>
      <c r="D6066" s="385" t="s">
        <v>21659</v>
      </c>
    </row>
    <row r="6067" spans="1:4" x14ac:dyDescent="0.25">
      <c r="A6067" s="384" t="s">
        <v>21660</v>
      </c>
      <c r="B6067" s="384" t="s">
        <v>21661</v>
      </c>
      <c r="C6067" s="384" t="s">
        <v>2884</v>
      </c>
      <c r="D6067" s="385" t="s">
        <v>21662</v>
      </c>
    </row>
    <row r="6068" spans="1:4" x14ac:dyDescent="0.25">
      <c r="A6068" s="384" t="s">
        <v>21663</v>
      </c>
      <c r="B6068" s="384" t="s">
        <v>21664</v>
      </c>
      <c r="C6068" s="384" t="s">
        <v>2884</v>
      </c>
      <c r="D6068" s="385" t="s">
        <v>21665</v>
      </c>
    </row>
    <row r="6069" spans="1:4" x14ac:dyDescent="0.25">
      <c r="A6069" s="384" t="s">
        <v>21666</v>
      </c>
      <c r="B6069" s="384" t="s">
        <v>21667</v>
      </c>
      <c r="C6069" s="384" t="s">
        <v>2884</v>
      </c>
      <c r="D6069" s="385" t="s">
        <v>21668</v>
      </c>
    </row>
    <row r="6070" spans="1:4" x14ac:dyDescent="0.25">
      <c r="A6070" s="384" t="s">
        <v>21669</v>
      </c>
      <c r="B6070" s="384" t="s">
        <v>21670</v>
      </c>
      <c r="C6070" s="384" t="s">
        <v>2884</v>
      </c>
      <c r="D6070" s="385" t="s">
        <v>21671</v>
      </c>
    </row>
    <row r="6071" spans="1:4" x14ac:dyDescent="0.25">
      <c r="A6071" s="384" t="s">
        <v>21672</v>
      </c>
      <c r="B6071" s="384" t="s">
        <v>21673</v>
      </c>
      <c r="C6071" s="384" t="s">
        <v>2884</v>
      </c>
      <c r="D6071" s="385" t="s">
        <v>21674</v>
      </c>
    </row>
    <row r="6072" spans="1:4" x14ac:dyDescent="0.25">
      <c r="A6072" s="384" t="s">
        <v>21675</v>
      </c>
      <c r="B6072" s="384" t="s">
        <v>21676</v>
      </c>
      <c r="C6072" s="384" t="s">
        <v>2884</v>
      </c>
      <c r="D6072" s="385" t="s">
        <v>7144</v>
      </c>
    </row>
    <row r="6073" spans="1:4" x14ac:dyDescent="0.25">
      <c r="A6073" s="384" t="s">
        <v>21677</v>
      </c>
      <c r="B6073" s="384" t="s">
        <v>21678</v>
      </c>
      <c r="C6073" s="384" t="s">
        <v>2884</v>
      </c>
      <c r="D6073" s="385" t="s">
        <v>21679</v>
      </c>
    </row>
    <row r="6074" spans="1:4" x14ac:dyDescent="0.25">
      <c r="A6074" s="384" t="s">
        <v>21680</v>
      </c>
      <c r="B6074" s="384" t="s">
        <v>21681</v>
      </c>
      <c r="C6074" s="384" t="s">
        <v>2884</v>
      </c>
      <c r="D6074" s="385" t="s">
        <v>21682</v>
      </c>
    </row>
    <row r="6075" spans="1:4" x14ac:dyDescent="0.25">
      <c r="A6075" s="384" t="s">
        <v>21683</v>
      </c>
      <c r="B6075" s="384" t="s">
        <v>21684</v>
      </c>
      <c r="C6075" s="384" t="s">
        <v>2884</v>
      </c>
      <c r="D6075" s="385" t="s">
        <v>21685</v>
      </c>
    </row>
    <row r="6076" spans="1:4" x14ac:dyDescent="0.25">
      <c r="A6076" s="384" t="s">
        <v>21686</v>
      </c>
      <c r="B6076" s="384" t="s">
        <v>21687</v>
      </c>
      <c r="C6076" s="384" t="s">
        <v>2884</v>
      </c>
      <c r="D6076" s="385" t="s">
        <v>19335</v>
      </c>
    </row>
    <row r="6077" spans="1:4" x14ac:dyDescent="0.25">
      <c r="A6077" s="384" t="s">
        <v>21688</v>
      </c>
      <c r="B6077" s="384" t="s">
        <v>21689</v>
      </c>
      <c r="C6077" s="384" t="s">
        <v>2884</v>
      </c>
      <c r="D6077" s="385" t="s">
        <v>21690</v>
      </c>
    </row>
    <row r="6078" spans="1:4" x14ac:dyDescent="0.25">
      <c r="A6078" s="384" t="s">
        <v>21691</v>
      </c>
      <c r="B6078" s="384" t="s">
        <v>21692</v>
      </c>
      <c r="C6078" s="384" t="s">
        <v>2884</v>
      </c>
      <c r="D6078" s="385" t="s">
        <v>14176</v>
      </c>
    </row>
    <row r="6079" spans="1:4" x14ac:dyDescent="0.25">
      <c r="A6079" s="384" t="s">
        <v>21693</v>
      </c>
      <c r="B6079" s="384" t="s">
        <v>21694</v>
      </c>
      <c r="C6079" s="384" t="s">
        <v>2884</v>
      </c>
      <c r="D6079" s="385" t="s">
        <v>15421</v>
      </c>
    </row>
    <row r="6080" spans="1:4" x14ac:dyDescent="0.25">
      <c r="A6080" s="384" t="s">
        <v>21695</v>
      </c>
      <c r="B6080" s="384" t="s">
        <v>21696</v>
      </c>
      <c r="C6080" s="384" t="s">
        <v>2884</v>
      </c>
      <c r="D6080" s="385" t="s">
        <v>9466</v>
      </c>
    </row>
    <row r="6081" spans="1:4" x14ac:dyDescent="0.25">
      <c r="A6081" s="384" t="s">
        <v>21697</v>
      </c>
      <c r="B6081" s="384" t="s">
        <v>21698</v>
      </c>
      <c r="C6081" s="384" t="s">
        <v>2884</v>
      </c>
      <c r="D6081" s="385" t="s">
        <v>21699</v>
      </c>
    </row>
    <row r="6082" spans="1:4" x14ac:dyDescent="0.25">
      <c r="A6082" s="384" t="s">
        <v>21700</v>
      </c>
      <c r="B6082" s="384" t="s">
        <v>21701</v>
      </c>
      <c r="C6082" s="384" t="s">
        <v>2884</v>
      </c>
      <c r="D6082" s="385" t="s">
        <v>8722</v>
      </c>
    </row>
    <row r="6083" spans="1:4" x14ac:dyDescent="0.25">
      <c r="A6083" s="384" t="s">
        <v>21702</v>
      </c>
      <c r="B6083" s="384" t="s">
        <v>21703</v>
      </c>
      <c r="C6083" s="384" t="s">
        <v>2884</v>
      </c>
      <c r="D6083" s="385" t="s">
        <v>21704</v>
      </c>
    </row>
    <row r="6084" spans="1:4" x14ac:dyDescent="0.25">
      <c r="A6084" s="384" t="s">
        <v>21705</v>
      </c>
      <c r="B6084" s="384" t="s">
        <v>21706</v>
      </c>
      <c r="C6084" s="384" t="s">
        <v>2884</v>
      </c>
      <c r="D6084" s="385" t="s">
        <v>14678</v>
      </c>
    </row>
    <row r="6085" spans="1:4" x14ac:dyDescent="0.25">
      <c r="A6085" s="384" t="s">
        <v>21707</v>
      </c>
      <c r="B6085" s="384" t="s">
        <v>21708</v>
      </c>
      <c r="C6085" s="384" t="s">
        <v>2884</v>
      </c>
      <c r="D6085" s="385" t="s">
        <v>14557</v>
      </c>
    </row>
    <row r="6086" spans="1:4" x14ac:dyDescent="0.25">
      <c r="A6086" s="384" t="s">
        <v>21709</v>
      </c>
      <c r="B6086" s="384" t="s">
        <v>21710</v>
      </c>
      <c r="C6086" s="384" t="s">
        <v>2884</v>
      </c>
      <c r="D6086" s="385" t="s">
        <v>21711</v>
      </c>
    </row>
    <row r="6087" spans="1:4" x14ac:dyDescent="0.25">
      <c r="A6087" s="384" t="s">
        <v>21712</v>
      </c>
      <c r="B6087" s="384" t="s">
        <v>21713</v>
      </c>
      <c r="C6087" s="384" t="s">
        <v>2884</v>
      </c>
      <c r="D6087" s="385" t="s">
        <v>21714</v>
      </c>
    </row>
    <row r="6088" spans="1:4" x14ac:dyDescent="0.25">
      <c r="A6088" s="384" t="s">
        <v>21715</v>
      </c>
      <c r="B6088" s="384" t="s">
        <v>21716</v>
      </c>
      <c r="C6088" s="384" t="s">
        <v>2884</v>
      </c>
      <c r="D6088" s="385" t="s">
        <v>21717</v>
      </c>
    </row>
    <row r="6089" spans="1:4" x14ac:dyDescent="0.25">
      <c r="A6089" s="384" t="s">
        <v>21718</v>
      </c>
      <c r="B6089" s="384" t="s">
        <v>21719</v>
      </c>
      <c r="C6089" s="384" t="s">
        <v>2884</v>
      </c>
      <c r="D6089" s="385" t="s">
        <v>21720</v>
      </c>
    </row>
    <row r="6090" spans="1:4" x14ac:dyDescent="0.25">
      <c r="A6090" s="384" t="s">
        <v>21721</v>
      </c>
      <c r="B6090" s="384" t="s">
        <v>21722</v>
      </c>
      <c r="C6090" s="384" t="s">
        <v>2884</v>
      </c>
      <c r="D6090" s="385" t="s">
        <v>21723</v>
      </c>
    </row>
    <row r="6091" spans="1:4" x14ac:dyDescent="0.25">
      <c r="A6091" s="384" t="s">
        <v>21724</v>
      </c>
      <c r="B6091" s="384" t="s">
        <v>21725</v>
      </c>
      <c r="C6091" s="384" t="s">
        <v>2884</v>
      </c>
      <c r="D6091" s="385" t="s">
        <v>21726</v>
      </c>
    </row>
    <row r="6092" spans="1:4" x14ac:dyDescent="0.25">
      <c r="A6092" s="384" t="s">
        <v>21727</v>
      </c>
      <c r="B6092" s="384" t="s">
        <v>21728</v>
      </c>
      <c r="C6092" s="384" t="s">
        <v>2884</v>
      </c>
      <c r="D6092" s="385" t="s">
        <v>21729</v>
      </c>
    </row>
    <row r="6093" spans="1:4" x14ac:dyDescent="0.25">
      <c r="A6093" s="384" t="s">
        <v>21730</v>
      </c>
      <c r="B6093" s="384" t="s">
        <v>21731</v>
      </c>
      <c r="C6093" s="384" t="s">
        <v>2884</v>
      </c>
      <c r="D6093" s="385" t="s">
        <v>21732</v>
      </c>
    </row>
    <row r="6094" spans="1:4" x14ac:dyDescent="0.25">
      <c r="A6094" s="384" t="s">
        <v>21733</v>
      </c>
      <c r="B6094" s="384" t="s">
        <v>21734</v>
      </c>
      <c r="C6094" s="384" t="s">
        <v>2884</v>
      </c>
      <c r="D6094" s="385" t="s">
        <v>21735</v>
      </c>
    </row>
    <row r="6095" spans="1:4" x14ac:dyDescent="0.25">
      <c r="A6095" s="384" t="s">
        <v>21736</v>
      </c>
      <c r="B6095" s="384" t="s">
        <v>21737</v>
      </c>
      <c r="C6095" s="384" t="s">
        <v>2884</v>
      </c>
      <c r="D6095" s="385" t="s">
        <v>8131</v>
      </c>
    </row>
    <row r="6096" spans="1:4" x14ac:dyDescent="0.25">
      <c r="A6096" s="384" t="s">
        <v>21738</v>
      </c>
      <c r="B6096" s="384" t="s">
        <v>21739</v>
      </c>
      <c r="C6096" s="384" t="s">
        <v>2884</v>
      </c>
      <c r="D6096" s="385" t="s">
        <v>21740</v>
      </c>
    </row>
    <row r="6097" spans="1:4" x14ac:dyDescent="0.25">
      <c r="A6097" s="384" t="s">
        <v>21741</v>
      </c>
      <c r="B6097" s="384" t="s">
        <v>21742</v>
      </c>
      <c r="C6097" s="384" t="s">
        <v>2884</v>
      </c>
      <c r="D6097" s="385" t="s">
        <v>21743</v>
      </c>
    </row>
    <row r="6098" spans="1:4" x14ac:dyDescent="0.25">
      <c r="A6098" s="384" t="s">
        <v>21744</v>
      </c>
      <c r="B6098" s="384" t="s">
        <v>21745</v>
      </c>
      <c r="C6098" s="384" t="s">
        <v>2884</v>
      </c>
      <c r="D6098" s="385" t="s">
        <v>15272</v>
      </c>
    </row>
    <row r="6099" spans="1:4" x14ac:dyDescent="0.25">
      <c r="A6099" s="384" t="s">
        <v>21746</v>
      </c>
      <c r="B6099" s="384" t="s">
        <v>21747</v>
      </c>
      <c r="C6099" s="384" t="s">
        <v>2884</v>
      </c>
      <c r="D6099" s="385" t="s">
        <v>21748</v>
      </c>
    </row>
    <row r="6100" spans="1:4" x14ac:dyDescent="0.25">
      <c r="A6100" s="384" t="s">
        <v>21749</v>
      </c>
      <c r="B6100" s="384" t="s">
        <v>21750</v>
      </c>
      <c r="C6100" s="384" t="s">
        <v>2884</v>
      </c>
      <c r="D6100" s="385" t="s">
        <v>6650</v>
      </c>
    </row>
    <row r="6101" spans="1:4" x14ac:dyDescent="0.25">
      <c r="A6101" s="384" t="s">
        <v>21751</v>
      </c>
      <c r="B6101" s="384" t="s">
        <v>21752</v>
      </c>
      <c r="C6101" s="384" t="s">
        <v>2884</v>
      </c>
      <c r="D6101" s="385" t="s">
        <v>21753</v>
      </c>
    </row>
    <row r="6102" spans="1:4" x14ac:dyDescent="0.25">
      <c r="A6102" s="384" t="s">
        <v>21754</v>
      </c>
      <c r="B6102" s="384" t="s">
        <v>21755</v>
      </c>
      <c r="C6102" s="384" t="s">
        <v>2884</v>
      </c>
      <c r="D6102" s="385" t="s">
        <v>21756</v>
      </c>
    </row>
    <row r="6103" spans="1:4" x14ac:dyDescent="0.25">
      <c r="A6103" s="384" t="s">
        <v>21757</v>
      </c>
      <c r="B6103" s="384" t="s">
        <v>21758</v>
      </c>
      <c r="C6103" s="384" t="s">
        <v>2884</v>
      </c>
      <c r="D6103" s="385" t="s">
        <v>21759</v>
      </c>
    </row>
    <row r="6104" spans="1:4" x14ac:dyDescent="0.25">
      <c r="A6104" s="384" t="s">
        <v>21760</v>
      </c>
      <c r="B6104" s="384" t="s">
        <v>21761</v>
      </c>
      <c r="C6104" s="384" t="s">
        <v>2884</v>
      </c>
      <c r="D6104" s="385" t="s">
        <v>17353</v>
      </c>
    </row>
    <row r="6105" spans="1:4" x14ac:dyDescent="0.25">
      <c r="A6105" s="384" t="s">
        <v>21762</v>
      </c>
      <c r="B6105" s="384" t="s">
        <v>21763</v>
      </c>
      <c r="C6105" s="384" t="s">
        <v>2884</v>
      </c>
      <c r="D6105" s="385" t="s">
        <v>21764</v>
      </c>
    </row>
    <row r="6106" spans="1:4" x14ac:dyDescent="0.25">
      <c r="A6106" s="384" t="s">
        <v>21765</v>
      </c>
      <c r="B6106" s="384" t="s">
        <v>21766</v>
      </c>
      <c r="C6106" s="384" t="s">
        <v>2884</v>
      </c>
      <c r="D6106" s="385" t="s">
        <v>21767</v>
      </c>
    </row>
    <row r="6107" spans="1:4" x14ac:dyDescent="0.25">
      <c r="A6107" s="384" t="s">
        <v>21768</v>
      </c>
      <c r="B6107" s="384" t="s">
        <v>21769</v>
      </c>
      <c r="C6107" s="384" t="s">
        <v>2884</v>
      </c>
      <c r="D6107" s="385" t="s">
        <v>20619</v>
      </c>
    </row>
    <row r="6108" spans="1:4" x14ac:dyDescent="0.25">
      <c r="A6108" s="384" t="s">
        <v>21770</v>
      </c>
      <c r="B6108" s="384" t="s">
        <v>21771</v>
      </c>
      <c r="C6108" s="384" t="s">
        <v>2884</v>
      </c>
      <c r="D6108" s="385" t="s">
        <v>21772</v>
      </c>
    </row>
    <row r="6109" spans="1:4" x14ac:dyDescent="0.25">
      <c r="A6109" s="384" t="s">
        <v>21773</v>
      </c>
      <c r="B6109" s="384" t="s">
        <v>21774</v>
      </c>
      <c r="C6109" s="384" t="s">
        <v>2884</v>
      </c>
      <c r="D6109" s="385" t="s">
        <v>21775</v>
      </c>
    </row>
    <row r="6110" spans="1:4" x14ac:dyDescent="0.25">
      <c r="A6110" s="384" t="s">
        <v>21776</v>
      </c>
      <c r="B6110" s="384" t="s">
        <v>21777</v>
      </c>
      <c r="C6110" s="384" t="s">
        <v>2884</v>
      </c>
      <c r="D6110" s="385" t="s">
        <v>20577</v>
      </c>
    </row>
    <row r="6111" spans="1:4" x14ac:dyDescent="0.25">
      <c r="A6111" s="384" t="s">
        <v>21778</v>
      </c>
      <c r="B6111" s="384" t="s">
        <v>21779</v>
      </c>
      <c r="C6111" s="384" t="s">
        <v>2884</v>
      </c>
      <c r="D6111" s="385" t="s">
        <v>10744</v>
      </c>
    </row>
    <row r="6112" spans="1:4" x14ac:dyDescent="0.25">
      <c r="A6112" s="384" t="s">
        <v>21780</v>
      </c>
      <c r="B6112" s="384" t="s">
        <v>21781</v>
      </c>
      <c r="C6112" s="384" t="s">
        <v>2884</v>
      </c>
      <c r="D6112" s="385" t="s">
        <v>21782</v>
      </c>
    </row>
    <row r="6113" spans="1:4" x14ac:dyDescent="0.25">
      <c r="A6113" s="384" t="s">
        <v>21783</v>
      </c>
      <c r="B6113" s="384" t="s">
        <v>21784</v>
      </c>
      <c r="C6113" s="384" t="s">
        <v>2884</v>
      </c>
      <c r="D6113" s="385" t="s">
        <v>21785</v>
      </c>
    </row>
    <row r="6114" spans="1:4" x14ac:dyDescent="0.25">
      <c r="A6114" s="384" t="s">
        <v>21786</v>
      </c>
      <c r="B6114" s="384" t="s">
        <v>21787</v>
      </c>
      <c r="C6114" s="384" t="s">
        <v>2884</v>
      </c>
      <c r="D6114" s="385" t="s">
        <v>21788</v>
      </c>
    </row>
    <row r="6115" spans="1:4" x14ac:dyDescent="0.25">
      <c r="A6115" s="384" t="s">
        <v>21789</v>
      </c>
      <c r="B6115" s="384" t="s">
        <v>21790</v>
      </c>
      <c r="C6115" s="384" t="s">
        <v>2884</v>
      </c>
      <c r="D6115" s="385" t="s">
        <v>21791</v>
      </c>
    </row>
    <row r="6116" spans="1:4" x14ac:dyDescent="0.25">
      <c r="A6116" s="384" t="s">
        <v>21792</v>
      </c>
      <c r="B6116" s="384" t="s">
        <v>21793</v>
      </c>
      <c r="C6116" s="384" t="s">
        <v>2884</v>
      </c>
      <c r="D6116" s="385" t="s">
        <v>21794</v>
      </c>
    </row>
    <row r="6117" spans="1:4" x14ac:dyDescent="0.25">
      <c r="A6117" s="384" t="s">
        <v>21795</v>
      </c>
      <c r="B6117" s="384" t="s">
        <v>21796</v>
      </c>
      <c r="C6117" s="384" t="s">
        <v>2884</v>
      </c>
      <c r="D6117" s="385" t="s">
        <v>21797</v>
      </c>
    </row>
    <row r="6118" spans="1:4" x14ac:dyDescent="0.25">
      <c r="A6118" s="384" t="s">
        <v>21798</v>
      </c>
      <c r="B6118" s="384" t="s">
        <v>21799</v>
      </c>
      <c r="C6118" s="384" t="s">
        <v>2884</v>
      </c>
      <c r="D6118" s="385" t="s">
        <v>15385</v>
      </c>
    </row>
    <row r="6119" spans="1:4" x14ac:dyDescent="0.25">
      <c r="A6119" s="384" t="s">
        <v>21800</v>
      </c>
      <c r="B6119" s="384" t="s">
        <v>21801</v>
      </c>
      <c r="C6119" s="384" t="s">
        <v>2884</v>
      </c>
      <c r="D6119" s="385" t="s">
        <v>21802</v>
      </c>
    </row>
    <row r="6120" spans="1:4" x14ac:dyDescent="0.25">
      <c r="A6120" s="384" t="s">
        <v>21803</v>
      </c>
      <c r="B6120" s="384" t="s">
        <v>21804</v>
      </c>
      <c r="C6120" s="384" t="s">
        <v>2884</v>
      </c>
      <c r="D6120" s="385" t="s">
        <v>21805</v>
      </c>
    </row>
    <row r="6121" spans="1:4" x14ac:dyDescent="0.25">
      <c r="A6121" s="384" t="s">
        <v>21806</v>
      </c>
      <c r="B6121" s="384" t="s">
        <v>21807</v>
      </c>
      <c r="C6121" s="384" t="s">
        <v>2884</v>
      </c>
      <c r="D6121" s="385" t="s">
        <v>21808</v>
      </c>
    </row>
    <row r="6122" spans="1:4" x14ac:dyDescent="0.25">
      <c r="A6122" s="384" t="s">
        <v>21809</v>
      </c>
      <c r="B6122" s="384" t="s">
        <v>21810</v>
      </c>
      <c r="C6122" s="384" t="s">
        <v>2884</v>
      </c>
      <c r="D6122" s="385" t="s">
        <v>5600</v>
      </c>
    </row>
    <row r="6123" spans="1:4" x14ac:dyDescent="0.25">
      <c r="A6123" s="384" t="s">
        <v>21811</v>
      </c>
      <c r="B6123" s="384" t="s">
        <v>21812</v>
      </c>
      <c r="C6123" s="384" t="s">
        <v>2884</v>
      </c>
      <c r="D6123" s="385" t="s">
        <v>17111</v>
      </c>
    </row>
    <row r="6124" spans="1:4" x14ac:dyDescent="0.25">
      <c r="A6124" s="384" t="s">
        <v>21813</v>
      </c>
      <c r="B6124" s="384" t="s">
        <v>21814</v>
      </c>
      <c r="C6124" s="384" t="s">
        <v>2884</v>
      </c>
      <c r="D6124" s="385" t="s">
        <v>21815</v>
      </c>
    </row>
    <row r="6125" spans="1:4" x14ac:dyDescent="0.25">
      <c r="A6125" s="384" t="s">
        <v>21816</v>
      </c>
      <c r="B6125" s="384" t="s">
        <v>21817</v>
      </c>
      <c r="C6125" s="384" t="s">
        <v>2884</v>
      </c>
      <c r="D6125" s="385" t="s">
        <v>19921</v>
      </c>
    </row>
    <row r="6126" spans="1:4" x14ac:dyDescent="0.25">
      <c r="A6126" s="384" t="s">
        <v>21818</v>
      </c>
      <c r="B6126" s="384" t="s">
        <v>21819</v>
      </c>
      <c r="C6126" s="384" t="s">
        <v>2884</v>
      </c>
      <c r="D6126" s="385" t="s">
        <v>21820</v>
      </c>
    </row>
    <row r="6127" spans="1:4" x14ac:dyDescent="0.25">
      <c r="A6127" s="384" t="s">
        <v>21821</v>
      </c>
      <c r="B6127" s="384" t="s">
        <v>21822</v>
      </c>
      <c r="C6127" s="384" t="s">
        <v>2884</v>
      </c>
      <c r="D6127" s="385" t="s">
        <v>21823</v>
      </c>
    </row>
    <row r="6128" spans="1:4" x14ac:dyDescent="0.25">
      <c r="A6128" s="384" t="s">
        <v>21824</v>
      </c>
      <c r="B6128" s="384" t="s">
        <v>21825</v>
      </c>
      <c r="C6128" s="384" t="s">
        <v>2884</v>
      </c>
      <c r="D6128" s="385" t="s">
        <v>21826</v>
      </c>
    </row>
    <row r="6129" spans="1:4" x14ac:dyDescent="0.25">
      <c r="A6129" s="384" t="s">
        <v>21827</v>
      </c>
      <c r="B6129" s="384" t="s">
        <v>21828</v>
      </c>
      <c r="C6129" s="384" t="s">
        <v>2884</v>
      </c>
      <c r="D6129" s="385" t="s">
        <v>5108</v>
      </c>
    </row>
    <row r="6130" spans="1:4" x14ac:dyDescent="0.25">
      <c r="A6130" s="384" t="s">
        <v>21829</v>
      </c>
      <c r="B6130" s="384" t="s">
        <v>21830</v>
      </c>
      <c r="C6130" s="384" t="s">
        <v>2884</v>
      </c>
      <c r="D6130" s="385" t="s">
        <v>14433</v>
      </c>
    </row>
    <row r="6131" spans="1:4" x14ac:dyDescent="0.25">
      <c r="A6131" s="384" t="s">
        <v>21831</v>
      </c>
      <c r="B6131" s="384" t="s">
        <v>21832</v>
      </c>
      <c r="C6131" s="384" t="s">
        <v>2884</v>
      </c>
      <c r="D6131" s="385" t="s">
        <v>21833</v>
      </c>
    </row>
    <row r="6132" spans="1:4" x14ac:dyDescent="0.25">
      <c r="A6132" s="384" t="s">
        <v>21834</v>
      </c>
      <c r="B6132" s="384" t="s">
        <v>21835</v>
      </c>
      <c r="C6132" s="384" t="s">
        <v>2884</v>
      </c>
      <c r="D6132" s="385" t="s">
        <v>21836</v>
      </c>
    </row>
    <row r="6133" spans="1:4" x14ac:dyDescent="0.25">
      <c r="A6133" s="384" t="s">
        <v>21837</v>
      </c>
      <c r="B6133" s="384" t="s">
        <v>21838</v>
      </c>
      <c r="C6133" s="384" t="s">
        <v>2884</v>
      </c>
      <c r="D6133" s="385" t="s">
        <v>21839</v>
      </c>
    </row>
    <row r="6134" spans="1:4" x14ac:dyDescent="0.25">
      <c r="A6134" s="384" t="s">
        <v>21840</v>
      </c>
      <c r="B6134" s="384" t="s">
        <v>21841</v>
      </c>
      <c r="C6134" s="384" t="s">
        <v>2884</v>
      </c>
      <c r="D6134" s="385" t="s">
        <v>21842</v>
      </c>
    </row>
    <row r="6135" spans="1:4" x14ac:dyDescent="0.25">
      <c r="A6135" s="384" t="s">
        <v>21843</v>
      </c>
      <c r="B6135" s="384" t="s">
        <v>21844</v>
      </c>
      <c r="C6135" s="384" t="s">
        <v>2884</v>
      </c>
      <c r="D6135" s="385" t="s">
        <v>21845</v>
      </c>
    </row>
    <row r="6136" spans="1:4" x14ac:dyDescent="0.25">
      <c r="A6136" s="384" t="s">
        <v>21846</v>
      </c>
      <c r="B6136" s="384" t="s">
        <v>21847</v>
      </c>
      <c r="C6136" s="384" t="s">
        <v>2884</v>
      </c>
      <c r="D6136" s="385" t="s">
        <v>21848</v>
      </c>
    </row>
    <row r="6137" spans="1:4" x14ac:dyDescent="0.25">
      <c r="A6137" s="384" t="s">
        <v>21849</v>
      </c>
      <c r="B6137" s="384" t="s">
        <v>21850</v>
      </c>
      <c r="C6137" s="384" t="s">
        <v>2884</v>
      </c>
      <c r="D6137" s="385" t="s">
        <v>21851</v>
      </c>
    </row>
    <row r="6138" spans="1:4" x14ac:dyDescent="0.25">
      <c r="A6138" s="384" t="s">
        <v>21852</v>
      </c>
      <c r="B6138" s="384" t="s">
        <v>21853</v>
      </c>
      <c r="C6138" s="384" t="s">
        <v>2884</v>
      </c>
      <c r="D6138" s="385" t="s">
        <v>21854</v>
      </c>
    </row>
    <row r="6139" spans="1:4" x14ac:dyDescent="0.25">
      <c r="A6139" s="384" t="s">
        <v>21855</v>
      </c>
      <c r="B6139" s="384" t="s">
        <v>21856</v>
      </c>
      <c r="C6139" s="384" t="s">
        <v>2884</v>
      </c>
      <c r="D6139" s="385" t="s">
        <v>21857</v>
      </c>
    </row>
    <row r="6140" spans="1:4" x14ac:dyDescent="0.25">
      <c r="A6140" s="384" t="s">
        <v>21858</v>
      </c>
      <c r="B6140" s="384" t="s">
        <v>21859</v>
      </c>
      <c r="C6140" s="384" t="s">
        <v>2884</v>
      </c>
      <c r="D6140" s="385" t="s">
        <v>21860</v>
      </c>
    </row>
    <row r="6141" spans="1:4" x14ac:dyDescent="0.25">
      <c r="A6141" s="384" t="s">
        <v>21861</v>
      </c>
      <c r="B6141" s="384" t="s">
        <v>21862</v>
      </c>
      <c r="C6141" s="384" t="s">
        <v>2884</v>
      </c>
      <c r="D6141" s="385" t="s">
        <v>21863</v>
      </c>
    </row>
    <row r="6142" spans="1:4" x14ac:dyDescent="0.25">
      <c r="A6142" s="384" t="s">
        <v>21864</v>
      </c>
      <c r="B6142" s="384" t="s">
        <v>21865</v>
      </c>
      <c r="C6142" s="384" t="s">
        <v>2884</v>
      </c>
      <c r="D6142" s="385" t="s">
        <v>21866</v>
      </c>
    </row>
    <row r="6143" spans="1:4" x14ac:dyDescent="0.25">
      <c r="A6143" s="384" t="s">
        <v>21867</v>
      </c>
      <c r="B6143" s="384" t="s">
        <v>21868</v>
      </c>
      <c r="C6143" s="384" t="s">
        <v>2884</v>
      </c>
      <c r="D6143" s="385" t="s">
        <v>21869</v>
      </c>
    </row>
    <row r="6144" spans="1:4" x14ac:dyDescent="0.25">
      <c r="A6144" s="384" t="s">
        <v>21870</v>
      </c>
      <c r="B6144" s="384" t="s">
        <v>21871</v>
      </c>
      <c r="C6144" s="384" t="s">
        <v>2884</v>
      </c>
      <c r="D6144" s="385" t="s">
        <v>21872</v>
      </c>
    </row>
    <row r="6145" spans="1:4" x14ac:dyDescent="0.25">
      <c r="A6145" s="384" t="s">
        <v>21873</v>
      </c>
      <c r="B6145" s="384" t="s">
        <v>21874</v>
      </c>
      <c r="C6145" s="384" t="s">
        <v>2884</v>
      </c>
      <c r="D6145" s="385" t="s">
        <v>21875</v>
      </c>
    </row>
    <row r="6146" spans="1:4" x14ac:dyDescent="0.25">
      <c r="A6146" s="384" t="s">
        <v>21876</v>
      </c>
      <c r="B6146" s="384" t="s">
        <v>21877</v>
      </c>
      <c r="C6146" s="384" t="s">
        <v>2884</v>
      </c>
      <c r="D6146" s="385" t="s">
        <v>21878</v>
      </c>
    </row>
    <row r="6147" spans="1:4" x14ac:dyDescent="0.25">
      <c r="A6147" s="384" t="s">
        <v>21879</v>
      </c>
      <c r="B6147" s="384" t="s">
        <v>21880</v>
      </c>
      <c r="C6147" s="384" t="s">
        <v>2884</v>
      </c>
      <c r="D6147" s="385" t="s">
        <v>21881</v>
      </c>
    </row>
    <row r="6148" spans="1:4" x14ac:dyDescent="0.25">
      <c r="A6148" s="384" t="s">
        <v>21882</v>
      </c>
      <c r="B6148" s="384" t="s">
        <v>21883</v>
      </c>
      <c r="C6148" s="384" t="s">
        <v>2884</v>
      </c>
      <c r="D6148" s="385" t="s">
        <v>21884</v>
      </c>
    </row>
    <row r="6149" spans="1:4" x14ac:dyDescent="0.25">
      <c r="A6149" s="384" t="s">
        <v>21885</v>
      </c>
      <c r="B6149" s="384" t="s">
        <v>21886</v>
      </c>
      <c r="C6149" s="384" t="s">
        <v>2884</v>
      </c>
      <c r="D6149" s="385" t="s">
        <v>21887</v>
      </c>
    </row>
    <row r="6150" spans="1:4" x14ac:dyDescent="0.25">
      <c r="A6150" s="384" t="s">
        <v>21888</v>
      </c>
      <c r="B6150" s="384" t="s">
        <v>21889</v>
      </c>
      <c r="C6150" s="384" t="s">
        <v>2884</v>
      </c>
      <c r="D6150" s="385" t="s">
        <v>21890</v>
      </c>
    </row>
    <row r="6151" spans="1:4" x14ac:dyDescent="0.25">
      <c r="A6151" s="384" t="s">
        <v>21891</v>
      </c>
      <c r="B6151" s="384" t="s">
        <v>21892</v>
      </c>
      <c r="C6151" s="384" t="s">
        <v>2884</v>
      </c>
      <c r="D6151" s="385" t="s">
        <v>21893</v>
      </c>
    </row>
    <row r="6152" spans="1:4" x14ac:dyDescent="0.25">
      <c r="A6152" s="384" t="s">
        <v>21894</v>
      </c>
      <c r="B6152" s="384" t="s">
        <v>21895</v>
      </c>
      <c r="C6152" s="384" t="s">
        <v>2884</v>
      </c>
      <c r="D6152" s="385" t="s">
        <v>21896</v>
      </c>
    </row>
    <row r="6153" spans="1:4" x14ac:dyDescent="0.25">
      <c r="A6153" s="384" t="s">
        <v>21897</v>
      </c>
      <c r="B6153" s="384" t="s">
        <v>21898</v>
      </c>
      <c r="C6153" s="384" t="s">
        <v>2884</v>
      </c>
      <c r="D6153" s="385" t="s">
        <v>21899</v>
      </c>
    </row>
    <row r="6154" spans="1:4" x14ac:dyDescent="0.25">
      <c r="A6154" s="384" t="s">
        <v>21900</v>
      </c>
      <c r="B6154" s="384" t="s">
        <v>21901</v>
      </c>
      <c r="C6154" s="384" t="s">
        <v>2884</v>
      </c>
      <c r="D6154" s="385" t="s">
        <v>7512</v>
      </c>
    </row>
    <row r="6155" spans="1:4" x14ac:dyDescent="0.25">
      <c r="A6155" s="384" t="s">
        <v>21902</v>
      </c>
      <c r="B6155" s="384" t="s">
        <v>21903</v>
      </c>
      <c r="C6155" s="384" t="s">
        <v>2884</v>
      </c>
      <c r="D6155" s="385" t="s">
        <v>21904</v>
      </c>
    </row>
    <row r="6156" spans="1:4" x14ac:dyDescent="0.25">
      <c r="A6156" s="384" t="s">
        <v>21905</v>
      </c>
      <c r="B6156" s="384" t="s">
        <v>21906</v>
      </c>
      <c r="C6156" s="384" t="s">
        <v>2884</v>
      </c>
      <c r="D6156" s="385" t="s">
        <v>8467</v>
      </c>
    </row>
    <row r="6157" spans="1:4" x14ac:dyDescent="0.25">
      <c r="A6157" s="384" t="s">
        <v>21907</v>
      </c>
      <c r="B6157" s="384" t="s">
        <v>21908</v>
      </c>
      <c r="C6157" s="384" t="s">
        <v>2884</v>
      </c>
      <c r="D6157" s="385" t="s">
        <v>21909</v>
      </c>
    </row>
    <row r="6158" spans="1:4" x14ac:dyDescent="0.25">
      <c r="A6158" s="384" t="s">
        <v>21910</v>
      </c>
      <c r="B6158" s="384" t="s">
        <v>21911</v>
      </c>
      <c r="C6158" s="384" t="s">
        <v>2884</v>
      </c>
      <c r="D6158" s="385" t="s">
        <v>21912</v>
      </c>
    </row>
    <row r="6159" spans="1:4" x14ac:dyDescent="0.25">
      <c r="A6159" s="384" t="s">
        <v>21913</v>
      </c>
      <c r="B6159" s="384" t="s">
        <v>21914</v>
      </c>
      <c r="C6159" s="384" t="s">
        <v>2884</v>
      </c>
      <c r="D6159" s="385" t="s">
        <v>21915</v>
      </c>
    </row>
    <row r="6160" spans="1:4" x14ac:dyDescent="0.25">
      <c r="A6160" s="384" t="s">
        <v>21916</v>
      </c>
      <c r="B6160" s="384" t="s">
        <v>21917</v>
      </c>
      <c r="C6160" s="384" t="s">
        <v>2884</v>
      </c>
      <c r="D6160" s="385" t="s">
        <v>21918</v>
      </c>
    </row>
    <row r="6161" spans="1:4" x14ac:dyDescent="0.25">
      <c r="A6161" s="384" t="s">
        <v>21919</v>
      </c>
      <c r="B6161" s="384" t="s">
        <v>21920</v>
      </c>
      <c r="C6161" s="384" t="s">
        <v>2884</v>
      </c>
      <c r="D6161" s="385" t="s">
        <v>21921</v>
      </c>
    </row>
    <row r="6162" spans="1:4" x14ac:dyDescent="0.25">
      <c r="A6162" s="384" t="s">
        <v>21922</v>
      </c>
      <c r="B6162" s="384" t="s">
        <v>21923</v>
      </c>
      <c r="C6162" s="384" t="s">
        <v>2884</v>
      </c>
      <c r="D6162" s="385" t="s">
        <v>21924</v>
      </c>
    </row>
    <row r="6163" spans="1:4" x14ac:dyDescent="0.25">
      <c r="A6163" s="384" t="s">
        <v>21925</v>
      </c>
      <c r="B6163" s="384" t="s">
        <v>21926</v>
      </c>
      <c r="C6163" s="384" t="s">
        <v>2884</v>
      </c>
      <c r="D6163" s="385" t="s">
        <v>18536</v>
      </c>
    </row>
    <row r="6164" spans="1:4" x14ac:dyDescent="0.25">
      <c r="A6164" s="384" t="s">
        <v>21927</v>
      </c>
      <c r="B6164" s="384" t="s">
        <v>21928</v>
      </c>
      <c r="C6164" s="384" t="s">
        <v>2884</v>
      </c>
      <c r="D6164" s="385" t="s">
        <v>21929</v>
      </c>
    </row>
    <row r="6165" spans="1:4" x14ac:dyDescent="0.25">
      <c r="A6165" s="384" t="s">
        <v>21930</v>
      </c>
      <c r="B6165" s="384" t="s">
        <v>21931</v>
      </c>
      <c r="C6165" s="384" t="s">
        <v>2884</v>
      </c>
      <c r="D6165" s="385" t="s">
        <v>21932</v>
      </c>
    </row>
    <row r="6166" spans="1:4" x14ac:dyDescent="0.25">
      <c r="A6166" s="384" t="s">
        <v>21933</v>
      </c>
      <c r="B6166" s="384" t="s">
        <v>21934</v>
      </c>
      <c r="C6166" s="384" t="s">
        <v>2884</v>
      </c>
      <c r="D6166" s="385" t="s">
        <v>21935</v>
      </c>
    </row>
    <row r="6167" spans="1:4" x14ac:dyDescent="0.25">
      <c r="A6167" s="384" t="s">
        <v>21936</v>
      </c>
      <c r="B6167" s="384" t="s">
        <v>21937</v>
      </c>
      <c r="C6167" s="384" t="s">
        <v>2884</v>
      </c>
      <c r="D6167" s="385" t="s">
        <v>21938</v>
      </c>
    </row>
    <row r="6168" spans="1:4" x14ac:dyDescent="0.25">
      <c r="A6168" s="384" t="s">
        <v>21939</v>
      </c>
      <c r="B6168" s="384" t="s">
        <v>21940</v>
      </c>
      <c r="C6168" s="384" t="s">
        <v>2884</v>
      </c>
      <c r="D6168" s="385" t="s">
        <v>21941</v>
      </c>
    </row>
    <row r="6169" spans="1:4" x14ac:dyDescent="0.25">
      <c r="A6169" s="384" t="s">
        <v>21942</v>
      </c>
      <c r="B6169" s="384" t="s">
        <v>21943</v>
      </c>
      <c r="C6169" s="384" t="s">
        <v>2884</v>
      </c>
      <c r="D6169" s="385" t="s">
        <v>21944</v>
      </c>
    </row>
    <row r="6170" spans="1:4" x14ac:dyDescent="0.25">
      <c r="A6170" s="384" t="s">
        <v>21945</v>
      </c>
      <c r="B6170" s="384" t="s">
        <v>21946</v>
      </c>
      <c r="C6170" s="384" t="s">
        <v>2884</v>
      </c>
      <c r="D6170" s="385" t="s">
        <v>21947</v>
      </c>
    </row>
    <row r="6171" spans="1:4" x14ac:dyDescent="0.25">
      <c r="A6171" s="384" t="s">
        <v>21948</v>
      </c>
      <c r="B6171" s="384" t="s">
        <v>21949</v>
      </c>
      <c r="C6171" s="384" t="s">
        <v>2884</v>
      </c>
      <c r="D6171" s="385" t="s">
        <v>21950</v>
      </c>
    </row>
    <row r="6172" spans="1:4" x14ac:dyDescent="0.25">
      <c r="A6172" s="384" t="s">
        <v>21951</v>
      </c>
      <c r="B6172" s="384" t="s">
        <v>21952</v>
      </c>
      <c r="C6172" s="384" t="s">
        <v>2884</v>
      </c>
      <c r="D6172" s="385" t="s">
        <v>21953</v>
      </c>
    </row>
    <row r="6173" spans="1:4" x14ac:dyDescent="0.25">
      <c r="A6173" s="384" t="s">
        <v>21954</v>
      </c>
      <c r="B6173" s="384" t="s">
        <v>21955</v>
      </c>
      <c r="C6173" s="384" t="s">
        <v>2884</v>
      </c>
      <c r="D6173" s="385" t="s">
        <v>21956</v>
      </c>
    </row>
    <row r="6174" spans="1:4" x14ac:dyDescent="0.25">
      <c r="A6174" s="384" t="s">
        <v>21957</v>
      </c>
      <c r="B6174" s="384" t="s">
        <v>21958</v>
      </c>
      <c r="C6174" s="384" t="s">
        <v>2884</v>
      </c>
      <c r="D6174" s="385" t="s">
        <v>21959</v>
      </c>
    </row>
    <row r="6175" spans="1:4" x14ac:dyDescent="0.25">
      <c r="A6175" s="384" t="s">
        <v>21960</v>
      </c>
      <c r="B6175" s="384" t="s">
        <v>21961</v>
      </c>
      <c r="C6175" s="384" t="s">
        <v>2884</v>
      </c>
      <c r="D6175" s="385" t="s">
        <v>20039</v>
      </c>
    </row>
    <row r="6176" spans="1:4" x14ac:dyDescent="0.25">
      <c r="A6176" s="384" t="s">
        <v>21962</v>
      </c>
      <c r="B6176" s="384" t="s">
        <v>21963</v>
      </c>
      <c r="C6176" s="384" t="s">
        <v>2884</v>
      </c>
      <c r="D6176" s="385" t="s">
        <v>21964</v>
      </c>
    </row>
    <row r="6177" spans="1:4" x14ac:dyDescent="0.25">
      <c r="A6177" s="384" t="s">
        <v>21965</v>
      </c>
      <c r="B6177" s="384" t="s">
        <v>21966</v>
      </c>
      <c r="C6177" s="384" t="s">
        <v>2884</v>
      </c>
      <c r="D6177" s="385" t="s">
        <v>21967</v>
      </c>
    </row>
    <row r="6178" spans="1:4" x14ac:dyDescent="0.25">
      <c r="A6178" s="384" t="s">
        <v>21968</v>
      </c>
      <c r="B6178" s="384" t="s">
        <v>21969</v>
      </c>
      <c r="C6178" s="384" t="s">
        <v>2884</v>
      </c>
      <c r="D6178" s="385" t="s">
        <v>21970</v>
      </c>
    </row>
    <row r="6179" spans="1:4" x14ac:dyDescent="0.25">
      <c r="A6179" s="384" t="s">
        <v>21971</v>
      </c>
      <c r="B6179" s="384" t="s">
        <v>21972</v>
      </c>
      <c r="C6179" s="384" t="s">
        <v>2884</v>
      </c>
      <c r="D6179" s="385" t="s">
        <v>21973</v>
      </c>
    </row>
    <row r="6180" spans="1:4" x14ac:dyDescent="0.25">
      <c r="A6180" s="384" t="s">
        <v>21974</v>
      </c>
      <c r="B6180" s="384" t="s">
        <v>21975</v>
      </c>
      <c r="C6180" s="384" t="s">
        <v>2884</v>
      </c>
      <c r="D6180" s="385" t="s">
        <v>21976</v>
      </c>
    </row>
    <row r="6181" spans="1:4" x14ac:dyDescent="0.25">
      <c r="A6181" s="384" t="s">
        <v>21977</v>
      </c>
      <c r="B6181" s="384" t="s">
        <v>21978</v>
      </c>
      <c r="C6181" s="384" t="s">
        <v>2884</v>
      </c>
      <c r="D6181" s="385" t="s">
        <v>13129</v>
      </c>
    </row>
    <row r="6182" spans="1:4" x14ac:dyDescent="0.25">
      <c r="A6182" s="384" t="s">
        <v>21979</v>
      </c>
      <c r="B6182" s="384" t="s">
        <v>21980</v>
      </c>
      <c r="C6182" s="384" t="s">
        <v>2884</v>
      </c>
      <c r="D6182" s="385" t="s">
        <v>13071</v>
      </c>
    </row>
    <row r="6183" spans="1:4" x14ac:dyDescent="0.25">
      <c r="A6183" s="384" t="s">
        <v>21981</v>
      </c>
      <c r="B6183" s="384" t="s">
        <v>21982</v>
      </c>
      <c r="C6183" s="384" t="s">
        <v>2884</v>
      </c>
      <c r="D6183" s="385" t="s">
        <v>21983</v>
      </c>
    </row>
    <row r="6184" spans="1:4" x14ac:dyDescent="0.25">
      <c r="A6184" s="384" t="s">
        <v>21984</v>
      </c>
      <c r="B6184" s="384" t="s">
        <v>21985</v>
      </c>
      <c r="C6184" s="384" t="s">
        <v>2884</v>
      </c>
      <c r="D6184" s="385" t="s">
        <v>21986</v>
      </c>
    </row>
    <row r="6185" spans="1:4" x14ac:dyDescent="0.25">
      <c r="A6185" s="384" t="s">
        <v>21987</v>
      </c>
      <c r="B6185" s="384" t="s">
        <v>21988</v>
      </c>
      <c r="C6185" s="384" t="s">
        <v>2884</v>
      </c>
      <c r="D6185" s="385" t="s">
        <v>21989</v>
      </c>
    </row>
    <row r="6186" spans="1:4" x14ac:dyDescent="0.25">
      <c r="A6186" s="384" t="s">
        <v>21990</v>
      </c>
      <c r="B6186" s="384" t="s">
        <v>21991</v>
      </c>
      <c r="C6186" s="384" t="s">
        <v>2884</v>
      </c>
      <c r="D6186" s="385" t="s">
        <v>21992</v>
      </c>
    </row>
    <row r="6187" spans="1:4" x14ac:dyDescent="0.25">
      <c r="A6187" s="384" t="s">
        <v>21993</v>
      </c>
      <c r="B6187" s="384" t="s">
        <v>21994</v>
      </c>
      <c r="C6187" s="384" t="s">
        <v>2884</v>
      </c>
      <c r="D6187" s="385" t="s">
        <v>21995</v>
      </c>
    </row>
    <row r="6188" spans="1:4" x14ac:dyDescent="0.25">
      <c r="A6188" s="384" t="s">
        <v>21996</v>
      </c>
      <c r="B6188" s="384" t="s">
        <v>21997</v>
      </c>
      <c r="C6188" s="384" t="s">
        <v>2884</v>
      </c>
      <c r="D6188" s="385" t="s">
        <v>21998</v>
      </c>
    </row>
    <row r="6189" spans="1:4" x14ac:dyDescent="0.25">
      <c r="A6189" s="384" t="s">
        <v>21999</v>
      </c>
      <c r="B6189" s="384" t="s">
        <v>22000</v>
      </c>
      <c r="C6189" s="384" t="s">
        <v>2884</v>
      </c>
      <c r="D6189" s="385" t="s">
        <v>22001</v>
      </c>
    </row>
    <row r="6190" spans="1:4" x14ac:dyDescent="0.25">
      <c r="A6190" s="384" t="s">
        <v>22002</v>
      </c>
      <c r="B6190" s="384" t="s">
        <v>22003</v>
      </c>
      <c r="C6190" s="384" t="s">
        <v>2884</v>
      </c>
      <c r="D6190" s="385" t="s">
        <v>22004</v>
      </c>
    </row>
    <row r="6191" spans="1:4" x14ac:dyDescent="0.25">
      <c r="A6191" s="384" t="s">
        <v>22005</v>
      </c>
      <c r="B6191" s="384" t="s">
        <v>22006</v>
      </c>
      <c r="C6191" s="384" t="s">
        <v>82</v>
      </c>
      <c r="D6191" s="385" t="s">
        <v>20212</v>
      </c>
    </row>
    <row r="6192" spans="1:4" x14ac:dyDescent="0.25">
      <c r="A6192" s="384" t="s">
        <v>22007</v>
      </c>
      <c r="B6192" s="384" t="s">
        <v>22008</v>
      </c>
      <c r="C6192" s="384" t="s">
        <v>82</v>
      </c>
      <c r="D6192" s="385" t="s">
        <v>22009</v>
      </c>
    </row>
    <row r="6193" spans="1:4" x14ac:dyDescent="0.25">
      <c r="A6193" s="384" t="s">
        <v>22010</v>
      </c>
      <c r="B6193" s="384" t="s">
        <v>22011</v>
      </c>
      <c r="C6193" s="384" t="s">
        <v>82</v>
      </c>
      <c r="D6193" s="385" t="s">
        <v>22012</v>
      </c>
    </row>
    <row r="6194" spans="1:4" x14ac:dyDescent="0.25">
      <c r="A6194" s="384" t="s">
        <v>22013</v>
      </c>
      <c r="B6194" s="384" t="s">
        <v>22014</v>
      </c>
      <c r="C6194" s="384" t="s">
        <v>2884</v>
      </c>
      <c r="D6194" s="385" t="s">
        <v>22015</v>
      </c>
    </row>
    <row r="6195" spans="1:4" x14ac:dyDescent="0.25">
      <c r="A6195" s="384" t="s">
        <v>22016</v>
      </c>
      <c r="B6195" s="384" t="s">
        <v>22017</v>
      </c>
      <c r="C6195" s="384" t="s">
        <v>2884</v>
      </c>
      <c r="D6195" s="385" t="s">
        <v>22018</v>
      </c>
    </row>
    <row r="6196" spans="1:4" x14ac:dyDescent="0.25">
      <c r="A6196" s="384" t="s">
        <v>22019</v>
      </c>
      <c r="B6196" s="384" t="s">
        <v>22020</v>
      </c>
      <c r="C6196" s="384" t="s">
        <v>82</v>
      </c>
      <c r="D6196" s="385" t="s">
        <v>22021</v>
      </c>
    </row>
    <row r="6197" spans="1:4" x14ac:dyDescent="0.25">
      <c r="A6197" s="384" t="s">
        <v>22022</v>
      </c>
      <c r="B6197" s="384" t="s">
        <v>22023</v>
      </c>
      <c r="C6197" s="384" t="s">
        <v>2884</v>
      </c>
      <c r="D6197" s="385" t="s">
        <v>21606</v>
      </c>
    </row>
    <row r="6198" spans="1:4" x14ac:dyDescent="0.25">
      <c r="A6198" s="384" t="s">
        <v>22024</v>
      </c>
      <c r="B6198" s="384" t="s">
        <v>22025</v>
      </c>
      <c r="C6198" s="384" t="s">
        <v>2884</v>
      </c>
      <c r="D6198" s="385" t="s">
        <v>22026</v>
      </c>
    </row>
    <row r="6199" spans="1:4" x14ac:dyDescent="0.25">
      <c r="A6199" s="384" t="s">
        <v>22027</v>
      </c>
      <c r="B6199" s="384" t="s">
        <v>22028</v>
      </c>
      <c r="C6199" s="384" t="s">
        <v>2884</v>
      </c>
      <c r="D6199" s="385" t="s">
        <v>22029</v>
      </c>
    </row>
    <row r="6200" spans="1:4" x14ac:dyDescent="0.25">
      <c r="A6200" s="384" t="s">
        <v>22030</v>
      </c>
      <c r="B6200" s="384" t="s">
        <v>22031</v>
      </c>
      <c r="C6200" s="384" t="s">
        <v>2884</v>
      </c>
      <c r="D6200" s="385" t="s">
        <v>22032</v>
      </c>
    </row>
    <row r="6201" spans="1:4" x14ac:dyDescent="0.25">
      <c r="A6201" s="384" t="s">
        <v>22033</v>
      </c>
      <c r="B6201" s="384" t="s">
        <v>22034</v>
      </c>
      <c r="C6201" s="384" t="s">
        <v>82</v>
      </c>
      <c r="D6201" s="385" t="s">
        <v>7241</v>
      </c>
    </row>
    <row r="6202" spans="1:4" x14ac:dyDescent="0.25">
      <c r="A6202" s="384" t="s">
        <v>22035</v>
      </c>
      <c r="B6202" s="384" t="s">
        <v>22036</v>
      </c>
      <c r="C6202" s="384" t="s">
        <v>82</v>
      </c>
      <c r="D6202" s="385" t="s">
        <v>22037</v>
      </c>
    </row>
    <row r="6203" spans="1:4" x14ac:dyDescent="0.25">
      <c r="A6203" s="384" t="s">
        <v>22038</v>
      </c>
      <c r="B6203" s="384" t="s">
        <v>22039</v>
      </c>
      <c r="C6203" s="384" t="s">
        <v>2884</v>
      </c>
      <c r="D6203" s="385" t="s">
        <v>22040</v>
      </c>
    </row>
    <row r="6204" spans="1:4" x14ac:dyDescent="0.25">
      <c r="A6204" s="384" t="s">
        <v>22041</v>
      </c>
      <c r="B6204" s="384" t="s">
        <v>22042</v>
      </c>
      <c r="C6204" s="384" t="s">
        <v>2884</v>
      </c>
      <c r="D6204" s="385" t="s">
        <v>22043</v>
      </c>
    </row>
    <row r="6205" spans="1:4" x14ac:dyDescent="0.25">
      <c r="A6205" s="384" t="s">
        <v>22044</v>
      </c>
      <c r="B6205" s="384" t="s">
        <v>22045</v>
      </c>
      <c r="C6205" s="384" t="s">
        <v>2884</v>
      </c>
      <c r="D6205" s="385" t="s">
        <v>22046</v>
      </c>
    </row>
    <row r="6206" spans="1:4" x14ac:dyDescent="0.25">
      <c r="A6206" s="384" t="s">
        <v>22047</v>
      </c>
      <c r="B6206" s="384" t="s">
        <v>22048</v>
      </c>
      <c r="C6206" s="384" t="s">
        <v>82</v>
      </c>
      <c r="D6206" s="385" t="s">
        <v>22049</v>
      </c>
    </row>
    <row r="6207" spans="1:4" x14ac:dyDescent="0.25">
      <c r="A6207" s="384" t="s">
        <v>22050</v>
      </c>
      <c r="B6207" s="384" t="s">
        <v>22051</v>
      </c>
      <c r="C6207" s="384" t="s">
        <v>2884</v>
      </c>
      <c r="D6207" s="385" t="s">
        <v>22052</v>
      </c>
    </row>
    <row r="6208" spans="1:4" x14ac:dyDescent="0.25">
      <c r="A6208" s="384" t="s">
        <v>22053</v>
      </c>
      <c r="B6208" s="384" t="s">
        <v>22054</v>
      </c>
      <c r="C6208" s="384" t="s">
        <v>2884</v>
      </c>
      <c r="D6208" s="385" t="s">
        <v>22055</v>
      </c>
    </row>
    <row r="6209" spans="1:4" x14ac:dyDescent="0.25">
      <c r="A6209" s="384" t="s">
        <v>22056</v>
      </c>
      <c r="B6209" s="384" t="s">
        <v>22057</v>
      </c>
      <c r="C6209" s="384" t="s">
        <v>2884</v>
      </c>
      <c r="D6209" s="385" t="s">
        <v>18965</v>
      </c>
    </row>
    <row r="6210" spans="1:4" x14ac:dyDescent="0.25">
      <c r="A6210" s="384" t="s">
        <v>22058</v>
      </c>
      <c r="B6210" s="384" t="s">
        <v>22059</v>
      </c>
      <c r="C6210" s="384" t="s">
        <v>2884</v>
      </c>
      <c r="D6210" s="385" t="s">
        <v>19708</v>
      </c>
    </row>
    <row r="6211" spans="1:4" x14ac:dyDescent="0.25">
      <c r="A6211" s="384" t="s">
        <v>22060</v>
      </c>
      <c r="B6211" s="384" t="s">
        <v>22061</v>
      </c>
      <c r="C6211" s="384" t="s">
        <v>2884</v>
      </c>
      <c r="D6211" s="385" t="s">
        <v>22062</v>
      </c>
    </row>
    <row r="6212" spans="1:4" x14ac:dyDescent="0.25">
      <c r="A6212" s="384" t="s">
        <v>22063</v>
      </c>
      <c r="B6212" s="384" t="s">
        <v>22064</v>
      </c>
      <c r="C6212" s="384" t="s">
        <v>2884</v>
      </c>
      <c r="D6212" s="385" t="s">
        <v>22065</v>
      </c>
    </row>
    <row r="6213" spans="1:4" x14ac:dyDescent="0.25">
      <c r="A6213" s="384" t="s">
        <v>22066</v>
      </c>
      <c r="B6213" s="384" t="s">
        <v>22067</v>
      </c>
      <c r="C6213" s="384" t="s">
        <v>2884</v>
      </c>
      <c r="D6213" s="385" t="s">
        <v>15174</v>
      </c>
    </row>
    <row r="6214" spans="1:4" x14ac:dyDescent="0.25">
      <c r="A6214" s="384" t="s">
        <v>22068</v>
      </c>
      <c r="B6214" s="384" t="s">
        <v>22069</v>
      </c>
      <c r="C6214" s="384" t="s">
        <v>2884</v>
      </c>
      <c r="D6214" s="385" t="s">
        <v>22070</v>
      </c>
    </row>
    <row r="6215" spans="1:4" x14ac:dyDescent="0.25">
      <c r="A6215" s="384" t="s">
        <v>22071</v>
      </c>
      <c r="B6215" s="384" t="s">
        <v>22072</v>
      </c>
      <c r="C6215" s="384" t="s">
        <v>2884</v>
      </c>
      <c r="D6215" s="385" t="s">
        <v>7700</v>
      </c>
    </row>
    <row r="6216" spans="1:4" x14ac:dyDescent="0.25">
      <c r="A6216" s="384" t="s">
        <v>22073</v>
      </c>
      <c r="B6216" s="384" t="s">
        <v>22074</v>
      </c>
      <c r="C6216" s="384" t="s">
        <v>2884</v>
      </c>
      <c r="D6216" s="385" t="s">
        <v>22075</v>
      </c>
    </row>
    <row r="6217" spans="1:4" x14ac:dyDescent="0.25">
      <c r="A6217" s="384" t="s">
        <v>22076</v>
      </c>
      <c r="B6217" s="384" t="s">
        <v>22077</v>
      </c>
      <c r="C6217" s="384" t="s">
        <v>76</v>
      </c>
      <c r="D6217" s="385" t="s">
        <v>22078</v>
      </c>
    </row>
    <row r="6218" spans="1:4" x14ac:dyDescent="0.25">
      <c r="A6218" s="384" t="s">
        <v>22079</v>
      </c>
      <c r="B6218" s="384" t="s">
        <v>22080</v>
      </c>
      <c r="C6218" s="384" t="s">
        <v>76</v>
      </c>
      <c r="D6218" s="385" t="s">
        <v>22081</v>
      </c>
    </row>
    <row r="6219" spans="1:4" x14ac:dyDescent="0.25">
      <c r="A6219" s="384" t="s">
        <v>22082</v>
      </c>
      <c r="B6219" s="384" t="s">
        <v>22083</v>
      </c>
      <c r="C6219" s="384" t="s">
        <v>76</v>
      </c>
      <c r="D6219" s="385" t="s">
        <v>22084</v>
      </c>
    </row>
    <row r="6220" spans="1:4" x14ac:dyDescent="0.25">
      <c r="A6220" s="384" t="s">
        <v>22085</v>
      </c>
      <c r="B6220" s="384" t="s">
        <v>22086</v>
      </c>
      <c r="C6220" s="384" t="s">
        <v>76</v>
      </c>
      <c r="D6220" s="385" t="s">
        <v>22087</v>
      </c>
    </row>
    <row r="6221" spans="1:4" x14ac:dyDescent="0.25">
      <c r="A6221" s="384" t="s">
        <v>22088</v>
      </c>
      <c r="B6221" s="384" t="s">
        <v>22089</v>
      </c>
      <c r="C6221" s="384" t="s">
        <v>76</v>
      </c>
      <c r="D6221" s="385" t="s">
        <v>22090</v>
      </c>
    </row>
    <row r="6222" spans="1:4" x14ac:dyDescent="0.25">
      <c r="A6222" s="384" t="s">
        <v>22091</v>
      </c>
      <c r="B6222" s="384" t="s">
        <v>22092</v>
      </c>
      <c r="C6222" s="384" t="s">
        <v>76</v>
      </c>
      <c r="D6222" s="385" t="s">
        <v>22093</v>
      </c>
    </row>
    <row r="6223" spans="1:4" x14ac:dyDescent="0.25">
      <c r="A6223" s="384" t="s">
        <v>22094</v>
      </c>
      <c r="B6223" s="384" t="s">
        <v>22095</v>
      </c>
      <c r="C6223" s="384" t="s">
        <v>76</v>
      </c>
      <c r="D6223" s="385" t="s">
        <v>22096</v>
      </c>
    </row>
    <row r="6224" spans="1:4" x14ac:dyDescent="0.25">
      <c r="A6224" s="384" t="s">
        <v>22097</v>
      </c>
      <c r="B6224" s="384" t="s">
        <v>22098</v>
      </c>
      <c r="C6224" s="384" t="s">
        <v>76</v>
      </c>
      <c r="D6224" s="385" t="s">
        <v>22099</v>
      </c>
    </row>
    <row r="6225" spans="1:4" x14ac:dyDescent="0.25">
      <c r="A6225" s="384" t="s">
        <v>22100</v>
      </c>
      <c r="B6225" s="384" t="s">
        <v>22101</v>
      </c>
      <c r="C6225" s="384" t="s">
        <v>76</v>
      </c>
      <c r="D6225" s="385" t="s">
        <v>22102</v>
      </c>
    </row>
    <row r="6226" spans="1:4" x14ac:dyDescent="0.25">
      <c r="A6226" s="384" t="s">
        <v>22103</v>
      </c>
      <c r="B6226" s="384" t="s">
        <v>22104</v>
      </c>
      <c r="C6226" s="384" t="s">
        <v>76</v>
      </c>
      <c r="D6226" s="385" t="s">
        <v>22105</v>
      </c>
    </row>
    <row r="6227" spans="1:4" x14ac:dyDescent="0.25">
      <c r="A6227" s="384" t="s">
        <v>22106</v>
      </c>
      <c r="B6227" s="384" t="s">
        <v>22107</v>
      </c>
      <c r="C6227" s="384" t="s">
        <v>76</v>
      </c>
      <c r="D6227" s="385" t="s">
        <v>22108</v>
      </c>
    </row>
    <row r="6228" spans="1:4" x14ac:dyDescent="0.25">
      <c r="A6228" s="384" t="s">
        <v>22109</v>
      </c>
      <c r="B6228" s="384" t="s">
        <v>22110</v>
      </c>
      <c r="C6228" s="384" t="s">
        <v>76</v>
      </c>
      <c r="D6228" s="385" t="s">
        <v>22111</v>
      </c>
    </row>
    <row r="6229" spans="1:4" x14ac:dyDescent="0.25">
      <c r="A6229" s="384" t="s">
        <v>22112</v>
      </c>
      <c r="B6229" s="384" t="s">
        <v>22113</v>
      </c>
      <c r="C6229" s="384" t="s">
        <v>76</v>
      </c>
      <c r="D6229" s="385" t="s">
        <v>22114</v>
      </c>
    </row>
    <row r="6230" spans="1:4" x14ac:dyDescent="0.25">
      <c r="A6230" s="384" t="s">
        <v>22115</v>
      </c>
      <c r="B6230" s="384" t="s">
        <v>22116</v>
      </c>
      <c r="C6230" s="384" t="s">
        <v>76</v>
      </c>
      <c r="D6230" s="385" t="s">
        <v>22117</v>
      </c>
    </row>
    <row r="6231" spans="1:4" x14ac:dyDescent="0.25">
      <c r="A6231" s="384" t="s">
        <v>22118</v>
      </c>
      <c r="B6231" s="384" t="s">
        <v>22119</v>
      </c>
      <c r="C6231" s="384" t="s">
        <v>76</v>
      </c>
      <c r="D6231" s="385" t="s">
        <v>22120</v>
      </c>
    </row>
    <row r="6232" spans="1:4" x14ac:dyDescent="0.25">
      <c r="A6232" s="384" t="s">
        <v>22121</v>
      </c>
      <c r="B6232" s="384" t="s">
        <v>22122</v>
      </c>
      <c r="C6232" s="384" t="s">
        <v>76</v>
      </c>
      <c r="D6232" s="385" t="s">
        <v>22123</v>
      </c>
    </row>
    <row r="6233" spans="1:4" x14ac:dyDescent="0.25">
      <c r="A6233" s="384" t="s">
        <v>22124</v>
      </c>
      <c r="B6233" s="384" t="s">
        <v>22125</v>
      </c>
      <c r="C6233" s="384" t="s">
        <v>76</v>
      </c>
      <c r="D6233" s="385" t="s">
        <v>22126</v>
      </c>
    </row>
    <row r="6234" spans="1:4" x14ac:dyDescent="0.25">
      <c r="A6234" s="384" t="s">
        <v>22127</v>
      </c>
      <c r="B6234" s="384" t="s">
        <v>22128</v>
      </c>
      <c r="C6234" s="384" t="s">
        <v>76</v>
      </c>
      <c r="D6234" s="385" t="s">
        <v>22129</v>
      </c>
    </row>
    <row r="6235" spans="1:4" x14ac:dyDescent="0.25">
      <c r="A6235" s="384" t="s">
        <v>22130</v>
      </c>
      <c r="B6235" s="384" t="s">
        <v>22131</v>
      </c>
      <c r="C6235" s="384" t="s">
        <v>76</v>
      </c>
      <c r="D6235" s="385" t="s">
        <v>22132</v>
      </c>
    </row>
    <row r="6236" spans="1:4" x14ac:dyDescent="0.25">
      <c r="A6236" s="384" t="s">
        <v>22133</v>
      </c>
      <c r="B6236" s="384" t="s">
        <v>22134</v>
      </c>
      <c r="C6236" s="384" t="s">
        <v>76</v>
      </c>
      <c r="D6236" s="385" t="s">
        <v>22135</v>
      </c>
    </row>
    <row r="6237" spans="1:4" x14ac:dyDescent="0.25">
      <c r="A6237" s="384" t="s">
        <v>22136</v>
      </c>
      <c r="B6237" s="384" t="s">
        <v>22137</v>
      </c>
      <c r="C6237" s="384" t="s">
        <v>76</v>
      </c>
      <c r="D6237" s="385" t="s">
        <v>22138</v>
      </c>
    </row>
    <row r="6238" spans="1:4" x14ac:dyDescent="0.25">
      <c r="A6238" s="384" t="s">
        <v>22139</v>
      </c>
      <c r="B6238" s="384" t="s">
        <v>22140</v>
      </c>
      <c r="C6238" s="384" t="s">
        <v>76</v>
      </c>
      <c r="D6238" s="385" t="s">
        <v>22141</v>
      </c>
    </row>
    <row r="6239" spans="1:4" x14ac:dyDescent="0.25">
      <c r="A6239" s="384" t="s">
        <v>22142</v>
      </c>
      <c r="B6239" s="384" t="s">
        <v>22143</v>
      </c>
      <c r="C6239" s="384" t="s">
        <v>76</v>
      </c>
      <c r="D6239" s="385" t="s">
        <v>22144</v>
      </c>
    </row>
    <row r="6240" spans="1:4" x14ac:dyDescent="0.25">
      <c r="A6240" s="384" t="s">
        <v>22145</v>
      </c>
      <c r="B6240" s="384" t="s">
        <v>22146</v>
      </c>
      <c r="C6240" s="384" t="s">
        <v>76</v>
      </c>
      <c r="D6240" s="385" t="s">
        <v>22147</v>
      </c>
    </row>
    <row r="6241" spans="1:4" x14ac:dyDescent="0.25">
      <c r="A6241" s="384" t="s">
        <v>22148</v>
      </c>
      <c r="B6241" s="384" t="s">
        <v>22149</v>
      </c>
      <c r="C6241" s="384" t="s">
        <v>76</v>
      </c>
      <c r="D6241" s="385" t="s">
        <v>22150</v>
      </c>
    </row>
    <row r="6242" spans="1:4" x14ac:dyDescent="0.25">
      <c r="A6242" s="384" t="s">
        <v>22151</v>
      </c>
      <c r="B6242" s="384" t="s">
        <v>22152</v>
      </c>
      <c r="C6242" s="384" t="s">
        <v>76</v>
      </c>
      <c r="D6242" s="385" t="s">
        <v>22153</v>
      </c>
    </row>
    <row r="6243" spans="1:4" x14ac:dyDescent="0.25">
      <c r="A6243" s="384" t="s">
        <v>22154</v>
      </c>
      <c r="B6243" s="384" t="s">
        <v>22155</v>
      </c>
      <c r="C6243" s="384" t="s">
        <v>76</v>
      </c>
      <c r="D6243" s="385" t="s">
        <v>22156</v>
      </c>
    </row>
    <row r="6244" spans="1:4" x14ac:dyDescent="0.25">
      <c r="A6244" s="384" t="s">
        <v>22157</v>
      </c>
      <c r="B6244" s="384" t="s">
        <v>22158</v>
      </c>
      <c r="C6244" s="384" t="s">
        <v>76</v>
      </c>
      <c r="D6244" s="385" t="s">
        <v>22159</v>
      </c>
    </row>
    <row r="6245" spans="1:4" x14ac:dyDescent="0.25">
      <c r="A6245" s="384" t="s">
        <v>22160</v>
      </c>
      <c r="B6245" s="384" t="s">
        <v>22161</v>
      </c>
      <c r="C6245" s="384" t="s">
        <v>76</v>
      </c>
      <c r="D6245" s="385" t="s">
        <v>22162</v>
      </c>
    </row>
    <row r="6246" spans="1:4" x14ac:dyDescent="0.25">
      <c r="A6246" s="384" t="s">
        <v>22163</v>
      </c>
      <c r="B6246" s="384" t="s">
        <v>22164</v>
      </c>
      <c r="C6246" s="384" t="s">
        <v>76</v>
      </c>
      <c r="D6246" s="385" t="s">
        <v>22165</v>
      </c>
    </row>
    <row r="6247" spans="1:4" x14ac:dyDescent="0.25">
      <c r="A6247" s="384" t="s">
        <v>22166</v>
      </c>
      <c r="B6247" s="384" t="s">
        <v>22167</v>
      </c>
      <c r="C6247" s="384" t="s">
        <v>76</v>
      </c>
      <c r="D6247" s="385" t="s">
        <v>22168</v>
      </c>
    </row>
    <row r="6248" spans="1:4" x14ac:dyDescent="0.25">
      <c r="A6248" s="384" t="s">
        <v>22169</v>
      </c>
      <c r="B6248" s="384" t="s">
        <v>22170</v>
      </c>
      <c r="C6248" s="384" t="s">
        <v>76</v>
      </c>
      <c r="D6248" s="385" t="s">
        <v>22171</v>
      </c>
    </row>
    <row r="6249" spans="1:4" x14ac:dyDescent="0.25">
      <c r="A6249" s="384" t="s">
        <v>22172</v>
      </c>
      <c r="B6249" s="384" t="s">
        <v>22173</v>
      </c>
      <c r="C6249" s="384" t="s">
        <v>76</v>
      </c>
      <c r="D6249" s="385" t="s">
        <v>22174</v>
      </c>
    </row>
    <row r="6250" spans="1:4" x14ac:dyDescent="0.25">
      <c r="A6250" s="384" t="s">
        <v>22175</v>
      </c>
      <c r="B6250" s="384" t="s">
        <v>22176</v>
      </c>
      <c r="C6250" s="384" t="s">
        <v>76</v>
      </c>
      <c r="D6250" s="385" t="s">
        <v>22177</v>
      </c>
    </row>
    <row r="6251" spans="1:4" x14ac:dyDescent="0.25">
      <c r="A6251" s="384" t="s">
        <v>22178</v>
      </c>
      <c r="B6251" s="384" t="s">
        <v>22179</v>
      </c>
      <c r="C6251" s="384" t="s">
        <v>76</v>
      </c>
      <c r="D6251" s="385" t="s">
        <v>22180</v>
      </c>
    </row>
    <row r="6252" spans="1:4" x14ac:dyDescent="0.25">
      <c r="A6252" s="384" t="s">
        <v>22181</v>
      </c>
      <c r="B6252" s="384" t="s">
        <v>22182</v>
      </c>
      <c r="C6252" s="384" t="s">
        <v>76</v>
      </c>
      <c r="D6252" s="385" t="s">
        <v>22183</v>
      </c>
    </row>
    <row r="6253" spans="1:4" x14ac:dyDescent="0.25">
      <c r="A6253" s="384" t="s">
        <v>22184</v>
      </c>
      <c r="B6253" s="384" t="s">
        <v>22185</v>
      </c>
      <c r="C6253" s="384" t="s">
        <v>76</v>
      </c>
      <c r="D6253" s="385" t="s">
        <v>22186</v>
      </c>
    </row>
    <row r="6254" spans="1:4" x14ac:dyDescent="0.25">
      <c r="A6254" s="384" t="s">
        <v>22187</v>
      </c>
      <c r="B6254" s="384" t="s">
        <v>22188</v>
      </c>
      <c r="C6254" s="384" t="s">
        <v>76</v>
      </c>
      <c r="D6254" s="385" t="s">
        <v>22189</v>
      </c>
    </row>
    <row r="6255" spans="1:4" x14ac:dyDescent="0.25">
      <c r="A6255" s="384" t="s">
        <v>22190</v>
      </c>
      <c r="B6255" s="384" t="s">
        <v>22191</v>
      </c>
      <c r="C6255" s="384" t="s">
        <v>76</v>
      </c>
      <c r="D6255" s="385" t="s">
        <v>22192</v>
      </c>
    </row>
    <row r="6256" spans="1:4" x14ac:dyDescent="0.25">
      <c r="A6256" s="384" t="s">
        <v>22193</v>
      </c>
      <c r="B6256" s="384" t="s">
        <v>22194</v>
      </c>
      <c r="C6256" s="384" t="s">
        <v>76</v>
      </c>
      <c r="D6256" s="385" t="s">
        <v>22195</v>
      </c>
    </row>
    <row r="6257" spans="1:4" x14ac:dyDescent="0.25">
      <c r="A6257" s="384" t="s">
        <v>22196</v>
      </c>
      <c r="B6257" s="384" t="s">
        <v>22197</v>
      </c>
      <c r="C6257" s="384" t="s">
        <v>76</v>
      </c>
      <c r="D6257" s="385" t="s">
        <v>22198</v>
      </c>
    </row>
    <row r="6258" spans="1:4" x14ac:dyDescent="0.25">
      <c r="A6258" s="384" t="s">
        <v>22199</v>
      </c>
      <c r="B6258" s="384" t="s">
        <v>22200</v>
      </c>
      <c r="C6258" s="384" t="s">
        <v>76</v>
      </c>
      <c r="D6258" s="385" t="s">
        <v>22201</v>
      </c>
    </row>
    <row r="6259" spans="1:4" x14ac:dyDescent="0.25">
      <c r="A6259" s="384" t="s">
        <v>22202</v>
      </c>
      <c r="B6259" s="384" t="s">
        <v>22203</v>
      </c>
      <c r="C6259" s="384" t="s">
        <v>76</v>
      </c>
      <c r="D6259" s="385" t="s">
        <v>22204</v>
      </c>
    </row>
    <row r="6260" spans="1:4" x14ac:dyDescent="0.25">
      <c r="A6260" s="384" t="s">
        <v>22205</v>
      </c>
      <c r="B6260" s="384" t="s">
        <v>22206</v>
      </c>
      <c r="C6260" s="384" t="s">
        <v>76</v>
      </c>
      <c r="D6260" s="385" t="s">
        <v>22207</v>
      </c>
    </row>
    <row r="6261" spans="1:4" x14ac:dyDescent="0.25">
      <c r="A6261" s="384" t="s">
        <v>22208</v>
      </c>
      <c r="B6261" s="384" t="s">
        <v>22209</v>
      </c>
      <c r="C6261" s="384" t="s">
        <v>76</v>
      </c>
      <c r="D6261" s="385" t="s">
        <v>22210</v>
      </c>
    </row>
    <row r="6262" spans="1:4" x14ac:dyDescent="0.25">
      <c r="A6262" s="384" t="s">
        <v>22211</v>
      </c>
      <c r="B6262" s="384" t="s">
        <v>22212</v>
      </c>
      <c r="C6262" s="384" t="s">
        <v>76</v>
      </c>
      <c r="D6262" s="385" t="s">
        <v>22213</v>
      </c>
    </row>
    <row r="6263" spans="1:4" x14ac:dyDescent="0.25">
      <c r="A6263" s="384" t="s">
        <v>22214</v>
      </c>
      <c r="B6263" s="384" t="s">
        <v>22215</v>
      </c>
      <c r="C6263" s="384" t="s">
        <v>76</v>
      </c>
      <c r="D6263" s="385" t="s">
        <v>22216</v>
      </c>
    </row>
    <row r="6264" spans="1:4" x14ac:dyDescent="0.25">
      <c r="A6264" s="384" t="s">
        <v>22217</v>
      </c>
      <c r="B6264" s="384" t="s">
        <v>22218</v>
      </c>
      <c r="C6264" s="384" t="s">
        <v>76</v>
      </c>
      <c r="D6264" s="385" t="s">
        <v>22219</v>
      </c>
    </row>
    <row r="6265" spans="1:4" x14ac:dyDescent="0.25">
      <c r="A6265" s="384" t="s">
        <v>22220</v>
      </c>
      <c r="B6265" s="384" t="s">
        <v>22221</v>
      </c>
      <c r="C6265" s="384" t="s">
        <v>76</v>
      </c>
      <c r="D6265" s="385" t="s">
        <v>22222</v>
      </c>
    </row>
    <row r="6266" spans="1:4" x14ac:dyDescent="0.25">
      <c r="A6266" s="384" t="s">
        <v>22223</v>
      </c>
      <c r="B6266" s="384" t="s">
        <v>22224</v>
      </c>
      <c r="C6266" s="384" t="s">
        <v>76</v>
      </c>
      <c r="D6266" s="385" t="s">
        <v>22225</v>
      </c>
    </row>
    <row r="6267" spans="1:4" x14ac:dyDescent="0.25">
      <c r="A6267" s="384" t="s">
        <v>22226</v>
      </c>
      <c r="B6267" s="384" t="s">
        <v>22227</v>
      </c>
      <c r="C6267" s="384" t="s">
        <v>76</v>
      </c>
      <c r="D6267" s="385" t="s">
        <v>22228</v>
      </c>
    </row>
    <row r="6268" spans="1:4" x14ac:dyDescent="0.25">
      <c r="A6268" s="384" t="s">
        <v>22229</v>
      </c>
      <c r="B6268" s="384" t="s">
        <v>22230</v>
      </c>
      <c r="C6268" s="384" t="s">
        <v>76</v>
      </c>
      <c r="D6268" s="385" t="s">
        <v>22231</v>
      </c>
    </row>
    <row r="6269" spans="1:4" x14ac:dyDescent="0.25">
      <c r="A6269" s="384" t="s">
        <v>22232</v>
      </c>
      <c r="B6269" s="384" t="s">
        <v>22233</v>
      </c>
      <c r="C6269" s="384" t="s">
        <v>76</v>
      </c>
      <c r="D6269" s="385" t="s">
        <v>22234</v>
      </c>
    </row>
    <row r="6270" spans="1:4" x14ac:dyDescent="0.25">
      <c r="A6270" s="384" t="s">
        <v>22235</v>
      </c>
      <c r="B6270" s="384" t="s">
        <v>22236</v>
      </c>
      <c r="C6270" s="384" t="s">
        <v>76</v>
      </c>
      <c r="D6270" s="385" t="s">
        <v>22237</v>
      </c>
    </row>
    <row r="6271" spans="1:4" x14ac:dyDescent="0.25">
      <c r="A6271" s="384" t="s">
        <v>22238</v>
      </c>
      <c r="B6271" s="384" t="s">
        <v>22239</v>
      </c>
      <c r="C6271" s="384" t="s">
        <v>76</v>
      </c>
      <c r="D6271" s="385" t="s">
        <v>22240</v>
      </c>
    </row>
    <row r="6272" spans="1:4" x14ac:dyDescent="0.25">
      <c r="A6272" s="384" t="s">
        <v>22241</v>
      </c>
      <c r="B6272" s="384" t="s">
        <v>22242</v>
      </c>
      <c r="C6272" s="384" t="s">
        <v>76</v>
      </c>
      <c r="D6272" s="385" t="s">
        <v>22243</v>
      </c>
    </row>
    <row r="6273" spans="1:4" x14ac:dyDescent="0.25">
      <c r="A6273" s="384" t="s">
        <v>22244</v>
      </c>
      <c r="B6273" s="384" t="s">
        <v>22245</v>
      </c>
      <c r="C6273" s="384" t="s">
        <v>76</v>
      </c>
      <c r="D6273" s="385" t="s">
        <v>17652</v>
      </c>
    </row>
    <row r="6274" spans="1:4" x14ac:dyDescent="0.25">
      <c r="A6274" s="384" t="s">
        <v>22246</v>
      </c>
      <c r="B6274" s="384" t="s">
        <v>22247</v>
      </c>
      <c r="C6274" s="384" t="s">
        <v>76</v>
      </c>
      <c r="D6274" s="385" t="s">
        <v>22248</v>
      </c>
    </row>
    <row r="6275" spans="1:4" x14ac:dyDescent="0.25">
      <c r="A6275" s="384" t="s">
        <v>22249</v>
      </c>
      <c r="B6275" s="384" t="s">
        <v>22250</v>
      </c>
      <c r="C6275" s="384" t="s">
        <v>76</v>
      </c>
      <c r="D6275" s="385" t="s">
        <v>22251</v>
      </c>
    </row>
    <row r="6276" spans="1:4" x14ac:dyDescent="0.25">
      <c r="A6276" s="384" t="s">
        <v>22252</v>
      </c>
      <c r="B6276" s="384" t="s">
        <v>22253</v>
      </c>
      <c r="C6276" s="384" t="s">
        <v>76</v>
      </c>
      <c r="D6276" s="385" t="s">
        <v>22254</v>
      </c>
    </row>
    <row r="6277" spans="1:4" x14ac:dyDescent="0.25">
      <c r="A6277" s="384" t="s">
        <v>22255</v>
      </c>
      <c r="B6277" s="384" t="s">
        <v>22256</v>
      </c>
      <c r="C6277" s="384" t="s">
        <v>76</v>
      </c>
      <c r="D6277" s="385" t="s">
        <v>22257</v>
      </c>
    </row>
    <row r="6278" spans="1:4" x14ac:dyDescent="0.25">
      <c r="A6278" s="384" t="s">
        <v>22258</v>
      </c>
      <c r="B6278" s="384" t="s">
        <v>22259</v>
      </c>
      <c r="C6278" s="384" t="s">
        <v>76</v>
      </c>
      <c r="D6278" s="385" t="s">
        <v>22260</v>
      </c>
    </row>
    <row r="6279" spans="1:4" x14ac:dyDescent="0.25">
      <c r="A6279" s="384" t="s">
        <v>22261</v>
      </c>
      <c r="B6279" s="384" t="s">
        <v>22262</v>
      </c>
      <c r="C6279" s="384" t="s">
        <v>76</v>
      </c>
      <c r="D6279" s="385" t="s">
        <v>22263</v>
      </c>
    </row>
    <row r="6280" spans="1:4" x14ac:dyDescent="0.25">
      <c r="A6280" s="384" t="s">
        <v>22264</v>
      </c>
      <c r="B6280" s="384" t="s">
        <v>22265</v>
      </c>
      <c r="C6280" s="384" t="s">
        <v>76</v>
      </c>
      <c r="D6280" s="385" t="s">
        <v>22266</v>
      </c>
    </row>
    <row r="6281" spans="1:4" x14ac:dyDescent="0.25">
      <c r="A6281" s="384" t="s">
        <v>22267</v>
      </c>
      <c r="B6281" s="384" t="s">
        <v>22268</v>
      </c>
      <c r="C6281" s="384" t="s">
        <v>76</v>
      </c>
      <c r="D6281" s="385" t="s">
        <v>22269</v>
      </c>
    </row>
    <row r="6282" spans="1:4" x14ac:dyDescent="0.25">
      <c r="A6282" s="384" t="s">
        <v>22270</v>
      </c>
      <c r="B6282" s="384" t="s">
        <v>22271</v>
      </c>
      <c r="C6282" s="384" t="s">
        <v>76</v>
      </c>
      <c r="D6282" s="385" t="s">
        <v>22272</v>
      </c>
    </row>
    <row r="6283" spans="1:4" x14ac:dyDescent="0.25">
      <c r="A6283" s="384" t="s">
        <v>22273</v>
      </c>
      <c r="B6283" s="384" t="s">
        <v>22274</v>
      </c>
      <c r="C6283" s="384" t="s">
        <v>76</v>
      </c>
      <c r="D6283" s="385" t="s">
        <v>22275</v>
      </c>
    </row>
    <row r="6284" spans="1:4" x14ac:dyDescent="0.25">
      <c r="A6284" s="384" t="s">
        <v>22276</v>
      </c>
      <c r="B6284" s="384" t="s">
        <v>22277</v>
      </c>
      <c r="C6284" s="384" t="s">
        <v>76</v>
      </c>
      <c r="D6284" s="385" t="s">
        <v>22278</v>
      </c>
    </row>
    <row r="6285" spans="1:4" x14ac:dyDescent="0.25">
      <c r="A6285" s="384" t="s">
        <v>22279</v>
      </c>
      <c r="B6285" s="384" t="s">
        <v>22280</v>
      </c>
      <c r="C6285" s="384" t="s">
        <v>76</v>
      </c>
      <c r="D6285" s="385" t="s">
        <v>22281</v>
      </c>
    </row>
    <row r="6286" spans="1:4" x14ac:dyDescent="0.25">
      <c r="A6286" s="384" t="s">
        <v>22282</v>
      </c>
      <c r="B6286" s="384" t="s">
        <v>22283</v>
      </c>
      <c r="C6286" s="384" t="s">
        <v>76</v>
      </c>
      <c r="D6286" s="385" t="s">
        <v>22284</v>
      </c>
    </row>
    <row r="6287" spans="1:4" x14ac:dyDescent="0.25">
      <c r="A6287" s="384" t="s">
        <v>22285</v>
      </c>
      <c r="B6287" s="384" t="s">
        <v>22286</v>
      </c>
      <c r="C6287" s="384" t="s">
        <v>76</v>
      </c>
      <c r="D6287" s="385" t="s">
        <v>22287</v>
      </c>
    </row>
    <row r="6288" spans="1:4" x14ac:dyDescent="0.25">
      <c r="A6288" s="384" t="s">
        <v>22288</v>
      </c>
      <c r="B6288" s="384" t="s">
        <v>22289</v>
      </c>
      <c r="C6288" s="384" t="s">
        <v>76</v>
      </c>
      <c r="D6288" s="385" t="s">
        <v>22290</v>
      </c>
    </row>
    <row r="6289" spans="1:4" x14ac:dyDescent="0.25">
      <c r="A6289" s="384" t="s">
        <v>22291</v>
      </c>
      <c r="B6289" s="384" t="s">
        <v>22292</v>
      </c>
      <c r="C6289" s="384" t="s">
        <v>76</v>
      </c>
      <c r="D6289" s="385" t="s">
        <v>22293</v>
      </c>
    </row>
    <row r="6290" spans="1:4" x14ac:dyDescent="0.25">
      <c r="A6290" s="384" t="s">
        <v>22294</v>
      </c>
      <c r="B6290" s="384" t="s">
        <v>22295</v>
      </c>
      <c r="C6290" s="384" t="s">
        <v>76</v>
      </c>
      <c r="D6290" s="385" t="s">
        <v>22296</v>
      </c>
    </row>
    <row r="6291" spans="1:4" x14ac:dyDescent="0.25">
      <c r="A6291" s="384" t="s">
        <v>22297</v>
      </c>
      <c r="B6291" s="384" t="s">
        <v>22298</v>
      </c>
      <c r="C6291" s="384" t="s">
        <v>76</v>
      </c>
      <c r="D6291" s="385" t="s">
        <v>22299</v>
      </c>
    </row>
    <row r="6292" spans="1:4" x14ac:dyDescent="0.25">
      <c r="A6292" s="384" t="s">
        <v>22300</v>
      </c>
      <c r="B6292" s="384" t="s">
        <v>22301</v>
      </c>
      <c r="C6292" s="384" t="s">
        <v>76</v>
      </c>
      <c r="D6292" s="385" t="s">
        <v>22302</v>
      </c>
    </row>
    <row r="6293" spans="1:4" x14ac:dyDescent="0.25">
      <c r="A6293" s="384" t="s">
        <v>22303</v>
      </c>
      <c r="B6293" s="384" t="s">
        <v>22304</v>
      </c>
      <c r="C6293" s="384" t="s">
        <v>76</v>
      </c>
      <c r="D6293" s="385" t="s">
        <v>22305</v>
      </c>
    </row>
    <row r="6294" spans="1:4" x14ac:dyDescent="0.25">
      <c r="A6294" s="384" t="s">
        <v>22306</v>
      </c>
      <c r="B6294" s="384" t="s">
        <v>22307</v>
      </c>
      <c r="C6294" s="384" t="s">
        <v>76</v>
      </c>
      <c r="D6294" s="385" t="s">
        <v>22308</v>
      </c>
    </row>
    <row r="6295" spans="1:4" x14ac:dyDescent="0.25">
      <c r="A6295" s="384" t="s">
        <v>22309</v>
      </c>
      <c r="B6295" s="384" t="s">
        <v>22310</v>
      </c>
      <c r="C6295" s="384" t="s">
        <v>76</v>
      </c>
      <c r="D6295" s="385" t="s">
        <v>22311</v>
      </c>
    </row>
    <row r="6296" spans="1:4" x14ac:dyDescent="0.25">
      <c r="A6296" s="384" t="s">
        <v>22312</v>
      </c>
      <c r="B6296" s="384" t="s">
        <v>22313</v>
      </c>
      <c r="C6296" s="384" t="s">
        <v>76</v>
      </c>
      <c r="D6296" s="385" t="s">
        <v>22314</v>
      </c>
    </row>
    <row r="6297" spans="1:4" x14ac:dyDescent="0.25">
      <c r="A6297" s="384" t="s">
        <v>22315</v>
      </c>
      <c r="B6297" s="384" t="s">
        <v>22316</v>
      </c>
      <c r="C6297" s="384" t="s">
        <v>76</v>
      </c>
      <c r="D6297" s="385" t="s">
        <v>22317</v>
      </c>
    </row>
    <row r="6298" spans="1:4" x14ac:dyDescent="0.25">
      <c r="A6298" s="384" t="s">
        <v>22318</v>
      </c>
      <c r="B6298" s="384" t="s">
        <v>22319</v>
      </c>
      <c r="C6298" s="384" t="s">
        <v>76</v>
      </c>
      <c r="D6298" s="385" t="s">
        <v>22320</v>
      </c>
    </row>
    <row r="6299" spans="1:4" x14ac:dyDescent="0.25">
      <c r="A6299" s="384" t="s">
        <v>22321</v>
      </c>
      <c r="B6299" s="384" t="s">
        <v>22322</v>
      </c>
      <c r="C6299" s="384" t="s">
        <v>76</v>
      </c>
      <c r="D6299" s="385" t="s">
        <v>22323</v>
      </c>
    </row>
    <row r="6300" spans="1:4" x14ac:dyDescent="0.25">
      <c r="A6300" s="384" t="s">
        <v>22324</v>
      </c>
      <c r="B6300" s="384" t="s">
        <v>430</v>
      </c>
      <c r="C6300" s="384" t="s">
        <v>76</v>
      </c>
      <c r="D6300" s="385" t="s">
        <v>22325</v>
      </c>
    </row>
    <row r="6301" spans="1:4" x14ac:dyDescent="0.25">
      <c r="A6301" s="384" t="s">
        <v>22326</v>
      </c>
      <c r="B6301" s="384" t="s">
        <v>22327</v>
      </c>
      <c r="C6301" s="384" t="s">
        <v>76</v>
      </c>
      <c r="D6301" s="385" t="s">
        <v>22328</v>
      </c>
    </row>
    <row r="6302" spans="1:4" x14ac:dyDescent="0.25">
      <c r="A6302" s="384" t="s">
        <v>22329</v>
      </c>
      <c r="B6302" s="384" t="s">
        <v>22330</v>
      </c>
      <c r="C6302" s="384" t="s">
        <v>76</v>
      </c>
      <c r="D6302" s="385" t="s">
        <v>22331</v>
      </c>
    </row>
    <row r="6303" spans="1:4" x14ac:dyDescent="0.25">
      <c r="A6303" s="384" t="s">
        <v>22332</v>
      </c>
      <c r="B6303" s="384" t="s">
        <v>22333</v>
      </c>
      <c r="C6303" s="384" t="s">
        <v>76</v>
      </c>
      <c r="D6303" s="385" t="s">
        <v>22334</v>
      </c>
    </row>
    <row r="6304" spans="1:4" x14ac:dyDescent="0.25">
      <c r="A6304" s="384" t="s">
        <v>22335</v>
      </c>
      <c r="B6304" s="384" t="s">
        <v>22336</v>
      </c>
      <c r="C6304" s="384" t="s">
        <v>76</v>
      </c>
      <c r="D6304" s="385" t="s">
        <v>22337</v>
      </c>
    </row>
    <row r="6305" spans="1:4" x14ac:dyDescent="0.25">
      <c r="A6305" s="384" t="s">
        <v>22338</v>
      </c>
      <c r="B6305" s="384" t="s">
        <v>22339</v>
      </c>
      <c r="C6305" s="384" t="s">
        <v>76</v>
      </c>
      <c r="D6305" s="385" t="s">
        <v>22340</v>
      </c>
    </row>
    <row r="6306" spans="1:4" x14ac:dyDescent="0.25">
      <c r="A6306" s="384" t="s">
        <v>22341</v>
      </c>
      <c r="B6306" s="384" t="s">
        <v>22342</v>
      </c>
      <c r="C6306" s="384" t="s">
        <v>76</v>
      </c>
      <c r="D6306" s="385" t="s">
        <v>22343</v>
      </c>
    </row>
    <row r="6307" spans="1:4" x14ac:dyDescent="0.25">
      <c r="A6307" s="384" t="s">
        <v>22344</v>
      </c>
      <c r="B6307" s="384" t="s">
        <v>22345</v>
      </c>
      <c r="C6307" s="384" t="s">
        <v>76</v>
      </c>
      <c r="D6307" s="385" t="s">
        <v>22346</v>
      </c>
    </row>
    <row r="6308" spans="1:4" x14ac:dyDescent="0.25">
      <c r="A6308" s="384" t="s">
        <v>22347</v>
      </c>
      <c r="B6308" s="384" t="s">
        <v>22348</v>
      </c>
      <c r="C6308" s="384" t="s">
        <v>76</v>
      </c>
      <c r="D6308" s="385" t="s">
        <v>22349</v>
      </c>
    </row>
    <row r="6309" spans="1:4" x14ac:dyDescent="0.25">
      <c r="A6309" s="384" t="s">
        <v>22350</v>
      </c>
      <c r="B6309" s="384" t="s">
        <v>22351</v>
      </c>
      <c r="C6309" s="384" t="s">
        <v>76</v>
      </c>
      <c r="D6309" s="385" t="s">
        <v>22352</v>
      </c>
    </row>
    <row r="6310" spans="1:4" x14ac:dyDescent="0.25">
      <c r="A6310" s="384" t="s">
        <v>22353</v>
      </c>
      <c r="B6310" s="384" t="s">
        <v>22354</v>
      </c>
      <c r="C6310" s="384" t="s">
        <v>76</v>
      </c>
      <c r="D6310" s="385" t="s">
        <v>22355</v>
      </c>
    </row>
    <row r="6311" spans="1:4" x14ac:dyDescent="0.25">
      <c r="A6311" s="384" t="s">
        <v>22356</v>
      </c>
      <c r="B6311" s="384" t="s">
        <v>22357</v>
      </c>
      <c r="C6311" s="384" t="s">
        <v>76</v>
      </c>
      <c r="D6311" s="385" t="s">
        <v>22358</v>
      </c>
    </row>
    <row r="6312" spans="1:4" x14ac:dyDescent="0.25">
      <c r="A6312" s="384" t="s">
        <v>22359</v>
      </c>
      <c r="B6312" s="384" t="s">
        <v>22360</v>
      </c>
      <c r="C6312" s="384" t="s">
        <v>76</v>
      </c>
      <c r="D6312" s="385" t="s">
        <v>22361</v>
      </c>
    </row>
    <row r="6313" spans="1:4" x14ac:dyDescent="0.25">
      <c r="A6313" s="384" t="s">
        <v>22362</v>
      </c>
      <c r="B6313" s="384" t="s">
        <v>22363</v>
      </c>
      <c r="C6313" s="384" t="s">
        <v>76</v>
      </c>
      <c r="D6313" s="385" t="s">
        <v>22364</v>
      </c>
    </row>
    <row r="6314" spans="1:4" x14ac:dyDescent="0.25">
      <c r="A6314" s="384" t="s">
        <v>22365</v>
      </c>
      <c r="B6314" s="384" t="s">
        <v>22366</v>
      </c>
      <c r="C6314" s="384" t="s">
        <v>76</v>
      </c>
      <c r="D6314" s="385" t="s">
        <v>22367</v>
      </c>
    </row>
    <row r="6315" spans="1:4" x14ac:dyDescent="0.25">
      <c r="A6315" s="384" t="s">
        <v>22368</v>
      </c>
      <c r="B6315" s="384" t="s">
        <v>22369</v>
      </c>
      <c r="C6315" s="384" t="s">
        <v>76</v>
      </c>
      <c r="D6315" s="385" t="s">
        <v>22370</v>
      </c>
    </row>
    <row r="6316" spans="1:4" x14ac:dyDescent="0.25">
      <c r="A6316" s="384" t="s">
        <v>22371</v>
      </c>
      <c r="B6316" s="384" t="s">
        <v>22372</v>
      </c>
      <c r="C6316" s="384" t="s">
        <v>76</v>
      </c>
      <c r="D6316" s="385" t="s">
        <v>22373</v>
      </c>
    </row>
    <row r="6317" spans="1:4" x14ac:dyDescent="0.25">
      <c r="A6317" s="384" t="s">
        <v>22374</v>
      </c>
      <c r="B6317" s="384" t="s">
        <v>22375</v>
      </c>
      <c r="C6317" s="384" t="s">
        <v>76</v>
      </c>
      <c r="D6317" s="385" t="s">
        <v>22376</v>
      </c>
    </row>
    <row r="6318" spans="1:4" x14ac:dyDescent="0.25">
      <c r="A6318" s="384" t="s">
        <v>22377</v>
      </c>
      <c r="B6318" s="384" t="s">
        <v>22378</v>
      </c>
      <c r="C6318" s="384" t="s">
        <v>76</v>
      </c>
      <c r="D6318" s="385" t="s">
        <v>22379</v>
      </c>
    </row>
    <row r="6319" spans="1:4" x14ac:dyDescent="0.25">
      <c r="A6319" s="384" t="s">
        <v>22380</v>
      </c>
      <c r="B6319" s="384" t="s">
        <v>22381</v>
      </c>
      <c r="C6319" s="384" t="s">
        <v>76</v>
      </c>
      <c r="D6319" s="385" t="s">
        <v>22382</v>
      </c>
    </row>
    <row r="6320" spans="1:4" x14ac:dyDescent="0.25">
      <c r="A6320" s="384" t="s">
        <v>22383</v>
      </c>
      <c r="B6320" s="384" t="s">
        <v>22384</v>
      </c>
      <c r="C6320" s="384" t="s">
        <v>76</v>
      </c>
      <c r="D6320" s="385" t="s">
        <v>22385</v>
      </c>
    </row>
    <row r="6321" spans="1:4" x14ac:dyDescent="0.25">
      <c r="A6321" s="384" t="s">
        <v>22386</v>
      </c>
      <c r="B6321" s="384" t="s">
        <v>22387</v>
      </c>
      <c r="C6321" s="384" t="s">
        <v>76</v>
      </c>
      <c r="D6321" s="385" t="s">
        <v>22388</v>
      </c>
    </row>
    <row r="6322" spans="1:4" x14ac:dyDescent="0.25">
      <c r="A6322" s="384" t="s">
        <v>22389</v>
      </c>
      <c r="B6322" s="384" t="s">
        <v>22390</v>
      </c>
      <c r="C6322" s="384" t="s">
        <v>76</v>
      </c>
      <c r="D6322" s="385" t="s">
        <v>22391</v>
      </c>
    </row>
    <row r="6323" spans="1:4" x14ac:dyDescent="0.25">
      <c r="A6323" s="384" t="s">
        <v>22392</v>
      </c>
      <c r="B6323" s="384" t="s">
        <v>22393</v>
      </c>
      <c r="C6323" s="384" t="s">
        <v>76</v>
      </c>
      <c r="D6323" s="385" t="s">
        <v>22394</v>
      </c>
    </row>
    <row r="6324" spans="1:4" x14ac:dyDescent="0.25">
      <c r="A6324" s="384" t="s">
        <v>22395</v>
      </c>
      <c r="B6324" s="384" t="s">
        <v>22396</v>
      </c>
      <c r="C6324" s="384" t="s">
        <v>76</v>
      </c>
      <c r="D6324" s="385" t="s">
        <v>22397</v>
      </c>
    </row>
    <row r="6325" spans="1:4" x14ac:dyDescent="0.25">
      <c r="A6325" s="384" t="s">
        <v>22398</v>
      </c>
      <c r="B6325" s="384" t="s">
        <v>22399</v>
      </c>
      <c r="C6325" s="384" t="s">
        <v>76</v>
      </c>
      <c r="D6325" s="385" t="s">
        <v>22400</v>
      </c>
    </row>
    <row r="6326" spans="1:4" x14ac:dyDescent="0.25">
      <c r="A6326" s="384" t="s">
        <v>22401</v>
      </c>
      <c r="B6326" s="384" t="s">
        <v>22402</v>
      </c>
      <c r="C6326" s="384" t="s">
        <v>76</v>
      </c>
      <c r="D6326" s="385" t="s">
        <v>22403</v>
      </c>
    </row>
    <row r="6327" spans="1:4" x14ac:dyDescent="0.25">
      <c r="A6327" s="384" t="s">
        <v>22404</v>
      </c>
      <c r="B6327" s="384" t="s">
        <v>22405</v>
      </c>
      <c r="C6327" s="384" t="s">
        <v>76</v>
      </c>
      <c r="D6327" s="385" t="s">
        <v>22406</v>
      </c>
    </row>
    <row r="6328" spans="1:4" x14ac:dyDescent="0.25">
      <c r="A6328" s="384" t="s">
        <v>22407</v>
      </c>
      <c r="B6328" s="384" t="s">
        <v>22408</v>
      </c>
      <c r="C6328" s="384" t="s">
        <v>76</v>
      </c>
      <c r="D6328" s="385" t="s">
        <v>22409</v>
      </c>
    </row>
    <row r="6329" spans="1:4" x14ac:dyDescent="0.25">
      <c r="A6329" s="384" t="s">
        <v>22410</v>
      </c>
      <c r="B6329" s="384" t="s">
        <v>22411</v>
      </c>
      <c r="C6329" s="384" t="s">
        <v>76</v>
      </c>
      <c r="D6329" s="385" t="s">
        <v>22412</v>
      </c>
    </row>
    <row r="6330" spans="1:4" x14ac:dyDescent="0.25">
      <c r="A6330" s="384" t="s">
        <v>22413</v>
      </c>
      <c r="B6330" s="384" t="s">
        <v>22414</v>
      </c>
      <c r="C6330" s="384" t="s">
        <v>76</v>
      </c>
      <c r="D6330" s="385" t="s">
        <v>22415</v>
      </c>
    </row>
    <row r="6331" spans="1:4" x14ac:dyDescent="0.25">
      <c r="A6331" s="384" t="s">
        <v>22416</v>
      </c>
      <c r="B6331" s="384" t="s">
        <v>22417</v>
      </c>
      <c r="C6331" s="384" t="s">
        <v>76</v>
      </c>
      <c r="D6331" s="385" t="s">
        <v>22418</v>
      </c>
    </row>
    <row r="6332" spans="1:4" x14ac:dyDescent="0.25">
      <c r="A6332" s="384" t="s">
        <v>22419</v>
      </c>
      <c r="B6332" s="384" t="s">
        <v>22420</v>
      </c>
      <c r="C6332" s="384" t="s">
        <v>76</v>
      </c>
      <c r="D6332" s="385" t="s">
        <v>22421</v>
      </c>
    </row>
    <row r="6333" spans="1:4" x14ac:dyDescent="0.25">
      <c r="A6333" s="384" t="s">
        <v>22422</v>
      </c>
      <c r="B6333" s="384" t="s">
        <v>22423</v>
      </c>
      <c r="C6333" s="384" t="s">
        <v>76</v>
      </c>
      <c r="D6333" s="385" t="s">
        <v>22424</v>
      </c>
    </row>
    <row r="6334" spans="1:4" x14ac:dyDescent="0.25">
      <c r="A6334" s="384" t="s">
        <v>22425</v>
      </c>
      <c r="B6334" s="384" t="s">
        <v>22426</v>
      </c>
      <c r="C6334" s="384" t="s">
        <v>76</v>
      </c>
      <c r="D6334" s="385" t="s">
        <v>22427</v>
      </c>
    </row>
    <row r="6335" spans="1:4" x14ac:dyDescent="0.25">
      <c r="A6335" s="384" t="s">
        <v>22428</v>
      </c>
      <c r="B6335" s="384" t="s">
        <v>22429</v>
      </c>
      <c r="C6335" s="384" t="s">
        <v>76</v>
      </c>
      <c r="D6335" s="385" t="s">
        <v>22430</v>
      </c>
    </row>
    <row r="6336" spans="1:4" x14ac:dyDescent="0.25">
      <c r="A6336" s="384" t="s">
        <v>22431</v>
      </c>
      <c r="B6336" s="384" t="s">
        <v>22432</v>
      </c>
      <c r="C6336" s="384" t="s">
        <v>76</v>
      </c>
      <c r="D6336" s="385" t="s">
        <v>22433</v>
      </c>
    </row>
    <row r="6337" spans="1:4" x14ac:dyDescent="0.25">
      <c r="A6337" s="384" t="s">
        <v>22434</v>
      </c>
      <c r="B6337" s="384" t="s">
        <v>22435</v>
      </c>
      <c r="C6337" s="384" t="s">
        <v>76</v>
      </c>
      <c r="D6337" s="385" t="s">
        <v>22436</v>
      </c>
    </row>
    <row r="6338" spans="1:4" x14ac:dyDescent="0.25">
      <c r="A6338" s="384" t="s">
        <v>22437</v>
      </c>
      <c r="B6338" s="384" t="s">
        <v>22438</v>
      </c>
      <c r="C6338" s="384" t="s">
        <v>76</v>
      </c>
      <c r="D6338" s="385" t="s">
        <v>22439</v>
      </c>
    </row>
    <row r="6339" spans="1:4" x14ac:dyDescent="0.25">
      <c r="A6339" s="384" t="s">
        <v>22440</v>
      </c>
      <c r="B6339" s="384" t="s">
        <v>22441</v>
      </c>
      <c r="C6339" s="384" t="s">
        <v>76</v>
      </c>
      <c r="D6339" s="385" t="s">
        <v>22442</v>
      </c>
    </row>
    <row r="6340" spans="1:4" x14ac:dyDescent="0.25">
      <c r="A6340" s="384" t="s">
        <v>22443</v>
      </c>
      <c r="B6340" s="384" t="s">
        <v>22444</v>
      </c>
      <c r="C6340" s="384" t="s">
        <v>76</v>
      </c>
      <c r="D6340" s="385" t="s">
        <v>22445</v>
      </c>
    </row>
    <row r="6341" spans="1:4" x14ac:dyDescent="0.25">
      <c r="A6341" s="384" t="s">
        <v>22446</v>
      </c>
      <c r="B6341" s="384" t="s">
        <v>22447</v>
      </c>
      <c r="C6341" s="384" t="s">
        <v>76</v>
      </c>
      <c r="D6341" s="385" t="s">
        <v>22448</v>
      </c>
    </row>
    <row r="6342" spans="1:4" x14ac:dyDescent="0.25">
      <c r="A6342" s="384" t="s">
        <v>22449</v>
      </c>
      <c r="B6342" s="384" t="s">
        <v>22450</v>
      </c>
      <c r="C6342" s="384" t="s">
        <v>76</v>
      </c>
      <c r="D6342" s="385" t="s">
        <v>22451</v>
      </c>
    </row>
    <row r="6343" spans="1:4" x14ac:dyDescent="0.25">
      <c r="A6343" s="384" t="s">
        <v>22452</v>
      </c>
      <c r="B6343" s="384" t="s">
        <v>22453</v>
      </c>
      <c r="C6343" s="384" t="s">
        <v>76</v>
      </c>
      <c r="D6343" s="385" t="s">
        <v>22454</v>
      </c>
    </row>
    <row r="6344" spans="1:4" x14ac:dyDescent="0.25">
      <c r="A6344" s="384" t="s">
        <v>22455</v>
      </c>
      <c r="B6344" s="384" t="s">
        <v>22456</v>
      </c>
      <c r="C6344" s="384" t="s">
        <v>76</v>
      </c>
      <c r="D6344" s="385" t="s">
        <v>22457</v>
      </c>
    </row>
    <row r="6345" spans="1:4" x14ac:dyDescent="0.25">
      <c r="A6345" s="384" t="s">
        <v>22458</v>
      </c>
      <c r="B6345" s="384" t="s">
        <v>22459</v>
      </c>
      <c r="C6345" s="384" t="s">
        <v>76</v>
      </c>
      <c r="D6345" s="385" t="s">
        <v>22460</v>
      </c>
    </row>
    <row r="6346" spans="1:4" x14ac:dyDescent="0.25">
      <c r="A6346" s="384" t="s">
        <v>22461</v>
      </c>
      <c r="B6346" s="384" t="s">
        <v>22462</v>
      </c>
      <c r="C6346" s="384" t="s">
        <v>76</v>
      </c>
      <c r="D6346" s="385" t="s">
        <v>22463</v>
      </c>
    </row>
    <row r="6347" spans="1:4" x14ac:dyDescent="0.25">
      <c r="A6347" s="384" t="s">
        <v>22464</v>
      </c>
      <c r="B6347" s="384" t="s">
        <v>22465</v>
      </c>
      <c r="C6347" s="384" t="s">
        <v>76</v>
      </c>
      <c r="D6347" s="385" t="s">
        <v>22466</v>
      </c>
    </row>
    <row r="6348" spans="1:4" x14ac:dyDescent="0.25">
      <c r="A6348" s="384" t="s">
        <v>22467</v>
      </c>
      <c r="B6348" s="384" t="s">
        <v>22468</v>
      </c>
      <c r="C6348" s="384" t="s">
        <v>76</v>
      </c>
      <c r="D6348" s="385" t="s">
        <v>22469</v>
      </c>
    </row>
    <row r="6349" spans="1:4" x14ac:dyDescent="0.25">
      <c r="A6349" s="384" t="s">
        <v>22470</v>
      </c>
      <c r="B6349" s="384" t="s">
        <v>22471</v>
      </c>
      <c r="C6349" s="384" t="s">
        <v>76</v>
      </c>
      <c r="D6349" s="385" t="s">
        <v>22472</v>
      </c>
    </row>
    <row r="6350" spans="1:4" x14ac:dyDescent="0.25">
      <c r="A6350" s="384" t="s">
        <v>22473</v>
      </c>
      <c r="B6350" s="384" t="s">
        <v>22474</v>
      </c>
      <c r="C6350" s="384" t="s">
        <v>76</v>
      </c>
      <c r="D6350" s="385" t="s">
        <v>22475</v>
      </c>
    </row>
    <row r="6351" spans="1:4" x14ac:dyDescent="0.25">
      <c r="A6351" s="384" t="s">
        <v>22476</v>
      </c>
      <c r="B6351" s="384" t="s">
        <v>22477</v>
      </c>
      <c r="C6351" s="384" t="s">
        <v>76</v>
      </c>
      <c r="D6351" s="385" t="s">
        <v>22478</v>
      </c>
    </row>
    <row r="6352" spans="1:4" x14ac:dyDescent="0.25">
      <c r="A6352" s="384" t="s">
        <v>22479</v>
      </c>
      <c r="B6352" s="384" t="s">
        <v>22480</v>
      </c>
      <c r="C6352" s="384" t="s">
        <v>76</v>
      </c>
      <c r="D6352" s="385" t="s">
        <v>22481</v>
      </c>
    </row>
    <row r="6353" spans="1:4" x14ac:dyDescent="0.25">
      <c r="A6353" s="384" t="s">
        <v>22482</v>
      </c>
      <c r="B6353" s="384" t="s">
        <v>22483</v>
      </c>
      <c r="C6353" s="384" t="s">
        <v>76</v>
      </c>
      <c r="D6353" s="385" t="s">
        <v>22484</v>
      </c>
    </row>
    <row r="6354" spans="1:4" x14ac:dyDescent="0.25">
      <c r="A6354" s="384" t="s">
        <v>22485</v>
      </c>
      <c r="B6354" s="384" t="s">
        <v>22486</v>
      </c>
      <c r="C6354" s="384" t="s">
        <v>76</v>
      </c>
      <c r="D6354" s="385" t="s">
        <v>22487</v>
      </c>
    </row>
    <row r="6355" spans="1:4" x14ac:dyDescent="0.25">
      <c r="A6355" s="384" t="s">
        <v>22488</v>
      </c>
      <c r="B6355" s="384" t="s">
        <v>22489</v>
      </c>
      <c r="C6355" s="384" t="s">
        <v>76</v>
      </c>
      <c r="D6355" s="385" t="s">
        <v>22490</v>
      </c>
    </row>
    <row r="6356" spans="1:4" x14ac:dyDescent="0.25">
      <c r="A6356" s="384" t="s">
        <v>22491</v>
      </c>
      <c r="B6356" s="384" t="s">
        <v>22492</v>
      </c>
      <c r="C6356" s="384" t="s">
        <v>76</v>
      </c>
      <c r="D6356" s="385" t="s">
        <v>22493</v>
      </c>
    </row>
    <row r="6357" spans="1:4" x14ac:dyDescent="0.25">
      <c r="A6357" s="384" t="s">
        <v>22494</v>
      </c>
      <c r="B6357" s="384" t="s">
        <v>22495</v>
      </c>
      <c r="C6357" s="384" t="s">
        <v>76</v>
      </c>
      <c r="D6357" s="385" t="s">
        <v>22496</v>
      </c>
    </row>
    <row r="6358" spans="1:4" x14ac:dyDescent="0.25">
      <c r="A6358" s="384" t="s">
        <v>22497</v>
      </c>
      <c r="B6358" s="384" t="s">
        <v>22498</v>
      </c>
      <c r="C6358" s="384" t="s">
        <v>76</v>
      </c>
      <c r="D6358" s="385" t="s">
        <v>22499</v>
      </c>
    </row>
    <row r="6359" spans="1:4" x14ac:dyDescent="0.25">
      <c r="A6359" s="384" t="s">
        <v>22500</v>
      </c>
      <c r="B6359" s="384" t="s">
        <v>22501</v>
      </c>
      <c r="C6359" s="384" t="s">
        <v>76</v>
      </c>
      <c r="D6359" s="385" t="s">
        <v>22502</v>
      </c>
    </row>
    <row r="6360" spans="1:4" x14ac:dyDescent="0.25">
      <c r="A6360" s="384" t="s">
        <v>22503</v>
      </c>
      <c r="B6360" s="384" t="s">
        <v>22504</v>
      </c>
      <c r="C6360" s="384" t="s">
        <v>76</v>
      </c>
      <c r="D6360" s="385" t="s">
        <v>22505</v>
      </c>
    </row>
    <row r="6361" spans="1:4" x14ac:dyDescent="0.25">
      <c r="A6361" s="384" t="s">
        <v>22506</v>
      </c>
      <c r="B6361" s="384" t="s">
        <v>22507</v>
      </c>
      <c r="C6361" s="384" t="s">
        <v>76</v>
      </c>
      <c r="D6361" s="385" t="s">
        <v>22508</v>
      </c>
    </row>
    <row r="6362" spans="1:4" x14ac:dyDescent="0.25">
      <c r="A6362" s="384" t="s">
        <v>22509</v>
      </c>
      <c r="B6362" s="384" t="s">
        <v>22510</v>
      </c>
      <c r="C6362" s="384" t="s">
        <v>76</v>
      </c>
      <c r="D6362" s="385" t="s">
        <v>15942</v>
      </c>
    </row>
    <row r="6363" spans="1:4" x14ac:dyDescent="0.25">
      <c r="A6363" s="384" t="s">
        <v>22511</v>
      </c>
      <c r="B6363" s="384" t="s">
        <v>22512</v>
      </c>
      <c r="C6363" s="384" t="s">
        <v>76</v>
      </c>
      <c r="D6363" s="385" t="s">
        <v>4751</v>
      </c>
    </row>
    <row r="6364" spans="1:4" x14ac:dyDescent="0.25">
      <c r="A6364" s="384" t="s">
        <v>22513</v>
      </c>
      <c r="B6364" s="384" t="s">
        <v>22514</v>
      </c>
      <c r="C6364" s="384" t="s">
        <v>22515</v>
      </c>
      <c r="D6364" s="385" t="s">
        <v>6699</v>
      </c>
    </row>
    <row r="6365" spans="1:4" x14ac:dyDescent="0.25">
      <c r="A6365" s="384" t="s">
        <v>22516</v>
      </c>
      <c r="B6365" s="384" t="s">
        <v>22517</v>
      </c>
      <c r="C6365" s="384" t="s">
        <v>22515</v>
      </c>
      <c r="D6365" s="385" t="s">
        <v>22518</v>
      </c>
    </row>
    <row r="6366" spans="1:4" x14ac:dyDescent="0.25">
      <c r="A6366" s="384" t="s">
        <v>22519</v>
      </c>
      <c r="B6366" s="384" t="s">
        <v>22520</v>
      </c>
      <c r="C6366" s="384" t="s">
        <v>22515</v>
      </c>
      <c r="D6366" s="385" t="s">
        <v>22521</v>
      </c>
    </row>
    <row r="6367" spans="1:4" x14ac:dyDescent="0.25">
      <c r="A6367" s="384" t="s">
        <v>22522</v>
      </c>
      <c r="B6367" s="384" t="s">
        <v>22523</v>
      </c>
      <c r="C6367" s="384" t="s">
        <v>22515</v>
      </c>
      <c r="D6367" s="385" t="s">
        <v>5806</v>
      </c>
    </row>
    <row r="6368" spans="1:4" x14ac:dyDescent="0.25">
      <c r="A6368" s="384" t="s">
        <v>22524</v>
      </c>
      <c r="B6368" s="384" t="s">
        <v>22525</v>
      </c>
      <c r="C6368" s="384" t="s">
        <v>22515</v>
      </c>
      <c r="D6368" s="385" t="s">
        <v>6080</v>
      </c>
    </row>
    <row r="6369" spans="1:4" x14ac:dyDescent="0.25">
      <c r="A6369" s="384" t="s">
        <v>22526</v>
      </c>
      <c r="B6369" s="384" t="s">
        <v>22527</v>
      </c>
      <c r="C6369" s="384" t="s">
        <v>22515</v>
      </c>
      <c r="D6369" s="385" t="s">
        <v>22528</v>
      </c>
    </row>
    <row r="6370" spans="1:4" x14ac:dyDescent="0.25">
      <c r="A6370" s="384" t="s">
        <v>22529</v>
      </c>
      <c r="B6370" s="384" t="s">
        <v>22530</v>
      </c>
      <c r="C6370" s="384" t="s">
        <v>22515</v>
      </c>
      <c r="D6370" s="385" t="s">
        <v>22531</v>
      </c>
    </row>
    <row r="6371" spans="1:4" x14ac:dyDescent="0.25">
      <c r="A6371" s="384" t="s">
        <v>1170</v>
      </c>
      <c r="B6371" s="384" t="s">
        <v>22532</v>
      </c>
      <c r="C6371" s="384" t="s">
        <v>22515</v>
      </c>
      <c r="D6371" s="385" t="s">
        <v>7476</v>
      </c>
    </row>
    <row r="6372" spans="1:4" x14ac:dyDescent="0.25">
      <c r="A6372" s="384" t="s">
        <v>1172</v>
      </c>
      <c r="B6372" s="384" t="s">
        <v>22533</v>
      </c>
      <c r="C6372" s="384" t="s">
        <v>22515</v>
      </c>
      <c r="D6372" s="385" t="s">
        <v>7280</v>
      </c>
    </row>
    <row r="6373" spans="1:4" x14ac:dyDescent="0.25">
      <c r="A6373" s="384" t="s">
        <v>1173</v>
      </c>
      <c r="B6373" s="384" t="s">
        <v>22534</v>
      </c>
      <c r="C6373" s="384" t="s">
        <v>22515</v>
      </c>
      <c r="D6373" s="385" t="s">
        <v>6531</v>
      </c>
    </row>
    <row r="6374" spans="1:4" x14ac:dyDescent="0.25">
      <c r="A6374" s="384" t="s">
        <v>22535</v>
      </c>
      <c r="B6374" s="384" t="s">
        <v>22536</v>
      </c>
      <c r="C6374" s="384" t="s">
        <v>22537</v>
      </c>
      <c r="D6374" s="385" t="s">
        <v>22538</v>
      </c>
    </row>
    <row r="6375" spans="1:4" x14ac:dyDescent="0.25">
      <c r="A6375" s="384" t="s">
        <v>22539</v>
      </c>
      <c r="B6375" s="384" t="s">
        <v>22540</v>
      </c>
      <c r="C6375" s="384" t="s">
        <v>22537</v>
      </c>
      <c r="D6375" s="385" t="s">
        <v>22541</v>
      </c>
    </row>
    <row r="6376" spans="1:4" x14ac:dyDescent="0.25">
      <c r="A6376" s="384" t="s">
        <v>22542</v>
      </c>
      <c r="B6376" s="384" t="s">
        <v>22543</v>
      </c>
      <c r="C6376" s="384" t="s">
        <v>22537</v>
      </c>
      <c r="D6376" s="385" t="s">
        <v>22544</v>
      </c>
    </row>
    <row r="6377" spans="1:4" x14ac:dyDescent="0.25">
      <c r="A6377" s="384" t="s">
        <v>1175</v>
      </c>
      <c r="B6377" s="384" t="s">
        <v>22545</v>
      </c>
      <c r="C6377" s="384" t="s">
        <v>22546</v>
      </c>
      <c r="D6377" s="385" t="s">
        <v>22547</v>
      </c>
    </row>
    <row r="6378" spans="1:4" x14ac:dyDescent="0.25">
      <c r="A6378" s="384" t="s">
        <v>22548</v>
      </c>
      <c r="B6378" s="384" t="s">
        <v>22549</v>
      </c>
      <c r="C6378" s="384" t="s">
        <v>22546</v>
      </c>
      <c r="D6378" s="385" t="s">
        <v>22550</v>
      </c>
    </row>
    <row r="6379" spans="1:4" x14ac:dyDescent="0.25">
      <c r="A6379" s="384" t="s">
        <v>22551</v>
      </c>
      <c r="B6379" s="384" t="s">
        <v>22552</v>
      </c>
      <c r="C6379" s="384" t="s">
        <v>22546</v>
      </c>
      <c r="D6379" s="385" t="s">
        <v>22553</v>
      </c>
    </row>
    <row r="6380" spans="1:4" x14ac:dyDescent="0.25">
      <c r="A6380" s="384" t="s">
        <v>22554</v>
      </c>
      <c r="B6380" s="384" t="s">
        <v>22555</v>
      </c>
      <c r="C6380" s="384" t="s">
        <v>22546</v>
      </c>
      <c r="D6380" s="385" t="s">
        <v>6884</v>
      </c>
    </row>
    <row r="6381" spans="1:4" x14ac:dyDescent="0.25">
      <c r="A6381" s="384" t="s">
        <v>22556</v>
      </c>
      <c r="B6381" s="384" t="s">
        <v>22557</v>
      </c>
      <c r="C6381" s="384" t="s">
        <v>22546</v>
      </c>
      <c r="D6381" s="385" t="s">
        <v>18013</v>
      </c>
    </row>
    <row r="6382" spans="1:4" x14ac:dyDescent="0.25">
      <c r="A6382" s="384" t="s">
        <v>22558</v>
      </c>
      <c r="B6382" s="384" t="s">
        <v>22559</v>
      </c>
      <c r="C6382" s="384" t="s">
        <v>22546</v>
      </c>
      <c r="D6382" s="385" t="s">
        <v>22560</v>
      </c>
    </row>
    <row r="6383" spans="1:4" x14ac:dyDescent="0.25">
      <c r="A6383" s="384" t="s">
        <v>22561</v>
      </c>
      <c r="B6383" s="384" t="s">
        <v>22562</v>
      </c>
      <c r="C6383" s="384" t="s">
        <v>22546</v>
      </c>
      <c r="D6383" s="385" t="s">
        <v>18894</v>
      </c>
    </row>
    <row r="6384" spans="1:4" x14ac:dyDescent="0.25">
      <c r="A6384" s="384" t="s">
        <v>22563</v>
      </c>
      <c r="B6384" s="384" t="s">
        <v>22564</v>
      </c>
      <c r="C6384" s="384" t="s">
        <v>22546</v>
      </c>
      <c r="D6384" s="385" t="s">
        <v>17981</v>
      </c>
    </row>
    <row r="6385" spans="1:4" x14ac:dyDescent="0.25">
      <c r="A6385" s="384" t="s">
        <v>22565</v>
      </c>
      <c r="B6385" s="384" t="s">
        <v>22566</v>
      </c>
      <c r="C6385" s="384" t="s">
        <v>22546</v>
      </c>
      <c r="D6385" s="385" t="s">
        <v>6341</v>
      </c>
    </row>
    <row r="6386" spans="1:4" x14ac:dyDescent="0.25">
      <c r="A6386" s="384" t="s">
        <v>22567</v>
      </c>
      <c r="B6386" s="384" t="s">
        <v>22568</v>
      </c>
      <c r="C6386" s="384" t="s">
        <v>22546</v>
      </c>
      <c r="D6386" s="385" t="s">
        <v>22569</v>
      </c>
    </row>
    <row r="6387" spans="1:4" x14ac:dyDescent="0.25">
      <c r="A6387" s="384" t="s">
        <v>22570</v>
      </c>
      <c r="B6387" s="384" t="s">
        <v>22571</v>
      </c>
      <c r="C6387" s="384" t="s">
        <v>22546</v>
      </c>
      <c r="D6387" s="385" t="s">
        <v>22572</v>
      </c>
    </row>
    <row r="6388" spans="1:4" x14ac:dyDescent="0.25">
      <c r="A6388" s="384" t="s">
        <v>22573</v>
      </c>
      <c r="B6388" s="384" t="s">
        <v>22574</v>
      </c>
      <c r="C6388" s="384" t="s">
        <v>22546</v>
      </c>
      <c r="D6388" s="385" t="s">
        <v>22575</v>
      </c>
    </row>
    <row r="6389" spans="1:4" x14ac:dyDescent="0.25">
      <c r="A6389" s="384" t="s">
        <v>22576</v>
      </c>
      <c r="B6389" s="384" t="s">
        <v>22577</v>
      </c>
      <c r="C6389" s="384" t="s">
        <v>22578</v>
      </c>
      <c r="D6389" s="385" t="s">
        <v>22579</v>
      </c>
    </row>
    <row r="6390" spans="1:4" x14ac:dyDescent="0.25">
      <c r="A6390" s="384" t="s">
        <v>22580</v>
      </c>
      <c r="B6390" s="384" t="s">
        <v>22581</v>
      </c>
      <c r="C6390" s="384" t="s">
        <v>22578</v>
      </c>
      <c r="D6390" s="385" t="s">
        <v>8473</v>
      </c>
    </row>
    <row r="6391" spans="1:4" x14ac:dyDescent="0.25">
      <c r="A6391" s="384" t="s">
        <v>22582</v>
      </c>
      <c r="B6391" s="384" t="s">
        <v>22583</v>
      </c>
      <c r="C6391" s="384" t="s">
        <v>22578</v>
      </c>
      <c r="D6391" s="385" t="s">
        <v>22584</v>
      </c>
    </row>
    <row r="6392" spans="1:4" x14ac:dyDescent="0.25">
      <c r="A6392" s="384" t="s">
        <v>22585</v>
      </c>
      <c r="B6392" s="384" t="s">
        <v>22586</v>
      </c>
      <c r="C6392" s="384" t="s">
        <v>22578</v>
      </c>
      <c r="D6392" s="385" t="s">
        <v>22587</v>
      </c>
    </row>
    <row r="6393" spans="1:4" x14ac:dyDescent="0.25">
      <c r="A6393" s="384" t="s">
        <v>22588</v>
      </c>
      <c r="B6393" s="384" t="s">
        <v>22589</v>
      </c>
      <c r="C6393" s="384" t="s">
        <v>22578</v>
      </c>
      <c r="D6393" s="385" t="s">
        <v>22569</v>
      </c>
    </row>
    <row r="6394" spans="1:4" x14ac:dyDescent="0.25">
      <c r="A6394" s="384" t="s">
        <v>22590</v>
      </c>
      <c r="B6394" s="384" t="s">
        <v>22591</v>
      </c>
      <c r="C6394" s="384" t="s">
        <v>22592</v>
      </c>
      <c r="D6394" s="385" t="s">
        <v>22593</v>
      </c>
    </row>
    <row r="6395" spans="1:4" x14ac:dyDescent="0.25">
      <c r="A6395" s="384" t="s">
        <v>22594</v>
      </c>
      <c r="B6395" s="384" t="s">
        <v>22595</v>
      </c>
      <c r="C6395" s="384" t="s">
        <v>22592</v>
      </c>
      <c r="D6395" s="385" t="s">
        <v>7576</v>
      </c>
    </row>
    <row r="6396" spans="1:4" x14ac:dyDescent="0.25">
      <c r="A6396" s="384" t="s">
        <v>22596</v>
      </c>
      <c r="B6396" s="384" t="s">
        <v>22597</v>
      </c>
      <c r="C6396" s="384" t="s">
        <v>22592</v>
      </c>
      <c r="D6396" s="385" t="s">
        <v>22598</v>
      </c>
    </row>
    <row r="6397" spans="1:4" x14ac:dyDescent="0.25">
      <c r="A6397" s="384" t="s">
        <v>22599</v>
      </c>
      <c r="B6397" s="384" t="s">
        <v>22600</v>
      </c>
      <c r="C6397" s="384" t="s">
        <v>22592</v>
      </c>
      <c r="D6397" s="385" t="s">
        <v>6359</v>
      </c>
    </row>
    <row r="6398" spans="1:4" x14ac:dyDescent="0.25">
      <c r="A6398" s="384" t="s">
        <v>22601</v>
      </c>
      <c r="B6398" s="384" t="s">
        <v>22602</v>
      </c>
      <c r="C6398" s="384" t="s">
        <v>77</v>
      </c>
      <c r="D6398" s="385" t="s">
        <v>7292</v>
      </c>
    </row>
    <row r="6399" spans="1:4" x14ac:dyDescent="0.25">
      <c r="A6399" s="384" t="s">
        <v>22603</v>
      </c>
      <c r="B6399" s="384" t="s">
        <v>22604</v>
      </c>
      <c r="C6399" s="384" t="s">
        <v>77</v>
      </c>
      <c r="D6399" s="385" t="s">
        <v>6630</v>
      </c>
    </row>
    <row r="6400" spans="1:4" x14ac:dyDescent="0.25">
      <c r="A6400" s="384" t="s">
        <v>22605</v>
      </c>
      <c r="B6400" s="384" t="s">
        <v>22606</v>
      </c>
      <c r="C6400" s="384" t="s">
        <v>77</v>
      </c>
      <c r="D6400" s="385" t="s">
        <v>6362</v>
      </c>
    </row>
    <row r="6401" spans="1:4" x14ac:dyDescent="0.25">
      <c r="A6401" s="384" t="s">
        <v>22607</v>
      </c>
      <c r="B6401" s="384" t="s">
        <v>22608</v>
      </c>
      <c r="C6401" s="384" t="s">
        <v>83</v>
      </c>
      <c r="D6401" s="385" t="s">
        <v>5937</v>
      </c>
    </row>
    <row r="6402" spans="1:4" x14ac:dyDescent="0.25">
      <c r="A6402" s="384" t="s">
        <v>22609</v>
      </c>
      <c r="B6402" s="384" t="s">
        <v>22610</v>
      </c>
      <c r="C6402" s="384" t="s">
        <v>83</v>
      </c>
      <c r="D6402" s="385" t="s">
        <v>6750</v>
      </c>
    </row>
    <row r="6403" spans="1:4" x14ac:dyDescent="0.25">
      <c r="A6403" s="384" t="s">
        <v>22611</v>
      </c>
      <c r="B6403" s="384" t="s">
        <v>22612</v>
      </c>
      <c r="C6403" s="384" t="s">
        <v>2884</v>
      </c>
      <c r="D6403" s="385" t="s">
        <v>6961</v>
      </c>
    </row>
    <row r="6404" spans="1:4" x14ac:dyDescent="0.25">
      <c r="A6404" s="384" t="s">
        <v>22613</v>
      </c>
      <c r="B6404" s="384" t="s">
        <v>22614</v>
      </c>
      <c r="C6404" s="384" t="s">
        <v>85</v>
      </c>
      <c r="D6404" s="385" t="s">
        <v>6362</v>
      </c>
    </row>
    <row r="6405" spans="1:4" x14ac:dyDescent="0.25">
      <c r="A6405" s="384" t="s">
        <v>22615</v>
      </c>
      <c r="B6405" s="384" t="s">
        <v>22616</v>
      </c>
      <c r="C6405" s="384" t="s">
        <v>22617</v>
      </c>
      <c r="D6405" s="385" t="s">
        <v>22618</v>
      </c>
    </row>
    <row r="6406" spans="1:4" x14ac:dyDescent="0.25">
      <c r="A6406" s="384" t="s">
        <v>22619</v>
      </c>
      <c r="B6406" s="384" t="s">
        <v>22620</v>
      </c>
      <c r="C6406" s="384" t="s">
        <v>22617</v>
      </c>
      <c r="D6406" s="385" t="s">
        <v>7700</v>
      </c>
    </row>
    <row r="6407" spans="1:4" x14ac:dyDescent="0.25">
      <c r="A6407" s="384" t="s">
        <v>22621</v>
      </c>
      <c r="B6407" s="384" t="s">
        <v>22622</v>
      </c>
      <c r="C6407" s="384" t="s">
        <v>22617</v>
      </c>
      <c r="D6407" s="385" t="s">
        <v>5492</v>
      </c>
    </row>
    <row r="6408" spans="1:4" x14ac:dyDescent="0.25">
      <c r="A6408" s="384" t="s">
        <v>22623</v>
      </c>
      <c r="B6408" s="384" t="s">
        <v>22624</v>
      </c>
      <c r="C6408" s="384" t="s">
        <v>22617</v>
      </c>
      <c r="D6408" s="385" t="s">
        <v>22625</v>
      </c>
    </row>
    <row r="6409" spans="1:4" x14ac:dyDescent="0.25">
      <c r="A6409" s="384" t="s">
        <v>22626</v>
      </c>
      <c r="B6409" s="384" t="s">
        <v>22627</v>
      </c>
      <c r="C6409" s="384" t="s">
        <v>22617</v>
      </c>
      <c r="D6409" s="385" t="s">
        <v>22628</v>
      </c>
    </row>
    <row r="6410" spans="1:4" x14ac:dyDescent="0.25">
      <c r="A6410" s="384" t="s">
        <v>22629</v>
      </c>
      <c r="B6410" s="384" t="s">
        <v>22630</v>
      </c>
      <c r="C6410" s="384" t="s">
        <v>22617</v>
      </c>
      <c r="D6410" s="385" t="s">
        <v>22625</v>
      </c>
    </row>
    <row r="6411" spans="1:4" x14ac:dyDescent="0.25">
      <c r="A6411" s="384" t="s">
        <v>22631</v>
      </c>
      <c r="B6411" s="384" t="s">
        <v>22632</v>
      </c>
      <c r="C6411" s="384" t="s">
        <v>22617</v>
      </c>
      <c r="D6411" s="385" t="s">
        <v>22633</v>
      </c>
    </row>
    <row r="6412" spans="1:4" x14ac:dyDescent="0.25">
      <c r="A6412" s="384" t="s">
        <v>22634</v>
      </c>
      <c r="B6412" s="384" t="s">
        <v>22635</v>
      </c>
      <c r="C6412" s="384" t="s">
        <v>22617</v>
      </c>
      <c r="D6412" s="385" t="s">
        <v>22636</v>
      </c>
    </row>
    <row r="6413" spans="1:4" x14ac:dyDescent="0.25">
      <c r="A6413" s="384" t="s">
        <v>22637</v>
      </c>
      <c r="B6413" s="384" t="s">
        <v>22638</v>
      </c>
      <c r="C6413" s="384" t="s">
        <v>22617</v>
      </c>
      <c r="D6413" s="385" t="s">
        <v>22628</v>
      </c>
    </row>
    <row r="6414" spans="1:4" x14ac:dyDescent="0.25">
      <c r="A6414" s="384" t="s">
        <v>22639</v>
      </c>
      <c r="B6414" s="384" t="s">
        <v>22640</v>
      </c>
      <c r="C6414" s="384" t="s">
        <v>22617</v>
      </c>
      <c r="D6414" s="385" t="s">
        <v>21253</v>
      </c>
    </row>
    <row r="6415" spans="1:4" x14ac:dyDescent="0.25">
      <c r="A6415" s="384" t="s">
        <v>22641</v>
      </c>
      <c r="B6415" s="384" t="s">
        <v>22642</v>
      </c>
      <c r="C6415" s="384" t="s">
        <v>22617</v>
      </c>
      <c r="D6415" s="385" t="s">
        <v>6448</v>
      </c>
    </row>
    <row r="6416" spans="1:4" x14ac:dyDescent="0.25">
      <c r="A6416" s="384" t="s">
        <v>22643</v>
      </c>
      <c r="B6416" s="384" t="s">
        <v>22644</v>
      </c>
      <c r="C6416" s="384" t="s">
        <v>22617</v>
      </c>
      <c r="D6416" s="385" t="s">
        <v>7700</v>
      </c>
    </row>
    <row r="6417" spans="1:4" x14ac:dyDescent="0.25">
      <c r="A6417" s="384" t="s">
        <v>22645</v>
      </c>
      <c r="B6417" s="384" t="s">
        <v>22646</v>
      </c>
      <c r="C6417" s="384" t="s">
        <v>22617</v>
      </c>
      <c r="D6417" s="385" t="s">
        <v>15657</v>
      </c>
    </row>
    <row r="6418" spans="1:4" x14ac:dyDescent="0.25">
      <c r="A6418" s="384" t="s">
        <v>22647</v>
      </c>
      <c r="B6418" s="384" t="s">
        <v>22648</v>
      </c>
      <c r="C6418" s="384" t="s">
        <v>22617</v>
      </c>
      <c r="D6418" s="385" t="s">
        <v>6448</v>
      </c>
    </row>
    <row r="6419" spans="1:4" x14ac:dyDescent="0.25">
      <c r="A6419" s="384" t="s">
        <v>22649</v>
      </c>
      <c r="B6419" s="384" t="s">
        <v>22650</v>
      </c>
      <c r="C6419" s="384" t="s">
        <v>22617</v>
      </c>
      <c r="D6419" s="385" t="s">
        <v>18883</v>
      </c>
    </row>
    <row r="6420" spans="1:4" x14ac:dyDescent="0.25">
      <c r="A6420" s="384" t="s">
        <v>22651</v>
      </c>
      <c r="B6420" s="384" t="s">
        <v>22652</v>
      </c>
      <c r="C6420" s="384" t="s">
        <v>22617</v>
      </c>
      <c r="D6420" s="385" t="s">
        <v>15657</v>
      </c>
    </row>
    <row r="6421" spans="1:4" x14ac:dyDescent="0.25">
      <c r="A6421" s="384" t="s">
        <v>22653</v>
      </c>
      <c r="B6421" s="384" t="s">
        <v>22654</v>
      </c>
      <c r="C6421" s="384" t="s">
        <v>22617</v>
      </c>
      <c r="D6421" s="385" t="s">
        <v>22633</v>
      </c>
    </row>
    <row r="6422" spans="1:4" x14ac:dyDescent="0.25">
      <c r="A6422" s="384" t="s">
        <v>22655</v>
      </c>
      <c r="B6422" s="384" t="s">
        <v>22656</v>
      </c>
      <c r="C6422" s="384" t="s">
        <v>22617</v>
      </c>
      <c r="D6422" s="385" t="s">
        <v>22657</v>
      </c>
    </row>
    <row r="6423" spans="1:4" x14ac:dyDescent="0.25">
      <c r="A6423" s="384" t="s">
        <v>22658</v>
      </c>
      <c r="B6423" s="384" t="s">
        <v>22659</v>
      </c>
      <c r="C6423" s="384" t="s">
        <v>22617</v>
      </c>
      <c r="D6423" s="385" t="s">
        <v>22660</v>
      </c>
    </row>
    <row r="6424" spans="1:4" x14ac:dyDescent="0.25">
      <c r="A6424" s="384" t="s">
        <v>22661</v>
      </c>
      <c r="B6424" s="384" t="s">
        <v>22662</v>
      </c>
      <c r="C6424" s="384" t="s">
        <v>22617</v>
      </c>
      <c r="D6424" s="385" t="s">
        <v>22663</v>
      </c>
    </row>
    <row r="6425" spans="1:4" x14ac:dyDescent="0.25">
      <c r="A6425" s="384" t="s">
        <v>22664</v>
      </c>
      <c r="B6425" s="384" t="s">
        <v>22665</v>
      </c>
      <c r="C6425" s="384" t="s">
        <v>22617</v>
      </c>
      <c r="D6425" s="385" t="s">
        <v>22666</v>
      </c>
    </row>
    <row r="6426" spans="1:4" x14ac:dyDescent="0.25">
      <c r="A6426" s="384" t="s">
        <v>22667</v>
      </c>
      <c r="B6426" s="384" t="s">
        <v>22668</v>
      </c>
      <c r="C6426" s="384" t="s">
        <v>22617</v>
      </c>
      <c r="D6426" s="385" t="s">
        <v>5492</v>
      </c>
    </row>
    <row r="6427" spans="1:4" x14ac:dyDescent="0.25">
      <c r="A6427" s="384" t="s">
        <v>22669</v>
      </c>
      <c r="B6427" s="384" t="s">
        <v>22670</v>
      </c>
      <c r="C6427" s="384" t="s">
        <v>22617</v>
      </c>
      <c r="D6427" s="385" t="s">
        <v>22663</v>
      </c>
    </row>
    <row r="6428" spans="1:4" x14ac:dyDescent="0.25">
      <c r="A6428" s="384" t="s">
        <v>22671</v>
      </c>
      <c r="B6428" s="384" t="s">
        <v>22672</v>
      </c>
      <c r="C6428" s="384" t="s">
        <v>22617</v>
      </c>
      <c r="D6428" s="385" t="s">
        <v>22657</v>
      </c>
    </row>
    <row r="6429" spans="1:4" x14ac:dyDescent="0.25">
      <c r="A6429" s="384" t="s">
        <v>22673</v>
      </c>
      <c r="B6429" s="384" t="s">
        <v>22674</v>
      </c>
      <c r="C6429" s="384" t="s">
        <v>22515</v>
      </c>
      <c r="D6429" s="385" t="s">
        <v>22675</v>
      </c>
    </row>
    <row r="6430" spans="1:4" x14ac:dyDescent="0.25">
      <c r="A6430" s="384" t="s">
        <v>22676</v>
      </c>
      <c r="B6430" s="384" t="s">
        <v>22677</v>
      </c>
      <c r="C6430" s="384" t="s">
        <v>22515</v>
      </c>
      <c r="D6430" s="385" t="s">
        <v>21089</v>
      </c>
    </row>
    <row r="6431" spans="1:4" x14ac:dyDescent="0.25">
      <c r="A6431" s="384" t="s">
        <v>22678</v>
      </c>
      <c r="B6431" s="384" t="s">
        <v>22679</v>
      </c>
      <c r="C6431" s="384" t="s">
        <v>22515</v>
      </c>
      <c r="D6431" s="385" t="s">
        <v>22680</v>
      </c>
    </row>
    <row r="6432" spans="1:4" x14ac:dyDescent="0.25">
      <c r="A6432" s="384" t="s">
        <v>22681</v>
      </c>
      <c r="B6432" s="384" t="s">
        <v>22682</v>
      </c>
      <c r="C6432" s="384" t="s">
        <v>22515</v>
      </c>
      <c r="D6432" s="385" t="s">
        <v>5508</v>
      </c>
    </row>
    <row r="6433" spans="1:4" x14ac:dyDescent="0.25">
      <c r="A6433" s="384" t="s">
        <v>22683</v>
      </c>
      <c r="B6433" s="384" t="s">
        <v>22684</v>
      </c>
      <c r="C6433" s="384" t="s">
        <v>22578</v>
      </c>
      <c r="D6433" s="385" t="s">
        <v>22685</v>
      </c>
    </row>
    <row r="6434" spans="1:4" x14ac:dyDescent="0.25">
      <c r="A6434" s="384" t="s">
        <v>22686</v>
      </c>
      <c r="B6434" s="384" t="s">
        <v>22687</v>
      </c>
      <c r="C6434" s="384" t="s">
        <v>2884</v>
      </c>
      <c r="D6434" s="385" t="s">
        <v>6139</v>
      </c>
    </row>
    <row r="6435" spans="1:4" x14ac:dyDescent="0.25">
      <c r="A6435" s="384" t="s">
        <v>22688</v>
      </c>
      <c r="B6435" s="384" t="s">
        <v>22689</v>
      </c>
      <c r="C6435" s="384" t="s">
        <v>22546</v>
      </c>
      <c r="D6435" s="385" t="s">
        <v>22690</v>
      </c>
    </row>
    <row r="6436" spans="1:4" x14ac:dyDescent="0.25">
      <c r="A6436" s="384" t="s">
        <v>22691</v>
      </c>
      <c r="B6436" s="384" t="s">
        <v>22692</v>
      </c>
      <c r="C6436" s="384" t="s">
        <v>83</v>
      </c>
      <c r="D6436" s="385" t="s">
        <v>7150</v>
      </c>
    </row>
    <row r="6437" spans="1:4" x14ac:dyDescent="0.25">
      <c r="A6437" s="384" t="s">
        <v>22693</v>
      </c>
      <c r="B6437" s="384" t="s">
        <v>22694</v>
      </c>
      <c r="C6437" s="384" t="s">
        <v>22546</v>
      </c>
      <c r="D6437" s="385" t="s">
        <v>22690</v>
      </c>
    </row>
    <row r="6438" spans="1:4" x14ac:dyDescent="0.25">
      <c r="A6438" s="384" t="s">
        <v>22695</v>
      </c>
      <c r="B6438" s="384" t="s">
        <v>22696</v>
      </c>
      <c r="C6438" s="384" t="s">
        <v>83</v>
      </c>
      <c r="D6438" s="385" t="s">
        <v>7150</v>
      </c>
    </row>
    <row r="6439" spans="1:4" x14ac:dyDescent="0.25">
      <c r="A6439" s="384" t="s">
        <v>22697</v>
      </c>
      <c r="B6439" s="384" t="s">
        <v>22698</v>
      </c>
      <c r="C6439" s="384" t="s">
        <v>22546</v>
      </c>
      <c r="D6439" s="385" t="s">
        <v>22699</v>
      </c>
    </row>
    <row r="6440" spans="1:4" x14ac:dyDescent="0.25">
      <c r="A6440" s="384" t="s">
        <v>22700</v>
      </c>
      <c r="B6440" s="384" t="s">
        <v>22701</v>
      </c>
      <c r="C6440" s="384" t="s">
        <v>22578</v>
      </c>
      <c r="D6440" s="385" t="s">
        <v>22702</v>
      </c>
    </row>
    <row r="6441" spans="1:4" x14ac:dyDescent="0.25">
      <c r="A6441" s="384" t="s">
        <v>22703</v>
      </c>
      <c r="B6441" s="384" t="s">
        <v>22704</v>
      </c>
      <c r="C6441" s="384" t="s">
        <v>2884</v>
      </c>
      <c r="D6441" s="385" t="s">
        <v>6065</v>
      </c>
    </row>
    <row r="6442" spans="1:4" x14ac:dyDescent="0.25">
      <c r="A6442" s="384" t="s">
        <v>22705</v>
      </c>
      <c r="B6442" s="384" t="s">
        <v>22706</v>
      </c>
      <c r="C6442" s="384" t="s">
        <v>22515</v>
      </c>
      <c r="D6442" s="385" t="s">
        <v>6320</v>
      </c>
    </row>
    <row r="6443" spans="1:4" x14ac:dyDescent="0.25">
      <c r="A6443" s="384" t="s">
        <v>22707</v>
      </c>
      <c r="B6443" s="384" t="s">
        <v>22708</v>
      </c>
      <c r="C6443" s="384" t="s">
        <v>22578</v>
      </c>
      <c r="D6443" s="385" t="s">
        <v>22709</v>
      </c>
    </row>
    <row r="6444" spans="1:4" x14ac:dyDescent="0.25">
      <c r="A6444" s="384" t="s">
        <v>22710</v>
      </c>
      <c r="B6444" s="384" t="s">
        <v>22711</v>
      </c>
      <c r="C6444" s="384" t="s">
        <v>22578</v>
      </c>
      <c r="D6444" s="385" t="s">
        <v>19725</v>
      </c>
    </row>
    <row r="6445" spans="1:4" x14ac:dyDescent="0.25">
      <c r="A6445" s="384" t="s">
        <v>22712</v>
      </c>
      <c r="B6445" s="384" t="s">
        <v>22713</v>
      </c>
      <c r="C6445" s="384" t="s">
        <v>22578</v>
      </c>
      <c r="D6445" s="385" t="s">
        <v>6231</v>
      </c>
    </row>
    <row r="6446" spans="1:4" x14ac:dyDescent="0.25">
      <c r="A6446" s="384" t="s">
        <v>22714</v>
      </c>
      <c r="B6446" s="384" t="s">
        <v>22715</v>
      </c>
      <c r="C6446" s="384" t="s">
        <v>22578</v>
      </c>
      <c r="D6446" s="385" t="s">
        <v>22716</v>
      </c>
    </row>
    <row r="6447" spans="1:4" x14ac:dyDescent="0.25">
      <c r="A6447" s="384" t="s">
        <v>22717</v>
      </c>
      <c r="B6447" s="384" t="s">
        <v>22718</v>
      </c>
      <c r="C6447" s="384" t="s">
        <v>22546</v>
      </c>
      <c r="D6447" s="385" t="s">
        <v>14557</v>
      </c>
    </row>
    <row r="6448" spans="1:4" x14ac:dyDescent="0.25">
      <c r="A6448" s="384" t="s">
        <v>22719</v>
      </c>
      <c r="B6448" s="384" t="s">
        <v>22720</v>
      </c>
      <c r="C6448" s="384" t="s">
        <v>83</v>
      </c>
      <c r="D6448" s="385" t="s">
        <v>7446</v>
      </c>
    </row>
    <row r="6449" spans="1:4" x14ac:dyDescent="0.25">
      <c r="A6449" s="384" t="s">
        <v>22721</v>
      </c>
      <c r="B6449" s="384" t="s">
        <v>22722</v>
      </c>
      <c r="C6449" s="384" t="s">
        <v>22546</v>
      </c>
      <c r="D6449" s="385" t="s">
        <v>12828</v>
      </c>
    </row>
    <row r="6450" spans="1:4" x14ac:dyDescent="0.25">
      <c r="A6450" s="384" t="s">
        <v>22723</v>
      </c>
      <c r="B6450" s="384" t="s">
        <v>22724</v>
      </c>
      <c r="C6450" s="384" t="s">
        <v>22546</v>
      </c>
      <c r="D6450" s="385" t="s">
        <v>22725</v>
      </c>
    </row>
    <row r="6451" spans="1:4" x14ac:dyDescent="0.25">
      <c r="A6451" s="384" t="s">
        <v>22726</v>
      </c>
      <c r="B6451" s="384" t="s">
        <v>22727</v>
      </c>
      <c r="C6451" s="384" t="s">
        <v>22578</v>
      </c>
      <c r="D6451" s="385" t="s">
        <v>22728</v>
      </c>
    </row>
    <row r="6452" spans="1:4" x14ac:dyDescent="0.25">
      <c r="A6452" s="384" t="s">
        <v>22729</v>
      </c>
      <c r="B6452" s="384" t="s">
        <v>22730</v>
      </c>
      <c r="C6452" s="384" t="s">
        <v>22578</v>
      </c>
      <c r="D6452" s="385" t="s">
        <v>17025</v>
      </c>
    </row>
    <row r="6453" spans="1:4" x14ac:dyDescent="0.25">
      <c r="A6453" s="384" t="s">
        <v>22731</v>
      </c>
      <c r="B6453" s="384" t="s">
        <v>22732</v>
      </c>
      <c r="C6453" s="384" t="s">
        <v>22578</v>
      </c>
      <c r="D6453" s="385" t="s">
        <v>22733</v>
      </c>
    </row>
    <row r="6454" spans="1:4" x14ac:dyDescent="0.25">
      <c r="A6454" s="384" t="s">
        <v>22734</v>
      </c>
      <c r="B6454" s="384" t="s">
        <v>22735</v>
      </c>
      <c r="C6454" s="384" t="s">
        <v>22617</v>
      </c>
      <c r="D6454" s="385" t="s">
        <v>22736</v>
      </c>
    </row>
    <row r="6455" spans="1:4" x14ac:dyDescent="0.25">
      <c r="A6455" s="384" t="s">
        <v>22737</v>
      </c>
      <c r="B6455" s="384" t="s">
        <v>22738</v>
      </c>
      <c r="C6455" s="384" t="s">
        <v>22617</v>
      </c>
      <c r="D6455" s="385" t="s">
        <v>22739</v>
      </c>
    </row>
    <row r="6456" spans="1:4" x14ac:dyDescent="0.25">
      <c r="A6456" s="384" t="s">
        <v>22740</v>
      </c>
      <c r="B6456" s="384" t="s">
        <v>22741</v>
      </c>
      <c r="C6456" s="384" t="s">
        <v>22617</v>
      </c>
      <c r="D6456" s="385" t="s">
        <v>15657</v>
      </c>
    </row>
    <row r="6457" spans="1:4" x14ac:dyDescent="0.25">
      <c r="A6457" s="384" t="s">
        <v>22742</v>
      </c>
      <c r="B6457" s="384" t="s">
        <v>22743</v>
      </c>
      <c r="C6457" s="384" t="s">
        <v>2884</v>
      </c>
      <c r="D6457" s="385" t="s">
        <v>6514</v>
      </c>
    </row>
    <row r="6458" spans="1:4" x14ac:dyDescent="0.25">
      <c r="A6458" s="384" t="s">
        <v>22744</v>
      </c>
      <c r="B6458" s="384" t="s">
        <v>22745</v>
      </c>
      <c r="C6458" s="384" t="s">
        <v>2884</v>
      </c>
      <c r="D6458" s="385" t="s">
        <v>22746</v>
      </c>
    </row>
    <row r="6459" spans="1:4" x14ac:dyDescent="0.25">
      <c r="A6459" s="384" t="s">
        <v>22747</v>
      </c>
      <c r="B6459" s="384" t="s">
        <v>22748</v>
      </c>
      <c r="C6459" s="384" t="s">
        <v>2884</v>
      </c>
      <c r="D6459" s="385" t="s">
        <v>15098</v>
      </c>
    </row>
    <row r="6460" spans="1:4" x14ac:dyDescent="0.25">
      <c r="A6460" s="384" t="s">
        <v>22749</v>
      </c>
      <c r="B6460" s="384" t="s">
        <v>22750</v>
      </c>
      <c r="C6460" s="384" t="s">
        <v>2884</v>
      </c>
      <c r="D6460" s="385" t="s">
        <v>22751</v>
      </c>
    </row>
    <row r="6461" spans="1:4" x14ac:dyDescent="0.25">
      <c r="A6461" s="384" t="s">
        <v>22752</v>
      </c>
      <c r="B6461" s="384" t="s">
        <v>22753</v>
      </c>
      <c r="C6461" s="384" t="s">
        <v>2884</v>
      </c>
      <c r="D6461" s="385" t="s">
        <v>22754</v>
      </c>
    </row>
    <row r="6462" spans="1:4" x14ac:dyDescent="0.25">
      <c r="A6462" s="384" t="s">
        <v>22755</v>
      </c>
      <c r="B6462" s="384" t="s">
        <v>22756</v>
      </c>
      <c r="C6462" s="384" t="s">
        <v>2884</v>
      </c>
      <c r="D6462" s="385" t="s">
        <v>22757</v>
      </c>
    </row>
    <row r="6463" spans="1:4" x14ac:dyDescent="0.25">
      <c r="A6463" s="384" t="s">
        <v>22758</v>
      </c>
      <c r="B6463" s="384" t="s">
        <v>22759</v>
      </c>
      <c r="C6463" s="384" t="s">
        <v>2884</v>
      </c>
      <c r="D6463" s="385" t="s">
        <v>22760</v>
      </c>
    </row>
    <row r="6464" spans="1:4" x14ac:dyDescent="0.25">
      <c r="A6464" s="384" t="s">
        <v>22761</v>
      </c>
      <c r="B6464" s="384" t="s">
        <v>22762</v>
      </c>
      <c r="C6464" s="384" t="s">
        <v>2884</v>
      </c>
      <c r="D6464" s="385" t="s">
        <v>18992</v>
      </c>
    </row>
    <row r="6465" spans="1:4" x14ac:dyDescent="0.25">
      <c r="A6465" s="384" t="s">
        <v>22763</v>
      </c>
      <c r="B6465" s="384" t="s">
        <v>22764</v>
      </c>
      <c r="C6465" s="384" t="s">
        <v>2884</v>
      </c>
      <c r="D6465" s="385" t="s">
        <v>22765</v>
      </c>
    </row>
    <row r="6466" spans="1:4" x14ac:dyDescent="0.25">
      <c r="A6466" s="384" t="s">
        <v>22766</v>
      </c>
      <c r="B6466" s="384" t="s">
        <v>22767</v>
      </c>
      <c r="C6466" s="384" t="s">
        <v>2884</v>
      </c>
      <c r="D6466" s="385" t="s">
        <v>22768</v>
      </c>
    </row>
    <row r="6467" spans="1:4" x14ac:dyDescent="0.25">
      <c r="A6467" s="384" t="s">
        <v>22769</v>
      </c>
      <c r="B6467" s="384" t="s">
        <v>22770</v>
      </c>
      <c r="C6467" s="384" t="s">
        <v>2884</v>
      </c>
      <c r="D6467" s="385" t="s">
        <v>22771</v>
      </c>
    </row>
    <row r="6468" spans="1:4" x14ac:dyDescent="0.25">
      <c r="A6468" s="384" t="s">
        <v>22772</v>
      </c>
      <c r="B6468" s="384" t="s">
        <v>22773</v>
      </c>
      <c r="C6468" s="384" t="s">
        <v>2884</v>
      </c>
      <c r="D6468" s="385" t="s">
        <v>6341</v>
      </c>
    </row>
    <row r="6469" spans="1:4" x14ac:dyDescent="0.25">
      <c r="A6469" s="384" t="s">
        <v>22774</v>
      </c>
      <c r="B6469" s="384" t="s">
        <v>22775</v>
      </c>
      <c r="C6469" s="384" t="s">
        <v>2884</v>
      </c>
      <c r="D6469" s="385" t="s">
        <v>7068</v>
      </c>
    </row>
    <row r="6470" spans="1:4" x14ac:dyDescent="0.25">
      <c r="A6470" s="384" t="s">
        <v>22776</v>
      </c>
      <c r="B6470" s="384" t="s">
        <v>22777</v>
      </c>
      <c r="C6470" s="384" t="s">
        <v>83</v>
      </c>
      <c r="D6470" s="385" t="s">
        <v>22778</v>
      </c>
    </row>
    <row r="6471" spans="1:4" x14ac:dyDescent="0.25">
      <c r="A6471" s="384" t="s">
        <v>22779</v>
      </c>
      <c r="B6471" s="384" t="s">
        <v>22780</v>
      </c>
      <c r="C6471" s="384" t="s">
        <v>83</v>
      </c>
      <c r="D6471" s="385" t="s">
        <v>14994</v>
      </c>
    </row>
    <row r="6472" spans="1:4" x14ac:dyDescent="0.25">
      <c r="A6472" s="384" t="s">
        <v>22781</v>
      </c>
      <c r="B6472" s="384" t="s">
        <v>22782</v>
      </c>
      <c r="C6472" s="384" t="s">
        <v>83</v>
      </c>
      <c r="D6472" s="385" t="s">
        <v>12229</v>
      </c>
    </row>
    <row r="6473" spans="1:4" x14ac:dyDescent="0.25">
      <c r="A6473" s="384" t="s">
        <v>22783</v>
      </c>
      <c r="B6473" s="384" t="s">
        <v>22784</v>
      </c>
      <c r="C6473" s="384" t="s">
        <v>83</v>
      </c>
      <c r="D6473" s="385" t="s">
        <v>12229</v>
      </c>
    </row>
    <row r="6474" spans="1:4" x14ac:dyDescent="0.25">
      <c r="A6474" s="384" t="s">
        <v>22785</v>
      </c>
      <c r="B6474" s="384" t="s">
        <v>22786</v>
      </c>
      <c r="C6474" s="384" t="s">
        <v>2884</v>
      </c>
      <c r="D6474" s="385" t="s">
        <v>15052</v>
      </c>
    </row>
    <row r="6475" spans="1:4" x14ac:dyDescent="0.25">
      <c r="A6475" s="384" t="s">
        <v>22787</v>
      </c>
      <c r="B6475" s="384" t="s">
        <v>22788</v>
      </c>
      <c r="C6475" s="384" t="s">
        <v>2884</v>
      </c>
      <c r="D6475" s="385" t="s">
        <v>22789</v>
      </c>
    </row>
    <row r="6476" spans="1:4" x14ac:dyDescent="0.25">
      <c r="A6476" s="384" t="s">
        <v>22790</v>
      </c>
      <c r="B6476" s="384" t="s">
        <v>22791</v>
      </c>
      <c r="C6476" s="384" t="s">
        <v>2884</v>
      </c>
      <c r="D6476" s="385" t="s">
        <v>22792</v>
      </c>
    </row>
    <row r="6477" spans="1:4" x14ac:dyDescent="0.25">
      <c r="A6477" s="384" t="s">
        <v>22793</v>
      </c>
      <c r="B6477" s="384" t="s">
        <v>22794</v>
      </c>
      <c r="C6477" s="384" t="s">
        <v>2884</v>
      </c>
      <c r="D6477" s="385" t="s">
        <v>22598</v>
      </c>
    </row>
    <row r="6478" spans="1:4" x14ac:dyDescent="0.25">
      <c r="A6478" s="384" t="s">
        <v>22795</v>
      </c>
      <c r="B6478" s="384" t="s">
        <v>22796</v>
      </c>
      <c r="C6478" s="384" t="s">
        <v>2884</v>
      </c>
      <c r="D6478" s="385" t="s">
        <v>5559</v>
      </c>
    </row>
    <row r="6479" spans="1:4" x14ac:dyDescent="0.25">
      <c r="A6479" s="384" t="s">
        <v>22797</v>
      </c>
      <c r="B6479" s="384" t="s">
        <v>22798</v>
      </c>
      <c r="C6479" s="384" t="s">
        <v>2884</v>
      </c>
      <c r="D6479" s="385" t="s">
        <v>20487</v>
      </c>
    </row>
    <row r="6480" spans="1:4" x14ac:dyDescent="0.25">
      <c r="A6480" s="384" t="s">
        <v>22799</v>
      </c>
      <c r="B6480" s="384" t="s">
        <v>22800</v>
      </c>
      <c r="C6480" s="384" t="s">
        <v>2884</v>
      </c>
      <c r="D6480" s="385" t="s">
        <v>10491</v>
      </c>
    </row>
    <row r="6481" spans="1:4" x14ac:dyDescent="0.25">
      <c r="A6481" s="384" t="s">
        <v>22801</v>
      </c>
      <c r="B6481" s="384" t="s">
        <v>22802</v>
      </c>
      <c r="C6481" s="384" t="s">
        <v>2884</v>
      </c>
      <c r="D6481" s="385" t="s">
        <v>4769</v>
      </c>
    </row>
    <row r="6482" spans="1:4" x14ac:dyDescent="0.25">
      <c r="A6482" s="384" t="s">
        <v>22803</v>
      </c>
      <c r="B6482" s="384" t="s">
        <v>22804</v>
      </c>
      <c r="C6482" s="384" t="s">
        <v>82</v>
      </c>
      <c r="D6482" s="385" t="s">
        <v>22805</v>
      </c>
    </row>
    <row r="6483" spans="1:4" x14ac:dyDescent="0.25">
      <c r="A6483" s="384" t="s">
        <v>22806</v>
      </c>
      <c r="B6483" s="384" t="s">
        <v>22807</v>
      </c>
      <c r="C6483" s="384" t="s">
        <v>82</v>
      </c>
      <c r="D6483" s="385" t="s">
        <v>22808</v>
      </c>
    </row>
    <row r="6484" spans="1:4" x14ac:dyDescent="0.25">
      <c r="A6484" s="384" t="s">
        <v>22809</v>
      </c>
      <c r="B6484" s="384" t="s">
        <v>22810</v>
      </c>
      <c r="C6484" s="384" t="s">
        <v>82</v>
      </c>
      <c r="D6484" s="385" t="s">
        <v>11787</v>
      </c>
    </row>
    <row r="6485" spans="1:4" x14ac:dyDescent="0.25">
      <c r="A6485" s="384" t="s">
        <v>22811</v>
      </c>
      <c r="B6485" s="384" t="s">
        <v>22812</v>
      </c>
      <c r="C6485" s="384" t="s">
        <v>82</v>
      </c>
      <c r="D6485" s="385" t="s">
        <v>22813</v>
      </c>
    </row>
    <row r="6486" spans="1:4" x14ac:dyDescent="0.25">
      <c r="A6486" s="384" t="s">
        <v>22814</v>
      </c>
      <c r="B6486" s="384" t="s">
        <v>22815</v>
      </c>
      <c r="C6486" s="384" t="s">
        <v>82</v>
      </c>
      <c r="D6486" s="385" t="s">
        <v>22816</v>
      </c>
    </row>
    <row r="6487" spans="1:4" x14ac:dyDescent="0.25">
      <c r="A6487" s="384" t="s">
        <v>22817</v>
      </c>
      <c r="B6487" s="384" t="s">
        <v>22818</v>
      </c>
      <c r="C6487" s="384" t="s">
        <v>82</v>
      </c>
      <c r="D6487" s="385" t="s">
        <v>5096</v>
      </c>
    </row>
    <row r="6488" spans="1:4" x14ac:dyDescent="0.25">
      <c r="A6488" s="384" t="s">
        <v>22819</v>
      </c>
      <c r="B6488" s="384" t="s">
        <v>22820</v>
      </c>
      <c r="C6488" s="384" t="s">
        <v>82</v>
      </c>
      <c r="D6488" s="385" t="s">
        <v>22821</v>
      </c>
    </row>
    <row r="6489" spans="1:4" x14ac:dyDescent="0.25">
      <c r="A6489" s="384" t="s">
        <v>22822</v>
      </c>
      <c r="B6489" s="384" t="s">
        <v>22823</v>
      </c>
      <c r="C6489" s="384" t="s">
        <v>82</v>
      </c>
      <c r="D6489" s="385" t="s">
        <v>9425</v>
      </c>
    </row>
    <row r="6490" spans="1:4" x14ac:dyDescent="0.25">
      <c r="A6490" s="384" t="s">
        <v>22824</v>
      </c>
      <c r="B6490" s="384" t="s">
        <v>22825</v>
      </c>
      <c r="C6490" s="384" t="s">
        <v>82</v>
      </c>
      <c r="D6490" s="385" t="s">
        <v>22826</v>
      </c>
    </row>
    <row r="6491" spans="1:4" x14ac:dyDescent="0.25">
      <c r="A6491" s="384" t="s">
        <v>22827</v>
      </c>
      <c r="B6491" s="384" t="s">
        <v>22828</v>
      </c>
      <c r="C6491" s="384" t="s">
        <v>82</v>
      </c>
      <c r="D6491" s="385" t="s">
        <v>22829</v>
      </c>
    </row>
    <row r="6492" spans="1:4" x14ac:dyDescent="0.25">
      <c r="A6492" s="384" t="s">
        <v>22830</v>
      </c>
      <c r="B6492" s="384" t="s">
        <v>22831</v>
      </c>
      <c r="C6492" s="384" t="s">
        <v>82</v>
      </c>
      <c r="D6492" s="385" t="s">
        <v>22832</v>
      </c>
    </row>
    <row r="6493" spans="1:4" x14ac:dyDescent="0.25">
      <c r="A6493" s="384" t="s">
        <v>22833</v>
      </c>
      <c r="B6493" s="384" t="s">
        <v>22834</v>
      </c>
      <c r="C6493" s="384" t="s">
        <v>82</v>
      </c>
      <c r="D6493" s="385" t="s">
        <v>5934</v>
      </c>
    </row>
    <row r="6494" spans="1:4" x14ac:dyDescent="0.25">
      <c r="A6494" s="384" t="s">
        <v>22835</v>
      </c>
      <c r="B6494" s="384" t="s">
        <v>22836</v>
      </c>
      <c r="C6494" s="384" t="s">
        <v>82</v>
      </c>
      <c r="D6494" s="385" t="s">
        <v>22837</v>
      </c>
    </row>
    <row r="6495" spans="1:4" x14ac:dyDescent="0.25">
      <c r="A6495" s="384" t="s">
        <v>22838</v>
      </c>
      <c r="B6495" s="384" t="s">
        <v>22839</v>
      </c>
      <c r="C6495" s="384" t="s">
        <v>2884</v>
      </c>
      <c r="D6495" s="385" t="s">
        <v>22840</v>
      </c>
    </row>
    <row r="6496" spans="1:4" x14ac:dyDescent="0.25">
      <c r="A6496" s="384" t="s">
        <v>22841</v>
      </c>
      <c r="B6496" s="384" t="s">
        <v>22842</v>
      </c>
      <c r="C6496" s="384" t="s">
        <v>2884</v>
      </c>
      <c r="D6496" s="385" t="s">
        <v>4463</v>
      </c>
    </row>
    <row r="6497" spans="1:4" x14ac:dyDescent="0.25">
      <c r="A6497" s="384" t="s">
        <v>22843</v>
      </c>
      <c r="B6497" s="384" t="s">
        <v>22844</v>
      </c>
      <c r="C6497" s="384" t="s">
        <v>2884</v>
      </c>
      <c r="D6497" s="385" t="s">
        <v>22845</v>
      </c>
    </row>
    <row r="6498" spans="1:4" x14ac:dyDescent="0.25">
      <c r="A6498" s="384" t="s">
        <v>22846</v>
      </c>
      <c r="B6498" s="384" t="s">
        <v>22847</v>
      </c>
      <c r="C6498" s="384" t="s">
        <v>2884</v>
      </c>
      <c r="D6498" s="385" t="s">
        <v>22528</v>
      </c>
    </row>
    <row r="6499" spans="1:4" x14ac:dyDescent="0.25">
      <c r="A6499" s="384" t="s">
        <v>22848</v>
      </c>
      <c r="B6499" s="384" t="s">
        <v>22849</v>
      </c>
      <c r="C6499" s="384" t="s">
        <v>2884</v>
      </c>
      <c r="D6499" s="385" t="s">
        <v>7250</v>
      </c>
    </row>
    <row r="6500" spans="1:4" x14ac:dyDescent="0.25">
      <c r="A6500" s="384" t="s">
        <v>22850</v>
      </c>
      <c r="B6500" s="384" t="s">
        <v>22851</v>
      </c>
      <c r="C6500" s="384" t="s">
        <v>2884</v>
      </c>
      <c r="D6500" s="385" t="s">
        <v>6553</v>
      </c>
    </row>
    <row r="6501" spans="1:4" x14ac:dyDescent="0.25">
      <c r="A6501" s="384" t="s">
        <v>22852</v>
      </c>
      <c r="B6501" s="384" t="s">
        <v>22853</v>
      </c>
      <c r="C6501" s="384" t="s">
        <v>83</v>
      </c>
      <c r="D6501" s="385" t="s">
        <v>4832</v>
      </c>
    </row>
    <row r="6502" spans="1:4" x14ac:dyDescent="0.25">
      <c r="A6502" s="384" t="s">
        <v>22854</v>
      </c>
      <c r="B6502" s="384" t="s">
        <v>22855</v>
      </c>
      <c r="C6502" s="384" t="s">
        <v>2884</v>
      </c>
      <c r="D6502" s="385" t="s">
        <v>12885</v>
      </c>
    </row>
    <row r="6503" spans="1:4" x14ac:dyDescent="0.25">
      <c r="A6503" s="384" t="s">
        <v>22856</v>
      </c>
      <c r="B6503" s="384" t="s">
        <v>22857</v>
      </c>
      <c r="C6503" s="384" t="s">
        <v>2884</v>
      </c>
      <c r="D6503" s="385" t="s">
        <v>22858</v>
      </c>
    </row>
    <row r="6504" spans="1:4" x14ac:dyDescent="0.25">
      <c r="A6504" s="384" t="s">
        <v>22859</v>
      </c>
      <c r="B6504" s="384" t="s">
        <v>22860</v>
      </c>
      <c r="C6504" s="384" t="s">
        <v>82</v>
      </c>
      <c r="D6504" s="385" t="s">
        <v>22861</v>
      </c>
    </row>
    <row r="6505" spans="1:4" x14ac:dyDescent="0.25">
      <c r="A6505" s="384" t="s">
        <v>22862</v>
      </c>
      <c r="B6505" s="384" t="s">
        <v>22863</v>
      </c>
      <c r="C6505" s="384" t="s">
        <v>76</v>
      </c>
      <c r="D6505" s="385" t="s">
        <v>6216</v>
      </c>
    </row>
    <row r="6506" spans="1:4" x14ac:dyDescent="0.25">
      <c r="A6506" s="384" t="s">
        <v>22864</v>
      </c>
      <c r="B6506" s="384" t="s">
        <v>22865</v>
      </c>
      <c r="C6506" s="384" t="s">
        <v>2884</v>
      </c>
      <c r="D6506" s="385" t="s">
        <v>22866</v>
      </c>
    </row>
    <row r="6507" spans="1:4" x14ac:dyDescent="0.25">
      <c r="A6507" s="384" t="s">
        <v>22867</v>
      </c>
      <c r="B6507" s="384" t="s">
        <v>22868</v>
      </c>
      <c r="C6507" s="384" t="s">
        <v>82</v>
      </c>
      <c r="D6507" s="385" t="s">
        <v>22869</v>
      </c>
    </row>
    <row r="6508" spans="1:4" x14ac:dyDescent="0.25">
      <c r="A6508" s="384" t="s">
        <v>22870</v>
      </c>
      <c r="B6508" s="384" t="s">
        <v>22871</v>
      </c>
      <c r="C6508" s="384" t="s">
        <v>76</v>
      </c>
      <c r="D6508" s="385" t="s">
        <v>22872</v>
      </c>
    </row>
    <row r="6509" spans="1:4" x14ac:dyDescent="0.25">
      <c r="A6509" s="384" t="s">
        <v>22873</v>
      </c>
      <c r="B6509" s="384" t="s">
        <v>22874</v>
      </c>
      <c r="C6509" s="384" t="s">
        <v>76</v>
      </c>
      <c r="D6509" s="385" t="s">
        <v>22875</v>
      </c>
    </row>
    <row r="6510" spans="1:4" x14ac:dyDescent="0.25">
      <c r="A6510" s="384" t="s">
        <v>22876</v>
      </c>
      <c r="B6510" s="384" t="s">
        <v>22877</v>
      </c>
      <c r="C6510" s="384" t="s">
        <v>76</v>
      </c>
      <c r="D6510" s="385" t="s">
        <v>22878</v>
      </c>
    </row>
    <row r="6511" spans="1:4" x14ac:dyDescent="0.25">
      <c r="A6511" s="384" t="s">
        <v>22879</v>
      </c>
      <c r="B6511" s="384" t="s">
        <v>22880</v>
      </c>
      <c r="C6511" s="384" t="s">
        <v>76</v>
      </c>
      <c r="D6511" s="385" t="s">
        <v>22881</v>
      </c>
    </row>
    <row r="6512" spans="1:4" x14ac:dyDescent="0.25">
      <c r="A6512" s="384" t="s">
        <v>22882</v>
      </c>
      <c r="B6512" s="384" t="s">
        <v>22883</v>
      </c>
      <c r="C6512" s="384" t="s">
        <v>76</v>
      </c>
      <c r="D6512" s="385" t="s">
        <v>7627</v>
      </c>
    </row>
    <row r="6513" spans="1:4" x14ac:dyDescent="0.25">
      <c r="A6513" s="384" t="s">
        <v>22884</v>
      </c>
      <c r="B6513" s="384" t="s">
        <v>22885</v>
      </c>
      <c r="C6513" s="384" t="s">
        <v>76</v>
      </c>
      <c r="D6513" s="385" t="s">
        <v>22886</v>
      </c>
    </row>
    <row r="6514" spans="1:4" x14ac:dyDescent="0.25">
      <c r="A6514" s="384" t="s">
        <v>22887</v>
      </c>
      <c r="B6514" s="384" t="s">
        <v>22888</v>
      </c>
      <c r="C6514" s="384" t="s">
        <v>76</v>
      </c>
      <c r="D6514" s="385" t="s">
        <v>22889</v>
      </c>
    </row>
    <row r="6515" spans="1:4" x14ac:dyDescent="0.25">
      <c r="A6515" s="384" t="s">
        <v>22890</v>
      </c>
      <c r="B6515" s="384" t="s">
        <v>22891</v>
      </c>
      <c r="C6515" s="384" t="s">
        <v>76</v>
      </c>
      <c r="D6515" s="385" t="s">
        <v>22892</v>
      </c>
    </row>
    <row r="6516" spans="1:4" x14ac:dyDescent="0.25">
      <c r="A6516" s="384" t="s">
        <v>22893</v>
      </c>
      <c r="B6516" s="384" t="s">
        <v>22894</v>
      </c>
      <c r="C6516" s="384" t="s">
        <v>76</v>
      </c>
      <c r="D6516" s="385" t="s">
        <v>20171</v>
      </c>
    </row>
    <row r="6517" spans="1:4" x14ac:dyDescent="0.25">
      <c r="A6517" s="384" t="s">
        <v>22895</v>
      </c>
      <c r="B6517" s="384" t="s">
        <v>22896</v>
      </c>
      <c r="C6517" s="384" t="s">
        <v>2884</v>
      </c>
      <c r="D6517" s="385" t="s">
        <v>22680</v>
      </c>
    </row>
    <row r="6518" spans="1:4" x14ac:dyDescent="0.25">
      <c r="A6518" s="384" t="s">
        <v>22897</v>
      </c>
      <c r="B6518" s="384" t="s">
        <v>22898</v>
      </c>
      <c r="C6518" s="384" t="s">
        <v>82</v>
      </c>
      <c r="D6518" s="385" t="s">
        <v>7735</v>
      </c>
    </row>
    <row r="6519" spans="1:4" x14ac:dyDescent="0.25">
      <c r="A6519" s="384" t="s">
        <v>22899</v>
      </c>
      <c r="B6519" s="384" t="s">
        <v>22900</v>
      </c>
      <c r="C6519" s="384" t="s">
        <v>2884</v>
      </c>
      <c r="D6519" s="385" t="s">
        <v>22901</v>
      </c>
    </row>
    <row r="6520" spans="1:4" x14ac:dyDescent="0.25">
      <c r="A6520" s="384" t="s">
        <v>22902</v>
      </c>
      <c r="B6520" s="384" t="s">
        <v>22903</v>
      </c>
      <c r="C6520" s="384" t="s">
        <v>2884</v>
      </c>
      <c r="D6520" s="385" t="s">
        <v>22904</v>
      </c>
    </row>
    <row r="6521" spans="1:4" x14ac:dyDescent="0.25">
      <c r="A6521" s="384" t="s">
        <v>22905</v>
      </c>
      <c r="B6521" s="384" t="s">
        <v>22906</v>
      </c>
      <c r="C6521" s="384" t="s">
        <v>2884</v>
      </c>
      <c r="D6521" s="385" t="s">
        <v>15673</v>
      </c>
    </row>
    <row r="6522" spans="1:4" x14ac:dyDescent="0.25">
      <c r="A6522" s="384" t="s">
        <v>22907</v>
      </c>
      <c r="B6522" s="384" t="s">
        <v>22908</v>
      </c>
      <c r="C6522" s="384" t="s">
        <v>2884</v>
      </c>
      <c r="D6522" s="385" t="s">
        <v>22909</v>
      </c>
    </row>
    <row r="6523" spans="1:4" x14ac:dyDescent="0.25">
      <c r="A6523" s="384" t="s">
        <v>22910</v>
      </c>
      <c r="B6523" s="384" t="s">
        <v>22911</v>
      </c>
      <c r="C6523" s="384" t="s">
        <v>2884</v>
      </c>
      <c r="D6523" s="385" t="s">
        <v>6829</v>
      </c>
    </row>
    <row r="6524" spans="1:4" x14ac:dyDescent="0.25">
      <c r="A6524" s="384" t="s">
        <v>22912</v>
      </c>
      <c r="B6524" s="384" t="s">
        <v>22913</v>
      </c>
      <c r="C6524" s="384" t="s">
        <v>2884</v>
      </c>
      <c r="D6524" s="385" t="s">
        <v>22675</v>
      </c>
    </row>
    <row r="6525" spans="1:4" x14ac:dyDescent="0.25">
      <c r="A6525" s="384" t="s">
        <v>22914</v>
      </c>
      <c r="B6525" s="384" t="s">
        <v>22915</v>
      </c>
      <c r="C6525" s="384" t="s">
        <v>2884</v>
      </c>
      <c r="D6525" s="385" t="s">
        <v>8354</v>
      </c>
    </row>
    <row r="6526" spans="1:4" x14ac:dyDescent="0.25">
      <c r="A6526" s="384" t="s">
        <v>22916</v>
      </c>
      <c r="B6526" s="384" t="s">
        <v>22917</v>
      </c>
      <c r="C6526" s="384" t="s">
        <v>2884</v>
      </c>
      <c r="D6526" s="385" t="s">
        <v>6850</v>
      </c>
    </row>
    <row r="6527" spans="1:4" x14ac:dyDescent="0.25">
      <c r="A6527" s="384" t="s">
        <v>22918</v>
      </c>
      <c r="B6527" s="384" t="s">
        <v>22919</v>
      </c>
      <c r="C6527" s="384" t="s">
        <v>2884</v>
      </c>
      <c r="D6527" s="385" t="s">
        <v>21499</v>
      </c>
    </row>
    <row r="6528" spans="1:4" x14ac:dyDescent="0.25">
      <c r="A6528" s="384" t="s">
        <v>22920</v>
      </c>
      <c r="B6528" s="384" t="s">
        <v>22921</v>
      </c>
      <c r="C6528" s="384" t="s">
        <v>2884</v>
      </c>
      <c r="D6528" s="385" t="s">
        <v>12438</v>
      </c>
    </row>
    <row r="6529" spans="1:4" x14ac:dyDescent="0.25">
      <c r="A6529" s="384" t="s">
        <v>22922</v>
      </c>
      <c r="B6529" s="384" t="s">
        <v>22923</v>
      </c>
      <c r="C6529" s="384" t="s">
        <v>2884</v>
      </c>
      <c r="D6529" s="385" t="s">
        <v>22924</v>
      </c>
    </row>
    <row r="6530" spans="1:4" x14ac:dyDescent="0.25">
      <c r="A6530" s="384" t="s">
        <v>22925</v>
      </c>
      <c r="B6530" s="384" t="s">
        <v>22926</v>
      </c>
      <c r="C6530" s="384" t="s">
        <v>2884</v>
      </c>
      <c r="D6530" s="385" t="s">
        <v>7833</v>
      </c>
    </row>
    <row r="6531" spans="1:4" x14ac:dyDescent="0.25">
      <c r="A6531" s="384" t="s">
        <v>22927</v>
      </c>
      <c r="B6531" s="384" t="s">
        <v>22928</v>
      </c>
      <c r="C6531" s="384" t="s">
        <v>2884</v>
      </c>
      <c r="D6531" s="385" t="s">
        <v>22929</v>
      </c>
    </row>
    <row r="6532" spans="1:4" x14ac:dyDescent="0.25">
      <c r="A6532" s="384" t="s">
        <v>22930</v>
      </c>
      <c r="B6532" s="384" t="s">
        <v>22931</v>
      </c>
      <c r="C6532" s="384" t="s">
        <v>2884</v>
      </c>
      <c r="D6532" s="385" t="s">
        <v>4760</v>
      </c>
    </row>
    <row r="6533" spans="1:4" x14ac:dyDescent="0.25">
      <c r="A6533" s="384" t="s">
        <v>22932</v>
      </c>
      <c r="B6533" s="384" t="s">
        <v>22933</v>
      </c>
      <c r="C6533" s="384" t="s">
        <v>2884</v>
      </c>
      <c r="D6533" s="385" t="s">
        <v>22521</v>
      </c>
    </row>
    <row r="6534" spans="1:4" x14ac:dyDescent="0.25">
      <c r="A6534" s="384" t="s">
        <v>22934</v>
      </c>
      <c r="B6534" s="384" t="s">
        <v>22935</v>
      </c>
      <c r="C6534" s="384" t="s">
        <v>2884</v>
      </c>
      <c r="D6534" s="385" t="s">
        <v>17992</v>
      </c>
    </row>
    <row r="6535" spans="1:4" x14ac:dyDescent="0.25">
      <c r="A6535" s="384" t="s">
        <v>22936</v>
      </c>
      <c r="B6535" s="384" t="s">
        <v>22937</v>
      </c>
      <c r="C6535" s="384" t="s">
        <v>2884</v>
      </c>
      <c r="D6535" s="385" t="s">
        <v>22765</v>
      </c>
    </row>
    <row r="6536" spans="1:4" x14ac:dyDescent="0.25">
      <c r="A6536" s="384" t="s">
        <v>22938</v>
      </c>
      <c r="B6536" s="384" t="s">
        <v>22939</v>
      </c>
      <c r="C6536" s="384" t="s">
        <v>83</v>
      </c>
      <c r="D6536" s="385" t="s">
        <v>22940</v>
      </c>
    </row>
    <row r="6537" spans="1:4" x14ac:dyDescent="0.25">
      <c r="A6537" s="384" t="s">
        <v>22941</v>
      </c>
      <c r="B6537" s="384" t="s">
        <v>22942</v>
      </c>
      <c r="C6537" s="384" t="s">
        <v>83</v>
      </c>
      <c r="D6537" s="385" t="s">
        <v>22943</v>
      </c>
    </row>
    <row r="6538" spans="1:4" x14ac:dyDescent="0.25">
      <c r="A6538" s="384" t="s">
        <v>22944</v>
      </c>
      <c r="B6538" s="384" t="s">
        <v>22945</v>
      </c>
      <c r="C6538" s="384" t="s">
        <v>83</v>
      </c>
      <c r="D6538" s="385" t="s">
        <v>22946</v>
      </c>
    </row>
    <row r="6539" spans="1:4" x14ac:dyDescent="0.25">
      <c r="A6539" s="384" t="s">
        <v>22947</v>
      </c>
      <c r="B6539" s="384" t="s">
        <v>22948</v>
      </c>
      <c r="C6539" s="384" t="s">
        <v>83</v>
      </c>
      <c r="D6539" s="385" t="s">
        <v>22949</v>
      </c>
    </row>
    <row r="6540" spans="1:4" x14ac:dyDescent="0.25">
      <c r="A6540" s="384" t="s">
        <v>22950</v>
      </c>
      <c r="B6540" s="384" t="s">
        <v>22951</v>
      </c>
      <c r="C6540" s="384" t="s">
        <v>2884</v>
      </c>
      <c r="D6540" s="385" t="s">
        <v>15850</v>
      </c>
    </row>
    <row r="6541" spans="1:4" x14ac:dyDescent="0.25">
      <c r="A6541" s="384" t="s">
        <v>22952</v>
      </c>
      <c r="B6541" s="384" t="s">
        <v>22953</v>
      </c>
      <c r="C6541" s="384" t="s">
        <v>83</v>
      </c>
      <c r="D6541" s="385" t="s">
        <v>22954</v>
      </c>
    </row>
    <row r="6542" spans="1:4" x14ac:dyDescent="0.25">
      <c r="A6542" s="384" t="s">
        <v>22955</v>
      </c>
      <c r="B6542" s="384" t="s">
        <v>22956</v>
      </c>
      <c r="C6542" s="384" t="s">
        <v>83</v>
      </c>
      <c r="D6542" s="385" t="s">
        <v>22957</v>
      </c>
    </row>
    <row r="6543" spans="1:4" x14ac:dyDescent="0.25">
      <c r="A6543" s="384" t="s">
        <v>22958</v>
      </c>
      <c r="B6543" s="384" t="s">
        <v>22959</v>
      </c>
      <c r="C6543" s="384" t="s">
        <v>83</v>
      </c>
      <c r="D6543" s="385" t="s">
        <v>22960</v>
      </c>
    </row>
    <row r="6544" spans="1:4" x14ac:dyDescent="0.25">
      <c r="A6544" s="384" t="s">
        <v>22961</v>
      </c>
      <c r="B6544" s="384" t="s">
        <v>22962</v>
      </c>
      <c r="C6544" s="384" t="s">
        <v>83</v>
      </c>
      <c r="D6544" s="385" t="s">
        <v>22963</v>
      </c>
    </row>
    <row r="6545" spans="1:4" x14ac:dyDescent="0.25">
      <c r="A6545" s="384" t="s">
        <v>22964</v>
      </c>
      <c r="B6545" s="384" t="s">
        <v>22965</v>
      </c>
      <c r="C6545" s="384" t="s">
        <v>83</v>
      </c>
      <c r="D6545" s="385" t="s">
        <v>7576</v>
      </c>
    </row>
    <row r="6546" spans="1:4" x14ac:dyDescent="0.25">
      <c r="A6546" s="384" t="s">
        <v>22966</v>
      </c>
      <c r="B6546" s="384" t="s">
        <v>22967</v>
      </c>
      <c r="C6546" s="384" t="s">
        <v>82</v>
      </c>
      <c r="D6546" s="385" t="s">
        <v>7566</v>
      </c>
    </row>
    <row r="6547" spans="1:4" x14ac:dyDescent="0.25">
      <c r="A6547" s="384" t="s">
        <v>22968</v>
      </c>
      <c r="B6547" s="384" t="s">
        <v>22969</v>
      </c>
      <c r="C6547" s="384" t="s">
        <v>82</v>
      </c>
      <c r="D6547" s="385" t="s">
        <v>6522</v>
      </c>
    </row>
    <row r="6548" spans="1:4" x14ac:dyDescent="0.25">
      <c r="A6548" s="384" t="s">
        <v>22970</v>
      </c>
      <c r="B6548" s="384" t="s">
        <v>22971</v>
      </c>
      <c r="C6548" s="384" t="s">
        <v>83</v>
      </c>
      <c r="D6548" s="385" t="s">
        <v>22584</v>
      </c>
    </row>
    <row r="6549" spans="1:4" x14ac:dyDescent="0.25">
      <c r="A6549" s="384" t="s">
        <v>22972</v>
      </c>
      <c r="B6549" s="384" t="s">
        <v>22973</v>
      </c>
      <c r="C6549" s="384" t="s">
        <v>83</v>
      </c>
      <c r="D6549" s="385" t="s">
        <v>6544</v>
      </c>
    </row>
    <row r="6550" spans="1:4" x14ac:dyDescent="0.25">
      <c r="A6550" s="384" t="s">
        <v>22974</v>
      </c>
      <c r="B6550" s="384" t="s">
        <v>22975</v>
      </c>
      <c r="C6550" s="384" t="s">
        <v>83</v>
      </c>
      <c r="D6550" s="385" t="s">
        <v>7226</v>
      </c>
    </row>
    <row r="6551" spans="1:4" x14ac:dyDescent="0.25">
      <c r="A6551" s="384" t="s">
        <v>22976</v>
      </c>
      <c r="B6551" s="384" t="s">
        <v>22977</v>
      </c>
      <c r="C6551" s="384" t="s">
        <v>83</v>
      </c>
      <c r="D6551" s="385" t="s">
        <v>22978</v>
      </c>
    </row>
    <row r="6552" spans="1:4" x14ac:dyDescent="0.25">
      <c r="A6552" s="384" t="s">
        <v>22979</v>
      </c>
      <c r="B6552" s="384" t="s">
        <v>22980</v>
      </c>
      <c r="C6552" s="384" t="s">
        <v>75</v>
      </c>
      <c r="D6552" s="385" t="s">
        <v>22981</v>
      </c>
    </row>
    <row r="6553" spans="1:4" x14ac:dyDescent="0.25">
      <c r="A6553" s="384" t="s">
        <v>22982</v>
      </c>
      <c r="B6553" s="384" t="s">
        <v>22983</v>
      </c>
      <c r="C6553" s="384" t="s">
        <v>83</v>
      </c>
      <c r="D6553" s="385" t="s">
        <v>22584</v>
      </c>
    </row>
    <row r="6554" spans="1:4" x14ac:dyDescent="0.25">
      <c r="A6554" s="384" t="s">
        <v>22984</v>
      </c>
      <c r="B6554" s="384" t="s">
        <v>22985</v>
      </c>
      <c r="C6554" s="384" t="s">
        <v>82</v>
      </c>
      <c r="D6554" s="385" t="s">
        <v>22986</v>
      </c>
    </row>
    <row r="6555" spans="1:4" x14ac:dyDescent="0.25">
      <c r="A6555" s="384" t="s">
        <v>22987</v>
      </c>
      <c r="B6555" s="384" t="s">
        <v>22988</v>
      </c>
      <c r="C6555" s="384" t="s">
        <v>83</v>
      </c>
      <c r="D6555" s="385" t="s">
        <v>22989</v>
      </c>
    </row>
    <row r="6556" spans="1:4" x14ac:dyDescent="0.25">
      <c r="A6556" s="384" t="s">
        <v>22990</v>
      </c>
      <c r="B6556" s="384" t="s">
        <v>22991</v>
      </c>
      <c r="C6556" s="384" t="s">
        <v>83</v>
      </c>
      <c r="D6556" s="385" t="s">
        <v>22992</v>
      </c>
    </row>
    <row r="6557" spans="1:4" x14ac:dyDescent="0.25">
      <c r="A6557" s="384" t="s">
        <v>22993</v>
      </c>
      <c r="B6557" s="384" t="s">
        <v>22994</v>
      </c>
      <c r="C6557" s="384" t="s">
        <v>83</v>
      </c>
      <c r="D6557" s="385" t="s">
        <v>5048</v>
      </c>
    </row>
    <row r="6558" spans="1:4" x14ac:dyDescent="0.25">
      <c r="A6558" s="384" t="s">
        <v>22995</v>
      </c>
      <c r="B6558" s="384" t="s">
        <v>22996</v>
      </c>
      <c r="C6558" s="384" t="s">
        <v>82</v>
      </c>
      <c r="D6558" s="385" t="s">
        <v>22997</v>
      </c>
    </row>
    <row r="6559" spans="1:4" x14ac:dyDescent="0.25">
      <c r="A6559" s="384" t="s">
        <v>22998</v>
      </c>
      <c r="B6559" s="384" t="s">
        <v>22999</v>
      </c>
      <c r="C6559" s="384" t="s">
        <v>82</v>
      </c>
      <c r="D6559" s="385" t="s">
        <v>23000</v>
      </c>
    </row>
    <row r="6560" spans="1:4" x14ac:dyDescent="0.25">
      <c r="A6560" s="384" t="s">
        <v>23001</v>
      </c>
      <c r="B6560" s="384" t="s">
        <v>23002</v>
      </c>
      <c r="C6560" s="384" t="s">
        <v>22537</v>
      </c>
      <c r="D6560" s="385" t="s">
        <v>23003</v>
      </c>
    </row>
    <row r="6561" spans="1:4" x14ac:dyDescent="0.25">
      <c r="A6561" s="384" t="s">
        <v>23004</v>
      </c>
      <c r="B6561" s="384" t="s">
        <v>23005</v>
      </c>
      <c r="C6561" s="384" t="s">
        <v>22537</v>
      </c>
      <c r="D6561" s="385" t="s">
        <v>23006</v>
      </c>
    </row>
    <row r="6562" spans="1:4" x14ac:dyDescent="0.25">
      <c r="A6562" s="384" t="s">
        <v>23007</v>
      </c>
      <c r="B6562" s="384" t="s">
        <v>23008</v>
      </c>
      <c r="C6562" s="384" t="s">
        <v>22537</v>
      </c>
      <c r="D6562" s="385" t="s">
        <v>23009</v>
      </c>
    </row>
    <row r="6563" spans="1:4" x14ac:dyDescent="0.25">
      <c r="A6563" s="384" t="s">
        <v>23010</v>
      </c>
      <c r="B6563" s="384" t="s">
        <v>23011</v>
      </c>
      <c r="C6563" s="384" t="s">
        <v>22537</v>
      </c>
      <c r="D6563" s="385" t="s">
        <v>23012</v>
      </c>
    </row>
    <row r="6564" spans="1:4" x14ac:dyDescent="0.25">
      <c r="A6564" s="384" t="s">
        <v>23013</v>
      </c>
      <c r="B6564" s="384" t="s">
        <v>23014</v>
      </c>
      <c r="C6564" s="384" t="s">
        <v>22537</v>
      </c>
      <c r="D6564" s="385" t="s">
        <v>23015</v>
      </c>
    </row>
    <row r="6565" spans="1:4" x14ac:dyDescent="0.25">
      <c r="A6565" s="384" t="s">
        <v>23016</v>
      </c>
      <c r="B6565" s="384" t="s">
        <v>23017</v>
      </c>
      <c r="C6565" s="384" t="s">
        <v>22537</v>
      </c>
      <c r="D6565" s="385" t="s">
        <v>23018</v>
      </c>
    </row>
    <row r="6566" spans="1:4" x14ac:dyDescent="0.25">
      <c r="A6566" s="384" t="s">
        <v>23019</v>
      </c>
      <c r="B6566" s="384" t="s">
        <v>23020</v>
      </c>
      <c r="C6566" s="384" t="s">
        <v>19736</v>
      </c>
      <c r="D6566" s="385" t="s">
        <v>23021</v>
      </c>
    </row>
    <row r="6567" spans="1:4" x14ac:dyDescent="0.25">
      <c r="A6567" s="384" t="s">
        <v>23022</v>
      </c>
      <c r="B6567" s="384" t="s">
        <v>23023</v>
      </c>
      <c r="C6567" s="384" t="s">
        <v>19736</v>
      </c>
      <c r="D6567" s="385" t="s">
        <v>23024</v>
      </c>
    </row>
    <row r="6568" spans="1:4" x14ac:dyDescent="0.25">
      <c r="A6568" s="384" t="s">
        <v>23025</v>
      </c>
      <c r="B6568" s="384" t="s">
        <v>23026</v>
      </c>
      <c r="C6568" s="384" t="s">
        <v>19736</v>
      </c>
      <c r="D6568" s="385" t="s">
        <v>6147</v>
      </c>
    </row>
    <row r="6569" spans="1:4" x14ac:dyDescent="0.25">
      <c r="A6569" s="384" t="s">
        <v>23027</v>
      </c>
      <c r="B6569" s="384" t="s">
        <v>23028</v>
      </c>
      <c r="C6569" s="384" t="s">
        <v>19736</v>
      </c>
      <c r="D6569" s="385" t="s">
        <v>5952</v>
      </c>
    </row>
    <row r="6570" spans="1:4" x14ac:dyDescent="0.25">
      <c r="A6570" s="384" t="s">
        <v>23029</v>
      </c>
      <c r="B6570" s="384" t="s">
        <v>23030</v>
      </c>
      <c r="C6570" s="384" t="s">
        <v>19736</v>
      </c>
      <c r="D6570" s="385" t="s">
        <v>6544</v>
      </c>
    </row>
    <row r="6571" spans="1:4" x14ac:dyDescent="0.25">
      <c r="A6571" s="384" t="s">
        <v>23031</v>
      </c>
      <c r="B6571" s="384" t="s">
        <v>23032</v>
      </c>
      <c r="C6571" s="384" t="s">
        <v>19736</v>
      </c>
      <c r="D6571" s="385" t="s">
        <v>6961</v>
      </c>
    </row>
    <row r="6572" spans="1:4" x14ac:dyDescent="0.25">
      <c r="A6572" s="384" t="s">
        <v>23033</v>
      </c>
      <c r="B6572" s="384" t="s">
        <v>23034</v>
      </c>
      <c r="C6572" s="384" t="s">
        <v>22537</v>
      </c>
      <c r="D6572" s="385" t="s">
        <v>7330</v>
      </c>
    </row>
    <row r="6573" spans="1:4" x14ac:dyDescent="0.25">
      <c r="A6573" s="384" t="s">
        <v>23035</v>
      </c>
      <c r="B6573" s="384" t="s">
        <v>23036</v>
      </c>
      <c r="C6573" s="384" t="s">
        <v>22537</v>
      </c>
      <c r="D6573" s="385" t="s">
        <v>22789</v>
      </c>
    </row>
    <row r="6574" spans="1:4" x14ac:dyDescent="0.25">
      <c r="A6574" s="384" t="s">
        <v>23037</v>
      </c>
      <c r="B6574" s="384" t="s">
        <v>23038</v>
      </c>
      <c r="C6574" s="384" t="s">
        <v>22537</v>
      </c>
      <c r="D6574" s="385" t="s">
        <v>6562</v>
      </c>
    </row>
    <row r="6575" spans="1:4" x14ac:dyDescent="0.25">
      <c r="A6575" s="384" t="s">
        <v>23039</v>
      </c>
      <c r="B6575" s="384" t="s">
        <v>23040</v>
      </c>
      <c r="C6575" s="384" t="s">
        <v>19736</v>
      </c>
      <c r="D6575" s="385" t="s">
        <v>23041</v>
      </c>
    </row>
    <row r="6576" spans="1:4" x14ac:dyDescent="0.25">
      <c r="A6576" s="384" t="s">
        <v>23042</v>
      </c>
      <c r="B6576" s="384" t="s">
        <v>23043</v>
      </c>
      <c r="C6576" s="384" t="s">
        <v>19736</v>
      </c>
      <c r="D6576" s="385" t="s">
        <v>7114</v>
      </c>
    </row>
    <row r="6577" spans="1:4" x14ac:dyDescent="0.25">
      <c r="A6577" s="384" t="s">
        <v>23044</v>
      </c>
      <c r="B6577" s="384" t="s">
        <v>23045</v>
      </c>
      <c r="C6577" s="384" t="s">
        <v>19736</v>
      </c>
      <c r="D6577" s="385" t="s">
        <v>23046</v>
      </c>
    </row>
    <row r="6578" spans="1:4" x14ac:dyDescent="0.25">
      <c r="A6578" s="384" t="s">
        <v>23047</v>
      </c>
      <c r="B6578" s="384" t="s">
        <v>23048</v>
      </c>
      <c r="C6578" s="384" t="s">
        <v>22537</v>
      </c>
      <c r="D6578" s="385" t="s">
        <v>23049</v>
      </c>
    </row>
    <row r="6579" spans="1:4" x14ac:dyDescent="0.25">
      <c r="A6579" s="384" t="s">
        <v>23050</v>
      </c>
      <c r="B6579" s="384" t="s">
        <v>23051</v>
      </c>
      <c r="C6579" s="384" t="s">
        <v>22537</v>
      </c>
      <c r="D6579" s="385" t="s">
        <v>23052</v>
      </c>
    </row>
    <row r="6580" spans="1:4" x14ac:dyDescent="0.25">
      <c r="A6580" s="384" t="s">
        <v>23053</v>
      </c>
      <c r="B6580" s="384" t="s">
        <v>23054</v>
      </c>
      <c r="C6580" s="384" t="s">
        <v>22537</v>
      </c>
      <c r="D6580" s="385" t="s">
        <v>5779</v>
      </c>
    </row>
    <row r="6581" spans="1:4" x14ac:dyDescent="0.25">
      <c r="A6581" s="384" t="s">
        <v>23055</v>
      </c>
      <c r="B6581" s="384" t="s">
        <v>23056</v>
      </c>
      <c r="C6581" s="384" t="s">
        <v>19736</v>
      </c>
      <c r="D6581" s="385" t="s">
        <v>23057</v>
      </c>
    </row>
    <row r="6582" spans="1:4" x14ac:dyDescent="0.25">
      <c r="A6582" s="384" t="s">
        <v>23058</v>
      </c>
      <c r="B6582" s="384" t="s">
        <v>23059</v>
      </c>
      <c r="C6582" s="384" t="s">
        <v>19736</v>
      </c>
      <c r="D6582" s="385" t="s">
        <v>6595</v>
      </c>
    </row>
    <row r="6583" spans="1:4" x14ac:dyDescent="0.25">
      <c r="A6583" s="384" t="s">
        <v>23060</v>
      </c>
      <c r="B6583" s="384" t="s">
        <v>23061</v>
      </c>
      <c r="C6583" s="384" t="s">
        <v>19736</v>
      </c>
      <c r="D6583" s="385" t="s">
        <v>23062</v>
      </c>
    </row>
    <row r="6584" spans="1:4" x14ac:dyDescent="0.25">
      <c r="A6584" s="384" t="s">
        <v>23063</v>
      </c>
      <c r="B6584" s="384" t="s">
        <v>23064</v>
      </c>
      <c r="C6584" s="384" t="s">
        <v>22537</v>
      </c>
      <c r="D6584" s="385" t="s">
        <v>7179</v>
      </c>
    </row>
    <row r="6585" spans="1:4" x14ac:dyDescent="0.25">
      <c r="A6585" s="384" t="s">
        <v>23065</v>
      </c>
      <c r="B6585" s="384" t="s">
        <v>23066</v>
      </c>
      <c r="C6585" s="384" t="s">
        <v>22537</v>
      </c>
      <c r="D6585" s="385" t="s">
        <v>23067</v>
      </c>
    </row>
    <row r="6586" spans="1:4" x14ac:dyDescent="0.25">
      <c r="A6586" s="384" t="s">
        <v>23068</v>
      </c>
      <c r="B6586" s="384" t="s">
        <v>23069</v>
      </c>
      <c r="C6586" s="384" t="s">
        <v>22537</v>
      </c>
      <c r="D6586" s="385" t="s">
        <v>7603</v>
      </c>
    </row>
    <row r="6587" spans="1:4" x14ac:dyDescent="0.25">
      <c r="A6587" s="384" t="s">
        <v>23070</v>
      </c>
      <c r="B6587" s="384" t="s">
        <v>23071</v>
      </c>
      <c r="C6587" s="384" t="s">
        <v>22537</v>
      </c>
      <c r="D6587" s="385" t="s">
        <v>22771</v>
      </c>
    </row>
    <row r="6588" spans="1:4" x14ac:dyDescent="0.25">
      <c r="A6588" s="384" t="s">
        <v>23072</v>
      </c>
      <c r="B6588" s="384" t="s">
        <v>23073</v>
      </c>
      <c r="C6588" s="384" t="s">
        <v>22537</v>
      </c>
      <c r="D6588" s="385" t="s">
        <v>23074</v>
      </c>
    </row>
    <row r="6589" spans="1:4" x14ac:dyDescent="0.25">
      <c r="A6589" s="384" t="s">
        <v>23075</v>
      </c>
      <c r="B6589" s="384" t="s">
        <v>23076</v>
      </c>
      <c r="C6589" s="384" t="s">
        <v>22537</v>
      </c>
      <c r="D6589" s="385" t="s">
        <v>23077</v>
      </c>
    </row>
    <row r="6590" spans="1:4" x14ac:dyDescent="0.25">
      <c r="A6590" s="384" t="s">
        <v>23078</v>
      </c>
      <c r="B6590" s="384" t="s">
        <v>23079</v>
      </c>
      <c r="C6590" s="384" t="s">
        <v>22537</v>
      </c>
      <c r="D6590" s="385" t="s">
        <v>6021</v>
      </c>
    </row>
    <row r="6591" spans="1:4" x14ac:dyDescent="0.25">
      <c r="A6591" s="384" t="s">
        <v>23080</v>
      </c>
      <c r="B6591" s="384" t="s">
        <v>23081</v>
      </c>
      <c r="C6591" s="384" t="s">
        <v>22537</v>
      </c>
      <c r="D6591" s="385" t="s">
        <v>23082</v>
      </c>
    </row>
    <row r="6592" spans="1:4" x14ac:dyDescent="0.25">
      <c r="A6592" s="384" t="s">
        <v>23083</v>
      </c>
      <c r="B6592" s="384" t="s">
        <v>23084</v>
      </c>
      <c r="C6592" s="384" t="s">
        <v>19736</v>
      </c>
      <c r="D6592" s="385" t="s">
        <v>4682</v>
      </c>
    </row>
    <row r="6593" spans="1:4" x14ac:dyDescent="0.25">
      <c r="A6593" s="384" t="s">
        <v>23085</v>
      </c>
      <c r="B6593" s="384" t="s">
        <v>23086</v>
      </c>
      <c r="C6593" s="384" t="s">
        <v>19736</v>
      </c>
      <c r="D6593" s="385" t="s">
        <v>5877</v>
      </c>
    </row>
    <row r="6594" spans="1:4" x14ac:dyDescent="0.25">
      <c r="A6594" s="384" t="s">
        <v>23087</v>
      </c>
      <c r="B6594" s="384" t="s">
        <v>23088</v>
      </c>
      <c r="C6594" s="384" t="s">
        <v>19736</v>
      </c>
      <c r="D6594" s="385" t="s">
        <v>23089</v>
      </c>
    </row>
    <row r="6595" spans="1:4" x14ac:dyDescent="0.25">
      <c r="A6595" s="384" t="s">
        <v>23090</v>
      </c>
      <c r="B6595" s="384" t="s">
        <v>23091</v>
      </c>
      <c r="C6595" s="384" t="s">
        <v>19736</v>
      </c>
      <c r="D6595" s="385" t="s">
        <v>23092</v>
      </c>
    </row>
    <row r="6596" spans="1:4" x14ac:dyDescent="0.25">
      <c r="A6596" s="384" t="s">
        <v>23093</v>
      </c>
      <c r="B6596" s="384" t="s">
        <v>23094</v>
      </c>
      <c r="C6596" s="384" t="s">
        <v>19736</v>
      </c>
      <c r="D6596" s="385" t="s">
        <v>23095</v>
      </c>
    </row>
    <row r="6597" spans="1:4" x14ac:dyDescent="0.25">
      <c r="A6597" s="384" t="s">
        <v>23096</v>
      </c>
      <c r="B6597" s="384" t="s">
        <v>23097</v>
      </c>
      <c r="C6597" s="384" t="s">
        <v>19736</v>
      </c>
      <c r="D6597" s="385" t="s">
        <v>23098</v>
      </c>
    </row>
    <row r="6598" spans="1:4" x14ac:dyDescent="0.25">
      <c r="A6598" s="384" t="s">
        <v>23099</v>
      </c>
      <c r="B6598" s="384" t="s">
        <v>23100</v>
      </c>
      <c r="C6598" s="384" t="s">
        <v>19736</v>
      </c>
      <c r="D6598" s="385" t="s">
        <v>23101</v>
      </c>
    </row>
    <row r="6599" spans="1:4" x14ac:dyDescent="0.25">
      <c r="A6599" s="384" t="s">
        <v>23102</v>
      </c>
      <c r="B6599" s="384" t="s">
        <v>23103</v>
      </c>
      <c r="C6599" s="384" t="s">
        <v>19736</v>
      </c>
      <c r="D6599" s="385" t="s">
        <v>6699</v>
      </c>
    </row>
    <row r="6600" spans="1:4" x14ac:dyDescent="0.25">
      <c r="A6600" s="384" t="s">
        <v>23104</v>
      </c>
      <c r="B6600" s="384" t="s">
        <v>23105</v>
      </c>
      <c r="C6600" s="384" t="s">
        <v>19736</v>
      </c>
      <c r="D6600" s="385" t="s">
        <v>18992</v>
      </c>
    </row>
    <row r="6601" spans="1:4" x14ac:dyDescent="0.25">
      <c r="A6601" s="384" t="s">
        <v>23106</v>
      </c>
      <c r="B6601" s="384" t="s">
        <v>23107</v>
      </c>
      <c r="C6601" s="384" t="s">
        <v>19736</v>
      </c>
      <c r="D6601" s="385" t="s">
        <v>22636</v>
      </c>
    </row>
    <row r="6602" spans="1:4" x14ac:dyDescent="0.25">
      <c r="A6602" s="384" t="s">
        <v>23108</v>
      </c>
      <c r="B6602" s="384" t="s">
        <v>23109</v>
      </c>
      <c r="C6602" s="384" t="s">
        <v>19736</v>
      </c>
      <c r="D6602" s="385" t="s">
        <v>22070</v>
      </c>
    </row>
    <row r="6603" spans="1:4" x14ac:dyDescent="0.25">
      <c r="A6603" s="384" t="s">
        <v>23110</v>
      </c>
      <c r="B6603" s="384" t="s">
        <v>23111</v>
      </c>
      <c r="C6603" s="384" t="s">
        <v>19736</v>
      </c>
      <c r="D6603" s="385" t="s">
        <v>6872</v>
      </c>
    </row>
    <row r="6604" spans="1:4" x14ac:dyDescent="0.25">
      <c r="A6604" s="384" t="s">
        <v>23112</v>
      </c>
      <c r="B6604" s="384" t="s">
        <v>23113</v>
      </c>
      <c r="C6604" s="384" t="s">
        <v>19736</v>
      </c>
      <c r="D6604" s="385" t="s">
        <v>22598</v>
      </c>
    </row>
    <row r="6605" spans="1:4" x14ac:dyDescent="0.25">
      <c r="A6605" s="384" t="s">
        <v>23114</v>
      </c>
      <c r="B6605" s="384" t="s">
        <v>23115</v>
      </c>
      <c r="C6605" s="384" t="s">
        <v>19736</v>
      </c>
      <c r="D6605" s="385" t="s">
        <v>7769</v>
      </c>
    </row>
    <row r="6606" spans="1:4" x14ac:dyDescent="0.25">
      <c r="A6606" s="384" t="s">
        <v>23116</v>
      </c>
      <c r="B6606" s="384" t="s">
        <v>23117</v>
      </c>
      <c r="C6606" s="384" t="s">
        <v>22537</v>
      </c>
      <c r="D6606" s="385" t="s">
        <v>21499</v>
      </c>
    </row>
    <row r="6607" spans="1:4" x14ac:dyDescent="0.25">
      <c r="A6607" s="384" t="s">
        <v>23118</v>
      </c>
      <c r="B6607" s="384" t="s">
        <v>23119</v>
      </c>
      <c r="C6607" s="384" t="s">
        <v>22537</v>
      </c>
      <c r="D6607" s="385" t="s">
        <v>23120</v>
      </c>
    </row>
    <row r="6608" spans="1:4" x14ac:dyDescent="0.25">
      <c r="A6608" s="384" t="s">
        <v>23121</v>
      </c>
      <c r="B6608" s="384" t="s">
        <v>23122</v>
      </c>
      <c r="C6608" s="384" t="s">
        <v>22537</v>
      </c>
      <c r="D6608" s="385" t="s">
        <v>7138</v>
      </c>
    </row>
    <row r="6609" spans="1:4" x14ac:dyDescent="0.25">
      <c r="A6609" s="384" t="s">
        <v>23123</v>
      </c>
      <c r="B6609" s="384" t="s">
        <v>23124</v>
      </c>
      <c r="C6609" s="384" t="s">
        <v>22537</v>
      </c>
      <c r="D6609" s="385" t="s">
        <v>6544</v>
      </c>
    </row>
    <row r="6610" spans="1:4" x14ac:dyDescent="0.25">
      <c r="A6610" s="384" t="s">
        <v>23125</v>
      </c>
      <c r="B6610" s="384" t="s">
        <v>23126</v>
      </c>
      <c r="C6610" s="384" t="s">
        <v>22537</v>
      </c>
      <c r="D6610" s="385" t="s">
        <v>22751</v>
      </c>
    </row>
    <row r="6611" spans="1:4" x14ac:dyDescent="0.25">
      <c r="A6611" s="384" t="s">
        <v>23127</v>
      </c>
      <c r="B6611" s="384" t="s">
        <v>23128</v>
      </c>
      <c r="C6611" s="384" t="s">
        <v>22537</v>
      </c>
      <c r="D6611" s="385" t="s">
        <v>22680</v>
      </c>
    </row>
    <row r="6612" spans="1:4" x14ac:dyDescent="0.25">
      <c r="A6612" s="384" t="s">
        <v>23129</v>
      </c>
      <c r="B6612" s="384" t="s">
        <v>23130</v>
      </c>
      <c r="C6612" s="384" t="s">
        <v>22537</v>
      </c>
      <c r="D6612" s="385" t="s">
        <v>23131</v>
      </c>
    </row>
    <row r="6613" spans="1:4" x14ac:dyDescent="0.25">
      <c r="A6613" s="384" t="s">
        <v>23132</v>
      </c>
      <c r="B6613" s="384" t="s">
        <v>23133</v>
      </c>
      <c r="C6613" s="384" t="s">
        <v>22537</v>
      </c>
      <c r="D6613" s="385" t="s">
        <v>6448</v>
      </c>
    </row>
    <row r="6614" spans="1:4" x14ac:dyDescent="0.25">
      <c r="A6614" s="384" t="s">
        <v>23134</v>
      </c>
      <c r="B6614" s="384" t="s">
        <v>23135</v>
      </c>
      <c r="C6614" s="384" t="s">
        <v>22537</v>
      </c>
      <c r="D6614" s="385" t="s">
        <v>7388</v>
      </c>
    </row>
    <row r="6615" spans="1:4" x14ac:dyDescent="0.25">
      <c r="A6615" s="384" t="s">
        <v>23136</v>
      </c>
      <c r="B6615" s="384" t="s">
        <v>23137</v>
      </c>
      <c r="C6615" s="384" t="s">
        <v>22537</v>
      </c>
      <c r="D6615" s="385" t="s">
        <v>23138</v>
      </c>
    </row>
    <row r="6616" spans="1:4" x14ac:dyDescent="0.25">
      <c r="A6616" s="384" t="s">
        <v>23139</v>
      </c>
      <c r="B6616" s="384" t="s">
        <v>23140</v>
      </c>
      <c r="C6616" s="384" t="s">
        <v>76</v>
      </c>
      <c r="D6616" s="385" t="s">
        <v>23141</v>
      </c>
    </row>
    <row r="6617" spans="1:4" x14ac:dyDescent="0.25">
      <c r="A6617" s="384" t="s">
        <v>23142</v>
      </c>
      <c r="B6617" s="384" t="s">
        <v>23143</v>
      </c>
      <c r="C6617" s="384" t="s">
        <v>76</v>
      </c>
      <c r="D6617" s="385" t="s">
        <v>15106</v>
      </c>
    </row>
    <row r="6618" spans="1:4" x14ac:dyDescent="0.25">
      <c r="A6618" s="384" t="s">
        <v>23144</v>
      </c>
      <c r="B6618" s="384" t="s">
        <v>23145</v>
      </c>
      <c r="C6618" s="384" t="s">
        <v>76</v>
      </c>
      <c r="D6618" s="385" t="s">
        <v>15662</v>
      </c>
    </row>
    <row r="6619" spans="1:4" x14ac:dyDescent="0.25">
      <c r="A6619" s="384" t="s">
        <v>23146</v>
      </c>
      <c r="B6619" s="384" t="s">
        <v>23147</v>
      </c>
      <c r="C6619" s="384" t="s">
        <v>19736</v>
      </c>
      <c r="D6619" s="385" t="s">
        <v>5952</v>
      </c>
    </row>
    <row r="6620" spans="1:4" x14ac:dyDescent="0.25">
      <c r="A6620" s="384" t="s">
        <v>23148</v>
      </c>
      <c r="B6620" s="384" t="s">
        <v>23149</v>
      </c>
      <c r="C6620" s="384" t="s">
        <v>19736</v>
      </c>
      <c r="D6620" s="385" t="s">
        <v>23041</v>
      </c>
    </row>
    <row r="6621" spans="1:4" x14ac:dyDescent="0.25">
      <c r="A6621" s="384" t="s">
        <v>23150</v>
      </c>
      <c r="B6621" s="384" t="s">
        <v>23151</v>
      </c>
      <c r="C6621" s="384" t="s">
        <v>19736</v>
      </c>
      <c r="D6621" s="385" t="s">
        <v>4724</v>
      </c>
    </row>
    <row r="6622" spans="1:4" x14ac:dyDescent="0.25">
      <c r="A6622" s="384" t="s">
        <v>23152</v>
      </c>
      <c r="B6622" s="384" t="s">
        <v>23153</v>
      </c>
      <c r="C6622" s="384" t="s">
        <v>19736</v>
      </c>
      <c r="D6622" s="385" t="s">
        <v>23021</v>
      </c>
    </row>
    <row r="6623" spans="1:4" x14ac:dyDescent="0.25">
      <c r="A6623" s="384" t="s">
        <v>23154</v>
      </c>
      <c r="B6623" s="384" t="s">
        <v>23155</v>
      </c>
      <c r="C6623" s="384" t="s">
        <v>19736</v>
      </c>
      <c r="D6623" s="385" t="s">
        <v>7182</v>
      </c>
    </row>
    <row r="6624" spans="1:4" x14ac:dyDescent="0.25">
      <c r="A6624" s="384" t="s">
        <v>23156</v>
      </c>
      <c r="B6624" s="384" t="s">
        <v>23157</v>
      </c>
      <c r="C6624" s="384" t="s">
        <v>19736</v>
      </c>
      <c r="D6624" s="385" t="s">
        <v>6514</v>
      </c>
    </row>
    <row r="6625" spans="1:4" x14ac:dyDescent="0.25">
      <c r="A6625" s="384" t="s">
        <v>23158</v>
      </c>
      <c r="B6625" s="384" t="s">
        <v>23159</v>
      </c>
      <c r="C6625" s="384" t="s">
        <v>19736</v>
      </c>
      <c r="D6625" s="385" t="s">
        <v>7030</v>
      </c>
    </row>
    <row r="6626" spans="1:4" x14ac:dyDescent="0.25">
      <c r="A6626" s="384" t="s">
        <v>23160</v>
      </c>
      <c r="B6626" s="384" t="s">
        <v>23161</v>
      </c>
      <c r="C6626" s="384" t="s">
        <v>19736</v>
      </c>
      <c r="D6626" s="385" t="s">
        <v>6562</v>
      </c>
    </row>
    <row r="6627" spans="1:4" x14ac:dyDescent="0.25">
      <c r="A6627" s="384" t="s">
        <v>23162</v>
      </c>
      <c r="B6627" s="384" t="s">
        <v>23163</v>
      </c>
      <c r="C6627" s="384" t="s">
        <v>3464</v>
      </c>
      <c r="D6627" s="385" t="s">
        <v>23164</v>
      </c>
    </row>
    <row r="6628" spans="1:4" x14ac:dyDescent="0.25">
      <c r="A6628" s="384" t="s">
        <v>23165</v>
      </c>
      <c r="B6628" s="384" t="s">
        <v>23166</v>
      </c>
      <c r="C6628" s="384" t="s">
        <v>3464</v>
      </c>
      <c r="D6628" s="385" t="s">
        <v>23167</v>
      </c>
    </row>
    <row r="6629" spans="1:4" x14ac:dyDescent="0.25">
      <c r="A6629" s="384" t="s">
        <v>23168</v>
      </c>
      <c r="B6629" s="384" t="s">
        <v>23169</v>
      </c>
      <c r="C6629" s="384" t="s">
        <v>3464</v>
      </c>
      <c r="D6629" s="385" t="s">
        <v>23170</v>
      </c>
    </row>
    <row r="6630" spans="1:4" x14ac:dyDescent="0.25">
      <c r="A6630" s="384" t="s">
        <v>23171</v>
      </c>
      <c r="B6630" s="384" t="s">
        <v>23172</v>
      </c>
      <c r="C6630" s="384" t="s">
        <v>76</v>
      </c>
      <c r="D6630" s="385" t="s">
        <v>15106</v>
      </c>
    </row>
    <row r="6631" spans="1:4" x14ac:dyDescent="0.25">
      <c r="A6631" s="384" t="s">
        <v>23173</v>
      </c>
      <c r="B6631" s="384" t="s">
        <v>23174</v>
      </c>
      <c r="C6631" s="384" t="s">
        <v>76</v>
      </c>
      <c r="D6631" s="385" t="s">
        <v>19512</v>
      </c>
    </row>
    <row r="6632" spans="1:4" x14ac:dyDescent="0.25">
      <c r="A6632" s="384" t="s">
        <v>23175</v>
      </c>
      <c r="B6632" s="384" t="s">
        <v>23176</v>
      </c>
      <c r="C6632" s="384" t="s">
        <v>76</v>
      </c>
      <c r="D6632" s="385" t="s">
        <v>6565</v>
      </c>
    </row>
    <row r="6633" spans="1:4" x14ac:dyDescent="0.25">
      <c r="A6633" s="384" t="s">
        <v>23177</v>
      </c>
      <c r="B6633" s="384" t="s">
        <v>23178</v>
      </c>
      <c r="C6633" s="384" t="s">
        <v>76</v>
      </c>
      <c r="D6633" s="385" t="s">
        <v>23179</v>
      </c>
    </row>
    <row r="6634" spans="1:4" x14ac:dyDescent="0.25">
      <c r="A6634" s="384" t="s">
        <v>23180</v>
      </c>
      <c r="B6634" s="384" t="s">
        <v>23181</v>
      </c>
      <c r="C6634" s="384" t="s">
        <v>76</v>
      </c>
      <c r="D6634" s="385" t="s">
        <v>4700</v>
      </c>
    </row>
    <row r="6635" spans="1:4" x14ac:dyDescent="0.25">
      <c r="A6635" s="384" t="s">
        <v>23182</v>
      </c>
      <c r="B6635" s="384" t="s">
        <v>23183</v>
      </c>
      <c r="C6635" s="384" t="s">
        <v>76</v>
      </c>
      <c r="D6635" s="385" t="s">
        <v>23184</v>
      </c>
    </row>
    <row r="6636" spans="1:4" x14ac:dyDescent="0.25">
      <c r="A6636" s="384" t="s">
        <v>23185</v>
      </c>
      <c r="B6636" s="384" t="s">
        <v>23186</v>
      </c>
      <c r="C6636" s="384" t="s">
        <v>76</v>
      </c>
      <c r="D6636" s="385" t="s">
        <v>23187</v>
      </c>
    </row>
    <row r="6637" spans="1:4" x14ac:dyDescent="0.25">
      <c r="A6637" s="384" t="s">
        <v>23188</v>
      </c>
      <c r="B6637" s="384" t="s">
        <v>23189</v>
      </c>
      <c r="C6637" s="384" t="s">
        <v>76</v>
      </c>
      <c r="D6637" s="385" t="s">
        <v>23190</v>
      </c>
    </row>
    <row r="6638" spans="1:4" x14ac:dyDescent="0.25">
      <c r="A6638" s="384" t="s">
        <v>23191</v>
      </c>
      <c r="B6638" s="384" t="s">
        <v>23192</v>
      </c>
      <c r="C6638" s="384" t="s">
        <v>76</v>
      </c>
      <c r="D6638" s="385" t="s">
        <v>23193</v>
      </c>
    </row>
    <row r="6639" spans="1:4" x14ac:dyDescent="0.25">
      <c r="A6639" s="384" t="s">
        <v>23194</v>
      </c>
      <c r="B6639" s="384" t="s">
        <v>23195</v>
      </c>
      <c r="C6639" s="384" t="s">
        <v>76</v>
      </c>
      <c r="D6639" s="385" t="s">
        <v>23196</v>
      </c>
    </row>
    <row r="6640" spans="1:4" x14ac:dyDescent="0.25">
      <c r="A6640" s="384" t="s">
        <v>23197</v>
      </c>
      <c r="B6640" s="384" t="s">
        <v>23198</v>
      </c>
      <c r="C6640" s="384" t="s">
        <v>76</v>
      </c>
      <c r="D6640" s="385" t="s">
        <v>13429</v>
      </c>
    </row>
    <row r="6641" spans="1:4" x14ac:dyDescent="0.25">
      <c r="A6641" s="384" t="s">
        <v>23199</v>
      </c>
      <c r="B6641" s="384" t="s">
        <v>23200</v>
      </c>
      <c r="C6641" s="384" t="s">
        <v>76</v>
      </c>
      <c r="D6641" s="385" t="s">
        <v>23201</v>
      </c>
    </row>
    <row r="6642" spans="1:4" x14ac:dyDescent="0.25">
      <c r="A6642" s="384" t="s">
        <v>23202</v>
      </c>
      <c r="B6642" s="384" t="s">
        <v>23203</v>
      </c>
      <c r="C6642" s="384" t="s">
        <v>76</v>
      </c>
      <c r="D6642" s="385" t="s">
        <v>12879</v>
      </c>
    </row>
    <row r="6643" spans="1:4" x14ac:dyDescent="0.25">
      <c r="A6643" s="384" t="s">
        <v>23204</v>
      </c>
      <c r="B6643" s="384" t="s">
        <v>23205</v>
      </c>
      <c r="C6643" s="384" t="s">
        <v>3464</v>
      </c>
      <c r="D6643" s="385" t="s">
        <v>18978</v>
      </c>
    </row>
    <row r="6644" spans="1:4" x14ac:dyDescent="0.25">
      <c r="A6644" s="384" t="s">
        <v>23206</v>
      </c>
      <c r="B6644" s="384" t="s">
        <v>23207</v>
      </c>
      <c r="C6644" s="384" t="s">
        <v>3464</v>
      </c>
      <c r="D6644" s="385" t="s">
        <v>23208</v>
      </c>
    </row>
    <row r="6645" spans="1:4" x14ac:dyDescent="0.25">
      <c r="A6645" s="384" t="s">
        <v>23209</v>
      </c>
      <c r="B6645" s="384" t="s">
        <v>23210</v>
      </c>
      <c r="C6645" s="384" t="s">
        <v>3464</v>
      </c>
      <c r="D6645" s="385" t="s">
        <v>23211</v>
      </c>
    </row>
    <row r="6646" spans="1:4" x14ac:dyDescent="0.25">
      <c r="A6646" s="384" t="s">
        <v>23212</v>
      </c>
      <c r="B6646" s="384" t="s">
        <v>23213</v>
      </c>
      <c r="C6646" s="384" t="s">
        <v>3464</v>
      </c>
      <c r="D6646" s="385" t="s">
        <v>19448</v>
      </c>
    </row>
    <row r="6647" spans="1:4" x14ac:dyDescent="0.25">
      <c r="A6647" s="384" t="s">
        <v>23214</v>
      </c>
      <c r="B6647" s="384" t="s">
        <v>23215</v>
      </c>
      <c r="C6647" s="384" t="s">
        <v>3464</v>
      </c>
      <c r="D6647" s="385" t="s">
        <v>23216</v>
      </c>
    </row>
    <row r="6648" spans="1:4" x14ac:dyDescent="0.25">
      <c r="A6648" s="384" t="s">
        <v>23217</v>
      </c>
      <c r="B6648" s="384" t="s">
        <v>23218</v>
      </c>
      <c r="C6648" s="384" t="s">
        <v>3464</v>
      </c>
      <c r="D6648" s="385" t="s">
        <v>17992</v>
      </c>
    </row>
    <row r="6649" spans="1:4" x14ac:dyDescent="0.25">
      <c r="A6649" s="384" t="s">
        <v>23219</v>
      </c>
      <c r="B6649" s="384" t="s">
        <v>23220</v>
      </c>
      <c r="C6649" s="384" t="s">
        <v>3464</v>
      </c>
      <c r="D6649" s="385" t="s">
        <v>23221</v>
      </c>
    </row>
    <row r="6650" spans="1:4" x14ac:dyDescent="0.25">
      <c r="A6650" s="384" t="s">
        <v>23222</v>
      </c>
      <c r="B6650" s="384" t="s">
        <v>23223</v>
      </c>
      <c r="C6650" s="384" t="s">
        <v>3464</v>
      </c>
      <c r="D6650" s="385" t="s">
        <v>23089</v>
      </c>
    </row>
    <row r="6651" spans="1:4" x14ac:dyDescent="0.25">
      <c r="A6651" s="384" t="s">
        <v>23224</v>
      </c>
      <c r="B6651" s="384" t="s">
        <v>23225</v>
      </c>
      <c r="C6651" s="384" t="s">
        <v>3464</v>
      </c>
      <c r="D6651" s="385" t="s">
        <v>6021</v>
      </c>
    </row>
    <row r="6652" spans="1:4" x14ac:dyDescent="0.25">
      <c r="A6652" s="384" t="s">
        <v>23226</v>
      </c>
      <c r="B6652" s="384" t="s">
        <v>23227</v>
      </c>
      <c r="C6652" s="384" t="s">
        <v>3464</v>
      </c>
      <c r="D6652" s="385" t="s">
        <v>16013</v>
      </c>
    </row>
    <row r="6653" spans="1:4" x14ac:dyDescent="0.25">
      <c r="A6653" s="384" t="s">
        <v>23228</v>
      </c>
      <c r="B6653" s="384" t="s">
        <v>23229</v>
      </c>
      <c r="C6653" s="384" t="s">
        <v>3464</v>
      </c>
      <c r="D6653" s="385" t="s">
        <v>6082</v>
      </c>
    </row>
    <row r="6654" spans="1:4" x14ac:dyDescent="0.25">
      <c r="A6654" s="384" t="s">
        <v>23230</v>
      </c>
      <c r="B6654" s="384" t="s">
        <v>23231</v>
      </c>
      <c r="C6654" s="384" t="s">
        <v>3464</v>
      </c>
      <c r="D6654" s="385" t="s">
        <v>12039</v>
      </c>
    </row>
    <row r="6655" spans="1:4" x14ac:dyDescent="0.25">
      <c r="A6655" s="384" t="s">
        <v>23232</v>
      </c>
      <c r="B6655" s="384" t="s">
        <v>23233</v>
      </c>
      <c r="C6655" s="384" t="s">
        <v>3464</v>
      </c>
      <c r="D6655" s="385" t="s">
        <v>23234</v>
      </c>
    </row>
    <row r="6656" spans="1:4" x14ac:dyDescent="0.25">
      <c r="A6656" s="384" t="s">
        <v>23235</v>
      </c>
      <c r="B6656" s="384" t="s">
        <v>23236</v>
      </c>
      <c r="C6656" s="384" t="s">
        <v>3464</v>
      </c>
      <c r="D6656" s="385" t="s">
        <v>14988</v>
      </c>
    </row>
    <row r="6657" spans="1:4" x14ac:dyDescent="0.25">
      <c r="A6657" s="384" t="s">
        <v>23237</v>
      </c>
      <c r="B6657" s="384" t="s">
        <v>23238</v>
      </c>
      <c r="C6657" s="384" t="s">
        <v>3464</v>
      </c>
      <c r="D6657" s="385" t="s">
        <v>23239</v>
      </c>
    </row>
    <row r="6658" spans="1:4" x14ac:dyDescent="0.25">
      <c r="A6658" s="384" t="s">
        <v>23240</v>
      </c>
      <c r="B6658" s="384" t="s">
        <v>23241</v>
      </c>
      <c r="C6658" s="384" t="s">
        <v>3464</v>
      </c>
      <c r="D6658" s="385" t="s">
        <v>23077</v>
      </c>
    </row>
    <row r="6659" spans="1:4" x14ac:dyDescent="0.25">
      <c r="A6659" s="384" t="s">
        <v>23242</v>
      </c>
      <c r="B6659" s="384" t="s">
        <v>23243</v>
      </c>
      <c r="C6659" s="384" t="s">
        <v>76</v>
      </c>
      <c r="D6659" s="385" t="s">
        <v>23244</v>
      </c>
    </row>
    <row r="6660" spans="1:4" x14ac:dyDescent="0.25">
      <c r="A6660" s="384" t="s">
        <v>23245</v>
      </c>
      <c r="B6660" s="384" t="s">
        <v>23246</v>
      </c>
      <c r="C6660" s="384" t="s">
        <v>76</v>
      </c>
      <c r="D6660" s="385" t="s">
        <v>23247</v>
      </c>
    </row>
    <row r="6661" spans="1:4" x14ac:dyDescent="0.25">
      <c r="A6661" s="384" t="s">
        <v>23248</v>
      </c>
      <c r="B6661" s="384" t="s">
        <v>23249</v>
      </c>
      <c r="C6661" s="384" t="s">
        <v>76</v>
      </c>
      <c r="D6661" s="385" t="s">
        <v>5997</v>
      </c>
    </row>
    <row r="6662" spans="1:4" x14ac:dyDescent="0.25">
      <c r="A6662" s="384" t="s">
        <v>23250</v>
      </c>
      <c r="B6662" s="384" t="s">
        <v>23251</v>
      </c>
      <c r="C6662" s="384" t="s">
        <v>76</v>
      </c>
      <c r="D6662" s="385" t="s">
        <v>21061</v>
      </c>
    </row>
    <row r="6663" spans="1:4" x14ac:dyDescent="0.25">
      <c r="A6663" s="384" t="s">
        <v>23252</v>
      </c>
      <c r="B6663" s="384" t="s">
        <v>23253</v>
      </c>
      <c r="C6663" s="384" t="s">
        <v>3464</v>
      </c>
      <c r="D6663" s="385" t="s">
        <v>16098</v>
      </c>
    </row>
    <row r="6664" spans="1:4" x14ac:dyDescent="0.25">
      <c r="A6664" s="384" t="s">
        <v>23254</v>
      </c>
      <c r="B6664" s="384" t="s">
        <v>23255</v>
      </c>
      <c r="C6664" s="384" t="s">
        <v>3464</v>
      </c>
      <c r="D6664" s="385" t="s">
        <v>12017</v>
      </c>
    </row>
    <row r="6665" spans="1:4" x14ac:dyDescent="0.25">
      <c r="A6665" s="384" t="s">
        <v>23256</v>
      </c>
      <c r="B6665" s="384" t="s">
        <v>23257</v>
      </c>
      <c r="C6665" s="384" t="s">
        <v>3464</v>
      </c>
      <c r="D6665" s="385" t="s">
        <v>11838</v>
      </c>
    </row>
    <row r="6666" spans="1:4" x14ac:dyDescent="0.25">
      <c r="A6666" s="384" t="s">
        <v>23258</v>
      </c>
      <c r="B6666" s="384" t="s">
        <v>23259</v>
      </c>
      <c r="C6666" s="384" t="s">
        <v>3464</v>
      </c>
      <c r="D6666" s="385" t="s">
        <v>23260</v>
      </c>
    </row>
    <row r="6667" spans="1:4" x14ac:dyDescent="0.25">
      <c r="A6667" s="384" t="s">
        <v>23261</v>
      </c>
      <c r="B6667" s="384" t="s">
        <v>23262</v>
      </c>
      <c r="C6667" s="384" t="s">
        <v>3464</v>
      </c>
      <c r="D6667" s="385" t="s">
        <v>23263</v>
      </c>
    </row>
    <row r="6668" spans="1:4" x14ac:dyDescent="0.25">
      <c r="A6668" s="384" t="s">
        <v>23264</v>
      </c>
      <c r="B6668" s="384" t="s">
        <v>23265</v>
      </c>
      <c r="C6668" s="384" t="s">
        <v>3464</v>
      </c>
      <c r="D6668" s="385" t="s">
        <v>20847</v>
      </c>
    </row>
    <row r="6669" spans="1:4" x14ac:dyDescent="0.25">
      <c r="A6669" s="384" t="s">
        <v>23266</v>
      </c>
      <c r="B6669" s="384" t="s">
        <v>23267</v>
      </c>
      <c r="C6669" s="384" t="s">
        <v>3464</v>
      </c>
      <c r="D6669" s="385" t="s">
        <v>21588</v>
      </c>
    </row>
    <row r="6670" spans="1:4" x14ac:dyDescent="0.25">
      <c r="A6670" s="384" t="s">
        <v>23268</v>
      </c>
      <c r="B6670" s="384" t="s">
        <v>23269</v>
      </c>
      <c r="C6670" s="384" t="s">
        <v>3464</v>
      </c>
      <c r="D6670" s="385" t="s">
        <v>11276</v>
      </c>
    </row>
    <row r="6671" spans="1:4" x14ac:dyDescent="0.25">
      <c r="A6671" s="384" t="s">
        <v>23270</v>
      </c>
      <c r="B6671" s="384" t="s">
        <v>23271</v>
      </c>
      <c r="C6671" s="384" t="s">
        <v>3464</v>
      </c>
      <c r="D6671" s="385" t="s">
        <v>23272</v>
      </c>
    </row>
    <row r="6672" spans="1:4" x14ac:dyDescent="0.25">
      <c r="A6672" s="384" t="s">
        <v>23273</v>
      </c>
      <c r="B6672" s="384" t="s">
        <v>23274</v>
      </c>
      <c r="C6672" s="384" t="s">
        <v>3464</v>
      </c>
      <c r="D6672" s="385" t="s">
        <v>23275</v>
      </c>
    </row>
    <row r="6673" spans="1:4" x14ac:dyDescent="0.25">
      <c r="A6673" s="384" t="s">
        <v>23276</v>
      </c>
      <c r="B6673" s="384" t="s">
        <v>23277</v>
      </c>
      <c r="C6673" s="384" t="s">
        <v>3464</v>
      </c>
      <c r="D6673" s="385" t="s">
        <v>7686</v>
      </c>
    </row>
    <row r="6674" spans="1:4" x14ac:dyDescent="0.25">
      <c r="A6674" s="384" t="s">
        <v>23278</v>
      </c>
      <c r="B6674" s="384" t="s">
        <v>23279</v>
      </c>
      <c r="C6674" s="384" t="s">
        <v>3464</v>
      </c>
      <c r="D6674" s="385" t="s">
        <v>17136</v>
      </c>
    </row>
    <row r="6675" spans="1:4" x14ac:dyDescent="0.25">
      <c r="A6675" s="384" t="s">
        <v>23280</v>
      </c>
      <c r="B6675" s="384" t="s">
        <v>23281</v>
      </c>
      <c r="C6675" s="384" t="s">
        <v>3464</v>
      </c>
      <c r="D6675" s="385" t="s">
        <v>23282</v>
      </c>
    </row>
    <row r="6676" spans="1:4" x14ac:dyDescent="0.25">
      <c r="A6676" s="384" t="s">
        <v>23283</v>
      </c>
      <c r="B6676" s="384" t="s">
        <v>23284</v>
      </c>
      <c r="C6676" s="384" t="s">
        <v>3464</v>
      </c>
      <c r="D6676" s="385" t="s">
        <v>23285</v>
      </c>
    </row>
    <row r="6677" spans="1:4" x14ac:dyDescent="0.25">
      <c r="A6677" s="384" t="s">
        <v>23286</v>
      </c>
      <c r="B6677" s="384" t="s">
        <v>23287</v>
      </c>
      <c r="C6677" s="384" t="s">
        <v>3464</v>
      </c>
      <c r="D6677" s="385" t="s">
        <v>23288</v>
      </c>
    </row>
    <row r="6678" spans="1:4" x14ac:dyDescent="0.25">
      <c r="A6678" s="384" t="s">
        <v>23289</v>
      </c>
      <c r="B6678" s="384" t="s">
        <v>23290</v>
      </c>
      <c r="C6678" s="384" t="s">
        <v>3464</v>
      </c>
      <c r="D6678" s="385" t="s">
        <v>23291</v>
      </c>
    </row>
    <row r="6679" spans="1:4" x14ac:dyDescent="0.25">
      <c r="A6679" s="384" t="s">
        <v>23292</v>
      </c>
      <c r="B6679" s="384" t="s">
        <v>23293</v>
      </c>
      <c r="C6679" s="384" t="s">
        <v>3464</v>
      </c>
      <c r="D6679" s="385" t="s">
        <v>23294</v>
      </c>
    </row>
    <row r="6680" spans="1:4" x14ac:dyDescent="0.25">
      <c r="A6680" s="384" t="s">
        <v>23295</v>
      </c>
      <c r="B6680" s="384" t="s">
        <v>23296</v>
      </c>
      <c r="C6680" s="384" t="s">
        <v>3464</v>
      </c>
      <c r="D6680" s="385" t="s">
        <v>19369</v>
      </c>
    </row>
    <row r="6681" spans="1:4" x14ac:dyDescent="0.25">
      <c r="A6681" s="384" t="s">
        <v>23297</v>
      </c>
      <c r="B6681" s="384" t="s">
        <v>23298</v>
      </c>
      <c r="C6681" s="384" t="s">
        <v>3464</v>
      </c>
      <c r="D6681" s="385" t="s">
        <v>7162</v>
      </c>
    </row>
    <row r="6682" spans="1:4" x14ac:dyDescent="0.25">
      <c r="A6682" s="384" t="s">
        <v>23299</v>
      </c>
      <c r="B6682" s="384" t="s">
        <v>23300</v>
      </c>
      <c r="C6682" s="384" t="s">
        <v>3464</v>
      </c>
      <c r="D6682" s="385" t="s">
        <v>15421</v>
      </c>
    </row>
    <row r="6683" spans="1:4" x14ac:dyDescent="0.25">
      <c r="A6683" s="384" t="s">
        <v>23301</v>
      </c>
      <c r="B6683" s="384" t="s">
        <v>23302</v>
      </c>
      <c r="C6683" s="384" t="s">
        <v>3464</v>
      </c>
      <c r="D6683" s="385" t="s">
        <v>23303</v>
      </c>
    </row>
    <row r="6684" spans="1:4" x14ac:dyDescent="0.25">
      <c r="A6684" s="384" t="s">
        <v>23304</v>
      </c>
      <c r="B6684" s="384" t="s">
        <v>23305</v>
      </c>
      <c r="C6684" s="384" t="s">
        <v>3464</v>
      </c>
      <c r="D6684" s="385" t="s">
        <v>23306</v>
      </c>
    </row>
    <row r="6685" spans="1:4" x14ac:dyDescent="0.25">
      <c r="A6685" s="384" t="s">
        <v>23307</v>
      </c>
      <c r="B6685" s="384" t="s">
        <v>23308</v>
      </c>
      <c r="C6685" s="384" t="s">
        <v>3464</v>
      </c>
      <c r="D6685" s="385" t="s">
        <v>23309</v>
      </c>
    </row>
    <row r="6686" spans="1:4" x14ac:dyDescent="0.25">
      <c r="A6686" s="384" t="s">
        <v>23310</v>
      </c>
      <c r="B6686" s="384" t="s">
        <v>23311</v>
      </c>
      <c r="C6686" s="384" t="s">
        <v>3464</v>
      </c>
      <c r="D6686" s="385" t="s">
        <v>23312</v>
      </c>
    </row>
    <row r="6687" spans="1:4" x14ac:dyDescent="0.25">
      <c r="A6687" s="384" t="s">
        <v>23313</v>
      </c>
      <c r="B6687" s="384" t="s">
        <v>23314</v>
      </c>
      <c r="C6687" s="384" t="s">
        <v>3464</v>
      </c>
      <c r="D6687" s="385" t="s">
        <v>23315</v>
      </c>
    </row>
    <row r="6688" spans="1:4" x14ac:dyDescent="0.25">
      <c r="A6688" s="384" t="s">
        <v>23316</v>
      </c>
      <c r="B6688" s="384" t="s">
        <v>23317</v>
      </c>
      <c r="C6688" s="384" t="s">
        <v>3464</v>
      </c>
      <c r="D6688" s="385" t="s">
        <v>23318</v>
      </c>
    </row>
    <row r="6689" spans="1:4" x14ac:dyDescent="0.25">
      <c r="A6689" s="384" t="s">
        <v>23319</v>
      </c>
      <c r="B6689" s="384" t="s">
        <v>23320</v>
      </c>
      <c r="C6689" s="384" t="s">
        <v>3464</v>
      </c>
      <c r="D6689" s="385" t="s">
        <v>16281</v>
      </c>
    </row>
    <row r="6690" spans="1:4" x14ac:dyDescent="0.25">
      <c r="A6690" s="384" t="s">
        <v>23321</v>
      </c>
      <c r="B6690" s="384" t="s">
        <v>23322</v>
      </c>
      <c r="C6690" s="384" t="s">
        <v>3464</v>
      </c>
      <c r="D6690" s="385" t="s">
        <v>23323</v>
      </c>
    </row>
    <row r="6691" spans="1:4" x14ac:dyDescent="0.25">
      <c r="A6691" s="384" t="s">
        <v>23324</v>
      </c>
      <c r="B6691" s="384" t="s">
        <v>23325</v>
      </c>
      <c r="C6691" s="384" t="s">
        <v>3464</v>
      </c>
      <c r="D6691" s="385" t="s">
        <v>23326</v>
      </c>
    </row>
    <row r="6692" spans="1:4" x14ac:dyDescent="0.25">
      <c r="A6692" s="384" t="s">
        <v>23327</v>
      </c>
      <c r="B6692" s="384" t="s">
        <v>23328</v>
      </c>
      <c r="C6692" s="384" t="s">
        <v>3464</v>
      </c>
      <c r="D6692" s="385" t="s">
        <v>23329</v>
      </c>
    </row>
    <row r="6693" spans="1:4" x14ac:dyDescent="0.25">
      <c r="A6693" s="384" t="s">
        <v>23330</v>
      </c>
      <c r="B6693" s="384" t="s">
        <v>23331</v>
      </c>
      <c r="C6693" s="384" t="s">
        <v>3464</v>
      </c>
      <c r="D6693" s="385" t="s">
        <v>23332</v>
      </c>
    </row>
    <row r="6694" spans="1:4" x14ac:dyDescent="0.25">
      <c r="A6694" s="384" t="s">
        <v>23333</v>
      </c>
      <c r="B6694" s="384" t="s">
        <v>23334</v>
      </c>
      <c r="C6694" s="384" t="s">
        <v>3464</v>
      </c>
      <c r="D6694" s="385" t="s">
        <v>23335</v>
      </c>
    </row>
    <row r="6695" spans="1:4" x14ac:dyDescent="0.25">
      <c r="A6695" s="384" t="s">
        <v>23336</v>
      </c>
      <c r="B6695" s="384" t="s">
        <v>23337</v>
      </c>
      <c r="C6695" s="384" t="s">
        <v>3464</v>
      </c>
      <c r="D6695" s="385" t="s">
        <v>23338</v>
      </c>
    </row>
    <row r="6696" spans="1:4" x14ac:dyDescent="0.25">
      <c r="A6696" s="384" t="s">
        <v>23339</v>
      </c>
      <c r="B6696" s="384" t="s">
        <v>23340</v>
      </c>
      <c r="C6696" s="384" t="s">
        <v>82</v>
      </c>
      <c r="D6696" s="385" t="s">
        <v>6353</v>
      </c>
    </row>
    <row r="6697" spans="1:4" x14ac:dyDescent="0.25">
      <c r="A6697" s="384" t="s">
        <v>23341</v>
      </c>
      <c r="B6697" s="384" t="s">
        <v>23342</v>
      </c>
      <c r="C6697" s="384" t="s">
        <v>82</v>
      </c>
      <c r="D6697" s="385" t="s">
        <v>23343</v>
      </c>
    </row>
    <row r="6698" spans="1:4" x14ac:dyDescent="0.25">
      <c r="A6698" s="384" t="s">
        <v>23344</v>
      </c>
      <c r="B6698" s="384" t="s">
        <v>23345</v>
      </c>
      <c r="C6698" s="384" t="s">
        <v>82</v>
      </c>
      <c r="D6698" s="385" t="s">
        <v>23346</v>
      </c>
    </row>
    <row r="6699" spans="1:4" x14ac:dyDescent="0.25">
      <c r="A6699" s="384" t="s">
        <v>23347</v>
      </c>
      <c r="B6699" s="384" t="s">
        <v>23348</v>
      </c>
      <c r="C6699" s="384" t="s">
        <v>82</v>
      </c>
      <c r="D6699" s="385" t="s">
        <v>23349</v>
      </c>
    </row>
    <row r="6700" spans="1:4" x14ac:dyDescent="0.25">
      <c r="A6700" s="384" t="s">
        <v>23350</v>
      </c>
      <c r="B6700" s="384" t="s">
        <v>23351</v>
      </c>
      <c r="C6700" s="384" t="s">
        <v>82</v>
      </c>
      <c r="D6700" s="385" t="s">
        <v>16412</v>
      </c>
    </row>
    <row r="6701" spans="1:4" x14ac:dyDescent="0.25">
      <c r="A6701" s="384" t="s">
        <v>23352</v>
      </c>
      <c r="B6701" s="384" t="s">
        <v>23353</v>
      </c>
      <c r="C6701" s="384" t="s">
        <v>82</v>
      </c>
      <c r="D6701" s="385" t="s">
        <v>23354</v>
      </c>
    </row>
    <row r="6702" spans="1:4" x14ac:dyDescent="0.25">
      <c r="A6702" s="384" t="s">
        <v>23355</v>
      </c>
      <c r="B6702" s="384" t="s">
        <v>23356</v>
      </c>
      <c r="C6702" s="384" t="s">
        <v>82</v>
      </c>
      <c r="D6702" s="385" t="s">
        <v>23357</v>
      </c>
    </row>
    <row r="6703" spans="1:4" x14ac:dyDescent="0.25">
      <c r="A6703" s="384" t="s">
        <v>23358</v>
      </c>
      <c r="B6703" s="384" t="s">
        <v>23359</v>
      </c>
      <c r="C6703" s="384" t="s">
        <v>82</v>
      </c>
      <c r="D6703" s="385" t="s">
        <v>23360</v>
      </c>
    </row>
    <row r="6704" spans="1:4" x14ac:dyDescent="0.25">
      <c r="A6704" s="384" t="s">
        <v>23361</v>
      </c>
      <c r="B6704" s="384" t="s">
        <v>23362</v>
      </c>
      <c r="C6704" s="384" t="s">
        <v>82</v>
      </c>
      <c r="D6704" s="385" t="s">
        <v>23363</v>
      </c>
    </row>
    <row r="6705" spans="1:4" x14ac:dyDescent="0.25">
      <c r="A6705" s="384" t="s">
        <v>23364</v>
      </c>
      <c r="B6705" s="384" t="s">
        <v>23365</v>
      </c>
      <c r="C6705" s="384" t="s">
        <v>82</v>
      </c>
      <c r="D6705" s="385" t="s">
        <v>23366</v>
      </c>
    </row>
    <row r="6706" spans="1:4" x14ac:dyDescent="0.25">
      <c r="A6706" s="384" t="s">
        <v>23367</v>
      </c>
      <c r="B6706" s="384" t="s">
        <v>23368</v>
      </c>
      <c r="C6706" s="384" t="s">
        <v>82</v>
      </c>
      <c r="D6706" s="385" t="s">
        <v>23369</v>
      </c>
    </row>
    <row r="6707" spans="1:4" x14ac:dyDescent="0.25">
      <c r="A6707" s="384" t="s">
        <v>23370</v>
      </c>
      <c r="B6707" s="384" t="s">
        <v>23371</v>
      </c>
      <c r="C6707" s="384" t="s">
        <v>82</v>
      </c>
      <c r="D6707" s="385" t="s">
        <v>23372</v>
      </c>
    </row>
    <row r="6708" spans="1:4" x14ac:dyDescent="0.25">
      <c r="A6708" s="384" t="s">
        <v>23373</v>
      </c>
      <c r="B6708" s="384" t="s">
        <v>23374</v>
      </c>
      <c r="C6708" s="384" t="s">
        <v>82</v>
      </c>
      <c r="D6708" s="385" t="s">
        <v>23375</v>
      </c>
    </row>
    <row r="6709" spans="1:4" x14ac:dyDescent="0.25">
      <c r="A6709" s="384" t="s">
        <v>23376</v>
      </c>
      <c r="B6709" s="384" t="s">
        <v>23377</v>
      </c>
      <c r="C6709" s="384" t="s">
        <v>82</v>
      </c>
      <c r="D6709" s="385" t="s">
        <v>23378</v>
      </c>
    </row>
    <row r="6710" spans="1:4" x14ac:dyDescent="0.25">
      <c r="A6710" s="384" t="s">
        <v>23379</v>
      </c>
      <c r="B6710" s="384" t="s">
        <v>23380</v>
      </c>
      <c r="C6710" s="384" t="s">
        <v>82</v>
      </c>
      <c r="D6710" s="385" t="s">
        <v>6466</v>
      </c>
    </row>
    <row r="6711" spans="1:4" x14ac:dyDescent="0.25">
      <c r="A6711" s="384" t="s">
        <v>23381</v>
      </c>
      <c r="B6711" s="384" t="s">
        <v>23382</v>
      </c>
      <c r="C6711" s="384" t="s">
        <v>82</v>
      </c>
      <c r="D6711" s="385" t="s">
        <v>23375</v>
      </c>
    </row>
    <row r="6712" spans="1:4" x14ac:dyDescent="0.25">
      <c r="A6712" s="384" t="s">
        <v>23383</v>
      </c>
      <c r="B6712" s="384" t="s">
        <v>23384</v>
      </c>
      <c r="C6712" s="384" t="s">
        <v>2884</v>
      </c>
      <c r="D6712" s="385" t="s">
        <v>23385</v>
      </c>
    </row>
    <row r="6713" spans="1:4" x14ac:dyDescent="0.25">
      <c r="A6713" s="384" t="s">
        <v>23386</v>
      </c>
      <c r="B6713" s="384" t="s">
        <v>23387</v>
      </c>
      <c r="C6713" s="384" t="s">
        <v>2884</v>
      </c>
      <c r="D6713" s="385" t="s">
        <v>23388</v>
      </c>
    </row>
    <row r="6714" spans="1:4" x14ac:dyDescent="0.25">
      <c r="A6714" s="384" t="s">
        <v>23389</v>
      </c>
      <c r="B6714" s="384" t="s">
        <v>23390</v>
      </c>
      <c r="C6714" s="384" t="s">
        <v>2884</v>
      </c>
      <c r="D6714" s="385" t="s">
        <v>23391</v>
      </c>
    </row>
    <row r="6715" spans="1:4" x14ac:dyDescent="0.25">
      <c r="A6715" s="384" t="s">
        <v>23392</v>
      </c>
      <c r="B6715" s="384" t="s">
        <v>23393</v>
      </c>
      <c r="C6715" s="384" t="s">
        <v>83</v>
      </c>
      <c r="D6715" s="385" t="s">
        <v>23394</v>
      </c>
    </row>
    <row r="6716" spans="1:4" x14ac:dyDescent="0.25">
      <c r="A6716" s="384" t="s">
        <v>23395</v>
      </c>
      <c r="B6716" s="384" t="s">
        <v>23396</v>
      </c>
      <c r="C6716" s="384" t="s">
        <v>83</v>
      </c>
      <c r="D6716" s="385" t="s">
        <v>23397</v>
      </c>
    </row>
    <row r="6717" spans="1:4" x14ac:dyDescent="0.25">
      <c r="A6717" s="384" t="s">
        <v>23398</v>
      </c>
      <c r="B6717" s="384" t="s">
        <v>23399</v>
      </c>
      <c r="C6717" s="384" t="s">
        <v>83</v>
      </c>
      <c r="D6717" s="385" t="s">
        <v>23400</v>
      </c>
    </row>
    <row r="6718" spans="1:4" x14ac:dyDescent="0.25">
      <c r="A6718" s="384" t="s">
        <v>23401</v>
      </c>
      <c r="B6718" s="384" t="s">
        <v>23402</v>
      </c>
      <c r="C6718" s="384" t="s">
        <v>83</v>
      </c>
      <c r="D6718" s="385" t="s">
        <v>23403</v>
      </c>
    </row>
    <row r="6719" spans="1:4" x14ac:dyDescent="0.25">
      <c r="A6719" s="384" t="s">
        <v>23404</v>
      </c>
      <c r="B6719" s="384" t="s">
        <v>23405</v>
      </c>
      <c r="C6719" s="384" t="s">
        <v>2884</v>
      </c>
      <c r="D6719" s="385" t="s">
        <v>23406</v>
      </c>
    </row>
    <row r="6720" spans="1:4" x14ac:dyDescent="0.25">
      <c r="A6720" s="384" t="s">
        <v>23407</v>
      </c>
      <c r="B6720" s="384" t="s">
        <v>23408</v>
      </c>
      <c r="C6720" s="384" t="s">
        <v>2884</v>
      </c>
      <c r="D6720" s="385" t="s">
        <v>23409</v>
      </c>
    </row>
    <row r="6721" spans="1:4" x14ac:dyDescent="0.25">
      <c r="A6721" s="384" t="s">
        <v>23410</v>
      </c>
      <c r="B6721" s="384" t="s">
        <v>23411</v>
      </c>
      <c r="C6721" s="384" t="s">
        <v>2884</v>
      </c>
      <c r="D6721" s="385" t="s">
        <v>7600</v>
      </c>
    </row>
    <row r="6722" spans="1:4" x14ac:dyDescent="0.25">
      <c r="A6722" s="384" t="s">
        <v>23412</v>
      </c>
      <c r="B6722" s="384" t="s">
        <v>23413</v>
      </c>
      <c r="C6722" s="384" t="s">
        <v>82</v>
      </c>
      <c r="D6722" s="385" t="s">
        <v>23414</v>
      </c>
    </row>
    <row r="6723" spans="1:4" x14ac:dyDescent="0.25">
      <c r="A6723" s="384" t="s">
        <v>23415</v>
      </c>
      <c r="B6723" s="384" t="s">
        <v>23416</v>
      </c>
      <c r="C6723" s="384" t="s">
        <v>2884</v>
      </c>
      <c r="D6723" s="385" t="s">
        <v>20757</v>
      </c>
    </row>
    <row r="6724" spans="1:4" x14ac:dyDescent="0.25">
      <c r="A6724" s="384" t="s">
        <v>23417</v>
      </c>
      <c r="B6724" s="384" t="s">
        <v>23418</v>
      </c>
      <c r="C6724" s="384" t="s">
        <v>2884</v>
      </c>
      <c r="D6724" s="385" t="s">
        <v>6792</v>
      </c>
    </row>
    <row r="6725" spans="1:4" x14ac:dyDescent="0.25">
      <c r="A6725" s="384" t="s">
        <v>23419</v>
      </c>
      <c r="B6725" s="384" t="s">
        <v>23420</v>
      </c>
      <c r="C6725" s="384" t="s">
        <v>2884</v>
      </c>
      <c r="D6725" s="385" t="s">
        <v>17059</v>
      </c>
    </row>
    <row r="6726" spans="1:4" x14ac:dyDescent="0.25">
      <c r="A6726" s="384" t="s">
        <v>23421</v>
      </c>
      <c r="B6726" s="384" t="s">
        <v>23422</v>
      </c>
      <c r="C6726" s="384" t="s">
        <v>2884</v>
      </c>
      <c r="D6726" s="385" t="s">
        <v>23423</v>
      </c>
    </row>
    <row r="6727" spans="1:4" x14ac:dyDescent="0.25">
      <c r="A6727" s="384" t="s">
        <v>23424</v>
      </c>
      <c r="B6727" s="384" t="s">
        <v>23425</v>
      </c>
      <c r="C6727" s="384" t="s">
        <v>83</v>
      </c>
      <c r="D6727" s="385" t="s">
        <v>23426</v>
      </c>
    </row>
    <row r="6728" spans="1:4" x14ac:dyDescent="0.25">
      <c r="A6728" s="384" t="s">
        <v>23427</v>
      </c>
      <c r="B6728" s="384" t="s">
        <v>23428</v>
      </c>
      <c r="C6728" s="384" t="s">
        <v>83</v>
      </c>
      <c r="D6728" s="385" t="s">
        <v>23429</v>
      </c>
    </row>
    <row r="6729" spans="1:4" x14ac:dyDescent="0.25">
      <c r="A6729" s="384" t="s">
        <v>23430</v>
      </c>
      <c r="B6729" s="384" t="s">
        <v>23431</v>
      </c>
      <c r="C6729" s="384" t="s">
        <v>83</v>
      </c>
      <c r="D6729" s="385" t="s">
        <v>23432</v>
      </c>
    </row>
    <row r="6730" spans="1:4" x14ac:dyDescent="0.25">
      <c r="A6730" s="384" t="s">
        <v>23433</v>
      </c>
      <c r="B6730" s="384" t="s">
        <v>23434</v>
      </c>
      <c r="C6730" s="384" t="s">
        <v>83</v>
      </c>
      <c r="D6730" s="385" t="s">
        <v>23435</v>
      </c>
    </row>
    <row r="6731" spans="1:4" x14ac:dyDescent="0.25">
      <c r="A6731" s="384" t="s">
        <v>23436</v>
      </c>
      <c r="B6731" s="384" t="s">
        <v>23437</v>
      </c>
      <c r="C6731" s="384" t="s">
        <v>83</v>
      </c>
      <c r="D6731" s="385" t="s">
        <v>23438</v>
      </c>
    </row>
    <row r="6732" spans="1:4" x14ac:dyDescent="0.25">
      <c r="A6732" s="384" t="s">
        <v>23439</v>
      </c>
      <c r="B6732" s="384" t="s">
        <v>23440</v>
      </c>
      <c r="C6732" s="384" t="s">
        <v>83</v>
      </c>
      <c r="D6732" s="385" t="s">
        <v>23441</v>
      </c>
    </row>
    <row r="6733" spans="1:4" x14ac:dyDescent="0.25">
      <c r="A6733" s="384" t="s">
        <v>23442</v>
      </c>
      <c r="B6733" s="384" t="s">
        <v>23443</v>
      </c>
      <c r="C6733" s="384" t="s">
        <v>83</v>
      </c>
      <c r="D6733" s="385" t="s">
        <v>23444</v>
      </c>
    </row>
    <row r="6734" spans="1:4" x14ac:dyDescent="0.25">
      <c r="A6734" s="384" t="s">
        <v>23445</v>
      </c>
      <c r="B6734" s="384" t="s">
        <v>23446</v>
      </c>
      <c r="C6734" s="384" t="s">
        <v>83</v>
      </c>
      <c r="D6734" s="385" t="s">
        <v>23447</v>
      </c>
    </row>
    <row r="6735" spans="1:4" x14ac:dyDescent="0.25">
      <c r="A6735" s="384" t="s">
        <v>23448</v>
      </c>
      <c r="B6735" s="384" t="s">
        <v>23449</v>
      </c>
      <c r="C6735" s="384" t="s">
        <v>83</v>
      </c>
      <c r="D6735" s="385" t="s">
        <v>23450</v>
      </c>
    </row>
    <row r="6736" spans="1:4" x14ac:dyDescent="0.25">
      <c r="A6736" s="384" t="s">
        <v>23451</v>
      </c>
      <c r="B6736" s="384" t="s">
        <v>23452</v>
      </c>
      <c r="C6736" s="384" t="s">
        <v>83</v>
      </c>
      <c r="D6736" s="385" t="s">
        <v>23453</v>
      </c>
    </row>
    <row r="6737" spans="1:4" x14ac:dyDescent="0.25">
      <c r="A6737" s="384" t="s">
        <v>23454</v>
      </c>
      <c r="B6737" s="384" t="s">
        <v>23455</v>
      </c>
      <c r="C6737" s="384" t="s">
        <v>83</v>
      </c>
      <c r="D6737" s="385" t="s">
        <v>23456</v>
      </c>
    </row>
    <row r="6738" spans="1:4" x14ac:dyDescent="0.25">
      <c r="A6738" s="384" t="s">
        <v>23457</v>
      </c>
      <c r="B6738" s="384" t="s">
        <v>23458</v>
      </c>
      <c r="C6738" s="384" t="s">
        <v>83</v>
      </c>
      <c r="D6738" s="385" t="s">
        <v>23459</v>
      </c>
    </row>
    <row r="6739" spans="1:4" x14ac:dyDescent="0.25">
      <c r="A6739" s="384" t="s">
        <v>23460</v>
      </c>
      <c r="B6739" s="384" t="s">
        <v>23461</v>
      </c>
      <c r="C6739" s="384" t="s">
        <v>83</v>
      </c>
      <c r="D6739" s="385" t="s">
        <v>23462</v>
      </c>
    </row>
    <row r="6740" spans="1:4" x14ac:dyDescent="0.25">
      <c r="A6740" s="384" t="s">
        <v>23463</v>
      </c>
      <c r="B6740" s="384" t="s">
        <v>23464</v>
      </c>
      <c r="C6740" s="384" t="s">
        <v>83</v>
      </c>
      <c r="D6740" s="385" t="s">
        <v>23465</v>
      </c>
    </row>
    <row r="6741" spans="1:4" x14ac:dyDescent="0.25">
      <c r="A6741" s="384" t="s">
        <v>23466</v>
      </c>
      <c r="B6741" s="384" t="s">
        <v>23467</v>
      </c>
      <c r="C6741" s="384" t="s">
        <v>83</v>
      </c>
      <c r="D6741" s="385" t="s">
        <v>23468</v>
      </c>
    </row>
    <row r="6742" spans="1:4" x14ac:dyDescent="0.25">
      <c r="A6742" s="384" t="s">
        <v>23469</v>
      </c>
      <c r="B6742" s="384" t="s">
        <v>23470</v>
      </c>
      <c r="C6742" s="384" t="s">
        <v>83</v>
      </c>
      <c r="D6742" s="385" t="s">
        <v>23471</v>
      </c>
    </row>
    <row r="6743" spans="1:4" x14ac:dyDescent="0.25">
      <c r="A6743" s="384" t="s">
        <v>23472</v>
      </c>
      <c r="B6743" s="384" t="s">
        <v>23473</v>
      </c>
      <c r="C6743" s="384" t="s">
        <v>83</v>
      </c>
      <c r="D6743" s="385" t="s">
        <v>23474</v>
      </c>
    </row>
    <row r="6744" spans="1:4" x14ac:dyDescent="0.25">
      <c r="A6744" s="384" t="s">
        <v>23475</v>
      </c>
      <c r="B6744" s="384" t="s">
        <v>23476</v>
      </c>
      <c r="C6744" s="384" t="s">
        <v>83</v>
      </c>
      <c r="D6744" s="385" t="s">
        <v>23477</v>
      </c>
    </row>
    <row r="6745" spans="1:4" x14ac:dyDescent="0.25">
      <c r="A6745" s="384" t="s">
        <v>23478</v>
      </c>
      <c r="B6745" s="384" t="s">
        <v>23479</v>
      </c>
      <c r="C6745" s="384" t="s">
        <v>83</v>
      </c>
      <c r="D6745" s="385" t="s">
        <v>23480</v>
      </c>
    </row>
    <row r="6746" spans="1:4" x14ac:dyDescent="0.25">
      <c r="A6746" s="384" t="s">
        <v>23481</v>
      </c>
      <c r="B6746" s="384" t="s">
        <v>23482</v>
      </c>
      <c r="C6746" s="384" t="s">
        <v>83</v>
      </c>
      <c r="D6746" s="385" t="s">
        <v>23483</v>
      </c>
    </row>
    <row r="6747" spans="1:4" x14ac:dyDescent="0.25">
      <c r="A6747" s="384" t="s">
        <v>23484</v>
      </c>
      <c r="B6747" s="384" t="s">
        <v>23485</v>
      </c>
      <c r="C6747" s="384" t="s">
        <v>2884</v>
      </c>
      <c r="D6747" s="385" t="s">
        <v>23486</v>
      </c>
    </row>
    <row r="6748" spans="1:4" x14ac:dyDescent="0.25">
      <c r="A6748" s="384" t="s">
        <v>23487</v>
      </c>
      <c r="B6748" s="384" t="s">
        <v>23488</v>
      </c>
      <c r="C6748" s="384" t="s">
        <v>2884</v>
      </c>
      <c r="D6748" s="385" t="s">
        <v>23489</v>
      </c>
    </row>
    <row r="6749" spans="1:4" x14ac:dyDescent="0.25">
      <c r="A6749" s="384" t="s">
        <v>23490</v>
      </c>
      <c r="B6749" s="384" t="s">
        <v>23491</v>
      </c>
      <c r="C6749" s="384" t="s">
        <v>2884</v>
      </c>
      <c r="D6749" s="385" t="s">
        <v>7610</v>
      </c>
    </row>
    <row r="6750" spans="1:4" x14ac:dyDescent="0.25">
      <c r="A6750" s="384" t="s">
        <v>23492</v>
      </c>
      <c r="B6750" s="384" t="s">
        <v>23493</v>
      </c>
      <c r="C6750" s="384" t="s">
        <v>83</v>
      </c>
      <c r="D6750" s="385" t="s">
        <v>23494</v>
      </c>
    </row>
    <row r="6751" spans="1:4" x14ac:dyDescent="0.25">
      <c r="A6751" s="384" t="s">
        <v>23495</v>
      </c>
      <c r="B6751" s="384" t="s">
        <v>23496</v>
      </c>
      <c r="C6751" s="384" t="s">
        <v>83</v>
      </c>
      <c r="D6751" s="385" t="s">
        <v>23497</v>
      </c>
    </row>
    <row r="6752" spans="1:4" x14ac:dyDescent="0.25">
      <c r="A6752" s="384" t="s">
        <v>23498</v>
      </c>
      <c r="B6752" s="384" t="s">
        <v>23499</v>
      </c>
      <c r="C6752" s="384" t="s">
        <v>83</v>
      </c>
      <c r="D6752" s="385" t="s">
        <v>23500</v>
      </c>
    </row>
    <row r="6753" spans="1:4" x14ac:dyDescent="0.25">
      <c r="A6753" s="384" t="s">
        <v>23501</v>
      </c>
      <c r="B6753" s="384" t="s">
        <v>23502</v>
      </c>
      <c r="C6753" s="384" t="s">
        <v>83</v>
      </c>
      <c r="D6753" s="385" t="s">
        <v>23503</v>
      </c>
    </row>
    <row r="6754" spans="1:4" x14ac:dyDescent="0.25">
      <c r="A6754" s="384" t="s">
        <v>23504</v>
      </c>
      <c r="B6754" s="384" t="s">
        <v>23505</v>
      </c>
      <c r="C6754" s="384" t="s">
        <v>83</v>
      </c>
      <c r="D6754" s="385" t="s">
        <v>23506</v>
      </c>
    </row>
    <row r="6755" spans="1:4" x14ac:dyDescent="0.25">
      <c r="A6755" s="384" t="s">
        <v>23507</v>
      </c>
      <c r="B6755" s="384" t="s">
        <v>23508</v>
      </c>
      <c r="C6755" s="384" t="s">
        <v>83</v>
      </c>
      <c r="D6755" s="385" t="s">
        <v>23509</v>
      </c>
    </row>
    <row r="6756" spans="1:4" x14ac:dyDescent="0.25">
      <c r="A6756" s="384" t="s">
        <v>23510</v>
      </c>
      <c r="B6756" s="384" t="s">
        <v>23511</v>
      </c>
      <c r="C6756" s="384" t="s">
        <v>83</v>
      </c>
      <c r="D6756" s="385" t="s">
        <v>23512</v>
      </c>
    </row>
    <row r="6757" spans="1:4" x14ac:dyDescent="0.25">
      <c r="A6757" s="384" t="s">
        <v>23513</v>
      </c>
      <c r="B6757" s="384" t="s">
        <v>23514</v>
      </c>
      <c r="C6757" s="384" t="s">
        <v>83</v>
      </c>
      <c r="D6757" s="385" t="s">
        <v>23515</v>
      </c>
    </row>
    <row r="6758" spans="1:4" x14ac:dyDescent="0.25">
      <c r="A6758" s="384" t="s">
        <v>23516</v>
      </c>
      <c r="B6758" s="384" t="s">
        <v>23517</v>
      </c>
      <c r="C6758" s="384" t="s">
        <v>83</v>
      </c>
      <c r="D6758" s="385" t="s">
        <v>23518</v>
      </c>
    </row>
    <row r="6759" spans="1:4" x14ac:dyDescent="0.25">
      <c r="A6759" s="384" t="s">
        <v>23519</v>
      </c>
      <c r="B6759" s="384" t="s">
        <v>23520</v>
      </c>
      <c r="C6759" s="384" t="s">
        <v>83</v>
      </c>
      <c r="D6759" s="385" t="s">
        <v>23521</v>
      </c>
    </row>
    <row r="6760" spans="1:4" x14ac:dyDescent="0.25">
      <c r="A6760" s="384" t="s">
        <v>23522</v>
      </c>
      <c r="B6760" s="384" t="s">
        <v>23523</v>
      </c>
      <c r="C6760" s="384" t="s">
        <v>75</v>
      </c>
      <c r="D6760" s="385" t="s">
        <v>14904</v>
      </c>
    </row>
    <row r="6761" spans="1:4" x14ac:dyDescent="0.25">
      <c r="A6761" s="384" t="s">
        <v>23524</v>
      </c>
      <c r="B6761" s="384" t="s">
        <v>23525</v>
      </c>
      <c r="C6761" s="384" t="s">
        <v>75</v>
      </c>
      <c r="D6761" s="385" t="s">
        <v>23526</v>
      </c>
    </row>
    <row r="6762" spans="1:4" x14ac:dyDescent="0.25">
      <c r="A6762" s="384" t="s">
        <v>23527</v>
      </c>
      <c r="B6762" s="384" t="s">
        <v>23528</v>
      </c>
      <c r="C6762" s="384" t="s">
        <v>75</v>
      </c>
      <c r="D6762" s="385" t="s">
        <v>7686</v>
      </c>
    </row>
    <row r="6763" spans="1:4" x14ac:dyDescent="0.25">
      <c r="A6763" s="384" t="s">
        <v>23529</v>
      </c>
      <c r="B6763" s="384" t="s">
        <v>23530</v>
      </c>
      <c r="C6763" s="384" t="s">
        <v>75</v>
      </c>
      <c r="D6763" s="385" t="s">
        <v>13922</v>
      </c>
    </row>
    <row r="6764" spans="1:4" x14ac:dyDescent="0.25">
      <c r="A6764" s="384" t="s">
        <v>23531</v>
      </c>
      <c r="B6764" s="384" t="s">
        <v>23532</v>
      </c>
      <c r="C6764" s="384" t="s">
        <v>75</v>
      </c>
      <c r="D6764" s="385" t="s">
        <v>23533</v>
      </c>
    </row>
    <row r="6765" spans="1:4" x14ac:dyDescent="0.25">
      <c r="A6765" s="384" t="s">
        <v>23534</v>
      </c>
      <c r="B6765" s="384" t="s">
        <v>23535</v>
      </c>
      <c r="C6765" s="384" t="s">
        <v>75</v>
      </c>
      <c r="D6765" s="385" t="s">
        <v>15424</v>
      </c>
    </row>
    <row r="6766" spans="1:4" x14ac:dyDescent="0.25">
      <c r="A6766" s="384" t="s">
        <v>23536</v>
      </c>
      <c r="B6766" s="384" t="s">
        <v>23537</v>
      </c>
      <c r="C6766" s="384" t="s">
        <v>75</v>
      </c>
      <c r="D6766" s="385" t="s">
        <v>23538</v>
      </c>
    </row>
    <row r="6767" spans="1:4" x14ac:dyDescent="0.25">
      <c r="A6767" s="384" t="s">
        <v>23539</v>
      </c>
      <c r="B6767" s="384" t="s">
        <v>23540</v>
      </c>
      <c r="C6767" s="384" t="s">
        <v>75</v>
      </c>
      <c r="D6767" s="385" t="s">
        <v>8362</v>
      </c>
    </row>
    <row r="6768" spans="1:4" x14ac:dyDescent="0.25">
      <c r="A6768" s="384" t="s">
        <v>23541</v>
      </c>
      <c r="B6768" s="384" t="s">
        <v>23542</v>
      </c>
      <c r="C6768" s="384" t="s">
        <v>75</v>
      </c>
      <c r="D6768" s="385" t="s">
        <v>23543</v>
      </c>
    </row>
    <row r="6769" spans="1:4" x14ac:dyDescent="0.25">
      <c r="A6769" s="384" t="s">
        <v>23544</v>
      </c>
      <c r="B6769" s="384" t="s">
        <v>23545</v>
      </c>
      <c r="C6769" s="384" t="s">
        <v>75</v>
      </c>
      <c r="D6769" s="385" t="s">
        <v>23546</v>
      </c>
    </row>
    <row r="6770" spans="1:4" x14ac:dyDescent="0.25">
      <c r="A6770" s="384" t="s">
        <v>23547</v>
      </c>
      <c r="B6770" s="384" t="s">
        <v>23548</v>
      </c>
      <c r="C6770" s="384" t="s">
        <v>75</v>
      </c>
      <c r="D6770" s="385" t="s">
        <v>23549</v>
      </c>
    </row>
    <row r="6771" spans="1:4" x14ac:dyDescent="0.25">
      <c r="A6771" s="384" t="s">
        <v>23550</v>
      </c>
      <c r="B6771" s="384" t="s">
        <v>23551</v>
      </c>
      <c r="C6771" s="384" t="s">
        <v>75</v>
      </c>
      <c r="D6771" s="385" t="s">
        <v>15475</v>
      </c>
    </row>
    <row r="6772" spans="1:4" x14ac:dyDescent="0.25">
      <c r="A6772" s="384" t="s">
        <v>23552</v>
      </c>
      <c r="B6772" s="384" t="s">
        <v>23553</v>
      </c>
      <c r="C6772" s="384" t="s">
        <v>75</v>
      </c>
      <c r="D6772" s="385" t="s">
        <v>23554</v>
      </c>
    </row>
    <row r="6773" spans="1:4" x14ac:dyDescent="0.25">
      <c r="A6773" s="384" t="s">
        <v>23555</v>
      </c>
      <c r="B6773" s="384" t="s">
        <v>23556</v>
      </c>
      <c r="C6773" s="384" t="s">
        <v>75</v>
      </c>
      <c r="D6773" s="385" t="s">
        <v>23557</v>
      </c>
    </row>
    <row r="6774" spans="1:4" x14ac:dyDescent="0.25">
      <c r="A6774" s="384" t="s">
        <v>23558</v>
      </c>
      <c r="B6774" s="384" t="s">
        <v>23559</v>
      </c>
      <c r="C6774" s="384" t="s">
        <v>75</v>
      </c>
      <c r="D6774" s="385" t="s">
        <v>23560</v>
      </c>
    </row>
    <row r="6775" spans="1:4" x14ac:dyDescent="0.25">
      <c r="A6775" s="384" t="s">
        <v>23561</v>
      </c>
      <c r="B6775" s="384" t="s">
        <v>23562</v>
      </c>
      <c r="C6775" s="384" t="s">
        <v>75</v>
      </c>
      <c r="D6775" s="385" t="s">
        <v>23563</v>
      </c>
    </row>
    <row r="6776" spans="1:4" x14ac:dyDescent="0.25">
      <c r="A6776" s="384" t="s">
        <v>23564</v>
      </c>
      <c r="B6776" s="384" t="s">
        <v>23565</v>
      </c>
      <c r="C6776" s="384" t="s">
        <v>75</v>
      </c>
      <c r="D6776" s="385" t="s">
        <v>23566</v>
      </c>
    </row>
    <row r="6777" spans="1:4" x14ac:dyDescent="0.25">
      <c r="A6777" s="384" t="s">
        <v>23567</v>
      </c>
      <c r="B6777" s="384" t="s">
        <v>23568</v>
      </c>
      <c r="C6777" s="384" t="s">
        <v>75</v>
      </c>
      <c r="D6777" s="385" t="s">
        <v>21086</v>
      </c>
    </row>
    <row r="6778" spans="1:4" x14ac:dyDescent="0.25">
      <c r="A6778" s="384" t="s">
        <v>23569</v>
      </c>
      <c r="B6778" s="384" t="s">
        <v>23570</v>
      </c>
      <c r="C6778" s="384" t="s">
        <v>75</v>
      </c>
      <c r="D6778" s="385" t="s">
        <v>23571</v>
      </c>
    </row>
    <row r="6779" spans="1:4" x14ac:dyDescent="0.25">
      <c r="A6779" s="384" t="s">
        <v>23572</v>
      </c>
      <c r="B6779" s="384" t="s">
        <v>23573</v>
      </c>
      <c r="C6779" s="384" t="s">
        <v>75</v>
      </c>
      <c r="D6779" s="385" t="s">
        <v>23574</v>
      </c>
    </row>
    <row r="6780" spans="1:4" x14ac:dyDescent="0.25">
      <c r="A6780" s="384" t="s">
        <v>23575</v>
      </c>
      <c r="B6780" s="384" t="s">
        <v>23576</v>
      </c>
      <c r="C6780" s="384" t="s">
        <v>75</v>
      </c>
      <c r="D6780" s="385" t="s">
        <v>23577</v>
      </c>
    </row>
    <row r="6781" spans="1:4" x14ac:dyDescent="0.25">
      <c r="A6781" s="384" t="s">
        <v>23578</v>
      </c>
      <c r="B6781" s="384" t="s">
        <v>23579</v>
      </c>
      <c r="C6781" s="384" t="s">
        <v>75</v>
      </c>
      <c r="D6781" s="385" t="s">
        <v>23580</v>
      </c>
    </row>
    <row r="6782" spans="1:4" x14ac:dyDescent="0.25">
      <c r="A6782" s="384" t="s">
        <v>23581</v>
      </c>
      <c r="B6782" s="384" t="s">
        <v>23582</v>
      </c>
      <c r="C6782" s="384" t="s">
        <v>75</v>
      </c>
      <c r="D6782" s="385" t="s">
        <v>23583</v>
      </c>
    </row>
    <row r="6783" spans="1:4" x14ac:dyDescent="0.25">
      <c r="A6783" s="384" t="s">
        <v>23584</v>
      </c>
      <c r="B6783" s="384" t="s">
        <v>23585</v>
      </c>
      <c r="C6783" s="384" t="s">
        <v>75</v>
      </c>
      <c r="D6783" s="385" t="s">
        <v>15710</v>
      </c>
    </row>
    <row r="6784" spans="1:4" x14ac:dyDescent="0.25">
      <c r="A6784" s="384" t="s">
        <v>23586</v>
      </c>
      <c r="B6784" s="384" t="s">
        <v>23587</v>
      </c>
      <c r="C6784" s="384" t="s">
        <v>75</v>
      </c>
      <c r="D6784" s="385" t="s">
        <v>23588</v>
      </c>
    </row>
    <row r="6785" spans="1:4" x14ac:dyDescent="0.25">
      <c r="A6785" s="384" t="s">
        <v>23589</v>
      </c>
      <c r="B6785" s="384" t="s">
        <v>23590</v>
      </c>
      <c r="C6785" s="384" t="s">
        <v>75</v>
      </c>
      <c r="D6785" s="385" t="s">
        <v>23591</v>
      </c>
    </row>
    <row r="6786" spans="1:4" x14ac:dyDescent="0.25">
      <c r="A6786" s="384" t="s">
        <v>23592</v>
      </c>
      <c r="B6786" s="384" t="s">
        <v>23593</v>
      </c>
      <c r="C6786" s="384" t="s">
        <v>75</v>
      </c>
      <c r="D6786" s="385" t="s">
        <v>23594</v>
      </c>
    </row>
    <row r="6787" spans="1:4" x14ac:dyDescent="0.25">
      <c r="A6787" s="384" t="s">
        <v>23595</v>
      </c>
      <c r="B6787" s="384" t="s">
        <v>23596</v>
      </c>
      <c r="C6787" s="384" t="s">
        <v>75</v>
      </c>
      <c r="D6787" s="385" t="s">
        <v>7755</v>
      </c>
    </row>
    <row r="6788" spans="1:4" x14ac:dyDescent="0.25">
      <c r="A6788" s="384" t="s">
        <v>23597</v>
      </c>
      <c r="B6788" s="384" t="s">
        <v>23598</v>
      </c>
      <c r="C6788" s="384" t="s">
        <v>75</v>
      </c>
      <c r="D6788" s="385" t="s">
        <v>21679</v>
      </c>
    </row>
    <row r="6789" spans="1:4" x14ac:dyDescent="0.25">
      <c r="A6789" s="384" t="s">
        <v>23599</v>
      </c>
      <c r="B6789" s="384" t="s">
        <v>23600</v>
      </c>
      <c r="C6789" s="384" t="s">
        <v>75</v>
      </c>
      <c r="D6789" s="385" t="s">
        <v>23601</v>
      </c>
    </row>
    <row r="6790" spans="1:4" x14ac:dyDescent="0.25">
      <c r="A6790" s="384" t="s">
        <v>23602</v>
      </c>
      <c r="B6790" s="384" t="s">
        <v>23603</v>
      </c>
      <c r="C6790" s="384" t="s">
        <v>75</v>
      </c>
      <c r="D6790" s="385" t="s">
        <v>23604</v>
      </c>
    </row>
    <row r="6791" spans="1:4" x14ac:dyDescent="0.25">
      <c r="A6791" s="384" t="s">
        <v>23605</v>
      </c>
      <c r="B6791" s="384" t="s">
        <v>23606</v>
      </c>
      <c r="C6791" s="384" t="s">
        <v>75</v>
      </c>
      <c r="D6791" s="385" t="s">
        <v>12649</v>
      </c>
    </row>
    <row r="6792" spans="1:4" x14ac:dyDescent="0.25">
      <c r="A6792" s="384" t="s">
        <v>23607</v>
      </c>
      <c r="B6792" s="384" t="s">
        <v>23608</v>
      </c>
      <c r="C6792" s="384" t="s">
        <v>75</v>
      </c>
      <c r="D6792" s="385" t="s">
        <v>23609</v>
      </c>
    </row>
    <row r="6793" spans="1:4" x14ac:dyDescent="0.25">
      <c r="A6793" s="384" t="s">
        <v>23610</v>
      </c>
      <c r="B6793" s="384" t="s">
        <v>23611</v>
      </c>
      <c r="C6793" s="384" t="s">
        <v>75</v>
      </c>
      <c r="D6793" s="385" t="s">
        <v>23612</v>
      </c>
    </row>
    <row r="6794" spans="1:4" x14ac:dyDescent="0.25">
      <c r="A6794" s="384" t="s">
        <v>23613</v>
      </c>
      <c r="B6794" s="384" t="s">
        <v>23614</v>
      </c>
      <c r="C6794" s="384" t="s">
        <v>75</v>
      </c>
      <c r="D6794" s="385" t="s">
        <v>12649</v>
      </c>
    </row>
    <row r="6795" spans="1:4" x14ac:dyDescent="0.25">
      <c r="A6795" s="384" t="s">
        <v>23615</v>
      </c>
      <c r="B6795" s="384" t="s">
        <v>23616</v>
      </c>
      <c r="C6795" s="384" t="s">
        <v>75</v>
      </c>
      <c r="D6795" s="385" t="s">
        <v>23617</v>
      </c>
    </row>
    <row r="6796" spans="1:4" x14ac:dyDescent="0.25">
      <c r="A6796" s="384" t="s">
        <v>23618</v>
      </c>
      <c r="B6796" s="384" t="s">
        <v>23619</v>
      </c>
      <c r="C6796" s="384" t="s">
        <v>75</v>
      </c>
      <c r="D6796" s="385" t="s">
        <v>17850</v>
      </c>
    </row>
    <row r="6797" spans="1:4" x14ac:dyDescent="0.25">
      <c r="A6797" s="384" t="s">
        <v>23620</v>
      </c>
      <c r="B6797" s="384" t="s">
        <v>23621</v>
      </c>
      <c r="C6797" s="384" t="s">
        <v>75</v>
      </c>
      <c r="D6797" s="385" t="s">
        <v>12014</v>
      </c>
    </row>
    <row r="6798" spans="1:4" x14ac:dyDescent="0.25">
      <c r="A6798" s="384" t="s">
        <v>23622</v>
      </c>
      <c r="B6798" s="384" t="s">
        <v>23623</v>
      </c>
      <c r="C6798" s="384" t="s">
        <v>75</v>
      </c>
      <c r="D6798" s="385" t="s">
        <v>23624</v>
      </c>
    </row>
    <row r="6799" spans="1:4" x14ac:dyDescent="0.25">
      <c r="A6799" s="384" t="s">
        <v>23625</v>
      </c>
      <c r="B6799" s="384" t="s">
        <v>23626</v>
      </c>
      <c r="C6799" s="384" t="s">
        <v>75</v>
      </c>
      <c r="D6799" s="385" t="s">
        <v>23627</v>
      </c>
    </row>
    <row r="6800" spans="1:4" x14ac:dyDescent="0.25">
      <c r="A6800" s="384" t="s">
        <v>23628</v>
      </c>
      <c r="B6800" s="384" t="s">
        <v>23629</v>
      </c>
      <c r="C6800" s="384" t="s">
        <v>75</v>
      </c>
      <c r="D6800" s="385" t="s">
        <v>23630</v>
      </c>
    </row>
    <row r="6801" spans="1:4" x14ac:dyDescent="0.25">
      <c r="A6801" s="384" t="s">
        <v>23631</v>
      </c>
      <c r="B6801" s="384" t="s">
        <v>23632</v>
      </c>
      <c r="C6801" s="384" t="s">
        <v>75</v>
      </c>
      <c r="D6801" s="385" t="s">
        <v>23633</v>
      </c>
    </row>
    <row r="6802" spans="1:4" x14ac:dyDescent="0.25">
      <c r="A6802" s="384" t="s">
        <v>23634</v>
      </c>
      <c r="B6802" s="384" t="s">
        <v>23635</v>
      </c>
      <c r="C6802" s="384" t="s">
        <v>75</v>
      </c>
      <c r="D6802" s="385" t="s">
        <v>23636</v>
      </c>
    </row>
    <row r="6803" spans="1:4" x14ac:dyDescent="0.25">
      <c r="A6803" s="384" t="s">
        <v>23637</v>
      </c>
      <c r="B6803" s="384" t="s">
        <v>23638</v>
      </c>
      <c r="C6803" s="384" t="s">
        <v>75</v>
      </c>
      <c r="D6803" s="385" t="s">
        <v>23639</v>
      </c>
    </row>
    <row r="6804" spans="1:4" x14ac:dyDescent="0.25">
      <c r="A6804" s="384" t="s">
        <v>23640</v>
      </c>
      <c r="B6804" s="384" t="s">
        <v>23641</v>
      </c>
      <c r="C6804" s="384" t="s">
        <v>75</v>
      </c>
      <c r="D6804" s="385" t="s">
        <v>23642</v>
      </c>
    </row>
    <row r="6805" spans="1:4" x14ac:dyDescent="0.25">
      <c r="A6805" s="384" t="s">
        <v>23643</v>
      </c>
      <c r="B6805" s="384" t="s">
        <v>23644</v>
      </c>
      <c r="C6805" s="384" t="s">
        <v>75</v>
      </c>
      <c r="D6805" s="385" t="s">
        <v>23645</v>
      </c>
    </row>
    <row r="6806" spans="1:4" x14ac:dyDescent="0.25">
      <c r="A6806" s="384" t="s">
        <v>23646</v>
      </c>
      <c r="B6806" s="384" t="s">
        <v>23647</v>
      </c>
      <c r="C6806" s="384" t="s">
        <v>75</v>
      </c>
      <c r="D6806" s="385" t="s">
        <v>23648</v>
      </c>
    </row>
    <row r="6807" spans="1:4" x14ac:dyDescent="0.25">
      <c r="A6807" s="384" t="s">
        <v>23649</v>
      </c>
      <c r="B6807" s="384" t="s">
        <v>23650</v>
      </c>
      <c r="C6807" s="384" t="s">
        <v>75</v>
      </c>
      <c r="D6807" s="385" t="s">
        <v>23651</v>
      </c>
    </row>
    <row r="6808" spans="1:4" x14ac:dyDescent="0.25">
      <c r="A6808" s="384" t="s">
        <v>23652</v>
      </c>
      <c r="B6808" s="384" t="s">
        <v>23653</v>
      </c>
      <c r="C6808" s="384" t="s">
        <v>75</v>
      </c>
      <c r="D6808" s="385" t="s">
        <v>23654</v>
      </c>
    </row>
    <row r="6809" spans="1:4" x14ac:dyDescent="0.25">
      <c r="A6809" s="384" t="s">
        <v>23655</v>
      </c>
      <c r="B6809" s="384" t="s">
        <v>23656</v>
      </c>
      <c r="C6809" s="384" t="s">
        <v>75</v>
      </c>
      <c r="D6809" s="385" t="s">
        <v>16740</v>
      </c>
    </row>
    <row r="6810" spans="1:4" x14ac:dyDescent="0.25">
      <c r="A6810" s="384" t="s">
        <v>23657</v>
      </c>
      <c r="B6810" s="384" t="s">
        <v>23658</v>
      </c>
      <c r="C6810" s="384" t="s">
        <v>75</v>
      </c>
      <c r="D6810" s="385" t="s">
        <v>23659</v>
      </c>
    </row>
    <row r="6811" spans="1:4" x14ac:dyDescent="0.25">
      <c r="A6811" s="384" t="s">
        <v>23660</v>
      </c>
      <c r="B6811" s="384" t="s">
        <v>23661</v>
      </c>
      <c r="C6811" s="384" t="s">
        <v>75</v>
      </c>
      <c r="D6811" s="385" t="s">
        <v>23662</v>
      </c>
    </row>
    <row r="6812" spans="1:4" x14ac:dyDescent="0.25">
      <c r="A6812" s="384" t="s">
        <v>23663</v>
      </c>
      <c r="B6812" s="384" t="s">
        <v>23664</v>
      </c>
      <c r="C6812" s="384" t="s">
        <v>75</v>
      </c>
      <c r="D6812" s="385" t="s">
        <v>23665</v>
      </c>
    </row>
    <row r="6813" spans="1:4" x14ac:dyDescent="0.25">
      <c r="A6813" s="384" t="s">
        <v>23666</v>
      </c>
      <c r="B6813" s="384" t="s">
        <v>23667</v>
      </c>
      <c r="C6813" s="384" t="s">
        <v>75</v>
      </c>
      <c r="D6813" s="385" t="s">
        <v>21025</v>
      </c>
    </row>
    <row r="6814" spans="1:4" x14ac:dyDescent="0.25">
      <c r="A6814" s="384" t="s">
        <v>23668</v>
      </c>
      <c r="B6814" s="384" t="s">
        <v>23669</v>
      </c>
      <c r="C6814" s="384" t="s">
        <v>75</v>
      </c>
      <c r="D6814" s="385" t="s">
        <v>23670</v>
      </c>
    </row>
    <row r="6815" spans="1:4" x14ac:dyDescent="0.25">
      <c r="A6815" s="384" t="s">
        <v>23671</v>
      </c>
      <c r="B6815" s="384" t="s">
        <v>23672</v>
      </c>
      <c r="C6815" s="384" t="s">
        <v>75</v>
      </c>
      <c r="D6815" s="385" t="s">
        <v>16276</v>
      </c>
    </row>
    <row r="6816" spans="1:4" x14ac:dyDescent="0.25">
      <c r="A6816" s="384" t="s">
        <v>23673</v>
      </c>
      <c r="B6816" s="384" t="s">
        <v>23674</v>
      </c>
      <c r="C6816" s="384" t="s">
        <v>75</v>
      </c>
      <c r="D6816" s="385" t="s">
        <v>23538</v>
      </c>
    </row>
    <row r="6817" spans="1:4" x14ac:dyDescent="0.25">
      <c r="A6817" s="384" t="s">
        <v>23675</v>
      </c>
      <c r="B6817" s="384" t="s">
        <v>23676</v>
      </c>
      <c r="C6817" s="384" t="s">
        <v>75</v>
      </c>
      <c r="D6817" s="385" t="s">
        <v>23677</v>
      </c>
    </row>
    <row r="6818" spans="1:4" x14ac:dyDescent="0.25">
      <c r="A6818" s="384" t="s">
        <v>23678</v>
      </c>
      <c r="B6818" s="384" t="s">
        <v>23679</v>
      </c>
      <c r="C6818" s="384" t="s">
        <v>75</v>
      </c>
      <c r="D6818" s="385" t="s">
        <v>9671</v>
      </c>
    </row>
    <row r="6819" spans="1:4" x14ac:dyDescent="0.25">
      <c r="A6819" s="384" t="s">
        <v>23680</v>
      </c>
      <c r="B6819" s="384" t="s">
        <v>23681</v>
      </c>
      <c r="C6819" s="384" t="s">
        <v>75</v>
      </c>
      <c r="D6819" s="385" t="s">
        <v>12649</v>
      </c>
    </row>
    <row r="6820" spans="1:4" x14ac:dyDescent="0.25">
      <c r="A6820" s="384" t="s">
        <v>23682</v>
      </c>
      <c r="B6820" s="384" t="s">
        <v>23683</v>
      </c>
      <c r="C6820" s="384" t="s">
        <v>75</v>
      </c>
      <c r="D6820" s="385" t="s">
        <v>23684</v>
      </c>
    </row>
    <row r="6821" spans="1:4" x14ac:dyDescent="0.25">
      <c r="A6821" s="384" t="s">
        <v>23685</v>
      </c>
      <c r="B6821" s="384" t="s">
        <v>23686</v>
      </c>
      <c r="C6821" s="384" t="s">
        <v>75</v>
      </c>
      <c r="D6821" s="385" t="s">
        <v>17525</v>
      </c>
    </row>
    <row r="6822" spans="1:4" x14ac:dyDescent="0.25">
      <c r="A6822" s="384" t="s">
        <v>23687</v>
      </c>
      <c r="B6822" s="384" t="s">
        <v>23688</v>
      </c>
      <c r="C6822" s="384" t="s">
        <v>75</v>
      </c>
      <c r="D6822" s="385" t="s">
        <v>23689</v>
      </c>
    </row>
    <row r="6823" spans="1:4" x14ac:dyDescent="0.25">
      <c r="A6823" s="384" t="s">
        <v>23690</v>
      </c>
      <c r="B6823" s="384" t="s">
        <v>23691</v>
      </c>
      <c r="C6823" s="384" t="s">
        <v>75</v>
      </c>
      <c r="D6823" s="385" t="s">
        <v>23692</v>
      </c>
    </row>
    <row r="6824" spans="1:4" x14ac:dyDescent="0.25">
      <c r="A6824" s="384" t="s">
        <v>23693</v>
      </c>
      <c r="B6824" s="384" t="s">
        <v>23694</v>
      </c>
      <c r="C6824" s="384" t="s">
        <v>75</v>
      </c>
      <c r="D6824" s="385" t="s">
        <v>11470</v>
      </c>
    </row>
    <row r="6825" spans="1:4" x14ac:dyDescent="0.25">
      <c r="A6825" s="384" t="s">
        <v>23695</v>
      </c>
      <c r="B6825" s="384" t="s">
        <v>23696</v>
      </c>
      <c r="C6825" s="384" t="s">
        <v>75</v>
      </c>
      <c r="D6825" s="385" t="s">
        <v>4826</v>
      </c>
    </row>
    <row r="6826" spans="1:4" x14ac:dyDescent="0.25">
      <c r="A6826" s="384" t="s">
        <v>23697</v>
      </c>
      <c r="B6826" s="384" t="s">
        <v>23698</v>
      </c>
      <c r="C6826" s="384" t="s">
        <v>75</v>
      </c>
      <c r="D6826" s="385" t="s">
        <v>23538</v>
      </c>
    </row>
    <row r="6827" spans="1:4" x14ac:dyDescent="0.25">
      <c r="A6827" s="384" t="s">
        <v>23699</v>
      </c>
      <c r="B6827" s="384" t="s">
        <v>23700</v>
      </c>
      <c r="C6827" s="384" t="s">
        <v>75</v>
      </c>
      <c r="D6827" s="385" t="s">
        <v>11407</v>
      </c>
    </row>
    <row r="6828" spans="1:4" x14ac:dyDescent="0.25">
      <c r="A6828" s="384" t="s">
        <v>23701</v>
      </c>
      <c r="B6828" s="384" t="s">
        <v>23702</v>
      </c>
      <c r="C6828" s="384" t="s">
        <v>75</v>
      </c>
      <c r="D6828" s="385" t="s">
        <v>23703</v>
      </c>
    </row>
    <row r="6829" spans="1:4" x14ac:dyDescent="0.25">
      <c r="A6829" s="384" t="s">
        <v>23704</v>
      </c>
      <c r="B6829" s="384" t="s">
        <v>23705</v>
      </c>
      <c r="C6829" s="384" t="s">
        <v>75</v>
      </c>
      <c r="D6829" s="385" t="s">
        <v>13008</v>
      </c>
    </row>
    <row r="6830" spans="1:4" x14ac:dyDescent="0.25">
      <c r="A6830" s="384" t="s">
        <v>23706</v>
      </c>
      <c r="B6830" s="384" t="s">
        <v>23707</v>
      </c>
      <c r="C6830" s="384" t="s">
        <v>75</v>
      </c>
      <c r="D6830" s="385" t="s">
        <v>23708</v>
      </c>
    </row>
    <row r="6831" spans="1:4" x14ac:dyDescent="0.25">
      <c r="A6831" s="384" t="s">
        <v>23709</v>
      </c>
      <c r="B6831" s="384" t="s">
        <v>23710</v>
      </c>
      <c r="C6831" s="384" t="s">
        <v>75</v>
      </c>
      <c r="D6831" s="385" t="s">
        <v>23711</v>
      </c>
    </row>
    <row r="6832" spans="1:4" x14ac:dyDescent="0.25">
      <c r="A6832" s="384" t="s">
        <v>23712</v>
      </c>
      <c r="B6832" s="384" t="s">
        <v>23713</v>
      </c>
      <c r="C6832" s="384" t="s">
        <v>75</v>
      </c>
      <c r="D6832" s="385" t="s">
        <v>23714</v>
      </c>
    </row>
    <row r="6833" spans="1:4" x14ac:dyDescent="0.25">
      <c r="A6833" s="384" t="s">
        <v>23715</v>
      </c>
      <c r="B6833" s="384" t="s">
        <v>23716</v>
      </c>
      <c r="C6833" s="384" t="s">
        <v>75</v>
      </c>
      <c r="D6833" s="385" t="s">
        <v>23717</v>
      </c>
    </row>
    <row r="6834" spans="1:4" x14ac:dyDescent="0.25">
      <c r="A6834" s="384" t="s">
        <v>23718</v>
      </c>
      <c r="B6834" s="384" t="s">
        <v>23719</v>
      </c>
      <c r="C6834" s="384" t="s">
        <v>75</v>
      </c>
      <c r="D6834" s="385" t="s">
        <v>23720</v>
      </c>
    </row>
    <row r="6835" spans="1:4" x14ac:dyDescent="0.25">
      <c r="A6835" s="384" t="s">
        <v>23721</v>
      </c>
      <c r="B6835" s="384" t="s">
        <v>23722</v>
      </c>
      <c r="C6835" s="384" t="s">
        <v>75</v>
      </c>
      <c r="D6835" s="385" t="s">
        <v>10516</v>
      </c>
    </row>
    <row r="6836" spans="1:4" x14ac:dyDescent="0.25">
      <c r="A6836" s="384" t="s">
        <v>23723</v>
      </c>
      <c r="B6836" s="384" t="s">
        <v>23724</v>
      </c>
      <c r="C6836" s="384" t="s">
        <v>75</v>
      </c>
      <c r="D6836" s="385" t="s">
        <v>8043</v>
      </c>
    </row>
    <row r="6837" spans="1:4" x14ac:dyDescent="0.25">
      <c r="A6837" s="384" t="s">
        <v>23725</v>
      </c>
      <c r="B6837" s="384" t="s">
        <v>23726</v>
      </c>
      <c r="C6837" s="384" t="s">
        <v>75</v>
      </c>
      <c r="D6837" s="385" t="s">
        <v>23727</v>
      </c>
    </row>
    <row r="6838" spans="1:4" x14ac:dyDescent="0.25">
      <c r="A6838" s="384" t="s">
        <v>23728</v>
      </c>
      <c r="B6838" s="384" t="s">
        <v>23729</v>
      </c>
      <c r="C6838" s="384" t="s">
        <v>75</v>
      </c>
      <c r="D6838" s="385" t="s">
        <v>6768</v>
      </c>
    </row>
    <row r="6839" spans="1:4" x14ac:dyDescent="0.25">
      <c r="A6839" s="384" t="s">
        <v>23730</v>
      </c>
      <c r="B6839" s="384" t="s">
        <v>23731</v>
      </c>
      <c r="C6839" s="384" t="s">
        <v>75</v>
      </c>
      <c r="D6839" s="385" t="s">
        <v>23732</v>
      </c>
    </row>
    <row r="6840" spans="1:4" x14ac:dyDescent="0.25">
      <c r="A6840" s="384" t="s">
        <v>23733</v>
      </c>
      <c r="B6840" s="384" t="s">
        <v>23734</v>
      </c>
      <c r="C6840" s="384" t="s">
        <v>75</v>
      </c>
      <c r="D6840" s="385" t="s">
        <v>19308</v>
      </c>
    </row>
    <row r="6841" spans="1:4" x14ac:dyDescent="0.25">
      <c r="A6841" s="384" t="s">
        <v>23735</v>
      </c>
      <c r="B6841" s="384" t="s">
        <v>23736</v>
      </c>
      <c r="C6841" s="384" t="s">
        <v>75</v>
      </c>
      <c r="D6841" s="385" t="s">
        <v>23737</v>
      </c>
    </row>
    <row r="6842" spans="1:4" x14ac:dyDescent="0.25">
      <c r="A6842" s="384" t="s">
        <v>23738</v>
      </c>
      <c r="B6842" s="384" t="s">
        <v>23739</v>
      </c>
      <c r="C6842" s="384" t="s">
        <v>75</v>
      </c>
      <c r="D6842" s="385" t="s">
        <v>23740</v>
      </c>
    </row>
    <row r="6843" spans="1:4" x14ac:dyDescent="0.25">
      <c r="A6843" s="384" t="s">
        <v>23741</v>
      </c>
      <c r="B6843" s="384" t="s">
        <v>23742</v>
      </c>
      <c r="C6843" s="384" t="s">
        <v>75</v>
      </c>
      <c r="D6843" s="385" t="s">
        <v>23743</v>
      </c>
    </row>
    <row r="6844" spans="1:4" x14ac:dyDescent="0.25">
      <c r="A6844" s="384" t="s">
        <v>23744</v>
      </c>
      <c r="B6844" s="384" t="s">
        <v>23745</v>
      </c>
      <c r="C6844" s="384" t="s">
        <v>75</v>
      </c>
      <c r="D6844" s="385" t="s">
        <v>20718</v>
      </c>
    </row>
    <row r="6845" spans="1:4" x14ac:dyDescent="0.25">
      <c r="A6845" s="384" t="s">
        <v>23746</v>
      </c>
      <c r="B6845" s="384" t="s">
        <v>23747</v>
      </c>
      <c r="C6845" s="384" t="s">
        <v>75</v>
      </c>
      <c r="D6845" s="385" t="s">
        <v>11859</v>
      </c>
    </row>
    <row r="6846" spans="1:4" x14ac:dyDescent="0.25">
      <c r="A6846" s="384" t="s">
        <v>23748</v>
      </c>
      <c r="B6846" s="384" t="s">
        <v>23749</v>
      </c>
      <c r="C6846" s="384" t="s">
        <v>75</v>
      </c>
      <c r="D6846" s="385" t="s">
        <v>17042</v>
      </c>
    </row>
    <row r="6847" spans="1:4" x14ac:dyDescent="0.25">
      <c r="A6847" s="384" t="s">
        <v>23750</v>
      </c>
      <c r="B6847" s="384" t="s">
        <v>23751</v>
      </c>
      <c r="C6847" s="384" t="s">
        <v>75</v>
      </c>
      <c r="D6847" s="385" t="s">
        <v>23752</v>
      </c>
    </row>
    <row r="6848" spans="1:4" x14ac:dyDescent="0.25">
      <c r="A6848" s="384" t="s">
        <v>23753</v>
      </c>
      <c r="B6848" s="384" t="s">
        <v>23754</v>
      </c>
      <c r="C6848" s="384" t="s">
        <v>75</v>
      </c>
      <c r="D6848" s="385" t="s">
        <v>23755</v>
      </c>
    </row>
    <row r="6849" spans="1:4" x14ac:dyDescent="0.25">
      <c r="A6849" s="384" t="s">
        <v>23756</v>
      </c>
      <c r="B6849" s="384" t="s">
        <v>23757</v>
      </c>
      <c r="C6849" s="384" t="s">
        <v>75</v>
      </c>
      <c r="D6849" s="385" t="s">
        <v>22826</v>
      </c>
    </row>
    <row r="6850" spans="1:4" x14ac:dyDescent="0.25">
      <c r="A6850" s="384" t="s">
        <v>23758</v>
      </c>
      <c r="B6850" s="384" t="s">
        <v>23759</v>
      </c>
      <c r="C6850" s="384" t="s">
        <v>75</v>
      </c>
      <c r="D6850" s="385" t="s">
        <v>23760</v>
      </c>
    </row>
    <row r="6851" spans="1:4" x14ac:dyDescent="0.25">
      <c r="A6851" s="384" t="s">
        <v>23761</v>
      </c>
      <c r="B6851" s="384" t="s">
        <v>23762</v>
      </c>
      <c r="C6851" s="384" t="s">
        <v>75</v>
      </c>
      <c r="D6851" s="385" t="s">
        <v>23763</v>
      </c>
    </row>
    <row r="6852" spans="1:4" x14ac:dyDescent="0.25">
      <c r="A6852" s="384" t="s">
        <v>23764</v>
      </c>
      <c r="B6852" s="384" t="s">
        <v>23765</v>
      </c>
      <c r="C6852" s="384" t="s">
        <v>75</v>
      </c>
      <c r="D6852" s="385" t="s">
        <v>23766</v>
      </c>
    </row>
    <row r="6853" spans="1:4" x14ac:dyDescent="0.25">
      <c r="A6853" s="384" t="s">
        <v>23767</v>
      </c>
      <c r="B6853" s="384" t="s">
        <v>23768</v>
      </c>
      <c r="C6853" s="384" t="s">
        <v>75</v>
      </c>
      <c r="D6853" s="385" t="s">
        <v>23769</v>
      </c>
    </row>
    <row r="6854" spans="1:4" x14ac:dyDescent="0.25">
      <c r="A6854" s="384" t="s">
        <v>23770</v>
      </c>
      <c r="B6854" s="384" t="s">
        <v>23771</v>
      </c>
      <c r="C6854" s="384" t="s">
        <v>75</v>
      </c>
      <c r="D6854" s="385" t="s">
        <v>23772</v>
      </c>
    </row>
    <row r="6855" spans="1:4" x14ac:dyDescent="0.25">
      <c r="A6855" s="384" t="s">
        <v>23773</v>
      </c>
      <c r="B6855" s="384" t="s">
        <v>23774</v>
      </c>
      <c r="C6855" s="384" t="s">
        <v>75</v>
      </c>
      <c r="D6855" s="385" t="s">
        <v>23775</v>
      </c>
    </row>
    <row r="6856" spans="1:4" x14ac:dyDescent="0.25">
      <c r="A6856" s="384" t="s">
        <v>23776</v>
      </c>
      <c r="B6856" s="384" t="s">
        <v>23777</v>
      </c>
      <c r="C6856" s="384" t="s">
        <v>75</v>
      </c>
      <c r="D6856" s="385" t="s">
        <v>23778</v>
      </c>
    </row>
    <row r="6857" spans="1:4" x14ac:dyDescent="0.25">
      <c r="A6857" s="384" t="s">
        <v>23779</v>
      </c>
      <c r="B6857" s="384" t="s">
        <v>23780</v>
      </c>
      <c r="C6857" s="384" t="s">
        <v>23781</v>
      </c>
      <c r="D6857" s="385" t="s">
        <v>23782</v>
      </c>
    </row>
    <row r="6858" spans="1:4" x14ac:dyDescent="0.25">
      <c r="A6858" s="384" t="s">
        <v>23783</v>
      </c>
      <c r="B6858" s="384" t="s">
        <v>23731</v>
      </c>
      <c r="C6858" s="384" t="s">
        <v>23781</v>
      </c>
      <c r="D6858" s="385" t="s">
        <v>23784</v>
      </c>
    </row>
    <row r="6859" spans="1:4" x14ac:dyDescent="0.25">
      <c r="A6859" s="384" t="s">
        <v>23785</v>
      </c>
      <c r="B6859" s="384" t="s">
        <v>23751</v>
      </c>
      <c r="C6859" s="384" t="s">
        <v>23781</v>
      </c>
      <c r="D6859" s="385" t="s">
        <v>23786</v>
      </c>
    </row>
    <row r="6860" spans="1:4" x14ac:dyDescent="0.25">
      <c r="A6860" s="384" t="s">
        <v>23787</v>
      </c>
      <c r="B6860" s="384" t="s">
        <v>23754</v>
      </c>
      <c r="C6860" s="384" t="s">
        <v>23781</v>
      </c>
      <c r="D6860" s="385" t="s">
        <v>23788</v>
      </c>
    </row>
    <row r="6861" spans="1:4" x14ac:dyDescent="0.25">
      <c r="A6861" s="384" t="s">
        <v>23789</v>
      </c>
      <c r="B6861" s="384" t="s">
        <v>23747</v>
      </c>
      <c r="C6861" s="384" t="s">
        <v>23781</v>
      </c>
      <c r="D6861" s="385" t="s">
        <v>23790</v>
      </c>
    </row>
    <row r="6862" spans="1:4" x14ac:dyDescent="0.25">
      <c r="A6862" s="384" t="s">
        <v>23791</v>
      </c>
      <c r="B6862" s="384" t="s">
        <v>23734</v>
      </c>
      <c r="C6862" s="384" t="s">
        <v>23781</v>
      </c>
      <c r="D6862" s="385" t="s">
        <v>23792</v>
      </c>
    </row>
    <row r="6863" spans="1:4" x14ac:dyDescent="0.25">
      <c r="A6863" s="384" t="s">
        <v>23793</v>
      </c>
      <c r="B6863" s="384" t="s">
        <v>23736</v>
      </c>
      <c r="C6863" s="384" t="s">
        <v>23781</v>
      </c>
      <c r="D6863" s="385" t="s">
        <v>23794</v>
      </c>
    </row>
    <row r="6864" spans="1:4" x14ac:dyDescent="0.25">
      <c r="A6864" s="384" t="s">
        <v>23795</v>
      </c>
      <c r="B6864" s="384" t="s">
        <v>23759</v>
      </c>
      <c r="C6864" s="384" t="s">
        <v>23781</v>
      </c>
      <c r="D6864" s="385" t="s">
        <v>23796</v>
      </c>
    </row>
    <row r="6865" spans="1:4" x14ac:dyDescent="0.25">
      <c r="A6865" s="384" t="s">
        <v>23797</v>
      </c>
      <c r="B6865" s="384" t="s">
        <v>23749</v>
      </c>
      <c r="C6865" s="384" t="s">
        <v>23781</v>
      </c>
      <c r="D6865" s="385" t="s">
        <v>23798</v>
      </c>
    </row>
    <row r="6866" spans="1:4" x14ac:dyDescent="0.25">
      <c r="A6866" s="384" t="s">
        <v>23799</v>
      </c>
      <c r="B6866" s="384" t="s">
        <v>23762</v>
      </c>
      <c r="C6866" s="384" t="s">
        <v>23781</v>
      </c>
      <c r="D6866" s="385" t="s">
        <v>23800</v>
      </c>
    </row>
    <row r="6867" spans="1:4" x14ac:dyDescent="0.25">
      <c r="A6867" s="384" t="s">
        <v>23801</v>
      </c>
      <c r="B6867" s="384" t="s">
        <v>23765</v>
      </c>
      <c r="C6867" s="384" t="s">
        <v>23781</v>
      </c>
      <c r="D6867" s="385" t="s">
        <v>23802</v>
      </c>
    </row>
    <row r="6868" spans="1:4" x14ac:dyDescent="0.25">
      <c r="A6868" s="384" t="s">
        <v>23803</v>
      </c>
      <c r="B6868" s="384" t="s">
        <v>23804</v>
      </c>
      <c r="C6868" s="384" t="s">
        <v>23781</v>
      </c>
      <c r="D6868" s="385" t="s">
        <v>23805</v>
      </c>
    </row>
    <row r="6869" spans="1:4" x14ac:dyDescent="0.25">
      <c r="A6869" s="384" t="s">
        <v>23806</v>
      </c>
      <c r="B6869" s="384" t="s">
        <v>23807</v>
      </c>
      <c r="C6869" s="384" t="s">
        <v>23781</v>
      </c>
      <c r="D6869" s="385" t="s">
        <v>23808</v>
      </c>
    </row>
    <row r="6870" spans="1:4" x14ac:dyDescent="0.25">
      <c r="A6870" s="384" t="s">
        <v>23809</v>
      </c>
      <c r="B6870" s="384" t="s">
        <v>23810</v>
      </c>
      <c r="C6870" s="384" t="s">
        <v>23781</v>
      </c>
      <c r="D6870" s="385" t="s">
        <v>23811</v>
      </c>
    </row>
    <row r="6871" spans="1:4" x14ac:dyDescent="0.25">
      <c r="A6871" s="384" t="s">
        <v>23812</v>
      </c>
      <c r="B6871" s="384" t="s">
        <v>23813</v>
      </c>
      <c r="C6871" s="384" t="s">
        <v>23781</v>
      </c>
      <c r="D6871" s="385" t="s">
        <v>23814</v>
      </c>
    </row>
    <row r="6872" spans="1:4" x14ac:dyDescent="0.25">
      <c r="A6872" s="384" t="s">
        <v>23815</v>
      </c>
      <c r="B6872" s="384" t="s">
        <v>23768</v>
      </c>
      <c r="C6872" s="384" t="s">
        <v>23781</v>
      </c>
      <c r="D6872" s="385" t="s">
        <v>23816</v>
      </c>
    </row>
    <row r="6873" spans="1:4" x14ac:dyDescent="0.25">
      <c r="A6873" s="384" t="s">
        <v>23817</v>
      </c>
      <c r="B6873" s="384" t="s">
        <v>23771</v>
      </c>
      <c r="C6873" s="384" t="s">
        <v>23781</v>
      </c>
      <c r="D6873" s="385" t="s">
        <v>23818</v>
      </c>
    </row>
    <row r="6874" spans="1:4" x14ac:dyDescent="0.25">
      <c r="A6874" s="384" t="s">
        <v>23819</v>
      </c>
      <c r="B6874" s="384" t="s">
        <v>23820</v>
      </c>
      <c r="C6874" s="384" t="s">
        <v>75</v>
      </c>
      <c r="D6874" s="385" t="s">
        <v>7117</v>
      </c>
    </row>
    <row r="6875" spans="1:4" x14ac:dyDescent="0.25">
      <c r="A6875" s="384" t="s">
        <v>23821</v>
      </c>
      <c r="B6875" s="384" t="s">
        <v>23822</v>
      </c>
      <c r="C6875" s="384" t="s">
        <v>75</v>
      </c>
      <c r="D6875" s="385" t="s">
        <v>23823</v>
      </c>
    </row>
    <row r="6876" spans="1:4" x14ac:dyDescent="0.25">
      <c r="A6876" s="384" t="s">
        <v>23824</v>
      </c>
      <c r="B6876" s="384" t="s">
        <v>23825</v>
      </c>
      <c r="C6876" s="384" t="s">
        <v>75</v>
      </c>
      <c r="D6876" s="385" t="s">
        <v>23826</v>
      </c>
    </row>
    <row r="6877" spans="1:4" x14ac:dyDescent="0.25">
      <c r="A6877" s="384" t="s">
        <v>23827</v>
      </c>
      <c r="B6877" s="384" t="s">
        <v>23828</v>
      </c>
      <c r="C6877" s="384" t="s">
        <v>75</v>
      </c>
      <c r="D6877" s="385" t="s">
        <v>7117</v>
      </c>
    </row>
    <row r="6878" spans="1:4" x14ac:dyDescent="0.25">
      <c r="A6878" s="384" t="s">
        <v>23829</v>
      </c>
      <c r="B6878" s="384" t="s">
        <v>23830</v>
      </c>
      <c r="C6878" s="384" t="s">
        <v>75</v>
      </c>
      <c r="D6878" s="385" t="s">
        <v>7250</v>
      </c>
    </row>
    <row r="6879" spans="1:4" x14ac:dyDescent="0.25">
      <c r="A6879" s="384" t="s">
        <v>23831</v>
      </c>
      <c r="B6879" s="384" t="s">
        <v>23832</v>
      </c>
      <c r="C6879" s="384" t="s">
        <v>75</v>
      </c>
      <c r="D6879" s="385" t="s">
        <v>23826</v>
      </c>
    </row>
    <row r="6880" spans="1:4" x14ac:dyDescent="0.25">
      <c r="A6880" s="384" t="s">
        <v>23833</v>
      </c>
      <c r="B6880" s="384" t="s">
        <v>23834</v>
      </c>
      <c r="C6880" s="384" t="s">
        <v>75</v>
      </c>
      <c r="D6880" s="385" t="s">
        <v>23823</v>
      </c>
    </row>
    <row r="6881" spans="1:4" x14ac:dyDescent="0.25">
      <c r="A6881" s="384" t="s">
        <v>23835</v>
      </c>
      <c r="B6881" s="384" t="s">
        <v>23836</v>
      </c>
      <c r="C6881" s="384" t="s">
        <v>75</v>
      </c>
      <c r="D6881" s="385" t="s">
        <v>6080</v>
      </c>
    </row>
    <row r="6882" spans="1:4" x14ac:dyDescent="0.25">
      <c r="A6882" s="384" t="s">
        <v>23837</v>
      </c>
      <c r="B6882" s="384" t="s">
        <v>23838</v>
      </c>
      <c r="C6882" s="384" t="s">
        <v>75</v>
      </c>
      <c r="D6882" s="385" t="s">
        <v>7591</v>
      </c>
    </row>
    <row r="6883" spans="1:4" x14ac:dyDescent="0.25">
      <c r="A6883" s="384" t="s">
        <v>23839</v>
      </c>
      <c r="B6883" s="384" t="s">
        <v>23840</v>
      </c>
      <c r="C6883" s="384" t="s">
        <v>75</v>
      </c>
      <c r="D6883" s="385" t="s">
        <v>6198</v>
      </c>
    </row>
    <row r="6884" spans="1:4" x14ac:dyDescent="0.25">
      <c r="A6884" s="384" t="s">
        <v>23841</v>
      </c>
      <c r="B6884" s="384" t="s">
        <v>23842</v>
      </c>
      <c r="C6884" s="384" t="s">
        <v>75</v>
      </c>
      <c r="D6884" s="385" t="s">
        <v>23826</v>
      </c>
    </row>
    <row r="6885" spans="1:4" x14ac:dyDescent="0.25">
      <c r="A6885" s="384" t="s">
        <v>23843</v>
      </c>
      <c r="B6885" s="384" t="s">
        <v>23844</v>
      </c>
      <c r="C6885" s="384" t="s">
        <v>75</v>
      </c>
      <c r="D6885" s="385" t="s">
        <v>23826</v>
      </c>
    </row>
    <row r="6886" spans="1:4" x14ac:dyDescent="0.25">
      <c r="A6886" s="384" t="s">
        <v>23845</v>
      </c>
      <c r="B6886" s="384" t="s">
        <v>23846</v>
      </c>
      <c r="C6886" s="384" t="s">
        <v>75</v>
      </c>
      <c r="D6886" s="385" t="s">
        <v>7250</v>
      </c>
    </row>
    <row r="6887" spans="1:4" x14ac:dyDescent="0.25">
      <c r="A6887" s="384" t="s">
        <v>23847</v>
      </c>
      <c r="B6887" s="384" t="s">
        <v>23848</v>
      </c>
      <c r="C6887" s="384" t="s">
        <v>75</v>
      </c>
      <c r="D6887" s="385" t="s">
        <v>6068</v>
      </c>
    </row>
    <row r="6888" spans="1:4" x14ac:dyDescent="0.25">
      <c r="A6888" s="384" t="s">
        <v>23849</v>
      </c>
      <c r="B6888" s="384" t="s">
        <v>23850</v>
      </c>
      <c r="C6888" s="384" t="s">
        <v>75</v>
      </c>
      <c r="D6888" s="385" t="s">
        <v>23851</v>
      </c>
    </row>
    <row r="6889" spans="1:4" x14ac:dyDescent="0.25">
      <c r="A6889" s="384" t="s">
        <v>23852</v>
      </c>
      <c r="B6889" s="384" t="s">
        <v>23853</v>
      </c>
      <c r="C6889" s="384" t="s">
        <v>75</v>
      </c>
      <c r="D6889" s="385" t="s">
        <v>5806</v>
      </c>
    </row>
    <row r="6890" spans="1:4" x14ac:dyDescent="0.25">
      <c r="A6890" s="384" t="s">
        <v>23854</v>
      </c>
      <c r="B6890" s="384" t="s">
        <v>23855</v>
      </c>
      <c r="C6890" s="384" t="s">
        <v>75</v>
      </c>
      <c r="D6890" s="385" t="s">
        <v>5806</v>
      </c>
    </row>
    <row r="6891" spans="1:4" x14ac:dyDescent="0.25">
      <c r="A6891" s="384" t="s">
        <v>23856</v>
      </c>
      <c r="B6891" s="384" t="s">
        <v>23857</v>
      </c>
      <c r="C6891" s="384" t="s">
        <v>75</v>
      </c>
      <c r="D6891" s="385" t="s">
        <v>6335</v>
      </c>
    </row>
    <row r="6892" spans="1:4" x14ac:dyDescent="0.25">
      <c r="A6892" s="384" t="s">
        <v>23858</v>
      </c>
      <c r="B6892" s="384" t="s">
        <v>23859</v>
      </c>
      <c r="C6892" s="384" t="s">
        <v>75</v>
      </c>
      <c r="D6892" s="385" t="s">
        <v>5710</v>
      </c>
    </row>
    <row r="6893" spans="1:4" x14ac:dyDescent="0.25">
      <c r="A6893" s="384" t="s">
        <v>23860</v>
      </c>
      <c r="B6893" s="384" t="s">
        <v>23861</v>
      </c>
      <c r="C6893" s="384" t="s">
        <v>75</v>
      </c>
      <c r="D6893" s="385" t="s">
        <v>6750</v>
      </c>
    </row>
    <row r="6894" spans="1:4" x14ac:dyDescent="0.25">
      <c r="A6894" s="384" t="s">
        <v>23862</v>
      </c>
      <c r="B6894" s="384" t="s">
        <v>23863</v>
      </c>
      <c r="C6894" s="384" t="s">
        <v>75</v>
      </c>
      <c r="D6894" s="385" t="s">
        <v>6853</v>
      </c>
    </row>
    <row r="6895" spans="1:4" x14ac:dyDescent="0.25">
      <c r="A6895" s="384" t="s">
        <v>23864</v>
      </c>
      <c r="B6895" s="384" t="s">
        <v>23865</v>
      </c>
      <c r="C6895" s="384" t="s">
        <v>75</v>
      </c>
      <c r="D6895" s="385" t="s">
        <v>23823</v>
      </c>
    </row>
    <row r="6896" spans="1:4" x14ac:dyDescent="0.25">
      <c r="A6896" s="384" t="s">
        <v>23866</v>
      </c>
      <c r="B6896" s="384" t="s">
        <v>23867</v>
      </c>
      <c r="C6896" s="384" t="s">
        <v>75</v>
      </c>
      <c r="D6896" s="385" t="s">
        <v>7250</v>
      </c>
    </row>
    <row r="6897" spans="1:4" x14ac:dyDescent="0.25">
      <c r="A6897" s="384" t="s">
        <v>23868</v>
      </c>
      <c r="B6897" s="384" t="s">
        <v>23869</v>
      </c>
      <c r="C6897" s="384" t="s">
        <v>75</v>
      </c>
      <c r="D6897" s="385" t="s">
        <v>7566</v>
      </c>
    </row>
    <row r="6898" spans="1:4" x14ac:dyDescent="0.25">
      <c r="A6898" s="384" t="s">
        <v>23870</v>
      </c>
      <c r="B6898" s="384" t="s">
        <v>23871</v>
      </c>
      <c r="C6898" s="384" t="s">
        <v>75</v>
      </c>
      <c r="D6898" s="385" t="s">
        <v>6699</v>
      </c>
    </row>
    <row r="6899" spans="1:4" x14ac:dyDescent="0.25">
      <c r="A6899" s="384" t="s">
        <v>23872</v>
      </c>
      <c r="B6899" s="384" t="s">
        <v>23873</v>
      </c>
      <c r="C6899" s="384" t="s">
        <v>75</v>
      </c>
      <c r="D6899" s="385" t="s">
        <v>7566</v>
      </c>
    </row>
    <row r="6900" spans="1:4" x14ac:dyDescent="0.25">
      <c r="A6900" s="384" t="s">
        <v>23874</v>
      </c>
      <c r="B6900" s="384" t="s">
        <v>23875</v>
      </c>
      <c r="C6900" s="384" t="s">
        <v>75</v>
      </c>
      <c r="D6900" s="385" t="s">
        <v>5806</v>
      </c>
    </row>
    <row r="6901" spans="1:4" x14ac:dyDescent="0.25">
      <c r="A6901" s="384" t="s">
        <v>23876</v>
      </c>
      <c r="B6901" s="384" t="s">
        <v>23877</v>
      </c>
      <c r="C6901" s="384" t="s">
        <v>75</v>
      </c>
      <c r="D6901" s="385" t="s">
        <v>7117</v>
      </c>
    </row>
    <row r="6902" spans="1:4" x14ac:dyDescent="0.25">
      <c r="A6902" s="384" t="s">
        <v>23878</v>
      </c>
      <c r="B6902" s="384" t="s">
        <v>23879</v>
      </c>
      <c r="C6902" s="384" t="s">
        <v>75</v>
      </c>
      <c r="D6902" s="385" t="s">
        <v>5892</v>
      </c>
    </row>
    <row r="6903" spans="1:4" x14ac:dyDescent="0.25">
      <c r="A6903" s="384" t="s">
        <v>23880</v>
      </c>
      <c r="B6903" s="384" t="s">
        <v>23881</v>
      </c>
      <c r="C6903" s="384" t="s">
        <v>75</v>
      </c>
      <c r="D6903" s="385" t="s">
        <v>5892</v>
      </c>
    </row>
    <row r="6904" spans="1:4" x14ac:dyDescent="0.25">
      <c r="A6904" s="384" t="s">
        <v>23882</v>
      </c>
      <c r="B6904" s="384" t="s">
        <v>23883</v>
      </c>
      <c r="C6904" s="384" t="s">
        <v>75</v>
      </c>
      <c r="D6904" s="385" t="s">
        <v>5806</v>
      </c>
    </row>
    <row r="6905" spans="1:4" x14ac:dyDescent="0.25">
      <c r="A6905" s="384" t="s">
        <v>23884</v>
      </c>
      <c r="B6905" s="384" t="s">
        <v>23885</v>
      </c>
      <c r="C6905" s="384" t="s">
        <v>75</v>
      </c>
      <c r="D6905" s="385" t="s">
        <v>5806</v>
      </c>
    </row>
    <row r="6906" spans="1:4" x14ac:dyDescent="0.25">
      <c r="A6906" s="384" t="s">
        <v>23886</v>
      </c>
      <c r="B6906" s="384" t="s">
        <v>23887</v>
      </c>
      <c r="C6906" s="384" t="s">
        <v>75</v>
      </c>
      <c r="D6906" s="385" t="s">
        <v>6198</v>
      </c>
    </row>
    <row r="6907" spans="1:4" x14ac:dyDescent="0.25">
      <c r="A6907" s="384" t="s">
        <v>23888</v>
      </c>
      <c r="B6907" s="384" t="s">
        <v>23889</v>
      </c>
      <c r="C6907" s="384" t="s">
        <v>75</v>
      </c>
      <c r="D6907" s="385" t="s">
        <v>5645</v>
      </c>
    </row>
    <row r="6908" spans="1:4" x14ac:dyDescent="0.25">
      <c r="A6908" s="384" t="s">
        <v>23890</v>
      </c>
      <c r="B6908" s="384" t="s">
        <v>23891</v>
      </c>
      <c r="C6908" s="384" t="s">
        <v>75</v>
      </c>
      <c r="D6908" s="385" t="s">
        <v>23892</v>
      </c>
    </row>
    <row r="6909" spans="1:4" x14ac:dyDescent="0.25">
      <c r="A6909" s="384" t="s">
        <v>23893</v>
      </c>
      <c r="B6909" s="384" t="s">
        <v>23894</v>
      </c>
      <c r="C6909" s="384" t="s">
        <v>75</v>
      </c>
      <c r="D6909" s="385" t="s">
        <v>22754</v>
      </c>
    </row>
    <row r="6910" spans="1:4" x14ac:dyDescent="0.25">
      <c r="A6910" s="384" t="s">
        <v>23895</v>
      </c>
      <c r="B6910" s="384" t="s">
        <v>23896</v>
      </c>
      <c r="C6910" s="384" t="s">
        <v>75</v>
      </c>
      <c r="D6910" s="385" t="s">
        <v>23851</v>
      </c>
    </row>
    <row r="6911" spans="1:4" x14ac:dyDescent="0.25">
      <c r="A6911" s="384" t="s">
        <v>23897</v>
      </c>
      <c r="B6911" s="384" t="s">
        <v>23898</v>
      </c>
      <c r="C6911" s="384" t="s">
        <v>75</v>
      </c>
      <c r="D6911" s="385" t="s">
        <v>6950</v>
      </c>
    </row>
    <row r="6912" spans="1:4" x14ac:dyDescent="0.25">
      <c r="A6912" s="384" t="s">
        <v>23899</v>
      </c>
      <c r="B6912" s="384" t="s">
        <v>23900</v>
      </c>
      <c r="C6912" s="384" t="s">
        <v>75</v>
      </c>
      <c r="D6912" s="385" t="s">
        <v>6531</v>
      </c>
    </row>
    <row r="6913" spans="1:4" x14ac:dyDescent="0.25">
      <c r="A6913" s="384" t="s">
        <v>23901</v>
      </c>
      <c r="B6913" s="384" t="s">
        <v>23902</v>
      </c>
      <c r="C6913" s="384" t="s">
        <v>75</v>
      </c>
      <c r="D6913" s="385" t="s">
        <v>23851</v>
      </c>
    </row>
    <row r="6914" spans="1:4" x14ac:dyDescent="0.25">
      <c r="A6914" s="384" t="s">
        <v>23903</v>
      </c>
      <c r="B6914" s="384" t="s">
        <v>23904</v>
      </c>
      <c r="C6914" s="384" t="s">
        <v>75</v>
      </c>
      <c r="D6914" s="385" t="s">
        <v>6553</v>
      </c>
    </row>
    <row r="6915" spans="1:4" x14ac:dyDescent="0.25">
      <c r="A6915" s="384" t="s">
        <v>23905</v>
      </c>
      <c r="B6915" s="384" t="s">
        <v>23906</v>
      </c>
      <c r="C6915" s="384" t="s">
        <v>75</v>
      </c>
      <c r="D6915" s="385" t="s">
        <v>6335</v>
      </c>
    </row>
    <row r="6916" spans="1:4" x14ac:dyDescent="0.25">
      <c r="A6916" s="384" t="s">
        <v>23907</v>
      </c>
      <c r="B6916" s="384" t="s">
        <v>23908</v>
      </c>
      <c r="C6916" s="384" t="s">
        <v>75</v>
      </c>
      <c r="D6916" s="385" t="s">
        <v>6531</v>
      </c>
    </row>
    <row r="6917" spans="1:4" x14ac:dyDescent="0.25">
      <c r="A6917" s="384" t="s">
        <v>23909</v>
      </c>
      <c r="B6917" s="384" t="s">
        <v>23910</v>
      </c>
      <c r="C6917" s="384" t="s">
        <v>75</v>
      </c>
      <c r="D6917" s="385" t="s">
        <v>6068</v>
      </c>
    </row>
    <row r="6918" spans="1:4" x14ac:dyDescent="0.25">
      <c r="A6918" s="384" t="s">
        <v>23911</v>
      </c>
      <c r="B6918" s="384" t="s">
        <v>23912</v>
      </c>
      <c r="C6918" s="384" t="s">
        <v>75</v>
      </c>
      <c r="D6918" s="385" t="s">
        <v>7250</v>
      </c>
    </row>
    <row r="6919" spans="1:4" x14ac:dyDescent="0.25">
      <c r="A6919" s="384" t="s">
        <v>23913</v>
      </c>
      <c r="B6919" s="384" t="s">
        <v>23914</v>
      </c>
      <c r="C6919" s="384" t="s">
        <v>75</v>
      </c>
      <c r="D6919" s="385" t="s">
        <v>23826</v>
      </c>
    </row>
    <row r="6920" spans="1:4" x14ac:dyDescent="0.25">
      <c r="A6920" s="384" t="s">
        <v>23915</v>
      </c>
      <c r="B6920" s="384" t="s">
        <v>23916</v>
      </c>
      <c r="C6920" s="384" t="s">
        <v>75</v>
      </c>
      <c r="D6920" s="385" t="s">
        <v>23917</v>
      </c>
    </row>
    <row r="6921" spans="1:4" x14ac:dyDescent="0.25">
      <c r="A6921" s="384" t="s">
        <v>23918</v>
      </c>
      <c r="B6921" s="384" t="s">
        <v>23919</v>
      </c>
      <c r="C6921" s="384" t="s">
        <v>75</v>
      </c>
      <c r="D6921" s="385" t="s">
        <v>7339</v>
      </c>
    </row>
    <row r="6922" spans="1:4" x14ac:dyDescent="0.25">
      <c r="A6922" s="384" t="s">
        <v>23920</v>
      </c>
      <c r="B6922" s="384" t="s">
        <v>23921</v>
      </c>
      <c r="C6922" s="384" t="s">
        <v>75</v>
      </c>
      <c r="D6922" s="385" t="s">
        <v>6142</v>
      </c>
    </row>
    <row r="6923" spans="1:4" x14ac:dyDescent="0.25">
      <c r="A6923" s="384" t="s">
        <v>23922</v>
      </c>
      <c r="B6923" s="384" t="s">
        <v>23923</v>
      </c>
      <c r="C6923" s="384" t="s">
        <v>75</v>
      </c>
      <c r="D6923" s="385" t="s">
        <v>6627</v>
      </c>
    </row>
    <row r="6924" spans="1:4" x14ac:dyDescent="0.25">
      <c r="A6924" s="384" t="s">
        <v>23924</v>
      </c>
      <c r="B6924" s="384" t="s">
        <v>23925</v>
      </c>
      <c r="C6924" s="384" t="s">
        <v>75</v>
      </c>
      <c r="D6924" s="385" t="s">
        <v>23851</v>
      </c>
    </row>
    <row r="6925" spans="1:4" x14ac:dyDescent="0.25">
      <c r="A6925" s="384" t="s">
        <v>23926</v>
      </c>
      <c r="B6925" s="384" t="s">
        <v>23927</v>
      </c>
      <c r="C6925" s="384" t="s">
        <v>75</v>
      </c>
      <c r="D6925" s="385" t="s">
        <v>23826</v>
      </c>
    </row>
    <row r="6926" spans="1:4" x14ac:dyDescent="0.25">
      <c r="A6926" s="384" t="s">
        <v>23928</v>
      </c>
      <c r="B6926" s="384" t="s">
        <v>23929</v>
      </c>
      <c r="C6926" s="384" t="s">
        <v>75</v>
      </c>
      <c r="D6926" s="385" t="s">
        <v>6853</v>
      </c>
    </row>
    <row r="6927" spans="1:4" x14ac:dyDescent="0.25">
      <c r="A6927" s="384" t="s">
        <v>23930</v>
      </c>
      <c r="B6927" s="384" t="s">
        <v>23931</v>
      </c>
      <c r="C6927" s="384" t="s">
        <v>75</v>
      </c>
      <c r="D6927" s="385" t="s">
        <v>23826</v>
      </c>
    </row>
    <row r="6928" spans="1:4" x14ac:dyDescent="0.25">
      <c r="A6928" s="384" t="s">
        <v>23932</v>
      </c>
      <c r="B6928" s="384" t="s">
        <v>23933</v>
      </c>
      <c r="C6928" s="384" t="s">
        <v>75</v>
      </c>
      <c r="D6928" s="385" t="s">
        <v>6750</v>
      </c>
    </row>
    <row r="6929" spans="1:4" x14ac:dyDescent="0.25">
      <c r="A6929" s="384" t="s">
        <v>23934</v>
      </c>
      <c r="B6929" s="384" t="s">
        <v>23935</v>
      </c>
      <c r="C6929" s="384" t="s">
        <v>75</v>
      </c>
      <c r="D6929" s="385" t="s">
        <v>6068</v>
      </c>
    </row>
    <row r="6930" spans="1:4" x14ac:dyDescent="0.25">
      <c r="A6930" s="384" t="s">
        <v>23936</v>
      </c>
      <c r="B6930" s="384" t="s">
        <v>23937</v>
      </c>
      <c r="C6930" s="384" t="s">
        <v>75</v>
      </c>
      <c r="D6930" s="385" t="s">
        <v>7250</v>
      </c>
    </row>
    <row r="6931" spans="1:4" x14ac:dyDescent="0.25">
      <c r="A6931" s="384" t="s">
        <v>23938</v>
      </c>
      <c r="B6931" s="384" t="s">
        <v>23939</v>
      </c>
      <c r="C6931" s="384" t="s">
        <v>75</v>
      </c>
      <c r="D6931" s="385" t="s">
        <v>23940</v>
      </c>
    </row>
    <row r="6932" spans="1:4" x14ac:dyDescent="0.25">
      <c r="A6932" s="384" t="s">
        <v>23941</v>
      </c>
      <c r="B6932" s="384" t="s">
        <v>23942</v>
      </c>
      <c r="C6932" s="384" t="s">
        <v>75</v>
      </c>
      <c r="D6932" s="385" t="s">
        <v>6198</v>
      </c>
    </row>
    <row r="6933" spans="1:4" x14ac:dyDescent="0.25">
      <c r="A6933" s="384" t="s">
        <v>23943</v>
      </c>
      <c r="B6933" s="384" t="s">
        <v>23944</v>
      </c>
      <c r="C6933" s="384" t="s">
        <v>75</v>
      </c>
      <c r="D6933" s="385" t="s">
        <v>5806</v>
      </c>
    </row>
    <row r="6934" spans="1:4" x14ac:dyDescent="0.25">
      <c r="A6934" s="384" t="s">
        <v>23945</v>
      </c>
      <c r="B6934" s="384" t="s">
        <v>23946</v>
      </c>
      <c r="C6934" s="384" t="s">
        <v>75</v>
      </c>
      <c r="D6934" s="385" t="s">
        <v>6588</v>
      </c>
    </row>
    <row r="6935" spans="1:4" x14ac:dyDescent="0.25">
      <c r="A6935" s="384" t="s">
        <v>23947</v>
      </c>
      <c r="B6935" s="384" t="s">
        <v>23948</v>
      </c>
      <c r="C6935" s="384" t="s">
        <v>75</v>
      </c>
      <c r="D6935" s="385" t="s">
        <v>23917</v>
      </c>
    </row>
    <row r="6936" spans="1:4" x14ac:dyDescent="0.25">
      <c r="A6936" s="384" t="s">
        <v>23949</v>
      </c>
      <c r="B6936" s="384" t="s">
        <v>23950</v>
      </c>
      <c r="C6936" s="384" t="s">
        <v>75</v>
      </c>
      <c r="D6936" s="385" t="s">
        <v>5892</v>
      </c>
    </row>
    <row r="6937" spans="1:4" x14ac:dyDescent="0.25">
      <c r="A6937" s="384" t="s">
        <v>23951</v>
      </c>
      <c r="B6937" s="384" t="s">
        <v>23952</v>
      </c>
      <c r="C6937" s="384" t="s">
        <v>75</v>
      </c>
      <c r="D6937" s="385" t="s">
        <v>5645</v>
      </c>
    </row>
    <row r="6938" spans="1:4" x14ac:dyDescent="0.25">
      <c r="A6938" s="384" t="s">
        <v>23953</v>
      </c>
      <c r="B6938" s="384" t="s">
        <v>23954</v>
      </c>
      <c r="C6938" s="384" t="s">
        <v>75</v>
      </c>
      <c r="D6938" s="385" t="s">
        <v>6335</v>
      </c>
    </row>
    <row r="6939" spans="1:4" x14ac:dyDescent="0.25">
      <c r="A6939" s="384" t="s">
        <v>23955</v>
      </c>
      <c r="B6939" s="384" t="s">
        <v>23956</v>
      </c>
      <c r="C6939" s="384" t="s">
        <v>75</v>
      </c>
      <c r="D6939" s="385" t="s">
        <v>5710</v>
      </c>
    </row>
    <row r="6940" spans="1:4" x14ac:dyDescent="0.25">
      <c r="A6940" s="384" t="s">
        <v>23957</v>
      </c>
      <c r="B6940" s="384" t="s">
        <v>23958</v>
      </c>
      <c r="C6940" s="384" t="s">
        <v>75</v>
      </c>
      <c r="D6940" s="385" t="s">
        <v>23823</v>
      </c>
    </row>
    <row r="6941" spans="1:4" x14ac:dyDescent="0.25">
      <c r="A6941" s="384" t="s">
        <v>23959</v>
      </c>
      <c r="B6941" s="384" t="s">
        <v>23960</v>
      </c>
      <c r="C6941" s="384" t="s">
        <v>75</v>
      </c>
      <c r="D6941" s="385" t="s">
        <v>23940</v>
      </c>
    </row>
    <row r="6942" spans="1:4" x14ac:dyDescent="0.25">
      <c r="A6942" s="384" t="s">
        <v>23961</v>
      </c>
      <c r="B6942" s="384" t="s">
        <v>23962</v>
      </c>
      <c r="C6942" s="384" t="s">
        <v>75</v>
      </c>
      <c r="D6942" s="385" t="s">
        <v>23940</v>
      </c>
    </row>
    <row r="6943" spans="1:4" x14ac:dyDescent="0.25">
      <c r="A6943" s="384" t="s">
        <v>23963</v>
      </c>
      <c r="B6943" s="384" t="s">
        <v>23964</v>
      </c>
      <c r="C6943" s="384" t="s">
        <v>75</v>
      </c>
      <c r="D6943" s="385" t="s">
        <v>6627</v>
      </c>
    </row>
    <row r="6944" spans="1:4" x14ac:dyDescent="0.25">
      <c r="A6944" s="384" t="s">
        <v>23965</v>
      </c>
      <c r="B6944" s="384" t="s">
        <v>23966</v>
      </c>
      <c r="C6944" s="384" t="s">
        <v>75</v>
      </c>
      <c r="D6944" s="385" t="s">
        <v>6627</v>
      </c>
    </row>
    <row r="6945" spans="1:4" x14ac:dyDescent="0.25">
      <c r="A6945" s="384" t="s">
        <v>23967</v>
      </c>
      <c r="B6945" s="384" t="s">
        <v>23968</v>
      </c>
      <c r="C6945" s="384" t="s">
        <v>75</v>
      </c>
      <c r="D6945" s="385" t="s">
        <v>6359</v>
      </c>
    </row>
    <row r="6946" spans="1:4" x14ac:dyDescent="0.25">
      <c r="A6946" s="384" t="s">
        <v>23969</v>
      </c>
      <c r="B6946" s="384" t="s">
        <v>23970</v>
      </c>
      <c r="C6946" s="384" t="s">
        <v>75</v>
      </c>
      <c r="D6946" s="385" t="s">
        <v>5645</v>
      </c>
    </row>
    <row r="6947" spans="1:4" x14ac:dyDescent="0.25">
      <c r="A6947" s="384" t="s">
        <v>23971</v>
      </c>
      <c r="B6947" s="384" t="s">
        <v>23972</v>
      </c>
      <c r="C6947" s="384" t="s">
        <v>75</v>
      </c>
      <c r="D6947" s="385" t="s">
        <v>6750</v>
      </c>
    </row>
    <row r="6948" spans="1:4" x14ac:dyDescent="0.25">
      <c r="A6948" s="384" t="s">
        <v>23973</v>
      </c>
      <c r="B6948" s="384" t="s">
        <v>23974</v>
      </c>
      <c r="C6948" s="384" t="s">
        <v>75</v>
      </c>
      <c r="D6948" s="385" t="s">
        <v>5806</v>
      </c>
    </row>
    <row r="6949" spans="1:4" x14ac:dyDescent="0.25">
      <c r="A6949" s="384" t="s">
        <v>23975</v>
      </c>
      <c r="B6949" s="384" t="s">
        <v>23976</v>
      </c>
      <c r="C6949" s="384" t="s">
        <v>75</v>
      </c>
      <c r="D6949" s="385" t="s">
        <v>6627</v>
      </c>
    </row>
    <row r="6950" spans="1:4" x14ac:dyDescent="0.25">
      <c r="A6950" s="384" t="s">
        <v>23977</v>
      </c>
      <c r="B6950" s="384" t="s">
        <v>23978</v>
      </c>
      <c r="C6950" s="384" t="s">
        <v>75</v>
      </c>
      <c r="D6950" s="385" t="s">
        <v>5710</v>
      </c>
    </row>
    <row r="6951" spans="1:4" x14ac:dyDescent="0.25">
      <c r="A6951" s="384" t="s">
        <v>23979</v>
      </c>
      <c r="B6951" s="384" t="s">
        <v>23980</v>
      </c>
      <c r="C6951" s="384" t="s">
        <v>75</v>
      </c>
      <c r="D6951" s="385" t="s">
        <v>6068</v>
      </c>
    </row>
    <row r="6952" spans="1:4" x14ac:dyDescent="0.25">
      <c r="A6952" s="384" t="s">
        <v>23981</v>
      </c>
      <c r="B6952" s="384" t="s">
        <v>23982</v>
      </c>
      <c r="C6952" s="384" t="s">
        <v>75</v>
      </c>
      <c r="D6952" s="385" t="s">
        <v>23851</v>
      </c>
    </row>
    <row r="6953" spans="1:4" x14ac:dyDescent="0.25">
      <c r="A6953" s="384" t="s">
        <v>23983</v>
      </c>
      <c r="B6953" s="384" t="s">
        <v>23984</v>
      </c>
      <c r="C6953" s="384" t="s">
        <v>75</v>
      </c>
      <c r="D6953" s="385" t="s">
        <v>23940</v>
      </c>
    </row>
    <row r="6954" spans="1:4" x14ac:dyDescent="0.25">
      <c r="A6954" s="384" t="s">
        <v>23985</v>
      </c>
      <c r="B6954" s="384" t="s">
        <v>23986</v>
      </c>
      <c r="C6954" s="384" t="s">
        <v>75</v>
      </c>
      <c r="D6954" s="385" t="s">
        <v>6950</v>
      </c>
    </row>
    <row r="6955" spans="1:4" x14ac:dyDescent="0.25">
      <c r="A6955" s="384" t="s">
        <v>23987</v>
      </c>
      <c r="B6955" s="384" t="s">
        <v>23988</v>
      </c>
      <c r="C6955" s="384" t="s">
        <v>75</v>
      </c>
      <c r="D6955" s="385" t="s">
        <v>23046</v>
      </c>
    </row>
    <row r="6956" spans="1:4" x14ac:dyDescent="0.25">
      <c r="A6956" s="384" t="s">
        <v>23989</v>
      </c>
      <c r="B6956" s="384" t="s">
        <v>23990</v>
      </c>
      <c r="C6956" s="384" t="s">
        <v>75</v>
      </c>
      <c r="D6956" s="385" t="s">
        <v>6514</v>
      </c>
    </row>
    <row r="6957" spans="1:4" x14ac:dyDescent="0.25">
      <c r="A6957" s="384" t="s">
        <v>23991</v>
      </c>
      <c r="B6957" s="384" t="s">
        <v>23992</v>
      </c>
      <c r="C6957" s="384" t="s">
        <v>75</v>
      </c>
      <c r="D6957" s="385" t="s">
        <v>6682</v>
      </c>
    </row>
    <row r="6958" spans="1:4" x14ac:dyDescent="0.25">
      <c r="A6958" s="384" t="s">
        <v>23993</v>
      </c>
      <c r="B6958" s="384" t="s">
        <v>23994</v>
      </c>
      <c r="C6958" s="384" t="s">
        <v>75</v>
      </c>
      <c r="D6958" s="385" t="s">
        <v>6528</v>
      </c>
    </row>
    <row r="6959" spans="1:4" x14ac:dyDescent="0.25">
      <c r="A6959" s="384" t="s">
        <v>23995</v>
      </c>
      <c r="B6959" s="384" t="s">
        <v>23996</v>
      </c>
      <c r="C6959" s="384" t="s">
        <v>75</v>
      </c>
      <c r="D6959" s="385" t="s">
        <v>7250</v>
      </c>
    </row>
    <row r="6960" spans="1:4" x14ac:dyDescent="0.25">
      <c r="A6960" s="384" t="s">
        <v>23997</v>
      </c>
      <c r="B6960" s="384" t="s">
        <v>23998</v>
      </c>
      <c r="C6960" s="384" t="s">
        <v>75</v>
      </c>
      <c r="D6960" s="385" t="s">
        <v>5710</v>
      </c>
    </row>
    <row r="6961" spans="1:4" x14ac:dyDescent="0.25">
      <c r="A6961" s="384" t="s">
        <v>23999</v>
      </c>
      <c r="B6961" s="384" t="s">
        <v>24000</v>
      </c>
      <c r="C6961" s="384" t="s">
        <v>75</v>
      </c>
      <c r="D6961" s="385" t="s">
        <v>6068</v>
      </c>
    </row>
    <row r="6962" spans="1:4" x14ac:dyDescent="0.25">
      <c r="A6962" s="384" t="s">
        <v>24001</v>
      </c>
      <c r="B6962" s="384" t="s">
        <v>24002</v>
      </c>
      <c r="C6962" s="384" t="s">
        <v>75</v>
      </c>
      <c r="D6962" s="385" t="s">
        <v>6750</v>
      </c>
    </row>
    <row r="6963" spans="1:4" x14ac:dyDescent="0.25">
      <c r="A6963" s="384" t="s">
        <v>24003</v>
      </c>
      <c r="B6963" s="384" t="s">
        <v>24004</v>
      </c>
      <c r="C6963" s="384" t="s">
        <v>75</v>
      </c>
      <c r="D6963" s="385" t="s">
        <v>7576</v>
      </c>
    </row>
    <row r="6964" spans="1:4" x14ac:dyDescent="0.25">
      <c r="A6964" s="384" t="s">
        <v>24005</v>
      </c>
      <c r="B6964" s="384" t="s">
        <v>24006</v>
      </c>
      <c r="C6964" s="384" t="s">
        <v>75</v>
      </c>
      <c r="D6964" s="385" t="s">
        <v>24007</v>
      </c>
    </row>
    <row r="6965" spans="1:4" x14ac:dyDescent="0.25">
      <c r="A6965" s="384" t="s">
        <v>24008</v>
      </c>
      <c r="B6965" s="384" t="s">
        <v>24009</v>
      </c>
      <c r="C6965" s="384" t="s">
        <v>75</v>
      </c>
      <c r="D6965" s="385" t="s">
        <v>23041</v>
      </c>
    </row>
    <row r="6966" spans="1:4" x14ac:dyDescent="0.25">
      <c r="A6966" s="384" t="s">
        <v>24010</v>
      </c>
      <c r="B6966" s="384" t="s">
        <v>24011</v>
      </c>
      <c r="C6966" s="384" t="s">
        <v>75</v>
      </c>
      <c r="D6966" s="385" t="s">
        <v>24012</v>
      </c>
    </row>
    <row r="6967" spans="1:4" x14ac:dyDescent="0.25">
      <c r="A6967" s="384" t="s">
        <v>24013</v>
      </c>
      <c r="B6967" s="384" t="s">
        <v>24014</v>
      </c>
      <c r="C6967" s="384" t="s">
        <v>75</v>
      </c>
      <c r="D6967" s="385" t="s">
        <v>7388</v>
      </c>
    </row>
    <row r="6968" spans="1:4" x14ac:dyDescent="0.25">
      <c r="A6968" s="384" t="s">
        <v>24015</v>
      </c>
      <c r="B6968" s="384" t="s">
        <v>24016</v>
      </c>
      <c r="C6968" s="384" t="s">
        <v>75</v>
      </c>
      <c r="D6968" s="385" t="s">
        <v>23892</v>
      </c>
    </row>
    <row r="6969" spans="1:4" x14ac:dyDescent="0.25">
      <c r="A6969" s="384" t="s">
        <v>24017</v>
      </c>
      <c r="B6969" s="384" t="s">
        <v>24018</v>
      </c>
      <c r="C6969" s="384" t="s">
        <v>75</v>
      </c>
      <c r="D6969" s="385" t="s">
        <v>24019</v>
      </c>
    </row>
    <row r="6970" spans="1:4" x14ac:dyDescent="0.25">
      <c r="A6970" s="384" t="s">
        <v>24020</v>
      </c>
      <c r="B6970" s="384" t="s">
        <v>24021</v>
      </c>
      <c r="C6970" s="384" t="s">
        <v>23781</v>
      </c>
      <c r="D6970" s="385" t="s">
        <v>14933</v>
      </c>
    </row>
    <row r="6971" spans="1:4" x14ac:dyDescent="0.25">
      <c r="A6971" s="384" t="s">
        <v>24022</v>
      </c>
      <c r="B6971" s="384" t="s">
        <v>24023</v>
      </c>
      <c r="C6971" s="384" t="s">
        <v>23781</v>
      </c>
      <c r="D6971" s="385" t="s">
        <v>15710</v>
      </c>
    </row>
    <row r="6972" spans="1:4" x14ac:dyDescent="0.25">
      <c r="A6972" s="384" t="s">
        <v>24024</v>
      </c>
      <c r="B6972" s="384" t="s">
        <v>24025</v>
      </c>
      <c r="C6972" s="384" t="s">
        <v>23781</v>
      </c>
      <c r="D6972" s="385" t="s">
        <v>24026</v>
      </c>
    </row>
    <row r="6973" spans="1:4" x14ac:dyDescent="0.25">
      <c r="A6973" s="384" t="s">
        <v>24027</v>
      </c>
      <c r="B6973" s="384" t="s">
        <v>24028</v>
      </c>
      <c r="C6973" s="384" t="s">
        <v>23781</v>
      </c>
      <c r="D6973" s="385" t="s">
        <v>24029</v>
      </c>
    </row>
    <row r="6974" spans="1:4" x14ac:dyDescent="0.25">
      <c r="A6974" s="384" t="s">
        <v>24030</v>
      </c>
      <c r="B6974" s="384" t="s">
        <v>24031</v>
      </c>
      <c r="C6974" s="384" t="s">
        <v>23781</v>
      </c>
      <c r="D6974" s="385" t="s">
        <v>7901</v>
      </c>
    </row>
    <row r="6975" spans="1:4" x14ac:dyDescent="0.25">
      <c r="A6975" s="384" t="s">
        <v>24032</v>
      </c>
      <c r="B6975" s="384" t="s">
        <v>24033</v>
      </c>
      <c r="C6975" s="384" t="s">
        <v>23781</v>
      </c>
      <c r="D6975" s="385" t="s">
        <v>12579</v>
      </c>
    </row>
    <row r="6976" spans="1:4" x14ac:dyDescent="0.25">
      <c r="A6976" s="384" t="s">
        <v>24034</v>
      </c>
      <c r="B6976" s="384" t="s">
        <v>24035</v>
      </c>
      <c r="C6976" s="384" t="s">
        <v>23781</v>
      </c>
      <c r="D6976" s="385" t="s">
        <v>24036</v>
      </c>
    </row>
    <row r="6977" spans="1:4" x14ac:dyDescent="0.25">
      <c r="A6977" s="384" t="s">
        <v>24037</v>
      </c>
      <c r="B6977" s="384" t="s">
        <v>24038</v>
      </c>
      <c r="C6977" s="384" t="s">
        <v>23781</v>
      </c>
      <c r="D6977" s="385" t="s">
        <v>24039</v>
      </c>
    </row>
    <row r="6978" spans="1:4" x14ac:dyDescent="0.25">
      <c r="A6978" s="384" t="s">
        <v>24040</v>
      </c>
      <c r="B6978" s="384" t="s">
        <v>24041</v>
      </c>
      <c r="C6978" s="384" t="s">
        <v>23781</v>
      </c>
      <c r="D6978" s="385" t="s">
        <v>15847</v>
      </c>
    </row>
    <row r="6979" spans="1:4" x14ac:dyDescent="0.25">
      <c r="A6979" s="384" t="s">
        <v>24042</v>
      </c>
      <c r="B6979" s="384" t="s">
        <v>24043</v>
      </c>
      <c r="C6979" s="384" t="s">
        <v>23781</v>
      </c>
      <c r="D6979" s="385" t="s">
        <v>24044</v>
      </c>
    </row>
    <row r="6980" spans="1:4" x14ac:dyDescent="0.25">
      <c r="A6980" s="384" t="s">
        <v>24045</v>
      </c>
      <c r="B6980" s="384" t="s">
        <v>24046</v>
      </c>
      <c r="C6980" s="384" t="s">
        <v>23781</v>
      </c>
      <c r="D6980" s="385" t="s">
        <v>24047</v>
      </c>
    </row>
    <row r="6981" spans="1:4" x14ac:dyDescent="0.25">
      <c r="A6981" s="384" t="s">
        <v>24048</v>
      </c>
      <c r="B6981" s="384" t="s">
        <v>24049</v>
      </c>
      <c r="C6981" s="384" t="s">
        <v>23781</v>
      </c>
      <c r="D6981" s="385" t="s">
        <v>24050</v>
      </c>
    </row>
    <row r="6982" spans="1:4" x14ac:dyDescent="0.25">
      <c r="A6982" s="384" t="s">
        <v>24051</v>
      </c>
      <c r="B6982" s="384" t="s">
        <v>24052</v>
      </c>
      <c r="C6982" s="384" t="s">
        <v>23781</v>
      </c>
      <c r="D6982" s="385" t="s">
        <v>24053</v>
      </c>
    </row>
    <row r="6983" spans="1:4" x14ac:dyDescent="0.25">
      <c r="A6983" s="384" t="s">
        <v>24054</v>
      </c>
      <c r="B6983" s="384" t="s">
        <v>24055</v>
      </c>
      <c r="C6983" s="384" t="s">
        <v>23781</v>
      </c>
      <c r="D6983" s="385" t="s">
        <v>24056</v>
      </c>
    </row>
    <row r="6984" spans="1:4" x14ac:dyDescent="0.25">
      <c r="A6984" s="384" t="s">
        <v>24057</v>
      </c>
      <c r="B6984" s="384" t="s">
        <v>24058</v>
      </c>
      <c r="C6984" s="384" t="s">
        <v>23781</v>
      </c>
      <c r="D6984" s="385" t="s">
        <v>7012</v>
      </c>
    </row>
    <row r="6985" spans="1:4" x14ac:dyDescent="0.25">
      <c r="A6985" s="384" t="s">
        <v>24059</v>
      </c>
      <c r="B6985" s="384" t="s">
        <v>24060</v>
      </c>
      <c r="C6985" s="384" t="s">
        <v>23781</v>
      </c>
      <c r="D6985" s="385" t="s">
        <v>24061</v>
      </c>
    </row>
    <row r="6986" spans="1:4" x14ac:dyDescent="0.25">
      <c r="A6986" s="384" t="s">
        <v>24062</v>
      </c>
      <c r="B6986" s="384" t="s">
        <v>24063</v>
      </c>
      <c r="C6986" s="384" t="s">
        <v>23781</v>
      </c>
      <c r="D6986" s="385" t="s">
        <v>24064</v>
      </c>
    </row>
    <row r="6987" spans="1:4" x14ac:dyDescent="0.25">
      <c r="A6987" s="384" t="s">
        <v>24065</v>
      </c>
      <c r="B6987" s="384" t="s">
        <v>24066</v>
      </c>
      <c r="C6987" s="384" t="s">
        <v>75</v>
      </c>
      <c r="D6987" s="385" t="s">
        <v>6519</v>
      </c>
    </row>
    <row r="6988" spans="1:4" x14ac:dyDescent="0.25">
      <c r="A6988" s="384" t="s">
        <v>24067</v>
      </c>
      <c r="B6988" s="384" t="s">
        <v>24068</v>
      </c>
      <c r="C6988" s="384" t="s">
        <v>75</v>
      </c>
      <c r="D6988" s="385" t="s">
        <v>24069</v>
      </c>
    </row>
    <row r="6989" spans="1:4" x14ac:dyDescent="0.25">
      <c r="A6989" s="384" t="s">
        <v>24070</v>
      </c>
      <c r="B6989" s="384" t="s">
        <v>24071</v>
      </c>
      <c r="C6989" s="384" t="s">
        <v>75</v>
      </c>
      <c r="D6989" s="385" t="s">
        <v>5710</v>
      </c>
    </row>
    <row r="6990" spans="1:4" x14ac:dyDescent="0.25">
      <c r="A6990" s="384" t="s">
        <v>24072</v>
      </c>
      <c r="B6990" s="384" t="s">
        <v>24073</v>
      </c>
      <c r="C6990" s="384" t="s">
        <v>75</v>
      </c>
      <c r="D6990" s="385" t="s">
        <v>6198</v>
      </c>
    </row>
    <row r="6991" spans="1:4" x14ac:dyDescent="0.25">
      <c r="A6991" s="384" t="s">
        <v>24074</v>
      </c>
      <c r="B6991" s="384" t="s">
        <v>24075</v>
      </c>
      <c r="C6991" s="384" t="s">
        <v>75</v>
      </c>
      <c r="D6991" s="385" t="s">
        <v>7465</v>
      </c>
    </row>
    <row r="6992" spans="1:4" x14ac:dyDescent="0.25">
      <c r="A6992" s="384" t="s">
        <v>24076</v>
      </c>
      <c r="B6992" s="384" t="s">
        <v>24077</v>
      </c>
      <c r="C6992" s="384" t="s">
        <v>75</v>
      </c>
      <c r="D6992" s="385" t="s">
        <v>6198</v>
      </c>
    </row>
    <row r="6993" spans="1:4" x14ac:dyDescent="0.25">
      <c r="A6993" s="384" t="s">
        <v>24078</v>
      </c>
      <c r="B6993" s="384" t="s">
        <v>24079</v>
      </c>
      <c r="C6993" s="384" t="s">
        <v>75</v>
      </c>
      <c r="D6993" s="385" t="s">
        <v>6691</v>
      </c>
    </row>
    <row r="6994" spans="1:4" x14ac:dyDescent="0.25">
      <c r="A6994" s="384" t="s">
        <v>24080</v>
      </c>
      <c r="B6994" s="384" t="s">
        <v>24081</v>
      </c>
      <c r="C6994" s="384" t="s">
        <v>75</v>
      </c>
      <c r="D6994" s="385" t="s">
        <v>6514</v>
      </c>
    </row>
    <row r="6995" spans="1:4" x14ac:dyDescent="0.25">
      <c r="A6995" s="384" t="s">
        <v>24082</v>
      </c>
      <c r="B6995" s="384" t="s">
        <v>24083</v>
      </c>
      <c r="C6995" s="384" t="s">
        <v>75</v>
      </c>
      <c r="D6995" s="385" t="s">
        <v>7873</v>
      </c>
    </row>
    <row r="6996" spans="1:4" x14ac:dyDescent="0.25">
      <c r="A6996" s="384" t="s">
        <v>24084</v>
      </c>
      <c r="B6996" s="384" t="s">
        <v>24085</v>
      </c>
      <c r="C6996" s="384" t="s">
        <v>75</v>
      </c>
      <c r="D6996" s="385" t="s">
        <v>20490</v>
      </c>
    </row>
    <row r="6997" spans="1:4" x14ac:dyDescent="0.25">
      <c r="A6997" s="384" t="s">
        <v>24086</v>
      </c>
      <c r="B6997" s="384" t="s">
        <v>24087</v>
      </c>
      <c r="C6997" s="384" t="s">
        <v>75</v>
      </c>
      <c r="D6997" s="385" t="s">
        <v>6896</v>
      </c>
    </row>
    <row r="6998" spans="1:4" x14ac:dyDescent="0.25">
      <c r="A6998" s="384" t="s">
        <v>24088</v>
      </c>
      <c r="B6998" s="384" t="s">
        <v>24089</v>
      </c>
      <c r="C6998" s="384" t="s">
        <v>75</v>
      </c>
      <c r="D6998" s="385" t="s">
        <v>23000</v>
      </c>
    </row>
    <row r="6999" spans="1:4" x14ac:dyDescent="0.25">
      <c r="A6999" s="384" t="s">
        <v>24090</v>
      </c>
      <c r="B6999" s="384" t="s">
        <v>24091</v>
      </c>
      <c r="C6999" s="384" t="s">
        <v>75</v>
      </c>
      <c r="D6999" s="385" t="s">
        <v>24092</v>
      </c>
    </row>
    <row r="7000" spans="1:4" x14ac:dyDescent="0.25">
      <c r="A7000" s="384" t="s">
        <v>1178</v>
      </c>
      <c r="B7000" s="384" t="s">
        <v>24093</v>
      </c>
      <c r="C7000" s="384" t="s">
        <v>75</v>
      </c>
      <c r="D7000" s="385" t="s">
        <v>5570</v>
      </c>
    </row>
    <row r="7001" spans="1:4" x14ac:dyDescent="0.25">
      <c r="A7001" s="384" t="s">
        <v>24094</v>
      </c>
      <c r="B7001" s="384" t="s">
        <v>24095</v>
      </c>
      <c r="C7001" s="384" t="s">
        <v>75</v>
      </c>
      <c r="D7001" s="385" t="s">
        <v>24096</v>
      </c>
    </row>
    <row r="7002" spans="1:4" x14ac:dyDescent="0.25">
      <c r="A7002" s="384" t="s">
        <v>24097</v>
      </c>
      <c r="B7002" s="384" t="s">
        <v>24098</v>
      </c>
      <c r="C7002" s="384" t="s">
        <v>75</v>
      </c>
      <c r="D7002" s="385" t="s">
        <v>24099</v>
      </c>
    </row>
    <row r="7003" spans="1:4" x14ac:dyDescent="0.25">
      <c r="A7003" s="384" t="s">
        <v>24100</v>
      </c>
      <c r="B7003" s="384" t="s">
        <v>24101</v>
      </c>
      <c r="C7003" s="384" t="s">
        <v>75</v>
      </c>
      <c r="D7003" s="385" t="s">
        <v>24102</v>
      </c>
    </row>
    <row r="7004" spans="1:4" x14ac:dyDescent="0.25">
      <c r="A7004" s="384" t="s">
        <v>24103</v>
      </c>
      <c r="B7004" s="384" t="s">
        <v>24104</v>
      </c>
      <c r="C7004" s="384" t="s">
        <v>75</v>
      </c>
      <c r="D7004" s="385" t="s">
        <v>24105</v>
      </c>
    </row>
    <row r="7005" spans="1:4" x14ac:dyDescent="0.25">
      <c r="A7005" s="384" t="s">
        <v>24106</v>
      </c>
      <c r="B7005" s="384" t="s">
        <v>24107</v>
      </c>
      <c r="C7005" s="384" t="s">
        <v>75</v>
      </c>
      <c r="D7005" s="385" t="s">
        <v>24108</v>
      </c>
    </row>
    <row r="7006" spans="1:4" x14ac:dyDescent="0.25">
      <c r="A7006" s="384" t="s">
        <v>24109</v>
      </c>
      <c r="B7006" s="384" t="s">
        <v>24110</v>
      </c>
      <c r="C7006" s="384" t="s">
        <v>75</v>
      </c>
      <c r="D7006" s="385" t="s">
        <v>24111</v>
      </c>
    </row>
    <row r="7007" spans="1:4" x14ac:dyDescent="0.25">
      <c r="A7007" s="384" t="s">
        <v>24112</v>
      </c>
      <c r="B7007" s="384" t="s">
        <v>24113</v>
      </c>
      <c r="C7007" s="384" t="s">
        <v>75</v>
      </c>
      <c r="D7007" s="385" t="s">
        <v>23627</v>
      </c>
    </row>
    <row r="7008" spans="1:4" x14ac:dyDescent="0.25">
      <c r="A7008" s="384" t="s">
        <v>24114</v>
      </c>
      <c r="B7008" s="384" t="s">
        <v>24115</v>
      </c>
      <c r="C7008" s="384" t="s">
        <v>75</v>
      </c>
      <c r="D7008" s="385" t="s">
        <v>24116</v>
      </c>
    </row>
    <row r="7009" spans="1:4" x14ac:dyDescent="0.25">
      <c r="A7009" s="384" t="s">
        <v>24117</v>
      </c>
      <c r="B7009" s="384" t="s">
        <v>24118</v>
      </c>
      <c r="C7009" s="384" t="s">
        <v>23781</v>
      </c>
      <c r="D7009" s="385" t="s">
        <v>13934</v>
      </c>
    </row>
    <row r="7010" spans="1:4" x14ac:dyDescent="0.25">
      <c r="A7010" s="384" t="s">
        <v>24119</v>
      </c>
      <c r="B7010" s="384" t="s">
        <v>24120</v>
      </c>
      <c r="C7010" s="384" t="s">
        <v>23781</v>
      </c>
      <c r="D7010" s="385" t="s">
        <v>24121</v>
      </c>
    </row>
    <row r="7011" spans="1:4" x14ac:dyDescent="0.25">
      <c r="A7011" s="384" t="s">
        <v>24122</v>
      </c>
      <c r="B7011" s="384" t="s">
        <v>24123</v>
      </c>
      <c r="C7011" s="384" t="s">
        <v>23781</v>
      </c>
      <c r="D7011" s="385" t="s">
        <v>24124</v>
      </c>
    </row>
    <row r="7012" spans="1:4" x14ac:dyDescent="0.25">
      <c r="A7012" s="384" t="s">
        <v>24125</v>
      </c>
      <c r="B7012" s="384" t="s">
        <v>24126</v>
      </c>
      <c r="C7012" s="384" t="s">
        <v>23781</v>
      </c>
      <c r="D7012" s="385" t="s">
        <v>24127</v>
      </c>
    </row>
    <row r="7013" spans="1:4" x14ac:dyDescent="0.25">
      <c r="A7013" s="384" t="s">
        <v>24128</v>
      </c>
      <c r="B7013" s="384" t="s">
        <v>24129</v>
      </c>
      <c r="C7013" s="384" t="s">
        <v>23781</v>
      </c>
      <c r="D7013" s="385" t="s">
        <v>24130</v>
      </c>
    </row>
    <row r="7014" spans="1:4" x14ac:dyDescent="0.25">
      <c r="A7014" s="384" t="s">
        <v>24131</v>
      </c>
      <c r="B7014" s="384" t="s">
        <v>24132</v>
      </c>
      <c r="C7014" s="384" t="s">
        <v>23781</v>
      </c>
      <c r="D7014" s="385" t="s">
        <v>7671</v>
      </c>
    </row>
    <row r="7015" spans="1:4" x14ac:dyDescent="0.25">
      <c r="A7015" s="384" t="s">
        <v>24133</v>
      </c>
      <c r="B7015" s="384" t="s">
        <v>24091</v>
      </c>
      <c r="C7015" s="384" t="s">
        <v>23781</v>
      </c>
      <c r="D7015" s="385" t="s">
        <v>24134</v>
      </c>
    </row>
    <row r="7016" spans="1:4" x14ac:dyDescent="0.25">
      <c r="A7016" s="384" t="s">
        <v>24135</v>
      </c>
      <c r="B7016" s="384" t="s">
        <v>24136</v>
      </c>
      <c r="C7016" s="384" t="s">
        <v>23781</v>
      </c>
      <c r="D7016" s="385" t="s">
        <v>24137</v>
      </c>
    </row>
    <row r="7017" spans="1:4" x14ac:dyDescent="0.25">
      <c r="A7017" s="384" t="s">
        <v>24138</v>
      </c>
      <c r="B7017" s="384" t="s">
        <v>24101</v>
      </c>
      <c r="C7017" s="384" t="s">
        <v>23781</v>
      </c>
      <c r="D7017" s="385" t="s">
        <v>24139</v>
      </c>
    </row>
    <row r="7018" spans="1:4" x14ac:dyDescent="0.25">
      <c r="A7018" s="384" t="s">
        <v>24140</v>
      </c>
      <c r="B7018" s="384" t="s">
        <v>24104</v>
      </c>
      <c r="C7018" s="384" t="s">
        <v>23781</v>
      </c>
      <c r="D7018" s="385" t="s">
        <v>24141</v>
      </c>
    </row>
    <row r="7019" spans="1:4" x14ac:dyDescent="0.25">
      <c r="A7019" s="384" t="s">
        <v>24142</v>
      </c>
      <c r="B7019" s="384" t="s">
        <v>24107</v>
      </c>
      <c r="C7019" s="384" t="s">
        <v>23781</v>
      </c>
      <c r="D7019" s="385" t="s">
        <v>24143</v>
      </c>
    </row>
    <row r="7020" spans="1:4" x14ac:dyDescent="0.25">
      <c r="A7020" s="384" t="s">
        <v>24144</v>
      </c>
      <c r="B7020" s="384" t="s">
        <v>24115</v>
      </c>
      <c r="C7020" s="384" t="s">
        <v>23781</v>
      </c>
      <c r="D7020" s="385" t="s">
        <v>24145</v>
      </c>
    </row>
    <row r="7021" spans="1:4" x14ac:dyDescent="0.25">
      <c r="A7021" s="384" t="s">
        <v>24146</v>
      </c>
      <c r="B7021" s="384" t="s">
        <v>24147</v>
      </c>
      <c r="C7021" s="384" t="s">
        <v>75</v>
      </c>
      <c r="D7021" s="385" t="s">
        <v>24148</v>
      </c>
    </row>
    <row r="7022" spans="1:4" x14ac:dyDescent="0.25">
      <c r="A7022" s="384" t="s">
        <v>24149</v>
      </c>
      <c r="B7022" s="384" t="s">
        <v>24147</v>
      </c>
      <c r="C7022" s="384" t="s">
        <v>23781</v>
      </c>
      <c r="D7022" s="385" t="s">
        <v>24150</v>
      </c>
    </row>
    <row r="7023" spans="1:4" x14ac:dyDescent="0.25">
      <c r="A7023" s="384" t="s">
        <v>24151</v>
      </c>
      <c r="B7023" s="384" t="s">
        <v>24152</v>
      </c>
      <c r="C7023" s="384" t="s">
        <v>75</v>
      </c>
      <c r="D7023" s="385" t="s">
        <v>6522</v>
      </c>
    </row>
    <row r="7024" spans="1:4" x14ac:dyDescent="0.25">
      <c r="A7024" s="384" t="s">
        <v>24153</v>
      </c>
      <c r="B7024" s="384" t="s">
        <v>24154</v>
      </c>
      <c r="C7024" s="384" t="s">
        <v>23781</v>
      </c>
      <c r="D7024" s="385" t="s">
        <v>24155</v>
      </c>
    </row>
    <row r="7025" spans="1:4" x14ac:dyDescent="0.25">
      <c r="A7025" s="384" t="s">
        <v>24156</v>
      </c>
      <c r="B7025" s="384" t="s">
        <v>24157</v>
      </c>
      <c r="C7025" s="384" t="s">
        <v>75</v>
      </c>
      <c r="D7025" s="385" t="s">
        <v>24158</v>
      </c>
    </row>
    <row r="7026" spans="1:4" x14ac:dyDescent="0.25">
      <c r="A7026" s="384" t="s">
        <v>24159</v>
      </c>
      <c r="B7026" s="384" t="s">
        <v>24160</v>
      </c>
      <c r="C7026" s="384" t="s">
        <v>75</v>
      </c>
      <c r="D7026" s="385" t="s">
        <v>23046</v>
      </c>
    </row>
    <row r="7027" spans="1:4" x14ac:dyDescent="0.25">
      <c r="A7027" s="384" t="s">
        <v>24161</v>
      </c>
      <c r="B7027" s="384" t="s">
        <v>24162</v>
      </c>
      <c r="C7027" s="384" t="s">
        <v>23781</v>
      </c>
      <c r="D7027" s="385" t="s">
        <v>24163</v>
      </c>
    </row>
    <row r="7028" spans="1:4" x14ac:dyDescent="0.25">
      <c r="A7028" s="384" t="s">
        <v>24164</v>
      </c>
      <c r="B7028" s="384" t="s">
        <v>24165</v>
      </c>
      <c r="C7028" s="384" t="s">
        <v>23781</v>
      </c>
      <c r="D7028" s="385" t="s">
        <v>24166</v>
      </c>
    </row>
    <row r="7029" spans="1:4" x14ac:dyDescent="0.25">
      <c r="A7029" s="384" t="s">
        <v>24167</v>
      </c>
      <c r="B7029" s="384" t="s">
        <v>24168</v>
      </c>
      <c r="C7029" s="384" t="s">
        <v>23781</v>
      </c>
      <c r="D7029" s="385" t="s">
        <v>11194</v>
      </c>
    </row>
    <row r="7030" spans="1:4" x14ac:dyDescent="0.25">
      <c r="A7030" s="384" t="s">
        <v>24169</v>
      </c>
      <c r="B7030" s="384" t="s">
        <v>24170</v>
      </c>
      <c r="C7030" s="384" t="s">
        <v>23781</v>
      </c>
      <c r="D7030" s="385" t="s">
        <v>12896</v>
      </c>
    </row>
    <row r="7031" spans="1:4" x14ac:dyDescent="0.25">
      <c r="A7031" s="384" t="s">
        <v>24171</v>
      </c>
      <c r="B7031" s="384" t="s">
        <v>24172</v>
      </c>
      <c r="C7031" s="384" t="s">
        <v>23781</v>
      </c>
      <c r="D7031" s="385" t="s">
        <v>20931</v>
      </c>
    </row>
    <row r="7032" spans="1:4" x14ac:dyDescent="0.25">
      <c r="A7032" s="384" t="s">
        <v>24173</v>
      </c>
      <c r="B7032" s="384" t="s">
        <v>24174</v>
      </c>
      <c r="C7032" s="384" t="s">
        <v>23781</v>
      </c>
      <c r="D7032" s="385" t="s">
        <v>24175</v>
      </c>
    </row>
    <row r="7033" spans="1:4" x14ac:dyDescent="0.25">
      <c r="A7033" s="384" t="s">
        <v>24176</v>
      </c>
      <c r="B7033" s="384" t="s">
        <v>24177</v>
      </c>
      <c r="C7033" s="384" t="s">
        <v>23781</v>
      </c>
      <c r="D7033" s="385" t="s">
        <v>24178</v>
      </c>
    </row>
    <row r="7034" spans="1:4" x14ac:dyDescent="0.25">
      <c r="A7034" s="384" t="s">
        <v>24179</v>
      </c>
      <c r="B7034" s="384" t="s">
        <v>24180</v>
      </c>
      <c r="C7034" s="384" t="s">
        <v>23781</v>
      </c>
      <c r="D7034" s="385" t="s">
        <v>24181</v>
      </c>
    </row>
    <row r="7035" spans="1:4" x14ac:dyDescent="0.25">
      <c r="A7035" s="384" t="s">
        <v>24182</v>
      </c>
      <c r="B7035" s="384" t="s">
        <v>24183</v>
      </c>
      <c r="C7035" s="384" t="s">
        <v>23781</v>
      </c>
      <c r="D7035" s="385" t="s">
        <v>24184</v>
      </c>
    </row>
    <row r="7036" spans="1:4" x14ac:dyDescent="0.25">
      <c r="A7036" s="384" t="s">
        <v>24185</v>
      </c>
      <c r="B7036" s="384" t="s">
        <v>24186</v>
      </c>
      <c r="C7036" s="384" t="s">
        <v>23781</v>
      </c>
      <c r="D7036" s="385" t="s">
        <v>24187</v>
      </c>
    </row>
    <row r="7037" spans="1:4" x14ac:dyDescent="0.25">
      <c r="A7037" s="384" t="s">
        <v>24188</v>
      </c>
      <c r="B7037" s="384" t="s">
        <v>24189</v>
      </c>
      <c r="C7037" s="384" t="s">
        <v>23781</v>
      </c>
      <c r="D7037" s="385" t="s">
        <v>24190</v>
      </c>
    </row>
    <row r="7038" spans="1:4" x14ac:dyDescent="0.25">
      <c r="A7038" s="384" t="s">
        <v>24191</v>
      </c>
      <c r="B7038" s="384" t="s">
        <v>24192</v>
      </c>
      <c r="C7038" s="384" t="s">
        <v>23781</v>
      </c>
      <c r="D7038" s="385" t="s">
        <v>24193</v>
      </c>
    </row>
    <row r="7039" spans="1:4" x14ac:dyDescent="0.25">
      <c r="A7039" s="384" t="s">
        <v>24194</v>
      </c>
      <c r="B7039" s="384" t="s">
        <v>24195</v>
      </c>
      <c r="C7039" s="384" t="s">
        <v>23781</v>
      </c>
      <c r="D7039" s="385" t="s">
        <v>24196</v>
      </c>
    </row>
    <row r="7040" spans="1:4" x14ac:dyDescent="0.25">
      <c r="A7040" s="384" t="s">
        <v>24197</v>
      </c>
      <c r="B7040" s="384" t="s">
        <v>24198</v>
      </c>
      <c r="C7040" s="384" t="s">
        <v>23781</v>
      </c>
      <c r="D7040" s="385" t="s">
        <v>24199</v>
      </c>
    </row>
    <row r="7041" spans="1:4" x14ac:dyDescent="0.25">
      <c r="A7041" s="384" t="s">
        <v>24200</v>
      </c>
      <c r="B7041" s="384" t="s">
        <v>24201</v>
      </c>
      <c r="C7041" s="384" t="s">
        <v>23781</v>
      </c>
      <c r="D7041" s="385" t="s">
        <v>12991</v>
      </c>
    </row>
    <row r="7042" spans="1:4" x14ac:dyDescent="0.25">
      <c r="A7042" s="384" t="s">
        <v>24202</v>
      </c>
      <c r="B7042" s="384" t="s">
        <v>24203</v>
      </c>
      <c r="C7042" s="384" t="s">
        <v>23781</v>
      </c>
      <c r="D7042" s="385" t="s">
        <v>17262</v>
      </c>
    </row>
    <row r="7043" spans="1:4" x14ac:dyDescent="0.25">
      <c r="A7043" s="384" t="s">
        <v>24204</v>
      </c>
      <c r="B7043" s="384" t="s">
        <v>24205</v>
      </c>
      <c r="C7043" s="384" t="s">
        <v>23781</v>
      </c>
      <c r="D7043" s="385" t="s">
        <v>24206</v>
      </c>
    </row>
    <row r="7044" spans="1:4" x14ac:dyDescent="0.25">
      <c r="A7044" s="384" t="s">
        <v>24207</v>
      </c>
      <c r="B7044" s="384" t="s">
        <v>24208</v>
      </c>
      <c r="C7044" s="384" t="s">
        <v>23781</v>
      </c>
      <c r="D7044" s="385" t="s">
        <v>24209</v>
      </c>
    </row>
    <row r="7045" spans="1:4" x14ac:dyDescent="0.25">
      <c r="A7045" s="384" t="s">
        <v>24210</v>
      </c>
      <c r="B7045" s="384" t="s">
        <v>24211</v>
      </c>
      <c r="C7045" s="384" t="s">
        <v>23781</v>
      </c>
      <c r="D7045" s="385" t="s">
        <v>24212</v>
      </c>
    </row>
    <row r="7046" spans="1:4" x14ac:dyDescent="0.25">
      <c r="A7046" s="384" t="s">
        <v>24213</v>
      </c>
      <c r="B7046" s="384" t="s">
        <v>24214</v>
      </c>
      <c r="C7046" s="384" t="s">
        <v>23781</v>
      </c>
      <c r="D7046" s="385" t="s">
        <v>24215</v>
      </c>
    </row>
    <row r="7047" spans="1:4" x14ac:dyDescent="0.25">
      <c r="A7047" s="384" t="s">
        <v>24216</v>
      </c>
      <c r="B7047" s="384" t="s">
        <v>24217</v>
      </c>
      <c r="C7047" s="384" t="s">
        <v>23781</v>
      </c>
      <c r="D7047" s="385" t="s">
        <v>24218</v>
      </c>
    </row>
    <row r="7048" spans="1:4" x14ac:dyDescent="0.25">
      <c r="A7048" s="384" t="s">
        <v>24219</v>
      </c>
      <c r="B7048" s="384" t="s">
        <v>24220</v>
      </c>
      <c r="C7048" s="384" t="s">
        <v>23781</v>
      </c>
      <c r="D7048" s="385" t="s">
        <v>24221</v>
      </c>
    </row>
    <row r="7049" spans="1:4" x14ac:dyDescent="0.25">
      <c r="A7049" s="384" t="s">
        <v>24222</v>
      </c>
      <c r="B7049" s="384" t="s">
        <v>24223</v>
      </c>
      <c r="C7049" s="384" t="s">
        <v>23781</v>
      </c>
      <c r="D7049" s="385" t="s">
        <v>24224</v>
      </c>
    </row>
    <row r="7050" spans="1:4" x14ac:dyDescent="0.25">
      <c r="A7050" s="384" t="s">
        <v>24225</v>
      </c>
      <c r="B7050" s="384" t="s">
        <v>24226</v>
      </c>
      <c r="C7050" s="384" t="s">
        <v>23781</v>
      </c>
      <c r="D7050" s="385" t="s">
        <v>24227</v>
      </c>
    </row>
    <row r="7051" spans="1:4" x14ac:dyDescent="0.25">
      <c r="A7051" s="384" t="s">
        <v>24228</v>
      </c>
      <c r="B7051" s="384" t="s">
        <v>24229</v>
      </c>
      <c r="C7051" s="384" t="s">
        <v>23781</v>
      </c>
      <c r="D7051" s="385" t="s">
        <v>6305</v>
      </c>
    </row>
    <row r="7052" spans="1:4" x14ac:dyDescent="0.25">
      <c r="A7052" s="384" t="s">
        <v>24230</v>
      </c>
      <c r="B7052" s="384" t="s">
        <v>24231</v>
      </c>
      <c r="C7052" s="384" t="s">
        <v>23781</v>
      </c>
      <c r="D7052" s="385" t="s">
        <v>24232</v>
      </c>
    </row>
    <row r="7053" spans="1:4" x14ac:dyDescent="0.25">
      <c r="A7053" s="384" t="s">
        <v>24233</v>
      </c>
      <c r="B7053" s="384" t="s">
        <v>24234</v>
      </c>
      <c r="C7053" s="384" t="s">
        <v>23781</v>
      </c>
      <c r="D7053" s="385" t="s">
        <v>24235</v>
      </c>
    </row>
    <row r="7054" spans="1:4" x14ac:dyDescent="0.25">
      <c r="A7054" s="384" t="s">
        <v>24236</v>
      </c>
      <c r="B7054" s="384" t="s">
        <v>24237</v>
      </c>
      <c r="C7054" s="384" t="s">
        <v>23781</v>
      </c>
      <c r="D7054" s="385" t="s">
        <v>24238</v>
      </c>
    </row>
    <row r="7055" spans="1:4" x14ac:dyDescent="0.25">
      <c r="A7055" s="384" t="s">
        <v>24239</v>
      </c>
      <c r="B7055" s="384" t="s">
        <v>24240</v>
      </c>
      <c r="C7055" s="384" t="s">
        <v>23781</v>
      </c>
      <c r="D7055" s="385" t="s">
        <v>8386</v>
      </c>
    </row>
    <row r="7056" spans="1:4" x14ac:dyDescent="0.25">
      <c r="A7056" s="384" t="s">
        <v>24241</v>
      </c>
      <c r="B7056" s="384" t="s">
        <v>24242</v>
      </c>
      <c r="C7056" s="384" t="s">
        <v>23781</v>
      </c>
      <c r="D7056" s="385" t="s">
        <v>24243</v>
      </c>
    </row>
    <row r="7057" spans="1:4" x14ac:dyDescent="0.25">
      <c r="A7057" s="384" t="s">
        <v>24244</v>
      </c>
      <c r="B7057" s="384" t="s">
        <v>24245</v>
      </c>
      <c r="C7057" s="384" t="s">
        <v>23781</v>
      </c>
      <c r="D7057" s="385" t="s">
        <v>24246</v>
      </c>
    </row>
    <row r="7058" spans="1:4" x14ac:dyDescent="0.25">
      <c r="A7058" s="384" t="s">
        <v>24247</v>
      </c>
      <c r="B7058" s="384" t="s">
        <v>24248</v>
      </c>
      <c r="C7058" s="384" t="s">
        <v>23781</v>
      </c>
      <c r="D7058" s="385" t="s">
        <v>24249</v>
      </c>
    </row>
    <row r="7059" spans="1:4" x14ac:dyDescent="0.25">
      <c r="A7059" s="384" t="s">
        <v>24250</v>
      </c>
      <c r="B7059" s="384" t="s">
        <v>24251</v>
      </c>
      <c r="C7059" s="384" t="s">
        <v>23781</v>
      </c>
      <c r="D7059" s="385" t="s">
        <v>24252</v>
      </c>
    </row>
    <row r="7060" spans="1:4" x14ac:dyDescent="0.25">
      <c r="A7060" s="384" t="s">
        <v>24253</v>
      </c>
      <c r="B7060" s="384" t="s">
        <v>24254</v>
      </c>
      <c r="C7060" s="384" t="s">
        <v>23781</v>
      </c>
      <c r="D7060" s="385" t="s">
        <v>24255</v>
      </c>
    </row>
    <row r="7061" spans="1:4" x14ac:dyDescent="0.25">
      <c r="A7061" s="384" t="s">
        <v>24256</v>
      </c>
      <c r="B7061" s="384" t="s">
        <v>24257</v>
      </c>
      <c r="C7061" s="384" t="s">
        <v>23781</v>
      </c>
      <c r="D7061" s="385" t="s">
        <v>9674</v>
      </c>
    </row>
    <row r="7062" spans="1:4" x14ac:dyDescent="0.25">
      <c r="A7062" s="384" t="s">
        <v>24258</v>
      </c>
      <c r="B7062" s="384" t="s">
        <v>24259</v>
      </c>
      <c r="C7062" s="384" t="s">
        <v>23781</v>
      </c>
      <c r="D7062" s="385" t="s">
        <v>24260</v>
      </c>
    </row>
    <row r="7063" spans="1:4" x14ac:dyDescent="0.25">
      <c r="A7063" s="384" t="s">
        <v>24261</v>
      </c>
      <c r="B7063" s="384" t="s">
        <v>24262</v>
      </c>
      <c r="C7063" s="384" t="s">
        <v>23781</v>
      </c>
      <c r="D7063" s="385" t="s">
        <v>24263</v>
      </c>
    </row>
    <row r="7064" spans="1:4" x14ac:dyDescent="0.25">
      <c r="A7064" s="384" t="s">
        <v>24264</v>
      </c>
      <c r="B7064" s="384" t="s">
        <v>24265</v>
      </c>
      <c r="C7064" s="384" t="s">
        <v>23781</v>
      </c>
      <c r="D7064" s="385" t="s">
        <v>24266</v>
      </c>
    </row>
    <row r="7065" spans="1:4" x14ac:dyDescent="0.25">
      <c r="A7065" s="384" t="s">
        <v>24267</v>
      </c>
      <c r="B7065" s="384" t="s">
        <v>24268</v>
      </c>
      <c r="C7065" s="384" t="s">
        <v>23781</v>
      </c>
      <c r="D7065" s="385" t="s">
        <v>15413</v>
      </c>
    </row>
    <row r="7066" spans="1:4" x14ac:dyDescent="0.25">
      <c r="A7066" s="384" t="s">
        <v>24269</v>
      </c>
      <c r="B7066" s="384" t="s">
        <v>24270</v>
      </c>
      <c r="C7066" s="384" t="s">
        <v>23781</v>
      </c>
      <c r="D7066" s="385" t="s">
        <v>24271</v>
      </c>
    </row>
    <row r="7067" spans="1:4" x14ac:dyDescent="0.25">
      <c r="A7067" s="384" t="s">
        <v>24272</v>
      </c>
      <c r="B7067" s="384" t="s">
        <v>24273</v>
      </c>
      <c r="C7067" s="384" t="s">
        <v>23781</v>
      </c>
      <c r="D7067" s="385" t="s">
        <v>11246</v>
      </c>
    </row>
    <row r="7068" spans="1:4" x14ac:dyDescent="0.25">
      <c r="A7068" s="384" t="s">
        <v>24274</v>
      </c>
      <c r="B7068" s="384" t="s">
        <v>24275</v>
      </c>
      <c r="C7068" s="384" t="s">
        <v>23781</v>
      </c>
      <c r="D7068" s="385" t="s">
        <v>24276</v>
      </c>
    </row>
    <row r="7069" spans="1:4" x14ac:dyDescent="0.25">
      <c r="A7069" s="384" t="s">
        <v>24277</v>
      </c>
      <c r="B7069" s="384" t="s">
        <v>24278</v>
      </c>
      <c r="C7069" s="384" t="s">
        <v>23781</v>
      </c>
      <c r="D7069" s="385" t="s">
        <v>21634</v>
      </c>
    </row>
    <row r="7070" spans="1:4" x14ac:dyDescent="0.25">
      <c r="A7070" s="384" t="s">
        <v>24279</v>
      </c>
      <c r="B7070" s="384" t="s">
        <v>24280</v>
      </c>
      <c r="C7070" s="384" t="s">
        <v>23781</v>
      </c>
      <c r="D7070" s="385" t="s">
        <v>24212</v>
      </c>
    </row>
    <row r="7071" spans="1:4" x14ac:dyDescent="0.25">
      <c r="A7071" s="384" t="s">
        <v>24281</v>
      </c>
      <c r="B7071" s="384" t="s">
        <v>24282</v>
      </c>
      <c r="C7071" s="384" t="s">
        <v>23781</v>
      </c>
      <c r="D7071" s="385" t="s">
        <v>15453</v>
      </c>
    </row>
    <row r="7072" spans="1:4" x14ac:dyDescent="0.25">
      <c r="A7072" s="384" t="s">
        <v>24283</v>
      </c>
      <c r="B7072" s="384" t="s">
        <v>24284</v>
      </c>
      <c r="C7072" s="384" t="s">
        <v>23781</v>
      </c>
      <c r="D7072" s="385" t="s">
        <v>24285</v>
      </c>
    </row>
    <row r="7073" spans="1:4" x14ac:dyDescent="0.25">
      <c r="A7073" s="384" t="s">
        <v>24286</v>
      </c>
      <c r="B7073" s="384" t="s">
        <v>24287</v>
      </c>
      <c r="C7073" s="384" t="s">
        <v>23781</v>
      </c>
      <c r="D7073" s="385" t="s">
        <v>24288</v>
      </c>
    </row>
    <row r="7074" spans="1:4" x14ac:dyDescent="0.25">
      <c r="A7074" s="384" t="s">
        <v>24289</v>
      </c>
      <c r="B7074" s="384" t="s">
        <v>24290</v>
      </c>
      <c r="C7074" s="384" t="s">
        <v>23781</v>
      </c>
      <c r="D7074" s="385" t="s">
        <v>24291</v>
      </c>
    </row>
    <row r="7075" spans="1:4" x14ac:dyDescent="0.25">
      <c r="A7075" s="384" t="s">
        <v>24292</v>
      </c>
      <c r="B7075" s="384" t="s">
        <v>24293</v>
      </c>
      <c r="C7075" s="384" t="s">
        <v>23781</v>
      </c>
      <c r="D7075" s="385" t="s">
        <v>24294</v>
      </c>
    </row>
    <row r="7076" spans="1:4" x14ac:dyDescent="0.25">
      <c r="A7076" s="384" t="s">
        <v>24295</v>
      </c>
      <c r="B7076" s="384" t="s">
        <v>24296</v>
      </c>
      <c r="C7076" s="384" t="s">
        <v>23781</v>
      </c>
      <c r="D7076" s="385" t="s">
        <v>11206</v>
      </c>
    </row>
    <row r="7077" spans="1:4" x14ac:dyDescent="0.25">
      <c r="A7077" s="384" t="s">
        <v>24297</v>
      </c>
      <c r="B7077" s="384" t="s">
        <v>24298</v>
      </c>
      <c r="C7077" s="384" t="s">
        <v>23781</v>
      </c>
      <c r="D7077" s="385" t="s">
        <v>24299</v>
      </c>
    </row>
    <row r="7078" spans="1:4" x14ac:dyDescent="0.25">
      <c r="A7078" s="384" t="s">
        <v>24300</v>
      </c>
      <c r="B7078" s="384" t="s">
        <v>24301</v>
      </c>
      <c r="C7078" s="384" t="s">
        <v>23781</v>
      </c>
      <c r="D7078" s="385" t="s">
        <v>4523</v>
      </c>
    </row>
    <row r="7079" spans="1:4" x14ac:dyDescent="0.25">
      <c r="A7079" s="384" t="s">
        <v>24302</v>
      </c>
      <c r="B7079" s="384" t="s">
        <v>24303</v>
      </c>
      <c r="C7079" s="384" t="s">
        <v>23781</v>
      </c>
      <c r="D7079" s="385" t="s">
        <v>24304</v>
      </c>
    </row>
    <row r="7080" spans="1:4" x14ac:dyDescent="0.25">
      <c r="A7080" s="384" t="s">
        <v>24305</v>
      </c>
      <c r="B7080" s="384" t="s">
        <v>24306</v>
      </c>
      <c r="C7080" s="384" t="s">
        <v>23781</v>
      </c>
      <c r="D7080" s="385" t="s">
        <v>8082</v>
      </c>
    </row>
    <row r="7081" spans="1:4" x14ac:dyDescent="0.25">
      <c r="A7081" s="384" t="s">
        <v>24307</v>
      </c>
      <c r="B7081" s="384" t="s">
        <v>24308</v>
      </c>
      <c r="C7081" s="384" t="s">
        <v>23781</v>
      </c>
      <c r="D7081" s="385" t="s">
        <v>24309</v>
      </c>
    </row>
    <row r="7082" spans="1:4" x14ac:dyDescent="0.25">
      <c r="A7082" s="384" t="s">
        <v>24310</v>
      </c>
      <c r="B7082" s="384" t="s">
        <v>24311</v>
      </c>
      <c r="C7082" s="384" t="s">
        <v>23781</v>
      </c>
      <c r="D7082" s="385" t="s">
        <v>21654</v>
      </c>
    </row>
    <row r="7083" spans="1:4" x14ac:dyDescent="0.25">
      <c r="A7083" s="384" t="s">
        <v>24312</v>
      </c>
      <c r="B7083" s="384" t="s">
        <v>24313</v>
      </c>
      <c r="C7083" s="384" t="s">
        <v>23781</v>
      </c>
      <c r="D7083" s="385" t="s">
        <v>24314</v>
      </c>
    </row>
    <row r="7084" spans="1:4" x14ac:dyDescent="0.25">
      <c r="A7084" s="384" t="s">
        <v>24315</v>
      </c>
      <c r="B7084" s="384" t="s">
        <v>24316</v>
      </c>
      <c r="C7084" s="384" t="s">
        <v>23781</v>
      </c>
      <c r="D7084" s="385" t="s">
        <v>24317</v>
      </c>
    </row>
    <row r="7085" spans="1:4" x14ac:dyDescent="0.25">
      <c r="A7085" s="384" t="s">
        <v>24318</v>
      </c>
      <c r="B7085" s="384" t="s">
        <v>24319</v>
      </c>
      <c r="C7085" s="384" t="s">
        <v>23781</v>
      </c>
      <c r="D7085" s="385" t="s">
        <v>14499</v>
      </c>
    </row>
    <row r="7086" spans="1:4" x14ac:dyDescent="0.25">
      <c r="A7086" s="384" t="s">
        <v>24320</v>
      </c>
      <c r="B7086" s="384" t="s">
        <v>24321</v>
      </c>
      <c r="C7086" s="384" t="s">
        <v>23781</v>
      </c>
      <c r="D7086" s="385" t="s">
        <v>5216</v>
      </c>
    </row>
    <row r="7087" spans="1:4" x14ac:dyDescent="0.25">
      <c r="A7087" s="384" t="s">
        <v>24322</v>
      </c>
      <c r="B7087" s="384" t="s">
        <v>24323</v>
      </c>
      <c r="C7087" s="384" t="s">
        <v>23781</v>
      </c>
      <c r="D7087" s="385" t="s">
        <v>24324</v>
      </c>
    </row>
    <row r="7088" spans="1:4" x14ac:dyDescent="0.25">
      <c r="A7088" s="384" t="s">
        <v>24325</v>
      </c>
      <c r="B7088" s="384" t="s">
        <v>24326</v>
      </c>
      <c r="C7088" s="384" t="s">
        <v>23781</v>
      </c>
      <c r="D7088" s="385" t="s">
        <v>24327</v>
      </c>
    </row>
    <row r="7089" spans="1:4" x14ac:dyDescent="0.25">
      <c r="A7089" s="384" t="s">
        <v>24328</v>
      </c>
      <c r="B7089" s="384" t="s">
        <v>24329</v>
      </c>
      <c r="C7089" s="384" t="s">
        <v>23781</v>
      </c>
      <c r="D7089" s="385" t="s">
        <v>24330</v>
      </c>
    </row>
    <row r="7090" spans="1:4" x14ac:dyDescent="0.25">
      <c r="A7090" s="384" t="s">
        <v>24331</v>
      </c>
      <c r="B7090" s="384" t="s">
        <v>24332</v>
      </c>
      <c r="C7090" s="384" t="s">
        <v>23781</v>
      </c>
      <c r="D7090" s="385" t="s">
        <v>22861</v>
      </c>
    </row>
    <row r="7091" spans="1:4" x14ac:dyDescent="0.25">
      <c r="A7091" s="384" t="s">
        <v>24333</v>
      </c>
      <c r="B7091" s="384" t="s">
        <v>24334</v>
      </c>
      <c r="C7091" s="384" t="s">
        <v>23781</v>
      </c>
      <c r="D7091" s="385" t="s">
        <v>24335</v>
      </c>
    </row>
    <row r="7092" spans="1:4" x14ac:dyDescent="0.25">
      <c r="A7092" s="384" t="s">
        <v>24336</v>
      </c>
      <c r="B7092" s="384" t="s">
        <v>24337</v>
      </c>
      <c r="C7092" s="384" t="s">
        <v>23781</v>
      </c>
      <c r="D7092" s="385" t="s">
        <v>16700</v>
      </c>
    </row>
    <row r="7093" spans="1:4" x14ac:dyDescent="0.25">
      <c r="A7093" s="384" t="s">
        <v>24338</v>
      </c>
      <c r="B7093" s="384" t="s">
        <v>24339</v>
      </c>
      <c r="C7093" s="384" t="s">
        <v>23781</v>
      </c>
      <c r="D7093" s="385" t="s">
        <v>5633</v>
      </c>
    </row>
    <row r="7094" spans="1:4" x14ac:dyDescent="0.25">
      <c r="A7094" s="384" t="s">
        <v>24340</v>
      </c>
      <c r="B7094" s="384" t="s">
        <v>24341</v>
      </c>
      <c r="C7094" s="384" t="s">
        <v>23781</v>
      </c>
      <c r="D7094" s="385" t="s">
        <v>5874</v>
      </c>
    </row>
    <row r="7095" spans="1:4" x14ac:dyDescent="0.25">
      <c r="A7095" s="384" t="s">
        <v>24342</v>
      </c>
      <c r="B7095" s="384" t="s">
        <v>24343</v>
      </c>
      <c r="C7095" s="384" t="s">
        <v>23781</v>
      </c>
      <c r="D7095" s="385" t="s">
        <v>24212</v>
      </c>
    </row>
    <row r="7096" spans="1:4" x14ac:dyDescent="0.25">
      <c r="A7096" s="384" t="s">
        <v>24344</v>
      </c>
      <c r="B7096" s="384" t="s">
        <v>24345</v>
      </c>
      <c r="C7096" s="384" t="s">
        <v>23781</v>
      </c>
      <c r="D7096" s="385" t="s">
        <v>24346</v>
      </c>
    </row>
    <row r="7097" spans="1:4" x14ac:dyDescent="0.25">
      <c r="A7097" s="384" t="s">
        <v>24347</v>
      </c>
      <c r="B7097" s="384" t="s">
        <v>24348</v>
      </c>
      <c r="C7097" s="384" t="s">
        <v>23781</v>
      </c>
      <c r="D7097" s="385" t="s">
        <v>24349</v>
      </c>
    </row>
    <row r="7098" spans="1:4" x14ac:dyDescent="0.25">
      <c r="A7098" s="384" t="s">
        <v>24350</v>
      </c>
      <c r="B7098" s="384" t="s">
        <v>24351</v>
      </c>
      <c r="C7098" s="384" t="s">
        <v>23781</v>
      </c>
      <c r="D7098" s="385" t="s">
        <v>24352</v>
      </c>
    </row>
    <row r="7099" spans="1:4" x14ac:dyDescent="0.25">
      <c r="A7099" s="384" t="s">
        <v>24353</v>
      </c>
      <c r="B7099" s="384" t="s">
        <v>24354</v>
      </c>
      <c r="C7099" s="384" t="s">
        <v>23781</v>
      </c>
      <c r="D7099" s="385" t="s">
        <v>24355</v>
      </c>
    </row>
    <row r="7100" spans="1:4" x14ac:dyDescent="0.25">
      <c r="A7100" s="384" t="s">
        <v>24356</v>
      </c>
      <c r="B7100" s="384" t="s">
        <v>24357</v>
      </c>
      <c r="C7100" s="384" t="s">
        <v>23781</v>
      </c>
      <c r="D7100" s="385" t="s">
        <v>24358</v>
      </c>
    </row>
    <row r="7101" spans="1:4" x14ac:dyDescent="0.25">
      <c r="A7101" s="384" t="s">
        <v>24359</v>
      </c>
      <c r="B7101" s="384" t="s">
        <v>24360</v>
      </c>
      <c r="C7101" s="384" t="s">
        <v>23781</v>
      </c>
      <c r="D7101" s="385" t="s">
        <v>24361</v>
      </c>
    </row>
    <row r="7102" spans="1:4" x14ac:dyDescent="0.25">
      <c r="A7102" s="384" t="s">
        <v>24362</v>
      </c>
      <c r="B7102" s="384" t="s">
        <v>24363</v>
      </c>
      <c r="C7102" s="384" t="s">
        <v>23781</v>
      </c>
      <c r="D7102" s="385" t="s">
        <v>24181</v>
      </c>
    </row>
    <row r="7103" spans="1:4" x14ac:dyDescent="0.25">
      <c r="A7103" s="384" t="s">
        <v>24364</v>
      </c>
      <c r="B7103" s="384" t="s">
        <v>24365</v>
      </c>
      <c r="C7103" s="384" t="s">
        <v>23781</v>
      </c>
      <c r="D7103" s="385" t="s">
        <v>24366</v>
      </c>
    </row>
    <row r="7104" spans="1:4" x14ac:dyDescent="0.25">
      <c r="A7104" s="384" t="s">
        <v>24367</v>
      </c>
      <c r="B7104" s="384" t="s">
        <v>24368</v>
      </c>
      <c r="C7104" s="384" t="s">
        <v>23781</v>
      </c>
      <c r="D7104" s="385" t="s">
        <v>14675</v>
      </c>
    </row>
    <row r="7105" spans="1:4" x14ac:dyDescent="0.25">
      <c r="A7105" s="384" t="s">
        <v>24369</v>
      </c>
      <c r="B7105" s="384" t="s">
        <v>24370</v>
      </c>
      <c r="C7105" s="384" t="s">
        <v>23781</v>
      </c>
      <c r="D7105" s="385" t="s">
        <v>16945</v>
      </c>
    </row>
    <row r="7106" spans="1:4" x14ac:dyDescent="0.25">
      <c r="A7106" s="384" t="s">
        <v>24371</v>
      </c>
      <c r="B7106" s="384" t="s">
        <v>24372</v>
      </c>
      <c r="C7106" s="384" t="s">
        <v>23781</v>
      </c>
      <c r="D7106" s="385" t="s">
        <v>24373</v>
      </c>
    </row>
    <row r="7107" spans="1:4" x14ac:dyDescent="0.25">
      <c r="A7107" s="384" t="s">
        <v>24374</v>
      </c>
      <c r="B7107" s="384" t="s">
        <v>24375</v>
      </c>
      <c r="C7107" s="384" t="s">
        <v>23781</v>
      </c>
      <c r="D7107" s="385" t="s">
        <v>24376</v>
      </c>
    </row>
    <row r="7108" spans="1:4" x14ac:dyDescent="0.25">
      <c r="A7108" s="384" t="s">
        <v>24377</v>
      </c>
      <c r="B7108" s="384" t="s">
        <v>24378</v>
      </c>
      <c r="C7108" s="384" t="s">
        <v>23781</v>
      </c>
      <c r="D7108" s="385" t="s">
        <v>24379</v>
      </c>
    </row>
    <row r="7109" spans="1:4" x14ac:dyDescent="0.25">
      <c r="A7109" s="384" t="s">
        <v>24380</v>
      </c>
      <c r="B7109" s="384" t="s">
        <v>24381</v>
      </c>
      <c r="C7109" s="384" t="s">
        <v>23781</v>
      </c>
      <c r="D7109" s="385" t="s">
        <v>24382</v>
      </c>
    </row>
    <row r="7110" spans="1:4" x14ac:dyDescent="0.25">
      <c r="A7110" s="384" t="s">
        <v>24383</v>
      </c>
      <c r="B7110" s="384" t="s">
        <v>24384</v>
      </c>
      <c r="C7110" s="384" t="s">
        <v>23781</v>
      </c>
      <c r="D7110" s="385" t="s">
        <v>24385</v>
      </c>
    </row>
    <row r="7111" spans="1:4" x14ac:dyDescent="0.25">
      <c r="A7111" s="384" t="s">
        <v>24386</v>
      </c>
      <c r="B7111" s="384" t="s">
        <v>24387</v>
      </c>
      <c r="C7111" s="384" t="s">
        <v>23781</v>
      </c>
      <c r="D7111" s="385" t="s">
        <v>4691</v>
      </c>
    </row>
    <row r="7112" spans="1:4" x14ac:dyDescent="0.25">
      <c r="A7112" s="384" t="s">
        <v>24388</v>
      </c>
      <c r="B7112" s="384" t="s">
        <v>24389</v>
      </c>
      <c r="C7112" s="384" t="s">
        <v>75</v>
      </c>
      <c r="D7112" s="385" t="s">
        <v>24390</v>
      </c>
    </row>
    <row r="7113" spans="1:4" x14ac:dyDescent="0.25">
      <c r="A7113" s="384" t="s">
        <v>24391</v>
      </c>
      <c r="B7113" s="384" t="s">
        <v>23523</v>
      </c>
      <c r="C7113" s="384" t="s">
        <v>23781</v>
      </c>
      <c r="D7113" s="385" t="s">
        <v>24392</v>
      </c>
    </row>
    <row r="7114" spans="1:4" x14ac:dyDescent="0.25">
      <c r="A7114" s="384" t="s">
        <v>24393</v>
      </c>
      <c r="B7114" s="384" t="s">
        <v>24394</v>
      </c>
      <c r="C7114" s="384" t="s">
        <v>23781</v>
      </c>
      <c r="D7114" s="385" t="s">
        <v>24395</v>
      </c>
    </row>
    <row r="7115" spans="1:4" x14ac:dyDescent="0.25">
      <c r="A7115" s="384" t="s">
        <v>24396</v>
      </c>
      <c r="B7115" s="384" t="s">
        <v>24397</v>
      </c>
      <c r="C7115" s="384" t="s">
        <v>23781</v>
      </c>
      <c r="D7115" s="385" t="s">
        <v>24398</v>
      </c>
    </row>
    <row r="7116" spans="1:4" x14ac:dyDescent="0.25">
      <c r="A7116" s="384" t="s">
        <v>24399</v>
      </c>
      <c r="B7116" s="384" t="s">
        <v>23530</v>
      </c>
      <c r="C7116" s="384" t="s">
        <v>23781</v>
      </c>
      <c r="D7116" s="385" t="s">
        <v>24400</v>
      </c>
    </row>
    <row r="7117" spans="1:4" x14ac:dyDescent="0.25">
      <c r="A7117" s="384" t="s">
        <v>24401</v>
      </c>
      <c r="B7117" s="384" t="s">
        <v>24093</v>
      </c>
      <c r="C7117" s="384" t="s">
        <v>23781</v>
      </c>
      <c r="D7117" s="385" t="s">
        <v>24402</v>
      </c>
    </row>
    <row r="7118" spans="1:4" x14ac:dyDescent="0.25">
      <c r="A7118" s="384" t="s">
        <v>24403</v>
      </c>
      <c r="B7118" s="384" t="s">
        <v>24404</v>
      </c>
      <c r="C7118" s="384" t="s">
        <v>23781</v>
      </c>
      <c r="D7118" s="385" t="s">
        <v>24405</v>
      </c>
    </row>
    <row r="7119" spans="1:4" x14ac:dyDescent="0.25">
      <c r="A7119" s="384" t="s">
        <v>24406</v>
      </c>
      <c r="B7119" s="384" t="s">
        <v>23535</v>
      </c>
      <c r="C7119" s="384" t="s">
        <v>23781</v>
      </c>
      <c r="D7119" s="385" t="s">
        <v>24407</v>
      </c>
    </row>
    <row r="7120" spans="1:4" x14ac:dyDescent="0.25">
      <c r="A7120" s="384" t="s">
        <v>24408</v>
      </c>
      <c r="B7120" s="384" t="s">
        <v>23537</v>
      </c>
      <c r="C7120" s="384" t="s">
        <v>23781</v>
      </c>
      <c r="D7120" s="385" t="s">
        <v>24409</v>
      </c>
    </row>
    <row r="7121" spans="1:4" x14ac:dyDescent="0.25">
      <c r="A7121" s="384" t="s">
        <v>24410</v>
      </c>
      <c r="B7121" s="384" t="s">
        <v>24411</v>
      </c>
      <c r="C7121" s="384" t="s">
        <v>23781</v>
      </c>
      <c r="D7121" s="385" t="s">
        <v>24412</v>
      </c>
    </row>
    <row r="7122" spans="1:4" x14ac:dyDescent="0.25">
      <c r="A7122" s="384" t="s">
        <v>24413</v>
      </c>
      <c r="B7122" s="384" t="s">
        <v>24098</v>
      </c>
      <c r="C7122" s="384" t="s">
        <v>23781</v>
      </c>
      <c r="D7122" s="385" t="s">
        <v>24414</v>
      </c>
    </row>
    <row r="7123" spans="1:4" x14ac:dyDescent="0.25">
      <c r="A7123" s="384" t="s">
        <v>24415</v>
      </c>
      <c r="B7123" s="384" t="s">
        <v>23545</v>
      </c>
      <c r="C7123" s="384" t="s">
        <v>23781</v>
      </c>
      <c r="D7123" s="385" t="s">
        <v>24416</v>
      </c>
    </row>
    <row r="7124" spans="1:4" x14ac:dyDescent="0.25">
      <c r="A7124" s="384" t="s">
        <v>24417</v>
      </c>
      <c r="B7124" s="384" t="s">
        <v>24418</v>
      </c>
      <c r="C7124" s="384" t="s">
        <v>23781</v>
      </c>
      <c r="D7124" s="385" t="s">
        <v>24419</v>
      </c>
    </row>
    <row r="7125" spans="1:4" x14ac:dyDescent="0.25">
      <c r="A7125" s="384" t="s">
        <v>24420</v>
      </c>
      <c r="B7125" s="384" t="s">
        <v>23551</v>
      </c>
      <c r="C7125" s="384" t="s">
        <v>23781</v>
      </c>
      <c r="D7125" s="385" t="s">
        <v>24421</v>
      </c>
    </row>
    <row r="7126" spans="1:4" x14ac:dyDescent="0.25">
      <c r="A7126" s="384" t="s">
        <v>24422</v>
      </c>
      <c r="B7126" s="384" t="s">
        <v>24423</v>
      </c>
      <c r="C7126" s="384" t="s">
        <v>23781</v>
      </c>
      <c r="D7126" s="385" t="s">
        <v>24424</v>
      </c>
    </row>
    <row r="7127" spans="1:4" x14ac:dyDescent="0.25">
      <c r="A7127" s="384" t="s">
        <v>24425</v>
      </c>
      <c r="B7127" s="384" t="s">
        <v>23556</v>
      </c>
      <c r="C7127" s="384" t="s">
        <v>23781</v>
      </c>
      <c r="D7127" s="385" t="s">
        <v>24426</v>
      </c>
    </row>
    <row r="7128" spans="1:4" x14ac:dyDescent="0.25">
      <c r="A7128" s="384" t="s">
        <v>24427</v>
      </c>
      <c r="B7128" s="384" t="s">
        <v>23559</v>
      </c>
      <c r="C7128" s="384" t="s">
        <v>23781</v>
      </c>
      <c r="D7128" s="385" t="s">
        <v>24428</v>
      </c>
    </row>
    <row r="7129" spans="1:4" x14ac:dyDescent="0.25">
      <c r="A7129" s="384" t="s">
        <v>24429</v>
      </c>
      <c r="B7129" s="384" t="s">
        <v>24430</v>
      </c>
      <c r="C7129" s="384" t="s">
        <v>23781</v>
      </c>
      <c r="D7129" s="385" t="s">
        <v>24431</v>
      </c>
    </row>
    <row r="7130" spans="1:4" x14ac:dyDescent="0.25">
      <c r="A7130" s="384" t="s">
        <v>24432</v>
      </c>
      <c r="B7130" s="384" t="s">
        <v>24433</v>
      </c>
      <c r="C7130" s="384" t="s">
        <v>23781</v>
      </c>
      <c r="D7130" s="385" t="s">
        <v>24434</v>
      </c>
    </row>
    <row r="7131" spans="1:4" x14ac:dyDescent="0.25">
      <c r="A7131" s="384" t="s">
        <v>24435</v>
      </c>
      <c r="B7131" s="384" t="s">
        <v>24436</v>
      </c>
      <c r="C7131" s="384" t="s">
        <v>23781</v>
      </c>
      <c r="D7131" s="385" t="s">
        <v>24437</v>
      </c>
    </row>
    <row r="7132" spans="1:4" x14ac:dyDescent="0.25">
      <c r="A7132" s="384" t="s">
        <v>24438</v>
      </c>
      <c r="B7132" s="384" t="s">
        <v>23573</v>
      </c>
      <c r="C7132" s="384" t="s">
        <v>23781</v>
      </c>
      <c r="D7132" s="385" t="s">
        <v>24439</v>
      </c>
    </row>
    <row r="7133" spans="1:4" x14ac:dyDescent="0.25">
      <c r="A7133" s="384" t="s">
        <v>24440</v>
      </c>
      <c r="B7133" s="384" t="s">
        <v>24441</v>
      </c>
      <c r="C7133" s="384" t="s">
        <v>23781</v>
      </c>
      <c r="D7133" s="385" t="s">
        <v>24442</v>
      </c>
    </row>
    <row r="7134" spans="1:4" x14ac:dyDescent="0.25">
      <c r="A7134" s="384" t="s">
        <v>24443</v>
      </c>
      <c r="B7134" s="384" t="s">
        <v>24444</v>
      </c>
      <c r="C7134" s="384" t="s">
        <v>23781</v>
      </c>
      <c r="D7134" s="385" t="s">
        <v>24445</v>
      </c>
    </row>
    <row r="7135" spans="1:4" x14ac:dyDescent="0.25">
      <c r="A7135" s="384" t="s">
        <v>24446</v>
      </c>
      <c r="B7135" s="384" t="s">
        <v>23579</v>
      </c>
      <c r="C7135" s="384" t="s">
        <v>23781</v>
      </c>
      <c r="D7135" s="385" t="s">
        <v>24447</v>
      </c>
    </row>
    <row r="7136" spans="1:4" x14ac:dyDescent="0.25">
      <c r="A7136" s="384" t="s">
        <v>24448</v>
      </c>
      <c r="B7136" s="384" t="s">
        <v>24449</v>
      </c>
      <c r="C7136" s="384" t="s">
        <v>23781</v>
      </c>
      <c r="D7136" s="385" t="s">
        <v>24450</v>
      </c>
    </row>
    <row r="7137" spans="1:4" x14ac:dyDescent="0.25">
      <c r="A7137" s="384" t="s">
        <v>24451</v>
      </c>
      <c r="B7137" s="384" t="s">
        <v>23585</v>
      </c>
      <c r="C7137" s="384" t="s">
        <v>23781</v>
      </c>
      <c r="D7137" s="385" t="s">
        <v>24452</v>
      </c>
    </row>
    <row r="7138" spans="1:4" x14ac:dyDescent="0.25">
      <c r="A7138" s="384" t="s">
        <v>24453</v>
      </c>
      <c r="B7138" s="384" t="s">
        <v>24454</v>
      </c>
      <c r="C7138" s="384" t="s">
        <v>23781</v>
      </c>
      <c r="D7138" s="385" t="s">
        <v>24455</v>
      </c>
    </row>
    <row r="7139" spans="1:4" x14ac:dyDescent="0.25">
      <c r="A7139" s="384" t="s">
        <v>24456</v>
      </c>
      <c r="B7139" s="384" t="s">
        <v>23590</v>
      </c>
      <c r="C7139" s="384" t="s">
        <v>23781</v>
      </c>
      <c r="D7139" s="385" t="s">
        <v>24457</v>
      </c>
    </row>
    <row r="7140" spans="1:4" x14ac:dyDescent="0.25">
      <c r="A7140" s="384" t="s">
        <v>24458</v>
      </c>
      <c r="B7140" s="384" t="s">
        <v>23593</v>
      </c>
      <c r="C7140" s="384" t="s">
        <v>23781</v>
      </c>
      <c r="D7140" s="385" t="s">
        <v>24459</v>
      </c>
    </row>
    <row r="7141" spans="1:4" x14ac:dyDescent="0.25">
      <c r="A7141" s="384" t="s">
        <v>24460</v>
      </c>
      <c r="B7141" s="384" t="s">
        <v>24389</v>
      </c>
      <c r="C7141" s="384" t="s">
        <v>23781</v>
      </c>
      <c r="D7141" s="385" t="s">
        <v>24461</v>
      </c>
    </row>
    <row r="7142" spans="1:4" x14ac:dyDescent="0.25">
      <c r="A7142" s="384" t="s">
        <v>24462</v>
      </c>
      <c r="B7142" s="384" t="s">
        <v>23774</v>
      </c>
      <c r="C7142" s="384" t="s">
        <v>23781</v>
      </c>
      <c r="D7142" s="385" t="s">
        <v>24463</v>
      </c>
    </row>
    <row r="7143" spans="1:4" x14ac:dyDescent="0.25">
      <c r="A7143" s="384" t="s">
        <v>24464</v>
      </c>
      <c r="B7143" s="384" t="s">
        <v>23777</v>
      </c>
      <c r="C7143" s="384" t="s">
        <v>23781</v>
      </c>
      <c r="D7143" s="385" t="s">
        <v>24465</v>
      </c>
    </row>
    <row r="7144" spans="1:4" x14ac:dyDescent="0.25">
      <c r="A7144" s="384" t="s">
        <v>24466</v>
      </c>
      <c r="B7144" s="384" t="s">
        <v>23596</v>
      </c>
      <c r="C7144" s="384" t="s">
        <v>23781</v>
      </c>
      <c r="D7144" s="385" t="s">
        <v>24467</v>
      </c>
    </row>
    <row r="7145" spans="1:4" x14ac:dyDescent="0.25">
      <c r="A7145" s="384" t="s">
        <v>24468</v>
      </c>
      <c r="B7145" s="384" t="s">
        <v>23598</v>
      </c>
      <c r="C7145" s="384" t="s">
        <v>23781</v>
      </c>
      <c r="D7145" s="385" t="s">
        <v>24469</v>
      </c>
    </row>
    <row r="7146" spans="1:4" x14ac:dyDescent="0.25">
      <c r="A7146" s="384" t="s">
        <v>24470</v>
      </c>
      <c r="B7146" s="384" t="s">
        <v>24471</v>
      </c>
      <c r="C7146" s="384" t="s">
        <v>23781</v>
      </c>
      <c r="D7146" s="385" t="s">
        <v>24472</v>
      </c>
    </row>
    <row r="7147" spans="1:4" x14ac:dyDescent="0.25">
      <c r="A7147" s="384" t="s">
        <v>24473</v>
      </c>
      <c r="B7147" s="384" t="s">
        <v>23729</v>
      </c>
      <c r="C7147" s="384" t="s">
        <v>23781</v>
      </c>
      <c r="D7147" s="385" t="s">
        <v>24474</v>
      </c>
    </row>
    <row r="7148" spans="1:4" x14ac:dyDescent="0.25">
      <c r="A7148" s="384" t="s">
        <v>24475</v>
      </c>
      <c r="B7148" s="384" t="s">
        <v>24476</v>
      </c>
      <c r="C7148" s="384" t="s">
        <v>23781</v>
      </c>
      <c r="D7148" s="385" t="s">
        <v>24477</v>
      </c>
    </row>
    <row r="7149" spans="1:4" x14ac:dyDescent="0.25">
      <c r="A7149" s="384" t="s">
        <v>24478</v>
      </c>
      <c r="B7149" s="384" t="s">
        <v>24479</v>
      </c>
      <c r="C7149" s="384" t="s">
        <v>23781</v>
      </c>
      <c r="D7149" s="385" t="s">
        <v>24480</v>
      </c>
    </row>
    <row r="7150" spans="1:4" x14ac:dyDescent="0.25">
      <c r="A7150" s="384" t="s">
        <v>24481</v>
      </c>
      <c r="B7150" s="384" t="s">
        <v>23603</v>
      </c>
      <c r="C7150" s="384" t="s">
        <v>23781</v>
      </c>
      <c r="D7150" s="385" t="s">
        <v>24482</v>
      </c>
    </row>
    <row r="7151" spans="1:4" x14ac:dyDescent="0.25">
      <c r="A7151" s="384" t="s">
        <v>24483</v>
      </c>
      <c r="B7151" s="384" t="s">
        <v>24484</v>
      </c>
      <c r="C7151" s="384" t="s">
        <v>23781</v>
      </c>
      <c r="D7151" s="385" t="s">
        <v>24485</v>
      </c>
    </row>
    <row r="7152" spans="1:4" x14ac:dyDescent="0.25">
      <c r="A7152" s="384" t="s">
        <v>24486</v>
      </c>
      <c r="B7152" s="384" t="s">
        <v>24487</v>
      </c>
      <c r="C7152" s="384" t="s">
        <v>23781</v>
      </c>
      <c r="D7152" s="385" t="s">
        <v>24488</v>
      </c>
    </row>
    <row r="7153" spans="1:4" x14ac:dyDescent="0.25">
      <c r="A7153" s="384" t="s">
        <v>24489</v>
      </c>
      <c r="B7153" s="384" t="s">
        <v>24113</v>
      </c>
      <c r="C7153" s="384" t="s">
        <v>23781</v>
      </c>
      <c r="D7153" s="385" t="s">
        <v>24490</v>
      </c>
    </row>
    <row r="7154" spans="1:4" x14ac:dyDescent="0.25">
      <c r="A7154" s="384" t="s">
        <v>24491</v>
      </c>
      <c r="B7154" s="384" t="s">
        <v>24492</v>
      </c>
      <c r="C7154" s="384" t="s">
        <v>23781</v>
      </c>
      <c r="D7154" s="385" t="s">
        <v>24493</v>
      </c>
    </row>
    <row r="7155" spans="1:4" x14ac:dyDescent="0.25">
      <c r="A7155" s="384" t="s">
        <v>24494</v>
      </c>
      <c r="B7155" s="384" t="s">
        <v>24495</v>
      </c>
      <c r="C7155" s="384" t="s">
        <v>23781</v>
      </c>
      <c r="D7155" s="385" t="s">
        <v>24496</v>
      </c>
    </row>
    <row r="7156" spans="1:4" x14ac:dyDescent="0.25">
      <c r="A7156" s="384" t="s">
        <v>24497</v>
      </c>
      <c r="B7156" s="384" t="s">
        <v>24498</v>
      </c>
      <c r="C7156" s="384" t="s">
        <v>23781</v>
      </c>
      <c r="D7156" s="385" t="s">
        <v>24499</v>
      </c>
    </row>
    <row r="7157" spans="1:4" x14ac:dyDescent="0.25">
      <c r="A7157" s="384" t="s">
        <v>24500</v>
      </c>
      <c r="B7157" s="384" t="s">
        <v>24501</v>
      </c>
      <c r="C7157" s="384" t="s">
        <v>23781</v>
      </c>
      <c r="D7157" s="385" t="s">
        <v>24502</v>
      </c>
    </row>
    <row r="7158" spans="1:4" x14ac:dyDescent="0.25">
      <c r="A7158" s="384" t="s">
        <v>24503</v>
      </c>
      <c r="B7158" s="384" t="s">
        <v>24504</v>
      </c>
      <c r="C7158" s="384" t="s">
        <v>23781</v>
      </c>
      <c r="D7158" s="385" t="s">
        <v>24505</v>
      </c>
    </row>
    <row r="7159" spans="1:4" x14ac:dyDescent="0.25">
      <c r="A7159" s="384" t="s">
        <v>24506</v>
      </c>
      <c r="B7159" s="384" t="s">
        <v>24507</v>
      </c>
      <c r="C7159" s="384" t="s">
        <v>23781</v>
      </c>
      <c r="D7159" s="385" t="s">
        <v>24508</v>
      </c>
    </row>
    <row r="7160" spans="1:4" x14ac:dyDescent="0.25">
      <c r="A7160" s="384" t="s">
        <v>24509</v>
      </c>
      <c r="B7160" s="384" t="s">
        <v>24510</v>
      </c>
      <c r="C7160" s="384" t="s">
        <v>23781</v>
      </c>
      <c r="D7160" s="385" t="s">
        <v>24511</v>
      </c>
    </row>
    <row r="7161" spans="1:4" x14ac:dyDescent="0.25">
      <c r="A7161" s="384" t="s">
        <v>24512</v>
      </c>
      <c r="B7161" s="384" t="s">
        <v>24513</v>
      </c>
      <c r="C7161" s="384" t="s">
        <v>23781</v>
      </c>
      <c r="D7161" s="385" t="s">
        <v>24514</v>
      </c>
    </row>
    <row r="7162" spans="1:4" x14ac:dyDescent="0.25">
      <c r="A7162" s="384" t="s">
        <v>24515</v>
      </c>
      <c r="B7162" s="384" t="s">
        <v>24516</v>
      </c>
      <c r="C7162" s="384" t="s">
        <v>23781</v>
      </c>
      <c r="D7162" s="385" t="s">
        <v>24517</v>
      </c>
    </row>
    <row r="7163" spans="1:4" x14ac:dyDescent="0.25">
      <c r="A7163" s="384" t="s">
        <v>24518</v>
      </c>
      <c r="B7163" s="384" t="s">
        <v>24519</v>
      </c>
      <c r="C7163" s="384" t="s">
        <v>23781</v>
      </c>
      <c r="D7163" s="385" t="s">
        <v>24520</v>
      </c>
    </row>
    <row r="7164" spans="1:4" x14ac:dyDescent="0.25">
      <c r="A7164" s="384" t="s">
        <v>24521</v>
      </c>
      <c r="B7164" s="384" t="s">
        <v>23638</v>
      </c>
      <c r="C7164" s="384" t="s">
        <v>23781</v>
      </c>
      <c r="D7164" s="385" t="s">
        <v>24522</v>
      </c>
    </row>
    <row r="7165" spans="1:4" x14ac:dyDescent="0.25">
      <c r="A7165" s="384" t="s">
        <v>24523</v>
      </c>
      <c r="B7165" s="384" t="s">
        <v>24524</v>
      </c>
      <c r="C7165" s="384" t="s">
        <v>23781</v>
      </c>
      <c r="D7165" s="385" t="s">
        <v>24525</v>
      </c>
    </row>
    <row r="7166" spans="1:4" x14ac:dyDescent="0.25">
      <c r="A7166" s="384" t="s">
        <v>24526</v>
      </c>
      <c r="B7166" s="384" t="s">
        <v>24527</v>
      </c>
      <c r="C7166" s="384" t="s">
        <v>23781</v>
      </c>
      <c r="D7166" s="385" t="s">
        <v>24528</v>
      </c>
    </row>
    <row r="7167" spans="1:4" x14ac:dyDescent="0.25">
      <c r="A7167" s="384" t="s">
        <v>24529</v>
      </c>
      <c r="B7167" s="384" t="s">
        <v>24530</v>
      </c>
      <c r="C7167" s="384" t="s">
        <v>23781</v>
      </c>
      <c r="D7167" s="385" t="s">
        <v>24531</v>
      </c>
    </row>
    <row r="7168" spans="1:4" x14ac:dyDescent="0.25">
      <c r="A7168" s="384" t="s">
        <v>24532</v>
      </c>
      <c r="B7168" s="384" t="s">
        <v>23647</v>
      </c>
      <c r="C7168" s="384" t="s">
        <v>23781</v>
      </c>
      <c r="D7168" s="385" t="s">
        <v>24533</v>
      </c>
    </row>
    <row r="7169" spans="1:4" x14ac:dyDescent="0.25">
      <c r="A7169" s="384" t="s">
        <v>24534</v>
      </c>
      <c r="B7169" s="384" t="s">
        <v>24535</v>
      </c>
      <c r="C7169" s="384" t="s">
        <v>23781</v>
      </c>
      <c r="D7169" s="385" t="s">
        <v>24536</v>
      </c>
    </row>
    <row r="7170" spans="1:4" x14ac:dyDescent="0.25">
      <c r="A7170" s="384" t="s">
        <v>24537</v>
      </c>
      <c r="B7170" s="384" t="s">
        <v>23653</v>
      </c>
      <c r="C7170" s="384" t="s">
        <v>23781</v>
      </c>
      <c r="D7170" s="385" t="s">
        <v>24538</v>
      </c>
    </row>
    <row r="7171" spans="1:4" x14ac:dyDescent="0.25">
      <c r="A7171" s="384" t="s">
        <v>24539</v>
      </c>
      <c r="B7171" s="384" t="s">
        <v>24540</v>
      </c>
      <c r="C7171" s="384" t="s">
        <v>23781</v>
      </c>
      <c r="D7171" s="385" t="s">
        <v>24541</v>
      </c>
    </row>
    <row r="7172" spans="1:4" x14ac:dyDescent="0.25">
      <c r="A7172" s="384" t="s">
        <v>24542</v>
      </c>
      <c r="B7172" s="384" t="s">
        <v>24543</v>
      </c>
      <c r="C7172" s="384" t="s">
        <v>23781</v>
      </c>
      <c r="D7172" s="385" t="s">
        <v>24544</v>
      </c>
    </row>
    <row r="7173" spans="1:4" x14ac:dyDescent="0.25">
      <c r="A7173" s="384" t="s">
        <v>24545</v>
      </c>
      <c r="B7173" s="384" t="s">
        <v>23658</v>
      </c>
      <c r="C7173" s="384" t="s">
        <v>23781</v>
      </c>
      <c r="D7173" s="385" t="s">
        <v>24546</v>
      </c>
    </row>
    <row r="7174" spans="1:4" x14ac:dyDescent="0.25">
      <c r="A7174" s="384" t="s">
        <v>24547</v>
      </c>
      <c r="B7174" s="384" t="s">
        <v>24548</v>
      </c>
      <c r="C7174" s="384" t="s">
        <v>23781</v>
      </c>
      <c r="D7174" s="385" t="s">
        <v>24549</v>
      </c>
    </row>
    <row r="7175" spans="1:4" x14ac:dyDescent="0.25">
      <c r="A7175" s="384" t="s">
        <v>24550</v>
      </c>
      <c r="B7175" s="384" t="s">
        <v>23664</v>
      </c>
      <c r="C7175" s="384" t="s">
        <v>23781</v>
      </c>
      <c r="D7175" s="385" t="s">
        <v>24551</v>
      </c>
    </row>
    <row r="7176" spans="1:4" x14ac:dyDescent="0.25">
      <c r="A7176" s="384" t="s">
        <v>24552</v>
      </c>
      <c r="B7176" s="384" t="s">
        <v>23667</v>
      </c>
      <c r="C7176" s="384" t="s">
        <v>23781</v>
      </c>
      <c r="D7176" s="385" t="s">
        <v>24553</v>
      </c>
    </row>
    <row r="7177" spans="1:4" x14ac:dyDescent="0.25">
      <c r="A7177" s="384" t="s">
        <v>24554</v>
      </c>
      <c r="B7177" s="384" t="s">
        <v>24555</v>
      </c>
      <c r="C7177" s="384" t="s">
        <v>23781</v>
      </c>
      <c r="D7177" s="385" t="s">
        <v>24556</v>
      </c>
    </row>
    <row r="7178" spans="1:4" x14ac:dyDescent="0.25">
      <c r="A7178" s="384" t="s">
        <v>24557</v>
      </c>
      <c r="B7178" s="384" t="s">
        <v>23672</v>
      </c>
      <c r="C7178" s="384" t="s">
        <v>23781</v>
      </c>
      <c r="D7178" s="385" t="s">
        <v>24558</v>
      </c>
    </row>
    <row r="7179" spans="1:4" x14ac:dyDescent="0.25">
      <c r="A7179" s="384" t="s">
        <v>24559</v>
      </c>
      <c r="B7179" s="384" t="s">
        <v>24560</v>
      </c>
      <c r="C7179" s="384" t="s">
        <v>23781</v>
      </c>
      <c r="D7179" s="385" t="s">
        <v>24561</v>
      </c>
    </row>
    <row r="7180" spans="1:4" x14ac:dyDescent="0.25">
      <c r="A7180" s="384" t="s">
        <v>24562</v>
      </c>
      <c r="B7180" s="384" t="s">
        <v>23674</v>
      </c>
      <c r="C7180" s="384" t="s">
        <v>23781</v>
      </c>
      <c r="D7180" s="385" t="s">
        <v>24563</v>
      </c>
    </row>
    <row r="7181" spans="1:4" x14ac:dyDescent="0.25">
      <c r="A7181" s="384" t="s">
        <v>24564</v>
      </c>
      <c r="B7181" s="384" t="s">
        <v>23681</v>
      </c>
      <c r="C7181" s="384" t="s">
        <v>23781</v>
      </c>
      <c r="D7181" s="385" t="s">
        <v>24565</v>
      </c>
    </row>
    <row r="7182" spans="1:4" x14ac:dyDescent="0.25">
      <c r="A7182" s="384" t="s">
        <v>24566</v>
      </c>
      <c r="B7182" s="384" t="s">
        <v>23683</v>
      </c>
      <c r="C7182" s="384" t="s">
        <v>23781</v>
      </c>
      <c r="D7182" s="385" t="s">
        <v>24567</v>
      </c>
    </row>
    <row r="7183" spans="1:4" x14ac:dyDescent="0.25">
      <c r="A7183" s="384" t="s">
        <v>24568</v>
      </c>
      <c r="B7183" s="384" t="s">
        <v>23686</v>
      </c>
      <c r="C7183" s="384" t="s">
        <v>23781</v>
      </c>
      <c r="D7183" s="385" t="s">
        <v>24569</v>
      </c>
    </row>
    <row r="7184" spans="1:4" x14ac:dyDescent="0.25">
      <c r="A7184" s="384" t="s">
        <v>24570</v>
      </c>
      <c r="B7184" s="384" t="s">
        <v>23688</v>
      </c>
      <c r="C7184" s="384" t="s">
        <v>23781</v>
      </c>
      <c r="D7184" s="385" t="s">
        <v>24571</v>
      </c>
    </row>
    <row r="7185" spans="1:4" x14ac:dyDescent="0.25">
      <c r="A7185" s="384" t="s">
        <v>24572</v>
      </c>
      <c r="B7185" s="384" t="s">
        <v>23691</v>
      </c>
      <c r="C7185" s="384" t="s">
        <v>23781</v>
      </c>
      <c r="D7185" s="385" t="s">
        <v>24573</v>
      </c>
    </row>
    <row r="7186" spans="1:4" x14ac:dyDescent="0.25">
      <c r="A7186" s="384" t="s">
        <v>24574</v>
      </c>
      <c r="B7186" s="384" t="s">
        <v>24575</v>
      </c>
      <c r="C7186" s="384" t="s">
        <v>23781</v>
      </c>
      <c r="D7186" s="385" t="s">
        <v>24576</v>
      </c>
    </row>
    <row r="7187" spans="1:4" x14ac:dyDescent="0.25">
      <c r="A7187" s="384" t="s">
        <v>24577</v>
      </c>
      <c r="B7187" s="384" t="s">
        <v>23696</v>
      </c>
      <c r="C7187" s="384" t="s">
        <v>23781</v>
      </c>
      <c r="D7187" s="385" t="s">
        <v>24578</v>
      </c>
    </row>
    <row r="7188" spans="1:4" x14ac:dyDescent="0.25">
      <c r="A7188" s="384" t="s">
        <v>24579</v>
      </c>
      <c r="B7188" s="384" t="s">
        <v>23698</v>
      </c>
      <c r="C7188" s="384" t="s">
        <v>23781</v>
      </c>
      <c r="D7188" s="385" t="s">
        <v>24409</v>
      </c>
    </row>
    <row r="7189" spans="1:4" x14ac:dyDescent="0.25">
      <c r="A7189" s="384" t="s">
        <v>24580</v>
      </c>
      <c r="B7189" s="384" t="s">
        <v>24581</v>
      </c>
      <c r="C7189" s="384" t="s">
        <v>23781</v>
      </c>
      <c r="D7189" s="385" t="s">
        <v>24582</v>
      </c>
    </row>
    <row r="7190" spans="1:4" x14ac:dyDescent="0.25">
      <c r="A7190" s="384" t="s">
        <v>24583</v>
      </c>
      <c r="B7190" s="384" t="s">
        <v>23702</v>
      </c>
      <c r="C7190" s="384" t="s">
        <v>23781</v>
      </c>
      <c r="D7190" s="385" t="s">
        <v>24584</v>
      </c>
    </row>
    <row r="7191" spans="1:4" x14ac:dyDescent="0.25">
      <c r="A7191" s="384" t="s">
        <v>24585</v>
      </c>
      <c r="B7191" s="384" t="s">
        <v>24586</v>
      </c>
      <c r="C7191" s="384" t="s">
        <v>23781</v>
      </c>
      <c r="D7191" s="385" t="s">
        <v>24587</v>
      </c>
    </row>
    <row r="7192" spans="1:4" x14ac:dyDescent="0.25">
      <c r="A7192" s="384" t="s">
        <v>24588</v>
      </c>
      <c r="B7192" s="384" t="s">
        <v>23707</v>
      </c>
      <c r="C7192" s="384" t="s">
        <v>23781</v>
      </c>
      <c r="D7192" s="385" t="s">
        <v>24589</v>
      </c>
    </row>
    <row r="7193" spans="1:4" x14ac:dyDescent="0.25">
      <c r="A7193" s="384" t="s">
        <v>24590</v>
      </c>
      <c r="B7193" s="384" t="s">
        <v>24591</v>
      </c>
      <c r="C7193" s="384" t="s">
        <v>23781</v>
      </c>
      <c r="D7193" s="385" t="s">
        <v>24592</v>
      </c>
    </row>
    <row r="7194" spans="1:4" x14ac:dyDescent="0.25">
      <c r="A7194" s="384" t="s">
        <v>24593</v>
      </c>
      <c r="B7194" s="384" t="s">
        <v>24594</v>
      </c>
      <c r="C7194" s="384" t="s">
        <v>23781</v>
      </c>
      <c r="D7194" s="385" t="s">
        <v>24595</v>
      </c>
    </row>
    <row r="7195" spans="1:4" x14ac:dyDescent="0.25">
      <c r="A7195" s="384" t="s">
        <v>24596</v>
      </c>
      <c r="B7195" s="384" t="s">
        <v>24597</v>
      </c>
      <c r="C7195" s="384" t="s">
        <v>23781</v>
      </c>
      <c r="D7195" s="385" t="s">
        <v>24598</v>
      </c>
    </row>
    <row r="7196" spans="1:4" x14ac:dyDescent="0.25">
      <c r="A7196" s="384" t="s">
        <v>24599</v>
      </c>
      <c r="B7196" s="384" t="s">
        <v>23722</v>
      </c>
      <c r="C7196" s="384" t="s">
        <v>23781</v>
      </c>
      <c r="D7196" s="385" t="s">
        <v>24600</v>
      </c>
    </row>
    <row r="7197" spans="1:4" x14ac:dyDescent="0.25">
      <c r="A7197" s="384" t="s">
        <v>24601</v>
      </c>
      <c r="B7197" s="384" t="s">
        <v>24068</v>
      </c>
      <c r="C7197" s="384" t="s">
        <v>23781</v>
      </c>
      <c r="D7197" s="385" t="s">
        <v>24602</v>
      </c>
    </row>
  </sheetData>
  <pageMargins left="0.511811024" right="0.511811024" top="0.78740157499999996" bottom="0.78740157499999996" header="0.31496062000000002" footer="0.31496062000000002"/>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483"/>
  <sheetViews>
    <sheetView workbookViewId="0">
      <selection sqref="A1:E1"/>
    </sheetView>
  </sheetViews>
  <sheetFormatPr defaultRowHeight="15" x14ac:dyDescent="0.25"/>
  <cols>
    <col min="1" max="1" width="17.5703125" style="1" customWidth="1"/>
    <col min="2" max="2" width="63.7109375" style="135" customWidth="1"/>
    <col min="3" max="3" width="9.140625" style="1"/>
    <col min="4" max="4" width="12.5703125" style="134" customWidth="1"/>
    <col min="5" max="5" width="9.140625" style="134"/>
    <col min="6" max="6" width="9.140625" style="1"/>
    <col min="8" max="8" width="11.5703125" bestFit="1" customWidth="1"/>
    <col min="10" max="10" width="10.5703125" bestFit="1" customWidth="1"/>
  </cols>
  <sheetData>
    <row r="1" spans="1:14" x14ac:dyDescent="0.25">
      <c r="A1" s="1364" t="s">
        <v>388</v>
      </c>
      <c r="B1" s="1364"/>
      <c r="C1" s="1364"/>
      <c r="D1" s="1364"/>
      <c r="E1" s="1364"/>
      <c r="F1" s="175"/>
    </row>
    <row r="2" spans="1:14" x14ac:dyDescent="0.25">
      <c r="A2" s="1364" t="s">
        <v>389</v>
      </c>
      <c r="B2" s="1364"/>
      <c r="C2" s="1364"/>
      <c r="D2" s="1364"/>
      <c r="E2" s="1364"/>
      <c r="F2" s="176"/>
    </row>
    <row r="3" spans="1:14" x14ac:dyDescent="0.25">
      <c r="A3" s="1364" t="s">
        <v>390</v>
      </c>
      <c r="B3" s="1364"/>
      <c r="C3" s="1364"/>
      <c r="D3" s="1364"/>
      <c r="E3" s="1364"/>
      <c r="F3" s="268"/>
    </row>
    <row r="4" spans="1:14" x14ac:dyDescent="0.25">
      <c r="A4" s="1364" t="s">
        <v>391</v>
      </c>
      <c r="B4" s="1364"/>
      <c r="C4" s="1364"/>
      <c r="D4" s="1364"/>
      <c r="E4" s="1364"/>
      <c r="F4" s="268"/>
    </row>
    <row r="5" spans="1:14" s="220" customFormat="1" x14ac:dyDescent="0.25">
      <c r="A5" s="216"/>
      <c r="B5" s="216"/>
      <c r="C5" s="216"/>
      <c r="D5" s="216"/>
      <c r="E5" s="216"/>
      <c r="F5" s="268"/>
    </row>
    <row r="6" spans="1:14" s="220" customFormat="1" x14ac:dyDescent="0.25">
      <c r="A6" s="1364" t="s">
        <v>392</v>
      </c>
      <c r="B6" s="1364"/>
      <c r="C6" s="1364"/>
      <c r="D6" s="1364"/>
      <c r="E6" s="1364"/>
      <c r="F6" s="268"/>
    </row>
    <row r="7" spans="1:14" s="220" customFormat="1" x14ac:dyDescent="0.25">
      <c r="A7" s="1364" t="s">
        <v>393</v>
      </c>
      <c r="B7" s="1364"/>
      <c r="C7" s="1364" t="s">
        <v>394</v>
      </c>
      <c r="D7" s="1364"/>
      <c r="E7" s="269" t="s">
        <v>395</v>
      </c>
      <c r="F7" s="268"/>
    </row>
    <row r="8" spans="1:14" ht="15" customHeight="1" x14ac:dyDescent="0.25">
      <c r="A8" s="269"/>
      <c r="B8" s="269"/>
      <c r="C8" s="269"/>
      <c r="D8" s="269"/>
      <c r="E8" s="269"/>
      <c r="F8" s="2"/>
    </row>
    <row r="9" spans="1:14" x14ac:dyDescent="0.25">
      <c r="A9" s="168" t="s">
        <v>0</v>
      </c>
      <c r="B9" s="168" t="s">
        <v>1</v>
      </c>
      <c r="C9" s="169" t="s">
        <v>2</v>
      </c>
      <c r="D9" s="169" t="s">
        <v>270</v>
      </c>
      <c r="E9" s="169"/>
      <c r="F9" s="159"/>
    </row>
    <row r="10" spans="1:14" x14ac:dyDescent="0.25">
      <c r="A10" s="270">
        <v>1</v>
      </c>
      <c r="B10" s="160" t="s">
        <v>73</v>
      </c>
      <c r="C10" s="161"/>
      <c r="D10" s="161"/>
      <c r="E10" s="162"/>
      <c r="F10" s="159"/>
    </row>
    <row r="11" spans="1:14" x14ac:dyDescent="0.25">
      <c r="A11" s="270">
        <v>101</v>
      </c>
      <c r="B11" s="160" t="s">
        <v>74</v>
      </c>
      <c r="C11" s="161"/>
      <c r="D11" s="161"/>
      <c r="E11" s="162"/>
      <c r="F11" s="159"/>
    </row>
    <row r="12" spans="1:14" x14ac:dyDescent="0.25">
      <c r="A12" s="163">
        <v>10101</v>
      </c>
      <c r="B12" s="163" t="s">
        <v>396</v>
      </c>
      <c r="C12" s="164" t="s">
        <v>75</v>
      </c>
      <c r="D12" s="345">
        <v>6.27</v>
      </c>
      <c r="E12" s="271"/>
      <c r="F12" s="159"/>
    </row>
    <row r="13" spans="1:14" x14ac:dyDescent="0.25">
      <c r="A13" s="163">
        <v>10106</v>
      </c>
      <c r="B13" s="163" t="s">
        <v>397</v>
      </c>
      <c r="C13" s="164" t="s">
        <v>75</v>
      </c>
      <c r="D13" s="345">
        <v>7.43</v>
      </c>
      <c r="E13" s="271"/>
      <c r="F13" s="159"/>
      <c r="N13" s="220"/>
    </row>
    <row r="14" spans="1:14" x14ac:dyDescent="0.25">
      <c r="A14" s="163">
        <v>10111</v>
      </c>
      <c r="B14" s="163" t="s">
        <v>398</v>
      </c>
      <c r="C14" s="164" t="s">
        <v>75</v>
      </c>
      <c r="D14" s="345">
        <v>7.43</v>
      </c>
      <c r="E14" s="271"/>
      <c r="F14" s="159"/>
      <c r="N14" s="220"/>
    </row>
    <row r="15" spans="1:14" x14ac:dyDescent="0.25">
      <c r="A15" s="163">
        <v>10115</v>
      </c>
      <c r="B15" s="163" t="s">
        <v>399</v>
      </c>
      <c r="C15" s="164" t="s">
        <v>75</v>
      </c>
      <c r="D15" s="345">
        <v>7.43</v>
      </c>
      <c r="E15" s="271"/>
      <c r="F15" s="159"/>
      <c r="N15" s="220"/>
    </row>
    <row r="16" spans="1:14" x14ac:dyDescent="0.25">
      <c r="A16" s="163">
        <v>10118</v>
      </c>
      <c r="B16" s="163" t="s">
        <v>400</v>
      </c>
      <c r="C16" s="164" t="s">
        <v>75</v>
      </c>
      <c r="D16" s="345">
        <v>7.43</v>
      </c>
      <c r="E16" s="271"/>
      <c r="F16" s="159"/>
      <c r="N16" s="220"/>
    </row>
    <row r="17" spans="1:14" s="159" customFormat="1" x14ac:dyDescent="0.25">
      <c r="A17" s="163">
        <v>10124</v>
      </c>
      <c r="B17" s="163" t="s">
        <v>401</v>
      </c>
      <c r="C17" s="164" t="s">
        <v>75</v>
      </c>
      <c r="D17" s="345">
        <v>7.43</v>
      </c>
      <c r="E17" s="271"/>
      <c r="N17" s="220"/>
    </row>
    <row r="18" spans="1:14" x14ac:dyDescent="0.25">
      <c r="A18" s="163">
        <v>10128</v>
      </c>
      <c r="B18" s="163" t="s">
        <v>402</v>
      </c>
      <c r="C18" s="164" t="s">
        <v>75</v>
      </c>
      <c r="D18" s="345">
        <v>7.43</v>
      </c>
      <c r="E18" s="271"/>
      <c r="F18" s="159"/>
      <c r="N18" s="220"/>
    </row>
    <row r="19" spans="1:14" x14ac:dyDescent="0.25">
      <c r="A19" s="163">
        <v>10138</v>
      </c>
      <c r="B19" s="163" t="s">
        <v>403</v>
      </c>
      <c r="C19" s="164" t="s">
        <v>75</v>
      </c>
      <c r="D19" s="345">
        <v>7.43</v>
      </c>
      <c r="E19" s="271"/>
      <c r="F19" s="159"/>
      <c r="N19" s="220"/>
    </row>
    <row r="20" spans="1:14" x14ac:dyDescent="0.25">
      <c r="A20" s="163">
        <v>10139</v>
      </c>
      <c r="B20" s="163" t="s">
        <v>404</v>
      </c>
      <c r="C20" s="164" t="s">
        <v>75</v>
      </c>
      <c r="D20" s="345">
        <v>7.43</v>
      </c>
      <c r="E20" s="271"/>
      <c r="F20" s="159"/>
      <c r="N20" s="220"/>
    </row>
    <row r="21" spans="1:14" x14ac:dyDescent="0.25">
      <c r="A21" s="163">
        <v>10146</v>
      </c>
      <c r="B21" s="163" t="s">
        <v>405</v>
      </c>
      <c r="C21" s="164" t="s">
        <v>75</v>
      </c>
      <c r="D21" s="345">
        <v>5.46</v>
      </c>
      <c r="E21" s="271"/>
      <c r="F21" s="159"/>
      <c r="N21" s="220"/>
    </row>
    <row r="22" spans="1:14" x14ac:dyDescent="0.25">
      <c r="A22" s="339">
        <v>10150</v>
      </c>
      <c r="B22" s="339" t="s">
        <v>406</v>
      </c>
      <c r="C22" s="340" t="s">
        <v>75</v>
      </c>
      <c r="D22" s="346">
        <v>7.43</v>
      </c>
      <c r="E22" s="271"/>
      <c r="F22" s="159"/>
      <c r="N22" s="220"/>
    </row>
    <row r="23" spans="1:14" s="220" customFormat="1" x14ac:dyDescent="0.25">
      <c r="A23" s="343">
        <v>20060</v>
      </c>
      <c r="B23" s="343" t="s">
        <v>4418</v>
      </c>
      <c r="C23" s="344" t="s">
        <v>75</v>
      </c>
      <c r="D23" s="347">
        <f>11.3*1.0392965</f>
        <v>11.74</v>
      </c>
      <c r="E23" s="271"/>
      <c r="G23" s="220" t="s">
        <v>4419</v>
      </c>
    </row>
    <row r="24" spans="1:14" x14ac:dyDescent="0.25">
      <c r="A24" s="341"/>
      <c r="B24" s="342"/>
      <c r="C24" s="342"/>
      <c r="D24" s="342"/>
      <c r="E24" s="167"/>
      <c r="F24" s="159"/>
      <c r="N24" s="220"/>
    </row>
    <row r="25" spans="1:14" x14ac:dyDescent="0.25">
      <c r="A25" s="168"/>
      <c r="B25" s="168" t="s">
        <v>1</v>
      </c>
      <c r="C25" s="169" t="s">
        <v>2</v>
      </c>
      <c r="D25" s="169" t="s">
        <v>270</v>
      </c>
      <c r="E25" s="169"/>
      <c r="F25" s="159"/>
      <c r="N25" s="220"/>
    </row>
    <row r="26" spans="1:14" x14ac:dyDescent="0.25">
      <c r="A26" s="163">
        <v>20503</v>
      </c>
      <c r="B26" s="163" t="s">
        <v>78</v>
      </c>
      <c r="C26" s="164" t="s">
        <v>76</v>
      </c>
      <c r="D26" s="165">
        <v>90</v>
      </c>
      <c r="E26" s="271"/>
      <c r="F26" s="159"/>
      <c r="N26" s="220"/>
    </row>
    <row r="27" spans="1:14" x14ac:dyDescent="0.25">
      <c r="A27" s="163">
        <v>20505</v>
      </c>
      <c r="B27" s="163" t="s">
        <v>407</v>
      </c>
      <c r="C27" s="164" t="s">
        <v>77</v>
      </c>
      <c r="D27" s="165">
        <v>0.78</v>
      </c>
      <c r="E27" s="271"/>
      <c r="F27" s="159"/>
      <c r="N27" s="220"/>
    </row>
    <row r="28" spans="1:14" x14ac:dyDescent="0.25">
      <c r="A28" s="163">
        <v>20508</v>
      </c>
      <c r="B28" s="163" t="s">
        <v>408</v>
      </c>
      <c r="C28" s="164" t="s">
        <v>77</v>
      </c>
      <c r="D28" s="165">
        <v>0.46</v>
      </c>
      <c r="E28" s="271"/>
      <c r="F28" s="159"/>
      <c r="N28" s="220"/>
    </row>
    <row r="29" spans="1:14" x14ac:dyDescent="0.25">
      <c r="A29" s="163">
        <v>20509</v>
      </c>
      <c r="B29" s="163" t="s">
        <v>79</v>
      </c>
      <c r="C29" s="164" t="s">
        <v>77</v>
      </c>
      <c r="D29" s="165">
        <v>4.07</v>
      </c>
      <c r="E29" s="271"/>
      <c r="F29" s="159"/>
      <c r="N29" s="220"/>
    </row>
    <row r="30" spans="1:14" x14ac:dyDescent="0.25">
      <c r="A30" s="163">
        <v>20510</v>
      </c>
      <c r="B30" s="163" t="s">
        <v>80</v>
      </c>
      <c r="C30" s="164" t="s">
        <v>77</v>
      </c>
      <c r="D30" s="165">
        <v>0.81</v>
      </c>
      <c r="E30" s="271"/>
      <c r="F30" s="159"/>
      <c r="N30" s="220"/>
    </row>
    <row r="31" spans="1:14" ht="30" x14ac:dyDescent="0.25">
      <c r="A31" s="163">
        <v>20572</v>
      </c>
      <c r="B31" s="163" t="s">
        <v>409</v>
      </c>
      <c r="C31" s="164" t="s">
        <v>77</v>
      </c>
      <c r="D31" s="165">
        <v>3.39</v>
      </c>
      <c r="E31" s="271"/>
      <c r="F31" s="159"/>
      <c r="N31" s="220"/>
    </row>
    <row r="32" spans="1:14" x14ac:dyDescent="0.25">
      <c r="A32" s="163">
        <v>20588</v>
      </c>
      <c r="B32" s="163" t="s">
        <v>81</v>
      </c>
      <c r="C32" s="164" t="s">
        <v>77</v>
      </c>
      <c r="D32" s="165">
        <v>6.22</v>
      </c>
      <c r="E32" s="271"/>
      <c r="F32" s="159"/>
      <c r="N32" s="220"/>
    </row>
    <row r="33" spans="1:14" x14ac:dyDescent="0.25">
      <c r="A33" s="163">
        <v>27004</v>
      </c>
      <c r="B33" s="163" t="s">
        <v>84</v>
      </c>
      <c r="C33" s="164" t="s">
        <v>77</v>
      </c>
      <c r="D33" s="165">
        <v>18.66</v>
      </c>
      <c r="E33" s="271"/>
      <c r="F33" s="159"/>
      <c r="N33" s="220"/>
    </row>
    <row r="34" spans="1:14" x14ac:dyDescent="0.25">
      <c r="A34" s="163">
        <v>38511</v>
      </c>
      <c r="B34" s="163" t="s">
        <v>86</v>
      </c>
      <c r="C34" s="164" t="s">
        <v>76</v>
      </c>
      <c r="D34" s="165">
        <v>149.63</v>
      </c>
      <c r="E34" s="271"/>
      <c r="F34" s="159"/>
      <c r="N34" s="220"/>
    </row>
    <row r="35" spans="1:14" ht="30" x14ac:dyDescent="0.25">
      <c r="A35" s="163">
        <v>41528</v>
      </c>
      <c r="B35" s="163" t="s">
        <v>410</v>
      </c>
      <c r="C35" s="164" t="s">
        <v>83</v>
      </c>
      <c r="D35" s="165">
        <v>556.76</v>
      </c>
      <c r="E35" s="271"/>
      <c r="F35" s="159"/>
      <c r="N35" s="220"/>
    </row>
    <row r="36" spans="1:14" x14ac:dyDescent="0.25">
      <c r="A36" s="163">
        <v>41569</v>
      </c>
      <c r="B36" s="163" t="s">
        <v>294</v>
      </c>
      <c r="C36" s="164" t="s">
        <v>83</v>
      </c>
      <c r="D36" s="165">
        <v>150.19999999999999</v>
      </c>
      <c r="E36" s="271"/>
      <c r="F36" s="159"/>
      <c r="N36" s="220"/>
    </row>
    <row r="37" spans="1:14" x14ac:dyDescent="0.25">
      <c r="A37" s="163">
        <v>42502</v>
      </c>
      <c r="B37" s="163" t="s">
        <v>411</v>
      </c>
      <c r="C37" s="164" t="s">
        <v>82</v>
      </c>
      <c r="D37" s="165">
        <v>5.0599999999999996</v>
      </c>
      <c r="E37" s="271"/>
      <c r="F37" s="159"/>
      <c r="N37" s="220"/>
    </row>
    <row r="38" spans="1:14" x14ac:dyDescent="0.25">
      <c r="A38" s="163">
        <v>45003</v>
      </c>
      <c r="B38" s="163" t="s">
        <v>87</v>
      </c>
      <c r="C38" s="164" t="s">
        <v>83</v>
      </c>
      <c r="D38" s="165">
        <v>57.07</v>
      </c>
      <c r="E38" s="271"/>
      <c r="F38" s="159"/>
      <c r="N38" s="220"/>
    </row>
    <row r="39" spans="1:14" ht="30" x14ac:dyDescent="0.25">
      <c r="A39" s="163">
        <v>48502</v>
      </c>
      <c r="B39" s="163" t="s">
        <v>412</v>
      </c>
      <c r="C39" s="164" t="s">
        <v>83</v>
      </c>
      <c r="D39" s="165">
        <v>1.1200000000000001</v>
      </c>
      <c r="E39" s="271"/>
      <c r="F39" s="159"/>
      <c r="N39" s="220"/>
    </row>
    <row r="40" spans="1:14" x14ac:dyDescent="0.25">
      <c r="A40" s="163">
        <v>48516</v>
      </c>
      <c r="B40" s="163" t="s">
        <v>413</v>
      </c>
      <c r="C40" s="164" t="s">
        <v>83</v>
      </c>
      <c r="D40" s="165">
        <v>0.63</v>
      </c>
      <c r="E40" s="271"/>
      <c r="F40" s="159"/>
      <c r="N40" s="220"/>
    </row>
    <row r="41" spans="1:14" x14ac:dyDescent="0.25">
      <c r="A41" s="163">
        <v>49503</v>
      </c>
      <c r="B41" s="163" t="s">
        <v>88</v>
      </c>
      <c r="C41" s="164" t="s">
        <v>83</v>
      </c>
      <c r="D41" s="165">
        <v>25.2</v>
      </c>
      <c r="E41" s="271"/>
      <c r="F41" s="159"/>
      <c r="N41" s="220"/>
    </row>
    <row r="42" spans="1:14" x14ac:dyDescent="0.25">
      <c r="A42" s="163">
        <v>62112</v>
      </c>
      <c r="B42" s="163" t="s">
        <v>89</v>
      </c>
      <c r="C42" s="164" t="s">
        <v>83</v>
      </c>
      <c r="D42" s="165">
        <v>2.37</v>
      </c>
      <c r="E42" s="271"/>
      <c r="F42" s="159"/>
      <c r="N42" s="220"/>
    </row>
    <row r="43" spans="1:14" ht="30" x14ac:dyDescent="0.25">
      <c r="A43" s="163">
        <v>62503</v>
      </c>
      <c r="B43" s="163" t="s">
        <v>414</v>
      </c>
      <c r="C43" s="164" t="s">
        <v>82</v>
      </c>
      <c r="D43" s="165">
        <v>11.68</v>
      </c>
      <c r="E43" s="271"/>
      <c r="F43" s="159"/>
      <c r="N43" s="220"/>
    </row>
    <row r="44" spans="1:14" ht="30" x14ac:dyDescent="0.25">
      <c r="A44" s="163">
        <v>62504</v>
      </c>
      <c r="B44" s="163" t="s">
        <v>415</v>
      </c>
      <c r="C44" s="164" t="s">
        <v>82</v>
      </c>
      <c r="D44" s="165">
        <v>19.07</v>
      </c>
      <c r="E44" s="271"/>
      <c r="F44" s="159"/>
      <c r="N44" s="220"/>
    </row>
    <row r="45" spans="1:14" ht="30" x14ac:dyDescent="0.25">
      <c r="A45" s="163">
        <v>62505</v>
      </c>
      <c r="B45" s="163" t="s">
        <v>416</v>
      </c>
      <c r="C45" s="164" t="s">
        <v>82</v>
      </c>
      <c r="D45" s="165">
        <v>22.64</v>
      </c>
      <c r="E45" s="271"/>
      <c r="F45" s="159"/>
      <c r="N45" s="220"/>
    </row>
    <row r="46" spans="1:14" ht="30" x14ac:dyDescent="0.25">
      <c r="A46" s="163">
        <v>62506</v>
      </c>
      <c r="B46" s="163" t="s">
        <v>417</v>
      </c>
      <c r="C46" s="164" t="s">
        <v>82</v>
      </c>
      <c r="D46" s="165">
        <v>37.67</v>
      </c>
      <c r="E46" s="271"/>
      <c r="F46" s="159"/>
      <c r="N46" s="220"/>
    </row>
    <row r="47" spans="1:14" ht="30" x14ac:dyDescent="0.25">
      <c r="A47" s="163">
        <v>62507</v>
      </c>
      <c r="B47" s="163" t="s">
        <v>418</v>
      </c>
      <c r="C47" s="164" t="s">
        <v>82</v>
      </c>
      <c r="D47" s="165">
        <v>56.46</v>
      </c>
      <c r="E47" s="271"/>
      <c r="F47" s="159"/>
      <c r="N47" s="220"/>
    </row>
    <row r="48" spans="1:14" ht="30" x14ac:dyDescent="0.25">
      <c r="A48" s="163">
        <v>62533</v>
      </c>
      <c r="B48" s="163" t="s">
        <v>419</v>
      </c>
      <c r="C48" s="164" t="s">
        <v>82</v>
      </c>
      <c r="D48" s="165">
        <v>18.63</v>
      </c>
      <c r="E48" s="271"/>
      <c r="F48" s="159"/>
      <c r="N48" s="220"/>
    </row>
    <row r="49" spans="1:14" x14ac:dyDescent="0.25">
      <c r="A49" s="163">
        <v>63503</v>
      </c>
      <c r="B49" s="163" t="s">
        <v>420</v>
      </c>
      <c r="C49" s="164" t="s">
        <v>83</v>
      </c>
      <c r="D49" s="165">
        <v>56.8</v>
      </c>
      <c r="E49" s="271"/>
      <c r="F49" s="159"/>
      <c r="N49" s="220"/>
    </row>
    <row r="50" spans="1:14" x14ac:dyDescent="0.25">
      <c r="A50" s="163">
        <v>63504</v>
      </c>
      <c r="B50" s="163" t="s">
        <v>421</v>
      </c>
      <c r="C50" s="164" t="s">
        <v>83</v>
      </c>
      <c r="D50" s="165">
        <v>67.459999999999994</v>
      </c>
      <c r="E50" s="271"/>
      <c r="F50" s="159"/>
      <c r="N50" s="220"/>
    </row>
    <row r="51" spans="1:14" x14ac:dyDescent="0.25">
      <c r="A51" s="163">
        <v>63506</v>
      </c>
      <c r="B51" s="163" t="s">
        <v>422</v>
      </c>
      <c r="C51" s="164" t="s">
        <v>83</v>
      </c>
      <c r="D51" s="165">
        <v>153.93</v>
      </c>
      <c r="E51" s="271"/>
      <c r="F51" s="159"/>
      <c r="N51" s="220"/>
    </row>
    <row r="52" spans="1:14" x14ac:dyDescent="0.25">
      <c r="A52" s="163">
        <v>63507</v>
      </c>
      <c r="B52" s="163" t="s">
        <v>423</v>
      </c>
      <c r="C52" s="164" t="s">
        <v>83</v>
      </c>
      <c r="D52" s="165">
        <v>365.9</v>
      </c>
      <c r="E52" s="271"/>
      <c r="F52" s="159"/>
      <c r="N52" s="220"/>
    </row>
    <row r="53" spans="1:14" x14ac:dyDescent="0.25">
      <c r="A53" s="163">
        <v>63516</v>
      </c>
      <c r="B53" s="163" t="s">
        <v>424</v>
      </c>
      <c r="C53" s="164" t="s">
        <v>83</v>
      </c>
      <c r="D53" s="165">
        <v>103.22</v>
      </c>
      <c r="E53" s="271"/>
      <c r="F53" s="159"/>
      <c r="N53" s="220"/>
    </row>
    <row r="54" spans="1:14" x14ac:dyDescent="0.25">
      <c r="A54" s="163">
        <v>63517</v>
      </c>
      <c r="B54" s="163" t="s">
        <v>425</v>
      </c>
      <c r="C54" s="164" t="s">
        <v>83</v>
      </c>
      <c r="D54" s="165">
        <v>144.6</v>
      </c>
      <c r="E54" s="271"/>
      <c r="F54" s="159"/>
      <c r="N54" s="220"/>
    </row>
    <row r="55" spans="1:14" x14ac:dyDescent="0.25">
      <c r="A55" s="163">
        <v>69512</v>
      </c>
      <c r="B55" s="163" t="s">
        <v>90</v>
      </c>
      <c r="C55" s="164" t="s">
        <v>82</v>
      </c>
      <c r="D55" s="165">
        <v>0.13</v>
      </c>
      <c r="E55" s="271"/>
      <c r="F55" s="159"/>
      <c r="N55" s="220"/>
    </row>
    <row r="56" spans="1:14" x14ac:dyDescent="0.25">
      <c r="A56" s="163">
        <v>69513</v>
      </c>
      <c r="B56" s="163" t="s">
        <v>91</v>
      </c>
      <c r="C56" s="164" t="s">
        <v>77</v>
      </c>
      <c r="D56" s="165">
        <v>80.680000000000007</v>
      </c>
      <c r="E56" s="271"/>
      <c r="F56" s="159"/>
      <c r="N56" s="220"/>
    </row>
    <row r="57" spans="1:14" x14ac:dyDescent="0.25">
      <c r="A57" s="163">
        <v>69514</v>
      </c>
      <c r="B57" s="163" t="s">
        <v>92</v>
      </c>
      <c r="C57" s="164" t="s">
        <v>85</v>
      </c>
      <c r="D57" s="165">
        <v>71.63</v>
      </c>
      <c r="E57" s="271"/>
      <c r="F57" s="159"/>
      <c r="N57" s="220"/>
    </row>
    <row r="58" spans="1:14" x14ac:dyDescent="0.25">
      <c r="A58" s="160"/>
      <c r="B58" s="161"/>
      <c r="C58" s="161"/>
      <c r="D58" s="161"/>
      <c r="E58" s="162"/>
      <c r="F58" s="159"/>
      <c r="N58" s="220"/>
    </row>
    <row r="59" spans="1:14" x14ac:dyDescent="0.25">
      <c r="A59" s="272"/>
      <c r="B59" s="166"/>
      <c r="C59" s="166"/>
      <c r="D59" s="166"/>
      <c r="E59" s="167"/>
      <c r="F59" s="159"/>
      <c r="N59" s="220"/>
    </row>
    <row r="60" spans="1:14" ht="30" x14ac:dyDescent="0.25">
      <c r="A60" s="168"/>
      <c r="B60" s="168" t="s">
        <v>1</v>
      </c>
      <c r="C60" s="169" t="s">
        <v>2</v>
      </c>
      <c r="D60" s="169" t="s">
        <v>72</v>
      </c>
      <c r="E60" s="169" t="s">
        <v>271</v>
      </c>
      <c r="F60" s="159"/>
      <c r="N60" s="220"/>
    </row>
    <row r="61" spans="1:14" x14ac:dyDescent="0.25">
      <c r="A61" s="270">
        <v>8</v>
      </c>
      <c r="B61" s="160" t="s">
        <v>93</v>
      </c>
      <c r="C61" s="161"/>
      <c r="D61" s="161"/>
      <c r="E61" s="162"/>
      <c r="F61" s="159"/>
      <c r="N61" s="220"/>
    </row>
    <row r="62" spans="1:14" x14ac:dyDescent="0.25">
      <c r="A62" s="163">
        <v>80170</v>
      </c>
      <c r="B62" s="163" t="s">
        <v>94</v>
      </c>
      <c r="C62" s="164" t="s">
        <v>75</v>
      </c>
      <c r="D62" s="165">
        <v>180.07</v>
      </c>
      <c r="E62" s="165">
        <v>11.6</v>
      </c>
      <c r="F62" s="159"/>
      <c r="N62" s="220"/>
    </row>
    <row r="63" spans="1:14" x14ac:dyDescent="0.25">
      <c r="A63" s="163">
        <v>80178</v>
      </c>
      <c r="B63" s="163" t="s">
        <v>95</v>
      </c>
      <c r="C63" s="164" t="s">
        <v>75</v>
      </c>
      <c r="D63" s="165">
        <v>129.35</v>
      </c>
      <c r="E63" s="165">
        <v>11.6</v>
      </c>
      <c r="F63" s="159"/>
      <c r="N63" s="220"/>
    </row>
    <row r="64" spans="1:14" s="220" customFormat="1" x14ac:dyDescent="0.25">
      <c r="A64" s="163">
        <v>86030</v>
      </c>
      <c r="B64" s="163" t="s">
        <v>96</v>
      </c>
      <c r="C64" s="164" t="s">
        <v>75</v>
      </c>
      <c r="D64" s="165">
        <v>106.84</v>
      </c>
      <c r="E64" s="165">
        <v>14.08</v>
      </c>
      <c r="F64" s="140"/>
    </row>
    <row r="65" spans="1:14" s="159" customFormat="1" x14ac:dyDescent="0.25">
      <c r="A65" s="141"/>
      <c r="B65" s="141"/>
      <c r="C65" s="140"/>
      <c r="D65" s="156"/>
      <c r="E65" s="156"/>
      <c r="F65" s="140"/>
      <c r="N65" s="220"/>
    </row>
    <row r="66" spans="1:14" s="129" customFormat="1" x14ac:dyDescent="0.25">
      <c r="A66" s="1365" t="s">
        <v>97</v>
      </c>
      <c r="B66" s="1365"/>
      <c r="C66" s="1365"/>
      <c r="D66" s="1365"/>
      <c r="E66" s="1365"/>
      <c r="F66" s="3"/>
      <c r="N66" s="220"/>
    </row>
    <row r="67" spans="1:14" ht="30" x14ac:dyDescent="0.25">
      <c r="A67" s="303" t="s">
        <v>0</v>
      </c>
      <c r="B67" s="303" t="s">
        <v>1</v>
      </c>
      <c r="C67" s="304" t="s">
        <v>2</v>
      </c>
      <c r="D67" s="305" t="s">
        <v>72</v>
      </c>
      <c r="E67" s="305" t="s">
        <v>271</v>
      </c>
      <c r="N67" s="220"/>
    </row>
    <row r="68" spans="1:14" ht="30" x14ac:dyDescent="0.25">
      <c r="A68" s="306">
        <v>11708</v>
      </c>
      <c r="B68" s="307" t="s">
        <v>224</v>
      </c>
      <c r="C68" s="308" t="s">
        <v>2</v>
      </c>
      <c r="D68" s="309">
        <v>25.58</v>
      </c>
      <c r="E68" s="309"/>
      <c r="N68" s="220"/>
    </row>
    <row r="69" spans="1:14" s="320" customFormat="1" x14ac:dyDescent="0.25">
      <c r="A69" s="315" t="s">
        <v>4416</v>
      </c>
      <c r="B69" s="316" t="s">
        <v>4417</v>
      </c>
      <c r="C69" s="317" t="s">
        <v>2</v>
      </c>
      <c r="D69" s="318">
        <v>4540.26</v>
      </c>
      <c r="E69" s="318"/>
      <c r="F69" s="319"/>
    </row>
    <row r="70" spans="1:14" s="159" customFormat="1" ht="30" x14ac:dyDescent="0.25">
      <c r="A70" s="306">
        <v>1806</v>
      </c>
      <c r="B70" s="307" t="s">
        <v>448</v>
      </c>
      <c r="C70" s="308" t="s">
        <v>2</v>
      </c>
      <c r="D70" s="309">
        <v>98.48</v>
      </c>
      <c r="E70" s="309"/>
      <c r="F70" s="139"/>
      <c r="N70" s="220"/>
    </row>
    <row r="71" spans="1:14" s="159" customFormat="1" x14ac:dyDescent="0.25">
      <c r="A71" s="306">
        <v>3912</v>
      </c>
      <c r="B71" s="307" t="s">
        <v>449</v>
      </c>
      <c r="C71" s="308" t="s">
        <v>2</v>
      </c>
      <c r="D71" s="309">
        <v>27.73</v>
      </c>
      <c r="E71" s="309"/>
      <c r="F71" s="139"/>
      <c r="N71" s="220"/>
    </row>
    <row r="72" spans="1:14" s="159" customFormat="1" ht="30" x14ac:dyDescent="0.25">
      <c r="A72" s="306">
        <v>12294</v>
      </c>
      <c r="B72" s="307" t="s">
        <v>334</v>
      </c>
      <c r="C72" s="308" t="s">
        <v>2</v>
      </c>
      <c r="D72" s="309">
        <v>10.74</v>
      </c>
      <c r="E72" s="309"/>
      <c r="F72" s="139"/>
      <c r="N72" s="220"/>
    </row>
    <row r="73" spans="1:14" ht="30" x14ac:dyDescent="0.25">
      <c r="A73" s="314">
        <v>2510</v>
      </c>
      <c r="B73" s="307" t="s">
        <v>451</v>
      </c>
      <c r="C73" s="308" t="s">
        <v>2</v>
      </c>
      <c r="D73" s="309">
        <v>40.78</v>
      </c>
      <c r="E73" s="309"/>
      <c r="N73" s="220"/>
    </row>
    <row r="74" spans="1:14" x14ac:dyDescent="0.25">
      <c r="A74" s="306">
        <v>12081</v>
      </c>
      <c r="B74" s="307" t="s">
        <v>335</v>
      </c>
      <c r="C74" s="308" t="s">
        <v>2</v>
      </c>
      <c r="D74" s="309">
        <v>131</v>
      </c>
      <c r="E74" s="309"/>
      <c r="N74" s="220"/>
    </row>
    <row r="75" spans="1:14" s="159" customFormat="1" ht="30" x14ac:dyDescent="0.25">
      <c r="A75" s="306">
        <v>36206</v>
      </c>
      <c r="B75" s="307" t="s">
        <v>426</v>
      </c>
      <c r="C75" s="308" t="s">
        <v>2</v>
      </c>
      <c r="D75" s="309">
        <v>180.67</v>
      </c>
      <c r="E75" s="309"/>
      <c r="F75" s="139"/>
      <c r="N75" s="220"/>
    </row>
    <row r="76" spans="1:14" s="159" customFormat="1" ht="30" x14ac:dyDescent="0.25">
      <c r="A76" s="306">
        <v>20078</v>
      </c>
      <c r="B76" s="307" t="s">
        <v>427</v>
      </c>
      <c r="C76" s="308" t="s">
        <v>2</v>
      </c>
      <c r="D76" s="309">
        <v>27.05</v>
      </c>
      <c r="E76" s="309"/>
      <c r="F76" s="139"/>
      <c r="N76" s="220"/>
    </row>
    <row r="77" spans="1:14" s="159" customFormat="1" ht="45" x14ac:dyDescent="0.25">
      <c r="A77" s="306">
        <v>10734</v>
      </c>
      <c r="B77" s="307" t="s">
        <v>431</v>
      </c>
      <c r="C77" s="308" t="s">
        <v>5</v>
      </c>
      <c r="D77" s="309">
        <v>66.14</v>
      </c>
      <c r="E77" s="309"/>
      <c r="F77" s="139"/>
      <c r="N77" s="220"/>
    </row>
    <row r="78" spans="1:14" s="220" customFormat="1" x14ac:dyDescent="0.25">
      <c r="A78" s="306">
        <v>38639</v>
      </c>
      <c r="B78" s="307" t="s">
        <v>432</v>
      </c>
      <c r="C78" s="308" t="s">
        <v>2</v>
      </c>
      <c r="D78" s="309">
        <v>148.27000000000001</v>
      </c>
      <c r="E78" s="309"/>
      <c r="F78" s="139"/>
    </row>
    <row r="79" spans="1:14" s="220" customFormat="1" ht="45" x14ac:dyDescent="0.25">
      <c r="A79" s="306">
        <v>359</v>
      </c>
      <c r="B79" s="307" t="s">
        <v>434</v>
      </c>
      <c r="C79" s="308" t="s">
        <v>2</v>
      </c>
      <c r="D79" s="309">
        <v>93.9</v>
      </c>
      <c r="E79" s="309"/>
      <c r="F79" s="139"/>
    </row>
    <row r="80" spans="1:14" s="220" customFormat="1" ht="45" x14ac:dyDescent="0.25">
      <c r="A80" s="306">
        <v>1100</v>
      </c>
      <c r="B80" s="307" t="s">
        <v>450</v>
      </c>
      <c r="C80" s="308" t="s">
        <v>2</v>
      </c>
      <c r="D80" s="309">
        <v>16.03</v>
      </c>
      <c r="E80" s="309"/>
      <c r="F80" s="139"/>
    </row>
    <row r="81" spans="1:14" s="220" customFormat="1" ht="45" x14ac:dyDescent="0.25">
      <c r="A81" s="306">
        <v>4712</v>
      </c>
      <c r="B81" s="307" t="s">
        <v>4394</v>
      </c>
      <c r="C81" s="308" t="s">
        <v>5</v>
      </c>
      <c r="D81" s="309">
        <v>62.72</v>
      </c>
      <c r="E81" s="309"/>
      <c r="F81" s="139"/>
    </row>
    <row r="82" spans="1:14" s="220" customFormat="1" x14ac:dyDescent="0.25">
      <c r="A82" s="306">
        <v>1873</v>
      </c>
      <c r="B82" s="307" t="s">
        <v>483</v>
      </c>
      <c r="C82" s="308" t="s">
        <v>2</v>
      </c>
      <c r="D82" s="309">
        <v>5.68</v>
      </c>
      <c r="E82" s="309"/>
      <c r="F82" s="139"/>
    </row>
    <row r="83" spans="1:14" s="220" customFormat="1" ht="30" x14ac:dyDescent="0.25">
      <c r="A83" s="310">
        <v>40742</v>
      </c>
      <c r="B83" s="311" t="s">
        <v>520</v>
      </c>
      <c r="C83" s="312" t="s">
        <v>2</v>
      </c>
      <c r="D83" s="313">
        <v>7.48</v>
      </c>
      <c r="E83" s="309"/>
      <c r="F83" s="139"/>
    </row>
    <row r="84" spans="1:14" s="159" customFormat="1" x14ac:dyDescent="0.25">
      <c r="A84" s="139"/>
      <c r="B84" s="135"/>
      <c r="C84" s="133"/>
      <c r="D84" s="134"/>
      <c r="E84" s="134"/>
      <c r="F84" s="139"/>
      <c r="N84" s="220"/>
    </row>
    <row r="85" spans="1:14" x14ac:dyDescent="0.25">
      <c r="N85" s="220"/>
    </row>
    <row r="86" spans="1:14" x14ac:dyDescent="0.25">
      <c r="A86" s="1366" t="s">
        <v>277</v>
      </c>
      <c r="B86" s="1367"/>
      <c r="C86" s="1367"/>
      <c r="D86" s="1367"/>
      <c r="E86" s="1368"/>
      <c r="N86" s="220"/>
    </row>
    <row r="87" spans="1:14" ht="30" x14ac:dyDescent="0.25">
      <c r="A87" s="304" t="s">
        <v>0</v>
      </c>
      <c r="B87" s="303" t="s">
        <v>1</v>
      </c>
      <c r="C87" s="304" t="s">
        <v>2</v>
      </c>
      <c r="D87" s="304" t="s">
        <v>72</v>
      </c>
      <c r="E87" s="304" t="s">
        <v>271</v>
      </c>
      <c r="N87" s="220"/>
    </row>
    <row r="88" spans="1:14" s="220" customFormat="1" ht="30" x14ac:dyDescent="0.25">
      <c r="A88" s="306">
        <v>10646</v>
      </c>
      <c r="B88" s="307" t="s">
        <v>297</v>
      </c>
      <c r="C88" s="308" t="s">
        <v>7</v>
      </c>
      <c r="D88" s="313">
        <v>343.86</v>
      </c>
      <c r="E88" s="313"/>
      <c r="F88" s="139"/>
    </row>
    <row r="89" spans="1:14" s="220" customFormat="1" ht="30" x14ac:dyDescent="0.25">
      <c r="A89" s="306">
        <v>10639</v>
      </c>
      <c r="B89" s="307" t="s">
        <v>298</v>
      </c>
      <c r="C89" s="308" t="s">
        <v>7</v>
      </c>
      <c r="D89" s="313">
        <v>208.26</v>
      </c>
      <c r="E89" s="313"/>
      <c r="F89" s="139"/>
    </row>
    <row r="90" spans="1:14" s="220" customFormat="1" ht="30" x14ac:dyDescent="0.25">
      <c r="A90" s="306">
        <v>10638</v>
      </c>
      <c r="B90" s="307" t="s">
        <v>299</v>
      </c>
      <c r="C90" s="308" t="s">
        <v>7</v>
      </c>
      <c r="D90" s="313">
        <v>148.34</v>
      </c>
      <c r="E90" s="313"/>
      <c r="F90" s="139"/>
    </row>
    <row r="91" spans="1:14" s="220" customFormat="1" ht="30" x14ac:dyDescent="0.25">
      <c r="A91" s="306">
        <v>11866</v>
      </c>
      <c r="B91" s="307" t="s">
        <v>300</v>
      </c>
      <c r="C91" s="308" t="s">
        <v>7</v>
      </c>
      <c r="D91" s="313">
        <v>105.55</v>
      </c>
      <c r="E91" s="313"/>
      <c r="F91" s="139"/>
    </row>
    <row r="92" spans="1:14" s="220" customFormat="1" x14ac:dyDescent="0.25">
      <c r="A92" s="310">
        <v>3975</v>
      </c>
      <c r="B92" s="311" t="s">
        <v>447</v>
      </c>
      <c r="C92" s="312" t="s">
        <v>2</v>
      </c>
      <c r="D92" s="313">
        <v>339.85</v>
      </c>
      <c r="E92" s="313"/>
      <c r="F92" s="139"/>
    </row>
    <row r="93" spans="1:14" s="220" customFormat="1" x14ac:dyDescent="0.25">
      <c r="A93" s="310">
        <v>3972</v>
      </c>
      <c r="B93" s="311" t="s">
        <v>4395</v>
      </c>
      <c r="C93" s="312" t="s">
        <v>2</v>
      </c>
      <c r="D93" s="313">
        <v>109.5</v>
      </c>
      <c r="E93" s="313"/>
      <c r="F93" s="139"/>
    </row>
    <row r="94" spans="1:14" s="220" customFormat="1" x14ac:dyDescent="0.25">
      <c r="A94" s="310">
        <v>9952</v>
      </c>
      <c r="B94" s="311" t="s">
        <v>519</v>
      </c>
      <c r="C94" s="312" t="s">
        <v>2</v>
      </c>
      <c r="D94" s="313">
        <v>10.72</v>
      </c>
      <c r="E94" s="313"/>
      <c r="F94" s="139"/>
    </row>
    <row r="95" spans="1:14" s="220" customFormat="1" x14ac:dyDescent="0.25">
      <c r="A95" s="310">
        <v>13256</v>
      </c>
      <c r="B95" s="311" t="s">
        <v>521</v>
      </c>
      <c r="C95" s="312" t="s">
        <v>7</v>
      </c>
      <c r="D95" s="313">
        <v>69.91</v>
      </c>
      <c r="E95" s="313"/>
      <c r="F95" s="139"/>
    </row>
    <row r="96" spans="1:14" s="220" customFormat="1" x14ac:dyDescent="0.25">
      <c r="A96" s="310">
        <v>13257</v>
      </c>
      <c r="B96" s="311" t="s">
        <v>522</v>
      </c>
      <c r="C96" s="312" t="s">
        <v>7</v>
      </c>
      <c r="D96" s="313">
        <v>108.39</v>
      </c>
      <c r="E96" s="313"/>
      <c r="F96" s="139"/>
    </row>
    <row r="97" spans="1:14" s="220" customFormat="1" x14ac:dyDescent="0.25">
      <c r="A97" s="310" t="s">
        <v>4397</v>
      </c>
      <c r="B97" s="311" t="s">
        <v>4396</v>
      </c>
      <c r="C97" s="312" t="s">
        <v>7</v>
      </c>
      <c r="D97" s="313">
        <v>38.49</v>
      </c>
      <c r="E97" s="313"/>
      <c r="F97" s="139"/>
    </row>
    <row r="98" spans="1:14" s="220" customFormat="1" x14ac:dyDescent="0.25">
      <c r="A98" s="310" t="s">
        <v>4399</v>
      </c>
      <c r="B98" s="311" t="s">
        <v>4398</v>
      </c>
      <c r="C98" s="312" t="s">
        <v>7</v>
      </c>
      <c r="D98" s="313">
        <v>108.39</v>
      </c>
      <c r="E98" s="313"/>
      <c r="F98" s="139"/>
    </row>
    <row r="99" spans="1:14" s="220" customFormat="1" x14ac:dyDescent="0.25">
      <c r="A99" s="310">
        <v>7119</v>
      </c>
      <c r="B99" s="311" t="s">
        <v>523</v>
      </c>
      <c r="C99" s="312" t="s">
        <v>5</v>
      </c>
      <c r="D99" s="313">
        <v>392.7</v>
      </c>
      <c r="E99" s="313"/>
      <c r="F99" s="139"/>
    </row>
    <row r="100" spans="1:14" s="220" customFormat="1" x14ac:dyDescent="0.25">
      <c r="A100" s="310">
        <v>13252</v>
      </c>
      <c r="B100" s="311" t="s">
        <v>524</v>
      </c>
      <c r="C100" s="312" t="s">
        <v>7</v>
      </c>
      <c r="D100" s="313">
        <f>ROUND(D99*1*0.2,2)</f>
        <v>78.540000000000006</v>
      </c>
      <c r="E100" s="313"/>
      <c r="F100" s="139"/>
    </row>
    <row r="101" spans="1:14" ht="30" x14ac:dyDescent="0.25">
      <c r="A101" s="306">
        <v>10646</v>
      </c>
      <c r="B101" s="307" t="s">
        <v>297</v>
      </c>
      <c r="C101" s="308" t="s">
        <v>7</v>
      </c>
      <c r="D101" s="309">
        <v>343.86</v>
      </c>
      <c r="E101" s="309"/>
      <c r="N101" s="220"/>
    </row>
    <row r="102" spans="1:14" ht="30" x14ac:dyDescent="0.25">
      <c r="A102" s="306">
        <v>10639</v>
      </c>
      <c r="B102" s="307" t="s">
        <v>298</v>
      </c>
      <c r="C102" s="308" t="s">
        <v>7</v>
      </c>
      <c r="D102" s="309">
        <v>208.26</v>
      </c>
      <c r="E102" s="309"/>
      <c r="N102" s="220"/>
    </row>
    <row r="103" spans="1:14" ht="30" x14ac:dyDescent="0.25">
      <c r="A103" s="306">
        <v>10638</v>
      </c>
      <c r="B103" s="307" t="s">
        <v>299</v>
      </c>
      <c r="C103" s="308" t="s">
        <v>7</v>
      </c>
      <c r="D103" s="309">
        <v>148.34</v>
      </c>
      <c r="E103" s="309"/>
      <c r="N103" s="220"/>
    </row>
    <row r="104" spans="1:14" x14ac:dyDescent="0.25">
      <c r="C104" s="133"/>
      <c r="N104" s="220"/>
    </row>
    <row r="105" spans="1:14" x14ac:dyDescent="0.25">
      <c r="C105" s="133"/>
      <c r="N105" s="220"/>
    </row>
    <row r="106" spans="1:14" x14ac:dyDescent="0.25">
      <c r="B106" s="153" t="s">
        <v>346</v>
      </c>
      <c r="C106" s="133"/>
      <c r="N106" s="220"/>
    </row>
    <row r="107" spans="1:14" ht="30" x14ac:dyDescent="0.25">
      <c r="A107" s="152" t="s">
        <v>0</v>
      </c>
      <c r="B107" s="153" t="s">
        <v>1</v>
      </c>
      <c r="C107" s="154" t="s">
        <v>2</v>
      </c>
      <c r="D107" s="155" t="s">
        <v>72</v>
      </c>
      <c r="E107" s="155" t="s">
        <v>271</v>
      </c>
      <c r="N107" s="220"/>
    </row>
    <row r="108" spans="1:14" x14ac:dyDescent="0.25">
      <c r="A108" s="139" t="s">
        <v>433</v>
      </c>
      <c r="B108" s="135" t="s">
        <v>269</v>
      </c>
      <c r="C108" s="133" t="s">
        <v>2</v>
      </c>
      <c r="D108" s="134">
        <v>450</v>
      </c>
      <c r="H108" s="220" t="s">
        <v>268</v>
      </c>
      <c r="N108" s="220"/>
    </row>
    <row r="109" spans="1:14" ht="51.75" x14ac:dyDescent="0.25">
      <c r="A109" s="139" t="s">
        <v>457</v>
      </c>
      <c r="B109" s="273" t="s">
        <v>436</v>
      </c>
      <c r="C109" s="133" t="s">
        <v>5</v>
      </c>
      <c r="D109" s="9">
        <v>89.99</v>
      </c>
      <c r="H109" s="9" t="s">
        <v>503</v>
      </c>
      <c r="N109" s="220"/>
    </row>
    <row r="110" spans="1:14" ht="51.75" x14ac:dyDescent="0.25">
      <c r="A110" s="139" t="s">
        <v>458</v>
      </c>
      <c r="B110" s="273" t="s">
        <v>437</v>
      </c>
      <c r="C110" s="133" t="s">
        <v>5</v>
      </c>
      <c r="D110" s="9">
        <v>89.99</v>
      </c>
      <c r="H110" s="9" t="s">
        <v>503</v>
      </c>
      <c r="I110" s="220"/>
      <c r="N110" s="220"/>
    </row>
    <row r="111" spans="1:14" ht="51.75" x14ac:dyDescent="0.25">
      <c r="A111" s="139" t="s">
        <v>459</v>
      </c>
      <c r="B111" s="273" t="s">
        <v>438</v>
      </c>
      <c r="C111" s="133" t="s">
        <v>5</v>
      </c>
      <c r="D111" s="9">
        <v>85.01</v>
      </c>
      <c r="H111" s="9" t="s">
        <v>503</v>
      </c>
      <c r="I111" s="220"/>
      <c r="J111" s="158"/>
      <c r="N111" s="220"/>
    </row>
    <row r="112" spans="1:14" x14ac:dyDescent="0.25">
      <c r="A112" s="139" t="s">
        <v>460</v>
      </c>
      <c r="B112" s="273" t="s">
        <v>189</v>
      </c>
      <c r="C112" s="133" t="s">
        <v>20</v>
      </c>
      <c r="D112" s="157">
        <v>3.49</v>
      </c>
      <c r="H112" s="9" t="s">
        <v>503</v>
      </c>
      <c r="I112" s="139"/>
      <c r="N112" s="220"/>
    </row>
    <row r="113" spans="1:14" x14ac:dyDescent="0.25">
      <c r="A113" s="139" t="s">
        <v>461</v>
      </c>
      <c r="B113" s="273" t="s">
        <v>190</v>
      </c>
      <c r="C113" s="133" t="s">
        <v>20</v>
      </c>
      <c r="D113" s="157">
        <v>4.21</v>
      </c>
      <c r="H113" s="9" t="s">
        <v>503</v>
      </c>
      <c r="I113" s="139"/>
      <c r="N113" s="220"/>
    </row>
    <row r="114" spans="1:14" ht="26.25" x14ac:dyDescent="0.25">
      <c r="A114" s="139" t="s">
        <v>462</v>
      </c>
      <c r="B114" s="273" t="s">
        <v>439</v>
      </c>
      <c r="C114" s="133" t="s">
        <v>5</v>
      </c>
      <c r="D114" s="9">
        <v>104</v>
      </c>
      <c r="H114" s="9" t="s">
        <v>503</v>
      </c>
      <c r="I114" s="220"/>
      <c r="N114" s="220"/>
    </row>
    <row r="115" spans="1:14" x14ac:dyDescent="0.25">
      <c r="A115" s="139" t="s">
        <v>463</v>
      </c>
      <c r="B115" s="273" t="s">
        <v>220</v>
      </c>
      <c r="C115" s="133" t="s">
        <v>20</v>
      </c>
      <c r="D115" s="137">
        <v>3.62</v>
      </c>
      <c r="H115" s="9" t="s">
        <v>503</v>
      </c>
      <c r="I115" s="139"/>
      <c r="N115" s="220"/>
    </row>
    <row r="116" spans="1:14" x14ac:dyDescent="0.25">
      <c r="A116" s="139" t="s">
        <v>464</v>
      </c>
      <c r="B116" s="273" t="s">
        <v>221</v>
      </c>
      <c r="C116" s="133" t="s">
        <v>20</v>
      </c>
      <c r="D116" s="137">
        <v>67</v>
      </c>
      <c r="H116" s="9" t="s">
        <v>503</v>
      </c>
      <c r="I116" s="139"/>
      <c r="N116" s="220"/>
    </row>
    <row r="117" spans="1:14" ht="26.25" x14ac:dyDescent="0.25">
      <c r="A117" s="139" t="s">
        <v>465</v>
      </c>
      <c r="B117" s="273" t="s">
        <v>204</v>
      </c>
      <c r="C117" s="274" t="s">
        <v>5</v>
      </c>
      <c r="D117" s="275">
        <v>113.58</v>
      </c>
      <c r="H117" t="s">
        <v>501</v>
      </c>
      <c r="I117" s="274"/>
      <c r="N117" s="220"/>
    </row>
    <row r="118" spans="1:14" ht="26.25" x14ac:dyDescent="0.25">
      <c r="A118" s="139" t="s">
        <v>466</v>
      </c>
      <c r="B118" s="273" t="s">
        <v>293</v>
      </c>
      <c r="C118" s="274" t="s">
        <v>5</v>
      </c>
      <c r="D118" s="275">
        <v>113.58</v>
      </c>
      <c r="H118" s="220" t="s">
        <v>501</v>
      </c>
      <c r="I118" s="274"/>
      <c r="N118" s="220"/>
    </row>
    <row r="119" spans="1:14" ht="26.25" x14ac:dyDescent="0.25">
      <c r="A119" s="139" t="s">
        <v>467</v>
      </c>
      <c r="B119" s="273" t="s">
        <v>502</v>
      </c>
      <c r="C119" s="274" t="s">
        <v>5</v>
      </c>
      <c r="D119" s="275">
        <v>129.9</v>
      </c>
      <c r="H119" s="275" t="s">
        <v>98</v>
      </c>
      <c r="I119" s="274" t="s">
        <v>5</v>
      </c>
      <c r="N119" s="220"/>
    </row>
    <row r="120" spans="1:14" ht="51.75" x14ac:dyDescent="0.25">
      <c r="A120" s="139" t="s">
        <v>468</v>
      </c>
      <c r="B120" s="273" t="s">
        <v>500</v>
      </c>
      <c r="C120" s="133" t="s">
        <v>456</v>
      </c>
      <c r="D120" s="134">
        <v>1311.34</v>
      </c>
      <c r="H120" s="134">
        <v>393</v>
      </c>
      <c r="I120" s="133" t="s">
        <v>2</v>
      </c>
      <c r="N120" s="220"/>
    </row>
    <row r="121" spans="1:14" ht="51.75" x14ac:dyDescent="0.25">
      <c r="A121" s="139" t="s">
        <v>469</v>
      </c>
      <c r="B121" s="273" t="s">
        <v>454</v>
      </c>
      <c r="C121" s="133" t="s">
        <v>456</v>
      </c>
      <c r="D121" s="134">
        <v>2828.11</v>
      </c>
      <c r="H121" s="134" t="s">
        <v>499</v>
      </c>
      <c r="I121" s="133"/>
      <c r="N121" s="220"/>
    </row>
    <row r="122" spans="1:14" ht="51.75" x14ac:dyDescent="0.25">
      <c r="A122" s="139" t="s">
        <v>470</v>
      </c>
      <c r="B122" s="273" t="s">
        <v>455</v>
      </c>
      <c r="C122" s="133" t="s">
        <v>456</v>
      </c>
      <c r="D122" s="134">
        <v>1302.99</v>
      </c>
      <c r="H122" s="134" t="s">
        <v>499</v>
      </c>
      <c r="I122" s="133"/>
      <c r="N122" s="220"/>
    </row>
    <row r="123" spans="1:14" ht="30" x14ac:dyDescent="0.25">
      <c r="A123" s="139" t="s">
        <v>474</v>
      </c>
      <c r="B123" s="135" t="s">
        <v>528</v>
      </c>
      <c r="C123" s="274" t="s">
        <v>8</v>
      </c>
      <c r="D123" s="134">
        <v>485.9</v>
      </c>
      <c r="H123" s="158"/>
      <c r="I123" s="133"/>
      <c r="N123" s="220"/>
    </row>
    <row r="124" spans="1:14" ht="39" x14ac:dyDescent="0.25">
      <c r="A124" s="139" t="s">
        <v>475</v>
      </c>
      <c r="B124" s="273" t="s">
        <v>234</v>
      </c>
      <c r="C124" s="274" t="s">
        <v>8</v>
      </c>
      <c r="D124" s="275">
        <v>1476</v>
      </c>
      <c r="H124" s="220" t="s">
        <v>98</v>
      </c>
      <c r="I124" s="133"/>
      <c r="N124" s="220"/>
    </row>
    <row r="125" spans="1:14" ht="26.25" x14ac:dyDescent="0.25">
      <c r="A125" s="139" t="s">
        <v>476</v>
      </c>
      <c r="B125" s="273" t="s">
        <v>252</v>
      </c>
      <c r="C125" s="274" t="s">
        <v>8</v>
      </c>
      <c r="D125" s="275">
        <v>4667</v>
      </c>
      <c r="H125" s="220" t="s">
        <v>98</v>
      </c>
      <c r="I125" s="133"/>
      <c r="N125" s="220"/>
    </row>
    <row r="126" spans="1:14" x14ac:dyDescent="0.25">
      <c r="A126" s="139" t="s">
        <v>477</v>
      </c>
      <c r="B126" s="273" t="s">
        <v>529</v>
      </c>
      <c r="C126" s="274" t="s">
        <v>8</v>
      </c>
      <c r="D126" s="275">
        <v>236.55</v>
      </c>
      <c r="H126" s="158"/>
      <c r="I126" s="133"/>
      <c r="N126" s="220"/>
    </row>
    <row r="127" spans="1:14" ht="26.25" x14ac:dyDescent="0.25">
      <c r="A127" s="139" t="s">
        <v>478</v>
      </c>
      <c r="B127" s="273" t="s">
        <v>257</v>
      </c>
      <c r="C127" s="274" t="s">
        <v>8</v>
      </c>
      <c r="D127" s="275">
        <v>326.18</v>
      </c>
      <c r="H127" s="158"/>
      <c r="I127" s="133"/>
      <c r="N127" s="220"/>
    </row>
    <row r="128" spans="1:14" ht="26.25" x14ac:dyDescent="0.25">
      <c r="A128" s="139" t="s">
        <v>485</v>
      </c>
      <c r="B128" s="273" t="s">
        <v>258</v>
      </c>
      <c r="C128" s="274" t="s">
        <v>8</v>
      </c>
      <c r="D128" s="275">
        <v>272.60000000000002</v>
      </c>
      <c r="H128" s="158"/>
      <c r="I128" s="133"/>
      <c r="N128" s="220"/>
    </row>
    <row r="129" spans="1:14" ht="30" x14ac:dyDescent="0.25">
      <c r="A129" s="139" t="s">
        <v>486</v>
      </c>
      <c r="B129" s="135" t="s">
        <v>504</v>
      </c>
      <c r="C129" s="274" t="s">
        <v>8</v>
      </c>
      <c r="D129" s="134">
        <v>337.7</v>
      </c>
      <c r="H129" t="s">
        <v>498</v>
      </c>
      <c r="N129" s="220"/>
    </row>
    <row r="130" spans="1:14" ht="30" x14ac:dyDescent="0.25">
      <c r="A130" s="139" t="s">
        <v>487</v>
      </c>
      <c r="B130" s="135" t="s">
        <v>505</v>
      </c>
      <c r="C130" s="274" t="s">
        <v>8</v>
      </c>
      <c r="D130" s="134">
        <v>2229.15</v>
      </c>
      <c r="H130" s="220" t="s">
        <v>508</v>
      </c>
      <c r="N130" s="220"/>
    </row>
    <row r="131" spans="1:14" ht="30" x14ac:dyDescent="0.25">
      <c r="A131" s="139" t="s">
        <v>488</v>
      </c>
      <c r="B131" s="135" t="s">
        <v>507</v>
      </c>
      <c r="C131" s="274" t="s">
        <v>8</v>
      </c>
      <c r="D131" s="134">
        <v>19350.87</v>
      </c>
      <c r="H131" s="220" t="s">
        <v>508</v>
      </c>
      <c r="N131" s="220"/>
    </row>
    <row r="132" spans="1:14" ht="30" x14ac:dyDescent="0.25">
      <c r="A132" s="139" t="s">
        <v>489</v>
      </c>
      <c r="B132" s="135" t="s">
        <v>506</v>
      </c>
      <c r="C132" s="274" t="s">
        <v>8</v>
      </c>
      <c r="D132" s="134">
        <v>1060.03</v>
      </c>
      <c r="H132" s="220" t="s">
        <v>508</v>
      </c>
      <c r="N132" s="220"/>
    </row>
    <row r="133" spans="1:14" ht="45" x14ac:dyDescent="0.25">
      <c r="A133" s="139" t="s">
        <v>491</v>
      </c>
      <c r="B133" s="135" t="s">
        <v>513</v>
      </c>
      <c r="C133" s="274" t="s">
        <v>8</v>
      </c>
      <c r="D133" s="134">
        <v>7200</v>
      </c>
      <c r="H133" t="s">
        <v>509</v>
      </c>
      <c r="N133" s="220"/>
    </row>
    <row r="134" spans="1:14" x14ac:dyDescent="0.25">
      <c r="A134" s="139" t="s">
        <v>492</v>
      </c>
      <c r="B134" s="135" t="s">
        <v>514</v>
      </c>
      <c r="C134" s="274" t="s">
        <v>8</v>
      </c>
      <c r="D134" s="134">
        <v>481</v>
      </c>
      <c r="H134" t="s">
        <v>518</v>
      </c>
      <c r="N134" s="220"/>
    </row>
    <row r="135" spans="1:14" x14ac:dyDescent="0.25">
      <c r="A135" s="139" t="s">
        <v>493</v>
      </c>
      <c r="B135" s="135" t="s">
        <v>515</v>
      </c>
      <c r="C135" s="274" t="s">
        <v>8</v>
      </c>
      <c r="D135" s="134">
        <v>570</v>
      </c>
      <c r="H135" s="220" t="s">
        <v>518</v>
      </c>
      <c r="N135" s="220"/>
    </row>
    <row r="136" spans="1:14" x14ac:dyDescent="0.25">
      <c r="A136" s="139" t="s">
        <v>494</v>
      </c>
      <c r="B136" s="135" t="s">
        <v>516</v>
      </c>
      <c r="C136" s="274" t="s">
        <v>8</v>
      </c>
      <c r="D136" s="134">
        <v>297</v>
      </c>
      <c r="H136" s="220" t="s">
        <v>518</v>
      </c>
      <c r="N136" s="220"/>
    </row>
    <row r="137" spans="1:14" x14ac:dyDescent="0.25">
      <c r="A137" s="139" t="s">
        <v>495</v>
      </c>
      <c r="B137" s="135" t="s">
        <v>517</v>
      </c>
      <c r="C137" s="274" t="s">
        <v>8</v>
      </c>
      <c r="D137" s="134">
        <v>358</v>
      </c>
      <c r="H137" s="220" t="s">
        <v>518</v>
      </c>
      <c r="N137" s="220"/>
    </row>
    <row r="138" spans="1:14" ht="45" x14ac:dyDescent="0.25">
      <c r="A138" s="139" t="s">
        <v>496</v>
      </c>
      <c r="B138" s="135" t="s">
        <v>525</v>
      </c>
      <c r="C138" s="274" t="s">
        <v>8</v>
      </c>
      <c r="D138" s="134">
        <v>2790</v>
      </c>
      <c r="H138" s="220" t="s">
        <v>98</v>
      </c>
      <c r="N138" s="220"/>
    </row>
    <row r="139" spans="1:14" ht="30" x14ac:dyDescent="0.25">
      <c r="A139" s="139" t="s">
        <v>497</v>
      </c>
      <c r="B139" s="135" t="s">
        <v>526</v>
      </c>
      <c r="C139" s="274" t="s">
        <v>8</v>
      </c>
      <c r="D139" s="134">
        <v>760.5</v>
      </c>
      <c r="H139" s="220" t="s">
        <v>98</v>
      </c>
      <c r="N139" s="220"/>
    </row>
    <row r="140" spans="1:14" ht="30" x14ac:dyDescent="0.25">
      <c r="A140" s="139" t="s">
        <v>527</v>
      </c>
      <c r="B140" s="135" t="s">
        <v>531</v>
      </c>
      <c r="C140" s="274" t="s">
        <v>8</v>
      </c>
      <c r="D140" s="134">
        <v>551</v>
      </c>
      <c r="N140" s="220"/>
    </row>
    <row r="141" spans="1:14" ht="30" x14ac:dyDescent="0.25">
      <c r="A141" s="139" t="s">
        <v>530</v>
      </c>
      <c r="B141" s="135" t="s">
        <v>532</v>
      </c>
      <c r="C141" s="274" t="s">
        <v>8</v>
      </c>
      <c r="D141" s="134">
        <v>2799</v>
      </c>
      <c r="N141" s="220"/>
    </row>
    <row r="142" spans="1:14" x14ac:dyDescent="0.25">
      <c r="A142" s="139" t="s">
        <v>4433</v>
      </c>
      <c r="B142" s="135" t="s">
        <v>4432</v>
      </c>
      <c r="C142" s="274" t="s">
        <v>20</v>
      </c>
      <c r="D142" s="134">
        <f>28/30</f>
        <v>0.93</v>
      </c>
      <c r="N142" s="220"/>
    </row>
    <row r="143" spans="1:14" s="220" customFormat="1" x14ac:dyDescent="0.25">
      <c r="A143" s="139" t="s">
        <v>4434</v>
      </c>
      <c r="B143" s="135" t="s">
        <v>4435</v>
      </c>
      <c r="C143" s="274" t="s">
        <v>20</v>
      </c>
      <c r="D143" s="134">
        <f>28/30</f>
        <v>0.93</v>
      </c>
      <c r="E143" s="134"/>
      <c r="F143" s="139"/>
    </row>
    <row r="144" spans="1:14" x14ac:dyDescent="0.25">
      <c r="A144" s="139" t="s">
        <v>4439</v>
      </c>
      <c r="B144" s="135" t="s">
        <v>4437</v>
      </c>
      <c r="C144" s="274" t="s">
        <v>4438</v>
      </c>
      <c r="D144" s="134">
        <v>10</v>
      </c>
      <c r="N144" s="220"/>
    </row>
    <row r="145" spans="1:14" x14ac:dyDescent="0.25">
      <c r="A145" s="139" t="s">
        <v>4441</v>
      </c>
      <c r="B145" s="135" t="s">
        <v>4440</v>
      </c>
      <c r="C145" s="274" t="s">
        <v>4438</v>
      </c>
      <c r="D145" s="134">
        <v>110</v>
      </c>
      <c r="N145" s="220"/>
    </row>
    <row r="146" spans="1:14" x14ac:dyDescent="0.25">
      <c r="N146" s="220"/>
    </row>
    <row r="147" spans="1:14" x14ac:dyDescent="0.25">
      <c r="N147" s="220"/>
    </row>
    <row r="148" spans="1:14" x14ac:dyDescent="0.25">
      <c r="N148" s="220"/>
    </row>
    <row r="149" spans="1:14" x14ac:dyDescent="0.25">
      <c r="N149" s="220"/>
    </row>
    <row r="150" spans="1:14" x14ac:dyDescent="0.25">
      <c r="N150" s="220"/>
    </row>
    <row r="151" spans="1:14" x14ac:dyDescent="0.25">
      <c r="N151" s="220"/>
    </row>
    <row r="152" spans="1:14" x14ac:dyDescent="0.25">
      <c r="N152" s="220"/>
    </row>
    <row r="153" spans="1:14" x14ac:dyDescent="0.25">
      <c r="N153" s="220"/>
    </row>
    <row r="154" spans="1:14" x14ac:dyDescent="0.25">
      <c r="N154" s="220"/>
    </row>
    <row r="155" spans="1:14" x14ac:dyDescent="0.25">
      <c r="N155" s="220"/>
    </row>
    <row r="156" spans="1:14" x14ac:dyDescent="0.25">
      <c r="N156" s="220"/>
    </row>
    <row r="157" spans="1:14" x14ac:dyDescent="0.25">
      <c r="N157" s="220"/>
    </row>
    <row r="158" spans="1:14" x14ac:dyDescent="0.25">
      <c r="N158" s="220"/>
    </row>
    <row r="159" spans="1:14" x14ac:dyDescent="0.25">
      <c r="N159" s="220"/>
    </row>
    <row r="160" spans="1:14" x14ac:dyDescent="0.25">
      <c r="N160" s="220"/>
    </row>
    <row r="161" spans="14:14" x14ac:dyDescent="0.25">
      <c r="N161" s="220"/>
    </row>
    <row r="162" spans="14:14" x14ac:dyDescent="0.25">
      <c r="N162" s="220"/>
    </row>
    <row r="163" spans="14:14" x14ac:dyDescent="0.25">
      <c r="N163" s="220"/>
    </row>
    <row r="164" spans="14:14" x14ac:dyDescent="0.25">
      <c r="N164" s="220"/>
    </row>
    <row r="165" spans="14:14" x14ac:dyDescent="0.25">
      <c r="N165" s="220"/>
    </row>
    <row r="166" spans="14:14" x14ac:dyDescent="0.25">
      <c r="N166" s="220"/>
    </row>
    <row r="167" spans="14:14" x14ac:dyDescent="0.25">
      <c r="N167" s="220"/>
    </row>
    <row r="168" spans="14:14" x14ac:dyDescent="0.25">
      <c r="N168" s="220"/>
    </row>
    <row r="169" spans="14:14" x14ac:dyDescent="0.25">
      <c r="N169" s="220"/>
    </row>
    <row r="170" spans="14:14" x14ac:dyDescent="0.25">
      <c r="N170" s="220"/>
    </row>
    <row r="171" spans="14:14" x14ac:dyDescent="0.25">
      <c r="N171" s="220"/>
    </row>
    <row r="172" spans="14:14" x14ac:dyDescent="0.25">
      <c r="N172" s="220"/>
    </row>
    <row r="173" spans="14:14" x14ac:dyDescent="0.25">
      <c r="N173" s="220"/>
    </row>
    <row r="174" spans="14:14" x14ac:dyDescent="0.25">
      <c r="N174" s="220"/>
    </row>
    <row r="175" spans="14:14" x14ac:dyDescent="0.25">
      <c r="N175" s="220"/>
    </row>
    <row r="176" spans="14:14" x14ac:dyDescent="0.25">
      <c r="N176" s="220"/>
    </row>
    <row r="177" spans="14:14" x14ac:dyDescent="0.25">
      <c r="N177" s="220"/>
    </row>
    <row r="178" spans="14:14" x14ac:dyDescent="0.25">
      <c r="N178" s="220"/>
    </row>
    <row r="179" spans="14:14" x14ac:dyDescent="0.25">
      <c r="N179" s="220"/>
    </row>
    <row r="180" spans="14:14" x14ac:dyDescent="0.25">
      <c r="N180" s="220"/>
    </row>
    <row r="181" spans="14:14" x14ac:dyDescent="0.25">
      <c r="N181" s="220"/>
    </row>
    <row r="182" spans="14:14" x14ac:dyDescent="0.25">
      <c r="N182" s="220"/>
    </row>
    <row r="183" spans="14:14" x14ac:dyDescent="0.25">
      <c r="N183" s="220"/>
    </row>
    <row r="184" spans="14:14" x14ac:dyDescent="0.25">
      <c r="N184" s="220"/>
    </row>
    <row r="185" spans="14:14" x14ac:dyDescent="0.25">
      <c r="N185" s="220"/>
    </row>
    <row r="186" spans="14:14" x14ac:dyDescent="0.25">
      <c r="N186" s="220"/>
    </row>
    <row r="187" spans="14:14" x14ac:dyDescent="0.25">
      <c r="N187" s="220"/>
    </row>
    <row r="188" spans="14:14" x14ac:dyDescent="0.25">
      <c r="N188" s="220"/>
    </row>
    <row r="189" spans="14:14" x14ac:dyDescent="0.25">
      <c r="N189" s="220"/>
    </row>
    <row r="190" spans="14:14" x14ac:dyDescent="0.25">
      <c r="N190" s="220"/>
    </row>
    <row r="191" spans="14:14" x14ac:dyDescent="0.25">
      <c r="N191" s="220"/>
    </row>
    <row r="192" spans="14:14" x14ac:dyDescent="0.25">
      <c r="N192" s="220"/>
    </row>
    <row r="193" spans="14:14" x14ac:dyDescent="0.25">
      <c r="N193" s="220"/>
    </row>
    <row r="194" spans="14:14" x14ac:dyDescent="0.25">
      <c r="N194" s="220"/>
    </row>
    <row r="195" spans="14:14" x14ac:dyDescent="0.25">
      <c r="N195" s="220"/>
    </row>
    <row r="196" spans="14:14" x14ac:dyDescent="0.25">
      <c r="N196" s="220"/>
    </row>
    <row r="197" spans="14:14" x14ac:dyDescent="0.25">
      <c r="N197" s="220"/>
    </row>
    <row r="198" spans="14:14" x14ac:dyDescent="0.25">
      <c r="N198" s="220"/>
    </row>
    <row r="199" spans="14:14" x14ac:dyDescent="0.25">
      <c r="N199" s="220"/>
    </row>
    <row r="200" spans="14:14" x14ac:dyDescent="0.25">
      <c r="N200" s="220"/>
    </row>
    <row r="201" spans="14:14" x14ac:dyDescent="0.25">
      <c r="N201" s="220"/>
    </row>
    <row r="202" spans="14:14" x14ac:dyDescent="0.25">
      <c r="N202" s="220"/>
    </row>
    <row r="203" spans="14:14" x14ac:dyDescent="0.25">
      <c r="N203" s="220"/>
    </row>
    <row r="204" spans="14:14" x14ac:dyDescent="0.25">
      <c r="N204" s="220"/>
    </row>
    <row r="205" spans="14:14" x14ac:dyDescent="0.25">
      <c r="N205" s="220"/>
    </row>
    <row r="206" spans="14:14" x14ac:dyDescent="0.25">
      <c r="N206" s="220"/>
    </row>
    <row r="207" spans="14:14" x14ac:dyDescent="0.25">
      <c r="N207" s="220"/>
    </row>
    <row r="208" spans="14:14" x14ac:dyDescent="0.25">
      <c r="N208" s="220"/>
    </row>
    <row r="209" spans="14:14" x14ac:dyDescent="0.25">
      <c r="N209" s="220"/>
    </row>
    <row r="210" spans="14:14" x14ac:dyDescent="0.25">
      <c r="N210" s="220"/>
    </row>
    <row r="211" spans="14:14" x14ac:dyDescent="0.25">
      <c r="N211" s="220"/>
    </row>
    <row r="212" spans="14:14" x14ac:dyDescent="0.25">
      <c r="N212" s="220"/>
    </row>
    <row r="213" spans="14:14" x14ac:dyDescent="0.25">
      <c r="N213" s="220"/>
    </row>
    <row r="214" spans="14:14" x14ac:dyDescent="0.25">
      <c r="N214" s="220"/>
    </row>
    <row r="215" spans="14:14" x14ac:dyDescent="0.25">
      <c r="N215" s="220"/>
    </row>
    <row r="216" spans="14:14" x14ac:dyDescent="0.25">
      <c r="N216" s="220"/>
    </row>
    <row r="217" spans="14:14" x14ac:dyDescent="0.25">
      <c r="N217" s="220"/>
    </row>
    <row r="218" spans="14:14" x14ac:dyDescent="0.25">
      <c r="N218" s="220"/>
    </row>
    <row r="219" spans="14:14" x14ac:dyDescent="0.25">
      <c r="N219" s="220"/>
    </row>
    <row r="220" spans="14:14" x14ac:dyDescent="0.25">
      <c r="N220" s="220"/>
    </row>
    <row r="221" spans="14:14" x14ac:dyDescent="0.25">
      <c r="N221" s="220"/>
    </row>
    <row r="222" spans="14:14" x14ac:dyDescent="0.25">
      <c r="N222" s="220"/>
    </row>
    <row r="223" spans="14:14" x14ac:dyDescent="0.25">
      <c r="N223" s="220"/>
    </row>
    <row r="224" spans="14:14" x14ac:dyDescent="0.25">
      <c r="N224" s="220"/>
    </row>
    <row r="225" spans="14:14" x14ac:dyDescent="0.25">
      <c r="N225" s="220"/>
    </row>
    <row r="226" spans="14:14" x14ac:dyDescent="0.25">
      <c r="N226" s="220"/>
    </row>
    <row r="227" spans="14:14" x14ac:dyDescent="0.25">
      <c r="N227" s="220"/>
    </row>
    <row r="228" spans="14:14" x14ac:dyDescent="0.25">
      <c r="N228" s="220"/>
    </row>
    <row r="229" spans="14:14" x14ac:dyDescent="0.25">
      <c r="N229" s="220"/>
    </row>
    <row r="230" spans="14:14" x14ac:dyDescent="0.25">
      <c r="N230" s="220"/>
    </row>
    <row r="231" spans="14:14" x14ac:dyDescent="0.25">
      <c r="N231" s="220"/>
    </row>
    <row r="232" spans="14:14" x14ac:dyDescent="0.25">
      <c r="N232" s="220"/>
    </row>
    <row r="233" spans="14:14" x14ac:dyDescent="0.25">
      <c r="N233" s="220"/>
    </row>
    <row r="234" spans="14:14" x14ac:dyDescent="0.25">
      <c r="N234" s="220"/>
    </row>
    <row r="235" spans="14:14" x14ac:dyDescent="0.25">
      <c r="N235" s="220"/>
    </row>
    <row r="236" spans="14:14" x14ac:dyDescent="0.25">
      <c r="N236" s="220"/>
    </row>
    <row r="237" spans="14:14" x14ac:dyDescent="0.25">
      <c r="N237" s="220"/>
    </row>
    <row r="238" spans="14:14" x14ac:dyDescent="0.25">
      <c r="N238" s="220"/>
    </row>
    <row r="239" spans="14:14" x14ac:dyDescent="0.25">
      <c r="N239" s="220"/>
    </row>
    <row r="240" spans="14:14" x14ac:dyDescent="0.25">
      <c r="N240" s="220"/>
    </row>
    <row r="241" spans="14:14" x14ac:dyDescent="0.25">
      <c r="N241" s="220"/>
    </row>
    <row r="242" spans="14:14" x14ac:dyDescent="0.25">
      <c r="N242" s="220"/>
    </row>
    <row r="243" spans="14:14" x14ac:dyDescent="0.25">
      <c r="N243" s="220"/>
    </row>
    <row r="244" spans="14:14" x14ac:dyDescent="0.25">
      <c r="N244" s="220"/>
    </row>
    <row r="245" spans="14:14" x14ac:dyDescent="0.25">
      <c r="N245" s="220"/>
    </row>
    <row r="246" spans="14:14" x14ac:dyDescent="0.25">
      <c r="N246" s="220"/>
    </row>
    <row r="247" spans="14:14" x14ac:dyDescent="0.25">
      <c r="N247" s="220"/>
    </row>
    <row r="248" spans="14:14" x14ac:dyDescent="0.25">
      <c r="N248" s="220"/>
    </row>
    <row r="249" spans="14:14" x14ac:dyDescent="0.25">
      <c r="N249" s="220"/>
    </row>
    <row r="250" spans="14:14" x14ac:dyDescent="0.25">
      <c r="N250" s="220"/>
    </row>
    <row r="251" spans="14:14" x14ac:dyDescent="0.25">
      <c r="N251" s="220"/>
    </row>
    <row r="252" spans="14:14" x14ac:dyDescent="0.25">
      <c r="N252" s="220"/>
    </row>
    <row r="253" spans="14:14" x14ac:dyDescent="0.25">
      <c r="N253" s="220"/>
    </row>
    <row r="254" spans="14:14" x14ac:dyDescent="0.25">
      <c r="N254" s="220"/>
    </row>
    <row r="255" spans="14:14" x14ac:dyDescent="0.25">
      <c r="N255" s="220"/>
    </row>
    <row r="256" spans="14:14" x14ac:dyDescent="0.25">
      <c r="N256" s="220"/>
    </row>
    <row r="257" spans="14:14" x14ac:dyDescent="0.25">
      <c r="N257" s="220"/>
    </row>
    <row r="258" spans="14:14" x14ac:dyDescent="0.25">
      <c r="N258" s="220"/>
    </row>
    <row r="259" spans="14:14" x14ac:dyDescent="0.25">
      <c r="N259" s="220"/>
    </row>
    <row r="260" spans="14:14" x14ac:dyDescent="0.25">
      <c r="N260" s="220"/>
    </row>
    <row r="261" spans="14:14" x14ac:dyDescent="0.25">
      <c r="N261" s="220"/>
    </row>
    <row r="262" spans="14:14" x14ac:dyDescent="0.25">
      <c r="N262" s="220"/>
    </row>
    <row r="263" spans="14:14" x14ac:dyDescent="0.25">
      <c r="N263" s="220"/>
    </row>
    <row r="264" spans="14:14" x14ac:dyDescent="0.25">
      <c r="N264" s="220"/>
    </row>
    <row r="265" spans="14:14" x14ac:dyDescent="0.25">
      <c r="N265" s="220"/>
    </row>
    <row r="266" spans="14:14" x14ac:dyDescent="0.25">
      <c r="N266" s="220"/>
    </row>
    <row r="267" spans="14:14" x14ac:dyDescent="0.25">
      <c r="N267" s="220"/>
    </row>
    <row r="268" spans="14:14" x14ac:dyDescent="0.25">
      <c r="N268" s="220"/>
    </row>
    <row r="269" spans="14:14" x14ac:dyDescent="0.25">
      <c r="N269" s="220"/>
    </row>
    <row r="270" spans="14:14" x14ac:dyDescent="0.25">
      <c r="N270" s="220"/>
    </row>
    <row r="271" spans="14:14" x14ac:dyDescent="0.25">
      <c r="N271" s="220"/>
    </row>
    <row r="272" spans="14:14" x14ac:dyDescent="0.25">
      <c r="N272" s="220"/>
    </row>
    <row r="273" spans="14:14" x14ac:dyDescent="0.25">
      <c r="N273" s="220"/>
    </row>
    <row r="274" spans="14:14" x14ac:dyDescent="0.25">
      <c r="N274" s="220"/>
    </row>
    <row r="275" spans="14:14" x14ac:dyDescent="0.25">
      <c r="N275" s="220"/>
    </row>
    <row r="276" spans="14:14" x14ac:dyDescent="0.25">
      <c r="N276" s="220"/>
    </row>
    <row r="277" spans="14:14" x14ac:dyDescent="0.25">
      <c r="N277" s="220"/>
    </row>
    <row r="278" spans="14:14" x14ac:dyDescent="0.25">
      <c r="N278" s="220"/>
    </row>
    <row r="279" spans="14:14" x14ac:dyDescent="0.25">
      <c r="N279" s="220"/>
    </row>
    <row r="280" spans="14:14" x14ac:dyDescent="0.25">
      <c r="N280" s="220"/>
    </row>
    <row r="281" spans="14:14" x14ac:dyDescent="0.25">
      <c r="N281" s="220"/>
    </row>
    <row r="282" spans="14:14" x14ac:dyDescent="0.25">
      <c r="N282" s="220"/>
    </row>
    <row r="283" spans="14:14" x14ac:dyDescent="0.25">
      <c r="N283" s="220"/>
    </row>
    <row r="284" spans="14:14" x14ac:dyDescent="0.25">
      <c r="N284" s="220"/>
    </row>
    <row r="285" spans="14:14" x14ac:dyDescent="0.25">
      <c r="N285" s="220"/>
    </row>
    <row r="286" spans="14:14" x14ac:dyDescent="0.25">
      <c r="N286" s="220"/>
    </row>
    <row r="287" spans="14:14" x14ac:dyDescent="0.25">
      <c r="N287" s="220"/>
    </row>
    <row r="288" spans="14:14" x14ac:dyDescent="0.25">
      <c r="N288" s="220"/>
    </row>
    <row r="289" spans="14:14" x14ac:dyDescent="0.25">
      <c r="N289" s="220"/>
    </row>
    <row r="290" spans="14:14" x14ac:dyDescent="0.25">
      <c r="N290" s="220"/>
    </row>
    <row r="291" spans="14:14" x14ac:dyDescent="0.25">
      <c r="N291" s="220"/>
    </row>
    <row r="292" spans="14:14" x14ac:dyDescent="0.25">
      <c r="N292" s="220"/>
    </row>
    <row r="293" spans="14:14" x14ac:dyDescent="0.25">
      <c r="N293" s="220"/>
    </row>
    <row r="294" spans="14:14" x14ac:dyDescent="0.25">
      <c r="N294" s="220"/>
    </row>
    <row r="295" spans="14:14" x14ac:dyDescent="0.25">
      <c r="N295" s="220"/>
    </row>
    <row r="296" spans="14:14" x14ac:dyDescent="0.25">
      <c r="N296" s="220"/>
    </row>
    <row r="297" spans="14:14" x14ac:dyDescent="0.25">
      <c r="N297" s="220"/>
    </row>
    <row r="298" spans="14:14" x14ac:dyDescent="0.25">
      <c r="N298" s="220"/>
    </row>
    <row r="299" spans="14:14" x14ac:dyDescent="0.25">
      <c r="N299" s="220"/>
    </row>
    <row r="300" spans="14:14" x14ac:dyDescent="0.25">
      <c r="N300" s="220"/>
    </row>
    <row r="301" spans="14:14" x14ac:dyDescent="0.25">
      <c r="N301" s="220"/>
    </row>
    <row r="302" spans="14:14" x14ac:dyDescent="0.25">
      <c r="N302" s="220"/>
    </row>
    <row r="303" spans="14:14" x14ac:dyDescent="0.25">
      <c r="N303" s="220"/>
    </row>
    <row r="304" spans="14:14" x14ac:dyDescent="0.25">
      <c r="N304" s="220"/>
    </row>
    <row r="305" spans="14:14" x14ac:dyDescent="0.25">
      <c r="N305" s="220"/>
    </row>
    <row r="306" spans="14:14" x14ac:dyDescent="0.25">
      <c r="N306" s="220"/>
    </row>
    <row r="307" spans="14:14" x14ac:dyDescent="0.25">
      <c r="N307" s="220"/>
    </row>
    <row r="308" spans="14:14" x14ac:dyDescent="0.25">
      <c r="N308" s="220"/>
    </row>
    <row r="309" spans="14:14" x14ac:dyDescent="0.25">
      <c r="N309" s="220"/>
    </row>
    <row r="310" spans="14:14" x14ac:dyDescent="0.25">
      <c r="N310" s="220"/>
    </row>
    <row r="311" spans="14:14" x14ac:dyDescent="0.25">
      <c r="N311" s="220"/>
    </row>
    <row r="312" spans="14:14" x14ac:dyDescent="0.25">
      <c r="N312" s="220"/>
    </row>
    <row r="313" spans="14:14" x14ac:dyDescent="0.25">
      <c r="N313" s="220"/>
    </row>
    <row r="314" spans="14:14" x14ac:dyDescent="0.25">
      <c r="N314" s="220"/>
    </row>
    <row r="315" spans="14:14" x14ac:dyDescent="0.25">
      <c r="N315" s="220"/>
    </row>
    <row r="316" spans="14:14" x14ac:dyDescent="0.25">
      <c r="N316" s="220"/>
    </row>
    <row r="317" spans="14:14" x14ac:dyDescent="0.25">
      <c r="N317" s="220"/>
    </row>
    <row r="318" spans="14:14" x14ac:dyDescent="0.25">
      <c r="N318" s="220"/>
    </row>
    <row r="319" spans="14:14" x14ac:dyDescent="0.25">
      <c r="N319" s="220"/>
    </row>
    <row r="320" spans="14:14" x14ac:dyDescent="0.25">
      <c r="N320" s="220"/>
    </row>
    <row r="321" spans="14:14" x14ac:dyDescent="0.25">
      <c r="N321" s="220"/>
    </row>
    <row r="322" spans="14:14" x14ac:dyDescent="0.25">
      <c r="N322" s="220"/>
    </row>
    <row r="323" spans="14:14" x14ac:dyDescent="0.25">
      <c r="N323" s="220"/>
    </row>
    <row r="324" spans="14:14" x14ac:dyDescent="0.25">
      <c r="N324" s="220"/>
    </row>
    <row r="325" spans="14:14" x14ac:dyDescent="0.25">
      <c r="N325" s="220"/>
    </row>
    <row r="326" spans="14:14" x14ac:dyDescent="0.25">
      <c r="N326" s="220"/>
    </row>
    <row r="327" spans="14:14" x14ac:dyDescent="0.25">
      <c r="N327" s="220"/>
    </row>
    <row r="328" spans="14:14" x14ac:dyDescent="0.25">
      <c r="N328" s="220"/>
    </row>
    <row r="329" spans="14:14" x14ac:dyDescent="0.25">
      <c r="N329" s="220"/>
    </row>
    <row r="330" spans="14:14" x14ac:dyDescent="0.25">
      <c r="N330" s="220"/>
    </row>
    <row r="331" spans="14:14" x14ac:dyDescent="0.25">
      <c r="N331" s="220"/>
    </row>
    <row r="332" spans="14:14" x14ac:dyDescent="0.25">
      <c r="N332" s="220"/>
    </row>
    <row r="333" spans="14:14" x14ac:dyDescent="0.25">
      <c r="N333" s="220"/>
    </row>
    <row r="334" spans="14:14" x14ac:dyDescent="0.25">
      <c r="N334" s="220"/>
    </row>
    <row r="335" spans="14:14" x14ac:dyDescent="0.25">
      <c r="N335" s="220"/>
    </row>
    <row r="336" spans="14:14" x14ac:dyDescent="0.25">
      <c r="N336" s="220"/>
    </row>
    <row r="337" spans="14:14" x14ac:dyDescent="0.25">
      <c r="N337" s="220"/>
    </row>
    <row r="338" spans="14:14" x14ac:dyDescent="0.25">
      <c r="N338" s="220"/>
    </row>
    <row r="339" spans="14:14" x14ac:dyDescent="0.25">
      <c r="N339" s="220"/>
    </row>
    <row r="340" spans="14:14" x14ac:dyDescent="0.25">
      <c r="N340" s="220"/>
    </row>
    <row r="341" spans="14:14" x14ac:dyDescent="0.25">
      <c r="N341" s="220"/>
    </row>
    <row r="342" spans="14:14" x14ac:dyDescent="0.25">
      <c r="N342" s="220"/>
    </row>
    <row r="343" spans="14:14" x14ac:dyDescent="0.25">
      <c r="N343" s="220"/>
    </row>
    <row r="344" spans="14:14" x14ac:dyDescent="0.25">
      <c r="N344" s="220"/>
    </row>
    <row r="345" spans="14:14" x14ac:dyDescent="0.25">
      <c r="N345" s="220"/>
    </row>
    <row r="346" spans="14:14" x14ac:dyDescent="0.25">
      <c r="N346" s="220"/>
    </row>
    <row r="347" spans="14:14" x14ac:dyDescent="0.25">
      <c r="N347" s="220"/>
    </row>
    <row r="348" spans="14:14" x14ac:dyDescent="0.25">
      <c r="N348" s="220"/>
    </row>
    <row r="349" spans="14:14" x14ac:dyDescent="0.25">
      <c r="N349" s="220"/>
    </row>
    <row r="350" spans="14:14" x14ac:dyDescent="0.25">
      <c r="N350" s="220"/>
    </row>
    <row r="351" spans="14:14" x14ac:dyDescent="0.25">
      <c r="N351" s="220"/>
    </row>
    <row r="352" spans="14:14" x14ac:dyDescent="0.25">
      <c r="N352" s="220"/>
    </row>
    <row r="353" spans="14:14" x14ac:dyDescent="0.25">
      <c r="N353" s="220"/>
    </row>
    <row r="354" spans="14:14" x14ac:dyDescent="0.25">
      <c r="N354" s="220"/>
    </row>
    <row r="355" spans="14:14" x14ac:dyDescent="0.25">
      <c r="N355" s="220"/>
    </row>
    <row r="356" spans="14:14" x14ac:dyDescent="0.25">
      <c r="N356" s="220"/>
    </row>
    <row r="357" spans="14:14" x14ac:dyDescent="0.25">
      <c r="N357" s="220"/>
    </row>
    <row r="358" spans="14:14" x14ac:dyDescent="0.25">
      <c r="N358" s="220"/>
    </row>
    <row r="359" spans="14:14" x14ac:dyDescent="0.25">
      <c r="N359" s="220"/>
    </row>
    <row r="360" spans="14:14" x14ac:dyDescent="0.25">
      <c r="N360" s="220"/>
    </row>
    <row r="361" spans="14:14" x14ac:dyDescent="0.25">
      <c r="N361" s="220"/>
    </row>
    <row r="362" spans="14:14" x14ac:dyDescent="0.25">
      <c r="N362" s="220"/>
    </row>
    <row r="363" spans="14:14" x14ac:dyDescent="0.25">
      <c r="N363" s="220"/>
    </row>
    <row r="364" spans="14:14" x14ac:dyDescent="0.25">
      <c r="N364" s="220"/>
    </row>
    <row r="365" spans="14:14" x14ac:dyDescent="0.25">
      <c r="N365" s="220"/>
    </row>
    <row r="366" spans="14:14" x14ac:dyDescent="0.25">
      <c r="N366" s="220"/>
    </row>
    <row r="367" spans="14:14" x14ac:dyDescent="0.25">
      <c r="N367" s="220"/>
    </row>
    <row r="368" spans="14:14" x14ac:dyDescent="0.25">
      <c r="N368" s="220"/>
    </row>
    <row r="369" spans="14:14" x14ac:dyDescent="0.25">
      <c r="N369" s="220"/>
    </row>
    <row r="370" spans="14:14" x14ac:dyDescent="0.25">
      <c r="N370" s="220"/>
    </row>
    <row r="371" spans="14:14" x14ac:dyDescent="0.25">
      <c r="N371" s="220"/>
    </row>
    <row r="372" spans="14:14" x14ac:dyDescent="0.25">
      <c r="N372" s="220"/>
    </row>
    <row r="373" spans="14:14" x14ac:dyDescent="0.25">
      <c r="N373" s="220"/>
    </row>
    <row r="374" spans="14:14" x14ac:dyDescent="0.25">
      <c r="N374" s="220"/>
    </row>
    <row r="375" spans="14:14" x14ac:dyDescent="0.25">
      <c r="N375" s="220"/>
    </row>
    <row r="376" spans="14:14" x14ac:dyDescent="0.25">
      <c r="N376" s="220"/>
    </row>
    <row r="377" spans="14:14" x14ac:dyDescent="0.25">
      <c r="N377" s="220"/>
    </row>
    <row r="378" spans="14:14" x14ac:dyDescent="0.25">
      <c r="N378" s="220"/>
    </row>
    <row r="379" spans="14:14" x14ac:dyDescent="0.25">
      <c r="N379" s="220"/>
    </row>
    <row r="380" spans="14:14" x14ac:dyDescent="0.25">
      <c r="N380" s="220"/>
    </row>
    <row r="381" spans="14:14" x14ac:dyDescent="0.25">
      <c r="N381" s="220"/>
    </row>
    <row r="382" spans="14:14" x14ac:dyDescent="0.25">
      <c r="N382" s="220"/>
    </row>
    <row r="383" spans="14:14" x14ac:dyDescent="0.25">
      <c r="N383" s="220"/>
    </row>
    <row r="384" spans="14:14" x14ac:dyDescent="0.25">
      <c r="N384" s="220"/>
    </row>
    <row r="385" spans="14:14" x14ac:dyDescent="0.25">
      <c r="N385" s="220"/>
    </row>
    <row r="386" spans="14:14" x14ac:dyDescent="0.25">
      <c r="N386" s="220"/>
    </row>
    <row r="387" spans="14:14" x14ac:dyDescent="0.25">
      <c r="N387" s="220"/>
    </row>
    <row r="388" spans="14:14" x14ac:dyDescent="0.25">
      <c r="N388" s="220"/>
    </row>
    <row r="389" spans="14:14" x14ac:dyDescent="0.25">
      <c r="N389" s="220"/>
    </row>
    <row r="390" spans="14:14" x14ac:dyDescent="0.25">
      <c r="N390" s="220"/>
    </row>
    <row r="391" spans="14:14" x14ac:dyDescent="0.25">
      <c r="N391" s="220"/>
    </row>
    <row r="392" spans="14:14" x14ac:dyDescent="0.25">
      <c r="N392" s="220"/>
    </row>
    <row r="393" spans="14:14" x14ac:dyDescent="0.25">
      <c r="N393" s="220"/>
    </row>
    <row r="394" spans="14:14" x14ac:dyDescent="0.25">
      <c r="N394" s="220"/>
    </row>
    <row r="395" spans="14:14" x14ac:dyDescent="0.25">
      <c r="N395" s="220"/>
    </row>
    <row r="396" spans="14:14" x14ac:dyDescent="0.25">
      <c r="N396" s="220"/>
    </row>
    <row r="397" spans="14:14" x14ac:dyDescent="0.25">
      <c r="N397" s="220"/>
    </row>
    <row r="398" spans="14:14" x14ac:dyDescent="0.25">
      <c r="N398" s="220"/>
    </row>
    <row r="399" spans="14:14" x14ac:dyDescent="0.25">
      <c r="N399" s="220"/>
    </row>
    <row r="400" spans="14:14" x14ac:dyDescent="0.25">
      <c r="N400" s="220"/>
    </row>
    <row r="401" spans="14:14" x14ac:dyDescent="0.25">
      <c r="N401" s="220"/>
    </row>
    <row r="402" spans="14:14" x14ac:dyDescent="0.25">
      <c r="N402" s="220"/>
    </row>
    <row r="403" spans="14:14" x14ac:dyDescent="0.25">
      <c r="N403" s="220"/>
    </row>
    <row r="404" spans="14:14" x14ac:dyDescent="0.25">
      <c r="N404" s="220"/>
    </row>
    <row r="405" spans="14:14" x14ac:dyDescent="0.25">
      <c r="N405" s="220"/>
    </row>
    <row r="406" spans="14:14" x14ac:dyDescent="0.25">
      <c r="N406" s="220"/>
    </row>
    <row r="407" spans="14:14" x14ac:dyDescent="0.25">
      <c r="N407" s="220"/>
    </row>
    <row r="408" spans="14:14" x14ac:dyDescent="0.25">
      <c r="N408" s="220"/>
    </row>
    <row r="409" spans="14:14" x14ac:dyDescent="0.25">
      <c r="N409" s="220"/>
    </row>
    <row r="410" spans="14:14" x14ac:dyDescent="0.25">
      <c r="N410" s="220"/>
    </row>
    <row r="411" spans="14:14" x14ac:dyDescent="0.25">
      <c r="N411" s="220"/>
    </row>
    <row r="412" spans="14:14" x14ac:dyDescent="0.25">
      <c r="N412" s="220"/>
    </row>
    <row r="413" spans="14:14" x14ac:dyDescent="0.25">
      <c r="N413" s="220"/>
    </row>
    <row r="414" spans="14:14" x14ac:dyDescent="0.25">
      <c r="N414" s="220"/>
    </row>
    <row r="415" spans="14:14" x14ac:dyDescent="0.25">
      <c r="N415" s="220"/>
    </row>
    <row r="416" spans="14:14" x14ac:dyDescent="0.25">
      <c r="N416" s="220"/>
    </row>
    <row r="417" spans="14:14" x14ac:dyDescent="0.25">
      <c r="N417" s="220"/>
    </row>
    <row r="418" spans="14:14" x14ac:dyDescent="0.25">
      <c r="N418" s="220"/>
    </row>
    <row r="419" spans="14:14" x14ac:dyDescent="0.25">
      <c r="N419" s="220"/>
    </row>
    <row r="420" spans="14:14" x14ac:dyDescent="0.25">
      <c r="N420" s="220"/>
    </row>
    <row r="421" spans="14:14" x14ac:dyDescent="0.25">
      <c r="N421" s="220"/>
    </row>
    <row r="422" spans="14:14" x14ac:dyDescent="0.25">
      <c r="N422" s="220"/>
    </row>
    <row r="423" spans="14:14" x14ac:dyDescent="0.25">
      <c r="N423" s="220"/>
    </row>
    <row r="424" spans="14:14" x14ac:dyDescent="0.25">
      <c r="N424" s="220"/>
    </row>
    <row r="425" spans="14:14" x14ac:dyDescent="0.25">
      <c r="N425" s="220"/>
    </row>
    <row r="426" spans="14:14" x14ac:dyDescent="0.25">
      <c r="N426" s="220"/>
    </row>
    <row r="427" spans="14:14" x14ac:dyDescent="0.25">
      <c r="N427" s="220"/>
    </row>
    <row r="428" spans="14:14" x14ac:dyDescent="0.25">
      <c r="N428" s="220"/>
    </row>
    <row r="429" spans="14:14" x14ac:dyDescent="0.25">
      <c r="N429" s="220"/>
    </row>
    <row r="430" spans="14:14" x14ac:dyDescent="0.25">
      <c r="N430" s="220"/>
    </row>
    <row r="431" spans="14:14" x14ac:dyDescent="0.25">
      <c r="N431" s="220"/>
    </row>
    <row r="432" spans="14:14" x14ac:dyDescent="0.25">
      <c r="N432" s="220"/>
    </row>
    <row r="433" spans="14:14" x14ac:dyDescent="0.25">
      <c r="N433" s="220"/>
    </row>
    <row r="434" spans="14:14" x14ac:dyDescent="0.25">
      <c r="N434" s="220"/>
    </row>
    <row r="435" spans="14:14" x14ac:dyDescent="0.25">
      <c r="N435" s="220"/>
    </row>
    <row r="436" spans="14:14" x14ac:dyDescent="0.25">
      <c r="N436" s="220"/>
    </row>
    <row r="437" spans="14:14" x14ac:dyDescent="0.25">
      <c r="N437" s="220"/>
    </row>
    <row r="438" spans="14:14" x14ac:dyDescent="0.25">
      <c r="N438" s="220"/>
    </row>
    <row r="439" spans="14:14" x14ac:dyDescent="0.25">
      <c r="N439" s="220"/>
    </row>
    <row r="440" spans="14:14" x14ac:dyDescent="0.25">
      <c r="N440" s="220"/>
    </row>
    <row r="441" spans="14:14" x14ac:dyDescent="0.25">
      <c r="N441" s="220"/>
    </row>
    <row r="442" spans="14:14" x14ac:dyDescent="0.25">
      <c r="N442" s="220"/>
    </row>
    <row r="443" spans="14:14" x14ac:dyDescent="0.25">
      <c r="N443" s="220"/>
    </row>
    <row r="444" spans="14:14" x14ac:dyDescent="0.25">
      <c r="N444" s="220"/>
    </row>
    <row r="445" spans="14:14" x14ac:dyDescent="0.25">
      <c r="N445" s="220"/>
    </row>
    <row r="446" spans="14:14" x14ac:dyDescent="0.25">
      <c r="N446" s="220"/>
    </row>
    <row r="447" spans="14:14" x14ac:dyDescent="0.25">
      <c r="N447" s="220"/>
    </row>
    <row r="448" spans="14:14" x14ac:dyDescent="0.25">
      <c r="N448" s="220"/>
    </row>
    <row r="449" spans="14:14" x14ac:dyDescent="0.25">
      <c r="N449" s="220"/>
    </row>
    <row r="450" spans="14:14" x14ac:dyDescent="0.25">
      <c r="N450" s="220"/>
    </row>
    <row r="451" spans="14:14" x14ac:dyDescent="0.25">
      <c r="N451" s="220"/>
    </row>
    <row r="452" spans="14:14" x14ac:dyDescent="0.25">
      <c r="N452" s="220"/>
    </row>
    <row r="453" spans="14:14" x14ac:dyDescent="0.25">
      <c r="N453" s="220"/>
    </row>
    <row r="454" spans="14:14" x14ac:dyDescent="0.25">
      <c r="N454" s="220"/>
    </row>
    <row r="455" spans="14:14" x14ac:dyDescent="0.25">
      <c r="N455" s="220"/>
    </row>
    <row r="456" spans="14:14" x14ac:dyDescent="0.25">
      <c r="N456" s="220"/>
    </row>
    <row r="457" spans="14:14" x14ac:dyDescent="0.25">
      <c r="N457" s="220"/>
    </row>
    <row r="458" spans="14:14" x14ac:dyDescent="0.25">
      <c r="N458" s="220"/>
    </row>
    <row r="459" spans="14:14" x14ac:dyDescent="0.25">
      <c r="N459" s="220"/>
    </row>
    <row r="460" spans="14:14" x14ac:dyDescent="0.25">
      <c r="N460" s="220"/>
    </row>
    <row r="461" spans="14:14" x14ac:dyDescent="0.25">
      <c r="N461" s="220"/>
    </row>
    <row r="462" spans="14:14" x14ac:dyDescent="0.25">
      <c r="N462" s="220"/>
    </row>
    <row r="463" spans="14:14" x14ac:dyDescent="0.25">
      <c r="N463" s="220"/>
    </row>
    <row r="464" spans="14:14" x14ac:dyDescent="0.25">
      <c r="N464" s="220"/>
    </row>
    <row r="465" spans="14:14" x14ac:dyDescent="0.25">
      <c r="N465" s="220"/>
    </row>
    <row r="466" spans="14:14" x14ac:dyDescent="0.25">
      <c r="N466" s="220"/>
    </row>
    <row r="467" spans="14:14" x14ac:dyDescent="0.25">
      <c r="N467" s="220"/>
    </row>
    <row r="468" spans="14:14" x14ac:dyDescent="0.25">
      <c r="N468" s="220"/>
    </row>
    <row r="469" spans="14:14" x14ac:dyDescent="0.25">
      <c r="N469" s="220"/>
    </row>
    <row r="470" spans="14:14" x14ac:dyDescent="0.25">
      <c r="N470" s="220"/>
    </row>
    <row r="471" spans="14:14" x14ac:dyDescent="0.25">
      <c r="N471" s="220"/>
    </row>
    <row r="472" spans="14:14" x14ac:dyDescent="0.25">
      <c r="N472" s="220"/>
    </row>
    <row r="473" spans="14:14" x14ac:dyDescent="0.25">
      <c r="N473" s="220"/>
    </row>
    <row r="474" spans="14:14" x14ac:dyDescent="0.25">
      <c r="N474" s="220"/>
    </row>
    <row r="475" spans="14:14" x14ac:dyDescent="0.25">
      <c r="N475" s="220"/>
    </row>
    <row r="476" spans="14:14" x14ac:dyDescent="0.25">
      <c r="N476" s="220"/>
    </row>
    <row r="477" spans="14:14" x14ac:dyDescent="0.25">
      <c r="N477" s="220"/>
    </row>
    <row r="478" spans="14:14" x14ac:dyDescent="0.25">
      <c r="N478" s="220"/>
    </row>
    <row r="479" spans="14:14" x14ac:dyDescent="0.25">
      <c r="N479" s="220"/>
    </row>
    <row r="480" spans="14:14" x14ac:dyDescent="0.25">
      <c r="N480" s="220"/>
    </row>
    <row r="481" spans="14:14" x14ac:dyDescent="0.25">
      <c r="N481" s="220"/>
    </row>
    <row r="482" spans="14:14" x14ac:dyDescent="0.25">
      <c r="N482" s="220"/>
    </row>
    <row r="483" spans="14:14" x14ac:dyDescent="0.25">
      <c r="N483" s="220"/>
    </row>
  </sheetData>
  <mergeCells count="9">
    <mergeCell ref="A1:E1"/>
    <mergeCell ref="A2:E2"/>
    <mergeCell ref="A3:E3"/>
    <mergeCell ref="A66:E66"/>
    <mergeCell ref="A86:E86"/>
    <mergeCell ref="A4:E4"/>
    <mergeCell ref="A6:E6"/>
    <mergeCell ref="A7:B7"/>
    <mergeCell ref="C7:D7"/>
  </mergeCells>
  <phoneticPr fontId="12" type="noConversion"/>
  <pageMargins left="0.511811024" right="0.511811024" top="0.78740157499999996" bottom="0.78740157499999996" header="0.31496062000000002" footer="0.31496062000000002"/>
  <pageSetup paperSize="9" orientation="portrait" horizont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249072-95A6-4BF0-9DF3-8C6714F59699}">
  <sheetPr>
    <tabColor rgb="FFFF0000"/>
    <pageSetUpPr fitToPage="1"/>
  </sheetPr>
  <dimension ref="A1:P173"/>
  <sheetViews>
    <sheetView topLeftCell="A157" workbookViewId="0">
      <selection activeCell="F166" sqref="F166:H166"/>
    </sheetView>
  </sheetViews>
  <sheetFormatPr defaultColWidth="9.140625" defaultRowHeight="18" x14ac:dyDescent="0.25"/>
  <cols>
    <col min="1" max="1" width="8.85546875" style="470" bestFit="1" customWidth="1"/>
    <col min="2" max="2" width="14.140625" style="589" bestFit="1" customWidth="1"/>
    <col min="3" max="3" width="14.5703125" style="589" customWidth="1"/>
    <col min="4" max="4" width="56.5703125" style="591" customWidth="1"/>
    <col min="5" max="5" width="6.28515625" style="589" customWidth="1"/>
    <col min="6" max="6" width="11.42578125" style="592" bestFit="1" customWidth="1"/>
    <col min="7" max="7" width="13.5703125" style="593" bestFit="1" customWidth="1"/>
    <col min="8" max="8" width="14.5703125" style="593" bestFit="1" customWidth="1"/>
    <col min="9" max="9" width="20" style="593" bestFit="1" customWidth="1"/>
    <col min="10" max="10" width="18" style="594" customWidth="1"/>
    <col min="11" max="11" width="9.28515625" style="464" bestFit="1" customWidth="1"/>
    <col min="12" max="12" width="15" style="465" bestFit="1" customWidth="1"/>
    <col min="13" max="13" width="11.5703125" style="465" customWidth="1"/>
    <col min="14" max="14" width="10.5703125" style="466" bestFit="1" customWidth="1"/>
    <col min="15" max="15" width="14.28515625" style="466" bestFit="1" customWidth="1"/>
    <col min="16" max="16" width="11.5703125" style="466" bestFit="1" customWidth="1"/>
    <col min="17" max="16384" width="9.140625" style="466"/>
  </cols>
  <sheetData>
    <row r="1" spans="1:13" ht="57.75" customHeight="1" x14ac:dyDescent="0.25">
      <c r="A1" s="1375" t="s">
        <v>113</v>
      </c>
      <c r="B1" s="1376"/>
      <c r="C1" s="1376"/>
      <c r="D1" s="1376"/>
      <c r="E1" s="1376"/>
      <c r="F1" s="1376"/>
      <c r="G1" s="1376"/>
      <c r="H1" s="1376"/>
      <c r="I1" s="1377"/>
      <c r="J1" s="463"/>
    </row>
    <row r="2" spans="1:13" ht="15" customHeight="1" x14ac:dyDescent="0.25">
      <c r="A2" s="598" t="s">
        <v>114</v>
      </c>
      <c r="B2" s="1378" t="s">
        <v>273</v>
      </c>
      <c r="C2" s="1378"/>
      <c r="D2" s="1378"/>
      <c r="E2" s="1379" t="s">
        <v>116</v>
      </c>
      <c r="F2" s="1379"/>
      <c r="G2" s="467">
        <v>44501</v>
      </c>
      <c r="H2" s="1195" t="s">
        <v>117</v>
      </c>
      <c r="I2" s="1199">
        <v>1.5727</v>
      </c>
      <c r="J2" s="468"/>
    </row>
    <row r="3" spans="1:13" ht="15.75" customHeight="1" thickBot="1" x14ac:dyDescent="0.3">
      <c r="A3" s="600" t="s">
        <v>115</v>
      </c>
      <c r="B3" s="1380" t="s">
        <v>274</v>
      </c>
      <c r="C3" s="1380"/>
      <c r="D3" s="1380"/>
      <c r="E3" s="1200"/>
      <c r="F3" s="1201"/>
      <c r="G3" s="1202"/>
      <c r="H3" s="1203" t="s">
        <v>118</v>
      </c>
      <c r="I3" s="1204">
        <v>0.28220000000000001</v>
      </c>
      <c r="J3" s="469"/>
    </row>
    <row r="4" spans="1:13" ht="6" customHeight="1" thickBot="1" x14ac:dyDescent="0.3">
      <c r="B4" s="471"/>
      <c r="C4" s="471"/>
      <c r="D4" s="472"/>
      <c r="E4" s="471"/>
      <c r="F4" s="473"/>
      <c r="G4" s="474"/>
      <c r="H4" s="474"/>
      <c r="I4" s="474"/>
      <c r="J4" s="475"/>
    </row>
    <row r="5" spans="1:13" ht="30.75" thickBot="1" x14ac:dyDescent="0.3">
      <c r="A5" s="476" t="s">
        <v>4384</v>
      </c>
      <c r="B5" s="476" t="s">
        <v>133</v>
      </c>
      <c r="C5" s="476" t="s">
        <v>4383</v>
      </c>
      <c r="D5" s="476" t="s">
        <v>4385</v>
      </c>
      <c r="E5" s="476" t="s">
        <v>4382</v>
      </c>
      <c r="F5" s="477" t="s">
        <v>4381</v>
      </c>
      <c r="G5" s="478" t="s">
        <v>4380</v>
      </c>
      <c r="H5" s="478" t="s">
        <v>4387</v>
      </c>
      <c r="I5" s="478" t="s">
        <v>4386</v>
      </c>
      <c r="J5" s="479"/>
    </row>
    <row r="6" spans="1:13" x14ac:dyDescent="0.25">
      <c r="A6" s="480">
        <v>1</v>
      </c>
      <c r="B6" s="481"/>
      <c r="C6" s="481"/>
      <c r="D6" s="482" t="s">
        <v>4</v>
      </c>
      <c r="E6" s="483"/>
      <c r="F6" s="484"/>
      <c r="G6" s="485"/>
      <c r="H6" s="486"/>
      <c r="I6" s="487">
        <f>SUBTOTAL(9,I7:I17)</f>
        <v>109170.33</v>
      </c>
      <c r="J6" s="488">
        <f>I6/I159</f>
        <v>6.1999999999999998E-3</v>
      </c>
    </row>
    <row r="7" spans="1:13" s="500" customFormat="1" x14ac:dyDescent="0.25">
      <c r="A7" s="489" t="str">
        <f>CONCATENATE(A6,".",1)</f>
        <v>1.1</v>
      </c>
      <c r="B7" s="490" t="s">
        <v>692</v>
      </c>
      <c r="C7" s="491" t="s">
        <v>4379</v>
      </c>
      <c r="D7" s="492" t="str">
        <f>IF($C7="DER-ED",VLOOKUP($B7,'DER-ED'!$A:$H,2,FALSE),IF(C7="DER-RD",VLOOKUP($B7,'DER-RD'!$A:$F,2,FALSE),IF($C7="COMP.","&gt;&gt;&gt;&gt;&gt;&gt;&gt;&gt;&gt;&gt; Digite aqui a descrição e apresente a composição detalhada.","← Escolha o Orgão e digite o Código")))</f>
        <v>Placa de obra nas dimensões de 2.0 x 4.0 m, padrão DER</v>
      </c>
      <c r="E7" s="491" t="str">
        <f>IF($C7="DER-ED",VLOOKUP($B7,'DER-ED'!$A:$H,3,FALSE),IF($C7="DER-RD",LOWER(VLOOKUP($B7,'DER-RD'!$A:$F,3,FALSE)),IF($C7="COMP.","digite"," ")))</f>
        <v>m2</v>
      </c>
      <c r="F7" s="493">
        <f>'Mem - Orla'!F8</f>
        <v>32</v>
      </c>
      <c r="G7" s="494">
        <f>IF($C7="DER-ED",VLOOKUP($B7,'DER-ED'!$A:$H,6,FALSE),IF($C7="DER-RD",VLOOKUP($B7,'DER-RD'!$A:$H,7,FALSE),))</f>
        <v>269.31</v>
      </c>
      <c r="H7" s="495">
        <f t="shared" ref="H7:H15" si="0">G7*(1+($I$3))</f>
        <v>345.31</v>
      </c>
      <c r="I7" s="496">
        <f t="shared" ref="I7:I16" si="1">ROUND((F7*H7),2)</f>
        <v>11049.92</v>
      </c>
      <c r="J7" s="497">
        <f t="shared" ref="J7:J17" si="2">I7/$I$159</f>
        <v>5.9999999999999995E-4</v>
      </c>
      <c r="K7" s="498"/>
      <c r="L7" s="499"/>
      <c r="M7" s="499"/>
    </row>
    <row r="8" spans="1:13" s="500" customFormat="1" ht="90" x14ac:dyDescent="0.25">
      <c r="A8" s="489" t="str">
        <f t="shared" ref="A8:A13" si="3">CONCATENATE($A$6,".",RIGHT(A7,LEN(A7)-2)+1)</f>
        <v>1.2</v>
      </c>
      <c r="B8" s="490" t="s">
        <v>707</v>
      </c>
      <c r="C8" s="491" t="s">
        <v>4379</v>
      </c>
      <c r="D8" s="492" t="str">
        <f>IF($C8="DER-ED",VLOOKUP($B8,'DER-ED'!$A:$H,2,FALSE),IF(C8="DER-RD",VLOOKUP($B8,'DER-RD'!$A:$F,2,FALSE),IF($C8="COMP.","&gt;&gt;&gt;&gt;&gt;&gt;&gt;&gt;&gt;&gt; Digite aqui a descrição e apresente a composição detalhada.","← Escolha o Orgão e digite o Código")))</f>
        <v>Aluguel mensal container para escritório, dim. 6.00x2.40m, c/ banheiro (vaso+lavat+chuveiro e básc), incl. porta, 2 janelas, abert p/ ar cond., 2 pt iluminação, 2 tom. elét. e 1 tom.telef. Isolam.térmico(teto e paredes), piso em comp. Naval, cert. NR18, incl. laudo descontaminação.</v>
      </c>
      <c r="E8" s="491" t="str">
        <f>IF($C8="DER-ED",VLOOKUP($B8,'DER-ED'!$A:$H,3,FALSE),IF($C8="DER-RD",LOWER(VLOOKUP($B8,'DER-RD'!$A:$F,3,FALSE)),IF($C8="COMP.","digite"," ")))</f>
        <v>ms</v>
      </c>
      <c r="F8" s="493">
        <f>'Mem - Orla'!F9</f>
        <v>6</v>
      </c>
      <c r="G8" s="494">
        <f>IF($C8="DER-ED",VLOOKUP($B8,'DER-ED'!$A:$H,6,FALSE),IF($C8="DER-RD",VLOOKUP($B8,'DER-RD'!$A:$H,7,FALSE),))</f>
        <v>1050</v>
      </c>
      <c r="H8" s="495">
        <f>G8*(1+($I$3))</f>
        <v>1346.31</v>
      </c>
      <c r="I8" s="496">
        <f>ROUND((F8*H8),2)</f>
        <v>8077.86</v>
      </c>
      <c r="J8" s="497">
        <f t="shared" si="2"/>
        <v>5.0000000000000001E-4</v>
      </c>
      <c r="K8" s="498"/>
      <c r="L8" s="499"/>
      <c r="M8" s="499"/>
    </row>
    <row r="9" spans="1:13" s="500" customFormat="1" ht="60" x14ac:dyDescent="0.25">
      <c r="A9" s="489" t="str">
        <f t="shared" si="3"/>
        <v>1.3</v>
      </c>
      <c r="B9" s="490" t="s">
        <v>720</v>
      </c>
      <c r="C9" s="491" t="s">
        <v>4379</v>
      </c>
      <c r="D9" s="492" t="str">
        <f>IF($C9="DER-ED",VLOOKUP($B9,'DER-ED'!$A:$H,2,FALSE),IF(C9="DER-RD",VLOOKUP($B9,'DER-RD'!$A:$F,2,FALSE),IF($C9="COMP.","&gt;&gt;&gt;&gt;&gt;&gt;&gt;&gt;&gt;&gt; Digite aqui a descrição e apresente a composição detalhada.","← Escolha o Orgão e digite o Código")))</f>
        <v>Barracão para almoxarifado área de 10.90m2, de chapa de compensado de 12mm e pontalete 8x8cm, piso cimentado e cobertura de telhas de fibrocimento de 6mm, incl. ponto de luz, conf. projeto (1 utilização)</v>
      </c>
      <c r="E9" s="491" t="str">
        <f>IF($C9="DER-ED",VLOOKUP($B9,'DER-ED'!$A:$H,3,FALSE),IF($C9="DER-RD",LOWER(VLOOKUP($B9,'DER-RD'!$A:$F,3,FALSE)),IF($C9="COMP.","digite"," ")))</f>
        <v>m2</v>
      </c>
      <c r="F9" s="493">
        <f>'Mem - Orla'!F10</f>
        <v>10.9</v>
      </c>
      <c r="G9" s="494">
        <f>IF($C9="DER-ED",VLOOKUP($B9,'DER-ED'!$A:$H,6,FALSE),IF($C9="DER-RD",VLOOKUP($B9,'DER-RD'!$A:$H,7,FALSE),))</f>
        <v>653.87</v>
      </c>
      <c r="H9" s="495">
        <f t="shared" si="0"/>
        <v>838.39</v>
      </c>
      <c r="I9" s="496">
        <f t="shared" si="1"/>
        <v>9138.4500000000007</v>
      </c>
      <c r="J9" s="497">
        <f t="shared" si="2"/>
        <v>5.0000000000000001E-4</v>
      </c>
      <c r="K9" s="498"/>
      <c r="L9" s="499"/>
      <c r="M9" s="499"/>
    </row>
    <row r="10" spans="1:13" s="500" customFormat="1" ht="60" x14ac:dyDescent="0.25">
      <c r="A10" s="489" t="str">
        <f t="shared" si="3"/>
        <v>1.4</v>
      </c>
      <c r="B10" s="490" t="s">
        <v>721</v>
      </c>
      <c r="C10" s="491" t="s">
        <v>4379</v>
      </c>
      <c r="D10" s="492" t="str">
        <f>IF($C10="DER-ED",VLOOKUP($B10,'DER-ED'!$A:$H,2,FALSE),IF(C10="DER-RD",VLOOKUP($B10,'DER-RD'!$A:$F,2,FALSE),IF($C10="COMP.","&gt;&gt;&gt;&gt;&gt;&gt;&gt;&gt;&gt;&gt; Digite aqui a descrição e apresente a composição detalhada.","← Escolha o Orgão e digite o Código")))</f>
        <v>Barracão para depósito de cimento área de 10.90m2, de chapa de compensado 12mm e pontaletes 8x8cm, piso cimentado e cobertura de telhas de fibrocimento de 6mm, inclusive ponto de luz, conf. projeto (1 utilização)</v>
      </c>
      <c r="E10" s="491" t="str">
        <f>IF($C10="DER-ED",VLOOKUP($B10,'DER-ED'!$A:$H,3,FALSE),IF($C10="DER-RD",LOWER(VLOOKUP($B10,'DER-RD'!$A:$F,3,FALSE)),IF($C10="COMP.","digite"," ")))</f>
        <v>m2</v>
      </c>
      <c r="F10" s="493">
        <f>'Mem - Orla'!F11</f>
        <v>10.9</v>
      </c>
      <c r="G10" s="494">
        <f>IF($C10="DER-ED",VLOOKUP($B10,'DER-ED'!$A:$H,6,FALSE),IF($C10="DER-RD",VLOOKUP($B10,'DER-RD'!$A:$H,7,FALSE),))</f>
        <v>574.61</v>
      </c>
      <c r="H10" s="495">
        <f t="shared" si="0"/>
        <v>736.76</v>
      </c>
      <c r="I10" s="496">
        <f t="shared" si="1"/>
        <v>8030.68</v>
      </c>
      <c r="J10" s="497">
        <f t="shared" si="2"/>
        <v>5.0000000000000001E-4</v>
      </c>
      <c r="K10" s="498"/>
      <c r="L10" s="499"/>
      <c r="M10" s="499"/>
    </row>
    <row r="11" spans="1:13" s="500" customFormat="1" ht="75" x14ac:dyDescent="0.25">
      <c r="A11" s="489" t="str">
        <f t="shared" si="3"/>
        <v>1.5</v>
      </c>
      <c r="B11" s="490" t="s">
        <v>709</v>
      </c>
      <c r="C11" s="491" t="s">
        <v>4379</v>
      </c>
      <c r="D11" s="492" t="str">
        <f>IF($C11="DER-ED",VLOOKUP($B11,'DER-ED'!$A:$H,2,FALSE),IF(C11="DER-RD",VLOOKUP($B11,'DER-RD'!$A:$F,2,FALSE),IF($C11="COMP.","&gt;&gt;&gt;&gt;&gt;&gt;&gt;&gt;&gt;&gt; Digite aqui a descrição e apresente a composição detalhada.","← Escolha o Orgão e digite o Código")))</f>
        <v>Aluguel mensal container para refeitorio, incl. porta, 2 janelas, abert p/ ar cond., 2 pt iluminação, 2 tomadas elét. e 1 tomada telef. Isolamento térmico (paredes e teto), piso em comp. Naval pintado, cert. NR18, incl. laudo descontaminação.</v>
      </c>
      <c r="E11" s="491" t="str">
        <f>IF($C11="DER-ED",VLOOKUP($B11,'DER-ED'!$A:$H,3,FALSE),IF($C11="DER-RD",LOWER(VLOOKUP($B11,'DER-RD'!$A:$F,3,FALSE)),IF($C11="COMP.","digite"," ")))</f>
        <v>ms</v>
      </c>
      <c r="F11" s="493">
        <f>'Mem - Orla'!F12</f>
        <v>6</v>
      </c>
      <c r="G11" s="494">
        <f>IF($C11="DER-ED",VLOOKUP($B11,'DER-ED'!$A:$H,6,FALSE),IF($C11="DER-RD",VLOOKUP($B11,'DER-RD'!$A:$H,7,FALSE),))</f>
        <v>1000</v>
      </c>
      <c r="H11" s="495">
        <f>G11*(1+($I$3))</f>
        <v>1282.2</v>
      </c>
      <c r="I11" s="496">
        <f>ROUND((F11*H11),2)</f>
        <v>7693.2</v>
      </c>
      <c r="J11" s="497">
        <f t="shared" si="2"/>
        <v>4.0000000000000002E-4</v>
      </c>
      <c r="K11" s="498"/>
      <c r="L11" s="499"/>
      <c r="M11" s="499"/>
    </row>
    <row r="12" spans="1:13" s="500" customFormat="1" ht="75" x14ac:dyDescent="0.25">
      <c r="A12" s="489" t="str">
        <f t="shared" si="3"/>
        <v>1.6</v>
      </c>
      <c r="B12" s="490" t="s">
        <v>723</v>
      </c>
      <c r="C12" s="491" t="s">
        <v>4379</v>
      </c>
      <c r="D12" s="492" t="str">
        <f>IF($C12="DER-ED",VLOOKUP($B12,'DER-ED'!$A:$H,2,FALSE),IF(C12="DER-RD",VLOOKUP($B12,'DER-RD'!$A:$F,2,FALSE),IF($C12="COMP.","&gt;&gt;&gt;&gt;&gt;&gt;&gt;&gt;&gt;&gt; Digite aqui a descrição e apresente a composição detalhada.","← Escolha o Orgão e digite o Código")))</f>
        <v>Unidade de sanitário e vestiário p/ até 20 func. área de 18.15m2, paredes de chapa compens. 12mm e pontalete 8x8cm, piso cimentado, cobert. telha fibroc. 6mm, incl. instalação de luz e cx. de inspeção, conf. projeto (1 utilização)</v>
      </c>
      <c r="E12" s="491" t="str">
        <f>IF($C12="DER-ED",VLOOKUP($B12,'DER-ED'!$A:$H,3,FALSE),IF($C12="DER-RD",LOWER(VLOOKUP($B12,'DER-RD'!$A:$F,3,FALSE)),IF($C12="COMP.","digite"," ")))</f>
        <v>und</v>
      </c>
      <c r="F12" s="493">
        <f>'Mem - Orla'!F13</f>
        <v>1</v>
      </c>
      <c r="G12" s="494">
        <f>IF($C12="DER-ED",VLOOKUP($B12,'DER-ED'!$A:$H,6,FALSE),IF($C12="DER-RD",VLOOKUP($B12,'DER-RD'!$A:$H,7,FALSE),))</f>
        <v>16624.77</v>
      </c>
      <c r="H12" s="495">
        <f t="shared" si="0"/>
        <v>21316.28</v>
      </c>
      <c r="I12" s="496">
        <f t="shared" si="1"/>
        <v>21316.28</v>
      </c>
      <c r="J12" s="497">
        <f t="shared" si="2"/>
        <v>1.1999999999999999E-3</v>
      </c>
      <c r="K12" s="498" t="s">
        <v>98</v>
      </c>
      <c r="L12" s="499"/>
      <c r="M12" s="499"/>
    </row>
    <row r="13" spans="1:13" s="500" customFormat="1" ht="45" x14ac:dyDescent="0.25">
      <c r="A13" s="489" t="str">
        <f t="shared" si="3"/>
        <v>1.7</v>
      </c>
      <c r="B13" s="490" t="s">
        <v>732</v>
      </c>
      <c r="C13" s="491" t="s">
        <v>4379</v>
      </c>
      <c r="D13" s="492" t="str">
        <f>IF($C13="DER-ED",VLOOKUP($B13,'DER-ED'!$A:$H,2,FALSE),IF(C13="DER-RD",VLOOKUP($B13,'DER-RD'!$A:$F,2,FALSE),IF($C13="COMP.","&gt;&gt;&gt;&gt;&gt;&gt;&gt;&gt;&gt;&gt; Digite aqui a descrição e apresente a composição detalhada.","← Escolha o Orgão e digite o Código")))</f>
        <v>Reservatório de poliestileno de 500L, incl. suporte em madeira de 7x12cm e 5x7cm, elevado de 4m, conf. projeto (1 utilização)</v>
      </c>
      <c r="E13" s="491" t="str">
        <f>IF($C13="DER-ED",VLOOKUP($B13,'DER-ED'!$A:$H,3,FALSE),IF($C13="DER-RD",LOWER(VLOOKUP($B13,'DER-RD'!$A:$F,3,FALSE)),IF($C13="COMP.","digite"," ")))</f>
        <v>und</v>
      </c>
      <c r="F13" s="493">
        <f>'Mem - Orla'!F14</f>
        <v>1</v>
      </c>
      <c r="G13" s="494">
        <f>IF($C13="DER-ED",VLOOKUP($B13,'DER-ED'!$A:$H,6,FALSE),IF($C13="DER-RD",VLOOKUP($B13,'DER-RD'!$A:$H,7,FALSE),))</f>
        <v>2719.43</v>
      </c>
      <c r="H13" s="495">
        <f t="shared" si="0"/>
        <v>3486.85</v>
      </c>
      <c r="I13" s="496">
        <f t="shared" si="1"/>
        <v>3486.85</v>
      </c>
      <c r="J13" s="497">
        <f t="shared" si="2"/>
        <v>2.0000000000000001E-4</v>
      </c>
      <c r="K13" s="498"/>
      <c r="L13" s="499"/>
      <c r="M13" s="499"/>
    </row>
    <row r="14" spans="1:13" s="500" customFormat="1" ht="60" x14ac:dyDescent="0.25">
      <c r="A14" s="489" t="str">
        <f t="shared" ref="A14:A17" si="4">CONCATENATE($A$6,".",RIGHT(A13,LEN(A13)-2)+1)</f>
        <v>1.8</v>
      </c>
      <c r="B14" s="490" t="s">
        <v>736</v>
      </c>
      <c r="C14" s="491" t="s">
        <v>4379</v>
      </c>
      <c r="D14" s="492" t="str">
        <f>IF($C14="DER-ED",VLOOKUP($B14,'DER-ED'!$A:$H,2,FALSE),IF(C14="DER-RD",VLOOKUP($B14,'DER-RD'!$A:$F,2,FALSE),IF($C14="COMP.","&gt;&gt;&gt;&gt;&gt;&gt;&gt;&gt;&gt;&gt; Digite aqui a descrição e apresente a composição detalhada.","← Escolha o Orgão e digite o Código")))</f>
        <v>Rede de água com padrão de entrada d'água diâm. 3/4", conf. espec. CESAN, incl. tubos e conexões para alimentação, distribuição, extravasor e limpeza, cons. o padrão a 25m, conf. projeto (1 utilização)</v>
      </c>
      <c r="E14" s="491" t="str">
        <f>IF($C14="DER-ED",VLOOKUP($B14,'DER-ED'!$A:$H,3,FALSE),IF($C14="DER-RD",LOWER(VLOOKUP($B14,'DER-RD'!$A:$F,3,FALSE)),IF($C14="COMP.","digite"," ")))</f>
        <v>m</v>
      </c>
      <c r="F14" s="493">
        <f>'Mem - Orla'!F15</f>
        <v>25</v>
      </c>
      <c r="G14" s="494">
        <f>IF($C14="DER-ED",VLOOKUP($B14,'DER-ED'!$A:$H,6,FALSE),IF($C14="DER-RD",VLOOKUP($B14,'DER-RD'!$A:$H,7,FALSE),))</f>
        <v>47.52</v>
      </c>
      <c r="H14" s="495">
        <f t="shared" si="0"/>
        <v>60.93</v>
      </c>
      <c r="I14" s="496">
        <f t="shared" si="1"/>
        <v>1523.25</v>
      </c>
      <c r="J14" s="497">
        <f t="shared" si="2"/>
        <v>1E-4</v>
      </c>
      <c r="K14" s="498"/>
      <c r="L14" s="499"/>
      <c r="M14" s="499"/>
    </row>
    <row r="15" spans="1:13" s="500" customFormat="1" ht="60" x14ac:dyDescent="0.25">
      <c r="A15" s="489" t="str">
        <f t="shared" si="4"/>
        <v>1.9</v>
      </c>
      <c r="B15" s="490" t="s">
        <v>737</v>
      </c>
      <c r="C15" s="491" t="s">
        <v>4379</v>
      </c>
      <c r="D15" s="492" t="str">
        <f>IF($C15="DER-ED",VLOOKUP($B15,'DER-ED'!$A:$H,2,FALSE),IF(C15="DER-RD",VLOOKUP($B15,'DER-RD'!$A:$F,2,FALSE),IF($C15="COMP.","&gt;&gt;&gt;&gt;&gt;&gt;&gt;&gt;&gt;&gt; Digite aqui a descrição e apresente a composição detalhada.","← Escolha o Orgão e digite o Código")))</f>
        <v>Rede de luz, incl. padrão entrada de energia trifás., cabo de ligação até barracões, quadro de distrib., disj. e chave de força (quando necessário), cons. 20m entre padrão entrada e QDG, conf. projeto (1 utilização)</v>
      </c>
      <c r="E15" s="491" t="str">
        <f>IF($C15="DER-ED",VLOOKUP($B15,'DER-ED'!$A:$H,3,FALSE),IF($C15="DER-RD",LOWER(VLOOKUP($B15,'DER-RD'!$A:$F,3,FALSE)),IF($C15="COMP.","digite"," ")))</f>
        <v>m</v>
      </c>
      <c r="F15" s="493">
        <f>'Mem - Orla'!F16</f>
        <v>20</v>
      </c>
      <c r="G15" s="494">
        <f>IF($C15="DER-ED",VLOOKUP($B15,'DER-ED'!$A:$H,6,FALSE),IF($C15="DER-RD",VLOOKUP($B15,'DER-RD'!$A:$H,7,FALSE),))</f>
        <v>649.57000000000005</v>
      </c>
      <c r="H15" s="495">
        <f t="shared" si="0"/>
        <v>832.88</v>
      </c>
      <c r="I15" s="496">
        <f t="shared" si="1"/>
        <v>16657.599999999999</v>
      </c>
      <c r="J15" s="497">
        <f t="shared" si="2"/>
        <v>8.9999999999999998E-4</v>
      </c>
      <c r="K15" s="498"/>
      <c r="L15" s="499"/>
      <c r="M15" s="499"/>
    </row>
    <row r="16" spans="1:13" s="500" customFormat="1" ht="45" x14ac:dyDescent="0.25">
      <c r="A16" s="489" t="str">
        <f t="shared" si="4"/>
        <v>1.10</v>
      </c>
      <c r="B16" s="490" t="s">
        <v>738</v>
      </c>
      <c r="C16" s="491" t="s">
        <v>4379</v>
      </c>
      <c r="D16" s="492" t="str">
        <f>IF($C16="DER-ED",VLOOKUP($B16,'DER-ED'!$A:$H,2,FALSE),IF(C16="DER-RD",VLOOKUP($B16,'DER-RD'!$A:$F,2,FALSE),IF($C16="COMP.","&gt;&gt;&gt;&gt;&gt;&gt;&gt;&gt;&gt;&gt; Digite aqui a descrição e apresente a composição detalhada.","← Escolha o Orgão e digite o Código")))</f>
        <v>Rede de esgoto, contendo fossa e filtro, inclusive tubos e conexões de ligação entre caixas, considerando distância de 25m, conforme projeto (1 utilização)</v>
      </c>
      <c r="E16" s="491" t="str">
        <f>IF($C16="DER-ED",VLOOKUP($B16,'DER-ED'!$A:$H,3,FALSE),IF($C16="DER-RD",LOWER(VLOOKUP($B16,'DER-RD'!$A:$F,3,FALSE)),IF($C16="COMP.","digite"," ")))</f>
        <v>m</v>
      </c>
      <c r="F16" s="493">
        <f>'Mem - Orla'!F17</f>
        <v>25</v>
      </c>
      <c r="G16" s="494">
        <f>IF($C16="DER-ED",VLOOKUP($B16,'DER-ED'!$A:$H,6,FALSE),IF($C16="DER-RD",VLOOKUP($B16,'DER-RD'!$A:$H,7,FALSE),))</f>
        <v>348.57</v>
      </c>
      <c r="H16" s="495">
        <f>G16*(1+($I$3))</f>
        <v>446.94</v>
      </c>
      <c r="I16" s="496">
        <f t="shared" si="1"/>
        <v>11173.5</v>
      </c>
      <c r="J16" s="497">
        <f t="shared" si="2"/>
        <v>5.9999999999999995E-4</v>
      </c>
      <c r="K16" s="498"/>
      <c r="L16" s="499"/>
      <c r="M16" s="499"/>
    </row>
    <row r="17" spans="1:15" s="500" customFormat="1" ht="45" x14ac:dyDescent="0.25">
      <c r="A17" s="489" t="str">
        <f t="shared" si="4"/>
        <v>1.11</v>
      </c>
      <c r="B17" s="490" t="s">
        <v>685</v>
      </c>
      <c r="C17" s="491" t="s">
        <v>4379</v>
      </c>
      <c r="D17" s="492" t="str">
        <f>IF($C17="DER-ED",VLOOKUP($B17,'DER-ED'!$A:$H,2,FALSE),IF(C17="DER-RD",VLOOKUP($B17,'DER-RD'!$A:$F,2,FALSE),IF($C17="COMP.","&gt;&gt;&gt;&gt;&gt;&gt;&gt;&gt;&gt;&gt; Digite aqui a descrição e apresente a composição detalhada.","← Escolha o Orgão e digite o Código")))</f>
        <v>Equipe topográfica para serviços simples de locação e nivelamento (incluindo equipamento, transporte e profissionais nivel médio)</v>
      </c>
      <c r="E17" s="491" t="str">
        <f>IF($C17="DER-ED",VLOOKUP($B17,'DER-ED'!$A:$H,3,FALSE),IF($C17="DER-RD",LOWER(VLOOKUP($B17,'DER-RD'!$A:$F,3,FALSE)),IF($C17="COMP.","digite"," ")))</f>
        <v>mês</v>
      </c>
      <c r="F17" s="493">
        <f>'Mem - Orla'!F18</f>
        <v>0.5</v>
      </c>
      <c r="G17" s="494">
        <f>IF($C17="DER-ED",VLOOKUP($B17,'DER-ED'!$A:$H,6,FALSE),IF($C17="DER-RD",VLOOKUP($B17,'DER-RD'!$A:$H,7,FALSE),))</f>
        <v>17193.48</v>
      </c>
      <c r="H17" s="495">
        <f>G17*(1+($I$3))</f>
        <v>22045.48</v>
      </c>
      <c r="I17" s="496">
        <f t="shared" ref="I17" si="5">ROUND((F17*H17),2)</f>
        <v>11022.74</v>
      </c>
      <c r="J17" s="497">
        <f t="shared" si="2"/>
        <v>5.9999999999999995E-4</v>
      </c>
      <c r="K17" s="498"/>
      <c r="L17" s="499"/>
      <c r="M17" s="499"/>
    </row>
    <row r="18" spans="1:15" x14ac:dyDescent="0.25">
      <c r="A18" s="501"/>
      <c r="B18" s="502"/>
      <c r="C18" s="502"/>
      <c r="D18" s="503"/>
      <c r="E18" s="502"/>
      <c r="F18" s="504"/>
      <c r="G18" s="505"/>
      <c r="H18" s="506"/>
      <c r="I18" s="507"/>
      <c r="J18" s="508"/>
    </row>
    <row r="19" spans="1:15" x14ac:dyDescent="0.25">
      <c r="A19" s="501"/>
      <c r="B19" s="502"/>
      <c r="C19" s="502"/>
      <c r="D19" s="509" t="s">
        <v>534</v>
      </c>
      <c r="E19" s="510"/>
      <c r="F19" s="511"/>
      <c r="G19" s="512"/>
      <c r="H19" s="513"/>
      <c r="I19" s="514">
        <f>I6</f>
        <v>109170.33</v>
      </c>
      <c r="J19" s="515"/>
      <c r="O19" s="516" t="s">
        <v>98</v>
      </c>
    </row>
    <row r="20" spans="1:15" x14ac:dyDescent="0.25">
      <c r="A20" s="501"/>
      <c r="B20" s="502"/>
      <c r="C20" s="502"/>
      <c r="D20" s="509"/>
      <c r="E20" s="510"/>
      <c r="F20" s="511"/>
      <c r="G20" s="512"/>
      <c r="H20" s="513"/>
      <c r="I20" s="514"/>
      <c r="J20" s="515"/>
      <c r="O20" s="516"/>
    </row>
    <row r="21" spans="1:15" x14ac:dyDescent="0.25">
      <c r="A21" s="480">
        <v>2</v>
      </c>
      <c r="B21" s="481"/>
      <c r="C21" s="481"/>
      <c r="D21" s="482" t="s">
        <v>24610</v>
      </c>
      <c r="E21" s="481"/>
      <c r="F21" s="517"/>
      <c r="G21" s="518"/>
      <c r="H21" s="519"/>
      <c r="I21" s="487">
        <f>SUM(I22:I23)</f>
        <v>12320.88</v>
      </c>
      <c r="J21" s="488">
        <f>I21/I159</f>
        <v>6.9999999999999999E-4</v>
      </c>
      <c r="O21" s="516"/>
    </row>
    <row r="22" spans="1:15" ht="30" x14ac:dyDescent="0.25">
      <c r="A22" s="489" t="str">
        <f>CONCATENATE(A21,".",1)</f>
        <v>2.1</v>
      </c>
      <c r="B22" s="490">
        <v>41544</v>
      </c>
      <c r="C22" s="491" t="s">
        <v>4389</v>
      </c>
      <c r="D22" s="492" t="str">
        <f>IF($C22="DER-ED",VLOOKUP($B22,'DER-ED'!$A:$H,2,FALSE),IF(C22="DER-RD",VLOOKUP($B22,'DER-RD'!$A:$F,2,FALSE),IF($C22="COMP.","&gt;&gt;&gt;&gt;&gt;&gt;&gt;&gt;&gt;&gt; Digite aqui a descrição e apresente a composição detalhada.","← Escolha o Orgão e digite o Código")))</f>
        <v>Mobilização e desmobilização de equipamentos com carreta prancha (máximo)</v>
      </c>
      <c r="E22" s="491" t="str">
        <f>IF($C22="DER-ED",VLOOKUP($B22,'DER-ED'!$A:$H,3,FALSE),IF($C22="DER-RD",LOWER(VLOOKUP($B22,'DER-RD'!$A:$F,3,FALSE)),IF($C22="COMP.","digite"," ")))</f>
        <v>h</v>
      </c>
      <c r="F22" s="493">
        <f>'Mem - Orla'!F20</f>
        <v>16</v>
      </c>
      <c r="G22" s="494">
        <f>IF($C22="DER-ED",VLOOKUP($B22,'DER-ED'!$A:$H,6,FALSE),IF($C22="DER-RD",VLOOKUP($B22,'DER-RD'!$A:$H,7,FALSE),))</f>
        <v>425.57</v>
      </c>
      <c r="H22" s="495">
        <f>G22*(1+($I$3))</f>
        <v>545.66999999999996</v>
      </c>
      <c r="I22" s="496">
        <f>ROUND((F22*H22),2)</f>
        <v>8730.7199999999993</v>
      </c>
      <c r="J22" s="497">
        <f>I22/$I$159</f>
        <v>5.0000000000000001E-4</v>
      </c>
      <c r="O22" s="516"/>
    </row>
    <row r="23" spans="1:15" ht="30" x14ac:dyDescent="0.25">
      <c r="A23" s="489" t="str">
        <f>CONCATENATE($A$21,".",RIGHT(A22,LEN(A22)-2)+1)</f>
        <v>2.2</v>
      </c>
      <c r="B23" s="490" t="s">
        <v>697</v>
      </c>
      <c r="C23" s="491" t="s">
        <v>4379</v>
      </c>
      <c r="D23" s="492" t="str">
        <f>IF($C23="DER-ED",VLOOKUP($B23,'DER-ED'!$A:$H,2,FALSE),IF(C23="DER-RD",VLOOKUP($B23,'DER-RD'!$A:$F,2,FALSE),IF($C23="COMP.","&gt;&gt;&gt;&gt;&gt;&gt;&gt;&gt;&gt;&gt; Digite aqui a descrição e apresente a composição detalhada.","← Escolha o Orgão e digite o Código")))</f>
        <v>Mobilização e desmobilização de conteiner locado para barracão de obra</v>
      </c>
      <c r="E23" s="491" t="str">
        <f>IF($C23="DER-ED",VLOOKUP($B23,'DER-ED'!$A:$H,3,FALSE),IF($C23="DER-RD",LOWER(VLOOKUP($B23,'DER-RD'!$A:$F,3,FALSE)),IF($C23="COMP.","digite"," ")))</f>
        <v>und</v>
      </c>
      <c r="F23" s="493">
        <f>'Mem - Orla'!F21</f>
        <v>2</v>
      </c>
      <c r="G23" s="494">
        <f>IF($C23="DER-ED",VLOOKUP($B23,'DER-ED'!$A:$H,6,FALSE),IF($C23="DER-RD",VLOOKUP($B23,'DER-RD'!$A:$H,7,FALSE),))</f>
        <v>1400</v>
      </c>
      <c r="H23" s="495">
        <f>G23*(1+($I$3))</f>
        <v>1795.08</v>
      </c>
      <c r="I23" s="496">
        <f>ROUND((F23*H23),2)</f>
        <v>3590.16</v>
      </c>
      <c r="J23" s="497">
        <f>I23/$I$159</f>
        <v>2.0000000000000001E-4</v>
      </c>
      <c r="O23" s="516"/>
    </row>
    <row r="24" spans="1:15" x14ac:dyDescent="0.25">
      <c r="A24" s="489"/>
      <c r="B24" s="490"/>
      <c r="C24" s="491"/>
      <c r="D24" s="492"/>
      <c r="E24" s="491"/>
      <c r="F24" s="493"/>
      <c r="G24" s="494"/>
      <c r="H24" s="495"/>
      <c r="I24" s="496"/>
      <c r="J24" s="497"/>
      <c r="O24" s="516"/>
    </row>
    <row r="25" spans="1:15" x14ac:dyDescent="0.25">
      <c r="A25" s="501"/>
      <c r="B25" s="502"/>
      <c r="C25" s="502"/>
      <c r="D25" s="509" t="s">
        <v>24961</v>
      </c>
      <c r="E25" s="510"/>
      <c r="F25" s="511"/>
      <c r="G25" s="512"/>
      <c r="H25" s="513"/>
      <c r="I25" s="514">
        <f>I21</f>
        <v>12320.88</v>
      </c>
      <c r="J25" s="515"/>
      <c r="O25" s="516" t="s">
        <v>98</v>
      </c>
    </row>
    <row r="26" spans="1:15" x14ac:dyDescent="0.25">
      <c r="A26" s="501"/>
      <c r="B26" s="502"/>
      <c r="C26" s="502"/>
      <c r="D26" s="509"/>
      <c r="E26" s="510"/>
      <c r="F26" s="511"/>
      <c r="G26" s="512"/>
      <c r="H26" s="513"/>
      <c r="I26" s="514"/>
      <c r="J26" s="515"/>
      <c r="O26" s="516"/>
    </row>
    <row r="27" spans="1:15" s="522" customFormat="1" x14ac:dyDescent="0.25">
      <c r="A27" s="480">
        <v>3</v>
      </c>
      <c r="B27" s="481"/>
      <c r="C27" s="481"/>
      <c r="D27" s="482" t="s">
        <v>24606</v>
      </c>
      <c r="E27" s="481"/>
      <c r="F27" s="517"/>
      <c r="G27" s="518"/>
      <c r="H27" s="519"/>
      <c r="I27" s="487">
        <f>SUM(I28:I32)</f>
        <v>131463.25</v>
      </c>
      <c r="J27" s="488">
        <f>I27/I159</f>
        <v>7.4000000000000003E-3</v>
      </c>
      <c r="K27" s="520"/>
      <c r="L27" s="521"/>
      <c r="M27" s="521"/>
      <c r="O27" s="523"/>
    </row>
    <row r="28" spans="1:15" x14ac:dyDescent="0.25">
      <c r="A28" s="489" t="str">
        <f>CONCATENATE(A27,".",1)</f>
        <v>3.1</v>
      </c>
      <c r="B28" s="490">
        <v>42046</v>
      </c>
      <c r="C28" s="491" t="s">
        <v>4389</v>
      </c>
      <c r="D28" s="492" t="str">
        <f>IF($C28="DER-ED",VLOOKUP($B28,'DER-ED'!$A:$H,2,FALSE),IF(C28="DER-RD",VLOOKUP($B28,'DER-RD'!$A:$F,2,FALSE),IF($C28="COMP.","&gt;&gt;&gt;&gt;&gt;&gt;&gt;&gt;&gt;&gt; Digite aqui a descrição e apresente a composição detalhada.","← Escolha o Orgão e digite o Código")))</f>
        <v>Cones para sinalização, fornecimento e colocação</v>
      </c>
      <c r="E28" s="491" t="str">
        <f>IF($C28="DER-ED",VLOOKUP($B28,'DER-ED'!$A:$H,3,FALSE),IF($C28="DER-RD",LOWER(VLOOKUP($B28,'DER-RD'!$A:$F,3,FALSE)),IF($C28="COMP.","digite"," ")))</f>
        <v>ud</v>
      </c>
      <c r="F28" s="493">
        <f>'Mem - Orla'!F23</f>
        <v>135</v>
      </c>
      <c r="G28" s="494">
        <f>IF($C28="DER-ED",VLOOKUP($B28,'DER-ED'!$A:$H,6,FALSE),IF($C28="DER-RD",VLOOKUP($B28,'DER-RD'!$A:$H,7,FALSE),))</f>
        <v>127.07</v>
      </c>
      <c r="H28" s="495">
        <f>G28*(1+($I$3))</f>
        <v>162.93</v>
      </c>
      <c r="I28" s="496">
        <f>ROUND((F28*H28),2)</f>
        <v>21995.55</v>
      </c>
      <c r="J28" s="497">
        <f>I28/$I$159</f>
        <v>1.1999999999999999E-3</v>
      </c>
      <c r="O28" s="516"/>
    </row>
    <row r="29" spans="1:15" ht="30" x14ac:dyDescent="0.25">
      <c r="A29" s="489" t="str">
        <f>CONCATENATE($A$27,".",RIGHT(A28,LEN(A28)-2)+1)</f>
        <v>3.2</v>
      </c>
      <c r="B29" s="490">
        <v>43088</v>
      </c>
      <c r="C29" s="491" t="s">
        <v>4389</v>
      </c>
      <c r="D29" s="492" t="str">
        <f>IF($C29="DER-ED",VLOOKUP($B29,'DER-ED'!$A:$H,2,FALSE),IF(C29="DER-RD",VLOOKUP($B29,'DER-RD'!$A:$F,2,FALSE),IF($C29="COMP.","&gt;&gt;&gt;&gt;&gt;&gt;&gt;&gt;&gt;&gt; Digite aqui a descrição e apresente a composição detalhada.","← Escolha o Orgão e digite o Código")))</f>
        <v>Tela de proteção de segurança de PVC cor laranja com suporte  para sinalização de obras em Vias Urbanas</v>
      </c>
      <c r="E29" s="491" t="str">
        <f>IF($C29="DER-ED",VLOOKUP($B29,'DER-ED'!$A:$H,3,FALSE),IF($C29="DER-RD",LOWER(VLOOKUP($B29,'DER-RD'!$A:$F,3,FALSE)),IF($C29="COMP.","digite"," ")))</f>
        <v>m</v>
      </c>
      <c r="F29" s="493">
        <f>'Mem - Orla'!F24</f>
        <v>1220</v>
      </c>
      <c r="G29" s="494">
        <f>IF($C29="DER-ED",VLOOKUP($B29,'DER-ED'!$A:$H,6,FALSE),IF($C29="DER-RD",VLOOKUP($B29,'DER-RD'!$A:$H,7,FALSE),))</f>
        <v>21.34</v>
      </c>
      <c r="H29" s="495">
        <f>G29*(1+($I$3))</f>
        <v>27.36</v>
      </c>
      <c r="I29" s="496">
        <f>ROUND((F29*H29),2)</f>
        <v>33379.199999999997</v>
      </c>
      <c r="J29" s="497">
        <f>I29/$I$159</f>
        <v>1.9E-3</v>
      </c>
      <c r="O29" s="516"/>
    </row>
    <row r="30" spans="1:15" ht="45" x14ac:dyDescent="0.25">
      <c r="A30" s="489" t="str">
        <f>CONCATENATE($A$27,".",RIGHT(A29,LEN(A29)-2)+1)</f>
        <v>3.3</v>
      </c>
      <c r="B30" s="490">
        <v>100882</v>
      </c>
      <c r="C30" s="491" t="s">
        <v>4389</v>
      </c>
      <c r="D30" s="492" t="str">
        <f>IF($C30="DER-ED",VLOOKUP($B30,'DER-ED'!$A:$H,2,FALSE),IF(C30="DER-RD",VLOOKUP($B30,'DER-RD'!$A:$F,2,FALSE),IF($C30="COMP.","&gt;&gt;&gt;&gt;&gt;&gt;&gt;&gt;&gt;&gt; Digite aqui a descrição e apresente a composição detalhada.","← Escolha o Orgão e digite o Código")))</f>
        <v>Tapume Telha Metálica Ondulada 0,50mm Branca h=2,20m, incl. montagem estr. mad. 8"x8", incl. faixas pint. esmalte sintético c/ h=40cm (Reaproveitamento 2x)</v>
      </c>
      <c r="E30" s="491" t="str">
        <f>IF($C30="DER-ED",VLOOKUP($B30,'DER-ED'!$A:$H,3,FALSE),IF($C30="DER-RD",LOWER(VLOOKUP($B30,'DER-RD'!$A:$F,3,FALSE)),IF($C30="COMP.","digite"," ")))</f>
        <v>m</v>
      </c>
      <c r="F30" s="493">
        <f>'Mem - Orla'!F25</f>
        <v>220</v>
      </c>
      <c r="G30" s="494">
        <f>IF($C30="DER-ED",VLOOKUP($B30,'DER-ED'!$A:$H,6,FALSE),IF($C30="DER-RD",VLOOKUP($B30,'DER-RD'!$A:$H,7,FALSE),))</f>
        <v>186.51</v>
      </c>
      <c r="H30" s="495">
        <f>G30*(1+($I$3))</f>
        <v>239.14</v>
      </c>
      <c r="I30" s="496">
        <f>ROUND((F30*H30),2)</f>
        <v>52610.8</v>
      </c>
      <c r="J30" s="497">
        <f>I30/$I$159</f>
        <v>3.0000000000000001E-3</v>
      </c>
      <c r="O30" s="516"/>
    </row>
    <row r="31" spans="1:15" x14ac:dyDescent="0.25">
      <c r="A31" s="489" t="str">
        <f>CONCATENATE($A$27,".",RIGHT(A30,LEN(A30)-2)+1)</f>
        <v>3.4</v>
      </c>
      <c r="B31" s="490">
        <v>40094</v>
      </c>
      <c r="C31" s="491" t="s">
        <v>4389</v>
      </c>
      <c r="D31" s="492" t="str">
        <f>IF($C31="DER-ED",VLOOKUP($B31,'DER-ED'!$A:$H,2,FALSE),IF(C31="DER-RD",VLOOKUP($B31,'DER-RD'!$A:$F,2,FALSE),IF($C31="COMP.","&gt;&gt;&gt;&gt;&gt;&gt;&gt;&gt;&gt;&gt; Digite aqui a descrição e apresente a composição detalhada.","← Escolha o Orgão e digite o Código")))</f>
        <v>Placas de sinalização, assentamento</v>
      </c>
      <c r="E31" s="491" t="str">
        <f>IF($C31="DER-ED",VLOOKUP($B31,'DER-ED'!$A:$H,3,FALSE),IF($C31="DER-RD",LOWER(VLOOKUP($B31,'DER-RD'!$A:$F,3,FALSE)),IF($C31="COMP.","digite"," ")))</f>
        <v>m2</v>
      </c>
      <c r="F31" s="493">
        <f>'Mem - Orla'!F26</f>
        <v>10</v>
      </c>
      <c r="G31" s="494">
        <f>IF($C31="DER-ED",VLOOKUP($B31,'DER-ED'!$A:$H,6,FALSE),IF($C31="DER-RD",VLOOKUP($B31,'DER-RD'!$A:$H,7,FALSE),))</f>
        <v>92.68</v>
      </c>
      <c r="H31" s="495">
        <f>G31*(1+($I$3))</f>
        <v>118.83</v>
      </c>
      <c r="I31" s="496">
        <f>ROUND((F31*H31),2)</f>
        <v>1188.3</v>
      </c>
      <c r="J31" s="497">
        <f>I31/$I$159</f>
        <v>1E-4</v>
      </c>
      <c r="O31" s="516"/>
    </row>
    <row r="32" spans="1:15" x14ac:dyDescent="0.25">
      <c r="A32" s="489" t="str">
        <f>CONCATENATE($A$27,".",RIGHT(A31,LEN(A31)-2)+1)</f>
        <v>3.5</v>
      </c>
      <c r="B32" s="490" t="s">
        <v>4404</v>
      </c>
      <c r="C32" s="491" t="s">
        <v>24893</v>
      </c>
      <c r="D32" s="492" t="str">
        <f>'Comp. - Orla'!C2</f>
        <v>Fita zebrada para isolamento de área</v>
      </c>
      <c r="E32" s="491" t="str">
        <f>'Comp. - Orla'!C3</f>
        <v>m</v>
      </c>
      <c r="F32" s="493">
        <f>'Mem - Orla'!F27</f>
        <v>1220</v>
      </c>
      <c r="G32" s="494">
        <f>'Comp. - Orla'!N36</f>
        <v>14.25</v>
      </c>
      <c r="H32" s="495">
        <f>G32*(1+($I$3))</f>
        <v>18.27</v>
      </c>
      <c r="I32" s="496">
        <f>ROUND((F32*H32),2)</f>
        <v>22289.4</v>
      </c>
      <c r="J32" s="497">
        <f>I32/$I$159</f>
        <v>1.2999999999999999E-3</v>
      </c>
      <c r="O32" s="516"/>
    </row>
    <row r="33" spans="1:15" x14ac:dyDescent="0.25">
      <c r="A33" s="524"/>
      <c r="B33" s="525"/>
      <c r="C33" s="526"/>
      <c r="D33" s="527"/>
      <c r="E33" s="526"/>
      <c r="F33" s="528"/>
      <c r="G33" s="529"/>
      <c r="H33" s="530"/>
      <c r="I33" s="531"/>
      <c r="J33" s="532"/>
      <c r="O33" s="516"/>
    </row>
    <row r="34" spans="1:15" x14ac:dyDescent="0.25">
      <c r="A34" s="501"/>
      <c r="B34" s="502"/>
      <c r="C34" s="502"/>
      <c r="D34" s="509" t="s">
        <v>535</v>
      </c>
      <c r="E34" s="510"/>
      <c r="F34" s="511"/>
      <c r="G34" s="512"/>
      <c r="H34" s="513"/>
      <c r="I34" s="514">
        <f>I27</f>
        <v>131463.25</v>
      </c>
      <c r="J34" s="515"/>
      <c r="O34" s="516"/>
    </row>
    <row r="35" spans="1:15" x14ac:dyDescent="0.25">
      <c r="A35" s="501" t="s">
        <v>98</v>
      </c>
      <c r="B35" s="502"/>
      <c r="C35" s="502" t="s">
        <v>98</v>
      </c>
      <c r="D35" s="502"/>
      <c r="E35" s="502"/>
      <c r="F35" s="533"/>
      <c r="G35" s="534"/>
      <c r="H35" s="535"/>
      <c r="I35" s="507"/>
      <c r="J35" s="508"/>
    </row>
    <row r="36" spans="1:15" x14ac:dyDescent="0.25">
      <c r="A36" s="480">
        <v>4</v>
      </c>
      <c r="B36" s="481"/>
      <c r="C36" s="481"/>
      <c r="D36" s="482" t="s">
        <v>173</v>
      </c>
      <c r="E36" s="483"/>
      <c r="F36" s="484"/>
      <c r="G36" s="485"/>
      <c r="H36" s="486"/>
      <c r="I36" s="487">
        <f>SUBTOTAL(9,I37:I51)</f>
        <v>802254.73</v>
      </c>
      <c r="J36" s="488">
        <f>I36/I159</f>
        <v>4.5499999999999999E-2</v>
      </c>
    </row>
    <row r="37" spans="1:15" s="541" customFormat="1" ht="30" x14ac:dyDescent="0.25">
      <c r="A37" s="489" t="str">
        <f>CONCATENATE(A36,".",1)</f>
        <v>4.1</v>
      </c>
      <c r="B37" s="490" t="s">
        <v>553</v>
      </c>
      <c r="C37" s="491" t="s">
        <v>4379</v>
      </c>
      <c r="D37" s="492" t="str">
        <f>IF($C37="DER-ED",VLOOKUP($B37,'DER-ED'!$A:$H,2,FALSE),IF(C37="DER-RD",VLOOKUP($B37,'DER-RD'!$A:$F,2,FALSE),IF($C37="COMP.","&gt;&gt;&gt;&gt;&gt;&gt;&gt;&gt;&gt;&gt; Digite aqui a descrição e apresente a composição detalhada.","← Escolha o Orgão e digite o Código")))</f>
        <v>Demolição de piso cimentado inclusive lastro de concreto</v>
      </c>
      <c r="E37" s="491" t="str">
        <f>IF($C37="DER-ED",VLOOKUP($B37,'DER-ED'!$A:$H,3,FALSE),IF($C37="DER-RD",LOWER(VLOOKUP($B37,'DER-RD'!$A:$F,3,FALSE)),IF($C37="COMP.","digite"," ")))</f>
        <v>m2</v>
      </c>
      <c r="F37" s="1277">
        <f>'Mem - Orla'!F29</f>
        <v>11601.44</v>
      </c>
      <c r="G37" s="494">
        <f>IF($C37="DER-ED",VLOOKUP($B37,'DER-ED'!$A:$H,6,FALSE),IF($C37="DER-RD",VLOOKUP($B37,'DER-RD'!$A:$H,7,FALSE),))</f>
        <v>20.75</v>
      </c>
      <c r="H37" s="495">
        <f t="shared" ref="H37:H47" si="6">G37*(1+($I$3))</f>
        <v>26.61</v>
      </c>
      <c r="I37" s="496">
        <f t="shared" ref="I37:I47" si="7">ROUND((F37*H37),2)</f>
        <v>308714.32</v>
      </c>
      <c r="J37" s="497">
        <f t="shared" ref="J37:J51" si="8">I37/$I$159</f>
        <v>1.7500000000000002E-2</v>
      </c>
      <c r="K37" s="539"/>
      <c r="L37" s="540"/>
      <c r="M37" s="540"/>
    </row>
    <row r="38" spans="1:15" ht="45" x14ac:dyDescent="0.25">
      <c r="A38" s="489" t="str">
        <f t="shared" ref="A38:A51" si="9">CONCATENATE($A$36,".",RIGHT(A37,LEN(A37)-2)+1)</f>
        <v>4.2</v>
      </c>
      <c r="B38" s="502" t="s">
        <v>4404</v>
      </c>
      <c r="C38" s="502" t="s">
        <v>24894</v>
      </c>
      <c r="D38" s="537" t="str">
        <f>'Comp. - Orla'!C42</f>
        <v>Demolição de edificação existente (hora de máquina - pá carregadeira) - (Demolição de quiosques existentes (1,5 h/und))</v>
      </c>
      <c r="E38" s="502" t="str">
        <f>'Comp. - Orla'!C43</f>
        <v>un</v>
      </c>
      <c r="F38" s="538">
        <f>'Mem - Orla'!F30</f>
        <v>12</v>
      </c>
      <c r="G38" s="534">
        <f>'Comp. - Orla'!N76</f>
        <v>181.34</v>
      </c>
      <c r="H38" s="506">
        <f t="shared" si="6"/>
        <v>232.51</v>
      </c>
      <c r="I38" s="507">
        <f t="shared" si="7"/>
        <v>2790.12</v>
      </c>
      <c r="J38" s="497">
        <f t="shared" si="8"/>
        <v>2.0000000000000001E-4</v>
      </c>
    </row>
    <row r="39" spans="1:15" x14ac:dyDescent="0.25">
      <c r="A39" s="489" t="str">
        <f t="shared" si="9"/>
        <v>4.3</v>
      </c>
      <c r="B39" s="536">
        <v>42870</v>
      </c>
      <c r="C39" s="502" t="s">
        <v>4389</v>
      </c>
      <c r="D39" s="537" t="str">
        <f>IF($C39="DER-ED",VLOOKUP($B39,'DER-ED'!$A:$H,2,FALSE),IF(C39="DER-RD",VLOOKUP($B39,'DER-RD'!$A:$F,2,FALSE),IF($C39="COMP.","&gt;&gt;&gt;&gt;&gt;&gt;&gt;&gt;&gt;&gt; Digite aqui a descrição e apresente a composição detalhada.","← Escolha o Orgão e digite o Código")))</f>
        <v>Demolição mecânica de concreto em Vias Urbanas</v>
      </c>
      <c r="E39" s="502" t="str">
        <f>IF($C39="DER-ED",VLOOKUP($B39,'DER-ED'!$A:$H,3,FALSE),IF($C39="DER-RD",LOWER(VLOOKUP($B39,'DER-RD'!$A:$F,3,FALSE)),IF($C39="COMP.","digite"," ")))</f>
        <v>m3</v>
      </c>
      <c r="F39" s="538">
        <f>'Mem - Orla'!F31</f>
        <v>159.33000000000001</v>
      </c>
      <c r="G39" s="505">
        <f>IF($C39="DER-ED",VLOOKUP($B39,'DER-ED'!$A:$H,6,FALSE),IF($C39="DER-RD",VLOOKUP($B39,'DER-RD'!$A:$H,7,FALSE),))</f>
        <v>200.69</v>
      </c>
      <c r="H39" s="506">
        <f t="shared" ref="H39" si="10">G39*(1+($I$3))</f>
        <v>257.32</v>
      </c>
      <c r="I39" s="507">
        <f t="shared" ref="I39" si="11">ROUND((F39*H39),2)</f>
        <v>40998.800000000003</v>
      </c>
      <c r="J39" s="497">
        <f t="shared" si="8"/>
        <v>2.3E-3</v>
      </c>
    </row>
    <row r="40" spans="1:15" ht="30" x14ac:dyDescent="0.25">
      <c r="A40" s="501" t="str">
        <f>CONCATENATE($A$36,".",RIGHT(A38,LEN(A38)-2)+1)</f>
        <v>4.3</v>
      </c>
      <c r="B40" s="536" t="s">
        <v>681</v>
      </c>
      <c r="C40" s="502" t="s">
        <v>4379</v>
      </c>
      <c r="D40" s="537" t="str">
        <f>IF($C40="DER-ED",VLOOKUP($B40,'DER-ED'!$A:$H,2,FALSE),IF(C40="DER-RD",VLOOKUP($B40,'DER-RD'!$A:$F,2,FALSE),IF($C40="COMP.","&gt;&gt;&gt;&gt;&gt;&gt;&gt;&gt;&gt;&gt; Digite aqui a descrição e apresente a composição detalhada.","← Escolha o Orgão e digite o Código")))</f>
        <v>Corte e destocamento de árvores com diâmetro superior a 30 cm</v>
      </c>
      <c r="E40" s="502" t="str">
        <f>IF($C40="DER-ED",VLOOKUP($B40,'DER-ED'!$A:$H,3,FALSE),IF($C40="DER-RD",LOWER(VLOOKUP($B40,'DER-RD'!$A:$F,3,FALSE)),IF($C40="COMP.","digite"," ")))</f>
        <v>und</v>
      </c>
      <c r="F40" s="538">
        <f>'Mem - Orla'!F32</f>
        <v>38</v>
      </c>
      <c r="G40" s="505">
        <f>IF($C40="DER-ED",VLOOKUP($B40,'DER-ED'!$A:$H,6,FALSE),IF($C40="DER-RD",VLOOKUP($B40,'DER-RD'!$A:$H,7,FALSE),))</f>
        <v>104.81</v>
      </c>
      <c r="H40" s="506">
        <f t="shared" ref="H40" si="12">G40*(1+($I$3))</f>
        <v>134.38999999999999</v>
      </c>
      <c r="I40" s="507">
        <f t="shared" ref="I40" si="13">ROUND((F40*H40),2)</f>
        <v>5106.82</v>
      </c>
      <c r="J40" s="497">
        <f t="shared" si="8"/>
        <v>2.9999999999999997E-4</v>
      </c>
    </row>
    <row r="41" spans="1:15" s="541" customFormat="1" x14ac:dyDescent="0.25">
      <c r="A41" s="489" t="str">
        <f t="shared" si="9"/>
        <v>4.4</v>
      </c>
      <c r="B41" s="490" t="s">
        <v>581</v>
      </c>
      <c r="C41" s="491" t="s">
        <v>4379</v>
      </c>
      <c r="D41" s="492" t="str">
        <f>IF($C41="DER-ED",VLOOKUP($B41,'DER-ED'!$A:$H,2,FALSE),IF(C41="DER-RD",VLOOKUP($B41,'DER-RD'!$A:$F,2,FALSE),IF($C41="COMP.","&gt;&gt;&gt;&gt;&gt;&gt;&gt;&gt;&gt;&gt; Digite aqui a descrição e apresente a composição detalhada.","← Escolha o Orgão e digite o Código")))</f>
        <v>Retirada de meio-fio de concreto</v>
      </c>
      <c r="E41" s="491" t="str">
        <f>IF($C41="DER-ED",VLOOKUP($B41,'DER-ED'!$A:$H,3,FALSE),IF($C41="DER-RD",LOWER(VLOOKUP($B41,'DER-RD'!$A:$F,3,FALSE)),IF($C41="COMP.","digite"," ")))</f>
        <v>m</v>
      </c>
      <c r="F41" s="1277">
        <f>'Mem - Orla'!F33</f>
        <v>2513.6999999999998</v>
      </c>
      <c r="G41" s="494">
        <f>IF($C41="DER-ED",VLOOKUP($B41,'DER-ED'!$A:$H,6,FALSE),IF($C41="DER-RD",VLOOKUP($B41,'DER-RD'!$A:$H,7,FALSE),))</f>
        <v>7.98</v>
      </c>
      <c r="H41" s="495">
        <f t="shared" si="6"/>
        <v>10.23</v>
      </c>
      <c r="I41" s="496">
        <f t="shared" si="7"/>
        <v>25715.15</v>
      </c>
      <c r="J41" s="497">
        <f t="shared" si="8"/>
        <v>1.5E-3</v>
      </c>
      <c r="K41" s="539"/>
      <c r="L41" s="540"/>
      <c r="M41" s="540"/>
    </row>
    <row r="42" spans="1:15" ht="30" x14ac:dyDescent="0.25">
      <c r="A42" s="501" t="str">
        <f t="shared" si="9"/>
        <v>4.5</v>
      </c>
      <c r="B42" s="536">
        <v>42496</v>
      </c>
      <c r="C42" s="502" t="s">
        <v>4389</v>
      </c>
      <c r="D42" s="537" t="str">
        <f>IF($C42="DER-ED",VLOOKUP($B42,'DER-ED'!$A:$H,2,FALSE),IF(C42="DER-RD",VLOOKUP($B42,'DER-RD'!$A:$F,2,FALSE),IF($C42="COMP.","&gt;&gt;&gt;&gt;&gt;&gt;&gt;&gt;&gt;&gt; Digite aqui a descrição e apresente a composição detalhada.","← Escolha o Orgão e digite o Código")))</f>
        <v>Demolição e remoção de pavimento asfáltico em Vias Urbanas</v>
      </c>
      <c r="E42" s="502" t="str">
        <f>IF($C42="DER-ED",VLOOKUP($B42,'DER-ED'!$A:$H,3,FALSE),IF($C42="DER-RD",LOWER(VLOOKUP($B42,'DER-RD'!$A:$F,3,FALSE)),IF($C42="COMP.","digite"," ")))</f>
        <v>m2</v>
      </c>
      <c r="F42" s="538">
        <f>'Mem - Orla'!F34</f>
        <v>15426.69</v>
      </c>
      <c r="G42" s="505">
        <f>IF($C42="DER-ED",VLOOKUP($B42,'DER-ED'!$A:$H,6,FALSE),IF($C42="DER-RD",VLOOKUP($B42,'DER-RD'!$A:$H,7,FALSE),))</f>
        <v>4.0599999999999996</v>
      </c>
      <c r="H42" s="506">
        <f t="shared" si="6"/>
        <v>5.21</v>
      </c>
      <c r="I42" s="507">
        <f t="shared" si="7"/>
        <v>80373.05</v>
      </c>
      <c r="J42" s="497">
        <f t="shared" si="8"/>
        <v>4.5999999999999999E-3</v>
      </c>
    </row>
    <row r="43" spans="1:15" ht="30" x14ac:dyDescent="0.25">
      <c r="A43" s="501" t="str">
        <f t="shared" si="9"/>
        <v>4.6</v>
      </c>
      <c r="B43" s="536" t="s">
        <v>573</v>
      </c>
      <c r="C43" s="502" t="s">
        <v>4379</v>
      </c>
      <c r="D43" s="537" t="str">
        <f>IF($C43="DER-ED",VLOOKUP($B43,'DER-ED'!$A:$H,2,FALSE),IF(C43="DER-RD",VLOOKUP($B43,'DER-RD'!$A:$F,2,FALSE),IF($C43="COMP.","&gt;&gt;&gt;&gt;&gt;&gt;&gt;&gt;&gt;&gt; Digite aqui a descrição e apresente a composição detalhada.","← Escolha o Orgão e digite o Código")))</f>
        <v>Retirada manual de pavimento em paralelepípedos, incluindo empilhamento para reaproveitamento</v>
      </c>
      <c r="E43" s="502" t="str">
        <f>IF($C43="DER-ED",VLOOKUP($B43,'DER-ED'!$A:$H,3,FALSE),IF($C43="DER-RD",LOWER(VLOOKUP($B43,'DER-RD'!$A:$F,3,FALSE)),IF($C43="COMP.","digite"," ")))</f>
        <v>m2</v>
      </c>
      <c r="F43" s="538">
        <f>'Mem - Orla'!F35</f>
        <v>15426.69</v>
      </c>
      <c r="G43" s="505">
        <f>IF($C43="DER-ED",VLOOKUP($B43,'DER-ED'!$A:$H,6,FALSE),IF($C43="DER-RD",VLOOKUP($B43,'DER-RD'!$A:$H,7,FALSE),))</f>
        <v>9.58</v>
      </c>
      <c r="H43" s="506">
        <f t="shared" ref="H43" si="14">G43*(1+($I$3))</f>
        <v>12.28</v>
      </c>
      <c r="I43" s="507">
        <f t="shared" ref="I43" si="15">ROUND((F43*H43),2)</f>
        <v>189439.75</v>
      </c>
      <c r="J43" s="497">
        <f t="shared" si="8"/>
        <v>1.0699999999999999E-2</v>
      </c>
    </row>
    <row r="44" spans="1:15" s="541" customFormat="1" x14ac:dyDescent="0.25">
      <c r="A44" s="489" t="str">
        <f t="shared" si="9"/>
        <v>4.7</v>
      </c>
      <c r="B44" s="490">
        <v>40093</v>
      </c>
      <c r="C44" s="491" t="s">
        <v>4389</v>
      </c>
      <c r="D44" s="492" t="str">
        <f>IF($C44="DER-ED",VLOOKUP($B44,'DER-ED'!$A:$H,2,FALSE),IF(C44="DER-RD",VLOOKUP($B44,'DER-RD'!$A:$F,2,FALSE),IF($C44="COMP.","&gt;&gt;&gt;&gt;&gt;&gt;&gt;&gt;&gt;&gt; Digite aqui a descrição e apresente a composição detalhada.","← Escolha o Orgão e digite o Código")))</f>
        <v>Retirada de placas de sinalização</v>
      </c>
      <c r="E44" s="491" t="str">
        <f>IF($C44="DER-ED",VLOOKUP($B44,'DER-ED'!$A:$H,3,FALSE),IF($C44="DER-RD",LOWER(VLOOKUP($B44,'DER-RD'!$A:$F,3,FALSE)),IF($C44="COMP.","digite"," ")))</f>
        <v>m2</v>
      </c>
      <c r="F44" s="1277">
        <f>'Mem - Orla'!F36</f>
        <v>14.56</v>
      </c>
      <c r="G44" s="494">
        <f>IF($C44="DER-ED",VLOOKUP($B44,'DER-ED'!$A:$H,6,FALSE),IF($C44="DER-RD",VLOOKUP($B44,'DER-RD'!$A:$H,7,FALSE),))</f>
        <v>85.35</v>
      </c>
      <c r="H44" s="495">
        <f t="shared" ref="H44" si="16">G44*(1+($I$3))</f>
        <v>109.44</v>
      </c>
      <c r="I44" s="496">
        <f t="shared" ref="I44" si="17">ROUND((F44*H44),2)</f>
        <v>1593.45</v>
      </c>
      <c r="J44" s="497">
        <f t="shared" si="8"/>
        <v>1E-4</v>
      </c>
      <c r="K44" s="539"/>
      <c r="L44" s="540"/>
      <c r="M44" s="540"/>
    </row>
    <row r="45" spans="1:15" x14ac:dyDescent="0.25">
      <c r="A45" s="501" t="str">
        <f t="shared" si="9"/>
        <v>4.8</v>
      </c>
      <c r="B45" s="536" t="s">
        <v>4404</v>
      </c>
      <c r="C45" s="502" t="s">
        <v>24895</v>
      </c>
      <c r="D45" s="537" t="str">
        <f>'Comp. - Orla'!C82</f>
        <v>Retirada de balizador de concreto</v>
      </c>
      <c r="E45" s="502" t="str">
        <f>'Comp. - Orla'!C83</f>
        <v>un</v>
      </c>
      <c r="F45" s="538">
        <f>'Mem - Orla'!F37</f>
        <v>30</v>
      </c>
      <c r="G45" s="505">
        <f>'Comp. - Orla'!N115</f>
        <v>148.29</v>
      </c>
      <c r="H45" s="506">
        <f t="shared" ref="H45" si="18">G45*(1+($I$3))</f>
        <v>190.14</v>
      </c>
      <c r="I45" s="507">
        <f t="shared" ref="I45" si="19">ROUND((F45*H45),2)</f>
        <v>5704.2</v>
      </c>
      <c r="J45" s="497">
        <f t="shared" si="8"/>
        <v>2.9999999999999997E-4</v>
      </c>
    </row>
    <row r="46" spans="1:15" s="541" customFormat="1" x14ac:dyDescent="0.25">
      <c r="A46" s="501" t="str">
        <f t="shared" si="9"/>
        <v>4.9</v>
      </c>
      <c r="B46" s="490">
        <v>42512</v>
      </c>
      <c r="C46" s="491" t="s">
        <v>4389</v>
      </c>
      <c r="D46" s="492" t="str">
        <f>IF($C46="DER-ED",VLOOKUP($B46,'DER-ED'!$A:$H,2,FALSE),IF(C46="DER-RD",VLOOKUP($B46,'DER-RD'!$A:$F,2,FALSE),IF($C46="COMP.","&gt;&gt;&gt;&gt;&gt;&gt;&gt;&gt;&gt;&gt; Digite aqui a descrição e apresente a composição detalhada.","← Escolha o Orgão e digite o Código")))</f>
        <v>Carga de material de 1ª categoria em Vias Urbanas</v>
      </c>
      <c r="E46" s="491" t="str">
        <f>IF($C46="DER-ED",VLOOKUP($B46,'DER-ED'!$A:$H,3,FALSE),IF($C46="DER-RD",LOWER(VLOOKUP($B46,'DER-RD'!$A:$F,3,FALSE)),IF($C46="COMP.","digite"," ")))</f>
        <v>m3</v>
      </c>
      <c r="F46" s="538">
        <f>'Mem - Orla'!F38</f>
        <v>3360.31</v>
      </c>
      <c r="G46" s="494">
        <f>IF($C46="DER-ED",VLOOKUP($B46,'DER-ED'!$A:$H,6,FALSE),IF($C46="DER-RD",VLOOKUP($B46,'DER-RD'!$A:$H,7,FALSE),))</f>
        <v>3.81</v>
      </c>
      <c r="H46" s="495">
        <f t="shared" si="6"/>
        <v>4.8899999999999997</v>
      </c>
      <c r="I46" s="496">
        <f t="shared" si="7"/>
        <v>16431.919999999998</v>
      </c>
      <c r="J46" s="497">
        <f t="shared" si="8"/>
        <v>8.9999999999999998E-4</v>
      </c>
      <c r="K46" s="539"/>
      <c r="L46" s="540"/>
      <c r="M46" s="540"/>
    </row>
    <row r="47" spans="1:15" s="541" customFormat="1" ht="48" customHeight="1" x14ac:dyDescent="0.25">
      <c r="A47" s="501" t="str">
        <f t="shared" si="9"/>
        <v>4.10</v>
      </c>
      <c r="B47" s="491">
        <v>60020</v>
      </c>
      <c r="C47" s="491" t="s">
        <v>4389</v>
      </c>
      <c r="D47" s="492" t="str">
        <f>IF($C47="DER-ED",VLOOKUP($B47,'DER-ED'!$A:$H,2,FALSE),IF(C47="DER-RD",VLOOKUP($B47,'DER-RD'!$A:$F,2,FALSE),IF($C47="COMP.","&gt;&gt;&gt;&gt;&gt;&gt;&gt;&gt;&gt;&gt; Digite aqui a descrição e apresente a composição detalhada.","← Escolha o Orgão e digite o Código")))</f>
        <v>LOCAL COM DMT DE 3,1 A 5,0 KM (Caminhão basculante) - 0,947XINCC-MXP+1,065XINCC-MXR+1,929XINCC-M - XP=2,0km, XR=1,5km</v>
      </c>
      <c r="E47" s="491" t="str">
        <f>IF($C47="DER-ED",VLOOKUP($B47,'DER-ED'!$A:$H,3,FALSE),IF($C47="DER-RD",LOWER(VLOOKUP($B47,'DER-RD'!$A:$F,3,FALSE)),IF($C47="COMP.","digite"," ")))</f>
        <v>t</v>
      </c>
      <c r="F47" s="538">
        <f>'Mem - Orla'!F44</f>
        <v>1187.3900000000001</v>
      </c>
      <c r="G47" s="494">
        <f>IF($C47="DER-ED",VLOOKUP($B47,'DER-ED'!$A:$H,6,FALSE),IF($C47="DER-RD",VLOOKUP($B47,'DER-RD'!$A:$H,7,FALSE),))</f>
        <v>5.95</v>
      </c>
      <c r="H47" s="495">
        <f t="shared" si="6"/>
        <v>7.63</v>
      </c>
      <c r="I47" s="496">
        <f t="shared" si="7"/>
        <v>9059.7900000000009</v>
      </c>
      <c r="J47" s="497">
        <f t="shared" si="8"/>
        <v>5.0000000000000001E-4</v>
      </c>
      <c r="K47" s="539"/>
      <c r="L47" s="540"/>
      <c r="M47" s="540"/>
    </row>
    <row r="48" spans="1:15" ht="60" x14ac:dyDescent="0.25">
      <c r="A48" s="501" t="str">
        <f t="shared" si="9"/>
        <v>4.11</v>
      </c>
      <c r="B48" s="536" t="s">
        <v>797</v>
      </c>
      <c r="C48" s="502" t="s">
        <v>4379</v>
      </c>
      <c r="D48" s="537" t="str">
        <f>IF($C48="DER-ED",VLOOKUP($B48,'DER-ED'!$A:$H,2,FALSE),IF(C48="DER-RD",VLOOKUP($B48,'DER-RD'!$A:$F,2,FALSE),IF($C48="COMP.","&gt;&gt;&gt;&gt;&gt;&gt;&gt;&gt;&gt;&gt; Digite aqui a descrição e apresente a composição detalhada.","← Escolha o Orgão e digite o Código")))</f>
        <v>Índice de preço para remoção de entulho decorrente da execução de obras (Classe A CONAMA - NBR 10.004 - Classe II-B), incluindo aluguel da caçamba, carga, transporte e descarga em área licenciada</v>
      </c>
      <c r="E48" s="502" t="str">
        <f>IF($C48="DER-ED",VLOOKUP($B48,'DER-ED'!$A:$H,3,FALSE),IF($C48="DER-RD",LOWER(VLOOKUP($B48,'DER-RD'!$A:$F,3,FALSE)),IF($C48="COMP.","digite"," ")))</f>
        <v>m3</v>
      </c>
      <c r="F48" s="538">
        <f>'Mem - Orla'!F45</f>
        <v>25</v>
      </c>
      <c r="G48" s="505">
        <f>IF($C48="DER-ED",VLOOKUP($B48,'DER-ED'!$A:$H,6,FALSE),IF($C48="DER-RD",VLOOKUP($B48,'DER-RD'!$A:$H,7,FALSE),))</f>
        <v>60.85</v>
      </c>
      <c r="H48" s="506">
        <f t="shared" ref="H48" si="20">G48*(1+($I$3))</f>
        <v>78.02</v>
      </c>
      <c r="I48" s="507">
        <f t="shared" ref="I48" si="21">ROUND((F48*H48),2)</f>
        <v>1950.5</v>
      </c>
      <c r="J48" s="497">
        <f t="shared" si="8"/>
        <v>1E-4</v>
      </c>
    </row>
    <row r="49" spans="1:13" x14ac:dyDescent="0.25">
      <c r="A49" s="501" t="str">
        <f t="shared" si="9"/>
        <v>4.12</v>
      </c>
      <c r="B49" s="536" t="s">
        <v>4404</v>
      </c>
      <c r="C49" s="502" t="s">
        <v>4405</v>
      </c>
      <c r="D49" s="537" t="str">
        <f>'Comp. - Orla'!C121</f>
        <v>Remoção de rede de esgoto existente</v>
      </c>
      <c r="E49" s="502" t="str">
        <f>'Comp. - Orla'!C122</f>
        <v>m</v>
      </c>
      <c r="F49" s="538">
        <f>'Mem - Orla'!F46</f>
        <v>122</v>
      </c>
      <c r="G49" s="505">
        <f>'Comp. - Orla'!N155</f>
        <v>120.82</v>
      </c>
      <c r="H49" s="506">
        <f t="shared" ref="H49" si="22">G49*(1+($I$3))</f>
        <v>154.91999999999999</v>
      </c>
      <c r="I49" s="507">
        <f t="shared" ref="I49" si="23">ROUND((F49*H49),2)</f>
        <v>18900.240000000002</v>
      </c>
      <c r="J49" s="497">
        <f t="shared" si="8"/>
        <v>1.1000000000000001E-3</v>
      </c>
    </row>
    <row r="50" spans="1:13" s="541" customFormat="1" x14ac:dyDescent="0.25">
      <c r="A50" s="501" t="str">
        <f t="shared" si="9"/>
        <v>4.13</v>
      </c>
      <c r="B50" s="490" t="s">
        <v>4404</v>
      </c>
      <c r="C50" s="491" t="s">
        <v>24756</v>
      </c>
      <c r="D50" s="492" t="str">
        <f>'Comp. - Orla'!C161</f>
        <v>Demoliçao de demais equipamentos</v>
      </c>
      <c r="E50" s="491" t="str">
        <f>'Comp. - Orla'!C162</f>
        <v>m3</v>
      </c>
      <c r="F50" s="538">
        <f>'Mem - Orla'!F47</f>
        <v>299.18</v>
      </c>
      <c r="G50" s="494">
        <f>'Comp. - Orla'!N194</f>
        <v>234.22</v>
      </c>
      <c r="H50" s="495">
        <f t="shared" ref="H50" si="24">G50*(1+($I$3))</f>
        <v>300.32</v>
      </c>
      <c r="I50" s="496">
        <f t="shared" ref="I50" si="25">ROUND((F50*H50),2)</f>
        <v>89849.74</v>
      </c>
      <c r="J50" s="497">
        <f t="shared" si="8"/>
        <v>5.1000000000000004E-3</v>
      </c>
      <c r="K50" s="539"/>
      <c r="L50" s="540"/>
      <c r="M50" s="540"/>
    </row>
    <row r="51" spans="1:13" s="541" customFormat="1" x14ac:dyDescent="0.25">
      <c r="A51" s="501" t="str">
        <f t="shared" si="9"/>
        <v>4.14</v>
      </c>
      <c r="B51" s="490" t="s">
        <v>4404</v>
      </c>
      <c r="C51" s="491" t="s">
        <v>25108</v>
      </c>
      <c r="D51" s="492" t="str">
        <f>'Comp. - Orla'!C1479</f>
        <v>Retirada de poste de concreto</v>
      </c>
      <c r="E51" s="491" t="str">
        <f>'Comp. - Orla'!C1480</f>
        <v>und</v>
      </c>
      <c r="F51" s="538">
        <f>'Mem - Orla'!F48</f>
        <v>8</v>
      </c>
      <c r="G51" s="494">
        <f>'Comp. - Orla'!N1514</f>
        <v>548.55999999999995</v>
      </c>
      <c r="H51" s="495">
        <f t="shared" ref="H51" si="26">G51*(1+($I$3))</f>
        <v>703.36</v>
      </c>
      <c r="I51" s="496">
        <f t="shared" ref="I51" si="27">ROUND((F51*H51),2)</f>
        <v>5626.88</v>
      </c>
      <c r="J51" s="497">
        <f t="shared" si="8"/>
        <v>2.9999999999999997E-4</v>
      </c>
      <c r="K51" s="539"/>
      <c r="L51" s="540"/>
      <c r="M51" s="540"/>
    </row>
    <row r="52" spans="1:13" x14ac:dyDescent="0.25">
      <c r="A52" s="501"/>
      <c r="B52" s="536"/>
      <c r="C52" s="502"/>
      <c r="D52" s="537"/>
      <c r="E52" s="502"/>
      <c r="F52" s="538"/>
      <c r="G52" s="505"/>
      <c r="H52" s="506"/>
      <c r="I52" s="507"/>
      <c r="J52" s="508"/>
    </row>
    <row r="53" spans="1:13" x14ac:dyDescent="0.25">
      <c r="A53" s="542"/>
      <c r="B53" s="510"/>
      <c r="C53" s="510"/>
      <c r="D53" s="509" t="s">
        <v>536</v>
      </c>
      <c r="E53" s="510"/>
      <c r="F53" s="511"/>
      <c r="G53" s="512"/>
      <c r="H53" s="513"/>
      <c r="I53" s="514">
        <f>I36</f>
        <v>802254.73</v>
      </c>
      <c r="J53" s="515"/>
    </row>
    <row r="54" spans="1:13" x14ac:dyDescent="0.25">
      <c r="A54" s="542"/>
      <c r="B54" s="510"/>
      <c r="C54" s="510"/>
      <c r="D54" s="510"/>
      <c r="E54" s="510"/>
      <c r="F54" s="511"/>
      <c r="G54" s="512"/>
      <c r="H54" s="513"/>
      <c r="I54" s="514"/>
      <c r="J54" s="515"/>
    </row>
    <row r="55" spans="1:13" x14ac:dyDescent="0.25">
      <c r="A55" s="480">
        <v>5</v>
      </c>
      <c r="B55" s="481"/>
      <c r="C55" s="481"/>
      <c r="D55" s="482" t="s">
        <v>174</v>
      </c>
      <c r="E55" s="481"/>
      <c r="F55" s="517"/>
      <c r="G55" s="518"/>
      <c r="H55" s="519"/>
      <c r="I55" s="487">
        <f>SUBTOTAL(9,I56:I61)</f>
        <v>1115649.05</v>
      </c>
      <c r="J55" s="488">
        <f>I55/I159</f>
        <v>6.3200000000000006E-2</v>
      </c>
    </row>
    <row r="56" spans="1:13" ht="30" x14ac:dyDescent="0.25">
      <c r="A56" s="501" t="str">
        <f>CONCATENATE(A55,".",1)</f>
        <v>5.1</v>
      </c>
      <c r="B56" s="536">
        <v>40230</v>
      </c>
      <c r="C56" s="502" t="s">
        <v>4389</v>
      </c>
      <c r="D56" s="537" t="str">
        <f>IF($C56="DER-ED",VLOOKUP($B56,'DER-ED'!$A:$H,2,FALSE),IF(C56="DER-RD",VLOOKUP($B56,'DER-RD'!$A:$F,2,FALSE),IF($C56="COMP.","&gt;&gt;&gt;&gt;&gt;&gt;&gt;&gt;&gt;&gt; Digite aqui a descrição e apresente a composição detalhada.","← Escolha o Orgão e digite o Código")))</f>
        <v>Escavação e carga de material de 1ª categoria com escavadeira</v>
      </c>
      <c r="E56" s="502" t="str">
        <f>IF($C56="DER-ED",VLOOKUP($B56,'DER-ED'!$A:$H,3,FALSE),IF($C56="DER-RD",LOWER(VLOOKUP($B56,'DER-RD'!$A:$F,3,FALSE)),IF($C56="COMP.","digite"," ")))</f>
        <v>m3</v>
      </c>
      <c r="F56" s="538">
        <f>'Mem - Orla'!F50</f>
        <v>23180.57</v>
      </c>
      <c r="G56" s="505">
        <f>IF($C56="DER-ED",VLOOKUP($B56,'DER-ED'!$A:$H,6,FALSE),IF($C56="DER-RD",VLOOKUP($B56,'DER-RD'!$A:$H,7,FALSE),))</f>
        <v>3.23</v>
      </c>
      <c r="H56" s="506">
        <f t="shared" ref="H56" si="28">G56*(1+($I$3))</f>
        <v>4.1399999999999997</v>
      </c>
      <c r="I56" s="507">
        <f t="shared" ref="I56" si="29">ROUND((F56*H56),2)</f>
        <v>95967.56</v>
      </c>
      <c r="J56" s="497">
        <f t="shared" ref="J56:J61" si="30">I56/$I$159</f>
        <v>5.4000000000000003E-3</v>
      </c>
    </row>
    <row r="57" spans="1:13" ht="45" x14ac:dyDescent="0.25">
      <c r="A57" s="501" t="str">
        <f>CONCATENATE($A$55,".",RIGHT(A56,LEN(A56)-2)+1)</f>
        <v>5.2</v>
      </c>
      <c r="B57" s="502">
        <v>60022</v>
      </c>
      <c r="C57" s="502" t="s">
        <v>4389</v>
      </c>
      <c r="D57" s="537" t="str">
        <f>IF($C57="DER-ED",VLOOKUP($B57,'DER-ED'!$A:$H,2,FALSE),IF(C57="DER-RD",VLOOKUP($B57,'DER-RD'!$A:$F,2,FALSE),IF($C57="COMP.","&gt;&gt;&gt;&gt;&gt;&gt;&gt;&gt;&gt;&gt; Digite aqui a descrição e apresente a composição detalhada.","← Escolha o Orgão e digite o Código")))</f>
        <v>LOCAL COM DMT DE 10,1 A 15,0 KM (Caminhão basculante) - 0,791XINCC-MXP + 0,838XINCC-MXR + 1,780XINCC-M - XP = 10,0km, XR=2,5km</v>
      </c>
      <c r="E57" s="502" t="str">
        <f>IF($C57="DER-ED",VLOOKUP($B57,'DER-ED'!$A:$H,3,FALSE),IF($C57="DER-RD",LOWER(VLOOKUP($B57,'DER-RD'!$A:$F,3,FALSE)),IF($C57="COMP.","digite"," ")))</f>
        <v>t</v>
      </c>
      <c r="F57" s="538">
        <f>'Mem - Orla'!F51</f>
        <v>39406.97</v>
      </c>
      <c r="G57" s="505">
        <f>IF($C57="DER-ED",VLOOKUP($B57,'DER-ED'!$A:$H,6,FALSE),IF($C57="DER-RD",VLOOKUP($B57,'DER-RD'!$A:$H,7,FALSE),))</f>
        <v>12.25</v>
      </c>
      <c r="H57" s="506">
        <f t="shared" ref="H57:H59" si="31">G57*(1+($I$3))</f>
        <v>15.71</v>
      </c>
      <c r="I57" s="507">
        <f t="shared" ref="I57:I59" si="32">ROUND((F57*H57),2)</f>
        <v>619083.5</v>
      </c>
      <c r="J57" s="497">
        <f t="shared" si="30"/>
        <v>3.5099999999999999E-2</v>
      </c>
    </row>
    <row r="58" spans="1:13" ht="30" x14ac:dyDescent="0.25">
      <c r="A58" s="501" t="str">
        <f>CONCATENATE($A$55,".",RIGHT(A57,LEN(A57)-2)+1)</f>
        <v>5.3</v>
      </c>
      <c r="B58" s="502">
        <v>43335</v>
      </c>
      <c r="C58" s="502" t="s">
        <v>4389</v>
      </c>
      <c r="D58" s="537" t="str">
        <f>IF($C58="DER-ED",VLOOKUP($B58,'DER-ED'!$A:$H,2,FALSE),IF(C58="DER-RD",VLOOKUP($B58,'DER-RD'!$A:$F,2,FALSE),IF($C58="COMP.","&gt;&gt;&gt;&gt;&gt;&gt;&gt;&gt;&gt;&gt; Digite aqui a descrição e apresente a composição detalhada.","← Escolha o Orgão e digite o Código")))</f>
        <v>Espalhamento / regularização / compactação de material em bota-fora</v>
      </c>
      <c r="E58" s="502" t="str">
        <f>IF($C58="DER-ED",VLOOKUP($B58,'DER-ED'!$A:$H,3,FALSE),IF($C58="DER-RD",LOWER(VLOOKUP($B58,'DER-RD'!$A:$F,3,FALSE)),IF($C58="COMP.","digite"," ")))</f>
        <v>m3</v>
      </c>
      <c r="F58" s="538">
        <f>'Mem - Orla'!F52</f>
        <v>23180.57</v>
      </c>
      <c r="G58" s="505">
        <f>IF($C58="DER-ED",VLOOKUP($B58,'DER-ED'!$A:$H,6,FALSE),IF($C58="DER-RD",VLOOKUP($B58,'DER-RD'!$A:$H,7,FALSE),))</f>
        <v>2.54</v>
      </c>
      <c r="H58" s="506">
        <f t="shared" si="31"/>
        <v>3.26</v>
      </c>
      <c r="I58" s="507">
        <f t="shared" si="32"/>
        <v>75568.66</v>
      </c>
      <c r="J58" s="497">
        <f t="shared" si="30"/>
        <v>4.3E-3</v>
      </c>
    </row>
    <row r="59" spans="1:13" ht="30" x14ac:dyDescent="0.25">
      <c r="A59" s="501" t="str">
        <f>CONCATENATE($A$55,".",RIGHT(A58,LEN(A58)-2)+1)</f>
        <v>5.4</v>
      </c>
      <c r="B59" s="502" t="s">
        <v>4404</v>
      </c>
      <c r="C59" s="502" t="s">
        <v>24757</v>
      </c>
      <c r="D59" s="537" t="str">
        <f>'Comp. - Orla'!C200</f>
        <v>Execução e compactação de aterro com solo predominantemente argiloso - inclusive solo de jazida.</v>
      </c>
      <c r="E59" s="502" t="str">
        <f>'Comp. - Orla'!C201</f>
        <v>m3</v>
      </c>
      <c r="F59" s="538">
        <f>'Mem - Orla'!F53</f>
        <v>4888</v>
      </c>
      <c r="G59" s="505">
        <f>'Comp. - Orla'!N237</f>
        <v>19.989999999999998</v>
      </c>
      <c r="H59" s="506">
        <f t="shared" si="31"/>
        <v>25.63</v>
      </c>
      <c r="I59" s="507">
        <f t="shared" si="32"/>
        <v>125279.44</v>
      </c>
      <c r="J59" s="497">
        <f t="shared" si="30"/>
        <v>7.1000000000000004E-3</v>
      </c>
    </row>
    <row r="60" spans="1:13" ht="45" x14ac:dyDescent="0.25">
      <c r="A60" s="501" t="str">
        <f>CONCATENATE($A$55,".",RIGHT(A59,LEN(A59)-2)+1)</f>
        <v>5.5</v>
      </c>
      <c r="B60" s="502">
        <v>60022</v>
      </c>
      <c r="C60" s="502" t="s">
        <v>4389</v>
      </c>
      <c r="D60" s="537" t="str">
        <f>IF($C60="DER-ED",VLOOKUP($B60,'DER-ED'!$A:$H,2,FALSE),IF(C60="DER-RD",VLOOKUP($B60,'DER-RD'!$A:$F,2,FALSE),IF($C60="COMP.","&gt;&gt;&gt;&gt;&gt;&gt;&gt;&gt;&gt;&gt; Digite aqui a descrição e apresente a composição detalhada.","← Escolha o Orgão e digite o Código")))</f>
        <v>LOCAL COM DMT DE 10,1 A 15,0 KM (Caminhão basculante) - 0,791XINCC-MXP + 0,838XINCC-MXR + 1,780XINCC-M - XP = 10,0km, XR=2,5km</v>
      </c>
      <c r="E60" s="502" t="str">
        <f>IF($C60="DER-ED",VLOOKUP($B60,'DER-ED'!$A:$H,3,FALSE),IF($C60="DER-RD",LOWER(VLOOKUP($B60,'DER-RD'!$A:$F,3,FALSE)),IF($C60="COMP.","digite"," ")))</f>
        <v>t</v>
      </c>
      <c r="F60" s="538">
        <f>'Mem - Orla'!F54</f>
        <v>8309.6</v>
      </c>
      <c r="G60" s="505">
        <f>IF($C60="DER-ED",VLOOKUP($B60,'DER-ED'!$A:$H,6,FALSE),IF($C60="DER-RD",VLOOKUP($B60,'DER-RD'!$A:$H,7,FALSE),))</f>
        <v>12.25</v>
      </c>
      <c r="H60" s="506">
        <f t="shared" ref="H60:H61" si="33">G60*(1+($I$3))</f>
        <v>15.71</v>
      </c>
      <c r="I60" s="507">
        <f t="shared" ref="I60:I61" si="34">ROUND((F60*H60),2)</f>
        <v>130543.82</v>
      </c>
      <c r="J60" s="497">
        <f t="shared" si="30"/>
        <v>7.4000000000000003E-3</v>
      </c>
    </row>
    <row r="61" spans="1:13" ht="75" x14ac:dyDescent="0.25">
      <c r="A61" s="501" t="str">
        <f>CONCATENATE($A$55,".",RIGHT(A60,LEN(A60)-2)+1)</f>
        <v>5.6</v>
      </c>
      <c r="B61" s="502" t="s">
        <v>4404</v>
      </c>
      <c r="C61" s="502" t="s">
        <v>24934</v>
      </c>
      <c r="D61" s="537" t="str">
        <f>'Comp. - Orla'!C1279</f>
        <v>Reaterro mecânizado de vala com escavadeira hidráulica (capacidade da caçamba: 0,8 m2 / potência: 111 hp), largura de 1,5 a 2,5 m, profundidade de 1,5 a 3,0 m , com solo de 1ª categoria em locais com alto nível de interferência.</v>
      </c>
      <c r="E61" s="502" t="str">
        <f>'Comp. - Orla'!C1280</f>
        <v>m3</v>
      </c>
      <c r="F61" s="538">
        <f>'Mem - Orla'!F55</f>
        <v>4230.2</v>
      </c>
      <c r="G61" s="505">
        <f>'Comp. - Orla'!N1314</f>
        <v>12.76</v>
      </c>
      <c r="H61" s="506">
        <f t="shared" si="33"/>
        <v>16.36</v>
      </c>
      <c r="I61" s="507">
        <f t="shared" si="34"/>
        <v>69206.070000000007</v>
      </c>
      <c r="J61" s="497">
        <f t="shared" si="30"/>
        <v>3.8999999999999998E-3</v>
      </c>
    </row>
    <row r="62" spans="1:13" x14ac:dyDescent="0.25">
      <c r="A62" s="501"/>
      <c r="B62" s="502"/>
      <c r="C62" s="502"/>
      <c r="D62" s="537"/>
      <c r="E62" s="502"/>
      <c r="F62" s="533"/>
      <c r="G62" s="505"/>
      <c r="H62" s="506"/>
      <c r="I62" s="507"/>
      <c r="J62" s="508"/>
    </row>
    <row r="63" spans="1:13" x14ac:dyDescent="0.25">
      <c r="A63" s="501"/>
      <c r="B63" s="502"/>
      <c r="C63" s="502"/>
      <c r="D63" s="543" t="s">
        <v>537</v>
      </c>
      <c r="E63" s="502"/>
      <c r="F63" s="533"/>
      <c r="G63" s="534"/>
      <c r="H63" s="535"/>
      <c r="I63" s="514">
        <f>I55</f>
        <v>1115649.05</v>
      </c>
      <c r="J63" s="515"/>
    </row>
    <row r="64" spans="1:13" x14ac:dyDescent="0.25">
      <c r="A64" s="501"/>
      <c r="B64" s="502"/>
      <c r="C64" s="502"/>
      <c r="D64" s="537"/>
      <c r="E64" s="502"/>
      <c r="F64" s="533"/>
      <c r="G64" s="534"/>
      <c r="H64" s="535"/>
      <c r="I64" s="507"/>
      <c r="J64" s="508"/>
    </row>
    <row r="65" spans="1:16" x14ac:dyDescent="0.25">
      <c r="A65" s="480">
        <v>6</v>
      </c>
      <c r="B65" s="481"/>
      <c r="C65" s="481"/>
      <c r="D65" s="544" t="s">
        <v>177</v>
      </c>
      <c r="E65" s="483"/>
      <c r="F65" s="484"/>
      <c r="G65" s="485"/>
      <c r="H65" s="486"/>
      <c r="I65" s="487">
        <f>SUBTOTAL(9,I66:I66)</f>
        <v>171895.2</v>
      </c>
      <c r="J65" s="488">
        <f>I65/I159</f>
        <v>9.7000000000000003E-3</v>
      </c>
    </row>
    <row r="66" spans="1:16" ht="45" x14ac:dyDescent="0.25">
      <c r="A66" s="501" t="str">
        <f>CONCATENATE(A65,".",1)</f>
        <v>6.1</v>
      </c>
      <c r="B66" s="536" t="s">
        <v>2584</v>
      </c>
      <c r="C66" s="502" t="s">
        <v>4379</v>
      </c>
      <c r="D66" s="537" t="str">
        <f>IF($C66="DER-ED",VLOOKUP($B66,'DER-ED'!$A:$H,2,FALSE),IF(C66="DER-RD",VLOOKUP($B66,'DER-RD'!$A:$F,2,FALSE),IF($C66="COMP.","&gt;&gt;&gt;&gt;&gt;&gt;&gt;&gt;&gt;&gt; Digite aqui a descrição e apresente a composição detalhada.","← Escolha o Orgão e digite o Código")))</f>
        <v>Meio-fio de concreto pré-moldado com dimensões de 15x12x30x100 cm , rejuntados com argamassa de cimento e areia no traço 1:3</v>
      </c>
      <c r="E66" s="502" t="str">
        <f>IF($C66="DER-ED",VLOOKUP($B66,'DER-ED'!$A:$H,3,FALSE),IF($C66="DER-RD",LOWER(VLOOKUP($B66,'DER-RD'!$A:$F,3,FALSE)),IF($C66="COMP.","digite"," ")))</f>
        <v>m</v>
      </c>
      <c r="F66" s="538">
        <f>'Mem - Orla'!F57</f>
        <v>2680</v>
      </c>
      <c r="G66" s="505">
        <f>IF($C66="DER-ED",VLOOKUP($B66,'DER-ED'!$A:$H,6,FALSE),IF($C66="DER-RD",VLOOKUP($B66,'DER-RD'!$A:$H,7,FALSE),))</f>
        <v>50.02</v>
      </c>
      <c r="H66" s="506">
        <f t="shared" ref="H66" si="35">G66*(1+($I$3))</f>
        <v>64.14</v>
      </c>
      <c r="I66" s="507">
        <f t="shared" ref="I66" si="36">ROUND((F66*H66),2)</f>
        <v>171895.2</v>
      </c>
      <c r="J66" s="497">
        <f>I66/$I$159</f>
        <v>9.7000000000000003E-3</v>
      </c>
      <c r="L66" s="1372"/>
      <c r="M66" s="1372"/>
      <c r="N66" s="1372"/>
    </row>
    <row r="67" spans="1:16" x14ac:dyDescent="0.25">
      <c r="A67" s="501"/>
      <c r="B67" s="536"/>
      <c r="C67" s="502"/>
      <c r="D67" s="537"/>
      <c r="E67" s="502"/>
      <c r="F67" s="538"/>
      <c r="G67" s="505"/>
      <c r="H67" s="506"/>
      <c r="I67" s="507"/>
      <c r="J67" s="508"/>
      <c r="L67" s="1372"/>
      <c r="M67" s="1372"/>
      <c r="N67" s="1372"/>
    </row>
    <row r="68" spans="1:16" x14ac:dyDescent="0.25">
      <c r="A68" s="501"/>
      <c r="B68" s="502"/>
      <c r="C68" s="502"/>
      <c r="D68" s="543" t="s">
        <v>538</v>
      </c>
      <c r="E68" s="502"/>
      <c r="F68" s="533"/>
      <c r="G68" s="534"/>
      <c r="H68" s="535"/>
      <c r="I68" s="514">
        <f>I65</f>
        <v>171895.2</v>
      </c>
      <c r="J68" s="515"/>
      <c r="L68" s="1372"/>
      <c r="M68" s="1372"/>
      <c r="N68" s="1372"/>
      <c r="P68" s="545"/>
    </row>
    <row r="69" spans="1:16" x14ac:dyDescent="0.25">
      <c r="A69" s="501"/>
      <c r="B69" s="502"/>
      <c r="C69" s="502"/>
      <c r="D69" s="537"/>
      <c r="E69" s="502"/>
      <c r="F69" s="533"/>
      <c r="G69" s="534"/>
      <c r="H69" s="535"/>
      <c r="I69" s="507"/>
      <c r="J69" s="508"/>
      <c r="P69" s="545"/>
    </row>
    <row r="70" spans="1:16" x14ac:dyDescent="0.25">
      <c r="A70" s="480">
        <v>7</v>
      </c>
      <c r="B70" s="481"/>
      <c r="C70" s="481"/>
      <c r="D70" s="544" t="s">
        <v>24762</v>
      </c>
      <c r="E70" s="483"/>
      <c r="F70" s="484"/>
      <c r="G70" s="485"/>
      <c r="H70" s="486"/>
      <c r="I70" s="487">
        <f>SUBTOTAL(9,I71:I73)</f>
        <v>3390052.5</v>
      </c>
      <c r="J70" s="488">
        <f>I70/I159</f>
        <v>0.19209999999999999</v>
      </c>
      <c r="P70" s="545"/>
    </row>
    <row r="71" spans="1:16" ht="45" x14ac:dyDescent="0.25">
      <c r="A71" s="501" t="str">
        <f>CONCATENATE(A70,".",1)</f>
        <v>7.1</v>
      </c>
      <c r="B71" s="502" t="s">
        <v>4404</v>
      </c>
      <c r="C71" s="502" t="s">
        <v>24932</v>
      </c>
      <c r="D71" s="537" t="str">
        <f>'Comp. - Orla'!C1196</f>
        <v>Gabião caixa, malha hexagonal de (8x10) cm, fio com 2,4mm de diâmetro, revestido de PVC rígido, inclusive materiais e montagem.</v>
      </c>
      <c r="E71" s="502" t="str">
        <f>'Comp. - Orla'!C1197</f>
        <v>m3</v>
      </c>
      <c r="F71" s="533">
        <f>'Mem - Orla'!F59</f>
        <v>3937.5</v>
      </c>
      <c r="G71" s="505">
        <f>'Comp. - Orla'!N1234</f>
        <v>618.59</v>
      </c>
      <c r="H71" s="506">
        <f>G71*(1+($I$3))</f>
        <v>793.16</v>
      </c>
      <c r="I71" s="507">
        <f>ROUND((F71*H71),2)</f>
        <v>3123067.5</v>
      </c>
      <c r="J71" s="497">
        <f>I71/$I$159</f>
        <v>0.17699999999999999</v>
      </c>
      <c r="P71" s="545"/>
    </row>
    <row r="72" spans="1:16" ht="30" customHeight="1" x14ac:dyDescent="0.25">
      <c r="A72" s="501" t="str">
        <f>CONCATENATE($A$70,".",RIGHT(A71,LEN(A71)-2)+1)</f>
        <v>7.2</v>
      </c>
      <c r="B72" s="502">
        <v>40714</v>
      </c>
      <c r="C72" s="502" t="s">
        <v>4389</v>
      </c>
      <c r="D72" s="537" t="str">
        <f>IF($C72="DER-ED",VLOOKUP($B72,'DER-ED'!$A:$H,2,FALSE),IF(C72="DER-RD",VLOOKUP($B72,'DER-RD'!$A:$F,2,FALSE),IF($C72="COMP.","&gt;&gt;&gt;&gt;&gt;&gt;&gt;&gt;&gt;&gt; Digite aqui a descrição e apresente a composição detalhada.","← Escolha o Orgão e digite o Código")))</f>
        <v>Manta Geotêxtil não tecida RT - 16 kn/m, fornecimento e aplicação</v>
      </c>
      <c r="E72" s="502" t="str">
        <f>IF($C72="DER-ED",VLOOKUP($B72,'DER-ED'!$A:$H,3,FALSE),IF($C72="DER-RD",LOWER(VLOOKUP($B72,'DER-RD'!$A:$F,3,FALSE)),IF($C72="COMP.","digite"," ")))</f>
        <v>m2</v>
      </c>
      <c r="F72" s="533">
        <f>'Mem - Orla'!F60</f>
        <v>9750</v>
      </c>
      <c r="G72" s="505">
        <f>IF($C72="DER-ED",VLOOKUP($B72,'DER-ED'!$A:$H,6,FALSE),IF($C72="DER-RD",VLOOKUP($B72,'DER-RD'!$A:$H,7,FALSE),))</f>
        <v>11.78</v>
      </c>
      <c r="H72" s="506">
        <f>G72*(1+($I$3))</f>
        <v>15.1</v>
      </c>
      <c r="I72" s="507">
        <f>ROUND((F72*H72),2)</f>
        <v>147225</v>
      </c>
      <c r="J72" s="497">
        <f>I72/$I$159</f>
        <v>8.3000000000000001E-3</v>
      </c>
      <c r="P72" s="545"/>
    </row>
    <row r="73" spans="1:16" ht="30" customHeight="1" x14ac:dyDescent="0.25">
      <c r="A73" s="501" t="str">
        <f>CONCATENATE($A$70,".",RIGHT(A72,LEN(A72)-2)+1)</f>
        <v>7.3</v>
      </c>
      <c r="B73" s="502">
        <v>7050100010</v>
      </c>
      <c r="C73" s="502" t="s">
        <v>25772</v>
      </c>
      <c r="D73" s="537" t="s">
        <v>25771</v>
      </c>
      <c r="E73" s="502" t="s">
        <v>5</v>
      </c>
      <c r="F73" s="533">
        <f>'Mem - Orla'!F61</f>
        <v>6000</v>
      </c>
      <c r="G73" s="505">
        <v>15.57</v>
      </c>
      <c r="H73" s="506">
        <f>G73*(1+($I$3))</f>
        <v>19.96</v>
      </c>
      <c r="I73" s="507">
        <f>ROUND((F73*H73),2)</f>
        <v>119760</v>
      </c>
      <c r="J73" s="497">
        <f>I73/$I$159</f>
        <v>6.7999999999999996E-3</v>
      </c>
      <c r="P73" s="545"/>
    </row>
    <row r="74" spans="1:16" x14ac:dyDescent="0.25">
      <c r="A74" s="501"/>
      <c r="B74" s="536"/>
      <c r="C74" s="502"/>
      <c r="D74" s="537"/>
      <c r="E74" s="502"/>
      <c r="F74" s="533"/>
      <c r="G74" s="505"/>
      <c r="H74" s="506"/>
      <c r="I74" s="507"/>
      <c r="J74" s="508"/>
      <c r="L74" s="1372"/>
      <c r="M74" s="1372"/>
      <c r="N74" s="1372"/>
      <c r="P74" s="545"/>
    </row>
    <row r="75" spans="1:16" x14ac:dyDescent="0.25">
      <c r="A75" s="501"/>
      <c r="B75" s="502"/>
      <c r="C75" s="502"/>
      <c r="D75" s="543" t="s">
        <v>539</v>
      </c>
      <c r="E75" s="502"/>
      <c r="F75" s="533" t="s">
        <v>98</v>
      </c>
      <c r="G75" s="534"/>
      <c r="H75" s="535"/>
      <c r="I75" s="514">
        <f>I70</f>
        <v>3390052.5</v>
      </c>
      <c r="J75" s="515"/>
      <c r="L75" s="1372"/>
      <c r="M75" s="1372"/>
      <c r="N75" s="1372"/>
      <c r="O75" s="516"/>
    </row>
    <row r="76" spans="1:16" x14ac:dyDescent="0.25">
      <c r="A76" s="501"/>
      <c r="B76" s="502"/>
      <c r="C76" s="502"/>
      <c r="D76" s="537"/>
      <c r="E76" s="502"/>
      <c r="F76" s="533"/>
      <c r="G76" s="534"/>
      <c r="H76" s="535"/>
      <c r="I76" s="507"/>
      <c r="J76" s="508"/>
      <c r="L76" s="1372"/>
      <c r="M76" s="1372"/>
      <c r="N76" s="1372"/>
    </row>
    <row r="77" spans="1:16" x14ac:dyDescent="0.25">
      <c r="A77" s="480">
        <v>8</v>
      </c>
      <c r="B77" s="481"/>
      <c r="C77" s="481"/>
      <c r="D77" s="544" t="s">
        <v>185</v>
      </c>
      <c r="E77" s="483"/>
      <c r="F77" s="484"/>
      <c r="G77" s="485"/>
      <c r="H77" s="486"/>
      <c r="I77" s="487">
        <f>SUBTOTAL(9,I78:I81)</f>
        <v>5300940.12</v>
      </c>
      <c r="J77" s="488">
        <f>I77/I159</f>
        <v>0.3004</v>
      </c>
      <c r="L77" s="1372"/>
      <c r="M77" s="1372"/>
      <c r="N77" s="1372"/>
    </row>
    <row r="78" spans="1:16" s="541" customFormat="1" ht="30" x14ac:dyDescent="0.25">
      <c r="A78" s="489" t="str">
        <f>CONCATENATE(A77,".",1)</f>
        <v>8.1</v>
      </c>
      <c r="B78" s="490">
        <v>40781</v>
      </c>
      <c r="C78" s="491" t="s">
        <v>4389</v>
      </c>
      <c r="D78" s="492" t="str">
        <f>IF($C78="DER-ED",VLOOKUP($B78,'DER-ED'!$A:$H,2,FALSE),IF(C78="DER-RD",VLOOKUP($B78,'DER-RD'!$A:$F,2,FALSE),IF($C78="COMP.","&gt;&gt;&gt;&gt;&gt;&gt;&gt;&gt;&gt;&gt; Digite aqui a descrição e apresente a composição detalhada.","← Escolha o Orgão e digite o Código")))</f>
        <v>Base solo brita, 50% em peso, inclusive fornecimento e transporte da brita</v>
      </c>
      <c r="E78" s="491" t="str">
        <f>IF($C78="DER-ED",VLOOKUP($B78,'DER-ED'!$A:$H,3,FALSE),IF($C78="DER-RD",LOWER(VLOOKUP($B78,'DER-RD'!$A:$F,3,FALSE)),IF($C78="COMP.","digite"," ")))</f>
        <v>m3</v>
      </c>
      <c r="F78" s="493">
        <f>'Mem - Orla'!F63</f>
        <v>4124.71</v>
      </c>
      <c r="G78" s="494">
        <f>IF($C78="DER-ED",VLOOKUP($B78,'DER-ED'!$A:$H,6,FALSE),IF($C78="DER-RD",VLOOKUP($B78,'DER-RD'!$A:$H,7,FALSE),))</f>
        <v>63.86</v>
      </c>
      <c r="H78" s="495">
        <f>G78*(1+($I$3))</f>
        <v>81.88</v>
      </c>
      <c r="I78" s="496">
        <f>ROUND((F78*H78),2)</f>
        <v>337731.25</v>
      </c>
      <c r="J78" s="497">
        <f>I78/$I$159</f>
        <v>1.9099999999999999E-2</v>
      </c>
      <c r="K78" s="539"/>
      <c r="L78" s="1276"/>
      <c r="M78" s="1276"/>
      <c r="N78" s="1276"/>
    </row>
    <row r="79" spans="1:16" s="571" customFormat="1" ht="30" x14ac:dyDescent="0.25">
      <c r="A79" s="501" t="str">
        <f>CONCATENATE($A$77,".",RIGHT(A78,LEN(A78)-2)+1)</f>
        <v>8.2</v>
      </c>
      <c r="B79" s="502" t="s">
        <v>4404</v>
      </c>
      <c r="C79" s="502" t="s">
        <v>24761</v>
      </c>
      <c r="D79" s="537" t="str">
        <f>'Comp. - Orla'!C243</f>
        <v>Estabilização e impermeabilização do solo com emulsão polimérica</v>
      </c>
      <c r="E79" s="502" t="str">
        <f>'Comp. - Orla'!C244</f>
        <v>m2</v>
      </c>
      <c r="F79" s="533">
        <f>'Mem - Orla'!F64</f>
        <v>27498.07</v>
      </c>
      <c r="G79" s="505">
        <f>'Comp. - Orla'!N279</f>
        <v>36.26</v>
      </c>
      <c r="H79" s="506">
        <f t="shared" ref="H79:H89" si="37">G79*(1+($I$3))</f>
        <v>46.49</v>
      </c>
      <c r="I79" s="507">
        <f t="shared" ref="I79" si="38">ROUND((F79*H79),2)</f>
        <v>1278385.27</v>
      </c>
      <c r="J79" s="497">
        <f>I79/$I$159</f>
        <v>7.2400000000000006E-2</v>
      </c>
      <c r="K79" s="578"/>
      <c r="L79" s="570"/>
      <c r="M79" s="570"/>
    </row>
    <row r="80" spans="1:16" ht="45" x14ac:dyDescent="0.25">
      <c r="A80" s="501" t="str">
        <f t="shared" ref="A80:A81" si="39">CONCATENATE($A$77,".",RIGHT(A79,LEN(A79)-2)+1)</f>
        <v>8.3</v>
      </c>
      <c r="B80" s="536">
        <v>42500</v>
      </c>
      <c r="C80" s="502" t="s">
        <v>4389</v>
      </c>
      <c r="D80" s="537" t="str">
        <f>IF($C80="DER-ED",VLOOKUP($B80,'DER-ED'!$A:$H,2,FALSE),IF(C80="DER-RD",VLOOKUP($B80,'DER-RD'!$A:$F,2,FALSE),IF($C80="COMP.","&gt;&gt;&gt;&gt;&gt;&gt;&gt;&gt;&gt;&gt; Digite aqui a descrição e apresente a composição detalhada.","← Escolha o Orgão e digite o Código")))</f>
        <v>Pavimentação com blocos de concreto (35 MPa), esp.=10cm, sobre colchão de areia esp.= 5cm, inclusive fornecim.e transporte  blocos e areia,Vias Urbanas</v>
      </c>
      <c r="E80" s="502" t="str">
        <f>IF($C80="DER-ED",VLOOKUP($B80,'DER-ED'!$A:$H,3,FALSE),IF($C80="DER-RD",LOWER(VLOOKUP($B80,'DER-RD'!$A:$F,3,FALSE)),IF($C80="COMP.","digite"," ")))</f>
        <v>m2</v>
      </c>
      <c r="F80" s="533">
        <f>'Mem - Orla'!F65</f>
        <v>27498.07</v>
      </c>
      <c r="G80" s="505">
        <f>IF($C80="DER-ED",VLOOKUP($B80,'DER-ED'!$A:$H,6,FALSE),IF($C80="DER-RD",VLOOKUP($B80,'DER-RD'!$A:$H,7,FALSE),))</f>
        <v>104.29</v>
      </c>
      <c r="H80" s="506">
        <f>G80*(1+($I$3))</f>
        <v>133.72</v>
      </c>
      <c r="I80" s="507">
        <f>ROUND((F80*H80),2)</f>
        <v>3677041.92</v>
      </c>
      <c r="J80" s="497">
        <f>I80/$I$159</f>
        <v>0.2084</v>
      </c>
    </row>
    <row r="81" spans="1:15" ht="30" x14ac:dyDescent="0.25">
      <c r="A81" s="501" t="str">
        <f t="shared" si="39"/>
        <v>8.4</v>
      </c>
      <c r="B81" s="536" t="s">
        <v>4404</v>
      </c>
      <c r="C81" s="502" t="s">
        <v>24896</v>
      </c>
      <c r="D81" s="537" t="str">
        <f>'Comp. - Orla'!C429</f>
        <v>Pintura de demarcação de vaga com tinta acrílica, E = 10 cm, aplicação manual.</v>
      </c>
      <c r="E81" s="502" t="str">
        <f>'Comp. - Orla'!C430</f>
        <v>m</v>
      </c>
      <c r="F81" s="533">
        <f>'Mem - Orla'!F69</f>
        <v>1171.94</v>
      </c>
      <c r="G81" s="505">
        <f>'Comp. - Orla'!N463</f>
        <v>5.18</v>
      </c>
      <c r="H81" s="506">
        <f t="shared" ref="H81" si="40">G81*(1+($I$3))</f>
        <v>6.64</v>
      </c>
      <c r="I81" s="507">
        <f t="shared" ref="I81" si="41">ROUND((F81*H81),2)</f>
        <v>7781.68</v>
      </c>
      <c r="J81" s="497">
        <f>I81/$I$159</f>
        <v>4.0000000000000002E-4</v>
      </c>
    </row>
    <row r="82" spans="1:15" x14ac:dyDescent="0.25">
      <c r="A82" s="501"/>
      <c r="B82" s="502"/>
      <c r="C82" s="502"/>
      <c r="D82" s="537"/>
      <c r="E82" s="502"/>
      <c r="F82" s="533"/>
      <c r="G82" s="505"/>
      <c r="H82" s="506"/>
      <c r="I82" s="507"/>
      <c r="J82" s="497"/>
    </row>
    <row r="83" spans="1:15" x14ac:dyDescent="0.25">
      <c r="A83" s="501"/>
      <c r="B83" s="502"/>
      <c r="C83" s="502"/>
      <c r="D83" s="543" t="s">
        <v>540</v>
      </c>
      <c r="E83" s="502"/>
      <c r="F83" s="533"/>
      <c r="G83" s="505"/>
      <c r="H83" s="506"/>
      <c r="I83" s="514">
        <f>I77</f>
        <v>5300940.12</v>
      </c>
      <c r="J83" s="497"/>
    </row>
    <row r="84" spans="1:15" x14ac:dyDescent="0.25">
      <c r="A84" s="501"/>
      <c r="B84" s="502"/>
      <c r="C84" s="502"/>
      <c r="D84" s="537"/>
      <c r="E84" s="502"/>
      <c r="F84" s="533"/>
      <c r="G84" s="505"/>
      <c r="H84" s="506"/>
      <c r="I84" s="507"/>
      <c r="J84" s="497"/>
    </row>
    <row r="85" spans="1:15" x14ac:dyDescent="0.25">
      <c r="A85" s="726">
        <v>9</v>
      </c>
      <c r="B85" s="728"/>
      <c r="C85" s="728"/>
      <c r="D85" s="727" t="s">
        <v>24964</v>
      </c>
      <c r="E85" s="728"/>
      <c r="F85" s="729"/>
      <c r="G85" s="730"/>
      <c r="H85" s="731"/>
      <c r="I85" s="487">
        <f>SUBTOTAL(9,I86:I93)</f>
        <v>3840880.33</v>
      </c>
      <c r="J85" s="488">
        <f>I85/I159</f>
        <v>0.2177</v>
      </c>
    </row>
    <row r="86" spans="1:15" s="541" customFormat="1" ht="60" x14ac:dyDescent="0.25">
      <c r="A86" s="501" t="str">
        <f>CONCATENATE(A85,".",1)</f>
        <v>9.1</v>
      </c>
      <c r="B86" s="546" t="s">
        <v>4404</v>
      </c>
      <c r="C86" s="491" t="s">
        <v>24933</v>
      </c>
      <c r="D86" s="492" t="str">
        <f>'Comp. - Orla'!C1241</f>
        <v>Contrapiso em argamassa traço 1:4 (cimento e areia), preparo mecânico com betoneira 400l, aplicado em áreas secas sobre laje, não aderido, acabamento não reforçado, espessura 5cm.</v>
      </c>
      <c r="E86" s="491" t="str">
        <f>'Comp. - Orla'!C1242</f>
        <v>m2</v>
      </c>
      <c r="F86" s="533">
        <f>'Mem - Orla'!F71</f>
        <v>9528.17</v>
      </c>
      <c r="G86" s="494">
        <f>'Comp. - Orla'!N1273</f>
        <v>33.9</v>
      </c>
      <c r="H86" s="495">
        <f t="shared" ref="H86" si="42">G86*(1+($I$3))</f>
        <v>43.47</v>
      </c>
      <c r="I86" s="496">
        <f t="shared" ref="I86" si="43">ROUND((F86*H86),2)</f>
        <v>414189.55</v>
      </c>
      <c r="J86" s="497">
        <f t="shared" ref="J86:J93" si="44">I86/$I$159</f>
        <v>2.35E-2</v>
      </c>
      <c r="K86" s="539"/>
      <c r="L86" s="540"/>
      <c r="M86" s="540"/>
    </row>
    <row r="87" spans="1:15" s="541" customFormat="1" ht="39.75" customHeight="1" x14ac:dyDescent="0.25">
      <c r="A87" s="501" t="str">
        <f>CONCATENATE($A$85,".",RIGHT(A86,LEN(A86)-2)+1)</f>
        <v>9.2</v>
      </c>
      <c r="B87" s="546" t="s">
        <v>4404</v>
      </c>
      <c r="C87" s="491" t="s">
        <v>24759</v>
      </c>
      <c r="D87" s="492" t="str">
        <f>'Comp. - Orla'!C334</f>
        <v>Execução de pavimento de concreto armado (PCA), FCK = 20 MPA, camada com espessura de 10,0 cm.</v>
      </c>
      <c r="E87" s="491" t="str">
        <f>'Comp. - Orla'!C335</f>
        <v>m2</v>
      </c>
      <c r="F87" s="533">
        <f>'Mem - Orla'!F72</f>
        <v>9528.17</v>
      </c>
      <c r="G87" s="494">
        <f>'Comp. - Orla'!N383</f>
        <v>202.03</v>
      </c>
      <c r="H87" s="495">
        <f t="shared" ref="H87:H88" si="45">G87*(1+($I$3))</f>
        <v>259.04000000000002</v>
      </c>
      <c r="I87" s="496">
        <f t="shared" ref="I87:I88" si="46">ROUND((F87*H87),2)</f>
        <v>2468177.16</v>
      </c>
      <c r="J87" s="497">
        <f t="shared" si="44"/>
        <v>0.1399</v>
      </c>
      <c r="K87" s="539"/>
      <c r="L87" s="540"/>
      <c r="M87" s="540"/>
    </row>
    <row r="88" spans="1:15" ht="30" x14ac:dyDescent="0.25">
      <c r="A88" s="501" t="str">
        <f t="shared" ref="A88:A93" si="47">CONCATENATE($A$85,".",RIGHT(A87,LEN(A87)-2)+1)</f>
        <v>9.3</v>
      </c>
      <c r="B88" s="536" t="s">
        <v>4404</v>
      </c>
      <c r="C88" s="502" t="s">
        <v>24760</v>
      </c>
      <c r="D88" s="492" t="str">
        <f>'Comp. - Orla'!C389</f>
        <v>Acabamento polido para piso de concreto armado ou laje sobre solo de alta resistência</v>
      </c>
      <c r="E88" s="491" t="str">
        <f>'Comp. - Orla'!C390</f>
        <v>m2</v>
      </c>
      <c r="F88" s="533">
        <f>'Mem - Orla'!F75</f>
        <v>9528.17</v>
      </c>
      <c r="G88" s="494">
        <f>'Comp. - Orla'!N423</f>
        <v>33.15</v>
      </c>
      <c r="H88" s="495">
        <f t="shared" si="45"/>
        <v>42.5</v>
      </c>
      <c r="I88" s="496">
        <f t="shared" si="46"/>
        <v>404947.23</v>
      </c>
      <c r="J88" s="497">
        <f t="shared" si="44"/>
        <v>2.29E-2</v>
      </c>
    </row>
    <row r="89" spans="1:15" x14ac:dyDescent="0.25">
      <c r="A89" s="501" t="str">
        <f t="shared" si="47"/>
        <v>9.4</v>
      </c>
      <c r="B89" s="536">
        <v>43349</v>
      </c>
      <c r="C89" s="502" t="s">
        <v>4389</v>
      </c>
      <c r="D89" s="537" t="str">
        <f>IF($C89="DER-ED",VLOOKUP($B89,'DER-ED'!$A:$H,2,FALSE),IF(C89="DER-RD",VLOOKUP($B89,'DER-RD'!$A:$F,2,FALSE),IF($C89="COMP.","&gt;&gt;&gt;&gt;&gt;&gt;&gt;&gt;&gt;&gt; Digite aqui a descrição e apresente a composição detalhada.","← Escolha o Orgão e digite o Código")))</f>
        <v>Compactação de aterros 100% PI em Vias Urbanas</v>
      </c>
      <c r="E89" s="502" t="str">
        <f>IF($C89="DER-ED",VLOOKUP($B89,'DER-ED'!$A:$H,3,FALSE),IF($C89="DER-RD",LOWER(VLOOKUP($B89,'DER-RD'!$A:$F,3,FALSE)),IF($C89="COMP.","digite"," ")))</f>
        <v>m3</v>
      </c>
      <c r="F89" s="533">
        <f>'Mem - Orla'!F76</f>
        <v>1905.63</v>
      </c>
      <c r="G89" s="505">
        <f>IF($C89="DER-ED",VLOOKUP($B89,'DER-ED'!$A:$H,6,FALSE),IF($C89="DER-RD",VLOOKUP($B89,'DER-RD'!$A:$H,7,FALSE),))</f>
        <v>7.77</v>
      </c>
      <c r="H89" s="506">
        <f t="shared" si="37"/>
        <v>9.9600000000000009</v>
      </c>
      <c r="I89" s="507">
        <f t="shared" ref="I89" si="48">ROUND((F89*H89),2)</f>
        <v>18980.07</v>
      </c>
      <c r="J89" s="497">
        <f t="shared" si="44"/>
        <v>1.1000000000000001E-3</v>
      </c>
    </row>
    <row r="90" spans="1:15" ht="30" x14ac:dyDescent="0.25">
      <c r="A90" s="501" t="str">
        <f t="shared" si="47"/>
        <v>9.5</v>
      </c>
      <c r="B90" s="536">
        <v>42482</v>
      </c>
      <c r="C90" s="502" t="s">
        <v>4389</v>
      </c>
      <c r="D90" s="537" t="str">
        <f>IF($C90="DER-ED",VLOOKUP($B90,'DER-ED'!$A:$H,2,FALSE),IF(C90="DER-RD",VLOOKUP($B90,'DER-RD'!$A:$F,2,FALSE),IF($C90="COMP.","&gt;&gt;&gt;&gt;&gt;&gt;&gt;&gt;&gt;&gt; Digite aqui a descrição e apresente a composição detalhada.","← Escolha o Orgão e digite o Código")))</f>
        <v>Sub-base de brita graduada, inclusive fornecimento e transporte da brita em Vias Urbanas</v>
      </c>
      <c r="E90" s="502" t="str">
        <f>IF($C90="DER-ED",VLOOKUP($B90,'DER-ED'!$A:$H,3,FALSE),IF($C90="DER-RD",LOWER(VLOOKUP($B90,'DER-RD'!$A:$F,3,FALSE)),IF($C90="COMP.","digite"," ")))</f>
        <v>m3</v>
      </c>
      <c r="F90" s="533">
        <f>'Mem - Orla'!F77</f>
        <v>1155.71</v>
      </c>
      <c r="G90" s="505">
        <f>IF($C90="DER-ED",VLOOKUP($B90,'DER-ED'!$A:$H,6,FALSE),IF($C90="DER-RD",VLOOKUP($B90,'DER-RD'!$A:$H,7,FALSE),))</f>
        <v>95.12</v>
      </c>
      <c r="H90" s="506">
        <f t="shared" ref="H90" si="49">G90*(1+($I$3))</f>
        <v>121.96</v>
      </c>
      <c r="I90" s="507">
        <f t="shared" ref="I90" si="50">ROUND((F90*H90),2)</f>
        <v>140950.39000000001</v>
      </c>
      <c r="J90" s="497">
        <f t="shared" si="44"/>
        <v>8.0000000000000002E-3</v>
      </c>
    </row>
    <row r="91" spans="1:15" ht="30" x14ac:dyDescent="0.25">
      <c r="A91" s="501" t="str">
        <f t="shared" si="47"/>
        <v>9.6</v>
      </c>
      <c r="B91" s="536" t="s">
        <v>832</v>
      </c>
      <c r="C91" s="502" t="s">
        <v>4379</v>
      </c>
      <c r="D91" s="537" t="str">
        <f>IF($C91="DER-ED",VLOOKUP($B91,'DER-ED'!$A:$H,2,FALSE),IF(C91="DER-RD",VLOOKUP($B91,'DER-RD'!$A:$F,2,FALSE),IF($C91="COMP.","&gt;&gt;&gt;&gt;&gt;&gt;&gt;&gt;&gt;&gt; Digite aqui a descrição e apresente a composição detalhada.","← Escolha o Orgão e digite o Código")))</f>
        <v>Fornecimento, preparo e aplicação de concreto Fck=20 MPa (brita 1 e 2) - (5% de perdas já incluído no custo)</v>
      </c>
      <c r="E91" s="502" t="str">
        <f>IF($C91="DER-ED",VLOOKUP($B91,'DER-ED'!$A:$H,3,FALSE),IF($C91="DER-RD",LOWER(VLOOKUP($B91,'DER-RD'!$A:$F,3,FALSE)),IF($C91="COMP.","digite"," ")))</f>
        <v>m3</v>
      </c>
      <c r="F91" s="533">
        <f>'Mem - Orla'!F78</f>
        <v>274.5</v>
      </c>
      <c r="G91" s="505">
        <f>IF($C91="DER-ED",VLOOKUP($B91,'DER-ED'!$A:$H,6,FALSE),IF($C91="DER-RD",VLOOKUP($B91,'DER-RD'!$A:$H,7,FALSE),))</f>
        <v>654.16</v>
      </c>
      <c r="H91" s="506">
        <f t="shared" ref="H91:H93" si="51">G91*(1+($I$3))</f>
        <v>838.76</v>
      </c>
      <c r="I91" s="507">
        <f t="shared" ref="I91:I93" si="52">ROUND((F91*H91),2)</f>
        <v>230239.62</v>
      </c>
      <c r="J91" s="497">
        <f t="shared" si="44"/>
        <v>1.2999999999999999E-2</v>
      </c>
    </row>
    <row r="92" spans="1:15" ht="30" x14ac:dyDescent="0.25">
      <c r="A92" s="501" t="str">
        <f t="shared" si="47"/>
        <v>9.7</v>
      </c>
      <c r="B92" s="536" t="s">
        <v>842</v>
      </c>
      <c r="C92" s="502" t="s">
        <v>4379</v>
      </c>
      <c r="D92" s="537" t="str">
        <f>IF($C92="DER-ED",VLOOKUP($B92,'DER-ED'!$A:$H,2,FALSE),IF(C92="DER-RD",VLOOKUP($B92,'DER-RD'!$A:$F,2,FALSE),IF($C92="COMP.","&gt;&gt;&gt;&gt;&gt;&gt;&gt;&gt;&gt;&gt; Digite aqui a descrição e apresente a composição detalhada.","← Escolha o Orgão e digite o Código")))</f>
        <v>Fornecimento, dobragem e colocação em fôrma, de armadura CA-60 B fina, diâmetro de 4.0 a 7.0mm</v>
      </c>
      <c r="E92" s="502" t="str">
        <f>IF($C92="DER-ED",VLOOKUP($B92,'DER-ED'!$A:$H,3,FALSE),IF($C92="DER-RD",LOWER(VLOOKUP($B92,'DER-RD'!$A:$F,3,FALSE)),IF($C92="COMP.","digite"," ")))</f>
        <v>kg</v>
      </c>
      <c r="F92" s="533">
        <f>'Mem - Orla'!F79</f>
        <v>73.2</v>
      </c>
      <c r="G92" s="505">
        <f>IF($C92="DER-ED",VLOOKUP($B92,'DER-ED'!$A:$H,6,FALSE),IF($C92="DER-RD",VLOOKUP($B92,'DER-RD'!$A:$H,7,FALSE),))</f>
        <v>15.75</v>
      </c>
      <c r="H92" s="506">
        <f t="shared" si="51"/>
        <v>20.190000000000001</v>
      </c>
      <c r="I92" s="507">
        <f t="shared" si="52"/>
        <v>1477.91</v>
      </c>
      <c r="J92" s="497">
        <f t="shared" si="44"/>
        <v>1E-4</v>
      </c>
    </row>
    <row r="93" spans="1:15" ht="30" x14ac:dyDescent="0.25">
      <c r="A93" s="501" t="str">
        <f t="shared" si="47"/>
        <v>9.8</v>
      </c>
      <c r="B93" s="536" t="s">
        <v>834</v>
      </c>
      <c r="C93" s="502" t="s">
        <v>4379</v>
      </c>
      <c r="D93" s="537" t="str">
        <f>IF($C93="DER-ED",VLOOKUP($B93,'DER-ED'!$A:$H,2,FALSE),IF(C93="DER-RD",VLOOKUP($B93,'DER-RD'!$A:$F,2,FALSE),IF($C93="COMP.","&gt;&gt;&gt;&gt;&gt;&gt;&gt;&gt;&gt;&gt; Digite aqui a descrição e apresente a composição detalhada.","← Escolha o Orgão e digite o Código")))</f>
        <v>Fornecimento, dobragem e colocação em fôrma, de armadura CA-50 A média, diâmetro de 6.3 a 10.0 mm</v>
      </c>
      <c r="E93" s="502" t="str">
        <f>IF($C93="DER-ED",VLOOKUP($B93,'DER-ED'!$A:$H,3,FALSE),IF($C93="DER-RD",LOWER(VLOOKUP($B93,'DER-RD'!$A:$F,3,FALSE)),IF($C93="COMP.","digite"," ")))</f>
        <v>kg</v>
      </c>
      <c r="F93" s="533">
        <f>'Mem - Orla'!F80</f>
        <v>9760</v>
      </c>
      <c r="G93" s="505">
        <f>IF($C93="DER-ED",VLOOKUP($B93,'DER-ED'!$A:$H,6,FALSE),IF($C93="DER-RD",VLOOKUP($B93,'DER-RD'!$A:$H,7,FALSE),))</f>
        <v>12.94</v>
      </c>
      <c r="H93" s="506">
        <f t="shared" si="51"/>
        <v>16.59</v>
      </c>
      <c r="I93" s="507">
        <f t="shared" si="52"/>
        <v>161918.39999999999</v>
      </c>
      <c r="J93" s="497">
        <f t="shared" si="44"/>
        <v>9.1999999999999998E-3</v>
      </c>
    </row>
    <row r="94" spans="1:15" x14ac:dyDescent="0.25">
      <c r="A94" s="501"/>
      <c r="B94" s="536"/>
      <c r="C94" s="502"/>
      <c r="D94" s="537"/>
      <c r="E94" s="502"/>
      <c r="F94" s="533"/>
      <c r="G94" s="505"/>
      <c r="H94" s="506"/>
      <c r="I94" s="507"/>
      <c r="J94" s="508"/>
    </row>
    <row r="95" spans="1:15" x14ac:dyDescent="0.25">
      <c r="A95" s="501" t="s">
        <v>98</v>
      </c>
      <c r="B95" s="510"/>
      <c r="C95" s="510"/>
      <c r="D95" s="543" t="s">
        <v>24769</v>
      </c>
      <c r="E95" s="502"/>
      <c r="F95" s="533"/>
      <c r="G95" s="534"/>
      <c r="H95" s="535"/>
      <c r="I95" s="514">
        <f>I85</f>
        <v>3840880.33</v>
      </c>
      <c r="J95" s="515"/>
      <c r="O95" s="516"/>
    </row>
    <row r="96" spans="1:15" x14ac:dyDescent="0.25">
      <c r="A96" s="547"/>
      <c r="B96" s="510"/>
      <c r="C96" s="510"/>
      <c r="D96" s="548"/>
      <c r="E96" s="510"/>
      <c r="F96" s="549"/>
      <c r="G96" s="550"/>
      <c r="H96" s="512"/>
      <c r="I96" s="551"/>
      <c r="J96" s="515"/>
    </row>
    <row r="97" spans="1:16" x14ac:dyDescent="0.25">
      <c r="A97" s="480">
        <v>10</v>
      </c>
      <c r="B97" s="796"/>
      <c r="C97" s="796"/>
      <c r="D97" s="482" t="s">
        <v>193</v>
      </c>
      <c r="E97" s="796"/>
      <c r="F97" s="517"/>
      <c r="G97" s="518"/>
      <c r="H97" s="797"/>
      <c r="I97" s="487">
        <f>SUBTOTAL(9,I98:I117)</f>
        <v>1057210.42</v>
      </c>
      <c r="J97" s="488">
        <f>I97/I159</f>
        <v>5.9900000000000002E-2</v>
      </c>
    </row>
    <row r="98" spans="1:16" ht="30" x14ac:dyDescent="0.25">
      <c r="A98" s="501" t="str">
        <f>CONCATENATE(A97,".",1)</f>
        <v>10.1</v>
      </c>
      <c r="B98" s="502" t="s">
        <v>4404</v>
      </c>
      <c r="C98" s="502" t="s">
        <v>24863</v>
      </c>
      <c r="D98" s="537" t="str">
        <f>'Comp. - Orla'!C469</f>
        <v>Caixa de passagem de concreto armado de 0,40 x 0,040 x 0,70m</v>
      </c>
      <c r="E98" s="502" t="str">
        <f>'Comp. - Orla'!C470</f>
        <v>und</v>
      </c>
      <c r="F98" s="533">
        <f>'Mem - Orla'!F82</f>
        <v>173</v>
      </c>
      <c r="G98" s="505">
        <f>'Comp. - Orla'!N504</f>
        <v>919.11</v>
      </c>
      <c r="H98" s="506">
        <f>G98*(1+($I$3))</f>
        <v>1178.48</v>
      </c>
      <c r="I98" s="507">
        <f>ROUND((F98*H98),2)</f>
        <v>203877.04</v>
      </c>
      <c r="J98" s="497">
        <f t="shared" ref="J98:J117" si="53">I98/$I$159</f>
        <v>1.1599999999999999E-2</v>
      </c>
    </row>
    <row r="99" spans="1:16" ht="30" x14ac:dyDescent="0.25">
      <c r="A99" s="501" t="str">
        <f>CONCATENATE($A$97,".",RIGHT(A98,LEN(A98)-3)+1)</f>
        <v>10.2</v>
      </c>
      <c r="B99" s="536" t="s">
        <v>4404</v>
      </c>
      <c r="C99" s="502" t="s">
        <v>25107</v>
      </c>
      <c r="D99" s="537" t="str">
        <f>'Comp. - Orla'!C1440</f>
        <v>Eletroduto de PVC flexível roscável, diâm. 4" (110mm), inclusive conexões</v>
      </c>
      <c r="E99" s="502" t="str">
        <f>'Comp. - Orla'!C1441</f>
        <v>m</v>
      </c>
      <c r="F99" s="533">
        <f>'Mem - Orla'!F83</f>
        <v>2489.4299999999998</v>
      </c>
      <c r="G99" s="505">
        <f>'Comp. - Orla'!N1473</f>
        <v>57.71</v>
      </c>
      <c r="H99" s="506">
        <f>G99*(1+($I$3))</f>
        <v>74</v>
      </c>
      <c r="I99" s="507">
        <f>ROUND((F99*H99),2)</f>
        <v>184217.82</v>
      </c>
      <c r="J99" s="497">
        <f t="shared" si="53"/>
        <v>1.04E-2</v>
      </c>
      <c r="P99" s="545"/>
    </row>
    <row r="100" spans="1:16" x14ac:dyDescent="0.25">
      <c r="A100" s="501" t="str">
        <f t="shared" ref="A100:A117" si="54">CONCATENATE($A$97,".",RIGHT(A99,LEN(A99)-3)+1)</f>
        <v>10.3</v>
      </c>
      <c r="B100" s="536" t="s">
        <v>4404</v>
      </c>
      <c r="C100" s="502" t="s">
        <v>24897</v>
      </c>
      <c r="D100" s="537" t="str">
        <f>'Comp. - Orla'!C510</f>
        <v>Luminária Solar UFO 300W</v>
      </c>
      <c r="E100" s="502" t="str">
        <f>'Comp. - Orla'!C511</f>
        <v>und</v>
      </c>
      <c r="F100" s="533">
        <f>'Mem - Orla'!F84</f>
        <v>161</v>
      </c>
      <c r="G100" s="505">
        <f>'Comp. - Orla'!N543</f>
        <v>705.27</v>
      </c>
      <c r="H100" s="506">
        <f t="shared" ref="H100:H108" si="55">G100*(1+($I$3))</f>
        <v>904.3</v>
      </c>
      <c r="I100" s="507">
        <f t="shared" ref="I100:I108" si="56">ROUND((F100*H100),2)</f>
        <v>145592.29999999999</v>
      </c>
      <c r="J100" s="497">
        <f t="shared" si="53"/>
        <v>8.3000000000000001E-3</v>
      </c>
    </row>
    <row r="101" spans="1:16" ht="75" x14ac:dyDescent="0.25">
      <c r="A101" s="501" t="str">
        <f t="shared" si="54"/>
        <v>10.4</v>
      </c>
      <c r="B101" s="536" t="s">
        <v>1548</v>
      </c>
      <c r="C101" s="502" t="s">
        <v>4379</v>
      </c>
      <c r="D101" s="537" t="str">
        <f>IF($C101="DER-ED",VLOOKUP($B101,'DER-ED'!$A:$H,2,FALSE),IF(C101="DER-RD",VLOOKUP($B101,'DER-RD'!$A:$F,2,FALSE),IF($C101="COMP.","&gt;&gt;&gt;&gt;&gt;&gt;&gt;&gt;&gt;&gt; Digite aqui a descrição e apresente a composição detalhada.","← Escolha o Orgão e digite o Código")))</f>
        <v>Quadro distrib. energia, embutido ou semi embutido, capac. p/ 34 disj. DIN, c/barram trif. 150A barra. neutro e terra, fab. em chapa de aço 12 USG com porta, espelho, trinco com fechad ch yale, Ref. QDETG II-34DIN-CEMAR ou equiv.</v>
      </c>
      <c r="E101" s="502" t="str">
        <f>IF($C101="DER-ED",VLOOKUP($B101,'DER-ED'!$A:$H,3,FALSE),IF($C101="DER-RD",LOWER(VLOOKUP($B101,'DER-RD'!$A:$F,3,FALSE)),IF($C101="COMP.","digite"," ")))</f>
        <v>und</v>
      </c>
      <c r="F101" s="533">
        <f>'Mem - Orla'!F85</f>
        <v>6</v>
      </c>
      <c r="G101" s="505">
        <f>IF($C101="DER-ED",VLOOKUP($B101,'DER-ED'!$A:$H,6,FALSE),IF($C101="DER-RD",VLOOKUP($B101,'DER-RD'!$A:$H,7,FALSE),))</f>
        <v>1226.7</v>
      </c>
      <c r="H101" s="506">
        <f>G101*(1+($I$3))</f>
        <v>1572.87</v>
      </c>
      <c r="I101" s="507">
        <f>ROUND((F101*H101),2)</f>
        <v>9437.2199999999993</v>
      </c>
      <c r="J101" s="497">
        <f t="shared" si="53"/>
        <v>5.0000000000000001E-4</v>
      </c>
      <c r="P101" s="545"/>
    </row>
    <row r="102" spans="1:16" ht="30" x14ac:dyDescent="0.25">
      <c r="A102" s="501" t="str">
        <f t="shared" si="54"/>
        <v>10.5</v>
      </c>
      <c r="B102" s="536" t="s">
        <v>4404</v>
      </c>
      <c r="C102" s="502" t="s">
        <v>24778</v>
      </c>
      <c r="D102" s="537" t="str">
        <f>'Comp. - Orla'!C549</f>
        <v>Relé Fotoelétrico para comando de iluminação externa 1000 W - fornecimento e instalação</v>
      </c>
      <c r="E102" s="502" t="str">
        <f>'Comp. - Orla'!C550</f>
        <v>und</v>
      </c>
      <c r="F102" s="533">
        <f>'Mem - Orla'!F86</f>
        <v>6</v>
      </c>
      <c r="G102" s="505">
        <f>'Comp. - Orla'!N583</f>
        <v>41.47</v>
      </c>
      <c r="H102" s="506">
        <f t="shared" si="55"/>
        <v>53.17</v>
      </c>
      <c r="I102" s="507">
        <f t="shared" si="56"/>
        <v>319.02</v>
      </c>
      <c r="J102" s="552">
        <f t="shared" si="53"/>
        <v>2.0000000000000002E-5</v>
      </c>
      <c r="O102" s="466" t="s">
        <v>98</v>
      </c>
    </row>
    <row r="103" spans="1:16" ht="30" x14ac:dyDescent="0.25">
      <c r="A103" s="501" t="str">
        <f t="shared" si="54"/>
        <v>10.6</v>
      </c>
      <c r="B103" s="536" t="s">
        <v>4404</v>
      </c>
      <c r="C103" s="502" t="s">
        <v>24779</v>
      </c>
      <c r="D103" s="537" t="str">
        <f>'Comp. - Orla'!C589</f>
        <v>Disjuntor a Seco 1 Polo, 25A, Curva B - fornecimento e instalação</v>
      </c>
      <c r="E103" s="502" t="str">
        <f>'Comp. - Orla'!C590</f>
        <v>und</v>
      </c>
      <c r="F103" s="533">
        <f>'Mem - Orla'!F87</f>
        <v>5</v>
      </c>
      <c r="G103" s="505">
        <f>'Comp. - Orla'!N622</f>
        <v>22.68</v>
      </c>
      <c r="H103" s="506">
        <f t="shared" si="55"/>
        <v>29.08</v>
      </c>
      <c r="I103" s="507">
        <f t="shared" si="56"/>
        <v>145.4</v>
      </c>
      <c r="J103" s="552">
        <f t="shared" si="53"/>
        <v>1.0000000000000001E-5</v>
      </c>
    </row>
    <row r="104" spans="1:16" ht="30" x14ac:dyDescent="0.25">
      <c r="A104" s="501" t="str">
        <f t="shared" si="54"/>
        <v>10.7</v>
      </c>
      <c r="B104" s="536" t="s">
        <v>4404</v>
      </c>
      <c r="C104" s="502" t="s">
        <v>24782</v>
      </c>
      <c r="D104" s="537" t="str">
        <f>'Comp. - Orla'!C628</f>
        <v>Disjuntor a Seco 1 Polo, 80A, Curva C - fornecimento e instalação</v>
      </c>
      <c r="E104" s="502" t="str">
        <f>'Comp. - Orla'!C629</f>
        <v>und</v>
      </c>
      <c r="F104" s="533">
        <f>'Mem - Orla'!F88</f>
        <v>3</v>
      </c>
      <c r="G104" s="505">
        <f>'Comp. - Orla'!N661</f>
        <v>77.7</v>
      </c>
      <c r="H104" s="506">
        <f t="shared" si="55"/>
        <v>99.63</v>
      </c>
      <c r="I104" s="507">
        <f t="shared" si="56"/>
        <v>298.89</v>
      </c>
      <c r="J104" s="552">
        <f t="shared" si="53"/>
        <v>2.0000000000000002E-5</v>
      </c>
      <c r="O104" s="466" t="s">
        <v>98</v>
      </c>
    </row>
    <row r="105" spans="1:16" ht="30" x14ac:dyDescent="0.25">
      <c r="A105" s="501" t="str">
        <f t="shared" si="54"/>
        <v>10.8</v>
      </c>
      <c r="B105" s="536" t="s">
        <v>4404</v>
      </c>
      <c r="C105" s="502" t="s">
        <v>24783</v>
      </c>
      <c r="D105" s="537" t="str">
        <f>'Comp. - Orla'!C667</f>
        <v>Disjuntor a Seco 1 Polo, 20A, Curva B - fornecimento e instalação</v>
      </c>
      <c r="E105" s="502" t="str">
        <f>'Comp. - Orla'!C668</f>
        <v>und</v>
      </c>
      <c r="F105" s="533">
        <f>'Mem - Orla'!F89</f>
        <v>16</v>
      </c>
      <c r="G105" s="505">
        <f>'Comp. - Orla'!N700</f>
        <v>23.21</v>
      </c>
      <c r="H105" s="506">
        <f t="shared" si="55"/>
        <v>29.76</v>
      </c>
      <c r="I105" s="507">
        <f t="shared" si="56"/>
        <v>476.16</v>
      </c>
      <c r="J105" s="552">
        <f t="shared" si="53"/>
        <v>3.0000000000000001E-5</v>
      </c>
    </row>
    <row r="106" spans="1:16" ht="30" x14ac:dyDescent="0.25">
      <c r="A106" s="501" t="str">
        <f t="shared" si="54"/>
        <v>10.9</v>
      </c>
      <c r="B106" s="536" t="s">
        <v>4404</v>
      </c>
      <c r="C106" s="502" t="s">
        <v>24787</v>
      </c>
      <c r="D106" s="537" t="str">
        <f>'Comp. - Orla'!C706</f>
        <v>Disjuntor a Seco 1 Polo, 16A, Curva B - fornecimento e instalação</v>
      </c>
      <c r="E106" s="502" t="str">
        <f>'Comp. - Orla'!C707</f>
        <v>und</v>
      </c>
      <c r="F106" s="533">
        <f>'Mem - Orla'!F90</f>
        <v>3</v>
      </c>
      <c r="G106" s="505">
        <f>'Comp. - Orla'!N739</f>
        <v>20.34</v>
      </c>
      <c r="H106" s="506">
        <f t="shared" si="55"/>
        <v>26.08</v>
      </c>
      <c r="I106" s="507">
        <f t="shared" si="56"/>
        <v>78.239999999999995</v>
      </c>
      <c r="J106" s="552">
        <f t="shared" si="53"/>
        <v>0</v>
      </c>
    </row>
    <row r="107" spans="1:16" ht="30" x14ac:dyDescent="0.25">
      <c r="A107" s="501" t="str">
        <f t="shared" si="54"/>
        <v>10.10</v>
      </c>
      <c r="B107" s="536" t="s">
        <v>4404</v>
      </c>
      <c r="C107" s="502" t="s">
        <v>24898</v>
      </c>
      <c r="D107" s="537" t="str">
        <f>'Comp. - Orla'!C745</f>
        <v>Disjuntor a Seco 1 Polo, 63A, Curva C - fornecimento e instalação</v>
      </c>
      <c r="E107" s="502" t="str">
        <f>'Comp. - Orla'!C746</f>
        <v>und</v>
      </c>
      <c r="F107" s="533">
        <f>'Mem - Orla'!F91</f>
        <v>1</v>
      </c>
      <c r="G107" s="505">
        <f>'Comp. - Orla'!N778</f>
        <v>28.81</v>
      </c>
      <c r="H107" s="506">
        <f t="shared" si="55"/>
        <v>36.94</v>
      </c>
      <c r="I107" s="507">
        <f t="shared" si="56"/>
        <v>36.94</v>
      </c>
      <c r="J107" s="553">
        <f t="shared" si="53"/>
        <v>1.9999999999999999E-6</v>
      </c>
    </row>
    <row r="108" spans="1:16" ht="30" x14ac:dyDescent="0.25">
      <c r="A108" s="501" t="str">
        <f t="shared" si="54"/>
        <v>10.11</v>
      </c>
      <c r="B108" s="536" t="s">
        <v>4404</v>
      </c>
      <c r="C108" s="502" t="s">
        <v>4406</v>
      </c>
      <c r="D108" s="537" t="str">
        <f>'Comp. - Orla'!C784</f>
        <v>Disjuntor a Seco 1 Polo, 70A, Curva C - fornecimento e instalação</v>
      </c>
      <c r="E108" s="502" t="str">
        <f>'Comp. - Orla'!C785</f>
        <v>und</v>
      </c>
      <c r="F108" s="533">
        <f>'Mem - Orla'!F92</f>
        <v>2</v>
      </c>
      <c r="G108" s="505">
        <f>'Comp. - Orla'!N817</f>
        <v>31.6</v>
      </c>
      <c r="H108" s="506">
        <f t="shared" si="55"/>
        <v>40.520000000000003</v>
      </c>
      <c r="I108" s="507">
        <f t="shared" si="56"/>
        <v>81.040000000000006</v>
      </c>
      <c r="J108" s="552">
        <f t="shared" si="53"/>
        <v>0</v>
      </c>
    </row>
    <row r="109" spans="1:16" ht="30" x14ac:dyDescent="0.25">
      <c r="A109" s="501" t="str">
        <f t="shared" si="54"/>
        <v>10.12</v>
      </c>
      <c r="B109" s="536" t="s">
        <v>1824</v>
      </c>
      <c r="C109" s="502" t="s">
        <v>4379</v>
      </c>
      <c r="D109" s="537" t="str">
        <f>IF($C109="DER-ED",VLOOKUP($B109,'DER-ED'!$A:$H,2,FALSE),IF(C109="DER-RD",VLOOKUP($B109,'DER-RD'!$A:$F,2,FALSE),IF($C109="COMP.","&gt;&gt;&gt;&gt;&gt;&gt;&gt;&gt;&gt;&gt; Digite aqui a descrição e apresente a composição detalhada.","← Escolha o Orgão e digite o Código")))</f>
        <v>Fio de cobre termoplástico, com isolamento para 750V, seção de 2.5 mm2</v>
      </c>
      <c r="E109" s="502" t="str">
        <f>IF($C109="DER-ED",VLOOKUP($B109,'DER-ED'!$A:$H,3,FALSE),IF($C109="DER-RD",LOWER(VLOOKUP($B109,'DER-RD'!$A:$F,3,FALSE)),IF($C109="COMP.","digite"," ")))</f>
        <v>m</v>
      </c>
      <c r="F109" s="533">
        <f>'Mem - Orla'!F93</f>
        <v>2510.44</v>
      </c>
      <c r="G109" s="505">
        <f>IF($C109="DER-ED",VLOOKUP($B109,'DER-ED'!$A:$H,6,FALSE),IF($C109="DER-RD",VLOOKUP($B109,'DER-RD'!$A:$H,7,FALSE),))</f>
        <v>6.65</v>
      </c>
      <c r="H109" s="506">
        <f t="shared" ref="H109:H113" si="57">G109*(1+($I$3))</f>
        <v>8.5299999999999994</v>
      </c>
      <c r="I109" s="507">
        <f t="shared" ref="I109:I113" si="58">ROUND((F109*H109),2)</f>
        <v>21414.05</v>
      </c>
      <c r="J109" s="497">
        <f t="shared" si="53"/>
        <v>1.1999999999999999E-3</v>
      </c>
    </row>
    <row r="110" spans="1:16" ht="30" x14ac:dyDescent="0.25">
      <c r="A110" s="501" t="str">
        <f t="shared" si="54"/>
        <v>10.13</v>
      </c>
      <c r="B110" s="536" t="s">
        <v>1825</v>
      </c>
      <c r="C110" s="502" t="s">
        <v>4379</v>
      </c>
      <c r="D110" s="537" t="str">
        <f>IF($C110="DER-ED",VLOOKUP($B110,'DER-ED'!$A:$H,2,FALSE),IF(C110="DER-RD",VLOOKUP($B110,'DER-RD'!$A:$F,2,FALSE),IF($C110="COMP.","&gt;&gt;&gt;&gt;&gt;&gt;&gt;&gt;&gt;&gt; Digite aqui a descrição e apresente a composição detalhada.","← Escolha o Orgão e digite o Código")))</f>
        <v>Fio ou cabo de cobre termoplástico, com isolamento para 750V, seção de 4.0 mm2</v>
      </c>
      <c r="E110" s="502" t="str">
        <f>IF($C110="DER-ED",VLOOKUP($B110,'DER-ED'!$A:$H,3,FALSE),IF($C110="DER-RD",LOWER(VLOOKUP($B110,'DER-RD'!$A:$F,3,FALSE)),IF($C110="COMP.","digite"," ")))</f>
        <v>m</v>
      </c>
      <c r="F110" s="533">
        <f>'Mem - Orla'!F94</f>
        <v>114.76</v>
      </c>
      <c r="G110" s="505">
        <f>IF($C110="DER-ED",VLOOKUP($B110,'DER-ED'!$A:$H,6,FALSE),IF($C110="DER-RD",VLOOKUP($B110,'DER-RD'!$A:$H,7,FALSE),))</f>
        <v>9.17</v>
      </c>
      <c r="H110" s="506">
        <f t="shared" si="57"/>
        <v>11.76</v>
      </c>
      <c r="I110" s="507">
        <f t="shared" si="58"/>
        <v>1349.58</v>
      </c>
      <c r="J110" s="497">
        <f t="shared" si="53"/>
        <v>1E-4</v>
      </c>
    </row>
    <row r="111" spans="1:16" ht="30" x14ac:dyDescent="0.25">
      <c r="A111" s="501" t="str">
        <f t="shared" si="54"/>
        <v>10.14</v>
      </c>
      <c r="B111" s="536" t="s">
        <v>1826</v>
      </c>
      <c r="C111" s="502" t="s">
        <v>4379</v>
      </c>
      <c r="D111" s="537" t="str">
        <f>IF($C111="DER-ED",VLOOKUP($B111,'DER-ED'!$A:$H,2,FALSE),IF(C111="DER-RD",VLOOKUP($B111,'DER-RD'!$A:$F,2,FALSE),IF($C111="COMP.","&gt;&gt;&gt;&gt;&gt;&gt;&gt;&gt;&gt;&gt; Digite aqui a descrição e apresente a composição detalhada.","← Escolha o Orgão e digite o Código")))</f>
        <v>Fio ou cabo de cobre termoplástico, com isolamento para 750V, seção de 6.0 mm2</v>
      </c>
      <c r="E111" s="502" t="str">
        <f>IF($C111="DER-ED",VLOOKUP($B111,'DER-ED'!$A:$H,3,FALSE),IF($C111="DER-RD",LOWER(VLOOKUP($B111,'DER-RD'!$A:$F,3,FALSE)),IF($C111="COMP.","digite"," ")))</f>
        <v>m</v>
      </c>
      <c r="F111" s="533">
        <f>'Mem - Orla'!F95</f>
        <v>1012.31</v>
      </c>
      <c r="G111" s="505">
        <f>IF($C111="DER-ED",VLOOKUP($B111,'DER-ED'!$A:$H,6,FALSE),IF($C111="DER-RD",VLOOKUP($B111,'DER-RD'!$A:$H,7,FALSE),))</f>
        <v>11.89</v>
      </c>
      <c r="H111" s="506">
        <f t="shared" si="57"/>
        <v>15.25</v>
      </c>
      <c r="I111" s="507">
        <f t="shared" si="58"/>
        <v>15437.73</v>
      </c>
      <c r="J111" s="497">
        <f t="shared" si="53"/>
        <v>8.9999999999999998E-4</v>
      </c>
    </row>
    <row r="112" spans="1:16" ht="30" x14ac:dyDescent="0.25">
      <c r="A112" s="501" t="str">
        <f t="shared" si="54"/>
        <v>10.15</v>
      </c>
      <c r="B112" s="536" t="s">
        <v>1828</v>
      </c>
      <c r="C112" s="502" t="s">
        <v>4379</v>
      </c>
      <c r="D112" s="537" t="str">
        <f>IF($C112="DER-ED",VLOOKUP($B112,'DER-ED'!$A:$H,2,FALSE),IF(C112="DER-RD",VLOOKUP($B112,'DER-RD'!$A:$F,2,FALSE),IF($C112="COMP.","&gt;&gt;&gt;&gt;&gt;&gt;&gt;&gt;&gt;&gt; Digite aqui a descrição e apresente a composição detalhada.","← Escolha o Orgão e digite o Código")))</f>
        <v>Fio ou cabo de cobre termoplástico, com isolamento para 750V, seção de 10.0 mm2</v>
      </c>
      <c r="E112" s="502" t="str">
        <f>IF($C112="DER-ED",VLOOKUP($B112,'DER-ED'!$A:$H,3,FALSE),IF($C112="DER-RD",LOWER(VLOOKUP($B112,'DER-RD'!$A:$F,3,FALSE)),IF($C112="COMP.","digite"," ")))</f>
        <v>m</v>
      </c>
      <c r="F112" s="533">
        <f>'Mem - Orla'!F96</f>
        <v>2957.55</v>
      </c>
      <c r="G112" s="505">
        <f>IF($C112="DER-ED",VLOOKUP($B112,'DER-ED'!$A:$H,6,FALSE),IF($C112="DER-RD",VLOOKUP($B112,'DER-RD'!$A:$H,7,FALSE),))</f>
        <v>16.7</v>
      </c>
      <c r="H112" s="506">
        <f t="shared" si="57"/>
        <v>21.41</v>
      </c>
      <c r="I112" s="507">
        <f t="shared" si="58"/>
        <v>63321.15</v>
      </c>
      <c r="J112" s="497">
        <f t="shared" si="53"/>
        <v>3.5999999999999999E-3</v>
      </c>
    </row>
    <row r="113" spans="1:13" ht="30" x14ac:dyDescent="0.25">
      <c r="A113" s="501" t="str">
        <f t="shared" si="54"/>
        <v>10.16</v>
      </c>
      <c r="B113" s="536" t="s">
        <v>1830</v>
      </c>
      <c r="C113" s="502" t="s">
        <v>4379</v>
      </c>
      <c r="D113" s="537" t="str">
        <f>IF($C113="DER-ED",VLOOKUP($B113,'DER-ED'!$A:$H,2,FALSE),IF(C113="DER-RD",VLOOKUP($B113,'DER-RD'!$A:$F,2,FALSE),IF($C113="COMP.","&gt;&gt;&gt;&gt;&gt;&gt;&gt;&gt;&gt;&gt; Digite aqui a descrição e apresente a composição detalhada.","← Escolha o Orgão e digite o Código")))</f>
        <v>Fio ou cabo de cobre termoplástico, com isolamento para 750V, seção de 16.0 mm2</v>
      </c>
      <c r="E113" s="502" t="str">
        <f>IF($C113="DER-ED",VLOOKUP($B113,'DER-ED'!$A:$H,3,FALSE),IF($C113="DER-RD",LOWER(VLOOKUP($B113,'DER-RD'!$A:$F,3,FALSE)),IF($C113="COMP.","digite"," ")))</f>
        <v>m</v>
      </c>
      <c r="F113" s="533">
        <f>'Mem - Orla'!F97</f>
        <v>1667.93</v>
      </c>
      <c r="G113" s="505">
        <f>IF($C113="DER-ED",VLOOKUP($B113,'DER-ED'!$A:$H,6,FALSE),IF($C113="DER-RD",VLOOKUP($B113,'DER-RD'!$A:$H,7,FALSE),))</f>
        <v>25.61</v>
      </c>
      <c r="H113" s="506">
        <f t="shared" si="57"/>
        <v>32.840000000000003</v>
      </c>
      <c r="I113" s="507">
        <f t="shared" si="58"/>
        <v>54774.82</v>
      </c>
      <c r="J113" s="497">
        <f t="shared" si="53"/>
        <v>3.0999999999999999E-3</v>
      </c>
    </row>
    <row r="114" spans="1:13" ht="60" x14ac:dyDescent="0.25">
      <c r="A114" s="501" t="str">
        <f t="shared" si="54"/>
        <v>10.17</v>
      </c>
      <c r="B114" s="536" t="s">
        <v>1583</v>
      </c>
      <c r="C114" s="502" t="s">
        <v>4379</v>
      </c>
      <c r="D114" s="537" t="str">
        <f>IF($C114="DER-ED",VLOOKUP($B114,'DER-ED'!$A:$H,2,FALSE),IF(C114="DER-RD",VLOOKUP($B114,'DER-RD'!$A:$F,2,FALSE),IF($C114="COMP.","&gt;&gt;&gt;&gt;&gt;&gt;&gt;&gt;&gt;&gt; Digite aqui a descrição e apresente a composição detalhada.","← Escolha o Orgão e digite o Código")))</f>
        <v>Envelopamento de concreto simples com consumo mínimo de cimento de 250kg/m3, inclusive escavação para profundidade mínima do eletroduto de 50 cm, de 25 x 30 cm, para 2 eletrodutos</v>
      </c>
      <c r="E114" s="502" t="str">
        <f>IF($C114="DER-ED",VLOOKUP($B114,'DER-ED'!$A:$H,3,FALSE),IF($C114="DER-RD",LOWER(VLOOKUP($B114,'DER-RD'!$A:$F,3,FALSE)),IF($C114="COMP.","digite"," ")))</f>
        <v>m</v>
      </c>
      <c r="F114" s="533">
        <f>'Mem - Orla'!F98</f>
        <v>2480.4299999999998</v>
      </c>
      <c r="G114" s="505">
        <f>IF($C114="DER-ED",VLOOKUP($B114,'DER-ED'!$A:$H,6,FALSE),IF($C114="DER-RD",VLOOKUP($B114,'DER-RD'!$A:$H,7,FALSE),))</f>
        <v>55.69</v>
      </c>
      <c r="H114" s="506">
        <f t="shared" ref="H114" si="59">G114*(1+($I$3))</f>
        <v>71.41</v>
      </c>
      <c r="I114" s="507">
        <f t="shared" ref="I114" si="60">ROUND((F114*H114),2)</f>
        <v>177127.51</v>
      </c>
      <c r="J114" s="497">
        <f t="shared" si="53"/>
        <v>0.01</v>
      </c>
    </row>
    <row r="115" spans="1:13" ht="60" x14ac:dyDescent="0.25">
      <c r="A115" s="501" t="str">
        <f t="shared" si="54"/>
        <v>10.18</v>
      </c>
      <c r="B115" s="536" t="s">
        <v>4404</v>
      </c>
      <c r="C115" s="502" t="s">
        <v>4412</v>
      </c>
      <c r="D115" s="537" t="str">
        <f>'Comp. - Orla'!C1026</f>
        <v>POSTE CONICO CONTINUO EM ACO GALVANIZADO, RETO, FLANGEADO, H = 3 M, DIAMETRO  INFERIOR = *95* MM, SEM LUMINÁRIA - FORNECIMENTO, INSTALAÇÃO E PINTURA</v>
      </c>
      <c r="E115" s="502" t="str">
        <f>'Comp. - Orla'!C1027</f>
        <v>und</v>
      </c>
      <c r="F115" s="533">
        <f>'Mem - Orla'!F99</f>
        <v>161</v>
      </c>
      <c r="G115" s="505">
        <f>'Comp. - Orla'!N1067</f>
        <v>861.68</v>
      </c>
      <c r="H115" s="506">
        <f t="shared" ref="H115" si="61">G115*(1+($I$3))</f>
        <v>1104.8499999999999</v>
      </c>
      <c r="I115" s="507">
        <f t="shared" ref="I115" si="62">ROUND((F115*H115),2)</f>
        <v>177880.85</v>
      </c>
      <c r="J115" s="497">
        <f t="shared" si="53"/>
        <v>1.01E-2</v>
      </c>
    </row>
    <row r="116" spans="1:13" ht="30" x14ac:dyDescent="0.25">
      <c r="A116" s="501" t="str">
        <f t="shared" si="54"/>
        <v>10.19</v>
      </c>
      <c r="B116" s="536" t="s">
        <v>4404</v>
      </c>
      <c r="C116" s="502" t="s">
        <v>25062</v>
      </c>
      <c r="D116" s="537" t="str">
        <f>'Comp. - Orla'!C1320</f>
        <v>Luva para eletroduto, pvc, roscável, dn 110mm (4'') - fornecimento e instalação</v>
      </c>
      <c r="E116" s="502" t="str">
        <f>'Comp. - Orla'!C1321</f>
        <v>und</v>
      </c>
      <c r="F116" s="533">
        <f>'Mem - Orla'!F100</f>
        <v>12</v>
      </c>
      <c r="G116" s="505">
        <f>'Comp. - Orla'!N1353</f>
        <v>47.53</v>
      </c>
      <c r="H116" s="506">
        <f t="shared" ref="H116" si="63">G116*(1+($I$3))</f>
        <v>60.94</v>
      </c>
      <c r="I116" s="507">
        <f t="shared" ref="I116" si="64">ROUND((F116*H116),2)</f>
        <v>731.28</v>
      </c>
      <c r="J116" s="552">
        <f t="shared" si="53"/>
        <v>4.0000000000000003E-5</v>
      </c>
    </row>
    <row r="117" spans="1:13" ht="30" x14ac:dyDescent="0.25">
      <c r="A117" s="501" t="str">
        <f t="shared" si="54"/>
        <v>10.20</v>
      </c>
      <c r="B117" s="536" t="s">
        <v>4404</v>
      </c>
      <c r="C117" s="502" t="s">
        <v>25063</v>
      </c>
      <c r="D117" s="537" t="str">
        <f>'Comp. - Orla'!C1360</f>
        <v>Curva 90 graus para eletroduto, pvc, roscável, dn 110 mm (4'') - fornecimento e instalação</v>
      </c>
      <c r="E117" s="502" t="str">
        <f>'Comp. - Orla'!C1361</f>
        <v>und</v>
      </c>
      <c r="F117" s="533">
        <f>'Mem - Orla'!F101</f>
        <v>6</v>
      </c>
      <c r="G117" s="505">
        <f>'Comp. - Orla'!N1393</f>
        <v>79.73</v>
      </c>
      <c r="H117" s="506">
        <f t="shared" ref="H117" si="65">G117*(1+($I$3))</f>
        <v>102.23</v>
      </c>
      <c r="I117" s="507">
        <f t="shared" ref="I117" si="66">ROUND((F117*H117),2)</f>
        <v>613.38</v>
      </c>
      <c r="J117" s="552">
        <f t="shared" si="53"/>
        <v>3.0000000000000001E-5</v>
      </c>
    </row>
    <row r="118" spans="1:13" x14ac:dyDescent="0.25">
      <c r="A118" s="501" t="s">
        <v>98</v>
      </c>
      <c r="B118" s="502"/>
      <c r="C118" s="502"/>
      <c r="D118" s="543" t="s">
        <v>541</v>
      </c>
      <c r="E118" s="502"/>
      <c r="F118" s="533"/>
      <c r="G118" s="534"/>
      <c r="H118" s="535"/>
      <c r="I118" s="514">
        <f>I97</f>
        <v>1057210.42</v>
      </c>
      <c r="J118" s="515"/>
    </row>
    <row r="119" spans="1:13" x14ac:dyDescent="0.25">
      <c r="A119" s="501"/>
      <c r="B119" s="554"/>
      <c r="C119" s="502"/>
      <c r="D119" s="537"/>
      <c r="E119" s="502"/>
      <c r="F119" s="555"/>
      <c r="G119" s="534"/>
      <c r="H119" s="556"/>
      <c r="I119" s="557"/>
      <c r="J119" s="508"/>
    </row>
    <row r="120" spans="1:13" x14ac:dyDescent="0.25">
      <c r="A120" s="798">
        <v>11</v>
      </c>
      <c r="B120" s="481"/>
      <c r="C120" s="796"/>
      <c r="D120" s="799" t="s">
        <v>24768</v>
      </c>
      <c r="E120" s="796"/>
      <c r="F120" s="517"/>
      <c r="G120" s="800"/>
      <c r="H120" s="518"/>
      <c r="I120" s="487">
        <f>SUBTOTAL(9,I121:I123)</f>
        <v>92962.05</v>
      </c>
      <c r="J120" s="488">
        <f>I120/I159</f>
        <v>5.3E-3</v>
      </c>
    </row>
    <row r="121" spans="1:13" ht="30" x14ac:dyDescent="0.25">
      <c r="A121" s="501" t="str">
        <f>CONCATENATE(A120,".",1)</f>
        <v>11.1</v>
      </c>
      <c r="B121" s="558">
        <v>43067</v>
      </c>
      <c r="C121" s="502" t="s">
        <v>4389</v>
      </c>
      <c r="D121" s="537" t="str">
        <f>IF($C121="SINAPI",VLOOKUP($B121,SINAPI!A:D,2,FALSE),IF($C121="DER-ED",VLOOKUP($B121,'DER-ED'!$A:$H,2,FALSE),IF(C121="DER-RD",VLOOKUP($B121,'DER-RD'!$A:$F,2,FALSE),IF($C121="COMP.","&gt;&gt;&gt;&gt;&gt;&gt;&gt;&gt;&gt;&gt; Digite aqui a descrição e apresente a composição detalhada.","← Escolha o Orgão e digite o Código"))))</f>
        <v>Religação de rede de água em PVC DN 75 mm, inclusive conexões, em Vias Urbanas</v>
      </c>
      <c r="E121" s="502" t="str">
        <f>IF($C121="DER-ED",VLOOKUP($B121,'DER-ED'!$A:$H,3,FALSE),IF($C121="DER-RD",LOWER(VLOOKUP($B121,'DER-RD'!$A:$F,3,FALSE)),IF($C121="COMP.","digite"," ")))</f>
        <v>m</v>
      </c>
      <c r="F121" s="533">
        <f>'Mem - Orla'!F103</f>
        <v>285</v>
      </c>
      <c r="G121" s="505">
        <f>IF($C121="DER-ED",VLOOKUP($B121,'DER-ED'!$A:$H,6,FALSE),IF($C121="DER-RD",VLOOKUP($B121,'DER-RD'!$A:$H,7,FALSE),))</f>
        <v>93.18</v>
      </c>
      <c r="H121" s="506">
        <f>G121*(1+($I$3))</f>
        <v>119.48</v>
      </c>
      <c r="I121" s="507">
        <f>ROUND((F121*H121),2)</f>
        <v>34051.800000000003</v>
      </c>
      <c r="J121" s="497">
        <f>I121/$I$159</f>
        <v>1.9E-3</v>
      </c>
    </row>
    <row r="122" spans="1:13" ht="30" x14ac:dyDescent="0.25">
      <c r="A122" s="559" t="str">
        <f>CONCATENATE($A$120,".",RIGHT(A121,LEN(A121)-3)+1)</f>
        <v>11.2</v>
      </c>
      <c r="B122" s="558">
        <v>43068</v>
      </c>
      <c r="C122" s="502" t="s">
        <v>4389</v>
      </c>
      <c r="D122" s="537" t="str">
        <f>IF($C122="SINAPI",VLOOKUP($B122,SINAPI!A:D,2,FALSE),IF($C122="DER-ED",VLOOKUP($B122,'DER-ED'!$A:$H,2,FALSE),IF(C122="DER-RD",VLOOKUP($B122,'DER-RD'!$A:$F,2,FALSE),IF($C122="COMP.","&gt;&gt;&gt;&gt;&gt;&gt;&gt;&gt;&gt;&gt; Digite aqui a descrição e apresente a composição detalhada.","← Escolha o Orgão e digite o Código"))))</f>
        <v>Remanejamento de ligação e religação de redes de esgoto, em Vias Urbanas</v>
      </c>
      <c r="E122" s="502" t="str">
        <f>IF($C122="DER-ED",VLOOKUP($B122,'DER-ED'!$A:$H,3,FALSE),IF($C122="DER-RD",LOWER(VLOOKUP($B122,'DER-RD'!$A:$F,3,FALSE)),IF($C122="COMP.","digite"," ")))</f>
        <v>m</v>
      </c>
      <c r="F122" s="533">
        <f>'Mem - Orla'!F104</f>
        <v>285</v>
      </c>
      <c r="G122" s="505">
        <f>IF($C122="DER-ED",VLOOKUP($B122,'DER-ED'!$A:$H,6,FALSE),IF($C122="DER-RD",VLOOKUP($B122,'DER-RD'!$A:$H,7,FALSE),))</f>
        <v>80.72</v>
      </c>
      <c r="H122" s="506">
        <f>G122*(1+($I$3))</f>
        <v>103.5</v>
      </c>
      <c r="I122" s="507">
        <f>ROUND((F122*H122),2)</f>
        <v>29497.5</v>
      </c>
      <c r="J122" s="497">
        <f>I122/$I$159</f>
        <v>1.6999999999999999E-3</v>
      </c>
    </row>
    <row r="123" spans="1:13" ht="30" x14ac:dyDescent="0.25">
      <c r="A123" s="559" t="str">
        <f>CONCATENATE($A$120,".",RIGHT(A122,LEN(A122)-3)+1)</f>
        <v>11.3</v>
      </c>
      <c r="B123" s="558">
        <v>43060</v>
      </c>
      <c r="C123" s="502" t="s">
        <v>4389</v>
      </c>
      <c r="D123" s="537" t="str">
        <f>IF($C123="SINAPI",VLOOKUP($B123,SINAPI!A:D,2,FALSE),IF($C123="DER-ED",VLOOKUP($B123,'DER-ED'!$A:$H,2,FALSE),IF(C123="DER-RD",VLOOKUP($B123,'DER-RD'!$A:$F,2,FALSE),IF($C123="COMP.","&gt;&gt;&gt;&gt;&gt;&gt;&gt;&gt;&gt;&gt; Digite aqui a descrição e apresente a composição detalhada.","← Escolha o Orgão e digite o Código"))))</f>
        <v>Recuperação de poço de visita inclusive fornecimento tampão F.F.A.P., em Vias Urbanas</v>
      </c>
      <c r="E123" s="502" t="str">
        <f>IF($C123="DER-ED",VLOOKUP($B123,'DER-ED'!$A:$H,3,FALSE),IF($C123="DER-RD",LOWER(VLOOKUP($B123,'DER-RD'!$A:$F,3,FALSE)),IF($C123="COMP.","digite"," ")))</f>
        <v>ud</v>
      </c>
      <c r="F123" s="533">
        <f>'Mem - Orla'!F105</f>
        <v>25</v>
      </c>
      <c r="G123" s="505">
        <f>IF($C123="DER-ED",VLOOKUP($B123,'DER-ED'!$A:$H,6,FALSE),IF($C123="DER-RD",VLOOKUP($B123,'DER-RD'!$A:$H,7,FALSE),))</f>
        <v>917.57</v>
      </c>
      <c r="H123" s="506">
        <f>G123*(1+($I$3))</f>
        <v>1176.51</v>
      </c>
      <c r="I123" s="507">
        <f>ROUND((F123*H123),2)</f>
        <v>29412.75</v>
      </c>
      <c r="J123" s="497">
        <f>I123/$I$159</f>
        <v>1.6999999999999999E-3</v>
      </c>
    </row>
    <row r="124" spans="1:13" x14ac:dyDescent="0.25">
      <c r="A124" s="560"/>
      <c r="B124" s="558"/>
      <c r="C124" s="561"/>
      <c r="D124" s="537"/>
      <c r="E124" s="502"/>
      <c r="F124" s="533"/>
      <c r="G124" s="505"/>
      <c r="H124" s="506"/>
      <c r="I124" s="557"/>
      <c r="J124" s="508"/>
    </row>
    <row r="125" spans="1:13" x14ac:dyDescent="0.25">
      <c r="A125" s="562"/>
      <c r="B125" s="558"/>
      <c r="C125" s="561"/>
      <c r="D125" s="509" t="s">
        <v>542</v>
      </c>
      <c r="E125" s="502"/>
      <c r="F125" s="533"/>
      <c r="G125" s="534"/>
      <c r="H125" s="535"/>
      <c r="I125" s="551">
        <f>I120</f>
        <v>92962.05</v>
      </c>
      <c r="J125" s="515"/>
    </row>
    <row r="126" spans="1:13" x14ac:dyDescent="0.25">
      <c r="A126" s="562"/>
      <c r="B126" s="558"/>
      <c r="C126" s="561"/>
      <c r="D126" s="563"/>
      <c r="E126" s="564"/>
      <c r="F126" s="565"/>
      <c r="G126" s="566"/>
      <c r="H126" s="506"/>
      <c r="I126" s="557"/>
      <c r="J126" s="508"/>
    </row>
    <row r="127" spans="1:13" x14ac:dyDescent="0.25">
      <c r="A127" s="798">
        <v>12</v>
      </c>
      <c r="B127" s="481"/>
      <c r="C127" s="796"/>
      <c r="D127" s="799" t="s">
        <v>199</v>
      </c>
      <c r="E127" s="796"/>
      <c r="F127" s="517"/>
      <c r="G127" s="800"/>
      <c r="H127" s="518"/>
      <c r="I127" s="1193">
        <f>SUBTOTAL(9,I128:I131)</f>
        <v>418225.7</v>
      </c>
      <c r="J127" s="488">
        <f>I127/I159</f>
        <v>2.3699999999999999E-2</v>
      </c>
    </row>
    <row r="128" spans="1:13" s="571" customFormat="1" ht="30" x14ac:dyDescent="0.25">
      <c r="A128" s="501" t="str">
        <f>CONCATENATE(A127,".",1)</f>
        <v>12.1</v>
      </c>
      <c r="B128" s="567" t="s">
        <v>4404</v>
      </c>
      <c r="C128" s="502" t="s">
        <v>4407</v>
      </c>
      <c r="D128" s="537" t="str">
        <f>'Comp. - Orla'!C823</f>
        <v>Bicicletário de Chão para 05 bicicletas AL-43, fixado no chão. Fabricante: Altmayer Sport ou equivalente</v>
      </c>
      <c r="E128" s="567" t="str">
        <f>'Comp. - Orla'!C824</f>
        <v>und</v>
      </c>
      <c r="F128" s="568">
        <f>'Mem - Orla'!F107</f>
        <v>14</v>
      </c>
      <c r="G128" s="534">
        <f>'Comp. - Orla'!N856</f>
        <v>502.49</v>
      </c>
      <c r="H128" s="506">
        <f t="shared" ref="H128:H130" si="67">G128*(1+($I$3))</f>
        <v>644.29</v>
      </c>
      <c r="I128" s="507">
        <f t="shared" ref="I128:I130" si="68">ROUND((F128*H128),2)</f>
        <v>9020.06</v>
      </c>
      <c r="J128" s="497">
        <f>I128/$I$159</f>
        <v>5.0000000000000001E-4</v>
      </c>
      <c r="K128" s="569"/>
      <c r="L128" s="570"/>
      <c r="M128" s="570"/>
    </row>
    <row r="129" spans="1:15" s="571" customFormat="1" x14ac:dyDescent="0.25">
      <c r="A129" s="559" t="str">
        <f>CONCATENATE($A$120,".",RIGHT(A128,LEN(A128)-3)+1)</f>
        <v>11.2</v>
      </c>
      <c r="B129" s="567" t="s">
        <v>4404</v>
      </c>
      <c r="C129" s="502" t="s">
        <v>4408</v>
      </c>
      <c r="D129" s="537" t="str">
        <f>'Comp. - Orla'!C864</f>
        <v>Lixeira com tampa aro aço INOX 430 dupla urbana</v>
      </c>
      <c r="E129" s="567" t="str">
        <f>'Comp. - Orla'!C865</f>
        <v>und</v>
      </c>
      <c r="F129" s="568">
        <f>'Mem - Orla'!F108</f>
        <v>45</v>
      </c>
      <c r="G129" s="534">
        <f>'Comp. - Orla'!N897</f>
        <v>1191.5899999999999</v>
      </c>
      <c r="H129" s="506">
        <f t="shared" si="67"/>
        <v>1527.86</v>
      </c>
      <c r="I129" s="507">
        <f t="shared" si="68"/>
        <v>68753.7</v>
      </c>
      <c r="J129" s="497">
        <f>I129/$I$159</f>
        <v>3.8999999999999998E-3</v>
      </c>
      <c r="K129" s="569"/>
      <c r="L129" s="570"/>
      <c r="M129" s="570"/>
    </row>
    <row r="130" spans="1:15" ht="30" x14ac:dyDescent="0.25">
      <c r="A130" s="501" t="str">
        <f>CONCATENATE($A$127,".",RIGHT(A129,LEN(A129)-3)+1)</f>
        <v>12.3</v>
      </c>
      <c r="B130" s="502" t="s">
        <v>4404</v>
      </c>
      <c r="C130" s="502" t="s">
        <v>4413</v>
      </c>
      <c r="D130" s="537" t="str">
        <f>'Comp. - Orla'!C1074</f>
        <v>Balizador de concreto nas dimensões 0,45x0,45x1,05 (L x C x H)</v>
      </c>
      <c r="E130" s="502" t="str">
        <f>'Comp. - Orla'!C1075</f>
        <v>und</v>
      </c>
      <c r="F130" s="568">
        <f>'Mem - Orla'!F109</f>
        <v>985</v>
      </c>
      <c r="G130" s="505">
        <f>'Comp. - Orla'!N1108</f>
        <v>167.01</v>
      </c>
      <c r="H130" s="506">
        <f t="shared" si="67"/>
        <v>214.14</v>
      </c>
      <c r="I130" s="507">
        <f t="shared" si="68"/>
        <v>210927.9</v>
      </c>
      <c r="J130" s="497">
        <f>I130/$I$159</f>
        <v>1.2E-2</v>
      </c>
    </row>
    <row r="131" spans="1:15" ht="105" x14ac:dyDescent="0.25">
      <c r="A131" s="501" t="str">
        <f>CONCATENATE($A$127,".",RIGHT(A130,LEN(A130)-3)+1)</f>
        <v>12.4</v>
      </c>
      <c r="B131" s="502" t="s">
        <v>4404</v>
      </c>
      <c r="C131" s="502" t="s">
        <v>4414</v>
      </c>
      <c r="D131" s="537" t="str">
        <f>'Comp. - Orla'!C1115</f>
        <v>Coletor com carga traseira de lixo de 1000 litros - (container de lixo) C-1000 é fabricado com polietileno de alta densidade (PEAD) injetado com proteção contra raios UV. Possui rodas com borracha maciça, tampa antí-acúmulo de água e anti-ruído.Capacidade 1000L ;Altura 1340 mm;Largura 1375 mm;Profundidade 1110 mm. Fab.: Contemar Ambiental ou equivalente</v>
      </c>
      <c r="E131" s="502" t="str">
        <f>'Comp. - Orla'!C1116</f>
        <v>und</v>
      </c>
      <c r="F131" s="568">
        <f>'Mem - Orla'!F110</f>
        <v>36</v>
      </c>
      <c r="G131" s="505">
        <f>'Comp. - Orla'!N1147</f>
        <v>2806.03</v>
      </c>
      <c r="H131" s="506">
        <f t="shared" ref="H131" si="69">G131*(1+($I$3))</f>
        <v>3597.89</v>
      </c>
      <c r="I131" s="507">
        <f t="shared" ref="I131" si="70">ROUND((F131*H131),2)</f>
        <v>129524.04</v>
      </c>
      <c r="J131" s="497">
        <f>I131/$I$159</f>
        <v>7.3000000000000001E-3</v>
      </c>
    </row>
    <row r="132" spans="1:15" x14ac:dyDescent="0.25">
      <c r="A132" s="501"/>
      <c r="B132" s="502"/>
      <c r="C132" s="502"/>
      <c r="D132" s="537"/>
      <c r="E132" s="502"/>
      <c r="F132" s="565"/>
      <c r="G132" s="505"/>
      <c r="H132" s="506"/>
      <c r="I132" s="507"/>
      <c r="J132" s="508"/>
    </row>
    <row r="133" spans="1:15" x14ac:dyDescent="0.25">
      <c r="A133" s="559"/>
      <c r="B133" s="558"/>
      <c r="C133" s="558"/>
      <c r="D133" s="509" t="s">
        <v>24607</v>
      </c>
      <c r="E133" s="502"/>
      <c r="F133" s="533"/>
      <c r="G133" s="534"/>
      <c r="H133" s="535"/>
      <c r="I133" s="514">
        <f>I127</f>
        <v>418225.7</v>
      </c>
      <c r="J133" s="515"/>
      <c r="O133" s="516" t="s">
        <v>98</v>
      </c>
    </row>
    <row r="134" spans="1:15" x14ac:dyDescent="0.25">
      <c r="A134" s="559"/>
      <c r="B134" s="558"/>
      <c r="C134" s="558"/>
      <c r="D134" s="572"/>
      <c r="E134" s="558"/>
      <c r="F134" s="565"/>
      <c r="G134" s="573"/>
      <c r="H134" s="574"/>
      <c r="I134" s="575"/>
      <c r="J134" s="576"/>
    </row>
    <row r="135" spans="1:15" x14ac:dyDescent="0.25">
      <c r="A135" s="798">
        <v>13</v>
      </c>
      <c r="B135" s="481"/>
      <c r="C135" s="796"/>
      <c r="D135" s="799" t="s">
        <v>70</v>
      </c>
      <c r="E135" s="796"/>
      <c r="F135" s="517"/>
      <c r="G135" s="800"/>
      <c r="H135" s="518"/>
      <c r="I135" s="487">
        <f>SUBTOTAL(9,I136:I144)</f>
        <v>1135749.57</v>
      </c>
      <c r="J135" s="488">
        <f>I135/I159</f>
        <v>6.4399999999999999E-2</v>
      </c>
    </row>
    <row r="136" spans="1:15" ht="30" x14ac:dyDescent="0.25">
      <c r="A136" s="501" t="str">
        <f>CONCATENATE(A135,".",1)</f>
        <v>13.1</v>
      </c>
      <c r="B136" s="536" t="s">
        <v>2613</v>
      </c>
      <c r="C136" s="502" t="s">
        <v>4379</v>
      </c>
      <c r="D136" s="537" t="str">
        <f>IF($C136="SINAPI",VLOOKUP($B136,SINAPI!A:D,2,FALSE),IF($C136="DER-ED",VLOOKUP($B136,'DER-ED'!$A:$H,2,FALSE),IF(C136="DER-RD",VLOOKUP($B136,'DER-RD'!$A:$F,2,FALSE),IF($C136="COMP.","&gt;&gt;&gt;&gt;&gt;&gt;&gt;&gt;&gt;&gt; Digite aqui a descrição e apresente a composição detalhada.","← Escolha o Orgão e digite o Código"))))</f>
        <v>Fornecimento e plantio de grama em placas tipo esmeralda, inclusive fornecimento de terra vegetal</v>
      </c>
      <c r="E136" s="502" t="str">
        <f>IF($C136="DER-ED",VLOOKUP($B136,'DER-ED'!$A:$H,3,FALSE),IF($C136="DER-RD",LOWER(VLOOKUP($B136,'DER-RD'!$A:$F,3,FALSE)),IF($C136="COMP.","digite"," ")))</f>
        <v>m2</v>
      </c>
      <c r="F136" s="565">
        <f>'Mem - Orla'!F112</f>
        <v>3902.31</v>
      </c>
      <c r="G136" s="505">
        <f>IF($C136="DER-ED",VLOOKUP($B136,'DER-ED'!$A:$H,6,FALSE),IF($C136="DER-RD",VLOOKUP($B136,'DER-RD'!$A:$H,7,FALSE),))</f>
        <v>26.2</v>
      </c>
      <c r="H136" s="506">
        <f>G136*(1+($I$3))</f>
        <v>33.590000000000003</v>
      </c>
      <c r="I136" s="507">
        <f>ROUND((F136*H136),2)</f>
        <v>131078.59</v>
      </c>
      <c r="J136" s="497">
        <f t="shared" ref="J136:J144" si="71">I136/$I$159</f>
        <v>7.4000000000000003E-3</v>
      </c>
    </row>
    <row r="137" spans="1:15" x14ac:dyDescent="0.25">
      <c r="A137" s="559" t="str">
        <f>CONCATENATE($A$135,".",RIGHT(A136,LEN(A136)-3)+1)</f>
        <v>13.2</v>
      </c>
      <c r="B137" s="536" t="s">
        <v>2609</v>
      </c>
      <c r="C137" s="502" t="s">
        <v>4379</v>
      </c>
      <c r="D137" s="537" t="str">
        <f>IF($C137="SINAPI",VLOOKUP($B137,SINAPI!A:D,2,FALSE),IF($C137="DER-ED",VLOOKUP($B137,'DER-ED'!$A:$H,2,FALSE),IF(C137="DER-RD",VLOOKUP($B137,'DER-RD'!$A:$F,2,FALSE),IF($C137="COMP.","&gt;&gt;&gt;&gt;&gt;&gt;&gt;&gt;&gt;&gt; Digite aqui a descrição e apresente a composição detalhada.","← Escolha o Orgão e digite o Código"))))</f>
        <v>Fornecimento e espalhamento de terra vegetal</v>
      </c>
      <c r="E137" s="502" t="str">
        <f>IF($C137="DER-ED",VLOOKUP($B137,'DER-ED'!$A:$H,3,FALSE),IF($C137="DER-RD",LOWER(VLOOKUP($B137,'DER-RD'!$A:$F,3,FALSE)),IF($C137="COMP.","digite"," ")))</f>
        <v>m3</v>
      </c>
      <c r="F137" s="565">
        <f>'Mem - Orla'!F113</f>
        <v>682.9</v>
      </c>
      <c r="G137" s="505">
        <f>IF($C137="DER-ED",VLOOKUP($B137,'DER-ED'!$A:$H,6,FALSE),IF($C137="DER-RD",VLOOKUP($B137,'DER-RD'!$A:$H,7,FALSE),))</f>
        <v>202.07</v>
      </c>
      <c r="H137" s="506">
        <f>G137*(1+($I$3))</f>
        <v>259.08999999999997</v>
      </c>
      <c r="I137" s="507">
        <f>ROUND((F137*H137),2)</f>
        <v>176932.56</v>
      </c>
      <c r="J137" s="497">
        <f t="shared" si="71"/>
        <v>0.01</v>
      </c>
    </row>
    <row r="138" spans="1:15" ht="45" x14ac:dyDescent="0.25">
      <c r="A138" s="559" t="str">
        <f>CONCATENATE($A$135,".",RIGHT(A137,LEN(A137)-3)+1)</f>
        <v>13.3</v>
      </c>
      <c r="B138" s="502" t="s">
        <v>4404</v>
      </c>
      <c r="C138" s="502" t="s">
        <v>25109</v>
      </c>
      <c r="D138" s="537" t="str">
        <f>'Comp. - Orla'!C1520</f>
        <v>Colchão drenante de brita 2 inclusive fornecimento, espalhamento, compactação e transporte da brita em Vias Urbanas</v>
      </c>
      <c r="E138" s="502" t="str">
        <f>'Comp. - Orla'!C1521</f>
        <v>m3</v>
      </c>
      <c r="F138" s="565">
        <f>'Mem - Orla'!F114</f>
        <v>975.58</v>
      </c>
      <c r="G138" s="505">
        <f>'Comp. - Orla'!N1556</f>
        <v>150.4</v>
      </c>
      <c r="H138" s="506">
        <f t="shared" ref="H138" si="72">G138*(1+($I$3))</f>
        <v>192.84</v>
      </c>
      <c r="I138" s="507">
        <f t="shared" ref="I138" si="73">ROUND((F138*H138),2)</f>
        <v>188130.85</v>
      </c>
      <c r="J138" s="497">
        <f t="shared" si="71"/>
        <v>1.0699999999999999E-2</v>
      </c>
    </row>
    <row r="139" spans="1:15" ht="30" x14ac:dyDescent="0.25">
      <c r="A139" s="559" t="str">
        <f t="shared" ref="A139" si="74">CONCATENATE($A$135,".",RIGHT(A138,LEN(A138)-3)+1)</f>
        <v>13.4</v>
      </c>
      <c r="B139" s="502">
        <v>40714</v>
      </c>
      <c r="C139" s="502" t="s">
        <v>4389</v>
      </c>
      <c r="D139" s="537" t="str">
        <f>IF($C139="DER-ED",VLOOKUP($B139,'DER-ED'!$A:$H,2,FALSE),IF(C139="DER-RD",VLOOKUP($B139,'DER-RD'!$A:$F,2,FALSE),IF($C139="COMP.","&gt;&gt;&gt;&gt;&gt;&gt;&gt;&gt;&gt;&gt; Digite aqui a descrição e apresente a composição detalhada.","← Escolha o Orgão e digite o Código")))</f>
        <v>Manta Geotêxtil não tecida RT - 16 kn/m, fornecimento e aplicação</v>
      </c>
      <c r="E139" s="502" t="str">
        <f>IF($C139="DER-ED",VLOOKUP($B139,'DER-ED'!$A:$H,3,FALSE),IF($C139="DER-RD",LOWER(VLOOKUP($B139,'DER-RD'!$A:$F,3,FALSE)),IF($C139="COMP.","digite"," ")))</f>
        <v>m2</v>
      </c>
      <c r="F139" s="565">
        <f>'Mem - Orla'!F115</f>
        <v>9755.7800000000007</v>
      </c>
      <c r="G139" s="505">
        <f>IF($C139="DER-ED",VLOOKUP($B139,'DER-ED'!$A:$H,6,FALSE),IF($C139="DER-RD",VLOOKUP($B139,'DER-RD'!$A:$H,7,FALSE),))</f>
        <v>11.78</v>
      </c>
      <c r="H139" s="506">
        <f t="shared" ref="H139" si="75">G139*(1+($I$3))</f>
        <v>15.1</v>
      </c>
      <c r="I139" s="507">
        <f t="shared" ref="I139" si="76">ROUND((F139*H139),2)</f>
        <v>147312.28</v>
      </c>
      <c r="J139" s="497">
        <f t="shared" si="71"/>
        <v>8.3000000000000001E-3</v>
      </c>
    </row>
    <row r="140" spans="1:15" s="571" customFormat="1" ht="60" x14ac:dyDescent="0.25">
      <c r="A140" s="577" t="str">
        <f>CONCATENATE($A$135,".",RIGHT(A139,LEN(A139)-3)+1)</f>
        <v>13.5</v>
      </c>
      <c r="B140" s="567" t="s">
        <v>4404</v>
      </c>
      <c r="C140" s="567" t="s">
        <v>4409</v>
      </c>
      <c r="D140" s="503" t="str">
        <f>'Comp. - Orla'!C903</f>
        <v>Arborização para paisagismo ( mudas viveiro de espera) com altura maior que 1,50m ) - Sucupira roxa, Canafístula, Oiti da Praia, Biriba Branca, Manduirana, Pata de Vaca, Chuva de Ouro, Angelim da Praia e Coco</v>
      </c>
      <c r="E140" s="567" t="str">
        <f>'Comp. - Orla'!C904</f>
        <v>und</v>
      </c>
      <c r="F140" s="565">
        <f>'Mem - Orla'!F116</f>
        <v>343</v>
      </c>
      <c r="G140" s="534">
        <f>'Comp. - Orla'!N938</f>
        <v>136.44</v>
      </c>
      <c r="H140" s="506">
        <f>G140*(1+($I$3))</f>
        <v>174.94</v>
      </c>
      <c r="I140" s="507">
        <f>ROUND((F140*H140),2)</f>
        <v>60004.42</v>
      </c>
      <c r="J140" s="497">
        <f t="shared" si="71"/>
        <v>3.3999999999999998E-3</v>
      </c>
      <c r="K140" s="578"/>
      <c r="L140" s="570"/>
      <c r="M140" s="570"/>
    </row>
    <row r="141" spans="1:15" s="571" customFormat="1" x14ac:dyDescent="0.25">
      <c r="A141" s="577" t="str">
        <f>CONCATENATE($A$135,".",RIGHT(A140,LEN(A140)-3)+1)</f>
        <v>13.6</v>
      </c>
      <c r="B141" s="567" t="s">
        <v>4404</v>
      </c>
      <c r="C141" s="567" t="s">
        <v>4410</v>
      </c>
      <c r="D141" s="503" t="str">
        <f>'Comp. - Orla'!C944</f>
        <v>Pau Ferro (Libidibia Ferrea)</v>
      </c>
      <c r="E141" s="567" t="str">
        <f>'Comp. - Orla'!C945</f>
        <v>und</v>
      </c>
      <c r="F141" s="565">
        <f>'Mem - Orla'!F117</f>
        <v>29</v>
      </c>
      <c r="G141" s="534">
        <f>'Comp. - Orla'!N979</f>
        <v>217.94</v>
      </c>
      <c r="H141" s="506">
        <f>G141*(1+($I$3))</f>
        <v>279.44</v>
      </c>
      <c r="I141" s="507">
        <f>ROUND((F141*H141),2)</f>
        <v>8103.76</v>
      </c>
      <c r="J141" s="497">
        <f t="shared" si="71"/>
        <v>5.0000000000000001E-4</v>
      </c>
      <c r="K141" s="578"/>
      <c r="L141" s="570"/>
      <c r="M141" s="570"/>
    </row>
    <row r="142" spans="1:15" s="571" customFormat="1" x14ac:dyDescent="0.25">
      <c r="A142" s="577" t="str">
        <f>CONCATENATE($A$135,".",RIGHT(A141,LEN(A141)-3)+1)</f>
        <v>13.7</v>
      </c>
      <c r="B142" s="567" t="s">
        <v>4404</v>
      </c>
      <c r="C142" s="567" t="s">
        <v>4411</v>
      </c>
      <c r="D142" s="503" t="str">
        <f>'Comp. - Orla'!C985</f>
        <v>Quaresmeira (Tibouchina granulosa)</v>
      </c>
      <c r="E142" s="567" t="str">
        <f>'Comp. - Orla'!C986</f>
        <v>und</v>
      </c>
      <c r="F142" s="565">
        <f>'Mem - Orla'!F118</f>
        <v>46</v>
      </c>
      <c r="G142" s="534">
        <f>'Comp. - Orla'!N1019</f>
        <v>108.78</v>
      </c>
      <c r="H142" s="506">
        <f>G142*(1+($I$3))</f>
        <v>139.47999999999999</v>
      </c>
      <c r="I142" s="507">
        <f>ROUND((F142*H142),2)</f>
        <v>6416.08</v>
      </c>
      <c r="J142" s="497">
        <f t="shared" si="71"/>
        <v>4.0000000000000002E-4</v>
      </c>
      <c r="K142" s="578"/>
      <c r="L142" s="570"/>
      <c r="M142" s="570"/>
    </row>
    <row r="143" spans="1:15" ht="30" x14ac:dyDescent="0.25">
      <c r="A143" s="559" t="str">
        <f t="shared" ref="A143:A144" si="77">CONCATENATE($A$135,".",RIGHT(A142,LEN(A142)-3)+1)</f>
        <v>13.8</v>
      </c>
      <c r="B143" s="536" t="s">
        <v>4404</v>
      </c>
      <c r="C143" s="502" t="s">
        <v>24931</v>
      </c>
      <c r="D143" s="537" t="str">
        <f>'Comp. - Orla'!C1155</f>
        <v>Banco de concreto com dimensões 0,45x2,20x1,10 (L x C x H)</v>
      </c>
      <c r="E143" s="502" t="str">
        <f>'Comp. - Orla'!C1156</f>
        <v>und</v>
      </c>
      <c r="F143" s="565">
        <f>'Mem - Orla'!F119</f>
        <v>151</v>
      </c>
      <c r="G143" s="505">
        <f>'Comp. - Orla'!N1189</f>
        <v>464.01</v>
      </c>
      <c r="H143" s="506">
        <f t="shared" ref="H143" si="78">G143*(1+($I$3))</f>
        <v>594.95000000000005</v>
      </c>
      <c r="I143" s="507">
        <f t="shared" ref="I143" si="79">ROUND((F143*H143),2)</f>
        <v>89837.45</v>
      </c>
      <c r="J143" s="497">
        <f t="shared" si="71"/>
        <v>5.1000000000000004E-3</v>
      </c>
    </row>
    <row r="144" spans="1:15" x14ac:dyDescent="0.25">
      <c r="A144" s="559" t="str">
        <f t="shared" si="77"/>
        <v>13.9</v>
      </c>
      <c r="B144" s="536" t="s">
        <v>4404</v>
      </c>
      <c r="C144" s="502" t="s">
        <v>25106</v>
      </c>
      <c r="D144" s="537" t="str">
        <f>'Comp. - Orla'!C1399</f>
        <v>Recuperação de reestinga existente</v>
      </c>
      <c r="E144" s="502" t="str">
        <f>'Comp. - Orla'!C1400</f>
        <v>m2</v>
      </c>
      <c r="F144" s="565">
        <f>'Mem - Orla'!F120</f>
        <v>4505.82</v>
      </c>
      <c r="G144" s="505">
        <f>'Comp. - Orla'!N1434</f>
        <v>56.76</v>
      </c>
      <c r="H144" s="506">
        <f t="shared" ref="H144" si="80">G144*(1+($I$3))</f>
        <v>72.78</v>
      </c>
      <c r="I144" s="507">
        <f t="shared" ref="I144" si="81">ROUND((F144*H144),2)</f>
        <v>327933.58</v>
      </c>
      <c r="J144" s="497">
        <f t="shared" si="71"/>
        <v>1.8599999999999998E-2</v>
      </c>
    </row>
    <row r="145" spans="1:12" x14ac:dyDescent="0.25">
      <c r="A145" s="559"/>
      <c r="B145" s="558"/>
      <c r="C145" s="558"/>
      <c r="D145" s="572"/>
      <c r="E145" s="558"/>
      <c r="F145" s="565"/>
      <c r="G145" s="534"/>
      <c r="H145" s="506"/>
      <c r="I145" s="507"/>
      <c r="J145" s="508"/>
    </row>
    <row r="146" spans="1:12" x14ac:dyDescent="0.25">
      <c r="A146" s="559"/>
      <c r="B146" s="558"/>
      <c r="C146" s="558"/>
      <c r="D146" s="509" t="s">
        <v>24608</v>
      </c>
      <c r="E146" s="502"/>
      <c r="F146" s="533"/>
      <c r="G146" s="534"/>
      <c r="H146" s="535"/>
      <c r="I146" s="514">
        <f>I135</f>
        <v>1135749.57</v>
      </c>
      <c r="J146" s="515"/>
    </row>
    <row r="147" spans="1:12" x14ac:dyDescent="0.25">
      <c r="A147" s="559"/>
      <c r="B147" s="558"/>
      <c r="C147" s="558"/>
      <c r="D147" s="509"/>
      <c r="E147" s="502"/>
      <c r="F147" s="533"/>
      <c r="G147" s="534"/>
      <c r="H147" s="535"/>
      <c r="I147" s="514"/>
      <c r="J147" s="515"/>
    </row>
    <row r="148" spans="1:12" x14ac:dyDescent="0.25">
      <c r="A148" s="798">
        <v>14</v>
      </c>
      <c r="B148" s="481"/>
      <c r="C148" s="796"/>
      <c r="D148" s="799" t="s">
        <v>375</v>
      </c>
      <c r="E148" s="796"/>
      <c r="F148" s="517"/>
      <c r="G148" s="800"/>
      <c r="H148" s="518"/>
      <c r="I148" s="487">
        <f>SUBTOTAL(9,I149:I150)</f>
        <v>35208.720000000001</v>
      </c>
      <c r="J148" s="488">
        <f>I148/I159</f>
        <v>2E-3</v>
      </c>
    </row>
    <row r="149" spans="1:12" ht="30" x14ac:dyDescent="0.25">
      <c r="A149" s="501" t="str">
        <f>CONCATENATE(A148,".",1)</f>
        <v>14.1</v>
      </c>
      <c r="B149" s="558">
        <v>40927</v>
      </c>
      <c r="C149" s="502" t="s">
        <v>4389</v>
      </c>
      <c r="D149" s="537" t="str">
        <f>IF($C149="SINAPI",VLOOKUP($B149,SINAPI!A:D,2,FALSE),IF($C149="DER-ED",VLOOKUP($B149,'DER-ED'!$A:$H,2,FALSE),IF(C149="DER-RD",VLOOKUP($B149,'DER-RD'!$A:$F,2,FALSE),IF($C149="COMP.","&gt;&gt;&gt;&gt;&gt;&gt;&gt;&gt;&gt;&gt; Digite aqui a descrição e apresente a composição detalhada.","← Escolha o Orgão e digite o Código"))))</f>
        <v>Sinalização horizontal TMD=600, vida útil 3 anos, taxa=3,0 kg/m² material termoplástico )</v>
      </c>
      <c r="E149" s="502" t="str">
        <f>IF($C149="DER-ED",VLOOKUP($B149,'DER-ED'!$A:$H,3,FALSE),IF($C149="DER-RD",LOWER(VLOOKUP($B149,'DER-RD'!$A:$F,3,FALSE)),IF($C149="COMP.","digite"," ")))</f>
        <v>m2</v>
      </c>
      <c r="F149" s="533">
        <f>'Mem - Orla'!F126</f>
        <v>488</v>
      </c>
      <c r="G149" s="505">
        <f>IF($C149="DER-ED",VLOOKUP($B149,'DER-ED'!$A:$H,6,FALSE),IF($C149="DER-RD",VLOOKUP($B149,'DER-RD'!$A:$H,7,FALSE),))</f>
        <v>46.5</v>
      </c>
      <c r="H149" s="506">
        <f>G149*(1+($I$3))</f>
        <v>59.62</v>
      </c>
      <c r="I149" s="507">
        <f>ROUND((F149*H149),2)</f>
        <v>29094.560000000001</v>
      </c>
      <c r="J149" s="497">
        <f>I149/$I$159</f>
        <v>1.6000000000000001E-3</v>
      </c>
    </row>
    <row r="150" spans="1:12" ht="30" x14ac:dyDescent="0.25">
      <c r="A150" s="559" t="str">
        <f>CONCATENATE($A$148,".",RIGHT(A149,LEN(A149)-3)+1)</f>
        <v>14.2</v>
      </c>
      <c r="B150" s="558">
        <v>42524</v>
      </c>
      <c r="C150" s="502" t="s">
        <v>4389</v>
      </c>
      <c r="D150" s="537" t="str">
        <f>IF($C150="SINAPI",VLOOKUP($B150,SINAPI!A:D,2,FALSE),IF($C150="DER-ED",VLOOKUP($B150,'DER-ED'!$A:$H,2,FALSE),IF(C150="DER-RD",VLOOKUP($B150,'DER-RD'!$A:$F,2,FALSE),IF($C150="COMP.","&gt;&gt;&gt;&gt;&gt;&gt;&gt;&gt;&gt;&gt; Digite aqui a descrição e apresente a composição detalhada.","← Escolha o Orgão e digite o Código"))))</f>
        <v>Pintura de setas e zebrados em material termoplástico - 5 anos ( por extrusão)</v>
      </c>
      <c r="E150" s="502" t="str">
        <f>IF($C150="DER-ED",VLOOKUP($B150,'DER-ED'!$A:$H,3,FALSE),IF($C150="DER-RD",LOWER(VLOOKUP($B150,'DER-RD'!$A:$F,3,FALSE)),IF($C150="COMP.","digite"," ")))</f>
        <v>m2</v>
      </c>
      <c r="F150" s="533">
        <f>'Mem - Orla'!F127</f>
        <v>52</v>
      </c>
      <c r="G150" s="505">
        <f>IF($C150="DER-ED",VLOOKUP($B150,'DER-ED'!$A:$H,6,FALSE),IF($C150="DER-RD",VLOOKUP($B150,'DER-RD'!$A:$H,7,FALSE),))</f>
        <v>91.7</v>
      </c>
      <c r="H150" s="506">
        <f>G150*(1+($I$3))</f>
        <v>117.58</v>
      </c>
      <c r="I150" s="507">
        <f>ROUND((F150*H150),2)</f>
        <v>6114.16</v>
      </c>
      <c r="J150" s="497">
        <f>I150/$I$159</f>
        <v>2.9999999999999997E-4</v>
      </c>
    </row>
    <row r="151" spans="1:12" x14ac:dyDescent="0.25">
      <c r="A151" s="559"/>
      <c r="B151" s="558"/>
      <c r="C151" s="502"/>
      <c r="D151" s="537"/>
      <c r="E151" s="502"/>
      <c r="F151" s="533"/>
      <c r="G151" s="505"/>
      <c r="H151" s="506"/>
      <c r="I151" s="507"/>
      <c r="J151" s="508"/>
    </row>
    <row r="152" spans="1:12" x14ac:dyDescent="0.25">
      <c r="A152" s="559"/>
      <c r="B152" s="558"/>
      <c r="C152" s="558"/>
      <c r="D152" s="509" t="s">
        <v>24965</v>
      </c>
      <c r="E152" s="502"/>
      <c r="F152" s="533"/>
      <c r="G152" s="534"/>
      <c r="H152" s="535"/>
      <c r="I152" s="514">
        <f>I148</f>
        <v>35208.720000000001</v>
      </c>
      <c r="J152" s="515"/>
    </row>
    <row r="153" spans="1:12" x14ac:dyDescent="0.25">
      <c r="A153" s="559"/>
      <c r="B153" s="558"/>
      <c r="C153" s="558"/>
      <c r="D153" s="509"/>
      <c r="E153" s="502"/>
      <c r="F153" s="533"/>
      <c r="G153" s="534"/>
      <c r="H153" s="535"/>
      <c r="I153" s="514"/>
      <c r="J153" s="515"/>
    </row>
    <row r="154" spans="1:12" x14ac:dyDescent="0.25">
      <c r="A154" s="798">
        <v>15</v>
      </c>
      <c r="B154" s="481"/>
      <c r="C154" s="796"/>
      <c r="D154" s="799" t="s">
        <v>25701</v>
      </c>
      <c r="E154" s="796"/>
      <c r="F154" s="517"/>
      <c r="G154" s="800"/>
      <c r="H154" s="518"/>
      <c r="I154" s="487">
        <f>SUBTOTAL(9,I155)</f>
        <v>32588.639999999999</v>
      </c>
      <c r="J154" s="488">
        <f>I154/I159</f>
        <v>1.8E-3</v>
      </c>
    </row>
    <row r="155" spans="1:12" x14ac:dyDescent="0.25">
      <c r="A155" s="501" t="str">
        <f>CONCATENATE(A154,".",1)</f>
        <v>15.1</v>
      </c>
      <c r="B155" s="1238" t="s">
        <v>2617</v>
      </c>
      <c r="C155" s="502" t="s">
        <v>4379</v>
      </c>
      <c r="D155" s="537" t="str">
        <f>IF($C155="SINAPI",VLOOKUP($B155,SINAPI!A:D,2,FALSE),IF($C155="DER-ED",VLOOKUP($B155,'DER-ED'!$A:$H,2,FALSE),IF(C155="DER-RD",VLOOKUP($B155,'DER-RD'!$A:$F,2,FALSE),IF($C155="COMP.","&gt;&gt;&gt;&gt;&gt;&gt;&gt;&gt;&gt;&gt; Digite aqui a descrição e apresente a composição detalhada.","← Escolha o Orgão e digite o Código"))))</f>
        <v>Limpeza geral de obras (quadras, praças e jardins)</v>
      </c>
      <c r="E155" s="502" t="str">
        <f>IF($C155="DER-ED",VLOOKUP($B155,'DER-ED'!$A:$H,3,FALSE),IF($C155="DER-RD",LOWER(VLOOKUP($B155,'DER-RD'!$A:$F,3,FALSE)),IF($C155="COMP.","digite"," ")))</f>
        <v>m2</v>
      </c>
      <c r="F155" s="533">
        <f>'Mem - Orla'!F142</f>
        <v>25864</v>
      </c>
      <c r="G155" s="505">
        <f>IF($C155="DER-ED",VLOOKUP($B155,'DER-ED'!$A:$H,6,FALSE),IF($C155="DER-RD",VLOOKUP($B155,'DER-RD'!$A:$H,7,FALSE),))</f>
        <v>0.98</v>
      </c>
      <c r="H155" s="506">
        <f>G155*(1+($I$3))</f>
        <v>1.26</v>
      </c>
      <c r="I155" s="507">
        <f>ROUND((F155*H155),2)</f>
        <v>32588.639999999999</v>
      </c>
      <c r="J155" s="497">
        <f t="shared" ref="J155" si="82">I155/$I$159</f>
        <v>1.8E-3</v>
      </c>
    </row>
    <row r="156" spans="1:12" x14ac:dyDescent="0.25">
      <c r="A156" s="559"/>
      <c r="B156" s="558"/>
      <c r="C156" s="558"/>
      <c r="D156" s="509"/>
      <c r="E156" s="502"/>
      <c r="F156" s="533"/>
      <c r="G156" s="534"/>
      <c r="H156" s="535"/>
      <c r="I156" s="514"/>
      <c r="J156" s="515"/>
    </row>
    <row r="157" spans="1:12" x14ac:dyDescent="0.25">
      <c r="A157" s="559"/>
      <c r="B157" s="558"/>
      <c r="C157" s="558"/>
      <c r="D157" s="509" t="s">
        <v>25700</v>
      </c>
      <c r="E157" s="502"/>
      <c r="F157" s="533"/>
      <c r="G157" s="534"/>
      <c r="H157" s="535"/>
      <c r="I157" s="514">
        <f>I154</f>
        <v>32588.639999999999</v>
      </c>
      <c r="J157" s="515"/>
    </row>
    <row r="158" spans="1:12" x14ac:dyDescent="0.25">
      <c r="A158" s="559"/>
      <c r="B158" s="558"/>
      <c r="C158" s="558"/>
      <c r="D158" s="509"/>
      <c r="E158" s="502"/>
      <c r="F158" s="533"/>
      <c r="G158" s="534"/>
      <c r="H158" s="535"/>
      <c r="I158" s="514"/>
      <c r="J158" s="515"/>
    </row>
    <row r="159" spans="1:12" ht="30.75" thickBot="1" x14ac:dyDescent="0.3">
      <c r="A159" s="579"/>
      <c r="B159" s="580"/>
      <c r="C159" s="580"/>
      <c r="D159" s="581" t="s">
        <v>276</v>
      </c>
      <c r="E159" s="582"/>
      <c r="F159" s="583"/>
      <c r="G159" s="584"/>
      <c r="H159" s="585"/>
      <c r="I159" s="586">
        <f>SUM(I152+I146+I133+I118+I95+I75+I68+I63+I53+I34+I19+I125+I25+I83+I157)</f>
        <v>17646571.489999998</v>
      </c>
      <c r="J159" s="587"/>
      <c r="L159" s="465">
        <f>I159+'QUIOSQUE - MOD 01'!I176</f>
        <v>19174349.609999999</v>
      </c>
    </row>
    <row r="160" spans="1:12" ht="32.25" customHeight="1" x14ac:dyDescent="0.25">
      <c r="A160" s="598"/>
      <c r="B160" s="1373" t="s">
        <v>4393</v>
      </c>
      <c r="C160" s="1373"/>
      <c r="D160" s="1373"/>
      <c r="E160" s="1373"/>
      <c r="F160" s="1373"/>
      <c r="G160" s="1373"/>
      <c r="H160" s="1373"/>
      <c r="I160" s="1374"/>
      <c r="J160" s="588"/>
    </row>
    <row r="161" spans="1:11" ht="32.25" customHeight="1" x14ac:dyDescent="0.25">
      <c r="A161" s="598"/>
      <c r="B161" s="1373"/>
      <c r="C161" s="1373"/>
      <c r="D161" s="1373"/>
      <c r="E161" s="1373"/>
      <c r="F161" s="1373"/>
      <c r="G161" s="1373"/>
      <c r="H161" s="1373"/>
      <c r="I161" s="1374"/>
      <c r="J161" s="588"/>
    </row>
    <row r="162" spans="1:11" x14ac:dyDescent="0.25">
      <c r="A162" s="598"/>
      <c r="C162" s="590"/>
      <c r="I162" s="599"/>
    </row>
    <row r="163" spans="1:11" x14ac:dyDescent="0.25">
      <c r="A163" s="598"/>
      <c r="I163" s="599"/>
    </row>
    <row r="164" spans="1:11" x14ac:dyDescent="0.25">
      <c r="A164" s="598"/>
      <c r="I164" s="599"/>
    </row>
    <row r="165" spans="1:11" x14ac:dyDescent="0.25">
      <c r="A165" s="598"/>
      <c r="I165" s="599"/>
      <c r="K165" s="578"/>
    </row>
    <row r="166" spans="1:11" x14ac:dyDescent="0.25">
      <c r="A166" s="598"/>
      <c r="D166" s="596" t="s">
        <v>24939</v>
      </c>
      <c r="F166" s="1369"/>
      <c r="G166" s="1369"/>
      <c r="H166" s="1369"/>
      <c r="I166" s="599"/>
      <c r="K166" s="578"/>
    </row>
    <row r="167" spans="1:11" x14ac:dyDescent="0.25">
      <c r="A167" s="598"/>
      <c r="D167" s="595" t="s">
        <v>24941</v>
      </c>
      <c r="F167" s="1370"/>
      <c r="G167" s="1370"/>
      <c r="H167" s="1370"/>
      <c r="I167" s="599"/>
      <c r="K167" s="578"/>
    </row>
    <row r="168" spans="1:11" ht="18.75" thickBot="1" x14ac:dyDescent="0.3">
      <c r="A168" s="600"/>
      <c r="B168" s="601"/>
      <c r="C168" s="601"/>
      <c r="D168" s="602" t="s">
        <v>24940</v>
      </c>
      <c r="E168" s="601"/>
      <c r="F168" s="1371"/>
      <c r="G168" s="1371"/>
      <c r="H168" s="1371"/>
      <c r="I168" s="603"/>
      <c r="K168" s="578"/>
    </row>
    <row r="169" spans="1:11" x14ac:dyDescent="0.25">
      <c r="K169" s="578"/>
    </row>
    <row r="170" spans="1:11" x14ac:dyDescent="0.25">
      <c r="K170" s="578"/>
    </row>
    <row r="171" spans="1:11" x14ac:dyDescent="0.25">
      <c r="K171" s="578"/>
    </row>
    <row r="172" spans="1:11" x14ac:dyDescent="0.25">
      <c r="K172" s="578"/>
    </row>
    <row r="173" spans="1:11" x14ac:dyDescent="0.25">
      <c r="K173" s="578"/>
    </row>
  </sheetData>
  <mergeCells count="11">
    <mergeCell ref="A1:I1"/>
    <mergeCell ref="B2:D2"/>
    <mergeCell ref="E2:F2"/>
    <mergeCell ref="B3:D3"/>
    <mergeCell ref="B160:I160"/>
    <mergeCell ref="F166:H166"/>
    <mergeCell ref="F167:H167"/>
    <mergeCell ref="F168:H168"/>
    <mergeCell ref="L66:N68"/>
    <mergeCell ref="B161:I161"/>
    <mergeCell ref="L74:N77"/>
  </mergeCells>
  <phoneticPr fontId="12" type="noConversion"/>
  <printOptions horizontalCentered="1"/>
  <pageMargins left="0.23622047244094491" right="0.23622047244094491" top="0.74803149606299213" bottom="0.74803149606299213" header="0.31496062992125984" footer="0.31496062992125984"/>
  <pageSetup paperSize="9" scale="80" fitToHeight="0" orientation="landscape" r:id="rId1"/>
  <headerFooter>
    <oddFooter>&amp;R&amp;P/&amp;N</oddFooter>
  </headerFooter>
  <rowBreaks count="2" manualBreakCount="2">
    <brk id="133" max="9" man="1"/>
    <brk id="147" max="9"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2514"/>
  <sheetViews>
    <sheetView workbookViewId="0"/>
  </sheetViews>
  <sheetFormatPr defaultRowHeight="15" x14ac:dyDescent="0.25"/>
  <cols>
    <col min="1" max="1" width="17.42578125" style="382" customWidth="1"/>
    <col min="2" max="2" width="65" customWidth="1"/>
    <col min="3" max="3" width="10.42578125" customWidth="1"/>
    <col min="4" max="4" width="12.42578125" bestFit="1" customWidth="1"/>
    <col min="5" max="5" width="16.28515625" bestFit="1" customWidth="1"/>
    <col min="6" max="6" width="16.85546875" bestFit="1" customWidth="1"/>
    <col min="7" max="7" width="12" customWidth="1"/>
    <col min="9" max="11" width="9.28515625" bestFit="1" customWidth="1"/>
  </cols>
  <sheetData>
    <row r="1" spans="1:15" ht="15.75" thickBot="1" x14ac:dyDescent="0.3">
      <c r="A1" s="376"/>
      <c r="B1" s="28"/>
      <c r="C1" s="29"/>
      <c r="D1" s="30"/>
      <c r="E1" s="31"/>
      <c r="F1" s="31"/>
      <c r="G1" s="31"/>
      <c r="H1" s="32"/>
      <c r="I1" s="33"/>
      <c r="J1" s="33"/>
      <c r="K1" s="33"/>
    </row>
    <row r="2" spans="1:15" x14ac:dyDescent="0.25">
      <c r="A2" s="376"/>
      <c r="B2" s="1383" t="s">
        <v>131</v>
      </c>
      <c r="C2" s="1383"/>
      <c r="D2" s="1383"/>
      <c r="E2" s="1383"/>
      <c r="F2" s="1383"/>
      <c r="G2" s="1383"/>
      <c r="H2" s="32"/>
      <c r="I2" s="33"/>
      <c r="J2" s="33"/>
      <c r="K2" s="33"/>
    </row>
    <row r="3" spans="1:15" ht="15.75" thickBot="1" x14ac:dyDescent="0.3">
      <c r="A3" s="376"/>
      <c r="B3" s="1384" t="str">
        <f>$I$3</f>
        <v>Urbanização da Orla de Piúma - Município de Piúma / ES</v>
      </c>
      <c r="C3" s="1385"/>
      <c r="D3" s="1385"/>
      <c r="E3" s="1385"/>
      <c r="F3" s="1385"/>
      <c r="G3" s="1386"/>
      <c r="H3" s="32"/>
      <c r="I3" s="130" t="s">
        <v>272</v>
      </c>
      <c r="J3" s="33"/>
      <c r="K3" s="33"/>
    </row>
    <row r="4" spans="1:15" ht="15.75" thickBot="1" x14ac:dyDescent="0.3">
      <c r="A4" s="376"/>
      <c r="B4" s="34" t="s">
        <v>132</v>
      </c>
      <c r="C4" s="34" t="s">
        <v>133</v>
      </c>
      <c r="D4" s="1381" t="s">
        <v>134</v>
      </c>
      <c r="E4" s="1381"/>
      <c r="F4" s="131" t="s">
        <v>275</v>
      </c>
      <c r="G4" s="35" t="s">
        <v>135</v>
      </c>
      <c r="H4" s="32"/>
      <c r="I4" s="31" t="s">
        <v>136</v>
      </c>
      <c r="J4" s="31" t="s">
        <v>137</v>
      </c>
      <c r="K4" s="33" t="s">
        <v>138</v>
      </c>
    </row>
    <row r="5" spans="1:15" ht="27" thickBot="1" x14ac:dyDescent="0.3">
      <c r="A5" s="376"/>
      <c r="B5" s="225" t="s">
        <v>295</v>
      </c>
      <c r="C5" s="226" t="s">
        <v>98</v>
      </c>
      <c r="D5" s="1381" t="s">
        <v>8</v>
      </c>
      <c r="E5" s="1381"/>
      <c r="F5" s="267" t="s">
        <v>168</v>
      </c>
      <c r="G5" s="38">
        <f>$K$5</f>
        <v>44501</v>
      </c>
      <c r="H5" s="129"/>
      <c r="I5" s="39">
        <v>28.49</v>
      </c>
      <c r="J5" s="31">
        <v>157.27000000000001</v>
      </c>
      <c r="K5" s="40">
        <v>44501</v>
      </c>
    </row>
    <row r="6" spans="1:15" ht="3.75" customHeight="1" thickBot="1" x14ac:dyDescent="0.3">
      <c r="A6" s="376"/>
      <c r="B6" s="1382"/>
      <c r="C6" s="1382"/>
      <c r="D6" s="1382"/>
      <c r="E6" s="1382"/>
      <c r="F6" s="1382"/>
      <c r="G6" s="1382"/>
      <c r="H6" s="129"/>
      <c r="I6" s="33"/>
      <c r="J6" s="33"/>
      <c r="K6" s="33"/>
    </row>
    <row r="7" spans="1:15" x14ac:dyDescent="0.25">
      <c r="A7" s="376"/>
      <c r="B7" s="227" t="s">
        <v>139</v>
      </c>
      <c r="C7" s="228" t="s">
        <v>140</v>
      </c>
      <c r="D7" s="228" t="s">
        <v>141</v>
      </c>
      <c r="E7" s="228" t="s">
        <v>142</v>
      </c>
      <c r="F7" s="228" t="s">
        <v>143</v>
      </c>
      <c r="G7" s="229" t="s">
        <v>144</v>
      </c>
      <c r="H7" s="220"/>
    </row>
    <row r="8" spans="1:15" x14ac:dyDescent="0.25">
      <c r="A8" s="377">
        <v>10146</v>
      </c>
      <c r="B8" s="44" t="str">
        <f>VLOOKUP(A8,Insumos!$A$3:$F$3462,2,FALSE)</f>
        <v>SERVENTE (AUXILIAR DE OBRAS - SINDUSCON)</v>
      </c>
      <c r="C8" s="45" t="str">
        <f>VLOOKUP(A8,Insumos!$A$10:$F$3462,3,FALSE)</f>
        <v>H</v>
      </c>
      <c r="D8" s="46">
        <v>1.5</v>
      </c>
      <c r="E8" s="330">
        <f>VLOOKUP(A8,Insumos!$A$10:$F$3462,4,FALSE)</f>
        <v>5.46</v>
      </c>
      <c r="F8" s="330">
        <f>ROUND((D8*E8),2)</f>
        <v>8.19</v>
      </c>
      <c r="G8" s="47"/>
      <c r="H8" s="129"/>
      <c r="O8" s="220"/>
    </row>
    <row r="9" spans="1:15" x14ac:dyDescent="0.25">
      <c r="A9" s="377"/>
      <c r="B9" s="44"/>
      <c r="C9" s="45"/>
      <c r="D9" s="46"/>
      <c r="E9" s="45"/>
      <c r="F9" s="45"/>
      <c r="G9" s="47"/>
      <c r="H9" s="129"/>
      <c r="O9" s="220"/>
    </row>
    <row r="10" spans="1:15" x14ac:dyDescent="0.25">
      <c r="A10" s="376"/>
      <c r="B10" s="48"/>
      <c r="C10" s="45"/>
      <c r="D10" s="49"/>
      <c r="E10" s="45"/>
      <c r="F10" s="45"/>
      <c r="G10" s="47"/>
      <c r="H10" s="129"/>
      <c r="O10" s="220"/>
    </row>
    <row r="11" spans="1:15" x14ac:dyDescent="0.25">
      <c r="A11" s="376"/>
      <c r="B11" s="50" t="s">
        <v>145</v>
      </c>
      <c r="C11" s="51"/>
      <c r="D11" s="52"/>
      <c r="E11" s="45"/>
      <c r="F11" s="53"/>
      <c r="G11" s="322">
        <f>+SUM(F8:F10)</f>
        <v>8.19</v>
      </c>
      <c r="H11" s="129"/>
      <c r="O11" s="220"/>
    </row>
    <row r="12" spans="1:15" x14ac:dyDescent="0.25">
      <c r="A12" s="376"/>
      <c r="B12" s="48" t="s">
        <v>146</v>
      </c>
      <c r="C12" s="55"/>
      <c r="D12" s="56"/>
      <c r="E12" s="45"/>
      <c r="F12" s="57"/>
      <c r="G12" s="58" t="s">
        <v>147</v>
      </c>
      <c r="H12" s="129"/>
      <c r="O12" s="220"/>
    </row>
    <row r="13" spans="1:15" x14ac:dyDescent="0.25">
      <c r="A13" s="377"/>
      <c r="B13" s="44"/>
      <c r="C13" s="45"/>
      <c r="D13" s="46"/>
      <c r="E13" s="45"/>
      <c r="F13" s="45"/>
      <c r="G13" s="47"/>
      <c r="H13" s="129"/>
      <c r="O13" s="220"/>
    </row>
    <row r="14" spans="1:15" x14ac:dyDescent="0.25">
      <c r="A14" s="376"/>
      <c r="B14" s="44"/>
      <c r="C14" s="45"/>
      <c r="D14" s="46"/>
      <c r="E14" s="45"/>
      <c r="F14" s="45"/>
      <c r="G14" s="47"/>
      <c r="H14" s="129"/>
      <c r="O14" s="220"/>
    </row>
    <row r="15" spans="1:15" x14ac:dyDescent="0.25">
      <c r="A15" s="376"/>
      <c r="B15" s="44"/>
      <c r="C15" s="45"/>
      <c r="D15" s="59"/>
      <c r="E15" s="45"/>
      <c r="F15" s="45"/>
      <c r="G15" s="47"/>
      <c r="H15" s="129"/>
      <c r="O15" s="220"/>
    </row>
    <row r="16" spans="1:15" x14ac:dyDescent="0.25">
      <c r="A16" s="376"/>
      <c r="B16" s="44"/>
      <c r="C16" s="45"/>
      <c r="D16" s="59"/>
      <c r="E16" s="45"/>
      <c r="F16" s="45"/>
      <c r="G16" s="47"/>
      <c r="H16" s="129"/>
      <c r="O16" s="220"/>
    </row>
    <row r="17" spans="1:15" x14ac:dyDescent="0.25">
      <c r="A17" s="376"/>
      <c r="B17" s="44"/>
      <c r="C17" s="45"/>
      <c r="D17" s="60"/>
      <c r="E17" s="45"/>
      <c r="F17" s="45"/>
      <c r="G17" s="47"/>
      <c r="H17" s="129"/>
      <c r="O17" s="220"/>
    </row>
    <row r="18" spans="1:15" x14ac:dyDescent="0.25">
      <c r="A18" s="376"/>
      <c r="B18" s="48"/>
      <c r="C18" s="45"/>
      <c r="D18" s="61"/>
      <c r="E18" s="45"/>
      <c r="F18" s="45"/>
      <c r="G18" s="47"/>
      <c r="H18" s="129"/>
      <c r="O18" s="220"/>
    </row>
    <row r="19" spans="1:15" x14ac:dyDescent="0.25">
      <c r="A19" s="376"/>
      <c r="B19" s="50" t="s">
        <v>148</v>
      </c>
      <c r="C19" s="51"/>
      <c r="D19" s="62"/>
      <c r="E19" s="63"/>
      <c r="F19" s="63"/>
      <c r="G19" s="54">
        <f>+SUM(F13:F18)</f>
        <v>0</v>
      </c>
      <c r="H19" s="129"/>
      <c r="O19" s="220"/>
    </row>
    <row r="20" spans="1:15" x14ac:dyDescent="0.25">
      <c r="A20" s="376"/>
      <c r="B20" s="48" t="s">
        <v>149</v>
      </c>
      <c r="C20" s="55"/>
      <c r="D20" s="64"/>
      <c r="E20" s="55"/>
      <c r="F20" s="55"/>
      <c r="G20" s="58" t="s">
        <v>150</v>
      </c>
      <c r="H20" s="129"/>
      <c r="O20" s="220"/>
    </row>
    <row r="21" spans="1:15" x14ac:dyDescent="0.25">
      <c r="A21" s="378">
        <v>86030</v>
      </c>
      <c r="B21" s="145" t="str">
        <f>VLOOKUP(A21,Insumos!$A$10:$F$3462,2,FALSE)</f>
        <v>CARREG. DE PNEUS CASE W-20 1,33M3 (1.0) (E016)</v>
      </c>
      <c r="C21" s="146" t="str">
        <f>VLOOKUP(A21,Insumos!$A$10:$F$3462,3,FALSE)</f>
        <v>H</v>
      </c>
      <c r="D21" s="147">
        <v>1.5</v>
      </c>
      <c r="E21" s="321">
        <f>VLOOKUP(A21,Insumos!$A$10:$F$3462,4,FALSE)</f>
        <v>106.84</v>
      </c>
      <c r="F21" s="321">
        <f>ROUND((D21*E21),2)</f>
        <v>160.26</v>
      </c>
      <c r="G21" s="47"/>
      <c r="H21" s="129"/>
      <c r="O21" s="220"/>
    </row>
    <row r="22" spans="1:15" x14ac:dyDescent="0.25">
      <c r="A22" s="376"/>
      <c r="B22" s="145"/>
      <c r="C22" s="146"/>
      <c r="D22" s="147"/>
      <c r="E22" s="146"/>
      <c r="F22" s="146"/>
      <c r="G22" s="47"/>
      <c r="H22" s="129"/>
      <c r="O22" s="220"/>
    </row>
    <row r="23" spans="1:15" ht="15.75" thickBot="1" x14ac:dyDescent="0.3">
      <c r="A23" s="376"/>
      <c r="B23" s="65" t="s">
        <v>151</v>
      </c>
      <c r="C23" s="66"/>
      <c r="D23" s="67"/>
      <c r="E23" s="66"/>
      <c r="F23" s="66"/>
      <c r="G23" s="331">
        <f>+SUM(F21:F22)</f>
        <v>160.26</v>
      </c>
      <c r="H23" s="129"/>
      <c r="O23" s="220"/>
    </row>
    <row r="24" spans="1:15" ht="4.5" customHeight="1" thickBot="1" x14ac:dyDescent="0.3">
      <c r="A24" s="376"/>
      <c r="B24" s="1382"/>
      <c r="C24" s="1382"/>
      <c r="D24" s="1382"/>
      <c r="E24" s="1382"/>
      <c r="F24" s="1382"/>
      <c r="G24" s="1382"/>
      <c r="H24" s="129"/>
      <c r="O24" s="220"/>
    </row>
    <row r="25" spans="1:15" ht="15.75" thickBot="1" x14ac:dyDescent="0.3">
      <c r="A25" s="376"/>
      <c r="B25" s="69" t="s">
        <v>152</v>
      </c>
      <c r="C25" s="70" t="s">
        <v>4415</v>
      </c>
      <c r="D25" s="71" t="s">
        <v>154</v>
      </c>
      <c r="E25" s="1381" t="s">
        <v>155</v>
      </c>
      <c r="F25" s="1381"/>
      <c r="G25" s="1381"/>
      <c r="H25" s="129"/>
      <c r="O25" s="220"/>
    </row>
    <row r="26" spans="1:15" ht="15.75" thickBot="1" x14ac:dyDescent="0.3">
      <c r="A26" s="376"/>
      <c r="B26" s="72" t="s">
        <v>156</v>
      </c>
      <c r="C26" s="73"/>
      <c r="D26" s="332">
        <f>G11</f>
        <v>8.19</v>
      </c>
      <c r="E26" s="1381"/>
      <c r="F26" s="1381"/>
      <c r="G26" s="1381"/>
      <c r="H26" s="129"/>
      <c r="O26" s="220"/>
    </row>
    <row r="27" spans="1:15" ht="15.75" thickBot="1" x14ac:dyDescent="0.3">
      <c r="A27" s="376"/>
      <c r="B27" s="72" t="s">
        <v>157</v>
      </c>
      <c r="C27" s="73"/>
      <c r="D27" s="332">
        <f>G19</f>
        <v>0</v>
      </c>
      <c r="E27" s="1381"/>
      <c r="F27" s="1381"/>
      <c r="G27" s="1381"/>
      <c r="H27" s="129"/>
      <c r="O27" s="220"/>
    </row>
    <row r="28" spans="1:15" ht="15.75" thickBot="1" x14ac:dyDescent="0.3">
      <c r="A28" s="376"/>
      <c r="B28" s="72" t="s">
        <v>158</v>
      </c>
      <c r="C28" s="73"/>
      <c r="D28" s="332">
        <f>G23</f>
        <v>160.26</v>
      </c>
      <c r="E28" s="1381"/>
      <c r="F28" s="1381"/>
      <c r="G28" s="1381"/>
      <c r="H28" s="129"/>
      <c r="O28" s="220"/>
    </row>
    <row r="29" spans="1:15" ht="15.75" thickBot="1" x14ac:dyDescent="0.3">
      <c r="A29" s="376"/>
      <c r="B29" s="72" t="s">
        <v>159</v>
      </c>
      <c r="C29" s="74">
        <f>$J$5</f>
        <v>157.27000000000001</v>
      </c>
      <c r="D29" s="332">
        <f>+ROUND((D26*C29),2)/100</f>
        <v>12.88</v>
      </c>
      <c r="E29" s="1381"/>
      <c r="F29" s="1381"/>
      <c r="G29" s="1381"/>
      <c r="H29" s="129"/>
      <c r="O29" s="220"/>
    </row>
    <row r="30" spans="1:15" ht="15.75" thickBot="1" x14ac:dyDescent="0.3">
      <c r="A30" s="376"/>
      <c r="B30" s="72" t="s">
        <v>160</v>
      </c>
      <c r="C30" s="75"/>
      <c r="D30" s="333">
        <f>+SUM(D26:D29)</f>
        <v>181.33</v>
      </c>
      <c r="E30" s="1381"/>
      <c r="F30" s="1381"/>
      <c r="G30" s="1381"/>
      <c r="H30" s="129"/>
      <c r="O30" s="220"/>
    </row>
    <row r="31" spans="1:15" ht="15.75" customHeight="1" thickBot="1" x14ac:dyDescent="0.3">
      <c r="A31" s="376"/>
      <c r="B31" s="72" t="s">
        <v>161</v>
      </c>
      <c r="C31" s="73"/>
      <c r="D31" s="332" t="s">
        <v>162</v>
      </c>
      <c r="E31" s="1382" t="s">
        <v>163</v>
      </c>
      <c r="F31" s="1382"/>
      <c r="G31" s="1382"/>
      <c r="H31" s="129"/>
      <c r="O31" s="220"/>
    </row>
    <row r="32" spans="1:15" ht="15.75" thickBot="1" x14ac:dyDescent="0.3">
      <c r="A32" s="376"/>
      <c r="B32" s="76" t="s">
        <v>164</v>
      </c>
      <c r="C32" s="77"/>
      <c r="D32" s="334">
        <f>+SUM(D30:D31)</f>
        <v>181.33</v>
      </c>
      <c r="E32" s="1382"/>
      <c r="F32" s="1382"/>
      <c r="G32" s="1382"/>
      <c r="H32" s="129"/>
      <c r="O32" s="220"/>
    </row>
    <row r="33" spans="1:15" ht="15.75" thickBot="1" x14ac:dyDescent="0.3">
      <c r="A33" s="376"/>
      <c r="B33" s="78" t="s">
        <v>165</v>
      </c>
      <c r="C33" s="79">
        <f>$I$5</f>
        <v>28.49</v>
      </c>
      <c r="D33" s="335">
        <f>ROUND((D32*C33),2)/100</f>
        <v>51.66</v>
      </c>
      <c r="E33" s="1382"/>
      <c r="F33" s="1382"/>
      <c r="G33" s="1382"/>
      <c r="H33" s="129"/>
      <c r="O33" s="220"/>
    </row>
    <row r="34" spans="1:15" ht="15.75" thickBot="1" x14ac:dyDescent="0.3">
      <c r="A34" s="376"/>
      <c r="B34" s="80" t="s">
        <v>166</v>
      </c>
      <c r="C34" s="81"/>
      <c r="D34" s="336">
        <f>+SUM(D32:D33)</f>
        <v>232.99</v>
      </c>
      <c r="E34" s="82"/>
      <c r="F34" s="337">
        <f>D34</f>
        <v>232.99</v>
      </c>
      <c r="G34" s="35"/>
      <c r="H34" s="129"/>
      <c r="I34" s="33"/>
      <c r="J34" s="33"/>
      <c r="K34" s="33"/>
      <c r="O34" s="220"/>
    </row>
    <row r="35" spans="1:15" ht="14.25" customHeight="1" x14ac:dyDescent="0.25">
      <c r="A35" s="376"/>
      <c r="B35" s="28"/>
      <c r="C35" s="28"/>
      <c r="D35" s="28"/>
      <c r="E35" s="28"/>
      <c r="F35" s="28"/>
      <c r="G35" s="28"/>
      <c r="H35" s="220"/>
      <c r="I35" s="33"/>
      <c r="J35" s="33"/>
      <c r="K35" s="33"/>
      <c r="O35" s="220"/>
    </row>
    <row r="36" spans="1:15" s="220" customFormat="1" ht="14.25" customHeight="1" thickBot="1" x14ac:dyDescent="0.3">
      <c r="A36" s="376"/>
      <c r="B36" s="28"/>
      <c r="C36" s="28"/>
      <c r="D36" s="28"/>
      <c r="E36" s="28"/>
      <c r="F36" s="28"/>
      <c r="G36" s="28"/>
      <c r="I36" s="143"/>
      <c r="J36" s="143"/>
      <c r="K36" s="143"/>
    </row>
    <row r="37" spans="1:15" s="220" customFormat="1" ht="14.25" customHeight="1" x14ac:dyDescent="0.25">
      <c r="A37" s="376"/>
      <c r="B37" s="1383" t="s">
        <v>131</v>
      </c>
      <c r="C37" s="1383"/>
      <c r="D37" s="1383"/>
      <c r="E37" s="1383"/>
      <c r="F37" s="1383"/>
      <c r="G37" s="1383"/>
      <c r="I37" s="143"/>
      <c r="J37" s="143"/>
      <c r="K37" s="143"/>
    </row>
    <row r="38" spans="1:15" s="220" customFormat="1" ht="14.25" customHeight="1" thickBot="1" x14ac:dyDescent="0.3">
      <c r="A38" s="376"/>
      <c r="B38" s="1384" t="str">
        <f>$I$3</f>
        <v>Urbanização da Orla de Piúma - Município de Piúma / ES</v>
      </c>
      <c r="C38" s="1385"/>
      <c r="D38" s="1385"/>
      <c r="E38" s="1385"/>
      <c r="F38" s="1385"/>
      <c r="G38" s="1386"/>
      <c r="I38" s="143"/>
      <c r="J38" s="143"/>
      <c r="K38" s="143"/>
    </row>
    <row r="39" spans="1:15" s="220" customFormat="1" ht="14.25" customHeight="1" thickBot="1" x14ac:dyDescent="0.3">
      <c r="A39" s="376"/>
      <c r="B39" s="223" t="s">
        <v>132</v>
      </c>
      <c r="C39" s="223" t="s">
        <v>133</v>
      </c>
      <c r="D39" s="1381" t="s">
        <v>134</v>
      </c>
      <c r="E39" s="1381"/>
      <c r="F39" s="224" t="s">
        <v>275</v>
      </c>
      <c r="G39" s="224" t="s">
        <v>135</v>
      </c>
      <c r="I39" s="143"/>
      <c r="J39" s="143"/>
      <c r="K39" s="143"/>
    </row>
    <row r="40" spans="1:15" s="220" customFormat="1" ht="14.25" customHeight="1" thickBot="1" x14ac:dyDescent="0.3">
      <c r="A40" s="376"/>
      <c r="B40" s="225" t="s">
        <v>172</v>
      </c>
      <c r="C40" s="226" t="s">
        <v>98</v>
      </c>
      <c r="D40" s="1381" t="s">
        <v>8</v>
      </c>
      <c r="E40" s="1381"/>
      <c r="F40" s="267" t="s">
        <v>169</v>
      </c>
      <c r="G40" s="38">
        <f>$K$5</f>
        <v>44501</v>
      </c>
      <c r="I40" s="143"/>
      <c r="J40" s="143"/>
      <c r="K40" s="143"/>
    </row>
    <row r="41" spans="1:15" s="220" customFormat="1" ht="14.25" customHeight="1" thickBot="1" x14ac:dyDescent="0.3">
      <c r="A41" s="376"/>
      <c r="B41" s="1382"/>
      <c r="C41" s="1382"/>
      <c r="D41" s="1382"/>
      <c r="E41" s="1382"/>
      <c r="F41" s="1382"/>
      <c r="G41" s="1382"/>
      <c r="I41" s="143"/>
      <c r="J41" s="143"/>
      <c r="K41" s="143"/>
    </row>
    <row r="42" spans="1:15" s="220" customFormat="1" ht="14.25" customHeight="1" x14ac:dyDescent="0.25">
      <c r="A42" s="376"/>
      <c r="B42" s="227" t="s">
        <v>139</v>
      </c>
      <c r="C42" s="228" t="s">
        <v>140</v>
      </c>
      <c r="D42" s="228" t="s">
        <v>141</v>
      </c>
      <c r="E42" s="228" t="s">
        <v>142</v>
      </c>
      <c r="F42" s="228" t="s">
        <v>143</v>
      </c>
      <c r="G42" s="229" t="s">
        <v>144</v>
      </c>
      <c r="I42" s="143"/>
      <c r="J42" s="143"/>
      <c r="K42" s="143"/>
    </row>
    <row r="43" spans="1:15" s="220" customFormat="1" ht="14.25" customHeight="1" x14ac:dyDescent="0.25">
      <c r="A43" s="377">
        <v>10101</v>
      </c>
      <c r="B43" s="230" t="str">
        <f>VLOOKUP(A43,Insumos!$A$3:$F$3462,2,FALSE)</f>
        <v>AJUDANTE (AJUDANTE PRATICO - SINDUSCON)</v>
      </c>
      <c r="C43" s="231" t="str">
        <f>VLOOKUP(A43,Insumos!$A$10:$F$3462,3,FALSE)</f>
        <v>H</v>
      </c>
      <c r="D43" s="232">
        <v>1</v>
      </c>
      <c r="E43" s="321">
        <f>VLOOKUP(A43,Insumos!$A$10:$F$3462,4,FALSE)</f>
        <v>6.27</v>
      </c>
      <c r="F43" s="321">
        <f>ROUND((D43*E43),2)</f>
        <v>6.27</v>
      </c>
      <c r="G43" s="233"/>
      <c r="I43" s="143"/>
      <c r="J43" s="143"/>
      <c r="K43" s="143"/>
    </row>
    <row r="44" spans="1:15" s="220" customFormat="1" ht="14.25" customHeight="1" x14ac:dyDescent="0.25">
      <c r="A44" s="377">
        <v>10146</v>
      </c>
      <c r="B44" s="230" t="str">
        <f>VLOOKUP(A44,Insumos!$A$10:$F$3462,2,FALSE)</f>
        <v>SERVENTE (AUXILIAR DE OBRAS - SINDUSCON)</v>
      </c>
      <c r="C44" s="231" t="str">
        <f>VLOOKUP(A44,Insumos!$A$10:$F$3462,3,FALSE)</f>
        <v>H</v>
      </c>
      <c r="D44" s="232">
        <v>2</v>
      </c>
      <c r="E44" s="321">
        <f>VLOOKUP(A44,Insumos!$A$10:$F$3462,4,FALSE)</f>
        <v>5.46</v>
      </c>
      <c r="F44" s="321">
        <f>ROUND((D44*E44),2)</f>
        <v>10.92</v>
      </c>
      <c r="G44" s="233"/>
      <c r="I44" s="143"/>
      <c r="J44" s="143"/>
      <c r="K44" s="143"/>
    </row>
    <row r="45" spans="1:15" s="220" customFormat="1" ht="14.25" customHeight="1" x14ac:dyDescent="0.25">
      <c r="A45" s="376"/>
      <c r="B45" s="234"/>
      <c r="C45" s="231"/>
      <c r="D45" s="235"/>
      <c r="E45" s="231"/>
      <c r="F45" s="231"/>
      <c r="G45" s="233"/>
      <c r="I45" s="143"/>
      <c r="J45" s="143"/>
      <c r="K45" s="143"/>
    </row>
    <row r="46" spans="1:15" s="220" customFormat="1" ht="14.25" customHeight="1" x14ac:dyDescent="0.25">
      <c r="A46" s="376"/>
      <c r="B46" s="236" t="s">
        <v>145</v>
      </c>
      <c r="C46" s="237"/>
      <c r="D46" s="238"/>
      <c r="E46" s="231"/>
      <c r="F46" s="239"/>
      <c r="G46" s="322">
        <f>+SUM(F43:F45)</f>
        <v>17.190000000000001</v>
      </c>
      <c r="I46" s="143"/>
      <c r="J46" s="143"/>
      <c r="K46" s="143"/>
    </row>
    <row r="47" spans="1:15" s="220" customFormat="1" ht="14.25" customHeight="1" x14ac:dyDescent="0.25">
      <c r="A47" s="376"/>
      <c r="B47" s="234" t="s">
        <v>146</v>
      </c>
      <c r="C47" s="241"/>
      <c r="D47" s="242"/>
      <c r="E47" s="231"/>
      <c r="F47" s="243"/>
      <c r="G47" s="244" t="s">
        <v>147</v>
      </c>
      <c r="I47" s="143"/>
      <c r="J47" s="143"/>
      <c r="K47" s="143"/>
    </row>
    <row r="48" spans="1:15" s="220" customFormat="1" ht="14.25" customHeight="1" x14ac:dyDescent="0.25">
      <c r="A48" s="377"/>
      <c r="B48" s="230"/>
      <c r="C48" s="231"/>
      <c r="D48" s="232"/>
      <c r="E48" s="231"/>
      <c r="F48" s="231"/>
      <c r="G48" s="233"/>
      <c r="I48" s="143"/>
      <c r="J48" s="143"/>
      <c r="K48" s="143"/>
    </row>
    <row r="49" spans="1:11" s="220" customFormat="1" ht="14.25" customHeight="1" x14ac:dyDescent="0.25">
      <c r="A49" s="376"/>
      <c r="B49" s="230"/>
      <c r="C49" s="231"/>
      <c r="D49" s="232"/>
      <c r="E49" s="231"/>
      <c r="F49" s="231"/>
      <c r="G49" s="233"/>
      <c r="I49" s="143"/>
      <c r="J49" s="143"/>
      <c r="K49" s="143"/>
    </row>
    <row r="50" spans="1:11" s="220" customFormat="1" ht="14.25" customHeight="1" x14ac:dyDescent="0.25">
      <c r="A50" s="376"/>
      <c r="B50" s="230"/>
      <c r="C50" s="231"/>
      <c r="D50" s="201"/>
      <c r="E50" s="231"/>
      <c r="F50" s="231"/>
      <c r="G50" s="233"/>
      <c r="I50" s="143"/>
      <c r="J50" s="143"/>
      <c r="K50" s="143"/>
    </row>
    <row r="51" spans="1:11" s="220" customFormat="1" ht="14.25" customHeight="1" x14ac:dyDescent="0.25">
      <c r="A51" s="376"/>
      <c r="B51" s="230"/>
      <c r="C51" s="231"/>
      <c r="D51" s="201"/>
      <c r="E51" s="231"/>
      <c r="F51" s="231"/>
      <c r="G51" s="233"/>
      <c r="I51" s="143"/>
      <c r="J51" s="143"/>
      <c r="K51" s="143"/>
    </row>
    <row r="52" spans="1:11" s="220" customFormat="1" ht="14.25" customHeight="1" x14ac:dyDescent="0.25">
      <c r="A52" s="376"/>
      <c r="B52" s="230"/>
      <c r="C52" s="231"/>
      <c r="D52" s="60"/>
      <c r="E52" s="231"/>
      <c r="F52" s="231"/>
      <c r="G52" s="233"/>
      <c r="I52" s="143"/>
      <c r="J52" s="143"/>
      <c r="K52" s="143"/>
    </row>
    <row r="53" spans="1:11" s="220" customFormat="1" ht="14.25" customHeight="1" x14ac:dyDescent="0.25">
      <c r="A53" s="376"/>
      <c r="B53" s="234"/>
      <c r="C53" s="231"/>
      <c r="D53" s="245"/>
      <c r="E53" s="231"/>
      <c r="F53" s="231"/>
      <c r="G53" s="233"/>
      <c r="I53" s="143"/>
      <c r="J53" s="143"/>
      <c r="K53" s="143"/>
    </row>
    <row r="54" spans="1:11" s="220" customFormat="1" ht="14.25" customHeight="1" x14ac:dyDescent="0.25">
      <c r="A54" s="376"/>
      <c r="B54" s="236" t="s">
        <v>148</v>
      </c>
      <c r="C54" s="237"/>
      <c r="D54" s="246"/>
      <c r="E54" s="247"/>
      <c r="F54" s="247"/>
      <c r="G54" s="240">
        <f>+SUM(F48:F53)</f>
        <v>0</v>
      </c>
      <c r="I54" s="143"/>
      <c r="J54" s="143"/>
      <c r="K54" s="143"/>
    </row>
    <row r="55" spans="1:11" s="220" customFormat="1" ht="14.25" customHeight="1" x14ac:dyDescent="0.25">
      <c r="A55" s="376"/>
      <c r="B55" s="234" t="s">
        <v>149</v>
      </c>
      <c r="C55" s="241"/>
      <c r="D55" s="248"/>
      <c r="E55" s="241"/>
      <c r="F55" s="241"/>
      <c r="G55" s="244" t="s">
        <v>150</v>
      </c>
      <c r="I55" s="143"/>
      <c r="J55" s="143"/>
      <c r="K55" s="143"/>
    </row>
    <row r="56" spans="1:11" s="220" customFormat="1" ht="14.25" customHeight="1" x14ac:dyDescent="0.25">
      <c r="A56" s="378">
        <v>80170</v>
      </c>
      <c r="B56" s="230" t="str">
        <f>VLOOKUP(A56,Insumos!$A$10:$F$3462,2,FALSE)</f>
        <v>CAMINHAO CARR MBENZ L1620/51 C/GUIND. 6T X M(E434)</v>
      </c>
      <c r="C56" s="231" t="str">
        <f>VLOOKUP(A56,Insumos!$A$10:$F$3462,3,FALSE)</f>
        <v>H</v>
      </c>
      <c r="D56" s="232">
        <v>0.5</v>
      </c>
      <c r="E56" s="321">
        <f>VLOOKUP(A56,Insumos!$A$10:$F$3462,4,FALSE)</f>
        <v>180.07</v>
      </c>
      <c r="F56" s="321">
        <f>ROUND((D56*E56),2)</f>
        <v>90.04</v>
      </c>
      <c r="G56" s="233"/>
      <c r="I56" s="143"/>
      <c r="J56" s="143"/>
      <c r="K56" s="143"/>
    </row>
    <row r="57" spans="1:11" s="220" customFormat="1" ht="14.25" customHeight="1" x14ac:dyDescent="0.25">
      <c r="A57" s="376" t="s">
        <v>4416</v>
      </c>
      <c r="B57" s="230" t="str">
        <f>UPPER(VLOOKUP(A57,Insumos!$A$10:$F$3462,2,FALSE))</f>
        <v>MOTOSSERRA, GASOLINA, POTÊNCIA 5,2 HP - 3,9 KW</v>
      </c>
      <c r="C57" s="231" t="str">
        <f>VLOOKUP(A57,Insumos!$A$10:$F$3462,3,FALSE)</f>
        <v>Und.</v>
      </c>
      <c r="D57" s="232">
        <v>5.0000000000000001E-3</v>
      </c>
      <c r="E57" s="321">
        <f>VLOOKUP(A57,Insumos!$A$10:$F$3462,4,FALSE)</f>
        <v>4540.26</v>
      </c>
      <c r="F57" s="321">
        <f>ROUND((D57*E57),2)</f>
        <v>22.7</v>
      </c>
      <c r="G57" s="233"/>
      <c r="I57" s="143"/>
      <c r="J57" s="143"/>
      <c r="K57" s="143"/>
    </row>
    <row r="58" spans="1:11" s="220" customFormat="1" ht="14.25" customHeight="1" thickBot="1" x14ac:dyDescent="0.3">
      <c r="A58" s="376"/>
      <c r="B58" s="249" t="s">
        <v>151</v>
      </c>
      <c r="C58" s="250"/>
      <c r="D58" s="251"/>
      <c r="E58" s="250"/>
      <c r="F58" s="250"/>
      <c r="G58" s="331">
        <f>+SUM(F56:F57)</f>
        <v>112.74</v>
      </c>
      <c r="I58" s="143"/>
      <c r="J58" s="143"/>
      <c r="K58" s="143"/>
    </row>
    <row r="59" spans="1:11" s="220" customFormat="1" ht="14.25" customHeight="1" thickBot="1" x14ac:dyDescent="0.3">
      <c r="A59" s="376"/>
      <c r="B59" s="1382"/>
      <c r="C59" s="1382"/>
      <c r="D59" s="1382"/>
      <c r="E59" s="1382"/>
      <c r="F59" s="1382"/>
      <c r="G59" s="1382"/>
      <c r="I59" s="143"/>
      <c r="J59" s="143"/>
      <c r="K59" s="143"/>
    </row>
    <row r="60" spans="1:11" s="220" customFormat="1" ht="14.25" customHeight="1" thickBot="1" x14ac:dyDescent="0.3">
      <c r="A60" s="376"/>
      <c r="B60" s="69" t="s">
        <v>152</v>
      </c>
      <c r="C60" s="70" t="s">
        <v>4415</v>
      </c>
      <c r="D60" s="71" t="s">
        <v>154</v>
      </c>
      <c r="E60" s="1381" t="s">
        <v>155</v>
      </c>
      <c r="F60" s="1381"/>
      <c r="G60" s="1381"/>
      <c r="I60" s="143"/>
      <c r="J60" s="143"/>
      <c r="K60" s="143"/>
    </row>
    <row r="61" spans="1:11" s="220" customFormat="1" ht="14.25" customHeight="1" thickBot="1" x14ac:dyDescent="0.3">
      <c r="A61" s="376"/>
      <c r="B61" s="72" t="s">
        <v>156</v>
      </c>
      <c r="C61" s="73"/>
      <c r="D61" s="323">
        <f>G46</f>
        <v>17.190000000000001</v>
      </c>
      <c r="E61" s="1381"/>
      <c r="F61" s="1381"/>
      <c r="G61" s="1381"/>
      <c r="I61" s="143"/>
      <c r="J61" s="143"/>
      <c r="K61" s="143"/>
    </row>
    <row r="62" spans="1:11" s="220" customFormat="1" ht="14.25" customHeight="1" thickBot="1" x14ac:dyDescent="0.3">
      <c r="A62" s="376"/>
      <c r="B62" s="72" t="s">
        <v>157</v>
      </c>
      <c r="C62" s="73"/>
      <c r="D62" s="323">
        <f>G54</f>
        <v>0</v>
      </c>
      <c r="E62" s="1381"/>
      <c r="F62" s="1381"/>
      <c r="G62" s="1381"/>
      <c r="I62" s="143"/>
      <c r="J62" s="143"/>
      <c r="K62" s="143"/>
    </row>
    <row r="63" spans="1:11" s="220" customFormat="1" ht="14.25" customHeight="1" thickBot="1" x14ac:dyDescent="0.3">
      <c r="A63" s="376"/>
      <c r="B63" s="72" t="s">
        <v>158</v>
      </c>
      <c r="C63" s="73"/>
      <c r="D63" s="323">
        <f>G58</f>
        <v>112.74</v>
      </c>
      <c r="E63" s="1381"/>
      <c r="F63" s="1381"/>
      <c r="G63" s="1381"/>
      <c r="I63" s="143"/>
      <c r="J63" s="143"/>
      <c r="K63" s="143"/>
    </row>
    <row r="64" spans="1:11" s="220" customFormat="1" ht="14.25" customHeight="1" thickBot="1" x14ac:dyDescent="0.3">
      <c r="A64" s="376"/>
      <c r="B64" s="72" t="s">
        <v>159</v>
      </c>
      <c r="C64" s="74">
        <f>$J$5</f>
        <v>157.27000000000001</v>
      </c>
      <c r="D64" s="323">
        <f>+ROUND((D61*C64),2)/100</f>
        <v>27.03</v>
      </c>
      <c r="E64" s="1381"/>
      <c r="F64" s="1381"/>
      <c r="G64" s="1381"/>
      <c r="I64" s="143"/>
      <c r="J64" s="143"/>
      <c r="K64" s="143"/>
    </row>
    <row r="65" spans="1:15" s="220" customFormat="1" ht="14.25" customHeight="1" thickBot="1" x14ac:dyDescent="0.3">
      <c r="A65" s="376"/>
      <c r="B65" s="72" t="s">
        <v>160</v>
      </c>
      <c r="C65" s="75"/>
      <c r="D65" s="324">
        <f>+SUM(D61:D64)</f>
        <v>156.96</v>
      </c>
      <c r="E65" s="1381"/>
      <c r="F65" s="1381"/>
      <c r="G65" s="1381"/>
      <c r="I65" s="143"/>
      <c r="J65" s="143"/>
      <c r="K65" s="143"/>
    </row>
    <row r="66" spans="1:15" s="220" customFormat="1" ht="14.25" customHeight="1" thickBot="1" x14ac:dyDescent="0.3">
      <c r="A66" s="376"/>
      <c r="B66" s="72" t="s">
        <v>161</v>
      </c>
      <c r="C66" s="73"/>
      <c r="D66" s="323" t="s">
        <v>162</v>
      </c>
      <c r="E66" s="1382" t="s">
        <v>163</v>
      </c>
      <c r="F66" s="1382"/>
      <c r="G66" s="1382"/>
      <c r="I66" s="143"/>
      <c r="J66" s="143"/>
      <c r="K66" s="143"/>
    </row>
    <row r="67" spans="1:15" s="220" customFormat="1" ht="14.25" customHeight="1" thickBot="1" x14ac:dyDescent="0.3">
      <c r="A67" s="376"/>
      <c r="B67" s="260" t="s">
        <v>164</v>
      </c>
      <c r="C67" s="261"/>
      <c r="D67" s="325">
        <f>+SUM(D65:D66)</f>
        <v>156.96</v>
      </c>
      <c r="E67" s="1382"/>
      <c r="F67" s="1382"/>
      <c r="G67" s="1382"/>
      <c r="I67" s="143"/>
      <c r="J67" s="143"/>
      <c r="K67" s="143"/>
    </row>
    <row r="68" spans="1:15" s="220" customFormat="1" ht="14.25" customHeight="1" thickBot="1" x14ac:dyDescent="0.3">
      <c r="A68" s="376"/>
      <c r="B68" s="262" t="s">
        <v>165</v>
      </c>
      <c r="C68" s="263">
        <f>$I$5</f>
        <v>28.49</v>
      </c>
      <c r="D68" s="326">
        <f>ROUND((D67*C68),2)/100</f>
        <v>44.72</v>
      </c>
      <c r="E68" s="1382"/>
      <c r="F68" s="1382"/>
      <c r="G68" s="1382"/>
      <c r="I68" s="143"/>
      <c r="J68" s="143"/>
      <c r="K68" s="143"/>
    </row>
    <row r="69" spans="1:15" s="220" customFormat="1" ht="14.25" customHeight="1" thickBot="1" x14ac:dyDescent="0.3">
      <c r="A69" s="376"/>
      <c r="B69" s="80" t="s">
        <v>166</v>
      </c>
      <c r="C69" s="265"/>
      <c r="D69" s="327">
        <f>+SUM(D67:D68)</f>
        <v>201.68</v>
      </c>
      <c r="E69" s="266"/>
      <c r="F69" s="337">
        <f>D69</f>
        <v>201.68</v>
      </c>
      <c r="G69" s="224"/>
      <c r="I69" s="143"/>
      <c r="J69" s="143"/>
      <c r="K69" s="143"/>
    </row>
    <row r="70" spans="1:15" s="220" customFormat="1" ht="14.25" customHeight="1" x14ac:dyDescent="0.25">
      <c r="A70" s="376"/>
      <c r="B70" s="28"/>
      <c r="C70" s="28"/>
      <c r="D70" s="28"/>
      <c r="E70" s="28"/>
      <c r="F70" s="28"/>
      <c r="G70" s="28"/>
      <c r="I70" s="143"/>
      <c r="J70" s="143"/>
      <c r="K70" s="143"/>
    </row>
    <row r="71" spans="1:15" s="220" customFormat="1" ht="14.25" customHeight="1" x14ac:dyDescent="0.25">
      <c r="A71" s="376"/>
      <c r="B71" s="28"/>
      <c r="C71" s="28"/>
      <c r="D71" s="28"/>
      <c r="E71" s="28"/>
      <c r="F71" s="28"/>
      <c r="G71" s="28"/>
      <c r="I71" s="143"/>
      <c r="J71" s="143"/>
      <c r="K71" s="143"/>
    </row>
    <row r="72" spans="1:15" s="220" customFormat="1" ht="14.25" customHeight="1" x14ac:dyDescent="0.25">
      <c r="A72" s="376"/>
      <c r="B72" s="28"/>
      <c r="C72" s="28"/>
      <c r="D72" s="28"/>
      <c r="E72" s="28"/>
      <c r="F72" s="28"/>
      <c r="G72" s="28"/>
      <c r="I72" s="143"/>
      <c r="J72" s="143"/>
      <c r="K72" s="143"/>
    </row>
    <row r="73" spans="1:15" s="220" customFormat="1" ht="14.25" customHeight="1" x14ac:dyDescent="0.25">
      <c r="A73" s="376"/>
      <c r="B73" s="28"/>
      <c r="C73" s="28"/>
      <c r="D73" s="28"/>
      <c r="E73" s="28"/>
      <c r="F73" s="28"/>
      <c r="G73" s="28"/>
      <c r="I73" s="143"/>
      <c r="J73" s="143"/>
      <c r="K73" s="143"/>
    </row>
    <row r="74" spans="1:15" s="220" customFormat="1" ht="14.25" customHeight="1" x14ac:dyDescent="0.25">
      <c r="A74" s="376"/>
      <c r="B74" s="28"/>
      <c r="C74" s="28"/>
      <c r="D74" s="28"/>
      <c r="E74" s="28"/>
      <c r="F74" s="28"/>
      <c r="G74" s="28"/>
      <c r="I74" s="143"/>
      <c r="J74" s="143"/>
      <c r="K74" s="143"/>
    </row>
    <row r="75" spans="1:15" ht="14.25" customHeight="1" thickBot="1" x14ac:dyDescent="0.3">
      <c r="A75" s="376"/>
      <c r="B75" s="28"/>
      <c r="C75" s="28"/>
      <c r="D75" s="28"/>
      <c r="E75" s="28"/>
      <c r="F75" s="28"/>
      <c r="G75" s="28"/>
      <c r="H75" s="129"/>
      <c r="I75" s="33"/>
      <c r="J75" s="33"/>
      <c r="K75" s="33"/>
      <c r="O75" s="220"/>
    </row>
    <row r="76" spans="1:15" x14ac:dyDescent="0.25">
      <c r="A76" s="376"/>
      <c r="B76" s="1383" t="s">
        <v>131</v>
      </c>
      <c r="C76" s="1383"/>
      <c r="D76" s="1383"/>
      <c r="E76" s="1383"/>
      <c r="F76" s="1383"/>
      <c r="G76" s="1383"/>
      <c r="H76" s="129"/>
      <c r="I76" s="33"/>
      <c r="J76" s="33"/>
      <c r="K76" s="33"/>
      <c r="O76" s="220"/>
    </row>
    <row r="77" spans="1:15" ht="15.75" thickBot="1" x14ac:dyDescent="0.3">
      <c r="A77" s="376"/>
      <c r="B77" s="1384" t="str">
        <f>$I$3</f>
        <v>Urbanização da Orla de Piúma - Município de Piúma / ES</v>
      </c>
      <c r="C77" s="1385"/>
      <c r="D77" s="1385"/>
      <c r="E77" s="1385"/>
      <c r="F77" s="1385"/>
      <c r="G77" s="1386"/>
      <c r="H77" s="129"/>
      <c r="I77" s="33"/>
      <c r="J77" s="33"/>
      <c r="K77" s="33"/>
      <c r="O77" s="220"/>
    </row>
    <row r="78" spans="1:15" ht="15.75" thickBot="1" x14ac:dyDescent="0.3">
      <c r="A78" s="376"/>
      <c r="B78" s="34" t="s">
        <v>132</v>
      </c>
      <c r="C78" s="34" t="s">
        <v>133</v>
      </c>
      <c r="D78" s="1381" t="s">
        <v>134</v>
      </c>
      <c r="E78" s="1381"/>
      <c r="F78" s="131" t="s">
        <v>275</v>
      </c>
      <c r="G78" s="35" t="s">
        <v>135</v>
      </c>
      <c r="H78" s="129"/>
      <c r="I78" s="31"/>
      <c r="J78" s="31"/>
      <c r="K78" s="33"/>
      <c r="O78" s="220"/>
    </row>
    <row r="79" spans="1:15" ht="27" thickBot="1" x14ac:dyDescent="0.3">
      <c r="A79" s="376"/>
      <c r="B79" s="132" t="s">
        <v>180</v>
      </c>
      <c r="C79" s="37" t="s">
        <v>98</v>
      </c>
      <c r="D79" s="1381" t="s">
        <v>7</v>
      </c>
      <c r="E79" s="1381"/>
      <c r="F79" s="144" t="s">
        <v>178</v>
      </c>
      <c r="G79" s="38">
        <f>$K$5</f>
        <v>44501</v>
      </c>
      <c r="H79" s="129"/>
      <c r="I79" s="39"/>
      <c r="J79" s="31"/>
      <c r="K79" s="40"/>
      <c r="O79" s="220"/>
    </row>
    <row r="80" spans="1:15" ht="3.75" customHeight="1" thickBot="1" x14ac:dyDescent="0.3">
      <c r="A80" s="376"/>
      <c r="B80" s="1382"/>
      <c r="C80" s="1382"/>
      <c r="D80" s="1382"/>
      <c r="E80" s="1382"/>
      <c r="F80" s="1382"/>
      <c r="G80" s="1382"/>
      <c r="H80" s="129"/>
      <c r="I80" s="33"/>
      <c r="J80" s="33"/>
      <c r="K80" s="33"/>
      <c r="O80" s="220"/>
    </row>
    <row r="81" spans="1:15" x14ac:dyDescent="0.25">
      <c r="A81" s="376"/>
      <c r="B81" s="41" t="s">
        <v>139</v>
      </c>
      <c r="C81" s="42" t="s">
        <v>140</v>
      </c>
      <c r="D81" s="42" t="s">
        <v>141</v>
      </c>
      <c r="E81" s="42" t="s">
        <v>142</v>
      </c>
      <c r="F81" s="42" t="s">
        <v>143</v>
      </c>
      <c r="G81" s="43" t="s">
        <v>144</v>
      </c>
      <c r="H81" s="129"/>
      <c r="O81" s="220"/>
    </row>
    <row r="82" spans="1:15" x14ac:dyDescent="0.25">
      <c r="A82" s="377">
        <v>10118</v>
      </c>
      <c r="B82" s="44" t="str">
        <f>VLOOKUP(A82,Insumos!$A$10:$F$3462,2,FALSE)</f>
        <v>ENCANADOR - (OFICIAL - SINDUSCON)</v>
      </c>
      <c r="C82" s="45" t="str">
        <f>VLOOKUP(A82,Insumos!$A$10:$F$3462,3,FALSE)</f>
        <v>H</v>
      </c>
      <c r="D82" s="46">
        <v>0.15</v>
      </c>
      <c r="E82" s="321">
        <f>VLOOKUP(A82,Insumos!$A$10:$F$3462,4,FALSE)</f>
        <v>7.43</v>
      </c>
      <c r="F82" s="321">
        <f>ROUND((D82*E82),2)</f>
        <v>1.1100000000000001</v>
      </c>
      <c r="G82" s="47"/>
      <c r="H82" s="129"/>
      <c r="O82" s="220"/>
    </row>
    <row r="83" spans="1:15" x14ac:dyDescent="0.25">
      <c r="A83" s="377">
        <v>10101</v>
      </c>
      <c r="B83" s="44" t="str">
        <f>VLOOKUP(A83,Insumos!$A$10:$F$3462,2,FALSE)</f>
        <v>AJUDANTE (AJUDANTE PRATICO - SINDUSCON)</v>
      </c>
      <c r="C83" s="45" t="str">
        <f>VLOOKUP(A83,Insumos!$A$10:$F$3462,3,FALSE)</f>
        <v>H</v>
      </c>
      <c r="D83" s="46">
        <v>0.23</v>
      </c>
      <c r="E83" s="321">
        <f>VLOOKUP(A83,Insumos!$A$10:$F$3462,4,FALSE)</f>
        <v>6.27</v>
      </c>
      <c r="F83" s="321">
        <f>ROUND((D83*E83),2)</f>
        <v>1.44</v>
      </c>
      <c r="G83" s="47"/>
      <c r="H83" s="129"/>
      <c r="O83" s="220"/>
    </row>
    <row r="84" spans="1:15" x14ac:dyDescent="0.25">
      <c r="A84" s="376"/>
      <c r="B84" s="48"/>
      <c r="C84" s="45"/>
      <c r="D84" s="49"/>
      <c r="E84" s="45"/>
      <c r="F84" s="45"/>
      <c r="G84" s="47"/>
      <c r="H84" s="129"/>
      <c r="O84" s="220"/>
    </row>
    <row r="85" spans="1:15" x14ac:dyDescent="0.25">
      <c r="A85" s="376"/>
      <c r="B85" s="50" t="s">
        <v>145</v>
      </c>
      <c r="C85" s="51"/>
      <c r="D85" s="52"/>
      <c r="E85" s="45"/>
      <c r="F85" s="53"/>
      <c r="G85" s="322">
        <f>+SUM(F82:F84)</f>
        <v>2.5499999999999998</v>
      </c>
      <c r="H85" s="129"/>
      <c r="O85" s="220"/>
    </row>
    <row r="86" spans="1:15" x14ac:dyDescent="0.25">
      <c r="A86" s="376"/>
      <c r="B86" s="48" t="s">
        <v>146</v>
      </c>
      <c r="C86" s="55"/>
      <c r="D86" s="56"/>
      <c r="E86" s="45"/>
      <c r="F86" s="57"/>
      <c r="G86" s="58" t="s">
        <v>147</v>
      </c>
      <c r="H86" s="129"/>
      <c r="O86" s="220"/>
    </row>
    <row r="87" spans="1:15" ht="26.25" x14ac:dyDescent="0.25">
      <c r="A87" s="379">
        <v>11866</v>
      </c>
      <c r="B87" s="145" t="str">
        <f>UPPER(VLOOKUP(A87,Insumos!$A$10:$F$3462,2,FALSE))</f>
        <v>TUBO CORRUGADO PAREDE DUPLA PEAD, D= 300MM (12"), P/SISTEMAS DRENAGEM, TIGRE-ADS N-12 OU SIMILAR</v>
      </c>
      <c r="C87" s="146" t="str">
        <f>VLOOKUP(A87,Insumos!$A$10:$F$3462,3,FALSE)</f>
        <v>m</v>
      </c>
      <c r="D87" s="46">
        <v>1.02</v>
      </c>
      <c r="E87" s="321">
        <f>VLOOKUP(A87,Insumos!$A$10:$F$3462,4,FALSE)</f>
        <v>105.55</v>
      </c>
      <c r="F87" s="321">
        <f>ROUND((D87*E87),2)</f>
        <v>107.66</v>
      </c>
      <c r="G87" s="47"/>
      <c r="H87" s="129"/>
      <c r="O87" s="220"/>
    </row>
    <row r="88" spans="1:15" ht="26.25" x14ac:dyDescent="0.25">
      <c r="A88" s="379">
        <v>20078</v>
      </c>
      <c r="B88" s="230" t="str">
        <f>UPPER(VLOOKUP(A88,Insumos!$A$10:$F$3462,2,FALSE))</f>
        <v>PASTA LUBRIFICANTE PARA TUBOS E CONEXOES COM JUNTA ELASTICA(USO EM PVC, ACO, POLIETILENO E OUTROS) ( DE *400* G)</v>
      </c>
      <c r="C88" s="146" t="str">
        <f>VLOOKUP(A88,Insumos!$A$10:$F$3462,3,FALSE)</f>
        <v>Und.</v>
      </c>
      <c r="D88" s="46">
        <v>4.0800000000000003E-2</v>
      </c>
      <c r="E88" s="321">
        <f>VLOOKUP(A88,Insumos!$A$10:$F$3462,4,FALSE)</f>
        <v>27.05</v>
      </c>
      <c r="F88" s="321">
        <f>ROUND((D88*E88),2)</f>
        <v>1.1000000000000001</v>
      </c>
      <c r="G88" s="47"/>
      <c r="H88" s="129"/>
      <c r="O88" s="220"/>
    </row>
    <row r="89" spans="1:15" x14ac:dyDescent="0.25">
      <c r="A89" s="376"/>
      <c r="B89" s="48"/>
      <c r="C89" s="45"/>
      <c r="D89" s="61"/>
      <c r="E89" s="45"/>
      <c r="F89" s="45"/>
      <c r="G89" s="47"/>
      <c r="H89" s="129"/>
      <c r="K89">
        <v>1</v>
      </c>
      <c r="L89">
        <v>2400</v>
      </c>
      <c r="O89" s="220"/>
    </row>
    <row r="90" spans="1:15" x14ac:dyDescent="0.25">
      <c r="A90" s="376"/>
      <c r="B90" s="50" t="s">
        <v>148</v>
      </c>
      <c r="C90" s="51"/>
      <c r="D90" s="62"/>
      <c r="E90" s="63"/>
      <c r="F90" s="63"/>
      <c r="G90" s="322">
        <f>+SUM(F87:F89)</f>
        <v>108.76</v>
      </c>
      <c r="H90" s="129"/>
      <c r="K90">
        <v>6.7999999999999996E-3</v>
      </c>
      <c r="L90">
        <f>K90*L89</f>
        <v>16.32</v>
      </c>
      <c r="O90" s="220"/>
    </row>
    <row r="91" spans="1:15" x14ac:dyDescent="0.25">
      <c r="A91" s="376"/>
      <c r="B91" s="48" t="s">
        <v>149</v>
      </c>
      <c r="C91" s="55"/>
      <c r="D91" s="64"/>
      <c r="E91" s="55"/>
      <c r="F91" s="55"/>
      <c r="G91" s="58" t="s">
        <v>150</v>
      </c>
      <c r="H91" s="129"/>
      <c r="O91" s="220"/>
    </row>
    <row r="92" spans="1:15" x14ac:dyDescent="0.25">
      <c r="A92" s="376"/>
      <c r="B92" s="48" t="s">
        <v>98</v>
      </c>
      <c r="C92" s="45"/>
      <c r="D92" s="59"/>
      <c r="E92" s="45"/>
      <c r="F92" s="45"/>
      <c r="G92" s="47"/>
      <c r="H92" s="129"/>
      <c r="K92">
        <v>1</v>
      </c>
      <c r="L92">
        <v>400</v>
      </c>
      <c r="O92" s="220"/>
    </row>
    <row r="93" spans="1:15" x14ac:dyDescent="0.25">
      <c r="A93" s="376"/>
      <c r="B93" s="48" t="s">
        <v>98</v>
      </c>
      <c r="C93" s="45"/>
      <c r="D93" s="59"/>
      <c r="E93" s="45"/>
      <c r="F93" s="45"/>
      <c r="G93" s="47"/>
      <c r="H93" s="129"/>
      <c r="K93">
        <f>L93/L92</f>
        <v>4.0800000000000003E-2</v>
      </c>
      <c r="L93">
        <v>16.32</v>
      </c>
      <c r="O93" s="220"/>
    </row>
    <row r="94" spans="1:15" ht="15.75" thickBot="1" x14ac:dyDescent="0.3">
      <c r="A94" s="376"/>
      <c r="B94" s="65" t="s">
        <v>151</v>
      </c>
      <c r="C94" s="66"/>
      <c r="D94" s="67"/>
      <c r="E94" s="66"/>
      <c r="F94" s="66"/>
      <c r="G94" s="68">
        <f>+SUM(F92:F93)</f>
        <v>0</v>
      </c>
      <c r="H94" s="129"/>
      <c r="O94" s="220"/>
    </row>
    <row r="95" spans="1:15" ht="4.5" customHeight="1" thickBot="1" x14ac:dyDescent="0.3">
      <c r="A95" s="376"/>
      <c r="B95" s="1382"/>
      <c r="C95" s="1382"/>
      <c r="D95" s="1382"/>
      <c r="E95" s="1382"/>
      <c r="F95" s="1382"/>
      <c r="G95" s="1382"/>
      <c r="H95" s="129"/>
      <c r="O95" s="220"/>
    </row>
    <row r="96" spans="1:15" ht="15.75" thickBot="1" x14ac:dyDescent="0.3">
      <c r="A96" s="376"/>
      <c r="B96" s="69" t="s">
        <v>152</v>
      </c>
      <c r="C96" s="70" t="s">
        <v>4415</v>
      </c>
      <c r="D96" s="71" t="s">
        <v>154</v>
      </c>
      <c r="E96" s="1381" t="s">
        <v>155</v>
      </c>
      <c r="F96" s="1381"/>
      <c r="G96" s="1381"/>
      <c r="H96" s="129"/>
      <c r="O96" s="220"/>
    </row>
    <row r="97" spans="1:15" ht="15.75" thickBot="1" x14ac:dyDescent="0.3">
      <c r="A97" s="376"/>
      <c r="B97" s="72" t="s">
        <v>156</v>
      </c>
      <c r="C97" s="73"/>
      <c r="D97" s="323">
        <f>G85</f>
        <v>2.5499999999999998</v>
      </c>
      <c r="E97" s="1381"/>
      <c r="F97" s="1381"/>
      <c r="G97" s="1381"/>
      <c r="H97" s="129"/>
      <c r="O97" s="220"/>
    </row>
    <row r="98" spans="1:15" ht="15.75" thickBot="1" x14ac:dyDescent="0.3">
      <c r="A98" s="376"/>
      <c r="B98" s="72" t="s">
        <v>157</v>
      </c>
      <c r="C98" s="73"/>
      <c r="D98" s="323">
        <f>G90</f>
        <v>108.76</v>
      </c>
      <c r="E98" s="1381"/>
      <c r="F98" s="1381"/>
      <c r="G98" s="1381"/>
      <c r="H98" s="129"/>
      <c r="O98" s="220"/>
    </row>
    <row r="99" spans="1:15" ht="15.75" thickBot="1" x14ac:dyDescent="0.3">
      <c r="A99" s="376"/>
      <c r="B99" s="72" t="s">
        <v>158</v>
      </c>
      <c r="C99" s="73"/>
      <c r="D99" s="323">
        <f>G94</f>
        <v>0</v>
      </c>
      <c r="E99" s="1381"/>
      <c r="F99" s="1381"/>
      <c r="G99" s="1381"/>
      <c r="H99" s="129"/>
      <c r="O99" s="220"/>
    </row>
    <row r="100" spans="1:15" ht="15.75" thickBot="1" x14ac:dyDescent="0.3">
      <c r="A100" s="376"/>
      <c r="B100" s="72" t="s">
        <v>159</v>
      </c>
      <c r="C100" s="74">
        <f>$J$5</f>
        <v>157.27000000000001</v>
      </c>
      <c r="D100" s="323">
        <f>+ROUND((D97*C100),2)/100</f>
        <v>4.01</v>
      </c>
      <c r="E100" s="1381"/>
      <c r="F100" s="1381"/>
      <c r="G100" s="1381"/>
      <c r="H100" s="129"/>
      <c r="O100" s="220"/>
    </row>
    <row r="101" spans="1:15" ht="15.75" thickBot="1" x14ac:dyDescent="0.3">
      <c r="A101" s="376"/>
      <c r="B101" s="72" t="s">
        <v>160</v>
      </c>
      <c r="C101" s="75"/>
      <c r="D101" s="324">
        <f>+SUM(D97:D100)</f>
        <v>115.32</v>
      </c>
      <c r="E101" s="1381"/>
      <c r="F101" s="1381"/>
      <c r="G101" s="1381"/>
      <c r="H101" s="129"/>
      <c r="O101" s="220"/>
    </row>
    <row r="102" spans="1:15" ht="15.75" customHeight="1" thickBot="1" x14ac:dyDescent="0.3">
      <c r="A102" s="376"/>
      <c r="B102" s="72" t="s">
        <v>161</v>
      </c>
      <c r="C102" s="73"/>
      <c r="D102" s="323" t="s">
        <v>162</v>
      </c>
      <c r="E102" s="1382" t="s">
        <v>163</v>
      </c>
      <c r="F102" s="1382"/>
      <c r="G102" s="1382"/>
      <c r="H102" s="129"/>
      <c r="O102" s="220"/>
    </row>
    <row r="103" spans="1:15" ht="15.75" thickBot="1" x14ac:dyDescent="0.3">
      <c r="A103" s="376"/>
      <c r="B103" s="76" t="s">
        <v>164</v>
      </c>
      <c r="C103" s="77"/>
      <c r="D103" s="325">
        <f>+SUM(D101:D102)</f>
        <v>115.32</v>
      </c>
      <c r="E103" s="1382"/>
      <c r="F103" s="1382"/>
      <c r="G103" s="1382"/>
      <c r="H103" s="129"/>
      <c r="O103" s="220"/>
    </row>
    <row r="104" spans="1:15" ht="15.75" thickBot="1" x14ac:dyDescent="0.3">
      <c r="A104" s="376"/>
      <c r="B104" s="78" t="s">
        <v>165</v>
      </c>
      <c r="C104" s="79">
        <f>$I$5</f>
        <v>28.49</v>
      </c>
      <c r="D104" s="326">
        <f>ROUND((D103*C104),2)/100</f>
        <v>32.85</v>
      </c>
      <c r="E104" s="1382"/>
      <c r="F104" s="1382"/>
      <c r="G104" s="1382"/>
      <c r="H104" s="129"/>
      <c r="O104" s="220"/>
    </row>
    <row r="105" spans="1:15" ht="15.75" thickBot="1" x14ac:dyDescent="0.3">
      <c r="A105" s="376"/>
      <c r="B105" s="80" t="s">
        <v>166</v>
      </c>
      <c r="C105" s="81"/>
      <c r="D105" s="327">
        <f>+SUM(D103:D104)</f>
        <v>148.16999999999999</v>
      </c>
      <c r="E105" s="82"/>
      <c r="F105" s="328">
        <f>D105</f>
        <v>148.16999999999999</v>
      </c>
      <c r="G105" s="35"/>
      <c r="H105" s="129"/>
      <c r="I105" s="33"/>
      <c r="J105" s="33"/>
      <c r="K105" s="33"/>
      <c r="O105" s="220"/>
    </row>
    <row r="106" spans="1:15" ht="14.25" customHeight="1" x14ac:dyDescent="0.25">
      <c r="A106" s="376"/>
      <c r="B106" s="28"/>
      <c r="C106" s="28"/>
      <c r="D106" s="28"/>
      <c r="E106" s="28"/>
      <c r="F106" s="28"/>
      <c r="G106" s="28"/>
      <c r="H106" s="129"/>
      <c r="I106" s="33"/>
      <c r="J106" s="33"/>
      <c r="K106" s="33"/>
      <c r="O106" s="220"/>
    </row>
    <row r="107" spans="1:15" ht="14.25" customHeight="1" thickBot="1" x14ac:dyDescent="0.3">
      <c r="A107" s="376"/>
      <c r="B107" s="28"/>
      <c r="C107" s="28"/>
      <c r="D107" s="28"/>
      <c r="E107" s="28"/>
      <c r="F107" s="28"/>
      <c r="G107" s="28"/>
      <c r="H107" s="129"/>
      <c r="I107" s="33"/>
      <c r="J107" s="33"/>
      <c r="K107" s="33"/>
      <c r="O107" s="220"/>
    </row>
    <row r="108" spans="1:15" x14ac:dyDescent="0.25">
      <c r="A108" s="376"/>
      <c r="B108" s="1383" t="s">
        <v>131</v>
      </c>
      <c r="C108" s="1383"/>
      <c r="D108" s="1383"/>
      <c r="E108" s="1383"/>
      <c r="F108" s="1383"/>
      <c r="G108" s="1383"/>
      <c r="H108" s="129"/>
      <c r="I108" s="33"/>
      <c r="J108" s="33"/>
      <c r="K108" s="33"/>
      <c r="O108" s="220"/>
    </row>
    <row r="109" spans="1:15" ht="15.75" thickBot="1" x14ac:dyDescent="0.3">
      <c r="A109" s="376"/>
      <c r="B109" s="1384" t="str">
        <f>$I$3</f>
        <v>Urbanização da Orla de Piúma - Município de Piúma / ES</v>
      </c>
      <c r="C109" s="1385"/>
      <c r="D109" s="1385"/>
      <c r="E109" s="1385"/>
      <c r="F109" s="1385"/>
      <c r="G109" s="1386"/>
      <c r="H109" s="129"/>
      <c r="I109" s="33"/>
      <c r="J109" s="33"/>
      <c r="K109" s="33"/>
      <c r="O109" s="220"/>
    </row>
    <row r="110" spans="1:15" ht="15.75" thickBot="1" x14ac:dyDescent="0.3">
      <c r="A110" s="376"/>
      <c r="B110" s="34" t="s">
        <v>132</v>
      </c>
      <c r="C110" s="34" t="s">
        <v>133</v>
      </c>
      <c r="D110" s="1381" t="s">
        <v>134</v>
      </c>
      <c r="E110" s="1381"/>
      <c r="F110" s="131" t="s">
        <v>275</v>
      </c>
      <c r="G110" s="35" t="s">
        <v>135</v>
      </c>
      <c r="H110" s="129"/>
      <c r="I110" s="31"/>
      <c r="J110" s="31"/>
      <c r="K110" s="33"/>
      <c r="O110" s="220"/>
    </row>
    <row r="111" spans="1:15" ht="27" thickBot="1" x14ac:dyDescent="0.3">
      <c r="A111" s="376"/>
      <c r="B111" s="36" t="s">
        <v>184</v>
      </c>
      <c r="C111" s="37" t="s">
        <v>98</v>
      </c>
      <c r="D111" s="1381" t="s">
        <v>7</v>
      </c>
      <c r="E111" s="1381"/>
      <c r="F111" s="144" t="s">
        <v>179</v>
      </c>
      <c r="G111" s="38">
        <f>$K$5</f>
        <v>44501</v>
      </c>
      <c r="H111" s="129"/>
      <c r="I111" s="39"/>
      <c r="J111" s="31"/>
      <c r="K111" s="40"/>
      <c r="O111" s="220"/>
    </row>
    <row r="112" spans="1:15" ht="3.75" customHeight="1" thickBot="1" x14ac:dyDescent="0.3">
      <c r="A112" s="376"/>
      <c r="B112" s="1382"/>
      <c r="C112" s="1382"/>
      <c r="D112" s="1382"/>
      <c r="E112" s="1382"/>
      <c r="F112" s="1382"/>
      <c r="G112" s="1382"/>
      <c r="H112" s="129"/>
      <c r="I112" s="33"/>
      <c r="J112" s="33"/>
      <c r="K112" s="33"/>
      <c r="O112" s="220"/>
    </row>
    <row r="113" spans="1:15" x14ac:dyDescent="0.25">
      <c r="A113" s="376"/>
      <c r="B113" s="41" t="s">
        <v>139</v>
      </c>
      <c r="C113" s="42" t="s">
        <v>140</v>
      </c>
      <c r="D113" s="42" t="s">
        <v>141</v>
      </c>
      <c r="E113" s="42" t="s">
        <v>142</v>
      </c>
      <c r="F113" s="42" t="s">
        <v>143</v>
      </c>
      <c r="G113" s="43" t="s">
        <v>144</v>
      </c>
      <c r="H113" s="129"/>
      <c r="O113" s="220"/>
    </row>
    <row r="114" spans="1:15" x14ac:dyDescent="0.25">
      <c r="A114" s="377">
        <v>10118</v>
      </c>
      <c r="B114" s="44" t="str">
        <f>VLOOKUP(A114,Insumos!$A$10:$F$3462,2,FALSE)</f>
        <v>ENCANADOR - (OFICIAL - SINDUSCON)</v>
      </c>
      <c r="C114" s="45" t="str">
        <f>VLOOKUP(A114,Insumos!$A$10:$F$3462,3,FALSE)</f>
        <v>H</v>
      </c>
      <c r="D114" s="46">
        <v>0.17399999999999999</v>
      </c>
      <c r="E114" s="329">
        <f>VLOOKUP(A114,Insumos!$A$10:$F$3462,4,FALSE)</f>
        <v>7.43</v>
      </c>
      <c r="F114" s="329">
        <f>ROUND((D114*E114),2)</f>
        <v>1.29</v>
      </c>
      <c r="G114" s="47"/>
      <c r="H114" s="129"/>
      <c r="O114" s="220"/>
    </row>
    <row r="115" spans="1:15" x14ac:dyDescent="0.25">
      <c r="A115" s="377">
        <v>10101</v>
      </c>
      <c r="B115" s="44" t="str">
        <f>VLOOKUP(A115,Insumos!$A$10:$F$3462,2,FALSE)</f>
        <v>AJUDANTE (AJUDANTE PRATICO - SINDUSCON)</v>
      </c>
      <c r="C115" s="45" t="str">
        <f>VLOOKUP(A115,Insumos!$A$10:$F$3462,3,FALSE)</f>
        <v>H</v>
      </c>
      <c r="D115" s="46">
        <v>0.28199999999999997</v>
      </c>
      <c r="E115" s="329">
        <f>VLOOKUP(A115,Insumos!$A$10:$F$3462,4,FALSE)</f>
        <v>6.27</v>
      </c>
      <c r="F115" s="329">
        <f>ROUND((D115*E115),2)</f>
        <v>1.77</v>
      </c>
      <c r="G115" s="47"/>
      <c r="H115" s="129"/>
      <c r="O115" s="220"/>
    </row>
    <row r="116" spans="1:15" x14ac:dyDescent="0.25">
      <c r="A116" s="376"/>
      <c r="B116" s="48"/>
      <c r="C116" s="45"/>
      <c r="D116" s="49"/>
      <c r="E116" s="45"/>
      <c r="F116" s="45"/>
      <c r="G116" s="47"/>
      <c r="H116" s="129"/>
      <c r="O116" s="220"/>
    </row>
    <row r="117" spans="1:15" x14ac:dyDescent="0.25">
      <c r="A117" s="376"/>
      <c r="B117" s="50" t="s">
        <v>145</v>
      </c>
      <c r="C117" s="51"/>
      <c r="D117" s="52"/>
      <c r="E117" s="45"/>
      <c r="F117" s="53"/>
      <c r="G117" s="338">
        <f>+SUM(F114:F116)</f>
        <v>3.06</v>
      </c>
      <c r="H117" s="129"/>
      <c r="O117" s="220"/>
    </row>
    <row r="118" spans="1:15" x14ac:dyDescent="0.25">
      <c r="A118" s="376"/>
      <c r="B118" s="48" t="s">
        <v>146</v>
      </c>
      <c r="C118" s="55"/>
      <c r="D118" s="56"/>
      <c r="E118" s="45"/>
      <c r="F118" s="57"/>
      <c r="G118" s="58" t="s">
        <v>147</v>
      </c>
      <c r="H118" s="129"/>
      <c r="O118" s="220"/>
    </row>
    <row r="119" spans="1:15" ht="26.25" x14ac:dyDescent="0.25">
      <c r="A119" s="379">
        <v>10638</v>
      </c>
      <c r="B119" s="145" t="str">
        <f>UPPER(VLOOKUP(A119,Insumos!$A$10:$F$3462,2,FALSE))</f>
        <v>TUBO CORRUGADO PAREDE DUPLA PEAD, D= 375MM (15"), P/SISTEMAS DRENAGEM, TIGRE-ADS N-12 OU SIMILAR</v>
      </c>
      <c r="C119" s="146" t="str">
        <f>VLOOKUP(A119,Insumos!$A$10:$F$3462,3,FALSE)</f>
        <v>m</v>
      </c>
      <c r="D119" s="46">
        <v>1.02</v>
      </c>
      <c r="E119" s="329">
        <f>VLOOKUP(A119,Insumos!$A$10:$F$3462,4,FALSE)</f>
        <v>148.34</v>
      </c>
      <c r="F119" s="329">
        <f>ROUND((D119*E119),2)</f>
        <v>151.31</v>
      </c>
      <c r="G119" s="47"/>
      <c r="H119" s="129"/>
      <c r="J119" t="s">
        <v>98</v>
      </c>
      <c r="O119" s="220"/>
    </row>
    <row r="120" spans="1:15" ht="26.25" x14ac:dyDescent="0.25">
      <c r="A120" s="379">
        <v>20078</v>
      </c>
      <c r="B120" s="230" t="str">
        <f>UPPER(VLOOKUP(A120,Insumos!$A$10:$F$3462,2,FALSE))</f>
        <v>PASTA LUBRIFICANTE PARA TUBOS E CONEXOES COM JUNTA ELASTICA(USO EM PVC, ACO, POLIETILENO E OUTROS) ( DE *400* G)</v>
      </c>
      <c r="C120" s="146" t="str">
        <f>VLOOKUP(A120,Insumos!$A$10:$F$3462,3,FALSE)</f>
        <v>Und.</v>
      </c>
      <c r="D120" s="46">
        <v>4.0800000000000003E-2</v>
      </c>
      <c r="E120" s="329">
        <f>VLOOKUP(A120,Insumos!$A$10:$F$3462,4,FALSE)</f>
        <v>27.05</v>
      </c>
      <c r="F120" s="329">
        <f>ROUND((D120*E120),2)</f>
        <v>1.1000000000000001</v>
      </c>
      <c r="G120" s="47"/>
      <c r="H120" s="129"/>
      <c r="J120" t="s">
        <v>98</v>
      </c>
      <c r="O120" s="220"/>
    </row>
    <row r="121" spans="1:15" x14ac:dyDescent="0.25">
      <c r="A121" s="376"/>
      <c r="B121" s="44"/>
      <c r="C121" s="45"/>
      <c r="D121" s="59"/>
      <c r="E121" s="45"/>
      <c r="F121" s="45"/>
      <c r="G121" s="47"/>
      <c r="H121" s="129"/>
      <c r="O121" s="220"/>
    </row>
    <row r="122" spans="1:15" x14ac:dyDescent="0.25">
      <c r="A122" s="376"/>
      <c r="B122" s="44"/>
      <c r="C122" s="45"/>
      <c r="D122" s="59"/>
      <c r="E122" s="45"/>
      <c r="F122" s="45"/>
      <c r="G122" s="47"/>
      <c r="H122" s="129"/>
      <c r="O122" s="220"/>
    </row>
    <row r="123" spans="1:15" x14ac:dyDescent="0.25">
      <c r="A123" s="376"/>
      <c r="B123" s="44"/>
      <c r="C123" s="45"/>
      <c r="D123" s="60"/>
      <c r="E123" s="45"/>
      <c r="F123" s="45"/>
      <c r="G123" s="47"/>
      <c r="H123" s="129"/>
      <c r="O123" s="220"/>
    </row>
    <row r="124" spans="1:15" x14ac:dyDescent="0.25">
      <c r="A124" s="376"/>
      <c r="B124" s="48"/>
      <c r="C124" s="45"/>
      <c r="D124" s="61"/>
      <c r="E124" s="45"/>
      <c r="F124" s="45"/>
      <c r="G124" s="47"/>
      <c r="H124" s="129"/>
      <c r="O124" s="220"/>
    </row>
    <row r="125" spans="1:15" x14ac:dyDescent="0.25">
      <c r="A125" s="376"/>
      <c r="B125" s="50" t="s">
        <v>148</v>
      </c>
      <c r="C125" s="51"/>
      <c r="D125" s="62"/>
      <c r="E125" s="63"/>
      <c r="F125" s="63"/>
      <c r="G125" s="338">
        <f>+SUM(F119:F124)</f>
        <v>152.41</v>
      </c>
      <c r="H125" s="129"/>
      <c r="O125" s="220"/>
    </row>
    <row r="126" spans="1:15" x14ac:dyDescent="0.25">
      <c r="A126" s="376"/>
      <c r="B126" s="48" t="s">
        <v>149</v>
      </c>
      <c r="C126" s="55"/>
      <c r="D126" s="64"/>
      <c r="E126" s="55"/>
      <c r="F126" s="55"/>
      <c r="G126" s="58" t="s">
        <v>150</v>
      </c>
      <c r="H126" s="129"/>
      <c r="O126" s="220"/>
    </row>
    <row r="127" spans="1:15" x14ac:dyDescent="0.25">
      <c r="A127" s="376"/>
      <c r="B127" s="48" t="s">
        <v>98</v>
      </c>
      <c r="C127" s="45"/>
      <c r="D127" s="59"/>
      <c r="E127" s="45"/>
      <c r="F127" s="45"/>
      <c r="G127" s="47"/>
      <c r="H127" s="129"/>
      <c r="O127" s="220"/>
    </row>
    <row r="128" spans="1:15" x14ac:dyDescent="0.25">
      <c r="A128" s="376"/>
      <c r="B128" s="48" t="s">
        <v>98</v>
      </c>
      <c r="C128" s="45"/>
      <c r="D128" s="59"/>
      <c r="E128" s="45"/>
      <c r="F128" s="45"/>
      <c r="G128" s="47"/>
      <c r="H128" s="129"/>
      <c r="O128" s="220"/>
    </row>
    <row r="129" spans="1:15" ht="15.75" thickBot="1" x14ac:dyDescent="0.3">
      <c r="A129" s="376"/>
      <c r="B129" s="65" t="s">
        <v>151</v>
      </c>
      <c r="C129" s="66"/>
      <c r="D129" s="67"/>
      <c r="E129" s="66"/>
      <c r="F129" s="66"/>
      <c r="G129" s="68">
        <f>+SUM(F127:F128)</f>
        <v>0</v>
      </c>
      <c r="H129" s="129"/>
      <c r="O129" s="220"/>
    </row>
    <row r="130" spans="1:15" ht="4.5" customHeight="1" thickBot="1" x14ac:dyDescent="0.3">
      <c r="A130" s="376"/>
      <c r="B130" s="1382"/>
      <c r="C130" s="1382"/>
      <c r="D130" s="1382"/>
      <c r="E130" s="1382"/>
      <c r="F130" s="1382"/>
      <c r="G130" s="1382"/>
      <c r="H130" s="129"/>
      <c r="O130" s="220"/>
    </row>
    <row r="131" spans="1:15" ht="15.75" thickBot="1" x14ac:dyDescent="0.3">
      <c r="A131" s="376"/>
      <c r="B131" s="69" t="s">
        <v>152</v>
      </c>
      <c r="C131" s="70" t="s">
        <v>4415</v>
      </c>
      <c r="D131" s="71" t="s">
        <v>154</v>
      </c>
      <c r="E131" s="1381" t="s">
        <v>155</v>
      </c>
      <c r="F131" s="1381"/>
      <c r="G131" s="1381"/>
      <c r="H131" s="129"/>
      <c r="O131" s="220"/>
    </row>
    <row r="132" spans="1:15" ht="15.75" thickBot="1" x14ac:dyDescent="0.3">
      <c r="A132" s="376"/>
      <c r="B132" s="72" t="s">
        <v>156</v>
      </c>
      <c r="C132" s="73"/>
      <c r="D132" s="332">
        <f>G117</f>
        <v>3.06</v>
      </c>
      <c r="E132" s="1381"/>
      <c r="F132" s="1381"/>
      <c r="G132" s="1381"/>
      <c r="H132" s="129"/>
      <c r="O132" s="220"/>
    </row>
    <row r="133" spans="1:15" ht="15.75" thickBot="1" x14ac:dyDescent="0.3">
      <c r="A133" s="376"/>
      <c r="B133" s="72" t="s">
        <v>157</v>
      </c>
      <c r="C133" s="73"/>
      <c r="D133" s="332">
        <f>G125</f>
        <v>152.41</v>
      </c>
      <c r="E133" s="1381"/>
      <c r="F133" s="1381"/>
      <c r="G133" s="1381"/>
      <c r="H133" s="129"/>
      <c r="O133" s="220"/>
    </row>
    <row r="134" spans="1:15" ht="15.75" thickBot="1" x14ac:dyDescent="0.3">
      <c r="A134" s="376"/>
      <c r="B134" s="72" t="s">
        <v>158</v>
      </c>
      <c r="C134" s="73"/>
      <c r="D134" s="332">
        <f>G129</f>
        <v>0</v>
      </c>
      <c r="E134" s="1381"/>
      <c r="F134" s="1381"/>
      <c r="G134" s="1381"/>
      <c r="H134" s="129"/>
      <c r="O134" s="220"/>
    </row>
    <row r="135" spans="1:15" ht="15.75" thickBot="1" x14ac:dyDescent="0.3">
      <c r="A135" s="376"/>
      <c r="B135" s="72" t="s">
        <v>159</v>
      </c>
      <c r="C135" s="74">
        <f>$J$5</f>
        <v>157.27000000000001</v>
      </c>
      <c r="D135" s="332">
        <f>+ROUND((D132*C135),2)/100</f>
        <v>4.8099999999999996</v>
      </c>
      <c r="E135" s="1381"/>
      <c r="F135" s="1381"/>
      <c r="G135" s="1381"/>
      <c r="H135" s="129"/>
      <c r="O135" s="220"/>
    </row>
    <row r="136" spans="1:15" ht="15.75" thickBot="1" x14ac:dyDescent="0.3">
      <c r="A136" s="376"/>
      <c r="B136" s="72" t="s">
        <v>160</v>
      </c>
      <c r="C136" s="75"/>
      <c r="D136" s="333">
        <f>+SUM(D132:D135)</f>
        <v>160.28</v>
      </c>
      <c r="E136" s="1381"/>
      <c r="F136" s="1381"/>
      <c r="G136" s="1381"/>
      <c r="H136" s="129"/>
      <c r="O136" s="220"/>
    </row>
    <row r="137" spans="1:15" ht="15.75" customHeight="1" thickBot="1" x14ac:dyDescent="0.3">
      <c r="A137" s="376"/>
      <c r="B137" s="72" t="s">
        <v>161</v>
      </c>
      <c r="C137" s="73"/>
      <c r="D137" s="332" t="s">
        <v>162</v>
      </c>
      <c r="E137" s="1382" t="s">
        <v>163</v>
      </c>
      <c r="F137" s="1382"/>
      <c r="G137" s="1382"/>
      <c r="H137" s="129"/>
      <c r="O137" s="220"/>
    </row>
    <row r="138" spans="1:15" ht="15.75" thickBot="1" x14ac:dyDescent="0.3">
      <c r="A138" s="376"/>
      <c r="B138" s="76" t="s">
        <v>164</v>
      </c>
      <c r="C138" s="77"/>
      <c r="D138" s="334">
        <f>+SUM(D136:D137)</f>
        <v>160.28</v>
      </c>
      <c r="E138" s="1382"/>
      <c r="F138" s="1382"/>
      <c r="G138" s="1382"/>
      <c r="H138" s="129"/>
      <c r="O138" s="220"/>
    </row>
    <row r="139" spans="1:15" ht="15.75" thickBot="1" x14ac:dyDescent="0.3">
      <c r="A139" s="376"/>
      <c r="B139" s="78" t="s">
        <v>165</v>
      </c>
      <c r="C139" s="79">
        <f>$I$5</f>
        <v>28.49</v>
      </c>
      <c r="D139" s="335">
        <f>ROUND((D138*C139),2)/100</f>
        <v>45.66</v>
      </c>
      <c r="E139" s="1382"/>
      <c r="F139" s="1382"/>
      <c r="G139" s="1382"/>
      <c r="H139" s="129"/>
      <c r="O139" s="220"/>
    </row>
    <row r="140" spans="1:15" ht="15.75" thickBot="1" x14ac:dyDescent="0.3">
      <c r="A140" s="376"/>
      <c r="B140" s="80" t="s">
        <v>166</v>
      </c>
      <c r="C140" s="81"/>
      <c r="D140" s="336">
        <f>+SUM(D138:D139)</f>
        <v>205.94</v>
      </c>
      <c r="E140" s="82"/>
      <c r="F140" s="337">
        <f>D140</f>
        <v>205.94</v>
      </c>
      <c r="G140" s="35"/>
      <c r="H140" s="129"/>
      <c r="I140" s="33"/>
      <c r="J140" s="33"/>
      <c r="K140" s="33"/>
      <c r="O140" s="220"/>
    </row>
    <row r="141" spans="1:15" ht="14.25" customHeight="1" x14ac:dyDescent="0.25">
      <c r="A141" s="376"/>
      <c r="B141" s="28"/>
      <c r="C141" s="28"/>
      <c r="D141" s="28"/>
      <c r="E141" s="28"/>
      <c r="F141" s="28"/>
      <c r="G141" s="28"/>
      <c r="H141" s="129"/>
      <c r="I141" s="33"/>
      <c r="J141" s="33"/>
      <c r="K141" s="33"/>
      <c r="O141" s="220"/>
    </row>
    <row r="142" spans="1:15" s="159" customFormat="1" ht="14.25" customHeight="1" thickBot="1" x14ac:dyDescent="0.3">
      <c r="A142" s="376"/>
      <c r="B142" s="28"/>
      <c r="C142" s="28"/>
      <c r="D142" s="28"/>
      <c r="E142" s="28"/>
      <c r="F142" s="28"/>
      <c r="G142" s="28"/>
      <c r="I142" s="143"/>
      <c r="J142" s="143"/>
      <c r="K142" s="143"/>
      <c r="O142" s="220"/>
    </row>
    <row r="143" spans="1:15" s="159" customFormat="1" ht="14.25" customHeight="1" x14ac:dyDescent="0.25">
      <c r="A143" s="376"/>
      <c r="B143" s="1383" t="s">
        <v>131</v>
      </c>
      <c r="C143" s="1383"/>
      <c r="D143" s="1383"/>
      <c r="E143" s="1383"/>
      <c r="F143" s="1383"/>
      <c r="G143" s="1383"/>
      <c r="I143" s="143"/>
      <c r="J143" s="143"/>
      <c r="K143" s="143"/>
      <c r="O143" s="220"/>
    </row>
    <row r="144" spans="1:15" s="159" customFormat="1" ht="14.25" customHeight="1" thickBot="1" x14ac:dyDescent="0.3">
      <c r="A144" s="376"/>
      <c r="B144" s="1384" t="str">
        <f>$I$3</f>
        <v>Urbanização da Orla de Piúma - Município de Piúma / ES</v>
      </c>
      <c r="C144" s="1385"/>
      <c r="D144" s="1385"/>
      <c r="E144" s="1385"/>
      <c r="F144" s="1385"/>
      <c r="G144" s="1386"/>
      <c r="I144" s="143"/>
      <c r="J144" s="143"/>
      <c r="K144" s="143"/>
      <c r="O144" s="220"/>
    </row>
    <row r="145" spans="1:15" s="159" customFormat="1" ht="14.25" customHeight="1" thickBot="1" x14ac:dyDescent="0.3">
      <c r="A145" s="376"/>
      <c r="B145" s="90" t="s">
        <v>132</v>
      </c>
      <c r="C145" s="90" t="s">
        <v>133</v>
      </c>
      <c r="D145" s="1381" t="s">
        <v>134</v>
      </c>
      <c r="E145" s="1381"/>
      <c r="F145" s="131" t="s">
        <v>275</v>
      </c>
      <c r="G145" s="131" t="s">
        <v>135</v>
      </c>
      <c r="I145" s="143"/>
      <c r="J145" s="143"/>
      <c r="K145" s="143"/>
      <c r="O145" s="220"/>
    </row>
    <row r="146" spans="1:15" s="159" customFormat="1" ht="27.75" customHeight="1" thickBot="1" x14ac:dyDescent="0.3">
      <c r="A146" s="376"/>
      <c r="B146" s="132" t="s">
        <v>298</v>
      </c>
      <c r="C146" s="92" t="s">
        <v>98</v>
      </c>
      <c r="D146" s="1381" t="s">
        <v>7</v>
      </c>
      <c r="E146" s="1381"/>
      <c r="F146" s="144" t="s">
        <v>182</v>
      </c>
      <c r="G146" s="38">
        <f>$K$5</f>
        <v>44501</v>
      </c>
      <c r="I146" s="143"/>
      <c r="J146" s="143"/>
      <c r="K146" s="143"/>
      <c r="O146" s="220"/>
    </row>
    <row r="147" spans="1:15" s="159" customFormat="1" ht="14.25" customHeight="1" thickBot="1" x14ac:dyDescent="0.3">
      <c r="A147" s="376"/>
      <c r="B147" s="1382"/>
      <c r="C147" s="1382"/>
      <c r="D147" s="1382"/>
      <c r="E147" s="1382"/>
      <c r="F147" s="1382"/>
      <c r="G147" s="1382"/>
      <c r="I147" s="143"/>
      <c r="J147" s="143"/>
      <c r="K147" s="143"/>
      <c r="O147" s="220"/>
    </row>
    <row r="148" spans="1:15" s="159" customFormat="1" ht="14.25" customHeight="1" x14ac:dyDescent="0.25">
      <c r="A148" s="376"/>
      <c r="B148" s="93" t="s">
        <v>139</v>
      </c>
      <c r="C148" s="94" t="s">
        <v>140</v>
      </c>
      <c r="D148" s="94" t="s">
        <v>141</v>
      </c>
      <c r="E148" s="94" t="s">
        <v>142</v>
      </c>
      <c r="F148" s="94" t="s">
        <v>143</v>
      </c>
      <c r="G148" s="95" t="s">
        <v>144</v>
      </c>
      <c r="I148" s="143"/>
      <c r="J148" s="143"/>
      <c r="K148" s="143"/>
      <c r="O148" s="220"/>
    </row>
    <row r="149" spans="1:15" s="159" customFormat="1" ht="14.25" customHeight="1" x14ac:dyDescent="0.25">
      <c r="A149" s="377">
        <v>10118</v>
      </c>
      <c r="B149" s="145" t="str">
        <f>VLOOKUP(A149,Insumos!$A$10:$F$3462,2,FALSE)</f>
        <v>ENCANADOR - (OFICIAL - SINDUSCON)</v>
      </c>
      <c r="C149" s="146" t="str">
        <f>VLOOKUP(A149,Insumos!$A$10:$F$3462,3,FALSE)</f>
        <v>H</v>
      </c>
      <c r="D149" s="147">
        <v>0.26100000000000001</v>
      </c>
      <c r="E149" s="329">
        <f>VLOOKUP(A149,Insumos!$A$10:$F$3462,4,FALSE)</f>
        <v>7.43</v>
      </c>
      <c r="F149" s="329">
        <f>ROUND((D149*E149),2)</f>
        <v>1.94</v>
      </c>
      <c r="G149" s="148"/>
      <c r="I149" s="143"/>
      <c r="J149" s="143"/>
      <c r="K149" s="143"/>
      <c r="O149" s="220"/>
    </row>
    <row r="150" spans="1:15" s="159" customFormat="1" ht="14.25" customHeight="1" x14ac:dyDescent="0.25">
      <c r="A150" s="377">
        <v>10101</v>
      </c>
      <c r="B150" s="145" t="str">
        <f>VLOOKUP(A150,Insumos!$A$10:$F$3462,2,FALSE)</f>
        <v>AJUDANTE (AJUDANTE PRATICO - SINDUSCON)</v>
      </c>
      <c r="C150" s="146" t="str">
        <f>VLOOKUP(A150,Insumos!$A$10:$F$3462,3,FALSE)</f>
        <v>H</v>
      </c>
      <c r="D150" s="147">
        <v>0.45200000000000001</v>
      </c>
      <c r="E150" s="329">
        <f>VLOOKUP(A150,Insumos!$A$10:$F$3462,4,FALSE)</f>
        <v>6.27</v>
      </c>
      <c r="F150" s="329">
        <f>ROUND((D150*E150),2)</f>
        <v>2.83</v>
      </c>
      <c r="G150" s="148"/>
      <c r="I150" s="143"/>
      <c r="J150" s="143"/>
      <c r="K150" s="143"/>
      <c r="O150" s="220"/>
    </row>
    <row r="151" spans="1:15" s="159" customFormat="1" ht="14.25" customHeight="1" x14ac:dyDescent="0.25">
      <c r="A151" s="376"/>
      <c r="B151" s="99"/>
      <c r="C151" s="146"/>
      <c r="D151" s="100"/>
      <c r="E151" s="146"/>
      <c r="F151" s="146"/>
      <c r="G151" s="148"/>
      <c r="I151" s="143"/>
      <c r="J151" s="143"/>
      <c r="K151" s="143"/>
      <c r="O151" s="220"/>
    </row>
    <row r="152" spans="1:15" s="159" customFormat="1" ht="14.25" customHeight="1" x14ac:dyDescent="0.25">
      <c r="A152" s="376"/>
      <c r="B152" s="101" t="s">
        <v>145</v>
      </c>
      <c r="C152" s="102"/>
      <c r="D152" s="103"/>
      <c r="E152" s="146"/>
      <c r="F152" s="104"/>
      <c r="G152" s="338">
        <f>+SUM(F149:F151)</f>
        <v>4.7699999999999996</v>
      </c>
      <c r="I152" s="143"/>
      <c r="J152" s="220">
        <v>1</v>
      </c>
      <c r="K152" s="220">
        <v>2400</v>
      </c>
      <c r="O152" s="220"/>
    </row>
    <row r="153" spans="1:15" s="159" customFormat="1" ht="14.25" customHeight="1" x14ac:dyDescent="0.25">
      <c r="A153" s="376"/>
      <c r="B153" s="99" t="s">
        <v>146</v>
      </c>
      <c r="C153" s="106"/>
      <c r="D153" s="107"/>
      <c r="E153" s="146"/>
      <c r="F153" s="108"/>
      <c r="G153" s="109" t="s">
        <v>147</v>
      </c>
      <c r="I153" s="143"/>
      <c r="J153" s="220">
        <v>7.9000000000000008E-3</v>
      </c>
      <c r="K153" s="220">
        <f>J153*K152</f>
        <v>18.96</v>
      </c>
      <c r="O153" s="220"/>
    </row>
    <row r="154" spans="1:15" s="159" customFormat="1" ht="28.5" customHeight="1" x14ac:dyDescent="0.25">
      <c r="A154" s="379">
        <v>10639</v>
      </c>
      <c r="B154" s="145" t="str">
        <f>UPPER(VLOOKUP(A154,Insumos!$A$10:$F$3462,2,FALSE))</f>
        <v>TUBO CORRUGADO PAREDE DUPLA PEAD, D= 450MM (18"), P/SISTEMAS DRENAGEM, TIGRE-ADS N-12 OU SIMILAR</v>
      </c>
      <c r="C154" s="146" t="str">
        <f>VLOOKUP(A154,Insumos!$A$10:$F$3462,3,FALSE)</f>
        <v>m</v>
      </c>
      <c r="D154" s="147">
        <v>1.02</v>
      </c>
      <c r="E154" s="329">
        <f>VLOOKUP(A154,Insumos!$A$10:$F$3462,4,FALSE)</f>
        <v>208.26</v>
      </c>
      <c r="F154" s="329">
        <f>ROUND((D154*E154),2)</f>
        <v>212.43</v>
      </c>
      <c r="G154" s="148"/>
      <c r="I154" s="143"/>
      <c r="J154" s="220"/>
      <c r="K154" s="220"/>
      <c r="O154" s="220"/>
    </row>
    <row r="155" spans="1:15" s="159" customFormat="1" ht="26.25" x14ac:dyDescent="0.25">
      <c r="A155" s="379">
        <v>20078</v>
      </c>
      <c r="B155" s="230" t="str">
        <f>UPPER(VLOOKUP(A155,Insumos!$A$10:$F$3462,2,FALSE))</f>
        <v>PASTA LUBRIFICANTE PARA TUBOS E CONEXOES COM JUNTA ELASTICA(USO EM PVC, ACO, POLIETILENO E OUTROS) ( DE *400* G)</v>
      </c>
      <c r="C155" s="146" t="str">
        <f>VLOOKUP(A155,Insumos!$A$10:$F$3462,3,FALSE)</f>
        <v>Und.</v>
      </c>
      <c r="D155" s="147">
        <v>4.7399999999999998E-2</v>
      </c>
      <c r="E155" s="329">
        <f>VLOOKUP(A155,Insumos!$A$10:$F$3462,4,FALSE)</f>
        <v>27.05</v>
      </c>
      <c r="F155" s="329">
        <f>ROUND((D155*E155),2)</f>
        <v>1.28</v>
      </c>
      <c r="G155" s="148"/>
      <c r="I155" s="143"/>
      <c r="J155" s="220">
        <v>1</v>
      </c>
      <c r="K155" s="220">
        <v>400</v>
      </c>
      <c r="O155" s="220"/>
    </row>
    <row r="156" spans="1:15" s="159" customFormat="1" ht="14.25" customHeight="1" x14ac:dyDescent="0.25">
      <c r="A156" s="376"/>
      <c r="B156" s="145"/>
      <c r="C156" s="146"/>
      <c r="D156" s="110"/>
      <c r="E156" s="146"/>
      <c r="F156" s="146"/>
      <c r="G156" s="148"/>
      <c r="I156" s="143"/>
      <c r="J156" s="220">
        <f>K156/K155</f>
        <v>4.7399999999999998E-2</v>
      </c>
      <c r="K156" s="220">
        <v>18.96</v>
      </c>
      <c r="O156" s="220"/>
    </row>
    <row r="157" spans="1:15" s="159" customFormat="1" ht="14.25" customHeight="1" x14ac:dyDescent="0.25">
      <c r="A157" s="376"/>
      <c r="B157" s="145"/>
      <c r="C157" s="146"/>
      <c r="D157" s="110"/>
      <c r="E157" s="146"/>
      <c r="F157" s="146"/>
      <c r="G157" s="148"/>
      <c r="I157" s="143"/>
      <c r="J157" s="143"/>
      <c r="K157" s="143"/>
      <c r="O157" s="220"/>
    </row>
    <row r="158" spans="1:15" s="159" customFormat="1" ht="14.25" customHeight="1" x14ac:dyDescent="0.25">
      <c r="A158" s="376"/>
      <c r="B158" s="145"/>
      <c r="C158" s="146"/>
      <c r="D158" s="60"/>
      <c r="E158" s="146"/>
      <c r="F158" s="146"/>
      <c r="G158" s="148"/>
      <c r="I158" s="143"/>
      <c r="J158" s="143"/>
      <c r="K158" s="143"/>
      <c r="O158" s="220"/>
    </row>
    <row r="159" spans="1:15" s="159" customFormat="1" ht="14.25" customHeight="1" x14ac:dyDescent="0.25">
      <c r="A159" s="376"/>
      <c r="B159" s="99"/>
      <c r="C159" s="146"/>
      <c r="D159" s="111"/>
      <c r="E159" s="146"/>
      <c r="F159" s="146"/>
      <c r="G159" s="148"/>
      <c r="I159" s="143"/>
      <c r="J159" s="143"/>
      <c r="K159" s="143"/>
      <c r="O159" s="220"/>
    </row>
    <row r="160" spans="1:15" s="159" customFormat="1" ht="14.25" customHeight="1" x14ac:dyDescent="0.25">
      <c r="A160" s="376"/>
      <c r="B160" s="101" t="s">
        <v>148</v>
      </c>
      <c r="C160" s="102"/>
      <c r="D160" s="112"/>
      <c r="E160" s="113"/>
      <c r="F160" s="113"/>
      <c r="G160" s="338">
        <f>+SUM(F154:F159)</f>
        <v>213.71</v>
      </c>
      <c r="I160" s="143"/>
      <c r="J160" s="143"/>
      <c r="K160" s="143"/>
      <c r="O160" s="220"/>
    </row>
    <row r="161" spans="1:15" s="159" customFormat="1" ht="14.25" customHeight="1" x14ac:dyDescent="0.25">
      <c r="A161" s="376"/>
      <c r="B161" s="99" t="s">
        <v>149</v>
      </c>
      <c r="C161" s="106"/>
      <c r="D161" s="114"/>
      <c r="E161" s="106"/>
      <c r="F161" s="106"/>
      <c r="G161" s="109" t="s">
        <v>150</v>
      </c>
      <c r="I161" s="143"/>
      <c r="J161" s="143"/>
      <c r="K161" s="143"/>
      <c r="O161" s="220"/>
    </row>
    <row r="162" spans="1:15" s="159" customFormat="1" ht="14.25" customHeight="1" x14ac:dyDescent="0.25">
      <c r="A162" s="376"/>
      <c r="B162" s="99" t="s">
        <v>98</v>
      </c>
      <c r="C162" s="146"/>
      <c r="D162" s="110"/>
      <c r="E162" s="146"/>
      <c r="F162" s="146"/>
      <c r="G162" s="148"/>
      <c r="I162" s="143"/>
      <c r="J162" s="143"/>
      <c r="K162" s="143"/>
      <c r="O162" s="220"/>
    </row>
    <row r="163" spans="1:15" s="159" customFormat="1" ht="14.25" customHeight="1" x14ac:dyDescent="0.25">
      <c r="A163" s="376"/>
      <c r="B163" s="99" t="s">
        <v>98</v>
      </c>
      <c r="C163" s="146"/>
      <c r="D163" s="110"/>
      <c r="E163" s="146"/>
      <c r="F163" s="146"/>
      <c r="G163" s="148"/>
      <c r="I163" s="143"/>
      <c r="J163" s="143"/>
      <c r="K163" s="143"/>
      <c r="O163" s="220"/>
    </row>
    <row r="164" spans="1:15" s="159" customFormat="1" ht="14.25" customHeight="1" thickBot="1" x14ac:dyDescent="0.3">
      <c r="A164" s="376"/>
      <c r="B164" s="115" t="s">
        <v>151</v>
      </c>
      <c r="C164" s="116"/>
      <c r="D164" s="117"/>
      <c r="E164" s="116"/>
      <c r="F164" s="116"/>
      <c r="G164" s="118">
        <f>+SUM(F162:F163)</f>
        <v>0</v>
      </c>
      <c r="I164" s="143"/>
      <c r="J164" s="143"/>
      <c r="K164" s="143"/>
      <c r="O164" s="220"/>
    </row>
    <row r="165" spans="1:15" s="159" customFormat="1" ht="14.25" customHeight="1" thickBot="1" x14ac:dyDescent="0.3">
      <c r="A165" s="376"/>
      <c r="B165" s="1382"/>
      <c r="C165" s="1382"/>
      <c r="D165" s="1382"/>
      <c r="E165" s="1382"/>
      <c r="F165" s="1382"/>
      <c r="G165" s="1382"/>
      <c r="I165" s="143"/>
      <c r="J165" s="143"/>
      <c r="K165" s="143"/>
      <c r="O165" s="220"/>
    </row>
    <row r="166" spans="1:15" s="159" customFormat="1" ht="14.25" customHeight="1" thickBot="1" x14ac:dyDescent="0.3">
      <c r="A166" s="376"/>
      <c r="B166" s="69" t="s">
        <v>152</v>
      </c>
      <c r="C166" s="70" t="s">
        <v>4415</v>
      </c>
      <c r="D166" s="71" t="s">
        <v>154</v>
      </c>
      <c r="E166" s="1381" t="s">
        <v>155</v>
      </c>
      <c r="F166" s="1381"/>
      <c r="G166" s="1381"/>
      <c r="I166" s="143"/>
      <c r="J166" s="143"/>
      <c r="K166" s="143"/>
      <c r="O166" s="220"/>
    </row>
    <row r="167" spans="1:15" s="159" customFormat="1" ht="14.25" customHeight="1" thickBot="1" x14ac:dyDescent="0.3">
      <c r="A167" s="376"/>
      <c r="B167" s="72" t="s">
        <v>156</v>
      </c>
      <c r="C167" s="73"/>
      <c r="D167" s="332">
        <f>G152</f>
        <v>4.7699999999999996</v>
      </c>
      <c r="E167" s="1381"/>
      <c r="F167" s="1381"/>
      <c r="G167" s="1381"/>
      <c r="I167" s="143"/>
      <c r="J167" s="143"/>
      <c r="K167" s="143"/>
      <c r="O167" s="220"/>
    </row>
    <row r="168" spans="1:15" s="159" customFormat="1" ht="14.25" customHeight="1" thickBot="1" x14ac:dyDescent="0.3">
      <c r="A168" s="376"/>
      <c r="B168" s="72" t="s">
        <v>157</v>
      </c>
      <c r="C168" s="73"/>
      <c r="D168" s="332">
        <f>G160</f>
        <v>213.71</v>
      </c>
      <c r="E168" s="1381"/>
      <c r="F168" s="1381"/>
      <c r="G168" s="1381"/>
      <c r="I168" s="143"/>
      <c r="J168" s="143"/>
      <c r="K168" s="143"/>
      <c r="O168" s="220"/>
    </row>
    <row r="169" spans="1:15" s="159" customFormat="1" ht="14.25" customHeight="1" thickBot="1" x14ac:dyDescent="0.3">
      <c r="A169" s="376"/>
      <c r="B169" s="72" t="s">
        <v>158</v>
      </c>
      <c r="C169" s="73"/>
      <c r="D169" s="332">
        <f>G164</f>
        <v>0</v>
      </c>
      <c r="E169" s="1381"/>
      <c r="F169" s="1381"/>
      <c r="G169" s="1381"/>
      <c r="I169" s="143"/>
      <c r="J169" s="143"/>
      <c r="K169" s="143"/>
      <c r="O169" s="220"/>
    </row>
    <row r="170" spans="1:15" s="159" customFormat="1" ht="14.25" customHeight="1" thickBot="1" x14ac:dyDescent="0.3">
      <c r="A170" s="376"/>
      <c r="B170" s="72" t="s">
        <v>159</v>
      </c>
      <c r="C170" s="74">
        <f>$J$5</f>
        <v>157.27000000000001</v>
      </c>
      <c r="D170" s="332">
        <f>+ROUND((D167*C170),2)/100</f>
        <v>7.5</v>
      </c>
      <c r="E170" s="1381"/>
      <c r="F170" s="1381"/>
      <c r="G170" s="1381"/>
      <c r="I170" s="143"/>
      <c r="J170" s="143"/>
      <c r="K170" s="143"/>
      <c r="O170" s="220"/>
    </row>
    <row r="171" spans="1:15" s="159" customFormat="1" ht="14.25" customHeight="1" thickBot="1" x14ac:dyDescent="0.3">
      <c r="A171" s="376"/>
      <c r="B171" s="72" t="s">
        <v>160</v>
      </c>
      <c r="C171" s="75"/>
      <c r="D171" s="333">
        <f>+SUM(D167:D170)</f>
        <v>225.98</v>
      </c>
      <c r="E171" s="1381"/>
      <c r="F171" s="1381"/>
      <c r="G171" s="1381"/>
      <c r="I171" s="143"/>
      <c r="J171" s="143"/>
      <c r="K171" s="143"/>
      <c r="O171" s="220"/>
    </row>
    <row r="172" spans="1:15" s="159" customFormat="1" ht="14.25" customHeight="1" thickBot="1" x14ac:dyDescent="0.3">
      <c r="A172" s="376"/>
      <c r="B172" s="72" t="s">
        <v>161</v>
      </c>
      <c r="C172" s="73"/>
      <c r="D172" s="332" t="s">
        <v>162</v>
      </c>
      <c r="E172" s="1382" t="s">
        <v>163</v>
      </c>
      <c r="F172" s="1382"/>
      <c r="G172" s="1382"/>
      <c r="I172" s="143"/>
      <c r="J172" s="143"/>
      <c r="K172" s="143"/>
      <c r="O172" s="220"/>
    </row>
    <row r="173" spans="1:15" s="159" customFormat="1" ht="14.25" customHeight="1" thickBot="1" x14ac:dyDescent="0.3">
      <c r="A173" s="376"/>
      <c r="B173" s="122" t="s">
        <v>164</v>
      </c>
      <c r="C173" s="123"/>
      <c r="D173" s="334">
        <f>+SUM(D171:D172)</f>
        <v>225.98</v>
      </c>
      <c r="E173" s="1382"/>
      <c r="F173" s="1382"/>
      <c r="G173" s="1382"/>
      <c r="I173" s="143"/>
      <c r="J173" s="143"/>
      <c r="K173" s="143"/>
      <c r="O173" s="220"/>
    </row>
    <row r="174" spans="1:15" s="159" customFormat="1" ht="14.25" customHeight="1" thickBot="1" x14ac:dyDescent="0.3">
      <c r="A174" s="376"/>
      <c r="B174" s="124" t="s">
        <v>165</v>
      </c>
      <c r="C174" s="125">
        <f>$I$5</f>
        <v>28.49</v>
      </c>
      <c r="D174" s="335">
        <f>ROUND((D173*C174),2)/100</f>
        <v>64.38</v>
      </c>
      <c r="E174" s="1382"/>
      <c r="F174" s="1382"/>
      <c r="G174" s="1382"/>
      <c r="I174" s="143"/>
      <c r="J174" s="143"/>
      <c r="K174" s="143"/>
      <c r="O174" s="220"/>
    </row>
    <row r="175" spans="1:15" s="159" customFormat="1" ht="14.25" customHeight="1" thickBot="1" x14ac:dyDescent="0.3">
      <c r="A175" s="376"/>
      <c r="B175" s="80" t="s">
        <v>166</v>
      </c>
      <c r="C175" s="127"/>
      <c r="D175" s="336">
        <f>+SUM(D173:D174)</f>
        <v>290.36</v>
      </c>
      <c r="E175" s="128"/>
      <c r="F175" s="337">
        <f>D175</f>
        <v>290.36</v>
      </c>
      <c r="G175" s="131"/>
      <c r="I175" s="143"/>
      <c r="J175" s="143"/>
      <c r="K175" s="143"/>
      <c r="O175" s="220"/>
    </row>
    <row r="176" spans="1:15" s="159" customFormat="1" ht="14.25" customHeight="1" x14ac:dyDescent="0.25">
      <c r="A176" s="376"/>
      <c r="B176" s="28"/>
      <c r="C176" s="28"/>
      <c r="D176" s="28"/>
      <c r="E176" s="28"/>
      <c r="F176" s="28"/>
      <c r="G176" s="28"/>
      <c r="I176" s="143"/>
      <c r="J176" s="143"/>
      <c r="K176" s="143"/>
      <c r="O176" s="220"/>
    </row>
    <row r="177" spans="1:15" s="159" customFormat="1" ht="14.25" customHeight="1" x14ac:dyDescent="0.25">
      <c r="A177" s="376"/>
      <c r="B177" s="28"/>
      <c r="C177" s="28"/>
      <c r="D177" s="28"/>
      <c r="E177" s="28"/>
      <c r="F177" s="28"/>
      <c r="G177" s="28"/>
      <c r="I177" s="143"/>
      <c r="J177" s="143"/>
      <c r="K177" s="143"/>
      <c r="O177" s="220"/>
    </row>
    <row r="178" spans="1:15" s="159" customFormat="1" ht="14.25" customHeight="1" thickBot="1" x14ac:dyDescent="0.3">
      <c r="A178" s="376"/>
      <c r="B178" s="28"/>
      <c r="C178" s="28"/>
      <c r="D178" s="28"/>
      <c r="E178" s="28"/>
      <c r="F178" s="28"/>
      <c r="G178" s="28"/>
      <c r="I178" s="143"/>
      <c r="J178" s="143"/>
      <c r="K178" s="143"/>
      <c r="O178" s="220"/>
    </row>
    <row r="179" spans="1:15" s="159" customFormat="1" ht="14.25" customHeight="1" x14ac:dyDescent="0.25">
      <c r="A179" s="376"/>
      <c r="B179" s="1383" t="s">
        <v>131</v>
      </c>
      <c r="C179" s="1383"/>
      <c r="D179" s="1383"/>
      <c r="E179" s="1383"/>
      <c r="F179" s="1383"/>
      <c r="G179" s="1383"/>
      <c r="I179" s="143"/>
      <c r="J179" s="143"/>
      <c r="K179" s="143"/>
      <c r="O179" s="220"/>
    </row>
    <row r="180" spans="1:15" s="159" customFormat="1" ht="14.25" customHeight="1" thickBot="1" x14ac:dyDescent="0.3">
      <c r="A180" s="376"/>
      <c r="B180" s="1384" t="str">
        <f>$I$3</f>
        <v>Urbanização da Orla de Piúma - Município de Piúma / ES</v>
      </c>
      <c r="C180" s="1385"/>
      <c r="D180" s="1385"/>
      <c r="E180" s="1385"/>
      <c r="F180" s="1385"/>
      <c r="G180" s="1386"/>
      <c r="I180" s="143"/>
      <c r="J180" s="143"/>
      <c r="K180" s="143"/>
      <c r="O180" s="220"/>
    </row>
    <row r="181" spans="1:15" s="159" customFormat="1" ht="14.25" customHeight="1" thickBot="1" x14ac:dyDescent="0.3">
      <c r="A181" s="376"/>
      <c r="B181" s="90" t="s">
        <v>132</v>
      </c>
      <c r="C181" s="90" t="s">
        <v>133</v>
      </c>
      <c r="D181" s="1381" t="s">
        <v>134</v>
      </c>
      <c r="E181" s="1381"/>
      <c r="F181" s="131" t="s">
        <v>275</v>
      </c>
      <c r="G181" s="131" t="s">
        <v>135</v>
      </c>
      <c r="I181" s="143"/>
      <c r="J181" s="143"/>
      <c r="K181" s="143"/>
      <c r="O181" s="220"/>
    </row>
    <row r="182" spans="1:15" s="159" customFormat="1" ht="27" customHeight="1" thickBot="1" x14ac:dyDescent="0.3">
      <c r="A182" s="376"/>
      <c r="B182" s="132" t="s">
        <v>297</v>
      </c>
      <c r="C182" s="92" t="s">
        <v>98</v>
      </c>
      <c r="D182" s="1381" t="s">
        <v>7</v>
      </c>
      <c r="E182" s="1381"/>
      <c r="F182" s="144" t="s">
        <v>183</v>
      </c>
      <c r="G182" s="38">
        <f>$K$5</f>
        <v>44501</v>
      </c>
      <c r="I182" s="143"/>
      <c r="J182" s="143"/>
      <c r="K182" s="143"/>
      <c r="O182" s="220"/>
    </row>
    <row r="183" spans="1:15" s="159" customFormat="1" ht="14.25" customHeight="1" thickBot="1" x14ac:dyDescent="0.3">
      <c r="A183" s="376"/>
      <c r="B183" s="1382"/>
      <c r="C183" s="1382"/>
      <c r="D183" s="1382"/>
      <c r="E183" s="1382"/>
      <c r="F183" s="1382"/>
      <c r="G183" s="1382"/>
      <c r="I183" s="143"/>
      <c r="J183" s="143"/>
      <c r="K183" s="143"/>
      <c r="O183" s="220"/>
    </row>
    <row r="184" spans="1:15" s="159" customFormat="1" ht="14.25" customHeight="1" x14ac:dyDescent="0.25">
      <c r="A184" s="376"/>
      <c r="B184" s="93" t="s">
        <v>139</v>
      </c>
      <c r="C184" s="94" t="s">
        <v>140</v>
      </c>
      <c r="D184" s="94" t="s">
        <v>141</v>
      </c>
      <c r="E184" s="94" t="s">
        <v>142</v>
      </c>
      <c r="F184" s="94" t="s">
        <v>143</v>
      </c>
      <c r="G184" s="95" t="s">
        <v>144</v>
      </c>
      <c r="I184" s="143"/>
      <c r="J184" s="143"/>
      <c r="K184" s="143"/>
      <c r="O184" s="220"/>
    </row>
    <row r="185" spans="1:15" s="159" customFormat="1" ht="14.25" customHeight="1" x14ac:dyDescent="0.25">
      <c r="A185" s="377">
        <v>10118</v>
      </c>
      <c r="B185" s="145" t="str">
        <f>VLOOKUP(A185,Insumos!$A$10:$F$3462,2,FALSE)</f>
        <v>ENCANADOR - (OFICIAL - SINDUSCON)</v>
      </c>
      <c r="C185" s="146" t="str">
        <f>VLOOKUP(A185,Insumos!$A$10:$F$3462,3,FALSE)</f>
        <v>H</v>
      </c>
      <c r="D185" s="147">
        <v>0.30099999999999999</v>
      </c>
      <c r="E185" s="321">
        <f>VLOOKUP(A185,Insumos!$A$10:$F$3462,4,FALSE)</f>
        <v>7.43</v>
      </c>
      <c r="F185" s="321">
        <f>ROUND((D185*E185),2)</f>
        <v>2.2400000000000002</v>
      </c>
      <c r="G185" s="148"/>
      <c r="I185" s="143"/>
      <c r="J185" s="143"/>
      <c r="K185" s="143"/>
      <c r="O185" s="220"/>
    </row>
    <row r="186" spans="1:15" s="159" customFormat="1" ht="14.25" customHeight="1" x14ac:dyDescent="0.25">
      <c r="A186" s="377">
        <v>10101</v>
      </c>
      <c r="B186" s="145" t="str">
        <f>VLOOKUP(A186,Insumos!$A$10:$F$3462,2,FALSE)</f>
        <v>AJUDANTE (AJUDANTE PRATICO - SINDUSCON)</v>
      </c>
      <c r="C186" s="146" t="str">
        <f>VLOOKUP(A186,Insumos!$A$10:$F$3462,3,FALSE)</f>
        <v>H</v>
      </c>
      <c r="D186" s="147">
        <v>0.55000000000000004</v>
      </c>
      <c r="E186" s="321">
        <f>VLOOKUP(A186,Insumos!$A$10:$F$3462,4,FALSE)</f>
        <v>6.27</v>
      </c>
      <c r="F186" s="321">
        <f>ROUND((D186*E186),2)</f>
        <v>3.45</v>
      </c>
      <c r="G186" s="148"/>
      <c r="I186" s="143"/>
      <c r="J186" s="143"/>
      <c r="K186" s="143"/>
      <c r="O186" s="220"/>
    </row>
    <row r="187" spans="1:15" s="159" customFormat="1" ht="14.25" customHeight="1" x14ac:dyDescent="0.25">
      <c r="A187" s="376"/>
      <c r="B187" s="99"/>
      <c r="C187" s="146"/>
      <c r="D187" s="100"/>
      <c r="E187" s="146"/>
      <c r="F187" s="146"/>
      <c r="G187" s="148"/>
      <c r="I187" s="143"/>
      <c r="J187" s="143"/>
      <c r="K187" s="143"/>
      <c r="O187" s="220"/>
    </row>
    <row r="188" spans="1:15" s="159" customFormat="1" ht="14.25" customHeight="1" x14ac:dyDescent="0.25">
      <c r="A188" s="376"/>
      <c r="B188" s="101" t="s">
        <v>145</v>
      </c>
      <c r="C188" s="102"/>
      <c r="D188" s="103"/>
      <c r="E188" s="146"/>
      <c r="F188" s="104"/>
      <c r="G188" s="322">
        <f>+SUM(F185:F187)</f>
        <v>5.69</v>
      </c>
      <c r="I188" s="143"/>
      <c r="J188" s="143"/>
      <c r="K188" s="143"/>
      <c r="O188" s="220"/>
    </row>
    <row r="189" spans="1:15" s="159" customFormat="1" ht="14.25" customHeight="1" x14ac:dyDescent="0.25">
      <c r="A189" s="376"/>
      <c r="B189" s="99" t="s">
        <v>146</v>
      </c>
      <c r="C189" s="106"/>
      <c r="D189" s="107"/>
      <c r="E189" s="146"/>
      <c r="F189" s="108"/>
      <c r="G189" s="109" t="s">
        <v>147</v>
      </c>
      <c r="I189" s="143"/>
      <c r="J189" s="143"/>
      <c r="K189" s="143"/>
      <c r="O189" s="220"/>
    </row>
    <row r="190" spans="1:15" s="159" customFormat="1" ht="27.75" customHeight="1" x14ac:dyDescent="0.25">
      <c r="A190" s="379">
        <v>10646</v>
      </c>
      <c r="B190" s="145" t="str">
        <f>UPPER(VLOOKUP(A190,Insumos!$A$10:$F$3462,2,FALSE))</f>
        <v>TUBO CORRUGADO PAREDE DUPLA PEAD, D= 600MM (24"), P/SISTEMAS DRENAGEM, TIGRE-ADS N-12 OU SIMILAR</v>
      </c>
      <c r="C190" s="146" t="str">
        <f>VLOOKUP(A190,Insumos!$A$10:$F$3462,3,FALSE)</f>
        <v>m</v>
      </c>
      <c r="D190" s="147">
        <v>1.02</v>
      </c>
      <c r="E190" s="321">
        <f>VLOOKUP(A190,Insumos!$A$10:$F$3462,4,FALSE)</f>
        <v>343.86</v>
      </c>
      <c r="F190" s="321">
        <f>ROUND((D190*E190),2)</f>
        <v>350.74</v>
      </c>
      <c r="G190" s="148"/>
      <c r="I190" s="143"/>
      <c r="J190" s="143"/>
      <c r="K190" s="143"/>
      <c r="O190" s="220"/>
    </row>
    <row r="191" spans="1:15" s="159" customFormat="1" ht="26.25" x14ac:dyDescent="0.25">
      <c r="A191" s="379">
        <v>20078</v>
      </c>
      <c r="B191" s="230" t="str">
        <f>UPPER(VLOOKUP(A191,Insumos!$A$10:$F$3462,2,FALSE))</f>
        <v>PASTA LUBRIFICANTE PARA TUBOS E CONEXOES COM JUNTA ELASTICA(USO EM PVC, ACO, POLIETILENO E OUTROS) ( DE *400* G)</v>
      </c>
      <c r="C191" s="146" t="str">
        <f>VLOOKUP(A191,Insumos!$A$10:$F$3462,3,FALSE)</f>
        <v>Und.</v>
      </c>
      <c r="D191" s="147">
        <v>5.5199999999999999E-2</v>
      </c>
      <c r="E191" s="321">
        <f>VLOOKUP(A191,Insumos!$A$10:$F$3462,4,FALSE)</f>
        <v>27.05</v>
      </c>
      <c r="F191" s="321">
        <f>ROUND((D191*E191),2)</f>
        <v>1.49</v>
      </c>
      <c r="G191" s="148"/>
      <c r="I191" s="143"/>
      <c r="J191" s="220"/>
      <c r="K191" s="220"/>
      <c r="O191" s="220"/>
    </row>
    <row r="192" spans="1:15" s="159" customFormat="1" ht="14.25" customHeight="1" x14ac:dyDescent="0.25">
      <c r="A192" s="376"/>
      <c r="B192" s="145"/>
      <c r="C192" s="146"/>
      <c r="D192" s="110"/>
      <c r="E192" s="146"/>
      <c r="F192" s="146"/>
      <c r="G192" s="148"/>
      <c r="I192" s="143"/>
      <c r="J192" s="220"/>
      <c r="K192" s="220"/>
      <c r="O192" s="220"/>
    </row>
    <row r="193" spans="1:15" s="159" customFormat="1" ht="14.25" customHeight="1" x14ac:dyDescent="0.25">
      <c r="A193" s="376"/>
      <c r="B193" s="145"/>
      <c r="C193" s="146"/>
      <c r="D193" s="110"/>
      <c r="E193" s="146"/>
      <c r="F193" s="146"/>
      <c r="G193" s="148"/>
      <c r="I193" s="143"/>
      <c r="J193" s="220"/>
      <c r="K193" s="220"/>
      <c r="O193" s="220"/>
    </row>
    <row r="194" spans="1:15" s="159" customFormat="1" ht="14.25" customHeight="1" x14ac:dyDescent="0.25">
      <c r="A194" s="376"/>
      <c r="B194" s="145"/>
      <c r="C194" s="146"/>
      <c r="D194" s="60"/>
      <c r="E194" s="146"/>
      <c r="F194" s="146"/>
      <c r="G194" s="148"/>
      <c r="I194" s="143"/>
      <c r="J194" s="220"/>
      <c r="K194" s="220"/>
      <c r="O194" s="220"/>
    </row>
    <row r="195" spans="1:15" s="159" customFormat="1" ht="14.25" customHeight="1" x14ac:dyDescent="0.25">
      <c r="A195" s="376"/>
      <c r="B195" s="99"/>
      <c r="C195" s="146"/>
      <c r="D195" s="111"/>
      <c r="E195" s="146"/>
      <c r="F195" s="146"/>
      <c r="G195" s="148"/>
      <c r="I195" s="143"/>
      <c r="J195" s="220"/>
      <c r="K195" s="220"/>
      <c r="O195" s="220"/>
    </row>
    <row r="196" spans="1:15" s="159" customFormat="1" ht="14.25" customHeight="1" x14ac:dyDescent="0.25">
      <c r="A196" s="376"/>
      <c r="B196" s="101" t="s">
        <v>148</v>
      </c>
      <c r="C196" s="102"/>
      <c r="D196" s="112"/>
      <c r="E196" s="113"/>
      <c r="F196" s="113"/>
      <c r="G196" s="322">
        <f>+SUM(F190:F195)</f>
        <v>352.23</v>
      </c>
      <c r="I196" s="143"/>
      <c r="J196" s="143"/>
      <c r="K196" s="143"/>
      <c r="O196" s="220"/>
    </row>
    <row r="197" spans="1:15" s="159" customFormat="1" ht="14.25" customHeight="1" x14ac:dyDescent="0.25">
      <c r="A197" s="376"/>
      <c r="B197" s="99" t="s">
        <v>149</v>
      </c>
      <c r="C197" s="106"/>
      <c r="D197" s="114"/>
      <c r="E197" s="106"/>
      <c r="F197" s="106"/>
      <c r="G197" s="109" t="s">
        <v>150</v>
      </c>
      <c r="I197" s="143"/>
      <c r="J197" s="143"/>
      <c r="K197" s="143"/>
      <c r="O197" s="220"/>
    </row>
    <row r="198" spans="1:15" s="159" customFormat="1" ht="14.25" customHeight="1" x14ac:dyDescent="0.25">
      <c r="A198" s="376"/>
      <c r="B198" s="99" t="s">
        <v>98</v>
      </c>
      <c r="C198" s="146"/>
      <c r="D198" s="110"/>
      <c r="E198" s="146"/>
      <c r="F198" s="146"/>
      <c r="G198" s="148"/>
      <c r="I198" s="143"/>
      <c r="J198" s="143"/>
      <c r="K198" s="143"/>
      <c r="O198" s="220"/>
    </row>
    <row r="199" spans="1:15" s="159" customFormat="1" ht="14.25" customHeight="1" x14ac:dyDescent="0.25">
      <c r="A199" s="376"/>
      <c r="B199" s="99" t="s">
        <v>98</v>
      </c>
      <c r="C199" s="146"/>
      <c r="D199" s="110"/>
      <c r="E199" s="146"/>
      <c r="F199" s="146"/>
      <c r="G199" s="148"/>
      <c r="I199" s="143"/>
      <c r="J199" s="143"/>
      <c r="K199" s="143"/>
      <c r="O199" s="220"/>
    </row>
    <row r="200" spans="1:15" s="159" customFormat="1" ht="14.25" customHeight="1" thickBot="1" x14ac:dyDescent="0.3">
      <c r="A200" s="376"/>
      <c r="B200" s="115" t="s">
        <v>151</v>
      </c>
      <c r="C200" s="116"/>
      <c r="D200" s="117"/>
      <c r="E200" s="116"/>
      <c r="F200" s="116"/>
      <c r="G200" s="118">
        <f>+SUM(F198:F199)</f>
        <v>0</v>
      </c>
      <c r="I200" s="143"/>
      <c r="J200" s="143"/>
      <c r="K200" s="143"/>
      <c r="O200" s="220"/>
    </row>
    <row r="201" spans="1:15" s="159" customFormat="1" ht="14.25" customHeight="1" thickBot="1" x14ac:dyDescent="0.3">
      <c r="A201" s="376"/>
      <c r="B201" s="1382"/>
      <c r="C201" s="1382"/>
      <c r="D201" s="1382"/>
      <c r="E201" s="1382"/>
      <c r="F201" s="1382"/>
      <c r="G201" s="1382"/>
      <c r="I201" s="143"/>
      <c r="J201" s="143"/>
      <c r="K201" s="143"/>
      <c r="O201" s="220"/>
    </row>
    <row r="202" spans="1:15" s="159" customFormat="1" ht="14.25" customHeight="1" thickBot="1" x14ac:dyDescent="0.3">
      <c r="A202" s="376"/>
      <c r="B202" s="69" t="s">
        <v>152</v>
      </c>
      <c r="C202" s="70" t="s">
        <v>4415</v>
      </c>
      <c r="D202" s="71" t="s">
        <v>154</v>
      </c>
      <c r="E202" s="1381" t="s">
        <v>155</v>
      </c>
      <c r="F202" s="1381"/>
      <c r="G202" s="1381"/>
      <c r="I202" s="143"/>
      <c r="J202" s="143"/>
      <c r="K202" s="143"/>
      <c r="O202" s="220"/>
    </row>
    <row r="203" spans="1:15" s="159" customFormat="1" ht="14.25" customHeight="1" thickBot="1" x14ac:dyDescent="0.3">
      <c r="A203" s="376"/>
      <c r="B203" s="72" t="s">
        <v>156</v>
      </c>
      <c r="C203" s="73"/>
      <c r="D203" s="323">
        <f>G188</f>
        <v>5.69</v>
      </c>
      <c r="E203" s="1381"/>
      <c r="F203" s="1381"/>
      <c r="G203" s="1381"/>
      <c r="I203" s="143"/>
      <c r="J203" s="143"/>
      <c r="K203" s="143"/>
      <c r="O203" s="220"/>
    </row>
    <row r="204" spans="1:15" s="159" customFormat="1" ht="14.25" customHeight="1" thickBot="1" x14ac:dyDescent="0.3">
      <c r="A204" s="376"/>
      <c r="B204" s="72" t="s">
        <v>157</v>
      </c>
      <c r="C204" s="73"/>
      <c r="D204" s="323">
        <f>G196</f>
        <v>352.23</v>
      </c>
      <c r="E204" s="1381"/>
      <c r="F204" s="1381"/>
      <c r="G204" s="1381"/>
      <c r="I204" s="143"/>
      <c r="J204" s="143"/>
      <c r="K204" s="143"/>
      <c r="O204" s="220"/>
    </row>
    <row r="205" spans="1:15" s="159" customFormat="1" ht="14.25" customHeight="1" thickBot="1" x14ac:dyDescent="0.3">
      <c r="A205" s="376"/>
      <c r="B205" s="72" t="s">
        <v>158</v>
      </c>
      <c r="C205" s="73"/>
      <c r="D205" s="323">
        <f>G200</f>
        <v>0</v>
      </c>
      <c r="E205" s="1381"/>
      <c r="F205" s="1381"/>
      <c r="G205" s="1381"/>
      <c r="I205" s="143"/>
      <c r="J205" s="143"/>
      <c r="K205" s="143"/>
      <c r="O205" s="220"/>
    </row>
    <row r="206" spans="1:15" s="159" customFormat="1" ht="14.25" customHeight="1" thickBot="1" x14ac:dyDescent="0.3">
      <c r="A206" s="376"/>
      <c r="B206" s="72" t="s">
        <v>159</v>
      </c>
      <c r="C206" s="74">
        <f>$J$5</f>
        <v>157.27000000000001</v>
      </c>
      <c r="D206" s="323">
        <f>+ROUND((D203*C206),2)/100</f>
        <v>8.9499999999999993</v>
      </c>
      <c r="E206" s="1381"/>
      <c r="F206" s="1381"/>
      <c r="G206" s="1381"/>
      <c r="I206" s="143"/>
      <c r="J206" s="143"/>
      <c r="K206" s="143"/>
      <c r="O206" s="220"/>
    </row>
    <row r="207" spans="1:15" s="159" customFormat="1" ht="14.25" customHeight="1" thickBot="1" x14ac:dyDescent="0.3">
      <c r="A207" s="376"/>
      <c r="B207" s="72" t="s">
        <v>160</v>
      </c>
      <c r="C207" s="75"/>
      <c r="D207" s="324">
        <f>+SUM(D203:D206)</f>
        <v>366.87</v>
      </c>
      <c r="E207" s="1381"/>
      <c r="F207" s="1381"/>
      <c r="G207" s="1381"/>
      <c r="I207" s="143"/>
      <c r="J207" s="143"/>
      <c r="K207" s="143"/>
      <c r="O207" s="220"/>
    </row>
    <row r="208" spans="1:15" s="159" customFormat="1" ht="14.25" customHeight="1" thickBot="1" x14ac:dyDescent="0.3">
      <c r="A208" s="376"/>
      <c r="B208" s="72" t="s">
        <v>161</v>
      </c>
      <c r="C208" s="73"/>
      <c r="D208" s="323" t="s">
        <v>162</v>
      </c>
      <c r="E208" s="1382" t="s">
        <v>163</v>
      </c>
      <c r="F208" s="1382"/>
      <c r="G208" s="1382"/>
      <c r="I208" s="143"/>
      <c r="J208" s="143"/>
      <c r="K208" s="143"/>
      <c r="O208" s="220"/>
    </row>
    <row r="209" spans="1:15" s="159" customFormat="1" ht="14.25" customHeight="1" thickBot="1" x14ac:dyDescent="0.3">
      <c r="A209" s="376"/>
      <c r="B209" s="122" t="s">
        <v>164</v>
      </c>
      <c r="C209" s="123"/>
      <c r="D209" s="325">
        <f>+SUM(D207:D208)</f>
        <v>366.87</v>
      </c>
      <c r="E209" s="1382"/>
      <c r="F209" s="1382"/>
      <c r="G209" s="1382"/>
      <c r="I209" s="143"/>
      <c r="J209" s="143"/>
      <c r="K209" s="143"/>
      <c r="O209" s="220"/>
    </row>
    <row r="210" spans="1:15" s="159" customFormat="1" ht="14.25" customHeight="1" thickBot="1" x14ac:dyDescent="0.3">
      <c r="A210" s="376"/>
      <c r="B210" s="124" t="s">
        <v>165</v>
      </c>
      <c r="C210" s="125">
        <f>$I$5</f>
        <v>28.49</v>
      </c>
      <c r="D210" s="326">
        <f>ROUND((D209*C210),2)/100</f>
        <v>104.52</v>
      </c>
      <c r="E210" s="1382"/>
      <c r="F210" s="1382"/>
      <c r="G210" s="1382"/>
      <c r="I210" s="143"/>
      <c r="J210" s="143"/>
      <c r="K210" s="143"/>
      <c r="O210" s="220"/>
    </row>
    <row r="211" spans="1:15" s="159" customFormat="1" ht="14.25" customHeight="1" thickBot="1" x14ac:dyDescent="0.3">
      <c r="A211" s="376"/>
      <c r="B211" s="80" t="s">
        <v>166</v>
      </c>
      <c r="C211" s="127"/>
      <c r="D211" s="327">
        <f>+SUM(D209:D210)</f>
        <v>471.39</v>
      </c>
      <c r="E211" s="128"/>
      <c r="F211" s="328">
        <f>D211</f>
        <v>471.39</v>
      </c>
      <c r="G211" s="131"/>
      <c r="I211" s="143"/>
      <c r="J211" s="143"/>
      <c r="K211" s="143"/>
      <c r="O211" s="220"/>
    </row>
    <row r="212" spans="1:15" s="159" customFormat="1" ht="14.25" customHeight="1" x14ac:dyDescent="0.25">
      <c r="A212" s="376"/>
      <c r="B212" s="28"/>
      <c r="C212" s="28"/>
      <c r="D212" s="28"/>
      <c r="E212" s="28"/>
      <c r="F212" s="28"/>
      <c r="G212" s="28"/>
      <c r="I212" s="143"/>
      <c r="J212" s="143"/>
      <c r="K212" s="143"/>
      <c r="O212" s="220"/>
    </row>
    <row r="213" spans="1:15" s="159" customFormat="1" ht="14.25" customHeight="1" thickBot="1" x14ac:dyDescent="0.3">
      <c r="A213" s="376"/>
      <c r="B213" s="28"/>
      <c r="C213" s="28"/>
      <c r="D213" s="28"/>
      <c r="E213" s="28"/>
      <c r="F213" s="28"/>
      <c r="G213" s="28"/>
      <c r="I213" s="143"/>
      <c r="J213" s="143"/>
      <c r="K213" s="143"/>
      <c r="O213" s="220"/>
    </row>
    <row r="214" spans="1:15" s="159" customFormat="1" ht="14.25" customHeight="1" x14ac:dyDescent="0.25">
      <c r="A214" s="376"/>
      <c r="B214" s="1383" t="s">
        <v>131</v>
      </c>
      <c r="C214" s="1383"/>
      <c r="D214" s="1383"/>
      <c r="E214" s="1383"/>
      <c r="F214" s="1383"/>
      <c r="G214" s="1383"/>
      <c r="I214" s="143"/>
      <c r="J214" s="143"/>
      <c r="K214" s="143"/>
      <c r="O214" s="220"/>
    </row>
    <row r="215" spans="1:15" s="159" customFormat="1" ht="14.25" customHeight="1" thickBot="1" x14ac:dyDescent="0.3">
      <c r="A215" s="376"/>
      <c r="B215" s="1384" t="str">
        <f>$I$3</f>
        <v>Urbanização da Orla de Piúma - Município de Piúma / ES</v>
      </c>
      <c r="C215" s="1385"/>
      <c r="D215" s="1385"/>
      <c r="E215" s="1385"/>
      <c r="F215" s="1385"/>
      <c r="G215" s="1386"/>
      <c r="I215" s="143"/>
      <c r="J215" s="143"/>
      <c r="K215" s="143"/>
      <c r="O215" s="220"/>
    </row>
    <row r="216" spans="1:15" s="159" customFormat="1" ht="14.25" customHeight="1" thickBot="1" x14ac:dyDescent="0.3">
      <c r="A216" s="376"/>
      <c r="B216" s="90" t="s">
        <v>132</v>
      </c>
      <c r="C216" s="90" t="s">
        <v>133</v>
      </c>
      <c r="D216" s="1381" t="s">
        <v>134</v>
      </c>
      <c r="E216" s="1381"/>
      <c r="F216" s="131" t="s">
        <v>275</v>
      </c>
      <c r="G216" s="131" t="s">
        <v>135</v>
      </c>
      <c r="I216" s="143"/>
      <c r="J216" s="143"/>
      <c r="K216" s="143"/>
      <c r="O216" s="220"/>
    </row>
    <row r="217" spans="1:15" s="159" customFormat="1" ht="14.25" customHeight="1" thickBot="1" x14ac:dyDescent="0.3">
      <c r="A217" s="376"/>
      <c r="B217" s="132" t="s">
        <v>302</v>
      </c>
      <c r="C217" s="92" t="s">
        <v>98</v>
      </c>
      <c r="D217" s="1381" t="s">
        <v>7</v>
      </c>
      <c r="E217" s="1381"/>
      <c r="F217" s="144" t="s">
        <v>296</v>
      </c>
      <c r="G217" s="38">
        <f>$K$5</f>
        <v>44501</v>
      </c>
      <c r="I217" s="143"/>
      <c r="J217" s="143"/>
      <c r="K217" s="143"/>
      <c r="O217" s="220"/>
    </row>
    <row r="218" spans="1:15" s="159" customFormat="1" ht="14.25" customHeight="1" thickBot="1" x14ac:dyDescent="0.3">
      <c r="A218" s="376"/>
      <c r="B218" s="1382"/>
      <c r="C218" s="1382"/>
      <c r="D218" s="1382"/>
      <c r="E218" s="1382"/>
      <c r="F218" s="1382"/>
      <c r="G218" s="1382"/>
      <c r="I218" s="143"/>
      <c r="J218" s="143"/>
      <c r="K218" s="143"/>
      <c r="O218" s="220"/>
    </row>
    <row r="219" spans="1:15" s="159" customFormat="1" ht="14.25" customHeight="1" x14ac:dyDescent="0.25">
      <c r="A219" s="376"/>
      <c r="B219" s="93" t="s">
        <v>139</v>
      </c>
      <c r="C219" s="94" t="s">
        <v>140</v>
      </c>
      <c r="D219" s="94" t="s">
        <v>141</v>
      </c>
      <c r="E219" s="94" t="s">
        <v>142</v>
      </c>
      <c r="F219" s="94" t="s">
        <v>143</v>
      </c>
      <c r="G219" s="95" t="s">
        <v>144</v>
      </c>
      <c r="I219" s="143"/>
      <c r="J219" s="143"/>
      <c r="K219" s="143"/>
      <c r="O219" s="220"/>
    </row>
    <row r="220" spans="1:15" s="159" customFormat="1" ht="14.25" customHeight="1" x14ac:dyDescent="0.25">
      <c r="A220" s="377">
        <v>20060</v>
      </c>
      <c r="B220" s="230" t="str">
        <f>VLOOKUP(A220,Insumos!$A$10:$F$3462,2,FALSE)</f>
        <v xml:space="preserve">ENCARREGADO DE O.A.C. </v>
      </c>
      <c r="C220" s="231" t="s">
        <v>170</v>
      </c>
      <c r="D220" s="147">
        <v>0.1</v>
      </c>
      <c r="E220" s="321">
        <f>VLOOKUP(A220,Insumos!$A$10:$F$3462,4,FALSE)</f>
        <v>11.74</v>
      </c>
      <c r="F220" s="321">
        <f>ROUND((D220*E220),2)</f>
        <v>1.17</v>
      </c>
      <c r="G220" s="148"/>
      <c r="I220" s="143"/>
      <c r="J220" s="143"/>
      <c r="K220" s="143"/>
      <c r="O220" s="220"/>
    </row>
    <row r="221" spans="1:15" s="159" customFormat="1" ht="14.25" customHeight="1" x14ac:dyDescent="0.25">
      <c r="A221" s="377"/>
      <c r="B221" s="145"/>
      <c r="C221" s="146"/>
      <c r="D221" s="147"/>
      <c r="E221" s="146"/>
      <c r="F221" s="146"/>
      <c r="G221" s="148"/>
      <c r="I221" s="143"/>
      <c r="J221" s="143"/>
      <c r="K221" s="143"/>
      <c r="O221" s="220"/>
    </row>
    <row r="222" spans="1:15" s="159" customFormat="1" ht="14.25" customHeight="1" x14ac:dyDescent="0.25">
      <c r="A222" s="376"/>
      <c r="B222" s="99"/>
      <c r="C222" s="146"/>
      <c r="D222" s="100"/>
      <c r="E222" s="146"/>
      <c r="F222" s="146"/>
      <c r="G222" s="148"/>
      <c r="I222" s="143"/>
      <c r="J222" s="143"/>
      <c r="K222" s="143"/>
      <c r="O222" s="220"/>
    </row>
    <row r="223" spans="1:15" s="159" customFormat="1" ht="14.25" customHeight="1" x14ac:dyDescent="0.25">
      <c r="A223" s="376"/>
      <c r="B223" s="101" t="s">
        <v>145</v>
      </c>
      <c r="C223" s="102"/>
      <c r="D223" s="103"/>
      <c r="E223" s="146"/>
      <c r="F223" s="104"/>
      <c r="G223" s="338">
        <f>+SUM(F220:F222)</f>
        <v>1.17</v>
      </c>
      <c r="I223" s="143"/>
      <c r="J223" s="143"/>
      <c r="K223" s="143"/>
      <c r="O223" s="220"/>
    </row>
    <row r="224" spans="1:15" s="159" customFormat="1" ht="14.25" customHeight="1" x14ac:dyDescent="0.25">
      <c r="A224" s="376"/>
      <c r="B224" s="99" t="s">
        <v>146</v>
      </c>
      <c r="C224" s="106"/>
      <c r="D224" s="107"/>
      <c r="E224" s="146"/>
      <c r="F224" s="108"/>
      <c r="G224" s="109" t="s">
        <v>147</v>
      </c>
      <c r="I224" s="143"/>
      <c r="J224" s="143"/>
      <c r="K224" s="143"/>
      <c r="O224" s="220"/>
    </row>
    <row r="225" spans="1:15" s="159" customFormat="1" ht="14.25" customHeight="1" x14ac:dyDescent="0.25">
      <c r="A225" s="379">
        <v>42678</v>
      </c>
      <c r="B225" s="145" t="s">
        <v>428</v>
      </c>
      <c r="C225" s="146" t="s">
        <v>5</v>
      </c>
      <c r="D225" s="147">
        <f>0.81-0.13</f>
        <v>0.68</v>
      </c>
      <c r="E225" s="329">
        <f>6.31*1.0392965</f>
        <v>6.56</v>
      </c>
      <c r="F225" s="329">
        <f>ROUND((D225*E225),2)</f>
        <v>4.46</v>
      </c>
      <c r="G225" s="148"/>
      <c r="J225" s="143" t="s">
        <v>98</v>
      </c>
      <c r="K225" s="143"/>
      <c r="O225" s="220"/>
    </row>
    <row r="226" spans="1:15" s="159" customFormat="1" ht="14.25" customHeight="1" x14ac:dyDescent="0.25">
      <c r="A226" s="379">
        <v>40358</v>
      </c>
      <c r="B226" s="145" t="s">
        <v>307</v>
      </c>
      <c r="C226" s="146" t="s">
        <v>6</v>
      </c>
      <c r="D226" s="147">
        <v>8.6999999999999994E-2</v>
      </c>
      <c r="E226" s="329">
        <f>527.36*1.0392965</f>
        <v>548.08000000000004</v>
      </c>
      <c r="F226" s="329">
        <f>ROUND((D226*E226),2)</f>
        <v>47.68</v>
      </c>
      <c r="G226" s="148"/>
      <c r="I226" s="220" t="s">
        <v>4420</v>
      </c>
      <c r="J226" s="143"/>
      <c r="K226" s="143"/>
      <c r="O226" s="220"/>
    </row>
    <row r="227" spans="1:15" s="159" customFormat="1" ht="14.25" customHeight="1" x14ac:dyDescent="0.25">
      <c r="A227" s="376">
        <v>40258</v>
      </c>
      <c r="B227" s="145" t="s">
        <v>308</v>
      </c>
      <c r="C227" s="146" t="s">
        <v>6</v>
      </c>
      <c r="D227" s="110">
        <v>0.1</v>
      </c>
      <c r="E227" s="329">
        <f>58.14*1.0392965</f>
        <v>60.42</v>
      </c>
      <c r="F227" s="329">
        <f>ROUND((D227*E227),2)</f>
        <v>6.04</v>
      </c>
      <c r="G227" s="148"/>
      <c r="I227" s="143"/>
      <c r="J227" s="143"/>
      <c r="K227" s="143"/>
      <c r="O227" s="220"/>
    </row>
    <row r="228" spans="1:15" s="159" customFormat="1" ht="28.5" customHeight="1" x14ac:dyDescent="0.25">
      <c r="A228" s="376">
        <v>40316</v>
      </c>
      <c r="B228" s="145" t="s">
        <v>309</v>
      </c>
      <c r="C228" s="146" t="s">
        <v>5</v>
      </c>
      <c r="D228" s="110">
        <v>0.49</v>
      </c>
      <c r="E228" s="329">
        <f>81.17*1.0392965</f>
        <v>84.36</v>
      </c>
      <c r="F228" s="329">
        <f>ROUND((D228*E228),2)</f>
        <v>41.34</v>
      </c>
      <c r="G228" s="148"/>
      <c r="I228" s="143"/>
      <c r="J228" s="143"/>
      <c r="K228" s="143"/>
      <c r="O228" s="220"/>
    </row>
    <row r="229" spans="1:15" s="159" customFormat="1" ht="14.25" customHeight="1" x14ac:dyDescent="0.25">
      <c r="A229" s="377"/>
      <c r="B229" s="145"/>
      <c r="C229" s="146"/>
      <c r="D229" s="60"/>
      <c r="E229" s="146"/>
      <c r="F229" s="146"/>
      <c r="G229" s="148"/>
      <c r="I229" s="143"/>
      <c r="J229" s="143"/>
      <c r="K229" s="143"/>
      <c r="O229" s="220"/>
    </row>
    <row r="230" spans="1:15" s="159" customFormat="1" ht="14.25" customHeight="1" x14ac:dyDescent="0.25">
      <c r="A230" s="376"/>
      <c r="B230" s="99"/>
      <c r="C230" s="146"/>
      <c r="D230" s="111"/>
      <c r="E230" s="146"/>
      <c r="F230" s="146"/>
      <c r="G230" s="148"/>
      <c r="I230" s="143"/>
      <c r="J230" s="143"/>
      <c r="K230" s="143"/>
      <c r="O230" s="220"/>
    </row>
    <row r="231" spans="1:15" s="159" customFormat="1" ht="14.25" customHeight="1" x14ac:dyDescent="0.25">
      <c r="A231" s="376"/>
      <c r="B231" s="101" t="s">
        <v>148</v>
      </c>
      <c r="C231" s="102"/>
      <c r="D231" s="112"/>
      <c r="E231" s="113"/>
      <c r="F231" s="113"/>
      <c r="G231" s="338">
        <f>+SUM(F225:F230)</f>
        <v>99.52</v>
      </c>
      <c r="I231" s="143"/>
      <c r="J231" s="143"/>
      <c r="K231" s="143"/>
      <c r="O231" s="220"/>
    </row>
    <row r="232" spans="1:15" s="159" customFormat="1" ht="14.25" customHeight="1" x14ac:dyDescent="0.25">
      <c r="A232" s="376"/>
      <c r="B232" s="99" t="s">
        <v>149</v>
      </c>
      <c r="C232" s="106"/>
      <c r="D232" s="114"/>
      <c r="E232" s="106"/>
      <c r="F232" s="106"/>
      <c r="G232" s="109" t="s">
        <v>150</v>
      </c>
      <c r="I232" s="143"/>
      <c r="J232" s="143"/>
      <c r="K232" s="143"/>
      <c r="O232" s="220"/>
    </row>
    <row r="233" spans="1:15" s="159" customFormat="1" ht="14.25" customHeight="1" x14ac:dyDescent="0.25">
      <c r="A233" s="376"/>
      <c r="B233" s="99" t="s">
        <v>98</v>
      </c>
      <c r="C233" s="146"/>
      <c r="D233" s="110"/>
      <c r="E233" s="146"/>
      <c r="F233" s="146"/>
      <c r="G233" s="148"/>
      <c r="I233" s="143"/>
      <c r="J233" s="143"/>
      <c r="K233" s="143"/>
      <c r="O233" s="220"/>
    </row>
    <row r="234" spans="1:15" s="159" customFormat="1" ht="14.25" customHeight="1" x14ac:dyDescent="0.25">
      <c r="A234" s="376"/>
      <c r="B234" s="99" t="s">
        <v>98</v>
      </c>
      <c r="C234" s="146"/>
      <c r="D234" s="110"/>
      <c r="E234" s="146"/>
      <c r="F234" s="146"/>
      <c r="G234" s="148"/>
      <c r="I234" s="143"/>
      <c r="J234" s="143"/>
      <c r="K234" s="143"/>
      <c r="O234" s="220"/>
    </row>
    <row r="235" spans="1:15" s="159" customFormat="1" ht="14.25" customHeight="1" thickBot="1" x14ac:dyDescent="0.3">
      <c r="A235" s="376"/>
      <c r="B235" s="115" t="s">
        <v>151</v>
      </c>
      <c r="C235" s="116"/>
      <c r="D235" s="117"/>
      <c r="E235" s="116"/>
      <c r="F235" s="116"/>
      <c r="G235" s="118">
        <f>+SUM(F233:F234)</f>
        <v>0</v>
      </c>
      <c r="I235" s="143"/>
      <c r="J235" s="143"/>
      <c r="K235" s="143"/>
      <c r="O235" s="220"/>
    </row>
    <row r="236" spans="1:15" s="159" customFormat="1" ht="14.25" customHeight="1" thickBot="1" x14ac:dyDescent="0.3">
      <c r="A236" s="376"/>
      <c r="B236" s="1382"/>
      <c r="C236" s="1382"/>
      <c r="D236" s="1382"/>
      <c r="E236" s="1382"/>
      <c r="F236" s="1382"/>
      <c r="G236" s="1382"/>
      <c r="I236" s="143"/>
      <c r="J236" s="143"/>
      <c r="K236" s="143"/>
      <c r="O236" s="220"/>
    </row>
    <row r="237" spans="1:15" s="159" customFormat="1" ht="14.25" customHeight="1" thickBot="1" x14ac:dyDescent="0.3">
      <c r="A237" s="376"/>
      <c r="B237" s="69" t="s">
        <v>152</v>
      </c>
      <c r="C237" s="70" t="s">
        <v>4415</v>
      </c>
      <c r="D237" s="71" t="s">
        <v>154</v>
      </c>
      <c r="E237" s="1381" t="s">
        <v>155</v>
      </c>
      <c r="F237" s="1381"/>
      <c r="G237" s="1381"/>
      <c r="I237" s="143"/>
      <c r="J237" s="143"/>
      <c r="K237" s="143"/>
      <c r="O237" s="220"/>
    </row>
    <row r="238" spans="1:15" s="159" customFormat="1" ht="14.25" customHeight="1" thickBot="1" x14ac:dyDescent="0.3">
      <c r="A238" s="376"/>
      <c r="B238" s="72" t="s">
        <v>156</v>
      </c>
      <c r="C238" s="73"/>
      <c r="D238" s="332">
        <f>G223</f>
        <v>1.17</v>
      </c>
      <c r="E238" s="1381"/>
      <c r="F238" s="1381"/>
      <c r="G238" s="1381"/>
      <c r="I238" s="143"/>
      <c r="J238" s="143"/>
      <c r="K238" s="143"/>
      <c r="O238" s="220"/>
    </row>
    <row r="239" spans="1:15" s="159" customFormat="1" ht="14.25" customHeight="1" thickBot="1" x14ac:dyDescent="0.3">
      <c r="A239" s="376"/>
      <c r="B239" s="72" t="s">
        <v>157</v>
      </c>
      <c r="C239" s="73"/>
      <c r="D239" s="332">
        <f>G231</f>
        <v>99.52</v>
      </c>
      <c r="E239" s="1381"/>
      <c r="F239" s="1381"/>
      <c r="G239" s="1381"/>
      <c r="I239" s="143"/>
      <c r="J239" s="143"/>
      <c r="K239" s="143"/>
      <c r="O239" s="220"/>
    </row>
    <row r="240" spans="1:15" s="159" customFormat="1" ht="14.25" customHeight="1" thickBot="1" x14ac:dyDescent="0.3">
      <c r="A240" s="376"/>
      <c r="B240" s="72" t="s">
        <v>158</v>
      </c>
      <c r="C240" s="73"/>
      <c r="D240" s="332">
        <f>G235</f>
        <v>0</v>
      </c>
      <c r="E240" s="1381"/>
      <c r="F240" s="1381"/>
      <c r="G240" s="1381"/>
      <c r="I240" s="143"/>
      <c r="J240" s="143"/>
      <c r="K240" s="143"/>
      <c r="O240" s="220"/>
    </row>
    <row r="241" spans="1:15" s="159" customFormat="1" ht="14.25" customHeight="1" thickBot="1" x14ac:dyDescent="0.3">
      <c r="A241" s="376"/>
      <c r="B241" s="72" t="s">
        <v>159</v>
      </c>
      <c r="C241" s="74">
        <f>$J$5</f>
        <v>157.27000000000001</v>
      </c>
      <c r="D241" s="332">
        <f>+ROUND((D238*C241),2)/100</f>
        <v>1.84</v>
      </c>
      <c r="E241" s="1381"/>
      <c r="F241" s="1381"/>
      <c r="G241" s="1381"/>
      <c r="I241" s="143"/>
      <c r="J241" s="143"/>
      <c r="K241" s="143"/>
      <c r="O241" s="220"/>
    </row>
    <row r="242" spans="1:15" s="159" customFormat="1" ht="14.25" customHeight="1" thickBot="1" x14ac:dyDescent="0.3">
      <c r="A242" s="376"/>
      <c r="B242" s="72" t="s">
        <v>160</v>
      </c>
      <c r="C242" s="75"/>
      <c r="D242" s="333">
        <f>+SUM(D238:D241)</f>
        <v>102.53</v>
      </c>
      <c r="E242" s="1381"/>
      <c r="F242" s="1381"/>
      <c r="G242" s="1381"/>
      <c r="I242" s="143"/>
      <c r="J242" s="143"/>
      <c r="K242" s="143"/>
      <c r="O242" s="220"/>
    </row>
    <row r="243" spans="1:15" s="159" customFormat="1" ht="14.25" customHeight="1" thickBot="1" x14ac:dyDescent="0.3">
      <c r="A243" s="376"/>
      <c r="B243" s="72" t="s">
        <v>161</v>
      </c>
      <c r="C243" s="73"/>
      <c r="D243" s="332" t="s">
        <v>162</v>
      </c>
      <c r="E243" s="1382" t="s">
        <v>163</v>
      </c>
      <c r="F243" s="1382"/>
      <c r="G243" s="1382"/>
      <c r="I243" s="143"/>
      <c r="J243" s="143"/>
      <c r="K243" s="143"/>
      <c r="O243" s="220"/>
    </row>
    <row r="244" spans="1:15" s="159" customFormat="1" ht="14.25" customHeight="1" thickBot="1" x14ac:dyDescent="0.3">
      <c r="A244" s="376"/>
      <c r="B244" s="122" t="s">
        <v>164</v>
      </c>
      <c r="C244" s="123"/>
      <c r="D244" s="334">
        <f>+SUM(D242:D243)</f>
        <v>102.53</v>
      </c>
      <c r="E244" s="1382"/>
      <c r="F244" s="1382"/>
      <c r="G244" s="1382"/>
      <c r="I244" s="143"/>
      <c r="J244" s="143"/>
      <c r="K244" s="143"/>
      <c r="O244" s="220"/>
    </row>
    <row r="245" spans="1:15" s="159" customFormat="1" ht="14.25" customHeight="1" thickBot="1" x14ac:dyDescent="0.3">
      <c r="A245" s="376"/>
      <c r="B245" s="124" t="s">
        <v>165</v>
      </c>
      <c r="C245" s="263">
        <f>$I$5</f>
        <v>28.49</v>
      </c>
      <c r="D245" s="335">
        <f>ROUND((D244*C245),2)/100</f>
        <v>29.21</v>
      </c>
      <c r="E245" s="1382"/>
      <c r="F245" s="1382"/>
      <c r="G245" s="1382"/>
      <c r="I245" s="143"/>
      <c r="J245" s="143"/>
      <c r="K245" s="143"/>
      <c r="O245" s="220"/>
    </row>
    <row r="246" spans="1:15" s="159" customFormat="1" ht="14.25" customHeight="1" thickBot="1" x14ac:dyDescent="0.3">
      <c r="A246" s="376"/>
      <c r="B246" s="80" t="s">
        <v>166</v>
      </c>
      <c r="C246" s="127"/>
      <c r="D246" s="336">
        <f>+SUM(D244:D245)</f>
        <v>131.74</v>
      </c>
      <c r="E246" s="128"/>
      <c r="F246" s="337">
        <f>D246</f>
        <v>131.74</v>
      </c>
      <c r="G246" s="131"/>
      <c r="I246" s="143"/>
      <c r="J246" s="143"/>
      <c r="K246" s="143"/>
      <c r="O246" s="220"/>
    </row>
    <row r="247" spans="1:15" s="159" customFormat="1" ht="14.25" customHeight="1" x14ac:dyDescent="0.25">
      <c r="A247" s="376"/>
      <c r="B247" s="28"/>
      <c r="C247" s="28"/>
      <c r="D247" s="28"/>
      <c r="E247" s="28"/>
      <c r="F247" s="28"/>
      <c r="G247" s="28"/>
      <c r="I247" s="143"/>
      <c r="J247" s="143"/>
      <c r="K247" s="143"/>
      <c r="O247" s="220"/>
    </row>
    <row r="248" spans="1:15" s="159" customFormat="1" ht="14.25" customHeight="1" thickBot="1" x14ac:dyDescent="0.3">
      <c r="A248" s="376"/>
      <c r="B248" s="28"/>
      <c r="C248" s="28"/>
      <c r="D248" s="28"/>
      <c r="E248" s="28"/>
      <c r="F248" s="28"/>
      <c r="G248" s="28"/>
      <c r="I248" s="143"/>
      <c r="J248" s="143"/>
      <c r="K248" s="143"/>
      <c r="O248" s="220"/>
    </row>
    <row r="249" spans="1:15" s="159" customFormat="1" ht="14.25" customHeight="1" x14ac:dyDescent="0.25">
      <c r="A249" s="376"/>
      <c r="B249" s="1383" t="s">
        <v>131</v>
      </c>
      <c r="C249" s="1383"/>
      <c r="D249" s="1383"/>
      <c r="E249" s="1383"/>
      <c r="F249" s="1383"/>
      <c r="G249" s="1383"/>
      <c r="I249" s="143"/>
      <c r="J249" s="143"/>
      <c r="K249" s="143"/>
      <c r="O249" s="220"/>
    </row>
    <row r="250" spans="1:15" s="159" customFormat="1" ht="14.25" customHeight="1" thickBot="1" x14ac:dyDescent="0.3">
      <c r="A250" s="376"/>
      <c r="B250" s="1384" t="str">
        <f>$I$3</f>
        <v>Urbanização da Orla de Piúma - Município de Piúma / ES</v>
      </c>
      <c r="C250" s="1385"/>
      <c r="D250" s="1385"/>
      <c r="E250" s="1385"/>
      <c r="F250" s="1385"/>
      <c r="G250" s="1386"/>
      <c r="I250" s="143"/>
      <c r="J250" s="143"/>
      <c r="K250" s="143"/>
      <c r="O250" s="220"/>
    </row>
    <row r="251" spans="1:15" s="159" customFormat="1" ht="14.25" customHeight="1" thickBot="1" x14ac:dyDescent="0.3">
      <c r="A251" s="376"/>
      <c r="B251" s="90" t="s">
        <v>132</v>
      </c>
      <c r="C251" s="90" t="s">
        <v>133</v>
      </c>
      <c r="D251" s="1381" t="s">
        <v>134</v>
      </c>
      <c r="E251" s="1381"/>
      <c r="F251" s="131" t="s">
        <v>275</v>
      </c>
      <c r="G251" s="131" t="s">
        <v>135</v>
      </c>
      <c r="I251" s="143"/>
      <c r="J251" s="143"/>
      <c r="K251" s="143"/>
      <c r="O251" s="220"/>
    </row>
    <row r="252" spans="1:15" s="159" customFormat="1" ht="14.25" customHeight="1" thickBot="1" x14ac:dyDescent="0.3">
      <c r="A252" s="376" t="s">
        <v>175</v>
      </c>
      <c r="B252" s="132" t="s">
        <v>303</v>
      </c>
      <c r="C252" s="92" t="s">
        <v>98</v>
      </c>
      <c r="D252" s="1381" t="s">
        <v>7</v>
      </c>
      <c r="E252" s="1381"/>
      <c r="F252" s="144" t="s">
        <v>186</v>
      </c>
      <c r="G252" s="38">
        <f>$K$5</f>
        <v>44501</v>
      </c>
      <c r="I252" s="143"/>
      <c r="J252" s="143"/>
      <c r="K252" s="143"/>
      <c r="O252" s="220"/>
    </row>
    <row r="253" spans="1:15" s="159" customFormat="1" ht="14.25" customHeight="1" thickBot="1" x14ac:dyDescent="0.3">
      <c r="A253" s="376"/>
      <c r="B253" s="1382"/>
      <c r="C253" s="1382"/>
      <c r="D253" s="1382"/>
      <c r="E253" s="1382"/>
      <c r="F253" s="1382"/>
      <c r="G253" s="1382"/>
      <c r="I253" s="143"/>
      <c r="J253" s="143"/>
      <c r="K253" s="143"/>
      <c r="O253" s="220"/>
    </row>
    <row r="254" spans="1:15" s="159" customFormat="1" ht="14.25" customHeight="1" x14ac:dyDescent="0.25">
      <c r="A254" s="376"/>
      <c r="B254" s="93" t="s">
        <v>139</v>
      </c>
      <c r="C254" s="94" t="s">
        <v>140</v>
      </c>
      <c r="D254" s="94" t="s">
        <v>141</v>
      </c>
      <c r="E254" s="94" t="s">
        <v>142</v>
      </c>
      <c r="F254" s="94" t="s">
        <v>143</v>
      </c>
      <c r="G254" s="95" t="s">
        <v>144</v>
      </c>
      <c r="I254" s="143"/>
      <c r="J254" s="143"/>
      <c r="K254" s="143"/>
      <c r="O254" s="220"/>
    </row>
    <row r="255" spans="1:15" s="159" customFormat="1" ht="14.25" customHeight="1" x14ac:dyDescent="0.25">
      <c r="A255" s="377">
        <v>20060</v>
      </c>
      <c r="B255" s="230" t="str">
        <f>VLOOKUP(A255,Insumos!$A$10:$F$3462,2,FALSE)</f>
        <v xml:space="preserve">ENCARREGADO DE O.A.C. </v>
      </c>
      <c r="C255" s="231" t="s">
        <v>170</v>
      </c>
      <c r="D255" s="60">
        <v>0.1</v>
      </c>
      <c r="E255" s="321">
        <f>VLOOKUP(A255,Insumos!$A$10:$F$3462,4,FALSE)</f>
        <v>11.74</v>
      </c>
      <c r="F255" s="329">
        <f>ROUND((D255*E255),2)</f>
        <v>1.17</v>
      </c>
      <c r="G255" s="148"/>
      <c r="I255" s="143"/>
      <c r="J255" s="143"/>
      <c r="K255" s="143"/>
      <c r="O255" s="220"/>
    </row>
    <row r="256" spans="1:15" s="159" customFormat="1" ht="14.25" customHeight="1" x14ac:dyDescent="0.25">
      <c r="A256" s="377"/>
      <c r="B256" s="145"/>
      <c r="C256" s="146"/>
      <c r="D256" s="147"/>
      <c r="E256" s="146"/>
      <c r="F256" s="146"/>
      <c r="G256" s="148"/>
      <c r="I256" s="143"/>
      <c r="J256" s="143"/>
      <c r="K256" s="143"/>
      <c r="O256" s="220"/>
    </row>
    <row r="257" spans="1:15" s="159" customFormat="1" ht="14.25" customHeight="1" x14ac:dyDescent="0.25">
      <c r="A257" s="376"/>
      <c r="B257" s="99"/>
      <c r="C257" s="146"/>
      <c r="D257" s="100"/>
      <c r="E257" s="146"/>
      <c r="F257" s="146"/>
      <c r="G257" s="148"/>
      <c r="I257" s="143"/>
      <c r="J257" s="143"/>
      <c r="K257" s="143"/>
      <c r="O257" s="220"/>
    </row>
    <row r="258" spans="1:15" s="159" customFormat="1" ht="14.25" customHeight="1" x14ac:dyDescent="0.25">
      <c r="A258" s="376"/>
      <c r="B258" s="101" t="s">
        <v>145</v>
      </c>
      <c r="C258" s="102"/>
      <c r="D258" s="103"/>
      <c r="E258" s="146"/>
      <c r="F258" s="104"/>
      <c r="G258" s="338">
        <f>+SUM(F255:F257)</f>
        <v>1.17</v>
      </c>
      <c r="I258" s="143"/>
      <c r="J258" s="143"/>
      <c r="K258" s="143"/>
      <c r="O258" s="220"/>
    </row>
    <row r="259" spans="1:15" s="159" customFormat="1" ht="14.25" customHeight="1" x14ac:dyDescent="0.25">
      <c r="A259" s="376"/>
      <c r="B259" s="99" t="s">
        <v>146</v>
      </c>
      <c r="C259" s="106"/>
      <c r="D259" s="107"/>
      <c r="E259" s="146"/>
      <c r="F259" s="108"/>
      <c r="G259" s="109" t="s">
        <v>147</v>
      </c>
      <c r="I259" s="143"/>
      <c r="J259" s="143"/>
      <c r="K259" s="143"/>
      <c r="O259" s="220"/>
    </row>
    <row r="260" spans="1:15" s="159" customFormat="1" ht="14.25" customHeight="1" x14ac:dyDescent="0.25">
      <c r="A260" s="379">
        <v>40658</v>
      </c>
      <c r="B260" s="145" t="s">
        <v>306</v>
      </c>
      <c r="C260" s="146" t="s">
        <v>5</v>
      </c>
      <c r="D260" s="147">
        <v>0.65</v>
      </c>
      <c r="E260" s="329">
        <f>5.31*1.0392965</f>
        <v>5.52</v>
      </c>
      <c r="F260" s="329">
        <f>ROUND((D260*E260),2)</f>
        <v>3.59</v>
      </c>
      <c r="G260" s="148"/>
      <c r="I260" s="143"/>
      <c r="J260" s="143"/>
      <c r="K260" s="143"/>
      <c r="O260" s="220"/>
    </row>
    <row r="261" spans="1:15" s="159" customFormat="1" ht="14.25" customHeight="1" x14ac:dyDescent="0.25">
      <c r="A261" s="379">
        <v>40358</v>
      </c>
      <c r="B261" s="145" t="s">
        <v>307</v>
      </c>
      <c r="C261" s="146" t="s">
        <v>6</v>
      </c>
      <c r="D261" s="147">
        <v>4.2000000000000003E-2</v>
      </c>
      <c r="E261" s="329">
        <f>527.36*1.0392965</f>
        <v>548.08000000000004</v>
      </c>
      <c r="F261" s="329">
        <f>ROUND((D261*E261),2)</f>
        <v>23.02</v>
      </c>
      <c r="G261" s="148"/>
      <c r="I261" s="143"/>
      <c r="J261" s="143"/>
      <c r="K261" s="143"/>
      <c r="O261" s="220"/>
    </row>
    <row r="262" spans="1:15" s="159" customFormat="1" ht="14.25" customHeight="1" x14ac:dyDescent="0.25">
      <c r="A262" s="376">
        <v>40258</v>
      </c>
      <c r="B262" s="145" t="s">
        <v>308</v>
      </c>
      <c r="C262" s="146" t="s">
        <v>6</v>
      </c>
      <c r="D262" s="110">
        <v>0.05</v>
      </c>
      <c r="E262" s="329">
        <f>58.14*1.0392965</f>
        <v>60.42</v>
      </c>
      <c r="F262" s="329">
        <f>ROUND((D262*E262),2)</f>
        <v>3.02</v>
      </c>
      <c r="G262" s="148"/>
      <c r="I262" s="143"/>
      <c r="J262" s="143"/>
      <c r="K262" s="143"/>
      <c r="O262" s="220"/>
    </row>
    <row r="263" spans="1:15" s="159" customFormat="1" ht="29.25" customHeight="1" x14ac:dyDescent="0.25">
      <c r="A263" s="376">
        <v>40316</v>
      </c>
      <c r="B263" s="145" t="s">
        <v>309</v>
      </c>
      <c r="C263" s="146" t="s">
        <v>5</v>
      </c>
      <c r="D263" s="110">
        <v>0.505</v>
      </c>
      <c r="E263" s="329">
        <f>81.17*1.0392965</f>
        <v>84.36</v>
      </c>
      <c r="F263" s="329">
        <f>ROUND((D263*E263),2)</f>
        <v>42.6</v>
      </c>
      <c r="G263" s="148"/>
      <c r="I263" s="143"/>
      <c r="J263" s="143"/>
      <c r="K263" s="143"/>
      <c r="O263" s="220"/>
    </row>
    <row r="264" spans="1:15" s="159" customFormat="1" ht="14.25" customHeight="1" x14ac:dyDescent="0.25">
      <c r="A264" s="377"/>
      <c r="B264" s="145"/>
      <c r="C264" s="146"/>
      <c r="D264" s="60"/>
      <c r="E264" s="146"/>
      <c r="F264" s="146"/>
      <c r="G264" s="148"/>
      <c r="I264" s="143"/>
      <c r="J264" s="143"/>
      <c r="K264" s="143"/>
      <c r="O264" s="220"/>
    </row>
    <row r="265" spans="1:15" s="159" customFormat="1" ht="14.25" customHeight="1" x14ac:dyDescent="0.25">
      <c r="A265" s="376"/>
      <c r="B265" s="99"/>
      <c r="C265" s="146"/>
      <c r="D265" s="111"/>
      <c r="E265" s="146"/>
      <c r="F265" s="146"/>
      <c r="G265" s="148"/>
      <c r="I265" s="143"/>
      <c r="J265" s="143"/>
      <c r="K265" s="143"/>
      <c r="O265" s="220"/>
    </row>
    <row r="266" spans="1:15" s="159" customFormat="1" ht="14.25" customHeight="1" x14ac:dyDescent="0.25">
      <c r="A266" s="376"/>
      <c r="B266" s="101" t="s">
        <v>148</v>
      </c>
      <c r="C266" s="102"/>
      <c r="D266" s="112"/>
      <c r="E266" s="113"/>
      <c r="F266" s="113"/>
      <c r="G266" s="338">
        <f>+SUM(F260:F265)</f>
        <v>72.23</v>
      </c>
      <c r="I266" s="143"/>
      <c r="J266" s="143"/>
      <c r="K266" s="143"/>
      <c r="O266" s="220"/>
    </row>
    <row r="267" spans="1:15" s="159" customFormat="1" ht="14.25" customHeight="1" x14ac:dyDescent="0.25">
      <c r="A267" s="376"/>
      <c r="B267" s="99" t="s">
        <v>149</v>
      </c>
      <c r="C267" s="106"/>
      <c r="D267" s="114"/>
      <c r="E267" s="106"/>
      <c r="F267" s="106"/>
      <c r="G267" s="109" t="s">
        <v>150</v>
      </c>
      <c r="I267" s="143"/>
      <c r="J267" s="143"/>
      <c r="K267" s="143"/>
      <c r="O267" s="220"/>
    </row>
    <row r="268" spans="1:15" s="159" customFormat="1" ht="14.25" customHeight="1" x14ac:dyDescent="0.25">
      <c r="A268" s="376"/>
      <c r="B268" s="99" t="s">
        <v>98</v>
      </c>
      <c r="C268" s="146"/>
      <c r="D268" s="110"/>
      <c r="E268" s="146"/>
      <c r="F268" s="146"/>
      <c r="G268" s="148"/>
      <c r="I268" s="143"/>
      <c r="J268" s="143"/>
      <c r="K268" s="143"/>
      <c r="O268" s="220"/>
    </row>
    <row r="269" spans="1:15" s="159" customFormat="1" ht="14.25" customHeight="1" x14ac:dyDescent="0.25">
      <c r="A269" s="376"/>
      <c r="B269" s="99" t="s">
        <v>98</v>
      </c>
      <c r="C269" s="146"/>
      <c r="D269" s="110"/>
      <c r="E269" s="146"/>
      <c r="F269" s="146"/>
      <c r="G269" s="148"/>
      <c r="I269" s="143"/>
      <c r="J269" s="143"/>
      <c r="K269" s="143"/>
      <c r="O269" s="220"/>
    </row>
    <row r="270" spans="1:15" s="159" customFormat="1" ht="14.25" customHeight="1" thickBot="1" x14ac:dyDescent="0.3">
      <c r="A270" s="376"/>
      <c r="B270" s="115" t="s">
        <v>151</v>
      </c>
      <c r="C270" s="116"/>
      <c r="D270" s="117"/>
      <c r="E270" s="116"/>
      <c r="F270" s="116"/>
      <c r="G270" s="118">
        <f>+SUM(F268:F269)</f>
        <v>0</v>
      </c>
      <c r="I270" s="143"/>
      <c r="J270" s="143"/>
      <c r="K270" s="143"/>
      <c r="O270" s="220"/>
    </row>
    <row r="271" spans="1:15" s="159" customFormat="1" ht="14.25" customHeight="1" thickBot="1" x14ac:dyDescent="0.3">
      <c r="A271" s="376"/>
      <c r="B271" s="1382"/>
      <c r="C271" s="1382"/>
      <c r="D271" s="1382"/>
      <c r="E271" s="1382"/>
      <c r="F271" s="1382"/>
      <c r="G271" s="1382"/>
      <c r="I271" s="143"/>
      <c r="J271" s="143"/>
      <c r="K271" s="143"/>
      <c r="O271" s="220"/>
    </row>
    <row r="272" spans="1:15" s="159" customFormat="1" ht="14.25" customHeight="1" thickBot="1" x14ac:dyDescent="0.3">
      <c r="A272" s="376"/>
      <c r="B272" s="69" t="s">
        <v>152</v>
      </c>
      <c r="C272" s="70" t="s">
        <v>153</v>
      </c>
      <c r="D272" s="71" t="s">
        <v>154</v>
      </c>
      <c r="E272" s="1381" t="s">
        <v>155</v>
      </c>
      <c r="F272" s="1381"/>
      <c r="G272" s="1381"/>
      <c r="I272" s="143"/>
      <c r="J272" s="143"/>
      <c r="K272" s="143"/>
      <c r="O272" s="220"/>
    </row>
    <row r="273" spans="1:15" s="159" customFormat="1" ht="14.25" customHeight="1" thickBot="1" x14ac:dyDescent="0.3">
      <c r="A273" s="376"/>
      <c r="B273" s="72" t="s">
        <v>156</v>
      </c>
      <c r="C273" s="73"/>
      <c r="D273" s="332">
        <f>G258</f>
        <v>1.17</v>
      </c>
      <c r="E273" s="1381"/>
      <c r="F273" s="1381"/>
      <c r="G273" s="1381"/>
      <c r="I273" s="143"/>
      <c r="J273" s="143"/>
      <c r="K273" s="143"/>
      <c r="O273" s="220"/>
    </row>
    <row r="274" spans="1:15" s="159" customFormat="1" ht="14.25" customHeight="1" thickBot="1" x14ac:dyDescent="0.3">
      <c r="A274" s="376"/>
      <c r="B274" s="72" t="s">
        <v>157</v>
      </c>
      <c r="C274" s="73"/>
      <c r="D274" s="332">
        <f>G266</f>
        <v>72.23</v>
      </c>
      <c r="E274" s="1381"/>
      <c r="F274" s="1381"/>
      <c r="G274" s="1381"/>
      <c r="I274" s="143"/>
      <c r="J274" s="143"/>
      <c r="K274" s="143"/>
      <c r="O274" s="220"/>
    </row>
    <row r="275" spans="1:15" s="159" customFormat="1" ht="14.25" customHeight="1" thickBot="1" x14ac:dyDescent="0.3">
      <c r="A275" s="376"/>
      <c r="B275" s="72" t="s">
        <v>158</v>
      </c>
      <c r="C275" s="73"/>
      <c r="D275" s="332">
        <f>G270</f>
        <v>0</v>
      </c>
      <c r="E275" s="1381"/>
      <c r="F275" s="1381"/>
      <c r="G275" s="1381"/>
      <c r="I275" s="143"/>
      <c r="J275" s="143"/>
      <c r="K275" s="143"/>
      <c r="O275" s="220"/>
    </row>
    <row r="276" spans="1:15" s="159" customFormat="1" ht="14.25" customHeight="1" thickBot="1" x14ac:dyDescent="0.3">
      <c r="A276" s="376"/>
      <c r="B276" s="72" t="s">
        <v>159</v>
      </c>
      <c r="C276" s="74">
        <f>$J$5</f>
        <v>157.27000000000001</v>
      </c>
      <c r="D276" s="332">
        <f>+ROUND((D273*C276),2)/100</f>
        <v>1.84</v>
      </c>
      <c r="E276" s="1381"/>
      <c r="F276" s="1381"/>
      <c r="G276" s="1381"/>
      <c r="I276" s="143"/>
      <c r="J276" s="143"/>
      <c r="K276" s="143"/>
      <c r="O276" s="220"/>
    </row>
    <row r="277" spans="1:15" s="159" customFormat="1" ht="14.25" customHeight="1" thickBot="1" x14ac:dyDescent="0.3">
      <c r="A277" s="376"/>
      <c r="B277" s="72" t="s">
        <v>160</v>
      </c>
      <c r="C277" s="75"/>
      <c r="D277" s="333">
        <f>+SUM(D273:D276)</f>
        <v>75.239999999999995</v>
      </c>
      <c r="E277" s="1381"/>
      <c r="F277" s="1381"/>
      <c r="G277" s="1381"/>
      <c r="I277" s="143"/>
      <c r="J277" s="143"/>
      <c r="K277" s="143"/>
      <c r="O277" s="220"/>
    </row>
    <row r="278" spans="1:15" s="159" customFormat="1" ht="14.25" customHeight="1" thickBot="1" x14ac:dyDescent="0.3">
      <c r="A278" s="376"/>
      <c r="B278" s="72" t="s">
        <v>161</v>
      </c>
      <c r="C278" s="73"/>
      <c r="D278" s="332" t="s">
        <v>162</v>
      </c>
      <c r="E278" s="1382" t="s">
        <v>163</v>
      </c>
      <c r="F278" s="1382"/>
      <c r="G278" s="1382"/>
      <c r="I278" s="143"/>
      <c r="J278" s="143"/>
      <c r="K278" s="143"/>
      <c r="O278" s="220"/>
    </row>
    <row r="279" spans="1:15" s="159" customFormat="1" ht="14.25" customHeight="1" thickBot="1" x14ac:dyDescent="0.3">
      <c r="A279" s="376"/>
      <c r="B279" s="122" t="s">
        <v>164</v>
      </c>
      <c r="C279" s="123"/>
      <c r="D279" s="334">
        <f>+SUM(D277:D278)</f>
        <v>75.239999999999995</v>
      </c>
      <c r="E279" s="1382"/>
      <c r="F279" s="1382"/>
      <c r="G279" s="1382"/>
      <c r="I279" s="143"/>
      <c r="J279" s="143"/>
      <c r="K279" s="143"/>
      <c r="O279" s="220"/>
    </row>
    <row r="280" spans="1:15" s="159" customFormat="1" ht="14.25" customHeight="1" thickBot="1" x14ac:dyDescent="0.3">
      <c r="A280" s="376"/>
      <c r="B280" s="124" t="s">
        <v>165</v>
      </c>
      <c r="C280" s="263">
        <f>$I$5</f>
        <v>28.49</v>
      </c>
      <c r="D280" s="335">
        <f>ROUND((D279*C280),2)/100</f>
        <v>21.44</v>
      </c>
      <c r="E280" s="1382"/>
      <c r="F280" s="1382"/>
      <c r="G280" s="1382"/>
      <c r="I280" s="143"/>
      <c r="J280" s="143"/>
      <c r="K280" s="143"/>
      <c r="O280" s="220"/>
    </row>
    <row r="281" spans="1:15" s="159" customFormat="1" ht="14.25" customHeight="1" thickBot="1" x14ac:dyDescent="0.3">
      <c r="A281" s="376"/>
      <c r="B281" s="80" t="s">
        <v>166</v>
      </c>
      <c r="C281" s="127"/>
      <c r="D281" s="336">
        <f>+SUM(D279:D280)</f>
        <v>96.68</v>
      </c>
      <c r="E281" s="266"/>
      <c r="F281" s="337">
        <f>D281</f>
        <v>96.68</v>
      </c>
      <c r="G281" s="224"/>
      <c r="H281" s="220"/>
      <c r="I281" s="143"/>
      <c r="J281" s="143"/>
      <c r="K281" s="143"/>
      <c r="O281" s="220"/>
    </row>
    <row r="282" spans="1:15" s="159" customFormat="1" ht="14.25" customHeight="1" x14ac:dyDescent="0.25">
      <c r="A282" s="376"/>
      <c r="B282" s="28"/>
      <c r="C282" s="28"/>
      <c r="D282" s="28"/>
      <c r="E282" s="28"/>
      <c r="F282" s="28"/>
      <c r="G282" s="28"/>
      <c r="I282" s="143"/>
      <c r="J282" s="143"/>
      <c r="K282" s="143"/>
      <c r="O282" s="220"/>
    </row>
    <row r="283" spans="1:15" s="159" customFormat="1" ht="14.25" customHeight="1" thickBot="1" x14ac:dyDescent="0.3">
      <c r="A283" s="376"/>
      <c r="B283" s="28"/>
      <c r="C283" s="28"/>
      <c r="D283" s="28"/>
      <c r="E283" s="28"/>
      <c r="F283" s="28"/>
      <c r="G283" s="28"/>
      <c r="I283" s="143"/>
      <c r="J283" s="143"/>
      <c r="K283" s="143"/>
      <c r="O283" s="220"/>
    </row>
    <row r="284" spans="1:15" s="159" customFormat="1" ht="14.25" customHeight="1" x14ac:dyDescent="0.25">
      <c r="A284" s="376"/>
      <c r="B284" s="1383" t="s">
        <v>131</v>
      </c>
      <c r="C284" s="1383"/>
      <c r="D284" s="1383"/>
      <c r="E284" s="1383"/>
      <c r="F284" s="1383"/>
      <c r="G284" s="1383"/>
      <c r="I284" s="143"/>
      <c r="J284" s="143"/>
      <c r="K284" s="143"/>
      <c r="O284" s="220"/>
    </row>
    <row r="285" spans="1:15" s="159" customFormat="1" ht="14.25" customHeight="1" thickBot="1" x14ac:dyDescent="0.3">
      <c r="A285" s="376"/>
      <c r="B285" s="1384" t="str">
        <f>$I$3</f>
        <v>Urbanização da Orla de Piúma - Município de Piúma / ES</v>
      </c>
      <c r="C285" s="1385"/>
      <c r="D285" s="1385"/>
      <c r="E285" s="1385"/>
      <c r="F285" s="1385"/>
      <c r="G285" s="1386"/>
      <c r="I285" s="143"/>
      <c r="J285" s="143"/>
      <c r="K285" s="143"/>
      <c r="O285" s="220"/>
    </row>
    <row r="286" spans="1:15" s="159" customFormat="1" ht="14.25" customHeight="1" thickBot="1" x14ac:dyDescent="0.3">
      <c r="A286" s="376"/>
      <c r="B286" s="90" t="s">
        <v>132</v>
      </c>
      <c r="C286" s="90" t="s">
        <v>133</v>
      </c>
      <c r="D286" s="1381" t="s">
        <v>134</v>
      </c>
      <c r="E286" s="1381"/>
      <c r="F286" s="131" t="s">
        <v>275</v>
      </c>
      <c r="G286" s="131" t="s">
        <v>135</v>
      </c>
      <c r="I286" s="143"/>
      <c r="J286" s="143"/>
      <c r="K286" s="143"/>
      <c r="O286" s="220"/>
    </row>
    <row r="287" spans="1:15" s="159" customFormat="1" ht="14.25" customHeight="1" thickBot="1" x14ac:dyDescent="0.3">
      <c r="A287" s="376" t="s">
        <v>175</v>
      </c>
      <c r="B287" s="132" t="s">
        <v>304</v>
      </c>
      <c r="C287" s="92" t="s">
        <v>98</v>
      </c>
      <c r="D287" s="1381" t="s">
        <v>7</v>
      </c>
      <c r="E287" s="1381"/>
      <c r="F287" s="144" t="s">
        <v>187</v>
      </c>
      <c r="G287" s="38">
        <f>$K$5</f>
        <v>44501</v>
      </c>
      <c r="I287" s="143"/>
      <c r="J287" s="143"/>
      <c r="K287" s="143"/>
      <c r="O287" s="220"/>
    </row>
    <row r="288" spans="1:15" s="159" customFormat="1" ht="14.25" customHeight="1" thickBot="1" x14ac:dyDescent="0.3">
      <c r="A288" s="376"/>
      <c r="B288" s="1382"/>
      <c r="C288" s="1382"/>
      <c r="D288" s="1382"/>
      <c r="E288" s="1382"/>
      <c r="F288" s="1382"/>
      <c r="G288" s="1382"/>
      <c r="I288" s="143"/>
      <c r="J288" s="143"/>
      <c r="K288" s="143"/>
      <c r="O288" s="220"/>
    </row>
    <row r="289" spans="1:15" s="159" customFormat="1" ht="14.25" customHeight="1" x14ac:dyDescent="0.25">
      <c r="A289" s="376"/>
      <c r="B289" s="93" t="s">
        <v>139</v>
      </c>
      <c r="C289" s="94" t="s">
        <v>140</v>
      </c>
      <c r="D289" s="94" t="s">
        <v>141</v>
      </c>
      <c r="E289" s="94" t="s">
        <v>142</v>
      </c>
      <c r="F289" s="94" t="s">
        <v>143</v>
      </c>
      <c r="G289" s="95" t="s">
        <v>144</v>
      </c>
      <c r="I289" s="143"/>
      <c r="J289" s="143"/>
      <c r="K289" s="143"/>
      <c r="O289" s="220"/>
    </row>
    <row r="290" spans="1:15" s="159" customFormat="1" ht="14.25" customHeight="1" x14ac:dyDescent="0.25">
      <c r="A290" s="377">
        <v>20060</v>
      </c>
      <c r="B290" s="230" t="str">
        <f>VLOOKUP(A290,Insumos!$A$10:$F$3462,2,FALSE)</f>
        <v xml:space="preserve">ENCARREGADO DE O.A.C. </v>
      </c>
      <c r="C290" s="231" t="s">
        <v>170</v>
      </c>
      <c r="D290" s="60">
        <v>0.1</v>
      </c>
      <c r="E290" s="321">
        <f>VLOOKUP(A290,Insumos!$A$10:$F$3462,4,FALSE)</f>
        <v>11.74</v>
      </c>
      <c r="F290" s="329">
        <f>ROUND((D290*E290),2)</f>
        <v>1.17</v>
      </c>
      <c r="G290" s="148"/>
      <c r="I290" s="143"/>
      <c r="J290" s="143"/>
      <c r="K290" s="143"/>
      <c r="O290" s="220"/>
    </row>
    <row r="291" spans="1:15" s="159" customFormat="1" ht="14.25" customHeight="1" x14ac:dyDescent="0.25">
      <c r="A291" s="377"/>
      <c r="B291" s="145"/>
      <c r="C291" s="146"/>
      <c r="D291" s="147"/>
      <c r="E291" s="146"/>
      <c r="F291" s="146"/>
      <c r="G291" s="148"/>
      <c r="I291" s="143"/>
      <c r="J291" s="143"/>
      <c r="K291" s="143"/>
      <c r="O291" s="220"/>
    </row>
    <row r="292" spans="1:15" s="159" customFormat="1" ht="14.25" customHeight="1" x14ac:dyDescent="0.25">
      <c r="A292" s="376"/>
      <c r="B292" s="99"/>
      <c r="C292" s="146"/>
      <c r="D292" s="100"/>
      <c r="E292" s="146"/>
      <c r="F292" s="146"/>
      <c r="G292" s="148"/>
      <c r="I292" s="143"/>
      <c r="J292" s="143"/>
      <c r="K292" s="143"/>
      <c r="O292" s="220"/>
    </row>
    <row r="293" spans="1:15" s="159" customFormat="1" ht="14.25" customHeight="1" x14ac:dyDescent="0.25">
      <c r="A293" s="376"/>
      <c r="B293" s="101" t="s">
        <v>145</v>
      </c>
      <c r="C293" s="102"/>
      <c r="D293" s="103"/>
      <c r="E293" s="146"/>
      <c r="F293" s="104"/>
      <c r="G293" s="338">
        <f>+SUM(F290:F292)</f>
        <v>1.17</v>
      </c>
      <c r="I293" s="143"/>
      <c r="J293" s="143"/>
      <c r="K293" s="143"/>
      <c r="O293" s="220"/>
    </row>
    <row r="294" spans="1:15" s="159" customFormat="1" ht="14.25" customHeight="1" x14ac:dyDescent="0.25">
      <c r="A294" s="376"/>
      <c r="B294" s="99" t="s">
        <v>146</v>
      </c>
      <c r="C294" s="106"/>
      <c r="D294" s="107"/>
      <c r="E294" s="146"/>
      <c r="F294" s="108"/>
      <c r="G294" s="109" t="s">
        <v>147</v>
      </c>
      <c r="I294" s="143"/>
      <c r="J294" s="143"/>
      <c r="K294" s="143"/>
      <c r="O294" s="220"/>
    </row>
    <row r="295" spans="1:15" s="159" customFormat="1" ht="14.25" customHeight="1" x14ac:dyDescent="0.25">
      <c r="A295" s="379">
        <v>40658</v>
      </c>
      <c r="B295" s="145" t="s">
        <v>306</v>
      </c>
      <c r="C295" s="146" t="s">
        <v>5</v>
      </c>
      <c r="D295" s="147">
        <v>0.55000000000000004</v>
      </c>
      <c r="E295" s="329">
        <f>5.31*1.0392965</f>
        <v>5.52</v>
      </c>
      <c r="F295" s="329">
        <f>ROUND((D295*E295),2)</f>
        <v>3.04</v>
      </c>
      <c r="G295" s="148"/>
      <c r="I295" s="143"/>
      <c r="J295" s="143"/>
      <c r="K295" s="143"/>
      <c r="O295" s="220"/>
    </row>
    <row r="296" spans="1:15" s="159" customFormat="1" ht="14.25" customHeight="1" x14ac:dyDescent="0.25">
      <c r="A296" s="379">
        <v>40358</v>
      </c>
      <c r="B296" s="145" t="s">
        <v>307</v>
      </c>
      <c r="C296" s="146" t="s">
        <v>6</v>
      </c>
      <c r="D296" s="147">
        <v>3.5999999999999997E-2</v>
      </c>
      <c r="E296" s="329">
        <f>527.36*1.0392965</f>
        <v>548.08000000000004</v>
      </c>
      <c r="F296" s="329">
        <f>ROUND((D296*E296),2)</f>
        <v>19.73</v>
      </c>
      <c r="G296" s="148"/>
      <c r="I296" s="143"/>
      <c r="J296" s="143"/>
      <c r="K296" s="143"/>
      <c r="O296" s="220"/>
    </row>
    <row r="297" spans="1:15" s="159" customFormat="1" ht="14.25" customHeight="1" x14ac:dyDescent="0.25">
      <c r="A297" s="376">
        <v>40258</v>
      </c>
      <c r="B297" s="145" t="s">
        <v>308</v>
      </c>
      <c r="C297" s="146" t="s">
        <v>6</v>
      </c>
      <c r="D297" s="110">
        <v>0.05</v>
      </c>
      <c r="E297" s="329">
        <f>58.14*1.0392965</f>
        <v>60.42</v>
      </c>
      <c r="F297" s="329">
        <f>ROUND((D297*E297),2)</f>
        <v>3.02</v>
      </c>
      <c r="G297" s="148"/>
      <c r="I297" s="143"/>
      <c r="J297" s="143"/>
      <c r="K297" s="143"/>
      <c r="O297" s="220"/>
    </row>
    <row r="298" spans="1:15" s="159" customFormat="1" ht="29.25" customHeight="1" x14ac:dyDescent="0.25">
      <c r="A298" s="376">
        <v>40316</v>
      </c>
      <c r="B298" s="145" t="s">
        <v>309</v>
      </c>
      <c r="C298" s="146" t="s">
        <v>5</v>
      </c>
      <c r="D298" s="110">
        <v>0.45</v>
      </c>
      <c r="E298" s="329">
        <f>81.17*1.0392965</f>
        <v>84.36</v>
      </c>
      <c r="F298" s="329">
        <f>ROUND((D298*E298),2)</f>
        <v>37.96</v>
      </c>
      <c r="G298" s="148"/>
      <c r="I298" s="143"/>
      <c r="J298" s="143"/>
      <c r="K298" s="143"/>
      <c r="O298" s="220"/>
    </row>
    <row r="299" spans="1:15" s="159" customFormat="1" ht="14.25" customHeight="1" x14ac:dyDescent="0.25">
      <c r="A299" s="377"/>
      <c r="B299" s="145"/>
      <c r="C299" s="146"/>
      <c r="D299" s="60"/>
      <c r="E299" s="146"/>
      <c r="F299" s="146"/>
      <c r="G299" s="148"/>
      <c r="I299" s="143"/>
      <c r="J299" s="143"/>
      <c r="K299" s="143"/>
      <c r="O299" s="220"/>
    </row>
    <row r="300" spans="1:15" s="159" customFormat="1" ht="14.25" customHeight="1" x14ac:dyDescent="0.25">
      <c r="A300" s="376"/>
      <c r="B300" s="99"/>
      <c r="C300" s="146"/>
      <c r="D300" s="111"/>
      <c r="E300" s="146"/>
      <c r="F300" s="146"/>
      <c r="G300" s="148"/>
      <c r="I300" s="143"/>
      <c r="J300" s="143"/>
      <c r="K300" s="143"/>
      <c r="O300" s="220"/>
    </row>
    <row r="301" spans="1:15" s="159" customFormat="1" ht="14.25" customHeight="1" x14ac:dyDescent="0.25">
      <c r="A301" s="376"/>
      <c r="B301" s="101" t="s">
        <v>148</v>
      </c>
      <c r="C301" s="102"/>
      <c r="D301" s="112"/>
      <c r="E301" s="113"/>
      <c r="F301" s="113"/>
      <c r="G301" s="338">
        <f>+SUM(F295:F300)</f>
        <v>63.75</v>
      </c>
      <c r="I301" s="143"/>
      <c r="J301" s="143"/>
      <c r="K301" s="143"/>
      <c r="O301" s="220"/>
    </row>
    <row r="302" spans="1:15" s="159" customFormat="1" ht="14.25" customHeight="1" x14ac:dyDescent="0.25">
      <c r="A302" s="376"/>
      <c r="B302" s="99" t="s">
        <v>149</v>
      </c>
      <c r="C302" s="106"/>
      <c r="D302" s="114"/>
      <c r="E302" s="106"/>
      <c r="F302" s="106"/>
      <c r="G302" s="109" t="s">
        <v>150</v>
      </c>
      <c r="I302" s="143"/>
      <c r="J302" s="143"/>
      <c r="K302" s="143"/>
      <c r="O302" s="220"/>
    </row>
    <row r="303" spans="1:15" s="159" customFormat="1" ht="14.25" customHeight="1" x14ac:dyDescent="0.25">
      <c r="A303" s="376"/>
      <c r="B303" s="99" t="s">
        <v>98</v>
      </c>
      <c r="C303" s="146"/>
      <c r="D303" s="110"/>
      <c r="E303" s="146"/>
      <c r="F303" s="146"/>
      <c r="G303" s="148"/>
      <c r="I303" s="143"/>
      <c r="J303" s="143"/>
      <c r="K303" s="143"/>
      <c r="O303" s="220"/>
    </row>
    <row r="304" spans="1:15" s="159" customFormat="1" ht="14.25" customHeight="1" x14ac:dyDescent="0.25">
      <c r="A304" s="376"/>
      <c r="B304" s="99" t="s">
        <v>98</v>
      </c>
      <c r="C304" s="146"/>
      <c r="D304" s="110"/>
      <c r="E304" s="146"/>
      <c r="F304" s="146"/>
      <c r="G304" s="148"/>
      <c r="I304" s="143"/>
      <c r="J304" s="143"/>
      <c r="K304" s="143"/>
      <c r="O304" s="220"/>
    </row>
    <row r="305" spans="1:15" s="159" customFormat="1" ht="14.25" customHeight="1" thickBot="1" x14ac:dyDescent="0.3">
      <c r="A305" s="376"/>
      <c r="B305" s="115" t="s">
        <v>151</v>
      </c>
      <c r="C305" s="116"/>
      <c r="D305" s="117"/>
      <c r="E305" s="116"/>
      <c r="F305" s="116"/>
      <c r="G305" s="118">
        <f>+SUM(F303:F304)</f>
        <v>0</v>
      </c>
      <c r="I305" s="143"/>
      <c r="J305" s="143"/>
      <c r="K305" s="143"/>
      <c r="O305" s="220"/>
    </row>
    <row r="306" spans="1:15" s="159" customFormat="1" ht="14.25" customHeight="1" thickBot="1" x14ac:dyDescent="0.3">
      <c r="A306" s="376"/>
      <c r="B306" s="1382"/>
      <c r="C306" s="1382"/>
      <c r="D306" s="1382"/>
      <c r="E306" s="1382"/>
      <c r="F306" s="1382"/>
      <c r="G306" s="1382"/>
      <c r="I306" s="143"/>
      <c r="J306" s="143"/>
      <c r="K306" s="143"/>
      <c r="O306" s="220"/>
    </row>
    <row r="307" spans="1:15" s="159" customFormat="1" ht="14.25" customHeight="1" thickBot="1" x14ac:dyDescent="0.3">
      <c r="A307" s="376"/>
      <c r="B307" s="69" t="s">
        <v>152</v>
      </c>
      <c r="C307" s="70" t="s">
        <v>4415</v>
      </c>
      <c r="D307" s="71" t="s">
        <v>154</v>
      </c>
      <c r="E307" s="1381" t="s">
        <v>155</v>
      </c>
      <c r="F307" s="1381"/>
      <c r="G307" s="1381"/>
      <c r="I307" s="143"/>
      <c r="J307" s="143"/>
      <c r="K307" s="143"/>
      <c r="O307" s="220"/>
    </row>
    <row r="308" spans="1:15" s="159" customFormat="1" ht="14.25" customHeight="1" thickBot="1" x14ac:dyDescent="0.3">
      <c r="A308" s="376"/>
      <c r="B308" s="72" t="s">
        <v>156</v>
      </c>
      <c r="C308" s="73"/>
      <c r="D308" s="332">
        <f>G293</f>
        <v>1.17</v>
      </c>
      <c r="E308" s="1381"/>
      <c r="F308" s="1381"/>
      <c r="G308" s="1381"/>
      <c r="I308" s="143"/>
      <c r="J308" s="143"/>
      <c r="K308" s="143"/>
      <c r="O308" s="220"/>
    </row>
    <row r="309" spans="1:15" s="159" customFormat="1" ht="14.25" customHeight="1" thickBot="1" x14ac:dyDescent="0.3">
      <c r="A309" s="376"/>
      <c r="B309" s="72" t="s">
        <v>157</v>
      </c>
      <c r="C309" s="73"/>
      <c r="D309" s="332">
        <f>G301</f>
        <v>63.75</v>
      </c>
      <c r="E309" s="1381"/>
      <c r="F309" s="1381"/>
      <c r="G309" s="1381"/>
      <c r="I309" s="143"/>
      <c r="J309" s="143"/>
      <c r="K309" s="143"/>
      <c r="O309" s="220"/>
    </row>
    <row r="310" spans="1:15" s="159" customFormat="1" ht="14.25" customHeight="1" thickBot="1" x14ac:dyDescent="0.3">
      <c r="A310" s="376"/>
      <c r="B310" s="72" t="s">
        <v>158</v>
      </c>
      <c r="C310" s="73"/>
      <c r="D310" s="332">
        <f>G305</f>
        <v>0</v>
      </c>
      <c r="E310" s="1381"/>
      <c r="F310" s="1381"/>
      <c r="G310" s="1381"/>
      <c r="I310" s="143"/>
      <c r="J310" s="143"/>
      <c r="K310" s="143"/>
      <c r="O310" s="220"/>
    </row>
    <row r="311" spans="1:15" s="159" customFormat="1" ht="14.25" customHeight="1" thickBot="1" x14ac:dyDescent="0.3">
      <c r="A311" s="376"/>
      <c r="B311" s="72" t="s">
        <v>159</v>
      </c>
      <c r="C311" s="74">
        <f>$J$5</f>
        <v>157.27000000000001</v>
      </c>
      <c r="D311" s="332">
        <f>+ROUND((D308*C311),2)/100</f>
        <v>1.84</v>
      </c>
      <c r="E311" s="1381"/>
      <c r="F311" s="1381"/>
      <c r="G311" s="1381"/>
      <c r="I311" s="143"/>
      <c r="J311" s="143"/>
      <c r="K311" s="143"/>
      <c r="O311" s="220"/>
    </row>
    <row r="312" spans="1:15" s="159" customFormat="1" ht="14.25" customHeight="1" thickBot="1" x14ac:dyDescent="0.3">
      <c r="A312" s="376"/>
      <c r="B312" s="72" t="s">
        <v>160</v>
      </c>
      <c r="C312" s="75"/>
      <c r="D312" s="333">
        <f>+SUM(D308:D311)</f>
        <v>66.760000000000005</v>
      </c>
      <c r="E312" s="1381"/>
      <c r="F312" s="1381"/>
      <c r="G312" s="1381"/>
      <c r="I312" s="143"/>
      <c r="J312" s="143"/>
      <c r="K312" s="143"/>
      <c r="O312" s="220"/>
    </row>
    <row r="313" spans="1:15" s="159" customFormat="1" ht="14.25" customHeight="1" thickBot="1" x14ac:dyDescent="0.3">
      <c r="A313" s="376"/>
      <c r="B313" s="72" t="s">
        <v>161</v>
      </c>
      <c r="C313" s="73"/>
      <c r="D313" s="332" t="s">
        <v>162</v>
      </c>
      <c r="E313" s="1382" t="s">
        <v>163</v>
      </c>
      <c r="F313" s="1382"/>
      <c r="G313" s="1382"/>
      <c r="I313" s="143"/>
      <c r="J313" s="143"/>
      <c r="K313" s="143"/>
      <c r="O313" s="220"/>
    </row>
    <row r="314" spans="1:15" s="159" customFormat="1" ht="14.25" customHeight="1" thickBot="1" x14ac:dyDescent="0.3">
      <c r="A314" s="376"/>
      <c r="B314" s="122" t="s">
        <v>164</v>
      </c>
      <c r="C314" s="123"/>
      <c r="D314" s="334">
        <f>+SUM(D312:D313)</f>
        <v>66.760000000000005</v>
      </c>
      <c r="E314" s="1382"/>
      <c r="F314" s="1382"/>
      <c r="G314" s="1382"/>
      <c r="I314" s="143"/>
      <c r="J314" s="143"/>
      <c r="K314" s="143"/>
      <c r="O314" s="220"/>
    </row>
    <row r="315" spans="1:15" s="159" customFormat="1" ht="14.25" customHeight="1" thickBot="1" x14ac:dyDescent="0.3">
      <c r="A315" s="376"/>
      <c r="B315" s="124" t="s">
        <v>165</v>
      </c>
      <c r="C315" s="263">
        <f>$I$5</f>
        <v>28.49</v>
      </c>
      <c r="D315" s="335">
        <f>ROUND((D314*C315),2)/100</f>
        <v>19.02</v>
      </c>
      <c r="E315" s="1382"/>
      <c r="F315" s="1382"/>
      <c r="G315" s="1382"/>
      <c r="I315" s="143"/>
      <c r="J315" s="143"/>
      <c r="K315" s="143"/>
      <c r="O315" s="220"/>
    </row>
    <row r="316" spans="1:15" s="159" customFormat="1" ht="14.25" customHeight="1" thickBot="1" x14ac:dyDescent="0.3">
      <c r="A316" s="376"/>
      <c r="B316" s="80" t="s">
        <v>166</v>
      </c>
      <c r="C316" s="127"/>
      <c r="D316" s="336">
        <f>+SUM(D314:D315)</f>
        <v>85.78</v>
      </c>
      <c r="E316" s="266"/>
      <c r="F316" s="337">
        <f>D316</f>
        <v>85.78</v>
      </c>
      <c r="G316" s="224"/>
      <c r="H316" s="220"/>
      <c r="I316" s="143"/>
      <c r="J316" s="143"/>
      <c r="K316" s="143"/>
      <c r="O316" s="220"/>
    </row>
    <row r="317" spans="1:15" s="159" customFormat="1" ht="14.25" customHeight="1" x14ac:dyDescent="0.25">
      <c r="A317" s="376"/>
      <c r="B317" s="28"/>
      <c r="C317" s="28"/>
      <c r="D317" s="28"/>
      <c r="E317" s="28"/>
      <c r="F317" s="28"/>
      <c r="G317" s="28"/>
      <c r="I317" s="143"/>
      <c r="J317" s="143"/>
      <c r="K317" s="143"/>
      <c r="O317" s="220"/>
    </row>
    <row r="318" spans="1:15" ht="14.25" customHeight="1" thickBot="1" x14ac:dyDescent="0.3">
      <c r="A318" s="376"/>
      <c r="B318" s="28"/>
      <c r="C318" s="28"/>
      <c r="D318" s="28"/>
      <c r="E318" s="28"/>
      <c r="F318" s="28"/>
      <c r="G318" s="28"/>
      <c r="H318" s="129"/>
      <c r="I318" s="33"/>
      <c r="J318" s="33"/>
      <c r="K318" s="33"/>
      <c r="O318" s="220"/>
    </row>
    <row r="319" spans="1:15" x14ac:dyDescent="0.25">
      <c r="A319" s="376"/>
      <c r="B319" s="1383" t="s">
        <v>131</v>
      </c>
      <c r="C319" s="1383"/>
      <c r="D319" s="1383"/>
      <c r="E319" s="1383"/>
      <c r="F319" s="1383"/>
      <c r="G319" s="1383"/>
      <c r="H319" s="129"/>
      <c r="I319" s="33"/>
      <c r="J319" s="33"/>
      <c r="K319" s="33"/>
      <c r="O319" s="220"/>
    </row>
    <row r="320" spans="1:15" ht="15.75" thickBot="1" x14ac:dyDescent="0.3">
      <c r="A320" s="376"/>
      <c r="B320" s="1384" t="str">
        <f>$I$3</f>
        <v>Urbanização da Orla de Piúma - Município de Piúma / ES</v>
      </c>
      <c r="C320" s="1385"/>
      <c r="D320" s="1385"/>
      <c r="E320" s="1385"/>
      <c r="F320" s="1385"/>
      <c r="G320" s="1386"/>
      <c r="H320" s="129"/>
      <c r="I320" s="33"/>
      <c r="J320" s="33"/>
      <c r="K320" s="33"/>
      <c r="O320" s="220"/>
    </row>
    <row r="321" spans="1:15" ht="15.75" thickBot="1" x14ac:dyDescent="0.3">
      <c r="A321" s="376"/>
      <c r="B321" s="34" t="s">
        <v>132</v>
      </c>
      <c r="C321" s="34" t="s">
        <v>133</v>
      </c>
      <c r="D321" s="1381" t="s">
        <v>134</v>
      </c>
      <c r="E321" s="1381"/>
      <c r="F321" s="131" t="s">
        <v>275</v>
      </c>
      <c r="G321" s="35" t="s">
        <v>135</v>
      </c>
      <c r="H321" s="129"/>
      <c r="I321" s="31"/>
      <c r="J321" s="31"/>
      <c r="K321" s="33"/>
      <c r="O321" s="220"/>
    </row>
    <row r="322" spans="1:15" ht="27" thickBot="1" x14ac:dyDescent="0.3">
      <c r="A322" s="376"/>
      <c r="B322" s="36" t="s">
        <v>181</v>
      </c>
      <c r="C322" s="37" t="s">
        <v>98</v>
      </c>
      <c r="D322" s="1381" t="s">
        <v>7</v>
      </c>
      <c r="E322" s="1381"/>
      <c r="F322" s="144" t="s">
        <v>188</v>
      </c>
      <c r="G322" s="38">
        <f>$K$5</f>
        <v>44501</v>
      </c>
      <c r="H322" s="129"/>
      <c r="I322" s="39"/>
      <c r="J322" s="31"/>
      <c r="K322" s="40"/>
      <c r="O322" s="220"/>
    </row>
    <row r="323" spans="1:15" ht="3.75" customHeight="1" thickBot="1" x14ac:dyDescent="0.3">
      <c r="A323" s="376"/>
      <c r="B323" s="1382"/>
      <c r="C323" s="1382"/>
      <c r="D323" s="1382"/>
      <c r="E323" s="1382"/>
      <c r="F323" s="1382"/>
      <c r="G323" s="1382"/>
      <c r="H323" s="129"/>
      <c r="I323" s="33"/>
      <c r="J323" s="33"/>
      <c r="K323" s="33"/>
      <c r="O323" s="220"/>
    </row>
    <row r="324" spans="1:15" x14ac:dyDescent="0.25">
      <c r="A324" s="376"/>
      <c r="B324" s="41" t="s">
        <v>139</v>
      </c>
      <c r="C324" s="42" t="s">
        <v>140</v>
      </c>
      <c r="D324" s="42" t="s">
        <v>141</v>
      </c>
      <c r="E324" s="42" t="s">
        <v>142</v>
      </c>
      <c r="F324" s="42" t="s">
        <v>143</v>
      </c>
      <c r="G324" s="43" t="s">
        <v>144</v>
      </c>
      <c r="H324" s="129"/>
      <c r="O324" s="220"/>
    </row>
    <row r="325" spans="1:15" x14ac:dyDescent="0.25">
      <c r="A325" s="377"/>
      <c r="B325" s="44"/>
      <c r="C325" s="45"/>
      <c r="D325" s="46"/>
      <c r="E325" s="45"/>
      <c r="F325" s="45"/>
      <c r="G325" s="47"/>
      <c r="H325" s="220"/>
      <c r="O325" s="220"/>
    </row>
    <row r="326" spans="1:15" x14ac:dyDescent="0.25">
      <c r="A326" s="376"/>
      <c r="B326" s="50" t="s">
        <v>145</v>
      </c>
      <c r="C326" s="51"/>
      <c r="D326" s="52"/>
      <c r="E326" s="45"/>
      <c r="F326" s="53"/>
      <c r="G326" s="54">
        <f>+SUM(F325:F325)</f>
        <v>0</v>
      </c>
      <c r="H326" s="129"/>
      <c r="O326" s="220"/>
    </row>
    <row r="327" spans="1:15" x14ac:dyDescent="0.25">
      <c r="A327" s="376"/>
      <c r="B327" s="48" t="s">
        <v>146</v>
      </c>
      <c r="C327" s="55"/>
      <c r="D327" s="56"/>
      <c r="E327" s="45"/>
      <c r="F327" s="57"/>
      <c r="G327" s="58" t="s">
        <v>147</v>
      </c>
      <c r="H327" s="129"/>
      <c r="O327" s="220"/>
    </row>
    <row r="328" spans="1:15" ht="39" x14ac:dyDescent="0.25">
      <c r="A328" s="377">
        <v>40239</v>
      </c>
      <c r="B328" s="145" t="s">
        <v>279</v>
      </c>
      <c r="C328" s="45" t="s">
        <v>6</v>
      </c>
      <c r="D328" s="46">
        <v>0.61</v>
      </c>
      <c r="E328" s="329">
        <v>498.44</v>
      </c>
      <c r="F328" s="329">
        <f>ROUND((D328*E328),2)</f>
        <v>304.05</v>
      </c>
      <c r="G328" s="47"/>
      <c r="H328" s="129"/>
      <c r="O328" s="220"/>
    </row>
    <row r="329" spans="1:15" s="138" customFormat="1" ht="39" x14ac:dyDescent="0.25">
      <c r="A329" s="377">
        <v>40206</v>
      </c>
      <c r="B329" s="145" t="s">
        <v>16</v>
      </c>
      <c r="C329" s="146" t="s">
        <v>5</v>
      </c>
      <c r="D329" s="147">
        <f>0.4+0.4+4</f>
        <v>4.8</v>
      </c>
      <c r="E329" s="329">
        <v>73.25</v>
      </c>
      <c r="F329" s="329">
        <f>ROUND((D329*E329),2)</f>
        <v>351.6</v>
      </c>
      <c r="G329" s="148"/>
      <c r="O329" s="220"/>
    </row>
    <row r="330" spans="1:15" ht="26.25" x14ac:dyDescent="0.25">
      <c r="A330" s="376">
        <v>40243</v>
      </c>
      <c r="B330" s="44" t="s">
        <v>19</v>
      </c>
      <c r="C330" s="45" t="s">
        <v>20</v>
      </c>
      <c r="D330" s="46">
        <f>(72+177.6)/10</f>
        <v>24.96</v>
      </c>
      <c r="E330" s="329">
        <v>12.94</v>
      </c>
      <c r="F330" s="329">
        <f>ROUND((D330*E330),2)</f>
        <v>322.98</v>
      </c>
      <c r="G330" s="47"/>
      <c r="H330" s="129"/>
      <c r="O330" s="220"/>
    </row>
    <row r="331" spans="1:15" ht="26.25" x14ac:dyDescent="0.25">
      <c r="A331" s="376">
        <v>40246</v>
      </c>
      <c r="B331" s="44" t="s">
        <v>21</v>
      </c>
      <c r="C331" s="45" t="s">
        <v>20</v>
      </c>
      <c r="D331" s="59">
        <f>46.1/10</f>
        <v>4.6100000000000003</v>
      </c>
      <c r="E331" s="329">
        <v>15.75</v>
      </c>
      <c r="F331" s="329">
        <f>ROUND((D331*E331),2)</f>
        <v>72.61</v>
      </c>
      <c r="G331" s="47"/>
      <c r="H331" s="220"/>
      <c r="O331" s="220"/>
    </row>
    <row r="332" spans="1:15" x14ac:dyDescent="0.25">
      <c r="A332" s="376"/>
      <c r="B332" s="50" t="s">
        <v>148</v>
      </c>
      <c r="C332" s="51"/>
      <c r="D332" s="62"/>
      <c r="E332" s="63"/>
      <c r="F332" s="63"/>
      <c r="G332" s="338">
        <f>+SUM(F328:F331)</f>
        <v>1051.24</v>
      </c>
      <c r="H332" s="129"/>
      <c r="O332" s="220"/>
    </row>
    <row r="333" spans="1:15" x14ac:dyDescent="0.25">
      <c r="A333" s="376"/>
      <c r="B333" s="48" t="s">
        <v>149</v>
      </c>
      <c r="C333" s="55"/>
      <c r="D333" s="64"/>
      <c r="E333" s="55"/>
      <c r="F333" s="55"/>
      <c r="G333" s="58" t="s">
        <v>150</v>
      </c>
      <c r="H333" s="129"/>
      <c r="O333" s="220"/>
    </row>
    <row r="334" spans="1:15" x14ac:dyDescent="0.25">
      <c r="A334" s="376"/>
      <c r="B334" s="48" t="s">
        <v>98</v>
      </c>
      <c r="C334" s="45"/>
      <c r="D334" s="59"/>
      <c r="E334" s="45"/>
      <c r="F334" s="45"/>
      <c r="G334" s="47"/>
      <c r="H334" s="129"/>
      <c r="O334" s="220"/>
    </row>
    <row r="335" spans="1:15" x14ac:dyDescent="0.25">
      <c r="A335" s="376"/>
      <c r="B335" s="48" t="s">
        <v>98</v>
      </c>
      <c r="C335" s="45"/>
      <c r="D335" s="59"/>
      <c r="E335" s="45"/>
      <c r="F335" s="45"/>
      <c r="G335" s="47"/>
      <c r="H335" s="129"/>
      <c r="O335" s="220"/>
    </row>
    <row r="336" spans="1:15" ht="15.75" thickBot="1" x14ac:dyDescent="0.3">
      <c r="A336" s="376"/>
      <c r="B336" s="65" t="s">
        <v>151</v>
      </c>
      <c r="C336" s="66"/>
      <c r="D336" s="67"/>
      <c r="E336" s="66"/>
      <c r="F336" s="66"/>
      <c r="G336" s="68">
        <f>+SUM(F334:F335)</f>
        <v>0</v>
      </c>
      <c r="H336" s="129"/>
      <c r="O336" s="220"/>
    </row>
    <row r="337" spans="1:15" ht="4.5" customHeight="1" thickBot="1" x14ac:dyDescent="0.3">
      <c r="A337" s="376"/>
      <c r="B337" s="1382"/>
      <c r="C337" s="1382"/>
      <c r="D337" s="1382"/>
      <c r="E337" s="1382"/>
      <c r="F337" s="1382"/>
      <c r="G337" s="1382"/>
      <c r="H337" s="129"/>
      <c r="O337" s="220"/>
    </row>
    <row r="338" spans="1:15" ht="15.75" thickBot="1" x14ac:dyDescent="0.3">
      <c r="A338" s="376"/>
      <c r="B338" s="69" t="s">
        <v>152</v>
      </c>
      <c r="C338" s="70" t="s">
        <v>4415</v>
      </c>
      <c r="D338" s="71" t="s">
        <v>154</v>
      </c>
      <c r="E338" s="1381" t="s">
        <v>155</v>
      </c>
      <c r="F338" s="1381"/>
      <c r="G338" s="1381"/>
      <c r="H338" s="129"/>
      <c r="O338" s="220"/>
    </row>
    <row r="339" spans="1:15" ht="15.75" thickBot="1" x14ac:dyDescent="0.3">
      <c r="A339" s="376"/>
      <c r="B339" s="72" t="s">
        <v>156</v>
      </c>
      <c r="C339" s="73"/>
      <c r="D339" s="332">
        <f>G326</f>
        <v>0</v>
      </c>
      <c r="E339" s="1381"/>
      <c r="F339" s="1381"/>
      <c r="G339" s="1381"/>
      <c r="H339" s="129"/>
      <c r="O339" s="220"/>
    </row>
    <row r="340" spans="1:15" ht="15.75" thickBot="1" x14ac:dyDescent="0.3">
      <c r="A340" s="376"/>
      <c r="B340" s="72" t="s">
        <v>157</v>
      </c>
      <c r="C340" s="73"/>
      <c r="D340" s="332">
        <f>G332</f>
        <v>1051.24</v>
      </c>
      <c r="E340" s="1381"/>
      <c r="F340" s="1381"/>
      <c r="G340" s="1381"/>
      <c r="H340" s="129"/>
      <c r="O340" s="220"/>
    </row>
    <row r="341" spans="1:15" ht="15.75" thickBot="1" x14ac:dyDescent="0.3">
      <c r="A341" s="376"/>
      <c r="B341" s="72" t="s">
        <v>158</v>
      </c>
      <c r="C341" s="73"/>
      <c r="D341" s="332">
        <f>G336</f>
        <v>0</v>
      </c>
      <c r="E341" s="1381"/>
      <c r="F341" s="1381"/>
      <c r="G341" s="1381"/>
      <c r="H341" s="129"/>
      <c r="O341" s="220"/>
    </row>
    <row r="342" spans="1:15" ht="15.75" thickBot="1" x14ac:dyDescent="0.3">
      <c r="A342" s="376"/>
      <c r="B342" s="72" t="s">
        <v>159</v>
      </c>
      <c r="C342" s="74">
        <f>$J$5</f>
        <v>157.27000000000001</v>
      </c>
      <c r="D342" s="332">
        <f>+ROUND((D339*C342),2)/100</f>
        <v>0</v>
      </c>
      <c r="E342" s="1381"/>
      <c r="F342" s="1381"/>
      <c r="G342" s="1381"/>
      <c r="H342" s="129"/>
      <c r="O342" s="220"/>
    </row>
    <row r="343" spans="1:15" ht="15.75" thickBot="1" x14ac:dyDescent="0.3">
      <c r="A343" s="376"/>
      <c r="B343" s="72" t="s">
        <v>160</v>
      </c>
      <c r="C343" s="75"/>
      <c r="D343" s="333">
        <f>+SUM(D339:D342)</f>
        <v>1051.24</v>
      </c>
      <c r="E343" s="1381"/>
      <c r="F343" s="1381"/>
      <c r="G343" s="1381"/>
      <c r="H343" s="129"/>
      <c r="O343" s="220"/>
    </row>
    <row r="344" spans="1:15" ht="15.75" customHeight="1" thickBot="1" x14ac:dyDescent="0.3">
      <c r="A344" s="376"/>
      <c r="B344" s="72" t="s">
        <v>161</v>
      </c>
      <c r="C344" s="73"/>
      <c r="D344" s="332" t="s">
        <v>162</v>
      </c>
      <c r="E344" s="1382" t="s">
        <v>163</v>
      </c>
      <c r="F344" s="1382"/>
      <c r="G344" s="1382"/>
      <c r="H344" s="129"/>
      <c r="O344" s="220"/>
    </row>
    <row r="345" spans="1:15" ht="15.75" thickBot="1" x14ac:dyDescent="0.3">
      <c r="A345" s="376"/>
      <c r="B345" s="76" t="s">
        <v>164</v>
      </c>
      <c r="C345" s="77"/>
      <c r="D345" s="334">
        <f>+SUM(D343:D344)</f>
        <v>1051.24</v>
      </c>
      <c r="E345" s="1382"/>
      <c r="F345" s="1382"/>
      <c r="G345" s="1382"/>
      <c r="H345" s="129"/>
      <c r="O345" s="220"/>
    </row>
    <row r="346" spans="1:15" ht="15.75" thickBot="1" x14ac:dyDescent="0.3">
      <c r="A346" s="376"/>
      <c r="B346" s="78" t="s">
        <v>165</v>
      </c>
      <c r="C346" s="79">
        <f>$I$5</f>
        <v>28.49</v>
      </c>
      <c r="D346" s="335">
        <f>ROUND((D345*C346),2)/100</f>
        <v>299.5</v>
      </c>
      <c r="E346" s="1382"/>
      <c r="F346" s="1382"/>
      <c r="G346" s="1382"/>
      <c r="H346" s="129"/>
      <c r="O346" s="220"/>
    </row>
    <row r="347" spans="1:15" ht="15.75" thickBot="1" x14ac:dyDescent="0.3">
      <c r="A347" s="376"/>
      <c r="B347" s="80" t="s">
        <v>166</v>
      </c>
      <c r="C347" s="81"/>
      <c r="D347" s="336">
        <f>+SUM(D345:D346)</f>
        <v>1350.74</v>
      </c>
      <c r="E347" s="82"/>
      <c r="F347" s="337">
        <f>D347</f>
        <v>1350.74</v>
      </c>
      <c r="G347" s="35"/>
      <c r="H347" s="129"/>
      <c r="I347" s="33"/>
      <c r="J347" s="33"/>
      <c r="K347" s="33"/>
      <c r="O347" s="220"/>
    </row>
    <row r="348" spans="1:15" ht="14.25" customHeight="1" x14ac:dyDescent="0.25">
      <c r="A348" s="376"/>
      <c r="B348" s="28"/>
      <c r="C348" s="28"/>
      <c r="D348" s="28"/>
      <c r="E348" s="28"/>
      <c r="F348" s="28"/>
      <c r="G348" s="28"/>
      <c r="H348" s="129"/>
      <c r="I348" s="33"/>
      <c r="J348" s="33"/>
      <c r="K348" s="33"/>
      <c r="O348" s="220"/>
    </row>
    <row r="349" spans="1:15" ht="14.25" customHeight="1" thickBot="1" x14ac:dyDescent="0.3">
      <c r="A349" s="376"/>
      <c r="B349" s="28"/>
      <c r="C349" s="28"/>
      <c r="D349" s="28"/>
      <c r="E349" s="28"/>
      <c r="F349" s="28"/>
      <c r="G349" s="28"/>
      <c r="H349" s="129"/>
      <c r="I349" s="33"/>
      <c r="J349" s="33"/>
      <c r="K349" s="33"/>
      <c r="O349" s="220"/>
    </row>
    <row r="350" spans="1:15" x14ac:dyDescent="0.25">
      <c r="A350" s="376"/>
      <c r="B350" s="1383" t="s">
        <v>131</v>
      </c>
      <c r="C350" s="1383"/>
      <c r="D350" s="1383"/>
      <c r="E350" s="1383"/>
      <c r="F350" s="1383"/>
      <c r="G350" s="1383"/>
      <c r="H350" s="129"/>
      <c r="I350" s="33"/>
      <c r="J350" s="33"/>
      <c r="K350" s="33"/>
      <c r="O350" s="220"/>
    </row>
    <row r="351" spans="1:15" ht="15.75" thickBot="1" x14ac:dyDescent="0.3">
      <c r="A351" s="376"/>
      <c r="B351" s="1384" t="str">
        <f>$I$3</f>
        <v>Urbanização da Orla de Piúma - Município de Piúma / ES</v>
      </c>
      <c r="C351" s="1385"/>
      <c r="D351" s="1385"/>
      <c r="E351" s="1385"/>
      <c r="F351" s="1385"/>
      <c r="G351" s="1386"/>
      <c r="H351" s="129"/>
      <c r="I351" s="33"/>
      <c r="J351" s="33"/>
      <c r="K351" s="33"/>
      <c r="O351" s="220"/>
    </row>
    <row r="352" spans="1:15" ht="15.75" thickBot="1" x14ac:dyDescent="0.3">
      <c r="A352" s="376"/>
      <c r="B352" s="34" t="s">
        <v>132</v>
      </c>
      <c r="C352" s="34" t="s">
        <v>133</v>
      </c>
      <c r="D352" s="1381" t="s">
        <v>134</v>
      </c>
      <c r="E352" s="1381"/>
      <c r="F352" s="131" t="s">
        <v>275</v>
      </c>
      <c r="G352" s="35" t="s">
        <v>135</v>
      </c>
      <c r="H352" s="129"/>
      <c r="I352" s="31"/>
      <c r="J352" s="31"/>
      <c r="K352" s="33"/>
      <c r="O352" s="220"/>
    </row>
    <row r="353" spans="1:15" ht="27" thickBot="1" x14ac:dyDescent="0.3">
      <c r="A353" s="376"/>
      <c r="B353" s="132" t="s">
        <v>278</v>
      </c>
      <c r="C353" s="37" t="s">
        <v>98</v>
      </c>
      <c r="D353" s="1381" t="s">
        <v>7</v>
      </c>
      <c r="E353" s="1381"/>
      <c r="F353" s="144" t="s">
        <v>191</v>
      </c>
      <c r="G353" s="38">
        <f>$K$5</f>
        <v>44501</v>
      </c>
      <c r="H353" s="129"/>
      <c r="I353" s="39"/>
      <c r="J353" s="31"/>
      <c r="K353" s="40"/>
      <c r="O353" s="220"/>
    </row>
    <row r="354" spans="1:15" ht="3.75" customHeight="1" thickBot="1" x14ac:dyDescent="0.3">
      <c r="A354" s="376"/>
      <c r="B354" s="1382"/>
      <c r="C354" s="1382"/>
      <c r="D354" s="1382"/>
      <c r="E354" s="1382"/>
      <c r="F354" s="1382"/>
      <c r="G354" s="1382"/>
      <c r="H354" s="129"/>
      <c r="I354" s="33"/>
      <c r="J354" s="33"/>
      <c r="K354" s="33"/>
      <c r="O354" s="220"/>
    </row>
    <row r="355" spans="1:15" x14ac:dyDescent="0.25">
      <c r="A355" s="376"/>
      <c r="B355" s="41" t="s">
        <v>139</v>
      </c>
      <c r="C355" s="42" t="s">
        <v>140</v>
      </c>
      <c r="D355" s="42" t="s">
        <v>141</v>
      </c>
      <c r="E355" s="42" t="s">
        <v>142</v>
      </c>
      <c r="F355" s="42" t="s">
        <v>143</v>
      </c>
      <c r="G355" s="43" t="s">
        <v>144</v>
      </c>
      <c r="H355" s="129"/>
      <c r="O355" s="220"/>
    </row>
    <row r="356" spans="1:15" x14ac:dyDescent="0.25">
      <c r="A356" s="377"/>
      <c r="B356" s="44"/>
      <c r="C356" s="45"/>
      <c r="D356" s="46"/>
      <c r="E356" s="45"/>
      <c r="F356" s="45"/>
      <c r="G356" s="47"/>
      <c r="H356" s="220"/>
      <c r="O356" s="220"/>
    </row>
    <row r="357" spans="1:15" x14ac:dyDescent="0.25">
      <c r="A357" s="376"/>
      <c r="B357" s="50" t="s">
        <v>145</v>
      </c>
      <c r="C357" s="51"/>
      <c r="D357" s="52"/>
      <c r="E357" s="45"/>
      <c r="F357" s="53"/>
      <c r="G357" s="54">
        <f>+SUM(F356:F356)</f>
        <v>0</v>
      </c>
      <c r="H357" s="129"/>
      <c r="O357" s="220"/>
    </row>
    <row r="358" spans="1:15" x14ac:dyDescent="0.25">
      <c r="A358" s="376"/>
      <c r="B358" s="48" t="s">
        <v>146</v>
      </c>
      <c r="C358" s="55"/>
      <c r="D358" s="56"/>
      <c r="E358" s="45"/>
      <c r="F358" s="57"/>
      <c r="G358" s="58" t="s">
        <v>147</v>
      </c>
      <c r="H358" s="129"/>
      <c r="O358" s="220"/>
    </row>
    <row r="359" spans="1:15" ht="39" x14ac:dyDescent="0.25">
      <c r="A359" s="377">
        <v>40239</v>
      </c>
      <c r="B359" s="145" t="s">
        <v>279</v>
      </c>
      <c r="C359" s="146" t="s">
        <v>6</v>
      </c>
      <c r="D359" s="147">
        <v>1.6</v>
      </c>
      <c r="E359" s="329">
        <v>498.44</v>
      </c>
      <c r="F359" s="329">
        <f>ROUND((D359*E359),2)</f>
        <v>797.5</v>
      </c>
      <c r="G359" s="47"/>
      <c r="H359" s="129"/>
      <c r="O359" s="220"/>
    </row>
    <row r="360" spans="1:15" s="138" customFormat="1" ht="39" x14ac:dyDescent="0.25">
      <c r="A360" s="377">
        <v>40206</v>
      </c>
      <c r="B360" s="145" t="s">
        <v>16</v>
      </c>
      <c r="C360" s="146" t="s">
        <v>5</v>
      </c>
      <c r="D360" s="147">
        <f>0.5+0.5+3.7+3.7</f>
        <v>8.4</v>
      </c>
      <c r="E360" s="329">
        <v>73.25</v>
      </c>
      <c r="F360" s="329">
        <f>ROUND((D360*E360),2)</f>
        <v>615.29999999999995</v>
      </c>
      <c r="G360" s="148"/>
      <c r="O360" s="220"/>
    </row>
    <row r="361" spans="1:15" ht="26.25" x14ac:dyDescent="0.25">
      <c r="A361" s="376">
        <v>40243</v>
      </c>
      <c r="B361" s="44" t="s">
        <v>19</v>
      </c>
      <c r="C361" s="45" t="s">
        <v>20</v>
      </c>
      <c r="D361" s="46">
        <f>(192+506.9)/10</f>
        <v>69.89</v>
      </c>
      <c r="E361" s="329">
        <v>12.94</v>
      </c>
      <c r="F361" s="329">
        <f>ROUND((D361*E361),2)</f>
        <v>904.38</v>
      </c>
      <c r="G361" s="47"/>
      <c r="H361" s="129"/>
      <c r="O361" s="220"/>
    </row>
    <row r="362" spans="1:15" ht="26.25" x14ac:dyDescent="0.25">
      <c r="A362" s="376">
        <v>40246</v>
      </c>
      <c r="B362" s="44" t="s">
        <v>21</v>
      </c>
      <c r="C362" s="45" t="s">
        <v>20</v>
      </c>
      <c r="D362" s="59">
        <f>121/10</f>
        <v>12.1</v>
      </c>
      <c r="E362" s="329">
        <v>15.75</v>
      </c>
      <c r="F362" s="329">
        <f>ROUND((D362*E362),2)</f>
        <v>190.58</v>
      </c>
      <c r="G362" s="47"/>
      <c r="H362" s="220"/>
      <c r="O362" s="220"/>
    </row>
    <row r="363" spans="1:15" x14ac:dyDescent="0.25">
      <c r="A363" s="376"/>
      <c r="B363" s="50" t="s">
        <v>148</v>
      </c>
      <c r="C363" s="51"/>
      <c r="D363" s="62"/>
      <c r="E363" s="63"/>
      <c r="F363" s="63"/>
      <c r="G363" s="338">
        <f>+SUM(F359:F362)</f>
        <v>2507.7600000000002</v>
      </c>
      <c r="H363" s="129"/>
      <c r="O363" s="220"/>
    </row>
    <row r="364" spans="1:15" x14ac:dyDescent="0.25">
      <c r="A364" s="376"/>
      <c r="B364" s="48" t="s">
        <v>149</v>
      </c>
      <c r="C364" s="55"/>
      <c r="D364" s="64"/>
      <c r="E364" s="55"/>
      <c r="F364" s="55"/>
      <c r="G364" s="58" t="s">
        <v>150</v>
      </c>
      <c r="H364" s="129"/>
      <c r="O364" s="220"/>
    </row>
    <row r="365" spans="1:15" x14ac:dyDescent="0.25">
      <c r="A365" s="376"/>
      <c r="B365" s="48" t="s">
        <v>98</v>
      </c>
      <c r="C365" s="45"/>
      <c r="D365" s="59"/>
      <c r="E365" s="45"/>
      <c r="F365" s="45"/>
      <c r="G365" s="47"/>
      <c r="H365" s="129"/>
      <c r="O365" s="220"/>
    </row>
    <row r="366" spans="1:15" x14ac:dyDescent="0.25">
      <c r="A366" s="376"/>
      <c r="B366" s="48" t="s">
        <v>98</v>
      </c>
      <c r="C366" s="45"/>
      <c r="D366" s="59"/>
      <c r="E366" s="45"/>
      <c r="F366" s="45"/>
      <c r="G366" s="47"/>
      <c r="H366" s="129"/>
      <c r="O366" s="220"/>
    </row>
    <row r="367" spans="1:15" ht="15.75" thickBot="1" x14ac:dyDescent="0.3">
      <c r="A367" s="376"/>
      <c r="B367" s="65" t="s">
        <v>151</v>
      </c>
      <c r="C367" s="66"/>
      <c r="D367" s="67"/>
      <c r="E367" s="66"/>
      <c r="F367" s="66"/>
      <c r="G367" s="68">
        <f>+SUM(F365:F366)</f>
        <v>0</v>
      </c>
      <c r="H367" s="129"/>
      <c r="O367" s="220"/>
    </row>
    <row r="368" spans="1:15" ht="4.5" customHeight="1" thickBot="1" x14ac:dyDescent="0.3">
      <c r="A368" s="376"/>
      <c r="B368" s="1382"/>
      <c r="C368" s="1382"/>
      <c r="D368" s="1382"/>
      <c r="E368" s="1382"/>
      <c r="F368" s="1382"/>
      <c r="G368" s="1382"/>
      <c r="H368" s="129"/>
      <c r="O368" s="220"/>
    </row>
    <row r="369" spans="1:15" ht="15.75" thickBot="1" x14ac:dyDescent="0.3">
      <c r="A369" s="376"/>
      <c r="B369" s="69" t="s">
        <v>152</v>
      </c>
      <c r="C369" s="70" t="s">
        <v>153</v>
      </c>
      <c r="D369" s="71" t="s">
        <v>154</v>
      </c>
      <c r="E369" s="1381" t="s">
        <v>155</v>
      </c>
      <c r="F369" s="1381"/>
      <c r="G369" s="1381"/>
      <c r="H369" s="129"/>
      <c r="O369" s="220"/>
    </row>
    <row r="370" spans="1:15" ht="15.75" thickBot="1" x14ac:dyDescent="0.3">
      <c r="A370" s="376"/>
      <c r="B370" s="72" t="s">
        <v>156</v>
      </c>
      <c r="C370" s="73"/>
      <c r="D370" s="332">
        <f>G357</f>
        <v>0</v>
      </c>
      <c r="E370" s="1381"/>
      <c r="F370" s="1381"/>
      <c r="G370" s="1381"/>
      <c r="H370" s="129"/>
      <c r="O370" s="220"/>
    </row>
    <row r="371" spans="1:15" ht="15.75" thickBot="1" x14ac:dyDescent="0.3">
      <c r="A371" s="376"/>
      <c r="B371" s="72" t="s">
        <v>157</v>
      </c>
      <c r="C371" s="73"/>
      <c r="D371" s="332">
        <f>G363</f>
        <v>2507.7600000000002</v>
      </c>
      <c r="E371" s="1381"/>
      <c r="F371" s="1381"/>
      <c r="G371" s="1381"/>
      <c r="H371" s="129"/>
      <c r="O371" s="220"/>
    </row>
    <row r="372" spans="1:15" ht="15.75" thickBot="1" x14ac:dyDescent="0.3">
      <c r="A372" s="376"/>
      <c r="B372" s="72" t="s">
        <v>158</v>
      </c>
      <c r="C372" s="73"/>
      <c r="D372" s="332">
        <f>G367</f>
        <v>0</v>
      </c>
      <c r="E372" s="1381"/>
      <c r="F372" s="1381"/>
      <c r="G372" s="1381"/>
      <c r="H372" s="129"/>
      <c r="O372" s="220"/>
    </row>
    <row r="373" spans="1:15" ht="15.75" thickBot="1" x14ac:dyDescent="0.3">
      <c r="A373" s="376"/>
      <c r="B373" s="72" t="s">
        <v>159</v>
      </c>
      <c r="C373" s="74">
        <f>$J$5</f>
        <v>157.27000000000001</v>
      </c>
      <c r="D373" s="332">
        <f>+ROUND((D370*C373),2)/100</f>
        <v>0</v>
      </c>
      <c r="E373" s="1381"/>
      <c r="F373" s="1381"/>
      <c r="G373" s="1381"/>
      <c r="H373" s="129"/>
      <c r="O373" s="220"/>
    </row>
    <row r="374" spans="1:15" ht="15.75" thickBot="1" x14ac:dyDescent="0.3">
      <c r="A374" s="376"/>
      <c r="B374" s="72" t="s">
        <v>160</v>
      </c>
      <c r="C374" s="75"/>
      <c r="D374" s="333">
        <f>+SUM(D370:D373)</f>
        <v>2507.7600000000002</v>
      </c>
      <c r="E374" s="1381"/>
      <c r="F374" s="1381"/>
      <c r="G374" s="1381"/>
      <c r="H374" s="129"/>
      <c r="O374" s="220"/>
    </row>
    <row r="375" spans="1:15" ht="15.75" customHeight="1" thickBot="1" x14ac:dyDescent="0.3">
      <c r="A375" s="376"/>
      <c r="B375" s="72" t="s">
        <v>161</v>
      </c>
      <c r="C375" s="73"/>
      <c r="D375" s="332" t="s">
        <v>162</v>
      </c>
      <c r="E375" s="1382" t="s">
        <v>163</v>
      </c>
      <c r="F375" s="1382"/>
      <c r="G375" s="1382"/>
      <c r="H375" s="129"/>
      <c r="O375" s="220"/>
    </row>
    <row r="376" spans="1:15" ht="15.75" thickBot="1" x14ac:dyDescent="0.3">
      <c r="A376" s="376"/>
      <c r="B376" s="76" t="s">
        <v>164</v>
      </c>
      <c r="C376" s="77"/>
      <c r="D376" s="334">
        <f>+SUM(D374:D375)</f>
        <v>2507.7600000000002</v>
      </c>
      <c r="E376" s="1382"/>
      <c r="F376" s="1382"/>
      <c r="G376" s="1382"/>
      <c r="H376" s="129"/>
      <c r="O376" s="220"/>
    </row>
    <row r="377" spans="1:15" ht="15.75" thickBot="1" x14ac:dyDescent="0.3">
      <c r="A377" s="376"/>
      <c r="B377" s="78" t="s">
        <v>165</v>
      </c>
      <c r="C377" s="79">
        <f>$I$5</f>
        <v>28.49</v>
      </c>
      <c r="D377" s="335">
        <f>ROUND((D376*C377),2)/100</f>
        <v>714.46</v>
      </c>
      <c r="E377" s="1382"/>
      <c r="F377" s="1382"/>
      <c r="G377" s="1382"/>
      <c r="H377" s="129"/>
      <c r="O377" s="220"/>
    </row>
    <row r="378" spans="1:15" ht="15.75" thickBot="1" x14ac:dyDescent="0.3">
      <c r="A378" s="376"/>
      <c r="B378" s="80" t="s">
        <v>166</v>
      </c>
      <c r="C378" s="81"/>
      <c r="D378" s="336">
        <f>+SUM(D376:D377)</f>
        <v>3222.22</v>
      </c>
      <c r="E378" s="82"/>
      <c r="F378" s="337">
        <f>D378</f>
        <v>3222.22</v>
      </c>
      <c r="G378" s="35"/>
      <c r="H378" s="129"/>
      <c r="I378" s="33"/>
      <c r="J378" s="33"/>
      <c r="K378" s="33"/>
      <c r="O378" s="220"/>
    </row>
    <row r="379" spans="1:15" ht="14.25" customHeight="1" x14ac:dyDescent="0.25">
      <c r="A379" s="376"/>
      <c r="B379" s="28"/>
      <c r="C379" s="28"/>
      <c r="D379" s="28"/>
      <c r="E379" s="28"/>
      <c r="F379" s="28"/>
      <c r="G379" s="28"/>
      <c r="H379" s="159"/>
      <c r="I379" s="33"/>
      <c r="J379" s="33"/>
      <c r="K379" s="33"/>
      <c r="O379" s="220"/>
    </row>
    <row r="380" spans="1:15" ht="14.25" customHeight="1" thickBot="1" x14ac:dyDescent="0.3">
      <c r="A380" s="376"/>
      <c r="B380" s="28"/>
      <c r="C380" s="28"/>
      <c r="D380" s="28"/>
      <c r="E380" s="28"/>
      <c r="F380" s="28"/>
      <c r="G380" s="28"/>
      <c r="H380" s="129"/>
      <c r="I380" s="33"/>
      <c r="J380" s="33"/>
      <c r="K380" s="33"/>
      <c r="O380" s="220"/>
    </row>
    <row r="381" spans="1:15" x14ac:dyDescent="0.25">
      <c r="A381" s="376"/>
      <c r="B381" s="1383" t="s">
        <v>131</v>
      </c>
      <c r="C381" s="1383"/>
      <c r="D381" s="1383"/>
      <c r="E381" s="1383"/>
      <c r="F381" s="1383"/>
      <c r="G381" s="1383"/>
      <c r="H381" s="129"/>
      <c r="I381" s="33"/>
      <c r="J381" s="33"/>
      <c r="K381" s="33"/>
      <c r="O381" s="220"/>
    </row>
    <row r="382" spans="1:15" ht="15.75" thickBot="1" x14ac:dyDescent="0.3">
      <c r="A382" s="376"/>
      <c r="B382" s="1384" t="str">
        <f>$I$3</f>
        <v>Urbanização da Orla de Piúma - Município de Piúma / ES</v>
      </c>
      <c r="C382" s="1385"/>
      <c r="D382" s="1385"/>
      <c r="E382" s="1385"/>
      <c r="F382" s="1385"/>
      <c r="G382" s="1386"/>
      <c r="H382" s="129"/>
      <c r="I382" s="33"/>
      <c r="J382" s="33"/>
      <c r="K382" s="33"/>
      <c r="O382" s="220"/>
    </row>
    <row r="383" spans="1:15" ht="15.75" thickBot="1" x14ac:dyDescent="0.3">
      <c r="A383" s="376"/>
      <c r="B383" s="34" t="s">
        <v>132</v>
      </c>
      <c r="C383" s="34" t="s">
        <v>133</v>
      </c>
      <c r="D383" s="1381" t="s">
        <v>134</v>
      </c>
      <c r="E383" s="1381"/>
      <c r="F383" s="131" t="s">
        <v>275</v>
      </c>
      <c r="G383" s="35" t="s">
        <v>135</v>
      </c>
      <c r="H383" s="129"/>
      <c r="I383" s="31"/>
      <c r="J383" s="31"/>
      <c r="K383" s="33"/>
      <c r="O383" s="220"/>
    </row>
    <row r="384" spans="1:15" ht="15.75" thickBot="1" x14ac:dyDescent="0.3">
      <c r="A384" s="376"/>
      <c r="B384" s="36" t="s">
        <v>202</v>
      </c>
      <c r="C384" s="37" t="s">
        <v>98</v>
      </c>
      <c r="D384" s="1381" t="s">
        <v>5</v>
      </c>
      <c r="E384" s="1381"/>
      <c r="F384" s="144" t="s">
        <v>192</v>
      </c>
      <c r="G384" s="38">
        <f>$K$5</f>
        <v>44501</v>
      </c>
      <c r="H384" s="129"/>
      <c r="I384" s="39"/>
      <c r="J384" s="31"/>
      <c r="K384" s="40"/>
      <c r="O384" s="220"/>
    </row>
    <row r="385" spans="1:15" ht="3.75" customHeight="1" thickBot="1" x14ac:dyDescent="0.3">
      <c r="A385" s="376"/>
      <c r="B385" s="1382"/>
      <c r="C385" s="1382"/>
      <c r="D385" s="1382"/>
      <c r="E385" s="1382"/>
      <c r="F385" s="1382"/>
      <c r="G385" s="1382"/>
      <c r="H385" s="129"/>
      <c r="I385" s="33"/>
      <c r="J385" s="33"/>
      <c r="K385" s="33"/>
      <c r="O385" s="220"/>
    </row>
    <row r="386" spans="1:15" x14ac:dyDescent="0.25">
      <c r="A386" s="376"/>
      <c r="B386" s="41" t="s">
        <v>139</v>
      </c>
      <c r="C386" s="42" t="s">
        <v>140</v>
      </c>
      <c r="D386" s="42" t="s">
        <v>141</v>
      </c>
      <c r="E386" s="42" t="s">
        <v>142</v>
      </c>
      <c r="F386" s="42" t="s">
        <v>143</v>
      </c>
      <c r="G386" s="43" t="s">
        <v>144</v>
      </c>
      <c r="H386" s="129"/>
      <c r="O386" s="220"/>
    </row>
    <row r="387" spans="1:15" x14ac:dyDescent="0.25">
      <c r="A387" s="377">
        <v>10139</v>
      </c>
      <c r="B387" s="44" t="str">
        <f>VLOOKUP(A387,Insumos!$A$10:$F$3462,2,FALSE)</f>
        <v>PEDREIRO - (OFICIAL - SINDUSCON)</v>
      </c>
      <c r="C387" s="45" t="str">
        <f>VLOOKUP(A387,Insumos!$A$10:$F$3462,3,FALSE)</f>
        <v>H</v>
      </c>
      <c r="D387" s="46">
        <v>0.6</v>
      </c>
      <c r="E387" s="329">
        <f>VLOOKUP(A387,Insumos!$A$10:$F$3462,4,FALSE)</f>
        <v>7.43</v>
      </c>
      <c r="F387" s="329">
        <f>ROUND((D387*E387),2)</f>
        <v>4.46</v>
      </c>
      <c r="G387" s="47"/>
      <c r="H387" s="129"/>
      <c r="O387" s="220"/>
    </row>
    <row r="388" spans="1:15" x14ac:dyDescent="0.25">
      <c r="A388" s="377">
        <v>10146</v>
      </c>
      <c r="B388" s="44" t="str">
        <f>VLOOKUP(A388,Insumos!$A$10:$F$3462,2,FALSE)</f>
        <v>SERVENTE (AUXILIAR DE OBRAS - SINDUSCON)</v>
      </c>
      <c r="C388" s="45" t="str">
        <f>VLOOKUP(A388,Insumos!$A$10:$F$3462,3,FALSE)</f>
        <v>H</v>
      </c>
      <c r="D388" s="46">
        <v>0.5</v>
      </c>
      <c r="E388" s="329">
        <f>VLOOKUP(A388,Insumos!$A$10:$F$3462,4,FALSE)</f>
        <v>5.46</v>
      </c>
      <c r="F388" s="329">
        <f>ROUND((D388*E388),2)</f>
        <v>2.73</v>
      </c>
      <c r="G388" s="47"/>
      <c r="H388" s="129"/>
      <c r="O388" s="220"/>
    </row>
    <row r="389" spans="1:15" x14ac:dyDescent="0.25">
      <c r="A389" s="376"/>
      <c r="B389" s="48"/>
      <c r="C389" s="45"/>
      <c r="D389" s="49"/>
      <c r="E389" s="329"/>
      <c r="F389" s="329"/>
      <c r="G389" s="47"/>
      <c r="H389" s="129"/>
      <c r="O389" s="220"/>
    </row>
    <row r="390" spans="1:15" x14ac:dyDescent="0.25">
      <c r="A390" s="376"/>
      <c r="B390" s="50" t="s">
        <v>145</v>
      </c>
      <c r="C390" s="51"/>
      <c r="D390" s="52"/>
      <c r="E390" s="329"/>
      <c r="F390" s="353"/>
      <c r="G390" s="338">
        <f>+SUM(F387:F389)</f>
        <v>7.19</v>
      </c>
      <c r="H390" s="129"/>
      <c r="O390" s="220"/>
    </row>
    <row r="391" spans="1:15" x14ac:dyDescent="0.25">
      <c r="A391" s="376"/>
      <c r="B391" s="48" t="s">
        <v>146</v>
      </c>
      <c r="C391" s="55"/>
      <c r="D391" s="56"/>
      <c r="E391" s="329"/>
      <c r="F391" s="354"/>
      <c r="G391" s="58" t="s">
        <v>147</v>
      </c>
      <c r="H391" s="129"/>
      <c r="O391" s="220"/>
    </row>
    <row r="392" spans="1:15" ht="26.25" x14ac:dyDescent="0.25">
      <c r="A392" s="380">
        <v>120101</v>
      </c>
      <c r="B392" s="44" t="s">
        <v>41</v>
      </c>
      <c r="C392" s="45" t="s">
        <v>5</v>
      </c>
      <c r="D392" s="46">
        <v>1</v>
      </c>
      <c r="E392" s="329">
        <v>5.69</v>
      </c>
      <c r="F392" s="329">
        <f>ROUND((D392*E392),2)</f>
        <v>5.69</v>
      </c>
      <c r="G392" s="47"/>
      <c r="H392" s="129"/>
      <c r="O392" s="220"/>
    </row>
    <row r="393" spans="1:15" ht="26.25" x14ac:dyDescent="0.25">
      <c r="A393" s="352">
        <v>120301</v>
      </c>
      <c r="B393" s="44" t="s">
        <v>42</v>
      </c>
      <c r="C393" s="45" t="s">
        <v>5</v>
      </c>
      <c r="D393" s="46">
        <v>1</v>
      </c>
      <c r="E393" s="329">
        <v>27.76</v>
      </c>
      <c r="F393" s="329">
        <f>ROUND((D393*E393),2)</f>
        <v>27.76</v>
      </c>
      <c r="G393" s="47"/>
      <c r="H393" s="129"/>
      <c r="O393" s="220"/>
    </row>
    <row r="394" spans="1:15" ht="39" x14ac:dyDescent="0.25">
      <c r="A394" s="352" t="s">
        <v>429</v>
      </c>
      <c r="B394" s="44" t="s">
        <v>430</v>
      </c>
      <c r="C394" s="45" t="s">
        <v>6</v>
      </c>
      <c r="D394" s="59">
        <v>0.01</v>
      </c>
      <c r="E394" s="329">
        <v>447.68</v>
      </c>
      <c r="F394" s="329">
        <f>ROUND((D394*E394),2)</f>
        <v>4.4800000000000004</v>
      </c>
      <c r="G394" s="47"/>
      <c r="H394" s="129"/>
      <c r="O394" s="220"/>
    </row>
    <row r="395" spans="1:15" ht="39" x14ac:dyDescent="0.25">
      <c r="A395" s="352">
        <v>10734</v>
      </c>
      <c r="B395" s="230" t="str">
        <f>VLOOKUP(A395,Insumos!$A$10:$F$3462,2,FALSE)</f>
        <v>PEDRA GRANITICA, SERRADA, TIPO MIRACEMA, MADEIRA, PADUANA, RACHINHA, SANTA ISABEL OU OUTRAS SIMILARES, *11,5 X *23 CM, E= *1,0 A *2,0 CM</v>
      </c>
      <c r="C395" s="231" t="str">
        <f>VLOOKUP(A395,Insumos!$A$10:$F$3462,3,FALSE)</f>
        <v>m2</v>
      </c>
      <c r="D395" s="61">
        <v>1</v>
      </c>
      <c r="E395" s="329">
        <f>VLOOKUP(A395,Insumos!$A$10:$F$3462,4,FALSE)</f>
        <v>66.14</v>
      </c>
      <c r="F395" s="329">
        <f>ROUND((D395*E395),2)</f>
        <v>66.14</v>
      </c>
      <c r="G395" s="47"/>
      <c r="H395" s="129"/>
      <c r="O395" s="220"/>
    </row>
    <row r="396" spans="1:15" x14ac:dyDescent="0.25">
      <c r="A396" s="376"/>
      <c r="B396" s="50" t="s">
        <v>148</v>
      </c>
      <c r="C396" s="51"/>
      <c r="D396" s="62"/>
      <c r="E396" s="63"/>
      <c r="F396" s="63"/>
      <c r="G396" s="338">
        <f>+SUM(F392:F395)</f>
        <v>104.07</v>
      </c>
      <c r="H396" s="129"/>
      <c r="O396" s="220"/>
    </row>
    <row r="397" spans="1:15" x14ac:dyDescent="0.25">
      <c r="A397" s="376"/>
      <c r="B397" s="48" t="s">
        <v>149</v>
      </c>
      <c r="C397" s="55"/>
      <c r="D397" s="64"/>
      <c r="E397" s="55"/>
      <c r="F397" s="55"/>
      <c r="G397" s="58" t="s">
        <v>150</v>
      </c>
      <c r="H397" s="129"/>
      <c r="O397" s="220"/>
    </row>
    <row r="398" spans="1:15" x14ac:dyDescent="0.25">
      <c r="A398" s="376"/>
      <c r="B398" s="48" t="s">
        <v>98</v>
      </c>
      <c r="C398" s="45"/>
      <c r="D398" s="59"/>
      <c r="E398" s="45"/>
      <c r="F398" s="45"/>
      <c r="G398" s="47"/>
      <c r="H398" s="129"/>
      <c r="O398" s="220"/>
    </row>
    <row r="399" spans="1:15" x14ac:dyDescent="0.25">
      <c r="A399" s="376"/>
      <c r="B399" s="48" t="s">
        <v>98</v>
      </c>
      <c r="C399" s="45"/>
      <c r="D399" s="59"/>
      <c r="E399" s="45"/>
      <c r="F399" s="45"/>
      <c r="G399" s="47"/>
      <c r="H399" s="129"/>
      <c r="O399" s="220"/>
    </row>
    <row r="400" spans="1:15" ht="15.75" thickBot="1" x14ac:dyDescent="0.3">
      <c r="A400" s="376"/>
      <c r="B400" s="65" t="s">
        <v>151</v>
      </c>
      <c r="C400" s="66"/>
      <c r="D400" s="67"/>
      <c r="E400" s="66"/>
      <c r="F400" s="66"/>
      <c r="G400" s="68">
        <f>+SUM(F398:F399)</f>
        <v>0</v>
      </c>
      <c r="H400" s="129"/>
      <c r="O400" s="220"/>
    </row>
    <row r="401" spans="1:15" ht="4.5" customHeight="1" thickBot="1" x14ac:dyDescent="0.3">
      <c r="A401" s="376"/>
      <c r="B401" s="1382"/>
      <c r="C401" s="1382"/>
      <c r="D401" s="1382"/>
      <c r="E401" s="1382"/>
      <c r="F401" s="1382"/>
      <c r="G401" s="1382"/>
      <c r="H401" s="129"/>
      <c r="O401" s="220"/>
    </row>
    <row r="402" spans="1:15" ht="15.75" thickBot="1" x14ac:dyDescent="0.3">
      <c r="A402" s="376"/>
      <c r="B402" s="69" t="s">
        <v>152</v>
      </c>
      <c r="C402" s="70" t="s">
        <v>4415</v>
      </c>
      <c r="D402" s="71" t="s">
        <v>154</v>
      </c>
      <c r="E402" s="1381" t="s">
        <v>155</v>
      </c>
      <c r="F402" s="1381"/>
      <c r="G402" s="1381"/>
      <c r="H402" s="129"/>
      <c r="O402" s="220"/>
    </row>
    <row r="403" spans="1:15" ht="15.75" thickBot="1" x14ac:dyDescent="0.3">
      <c r="A403" s="376"/>
      <c r="B403" s="72" t="s">
        <v>156</v>
      </c>
      <c r="C403" s="73"/>
      <c r="D403" s="332">
        <f>G390</f>
        <v>7.19</v>
      </c>
      <c r="E403" s="1381"/>
      <c r="F403" s="1381"/>
      <c r="G403" s="1381"/>
      <c r="H403" s="129"/>
      <c r="O403" s="220"/>
    </row>
    <row r="404" spans="1:15" ht="15.75" thickBot="1" x14ac:dyDescent="0.3">
      <c r="A404" s="376"/>
      <c r="B404" s="72" t="s">
        <v>157</v>
      </c>
      <c r="C404" s="73"/>
      <c r="D404" s="332">
        <f>G396</f>
        <v>104.07</v>
      </c>
      <c r="E404" s="1381"/>
      <c r="F404" s="1381"/>
      <c r="G404" s="1381"/>
      <c r="H404" s="129"/>
      <c r="O404" s="220"/>
    </row>
    <row r="405" spans="1:15" ht="15.75" thickBot="1" x14ac:dyDescent="0.3">
      <c r="A405" s="376"/>
      <c r="B405" s="72" t="s">
        <v>158</v>
      </c>
      <c r="C405" s="73"/>
      <c r="D405" s="332">
        <f>G400</f>
        <v>0</v>
      </c>
      <c r="E405" s="1381"/>
      <c r="F405" s="1381"/>
      <c r="G405" s="1381"/>
      <c r="H405" s="129"/>
      <c r="O405" s="220"/>
    </row>
    <row r="406" spans="1:15" ht="15.75" thickBot="1" x14ac:dyDescent="0.3">
      <c r="A406" s="376"/>
      <c r="B406" s="72" t="s">
        <v>159</v>
      </c>
      <c r="C406" s="74">
        <f>$J$5</f>
        <v>157.27000000000001</v>
      </c>
      <c r="D406" s="332">
        <f>+ROUND((D403*C406),2)/100</f>
        <v>11.31</v>
      </c>
      <c r="E406" s="1381"/>
      <c r="F406" s="1381"/>
      <c r="G406" s="1381"/>
      <c r="H406" s="129"/>
      <c r="O406" s="220"/>
    </row>
    <row r="407" spans="1:15" ht="15.75" thickBot="1" x14ac:dyDescent="0.3">
      <c r="A407" s="376"/>
      <c r="B407" s="72" t="s">
        <v>160</v>
      </c>
      <c r="C407" s="75"/>
      <c r="D407" s="333">
        <f>+SUM(D403:D406)</f>
        <v>122.57</v>
      </c>
      <c r="E407" s="1381"/>
      <c r="F407" s="1381"/>
      <c r="G407" s="1381"/>
      <c r="H407" s="129"/>
      <c r="O407" s="220"/>
    </row>
    <row r="408" spans="1:15" ht="15.75" customHeight="1" thickBot="1" x14ac:dyDescent="0.3">
      <c r="A408" s="376"/>
      <c r="B408" s="72" t="s">
        <v>161</v>
      </c>
      <c r="C408" s="73"/>
      <c r="D408" s="332" t="s">
        <v>162</v>
      </c>
      <c r="E408" s="1382" t="s">
        <v>163</v>
      </c>
      <c r="F408" s="1382"/>
      <c r="G408" s="1382"/>
      <c r="H408" s="129"/>
      <c r="O408" s="220"/>
    </row>
    <row r="409" spans="1:15" ht="15.75" thickBot="1" x14ac:dyDescent="0.3">
      <c r="A409" s="376"/>
      <c r="B409" s="76" t="s">
        <v>164</v>
      </c>
      <c r="C409" s="77"/>
      <c r="D409" s="334">
        <f>+SUM(D407:D408)</f>
        <v>122.57</v>
      </c>
      <c r="E409" s="1382"/>
      <c r="F409" s="1382"/>
      <c r="G409" s="1382"/>
      <c r="H409" s="129"/>
      <c r="O409" s="220"/>
    </row>
    <row r="410" spans="1:15" ht="15.75" thickBot="1" x14ac:dyDescent="0.3">
      <c r="A410" s="376"/>
      <c r="B410" s="78" t="s">
        <v>165</v>
      </c>
      <c r="C410" s="79">
        <f>$I$5</f>
        <v>28.49</v>
      </c>
      <c r="D410" s="335">
        <f>ROUND((D409*C410),2)/100</f>
        <v>34.92</v>
      </c>
      <c r="E410" s="1382"/>
      <c r="F410" s="1382"/>
      <c r="G410" s="1382"/>
      <c r="H410" s="129"/>
      <c r="O410" s="220"/>
    </row>
    <row r="411" spans="1:15" ht="15.75" thickBot="1" x14ac:dyDescent="0.3">
      <c r="A411" s="376"/>
      <c r="B411" s="80" t="s">
        <v>166</v>
      </c>
      <c r="C411" s="81"/>
      <c r="D411" s="336">
        <f>+SUM(D409:D410)</f>
        <v>157.49</v>
      </c>
      <c r="E411" s="82"/>
      <c r="F411" s="337">
        <f>D411</f>
        <v>157.49</v>
      </c>
      <c r="G411" s="35"/>
      <c r="H411" s="129"/>
      <c r="I411" s="33"/>
      <c r="J411" s="33"/>
      <c r="K411" s="33"/>
      <c r="O411" s="220"/>
    </row>
    <row r="412" spans="1:15" ht="14.25" customHeight="1" x14ac:dyDescent="0.25">
      <c r="A412" s="376"/>
      <c r="B412" s="28"/>
      <c r="C412" s="28"/>
      <c r="D412" s="28"/>
      <c r="E412" s="28"/>
      <c r="F412" s="28"/>
      <c r="G412" s="28"/>
      <c r="H412" s="129"/>
      <c r="I412" s="33"/>
      <c r="J412" s="33"/>
      <c r="K412" s="33"/>
      <c r="O412" s="220"/>
    </row>
    <row r="413" spans="1:15" ht="14.25" customHeight="1" thickBot="1" x14ac:dyDescent="0.3">
      <c r="A413" s="376"/>
      <c r="B413" s="28"/>
      <c r="C413" s="28"/>
      <c r="D413" s="28"/>
      <c r="E413" s="28"/>
      <c r="F413" s="28"/>
      <c r="G413" s="28"/>
      <c r="H413" s="129"/>
      <c r="I413" s="33"/>
      <c r="J413" s="33"/>
      <c r="K413" s="33"/>
      <c r="O413" s="220"/>
    </row>
    <row r="414" spans="1:15" x14ac:dyDescent="0.25">
      <c r="A414" s="376"/>
      <c r="B414" s="1383" t="s">
        <v>131</v>
      </c>
      <c r="C414" s="1383"/>
      <c r="D414" s="1383"/>
      <c r="E414" s="1383"/>
      <c r="F414" s="1383"/>
      <c r="G414" s="1383"/>
      <c r="H414" s="129"/>
      <c r="I414" s="33"/>
      <c r="J414" s="33"/>
      <c r="K414" s="33"/>
      <c r="O414" s="220"/>
    </row>
    <row r="415" spans="1:15" ht="15.75" thickBot="1" x14ac:dyDescent="0.3">
      <c r="A415" s="376"/>
      <c r="B415" s="1384" t="str">
        <f>$I$3</f>
        <v>Urbanização da Orla de Piúma - Município de Piúma / ES</v>
      </c>
      <c r="C415" s="1385"/>
      <c r="D415" s="1385"/>
      <c r="E415" s="1385"/>
      <c r="F415" s="1385"/>
      <c r="G415" s="1386"/>
      <c r="H415" s="129"/>
      <c r="I415" s="33"/>
      <c r="J415" s="33"/>
      <c r="K415" s="33"/>
      <c r="O415" s="220"/>
    </row>
    <row r="416" spans="1:15" ht="15.75" thickBot="1" x14ac:dyDescent="0.3">
      <c r="A416" s="376"/>
      <c r="B416" s="34" t="s">
        <v>132</v>
      </c>
      <c r="C416" s="34" t="s">
        <v>133</v>
      </c>
      <c r="D416" s="1381" t="s">
        <v>134</v>
      </c>
      <c r="E416" s="1381"/>
      <c r="F416" s="131" t="s">
        <v>275</v>
      </c>
      <c r="G416" s="35" t="s">
        <v>135</v>
      </c>
      <c r="H416" s="129"/>
      <c r="I416" s="31"/>
      <c r="J416" s="31"/>
      <c r="K416" s="33"/>
      <c r="O416" s="220"/>
    </row>
    <row r="417" spans="1:15" ht="52.5" thickBot="1" x14ac:dyDescent="0.3">
      <c r="A417" s="376"/>
      <c r="B417" s="132" t="s">
        <v>319</v>
      </c>
      <c r="C417" s="37" t="s">
        <v>98</v>
      </c>
      <c r="D417" s="1381" t="s">
        <v>5</v>
      </c>
      <c r="E417" s="1381"/>
      <c r="F417" s="144" t="s">
        <v>195</v>
      </c>
      <c r="G417" s="38">
        <f>$K$5</f>
        <v>44501</v>
      </c>
      <c r="H417" s="129"/>
      <c r="I417" s="39"/>
      <c r="J417" s="31"/>
      <c r="K417" s="40"/>
      <c r="O417" s="220"/>
    </row>
    <row r="418" spans="1:15" ht="3.75" customHeight="1" thickBot="1" x14ac:dyDescent="0.3">
      <c r="A418" s="376"/>
      <c r="B418" s="1382"/>
      <c r="C418" s="1382"/>
      <c r="D418" s="1382"/>
      <c r="E418" s="1382"/>
      <c r="F418" s="1382"/>
      <c r="G418" s="1382"/>
      <c r="H418" s="129"/>
      <c r="I418" s="33"/>
      <c r="J418" s="33"/>
      <c r="K418" s="33"/>
      <c r="O418" s="220"/>
    </row>
    <row r="419" spans="1:15" x14ac:dyDescent="0.25">
      <c r="A419" s="376"/>
      <c r="B419" s="41" t="s">
        <v>139</v>
      </c>
      <c r="C419" s="42" t="s">
        <v>140</v>
      </c>
      <c r="D419" s="42" t="s">
        <v>141</v>
      </c>
      <c r="E419" s="42" t="s">
        <v>142</v>
      </c>
      <c r="F419" s="42" t="s">
        <v>143</v>
      </c>
      <c r="G419" s="43" t="s">
        <v>144</v>
      </c>
      <c r="H419" s="129"/>
      <c r="O419" s="220"/>
    </row>
    <row r="420" spans="1:15" x14ac:dyDescent="0.25">
      <c r="A420" s="376">
        <v>10128</v>
      </c>
      <c r="B420" s="44" t="str">
        <f>VLOOKUP(A420,Insumos!$A$10:$F$3462,2,FALSE)</f>
        <v>LADRILHISTA - (OFICIAL - SINDUSCON)</v>
      </c>
      <c r="C420" s="45" t="str">
        <f>VLOOKUP(A420,Insumos!$A$10:$F$3462,3,FALSE)</f>
        <v>H</v>
      </c>
      <c r="D420" s="83">
        <v>0.5</v>
      </c>
      <c r="E420" s="329">
        <f>VLOOKUP(A420,Insumos!$A$10:$F$3462,4,FALSE)</f>
        <v>7.43</v>
      </c>
      <c r="F420" s="329">
        <f>ROUND((D420*E420),2)</f>
        <v>3.72</v>
      </c>
      <c r="G420" s="355"/>
      <c r="H420" s="129"/>
      <c r="O420" s="220"/>
    </row>
    <row r="421" spans="1:15" x14ac:dyDescent="0.25">
      <c r="A421" s="376">
        <v>10146</v>
      </c>
      <c r="B421" s="44" t="str">
        <f>VLOOKUP(A421,Insumos!$A$10:$F$3462,2,FALSE)</f>
        <v>SERVENTE (AUXILIAR DE OBRAS - SINDUSCON)</v>
      </c>
      <c r="C421" s="45" t="str">
        <f>VLOOKUP(A421,Insumos!$A$10:$F$3462,3,FALSE)</f>
        <v>H</v>
      </c>
      <c r="D421" s="83">
        <v>0.8</v>
      </c>
      <c r="E421" s="329">
        <f>VLOOKUP(A421,Insumos!$A$10:$F$3462,4,FALSE)</f>
        <v>5.46</v>
      </c>
      <c r="F421" s="329">
        <f>ROUND((D421*E421),2)</f>
        <v>4.37</v>
      </c>
      <c r="G421" s="355"/>
      <c r="H421" s="129"/>
      <c r="O421" s="220"/>
    </row>
    <row r="422" spans="1:15" x14ac:dyDescent="0.25">
      <c r="A422" s="376"/>
      <c r="B422" s="50" t="s">
        <v>145</v>
      </c>
      <c r="C422" s="51"/>
      <c r="D422" s="56"/>
      <c r="E422" s="329"/>
      <c r="F422" s="353"/>
      <c r="G422" s="338">
        <f>+SUM(F420:F421)</f>
        <v>8.09</v>
      </c>
      <c r="H422" s="129"/>
      <c r="O422" s="220"/>
    </row>
    <row r="423" spans="1:15" x14ac:dyDescent="0.25">
      <c r="A423" s="376" t="s">
        <v>98</v>
      </c>
      <c r="B423" s="48" t="s">
        <v>146</v>
      </c>
      <c r="C423" s="55"/>
      <c r="D423" s="83" t="s">
        <v>98</v>
      </c>
      <c r="E423" s="45"/>
      <c r="F423" s="57"/>
      <c r="G423" s="58" t="s">
        <v>147</v>
      </c>
      <c r="H423" s="129"/>
      <c r="O423" s="220"/>
    </row>
    <row r="424" spans="1:15" x14ac:dyDescent="0.25">
      <c r="A424" s="376" t="s">
        <v>460</v>
      </c>
      <c r="B424" s="230" t="str">
        <f>VLOOKUP(A424,Insumos!$A$10:$F$3462,2,FALSE)</f>
        <v>Argamassa colante Gail para piso externo</v>
      </c>
      <c r="C424" s="231" t="str">
        <f>VLOOKUP(A424,Insumos!$A$10:$F$3462,3,FALSE)</f>
        <v>kg</v>
      </c>
      <c r="D424" s="83">
        <v>5.5</v>
      </c>
      <c r="E424" s="329">
        <f>VLOOKUP(A424,Insumos!$A$10:$F$3462,4,FALSE)</f>
        <v>3.49</v>
      </c>
      <c r="F424" s="329">
        <f>ROUND((D424*E424),2)</f>
        <v>19.2</v>
      </c>
      <c r="G424" s="355"/>
      <c r="H424" s="129"/>
      <c r="J424" s="159" t="s">
        <v>490</v>
      </c>
      <c r="O424" s="220"/>
    </row>
    <row r="425" spans="1:15" ht="51.75" x14ac:dyDescent="0.25">
      <c r="A425" s="376" t="s">
        <v>457</v>
      </c>
      <c r="B425" s="230" t="str">
        <f>VLOOKUP(A425,Insumos!$A$10:$F$3462,2,FALSE)</f>
        <v>Placa Extrudada Gail - Linha Arquitetura Natural - Amêndoa Dimensão: 240X116X12 mm Características: Placa cerâmica extrudada, não esmaltada, monoqueima, com garras cônicas (prismáticas) de fixação, antiderrapante.  Ref. 1077-1230</v>
      </c>
      <c r="C425" s="231" t="str">
        <f>VLOOKUP(A425,Insumos!$A$10:$F$3462,3,FALSE)</f>
        <v>m2</v>
      </c>
      <c r="D425" s="83">
        <v>1.05</v>
      </c>
      <c r="E425" s="329">
        <f>VLOOKUP(A425,Insumos!$A$10:$F$3462,4,FALSE)</f>
        <v>89.99</v>
      </c>
      <c r="F425" s="329">
        <f>ROUND((D425*E425),2)</f>
        <v>94.49</v>
      </c>
      <c r="G425" s="355"/>
      <c r="H425" s="129"/>
      <c r="J425" s="220" t="s">
        <v>490</v>
      </c>
      <c r="O425" s="220"/>
    </row>
    <row r="426" spans="1:15" x14ac:dyDescent="0.25">
      <c r="A426" s="376" t="s">
        <v>461</v>
      </c>
      <c r="B426" s="230" t="str">
        <f>VLOOKUP(A426,Insumos!$A$10:$F$3462,2,FALSE)</f>
        <v>Rejunte cimentício Gail para piso externo</v>
      </c>
      <c r="C426" s="231" t="str">
        <f>VLOOKUP(A426,Insumos!$A$10:$F$3462,3,FALSE)</f>
        <v>kg</v>
      </c>
      <c r="D426" s="59">
        <v>1.8</v>
      </c>
      <c r="E426" s="329">
        <f>VLOOKUP(A426,Insumos!$A$10:$F$3462,4,FALSE)</f>
        <v>4.21</v>
      </c>
      <c r="F426" s="329">
        <f>ROUND((D426*E426),2)</f>
        <v>7.58</v>
      </c>
      <c r="G426" s="355"/>
      <c r="H426" s="129"/>
      <c r="J426" s="220" t="s">
        <v>490</v>
      </c>
      <c r="O426" s="220"/>
    </row>
    <row r="427" spans="1:15" x14ac:dyDescent="0.25">
      <c r="A427" s="376"/>
      <c r="B427" s="48"/>
      <c r="C427" s="45"/>
      <c r="D427" s="61"/>
      <c r="E427" s="329"/>
      <c r="F427" s="329"/>
      <c r="G427" s="355"/>
      <c r="H427" s="129"/>
      <c r="O427" s="220"/>
    </row>
    <row r="428" spans="1:15" x14ac:dyDescent="0.25">
      <c r="A428" s="376"/>
      <c r="B428" s="50" t="s">
        <v>148</v>
      </c>
      <c r="C428" s="51"/>
      <c r="D428" s="62"/>
      <c r="E428" s="353"/>
      <c r="F428" s="353"/>
      <c r="G428" s="338">
        <f>+SUM(F424:F427)</f>
        <v>121.27</v>
      </c>
      <c r="H428" s="129"/>
      <c r="O428" s="220"/>
    </row>
    <row r="429" spans="1:15" x14ac:dyDescent="0.25">
      <c r="A429" s="376"/>
      <c r="B429" s="48" t="s">
        <v>149</v>
      </c>
      <c r="C429" s="55"/>
      <c r="D429" s="64"/>
      <c r="E429" s="55"/>
      <c r="F429" s="55"/>
      <c r="G429" s="58" t="s">
        <v>150</v>
      </c>
      <c r="H429" s="129"/>
      <c r="O429" s="220"/>
    </row>
    <row r="430" spans="1:15" x14ac:dyDescent="0.25">
      <c r="A430" s="376"/>
      <c r="B430" s="48" t="s">
        <v>98</v>
      </c>
      <c r="C430" s="45"/>
      <c r="D430" s="59"/>
      <c r="E430" s="45"/>
      <c r="F430" s="45"/>
      <c r="G430" s="47"/>
      <c r="H430" s="129"/>
      <c r="O430" s="220"/>
    </row>
    <row r="431" spans="1:15" ht="15.75" thickBot="1" x14ac:dyDescent="0.3">
      <c r="A431" s="376"/>
      <c r="B431" s="65" t="s">
        <v>151</v>
      </c>
      <c r="C431" s="66"/>
      <c r="D431" s="67"/>
      <c r="E431" s="66"/>
      <c r="F431" s="66"/>
      <c r="G431" s="68">
        <f>+SUM(F430:F430)</f>
        <v>0</v>
      </c>
      <c r="H431" s="129"/>
      <c r="O431" s="220"/>
    </row>
    <row r="432" spans="1:15" ht="4.5" customHeight="1" thickBot="1" x14ac:dyDescent="0.3">
      <c r="A432" s="376"/>
      <c r="B432" s="1382"/>
      <c r="C432" s="1382"/>
      <c r="D432" s="1382"/>
      <c r="E432" s="1382"/>
      <c r="F432" s="1382"/>
      <c r="G432" s="1382"/>
      <c r="H432" s="129"/>
      <c r="O432" s="220"/>
    </row>
    <row r="433" spans="1:15" ht="15.75" thickBot="1" x14ac:dyDescent="0.3">
      <c r="A433" s="376"/>
      <c r="B433" s="69" t="s">
        <v>152</v>
      </c>
      <c r="C433" s="70" t="s">
        <v>4415</v>
      </c>
      <c r="D433" s="71" t="s">
        <v>154</v>
      </c>
      <c r="E433" s="1381" t="s">
        <v>155</v>
      </c>
      <c r="F433" s="1381"/>
      <c r="G433" s="1381"/>
      <c r="H433" s="129"/>
      <c r="O433" s="220"/>
    </row>
    <row r="434" spans="1:15" ht="15.75" thickBot="1" x14ac:dyDescent="0.3">
      <c r="A434" s="376"/>
      <c r="B434" s="72" t="s">
        <v>156</v>
      </c>
      <c r="C434" s="73"/>
      <c r="D434" s="332">
        <f>G422</f>
        <v>8.09</v>
      </c>
      <c r="E434" s="1381"/>
      <c r="F434" s="1381"/>
      <c r="G434" s="1381"/>
      <c r="H434" s="129"/>
      <c r="O434" s="220"/>
    </row>
    <row r="435" spans="1:15" ht="15.75" thickBot="1" x14ac:dyDescent="0.3">
      <c r="A435" s="376"/>
      <c r="B435" s="72" t="s">
        <v>157</v>
      </c>
      <c r="C435" s="73"/>
      <c r="D435" s="332">
        <f>G428</f>
        <v>121.27</v>
      </c>
      <c r="E435" s="1381"/>
      <c r="F435" s="1381"/>
      <c r="G435" s="1381"/>
      <c r="H435" s="129"/>
      <c r="O435" s="220"/>
    </row>
    <row r="436" spans="1:15" ht="15.75" thickBot="1" x14ac:dyDescent="0.3">
      <c r="A436" s="376"/>
      <c r="B436" s="72" t="s">
        <v>158</v>
      </c>
      <c r="C436" s="73"/>
      <c r="D436" s="332">
        <f>G431</f>
        <v>0</v>
      </c>
      <c r="E436" s="1381"/>
      <c r="F436" s="1381"/>
      <c r="G436" s="1381"/>
      <c r="H436" s="129"/>
      <c r="O436" s="220"/>
    </row>
    <row r="437" spans="1:15" ht="15.75" thickBot="1" x14ac:dyDescent="0.3">
      <c r="A437" s="376"/>
      <c r="B437" s="72" t="s">
        <v>159</v>
      </c>
      <c r="C437" s="74">
        <f>$J$5</f>
        <v>157.27000000000001</v>
      </c>
      <c r="D437" s="332">
        <f>+ROUND((D434*C437),2)/100</f>
        <v>12.72</v>
      </c>
      <c r="E437" s="1381"/>
      <c r="F437" s="1381"/>
      <c r="G437" s="1381"/>
      <c r="H437" s="129"/>
      <c r="O437" s="220"/>
    </row>
    <row r="438" spans="1:15" ht="15.75" thickBot="1" x14ac:dyDescent="0.3">
      <c r="A438" s="376"/>
      <c r="B438" s="72" t="s">
        <v>160</v>
      </c>
      <c r="C438" s="75"/>
      <c r="D438" s="333">
        <f>+SUM(D434:D437)</f>
        <v>142.08000000000001</v>
      </c>
      <c r="E438" s="1381"/>
      <c r="F438" s="1381"/>
      <c r="G438" s="1381"/>
      <c r="H438" s="129"/>
      <c r="O438" s="220"/>
    </row>
    <row r="439" spans="1:15" ht="15.75" customHeight="1" thickBot="1" x14ac:dyDescent="0.3">
      <c r="A439" s="376"/>
      <c r="B439" s="72" t="s">
        <v>161</v>
      </c>
      <c r="C439" s="73"/>
      <c r="D439" s="332" t="s">
        <v>162</v>
      </c>
      <c r="E439" s="1382" t="s">
        <v>163</v>
      </c>
      <c r="F439" s="1382"/>
      <c r="G439" s="1382"/>
      <c r="H439" s="129"/>
      <c r="O439" s="220"/>
    </row>
    <row r="440" spans="1:15" ht="15.75" thickBot="1" x14ac:dyDescent="0.3">
      <c r="A440" s="376"/>
      <c r="B440" s="76" t="s">
        <v>164</v>
      </c>
      <c r="C440" s="77"/>
      <c r="D440" s="334">
        <f>+SUM(D438:D439)</f>
        <v>142.08000000000001</v>
      </c>
      <c r="E440" s="1382"/>
      <c r="F440" s="1382"/>
      <c r="G440" s="1382"/>
      <c r="H440" s="129"/>
      <c r="O440" s="220"/>
    </row>
    <row r="441" spans="1:15" ht="15.75" thickBot="1" x14ac:dyDescent="0.3">
      <c r="A441" s="376"/>
      <c r="B441" s="78" t="s">
        <v>165</v>
      </c>
      <c r="C441" s="79">
        <f>$I$5</f>
        <v>28.49</v>
      </c>
      <c r="D441" s="335">
        <f>ROUND((D440*C441),2)/100</f>
        <v>40.479999999999997</v>
      </c>
      <c r="E441" s="1382"/>
      <c r="F441" s="1382"/>
      <c r="G441" s="1382"/>
      <c r="H441" s="129"/>
      <c r="O441" s="220"/>
    </row>
    <row r="442" spans="1:15" ht="15.75" thickBot="1" x14ac:dyDescent="0.3">
      <c r="A442" s="376"/>
      <c r="B442" s="80" t="s">
        <v>166</v>
      </c>
      <c r="C442" s="81"/>
      <c r="D442" s="336">
        <f>+SUM(D440:D441)</f>
        <v>182.56</v>
      </c>
      <c r="E442" s="82"/>
      <c r="F442" s="337">
        <f>D442</f>
        <v>182.56</v>
      </c>
      <c r="G442" s="35"/>
      <c r="H442" s="129"/>
      <c r="I442" s="33"/>
      <c r="J442" s="33"/>
      <c r="K442" s="33"/>
      <c r="O442" s="220"/>
    </row>
    <row r="443" spans="1:15" ht="14.25" customHeight="1" x14ac:dyDescent="0.25">
      <c r="A443" s="376"/>
      <c r="B443" s="28"/>
      <c r="C443" s="28"/>
      <c r="D443" s="28"/>
      <c r="E443" s="28"/>
      <c r="F443" s="28"/>
      <c r="G443" s="28"/>
      <c r="H443" s="129"/>
      <c r="I443" s="33"/>
      <c r="J443" s="33"/>
      <c r="K443" s="33"/>
      <c r="O443" s="220"/>
    </row>
    <row r="444" spans="1:15" ht="14.25" customHeight="1" thickBot="1" x14ac:dyDescent="0.3">
      <c r="A444" s="376"/>
      <c r="B444" s="28"/>
      <c r="C444" s="28"/>
      <c r="D444" s="28"/>
      <c r="E444" s="28"/>
      <c r="F444" s="28"/>
      <c r="G444" s="28"/>
      <c r="H444" s="129"/>
      <c r="I444" s="33"/>
      <c r="J444" s="33"/>
      <c r="K444" s="33"/>
      <c r="O444" s="220"/>
    </row>
    <row r="445" spans="1:15" x14ac:dyDescent="0.25">
      <c r="A445" s="376"/>
      <c r="B445" s="1383" t="s">
        <v>131</v>
      </c>
      <c r="C445" s="1383"/>
      <c r="D445" s="1383"/>
      <c r="E445" s="1383"/>
      <c r="F445" s="1383"/>
      <c r="G445" s="1383"/>
      <c r="H445" s="129"/>
      <c r="I445" s="33"/>
      <c r="J445" s="33"/>
      <c r="K445" s="33"/>
      <c r="O445" s="220"/>
    </row>
    <row r="446" spans="1:15" ht="15.75" thickBot="1" x14ac:dyDescent="0.3">
      <c r="A446" s="376"/>
      <c r="B446" s="1384" t="str">
        <f>$I$3</f>
        <v>Urbanização da Orla de Piúma - Município de Piúma / ES</v>
      </c>
      <c r="C446" s="1385"/>
      <c r="D446" s="1385"/>
      <c r="E446" s="1385"/>
      <c r="F446" s="1385"/>
      <c r="G446" s="1386"/>
      <c r="H446" s="129"/>
      <c r="I446" s="33"/>
      <c r="J446" s="33"/>
      <c r="K446" s="33"/>
      <c r="O446" s="220"/>
    </row>
    <row r="447" spans="1:15" ht="15.75" thickBot="1" x14ac:dyDescent="0.3">
      <c r="A447" s="376"/>
      <c r="B447" s="34" t="s">
        <v>132</v>
      </c>
      <c r="C447" s="34" t="s">
        <v>133</v>
      </c>
      <c r="D447" s="1381" t="s">
        <v>134</v>
      </c>
      <c r="E447" s="1381"/>
      <c r="F447" s="131" t="s">
        <v>275</v>
      </c>
      <c r="G447" s="35" t="s">
        <v>135</v>
      </c>
      <c r="H447" s="129"/>
      <c r="I447" s="31"/>
      <c r="J447" s="31"/>
      <c r="K447" s="33"/>
      <c r="O447" s="220"/>
    </row>
    <row r="448" spans="1:15" ht="52.5" thickBot="1" x14ac:dyDescent="0.3">
      <c r="A448" s="376"/>
      <c r="B448" s="132" t="s">
        <v>320</v>
      </c>
      <c r="C448" s="37" t="s">
        <v>98</v>
      </c>
      <c r="D448" s="1381" t="s">
        <v>5</v>
      </c>
      <c r="E448" s="1381"/>
      <c r="F448" s="144" t="s">
        <v>196</v>
      </c>
      <c r="G448" s="38">
        <f>$K$5</f>
        <v>44501</v>
      </c>
      <c r="H448" s="129"/>
      <c r="I448" s="39"/>
      <c r="J448" s="31"/>
      <c r="K448" s="40"/>
      <c r="O448" s="220"/>
    </row>
    <row r="449" spans="1:15" ht="3.75" customHeight="1" thickBot="1" x14ac:dyDescent="0.3">
      <c r="A449" s="376"/>
      <c r="B449" s="1382"/>
      <c r="C449" s="1382"/>
      <c r="D449" s="1382"/>
      <c r="E449" s="1382"/>
      <c r="F449" s="1382"/>
      <c r="G449" s="1382"/>
      <c r="H449" s="129"/>
      <c r="I449" s="33"/>
      <c r="J449" s="33"/>
      <c r="K449" s="33"/>
      <c r="O449" s="220"/>
    </row>
    <row r="450" spans="1:15" x14ac:dyDescent="0.25">
      <c r="A450" s="376"/>
      <c r="B450" s="41" t="s">
        <v>139</v>
      </c>
      <c r="C450" s="42" t="s">
        <v>140</v>
      </c>
      <c r="D450" s="42" t="s">
        <v>141</v>
      </c>
      <c r="E450" s="42" t="s">
        <v>142</v>
      </c>
      <c r="F450" s="42" t="s">
        <v>143</v>
      </c>
      <c r="G450" s="43" t="s">
        <v>144</v>
      </c>
      <c r="H450" s="129"/>
      <c r="O450" s="220"/>
    </row>
    <row r="451" spans="1:15" x14ac:dyDescent="0.25">
      <c r="A451" s="376">
        <v>10128</v>
      </c>
      <c r="B451" s="44" t="str">
        <f>VLOOKUP(A451,Insumos!$A$10:$F$3462,2,FALSE)</f>
        <v>LADRILHISTA - (OFICIAL - SINDUSCON)</v>
      </c>
      <c r="C451" s="45" t="str">
        <f>VLOOKUP(A451,Insumos!$A$10:$F$3462,3,FALSE)</f>
        <v>H</v>
      </c>
      <c r="D451" s="83">
        <v>0.5</v>
      </c>
      <c r="E451" s="329">
        <f>VLOOKUP(A451,Insumos!$A$10:$F$3462,4,FALSE)</f>
        <v>7.43</v>
      </c>
      <c r="F451" s="329">
        <f>ROUND((D451*E451),2)</f>
        <v>3.72</v>
      </c>
      <c r="G451" s="355"/>
      <c r="H451" s="129"/>
      <c r="O451" s="220"/>
    </row>
    <row r="452" spans="1:15" x14ac:dyDescent="0.25">
      <c r="A452" s="376">
        <v>10146</v>
      </c>
      <c r="B452" s="44" t="str">
        <f>VLOOKUP(A452,Insumos!$A$10:$F$3462,2,FALSE)</f>
        <v>SERVENTE (AUXILIAR DE OBRAS - SINDUSCON)</v>
      </c>
      <c r="C452" s="45" t="str">
        <f>VLOOKUP(A452,Insumos!$A$10:$F$3462,3,FALSE)</f>
        <v>H</v>
      </c>
      <c r="D452" s="83">
        <v>0.8</v>
      </c>
      <c r="E452" s="329">
        <f>VLOOKUP(A452,Insumos!$A$10:$F$3462,4,FALSE)</f>
        <v>5.46</v>
      </c>
      <c r="F452" s="329">
        <f>ROUND((D452*E452),2)</f>
        <v>4.37</v>
      </c>
      <c r="G452" s="355"/>
      <c r="H452" s="129"/>
      <c r="O452" s="220"/>
    </row>
    <row r="453" spans="1:15" x14ac:dyDescent="0.25">
      <c r="A453" s="376"/>
      <c r="B453" s="50" t="s">
        <v>145</v>
      </c>
      <c r="C453" s="51"/>
      <c r="D453" s="56"/>
      <c r="E453" s="329"/>
      <c r="F453" s="353"/>
      <c r="G453" s="338">
        <f>+SUM(F451:F452)</f>
        <v>8.09</v>
      </c>
      <c r="H453" s="129"/>
      <c r="O453" s="220"/>
    </row>
    <row r="454" spans="1:15" x14ac:dyDescent="0.25">
      <c r="A454" s="376" t="s">
        <v>98</v>
      </c>
      <c r="B454" s="48" t="s">
        <v>146</v>
      </c>
      <c r="C454" s="55"/>
      <c r="D454" s="83" t="s">
        <v>98</v>
      </c>
      <c r="E454" s="45"/>
      <c r="F454" s="57"/>
      <c r="G454" s="58" t="s">
        <v>147</v>
      </c>
      <c r="H454" s="129"/>
      <c r="O454" s="220"/>
    </row>
    <row r="455" spans="1:15" x14ac:dyDescent="0.25">
      <c r="A455" s="376" t="s">
        <v>460</v>
      </c>
      <c r="B455" s="230" t="str">
        <f>VLOOKUP(A455,Insumos!$A$10:$F$3462,2,FALSE)</f>
        <v>Argamassa colante Gail para piso externo</v>
      </c>
      <c r="C455" s="231" t="str">
        <f>VLOOKUP(A455,Insumos!$A$10:$F$3462,3,FALSE)</f>
        <v>kg</v>
      </c>
      <c r="D455" s="83">
        <v>5.5</v>
      </c>
      <c r="E455" s="329">
        <f>VLOOKUP(A455,Insumos!$A$10:$F$3462,4,FALSE)</f>
        <v>3.49</v>
      </c>
      <c r="F455" s="329">
        <f>ROUND((D455*E455),2)</f>
        <v>19.2</v>
      </c>
      <c r="G455" s="355"/>
      <c r="H455" s="129"/>
      <c r="J455" s="220" t="s">
        <v>490</v>
      </c>
      <c r="O455" s="220"/>
    </row>
    <row r="456" spans="1:15" ht="39" x14ac:dyDescent="0.25">
      <c r="A456" s="376" t="s">
        <v>458</v>
      </c>
      <c r="B456" s="230" t="str">
        <f>VLOOKUP(A456,Insumos!$A$10:$F$3462,2,FALSE)</f>
        <v>Placa Extrudada Gail - Linha Arquitetura Natural Bege Dimensão: 240X116X12 mm Características: Placa cerâmica extrudada, não esmaltada, monoqueima, com garras cônicas (prismáticas) de fixação, antiderrapante. Ref. 1077-1000</v>
      </c>
      <c r="C456" s="231" t="str">
        <f>VLOOKUP(A456,Insumos!$A$10:$F$3462,3,FALSE)</f>
        <v>m2</v>
      </c>
      <c r="D456" s="83">
        <v>1.05</v>
      </c>
      <c r="E456" s="329">
        <f>VLOOKUP(A456,Insumos!$A$10:$F$3462,4,FALSE)</f>
        <v>89.99</v>
      </c>
      <c r="F456" s="329">
        <f>ROUND((D456*E456),2)</f>
        <v>94.49</v>
      </c>
      <c r="G456" s="355"/>
      <c r="H456" s="129"/>
      <c r="J456" s="220" t="s">
        <v>490</v>
      </c>
      <c r="O456" s="220"/>
    </row>
    <row r="457" spans="1:15" x14ac:dyDescent="0.25">
      <c r="A457" s="376" t="s">
        <v>461</v>
      </c>
      <c r="B457" s="230" t="str">
        <f>VLOOKUP(A457,Insumos!$A$10:$F$3462,2,FALSE)</f>
        <v>Rejunte cimentício Gail para piso externo</v>
      </c>
      <c r="C457" s="231" t="str">
        <f>VLOOKUP(A457,Insumos!$A$10:$F$3462,3,FALSE)</f>
        <v>kg</v>
      </c>
      <c r="D457" s="59">
        <v>1.8</v>
      </c>
      <c r="E457" s="329">
        <f>VLOOKUP(A457,Insumos!$A$10:$F$3462,4,FALSE)</f>
        <v>4.21</v>
      </c>
      <c r="F457" s="329">
        <f>ROUND((D457*E457),2)</f>
        <v>7.58</v>
      </c>
      <c r="G457" s="355"/>
      <c r="H457" s="129"/>
      <c r="J457" s="220" t="s">
        <v>490</v>
      </c>
      <c r="O457" s="220"/>
    </row>
    <row r="458" spans="1:15" x14ac:dyDescent="0.25">
      <c r="A458" s="376"/>
      <c r="B458" s="48"/>
      <c r="C458" s="45"/>
      <c r="D458" s="61"/>
      <c r="E458" s="329"/>
      <c r="F458" s="329"/>
      <c r="G458" s="355"/>
      <c r="H458" s="129"/>
      <c r="O458" s="220"/>
    </row>
    <row r="459" spans="1:15" x14ac:dyDescent="0.25">
      <c r="A459" s="376"/>
      <c r="B459" s="50" t="s">
        <v>148</v>
      </c>
      <c r="C459" s="51"/>
      <c r="D459" s="62"/>
      <c r="E459" s="353"/>
      <c r="F459" s="353"/>
      <c r="G459" s="338">
        <f>+SUM(F455:F458)</f>
        <v>121.27</v>
      </c>
      <c r="H459" s="129"/>
      <c r="O459" s="220"/>
    </row>
    <row r="460" spans="1:15" x14ac:dyDescent="0.25">
      <c r="A460" s="376"/>
      <c r="B460" s="48" t="s">
        <v>149</v>
      </c>
      <c r="C460" s="55"/>
      <c r="D460" s="64"/>
      <c r="E460" s="55"/>
      <c r="F460" s="55"/>
      <c r="G460" s="58" t="s">
        <v>150</v>
      </c>
      <c r="H460" s="129"/>
      <c r="O460" s="220"/>
    </row>
    <row r="461" spans="1:15" x14ac:dyDescent="0.25">
      <c r="A461" s="376"/>
      <c r="B461" s="48" t="s">
        <v>98</v>
      </c>
      <c r="C461" s="45"/>
      <c r="D461" s="59"/>
      <c r="E461" s="45"/>
      <c r="F461" s="45"/>
      <c r="G461" s="47"/>
      <c r="H461" s="129"/>
      <c r="O461" s="220"/>
    </row>
    <row r="462" spans="1:15" ht="15.75" thickBot="1" x14ac:dyDescent="0.3">
      <c r="A462" s="376"/>
      <c r="B462" s="65" t="s">
        <v>151</v>
      </c>
      <c r="C462" s="66"/>
      <c r="D462" s="67"/>
      <c r="E462" s="66"/>
      <c r="F462" s="66"/>
      <c r="G462" s="68">
        <f>+SUM(F461:F461)</f>
        <v>0</v>
      </c>
      <c r="H462" s="129"/>
      <c r="O462" s="220"/>
    </row>
    <row r="463" spans="1:15" ht="4.5" customHeight="1" thickBot="1" x14ac:dyDescent="0.3">
      <c r="A463" s="376"/>
      <c r="B463" s="1382"/>
      <c r="C463" s="1382"/>
      <c r="D463" s="1382"/>
      <c r="E463" s="1382"/>
      <c r="F463" s="1382"/>
      <c r="G463" s="1382"/>
      <c r="H463" s="129"/>
      <c r="O463" s="220"/>
    </row>
    <row r="464" spans="1:15" ht="15.75" thickBot="1" x14ac:dyDescent="0.3">
      <c r="A464" s="376"/>
      <c r="B464" s="69" t="s">
        <v>152</v>
      </c>
      <c r="C464" s="70" t="s">
        <v>153</v>
      </c>
      <c r="D464" s="71" t="s">
        <v>154</v>
      </c>
      <c r="E464" s="1381" t="s">
        <v>155</v>
      </c>
      <c r="F464" s="1381"/>
      <c r="G464" s="1381"/>
      <c r="H464" s="129"/>
      <c r="O464" s="220"/>
    </row>
    <row r="465" spans="1:15" ht="15.75" thickBot="1" x14ac:dyDescent="0.3">
      <c r="A465" s="376"/>
      <c r="B465" s="72" t="s">
        <v>156</v>
      </c>
      <c r="C465" s="73"/>
      <c r="D465" s="332">
        <f>G453</f>
        <v>8.09</v>
      </c>
      <c r="E465" s="1381"/>
      <c r="F465" s="1381"/>
      <c r="G465" s="1381"/>
      <c r="H465" s="129"/>
      <c r="O465" s="220"/>
    </row>
    <row r="466" spans="1:15" ht="15.75" thickBot="1" x14ac:dyDescent="0.3">
      <c r="A466" s="376"/>
      <c r="B466" s="72" t="s">
        <v>157</v>
      </c>
      <c r="C466" s="73"/>
      <c r="D466" s="332">
        <f>G459</f>
        <v>121.27</v>
      </c>
      <c r="E466" s="1381"/>
      <c r="F466" s="1381"/>
      <c r="G466" s="1381"/>
      <c r="H466" s="129"/>
      <c r="O466" s="220"/>
    </row>
    <row r="467" spans="1:15" ht="15.75" thickBot="1" x14ac:dyDescent="0.3">
      <c r="A467" s="376"/>
      <c r="B467" s="72" t="s">
        <v>158</v>
      </c>
      <c r="C467" s="73"/>
      <c r="D467" s="332">
        <f>G462</f>
        <v>0</v>
      </c>
      <c r="E467" s="1381"/>
      <c r="F467" s="1381"/>
      <c r="G467" s="1381"/>
      <c r="H467" s="129"/>
      <c r="O467" s="220"/>
    </row>
    <row r="468" spans="1:15" ht="15.75" thickBot="1" x14ac:dyDescent="0.3">
      <c r="A468" s="376"/>
      <c r="B468" s="72" t="s">
        <v>159</v>
      </c>
      <c r="C468" s="74">
        <f>$J$5</f>
        <v>157.27000000000001</v>
      </c>
      <c r="D468" s="332">
        <f>+ROUND((D465*C468),2)/100</f>
        <v>12.72</v>
      </c>
      <c r="E468" s="1381"/>
      <c r="F468" s="1381"/>
      <c r="G468" s="1381"/>
      <c r="H468" s="129"/>
      <c r="O468" s="220"/>
    </row>
    <row r="469" spans="1:15" ht="15.75" thickBot="1" x14ac:dyDescent="0.3">
      <c r="A469" s="376"/>
      <c r="B469" s="72" t="s">
        <v>160</v>
      </c>
      <c r="C469" s="75"/>
      <c r="D469" s="333">
        <f>+SUM(D465:D468)</f>
        <v>142.08000000000001</v>
      </c>
      <c r="E469" s="1381"/>
      <c r="F469" s="1381"/>
      <c r="G469" s="1381"/>
      <c r="H469" s="129"/>
      <c r="O469" s="220"/>
    </row>
    <row r="470" spans="1:15" ht="15.75" customHeight="1" thickBot="1" x14ac:dyDescent="0.3">
      <c r="A470" s="376"/>
      <c r="B470" s="72" t="s">
        <v>161</v>
      </c>
      <c r="C470" s="73"/>
      <c r="D470" s="332" t="s">
        <v>162</v>
      </c>
      <c r="E470" s="1382" t="s">
        <v>163</v>
      </c>
      <c r="F470" s="1382"/>
      <c r="G470" s="1382"/>
      <c r="H470" s="129"/>
      <c r="O470" s="220"/>
    </row>
    <row r="471" spans="1:15" ht="15.75" thickBot="1" x14ac:dyDescent="0.3">
      <c r="A471" s="376"/>
      <c r="B471" s="76" t="s">
        <v>164</v>
      </c>
      <c r="C471" s="77"/>
      <c r="D471" s="334">
        <f>+SUM(D469:D470)</f>
        <v>142.08000000000001</v>
      </c>
      <c r="E471" s="1382"/>
      <c r="F471" s="1382"/>
      <c r="G471" s="1382"/>
      <c r="H471" s="129"/>
      <c r="O471" s="220"/>
    </row>
    <row r="472" spans="1:15" ht="15.75" thickBot="1" x14ac:dyDescent="0.3">
      <c r="A472" s="376"/>
      <c r="B472" s="78" t="s">
        <v>165</v>
      </c>
      <c r="C472" s="79">
        <f>$I$5</f>
        <v>28.49</v>
      </c>
      <c r="D472" s="335">
        <f>ROUND((D471*C472),2)/100</f>
        <v>40.479999999999997</v>
      </c>
      <c r="E472" s="1382"/>
      <c r="F472" s="1382"/>
      <c r="G472" s="1382"/>
      <c r="H472" s="129"/>
      <c r="O472" s="220"/>
    </row>
    <row r="473" spans="1:15" ht="15.75" thickBot="1" x14ac:dyDescent="0.3">
      <c r="A473" s="376"/>
      <c r="B473" s="80" t="s">
        <v>166</v>
      </c>
      <c r="C473" s="81"/>
      <c r="D473" s="336">
        <f>+SUM(D471:D472)</f>
        <v>182.56</v>
      </c>
      <c r="E473" s="82"/>
      <c r="F473" s="337">
        <f>D473</f>
        <v>182.56</v>
      </c>
      <c r="G473" s="35"/>
      <c r="H473" s="129"/>
      <c r="I473" s="33"/>
      <c r="J473" s="33"/>
      <c r="K473" s="33"/>
      <c r="O473" s="220"/>
    </row>
    <row r="474" spans="1:15" ht="14.25" customHeight="1" x14ac:dyDescent="0.25">
      <c r="A474" s="376"/>
      <c r="B474" s="28"/>
      <c r="C474" s="28"/>
      <c r="D474" s="28"/>
      <c r="E474" s="28"/>
      <c r="F474" s="28"/>
      <c r="G474" s="28"/>
      <c r="H474" s="129"/>
      <c r="I474" s="33"/>
      <c r="J474" s="33"/>
      <c r="K474" s="33"/>
      <c r="O474" s="220"/>
    </row>
    <row r="475" spans="1:15" ht="14.25" customHeight="1" thickBot="1" x14ac:dyDescent="0.3">
      <c r="A475" s="376"/>
      <c r="B475" s="28"/>
      <c r="C475" s="28"/>
      <c r="D475" s="28"/>
      <c r="E475" s="28"/>
      <c r="F475" s="28"/>
      <c r="G475" s="28"/>
      <c r="H475" s="129"/>
      <c r="I475" s="33"/>
      <c r="J475" s="33"/>
      <c r="K475" s="33"/>
      <c r="O475" s="220"/>
    </row>
    <row r="476" spans="1:15" x14ac:dyDescent="0.25">
      <c r="A476" s="376"/>
      <c r="B476" s="1383" t="s">
        <v>131</v>
      </c>
      <c r="C476" s="1383"/>
      <c r="D476" s="1383"/>
      <c r="E476" s="1383"/>
      <c r="F476" s="1383"/>
      <c r="G476" s="1383"/>
      <c r="H476" s="129"/>
      <c r="I476" s="33"/>
      <c r="J476" s="33"/>
      <c r="K476" s="33"/>
      <c r="O476" s="220"/>
    </row>
    <row r="477" spans="1:15" ht="15.75" thickBot="1" x14ac:dyDescent="0.3">
      <c r="A477" s="376"/>
      <c r="B477" s="1384" t="str">
        <f>$I$3</f>
        <v>Urbanização da Orla de Piúma - Município de Piúma / ES</v>
      </c>
      <c r="C477" s="1385"/>
      <c r="D477" s="1385"/>
      <c r="E477" s="1385"/>
      <c r="F477" s="1385"/>
      <c r="G477" s="1386"/>
      <c r="H477" s="129"/>
      <c r="I477" s="33"/>
      <c r="J477" s="33"/>
      <c r="K477" s="33"/>
      <c r="O477" s="220"/>
    </row>
    <row r="478" spans="1:15" ht="15.75" thickBot="1" x14ac:dyDescent="0.3">
      <c r="A478" s="376"/>
      <c r="B478" s="34" t="s">
        <v>132</v>
      </c>
      <c r="C478" s="34" t="s">
        <v>133</v>
      </c>
      <c r="D478" s="1381" t="s">
        <v>134</v>
      </c>
      <c r="E478" s="1381"/>
      <c r="F478" s="131" t="s">
        <v>275</v>
      </c>
      <c r="G478" s="35" t="s">
        <v>135</v>
      </c>
      <c r="H478" s="129"/>
      <c r="I478" s="31"/>
      <c r="J478" s="31"/>
      <c r="K478" s="33"/>
      <c r="O478" s="220"/>
    </row>
    <row r="479" spans="1:15" ht="52.5" thickBot="1" x14ac:dyDescent="0.3">
      <c r="A479" s="376"/>
      <c r="B479" s="132" t="s">
        <v>321</v>
      </c>
      <c r="C479" s="37" t="s">
        <v>98</v>
      </c>
      <c r="D479" s="1381" t="s">
        <v>5</v>
      </c>
      <c r="E479" s="1381"/>
      <c r="F479" s="144" t="s">
        <v>197</v>
      </c>
      <c r="G479" s="38">
        <f>$K$5</f>
        <v>44501</v>
      </c>
      <c r="H479" s="129"/>
      <c r="I479" s="39"/>
      <c r="J479" s="31"/>
      <c r="K479" s="40"/>
      <c r="O479" s="220"/>
    </row>
    <row r="480" spans="1:15" ht="3.75" customHeight="1" thickBot="1" x14ac:dyDescent="0.3">
      <c r="A480" s="376"/>
      <c r="B480" s="1382"/>
      <c r="C480" s="1382"/>
      <c r="D480" s="1382"/>
      <c r="E480" s="1382"/>
      <c r="F480" s="1382"/>
      <c r="G480" s="1382"/>
      <c r="H480" s="129"/>
      <c r="I480" s="33"/>
      <c r="J480" s="33"/>
      <c r="K480" s="33"/>
      <c r="O480" s="220"/>
    </row>
    <row r="481" spans="1:15" x14ac:dyDescent="0.25">
      <c r="A481" s="376"/>
      <c r="B481" s="41" t="s">
        <v>139</v>
      </c>
      <c r="C481" s="42" t="s">
        <v>140</v>
      </c>
      <c r="D481" s="42" t="s">
        <v>141</v>
      </c>
      <c r="E481" s="42" t="s">
        <v>142</v>
      </c>
      <c r="F481" s="42" t="s">
        <v>143</v>
      </c>
      <c r="G481" s="43" t="s">
        <v>144</v>
      </c>
      <c r="H481" s="129"/>
      <c r="O481" s="220"/>
    </row>
    <row r="482" spans="1:15" x14ac:dyDescent="0.25">
      <c r="A482" s="376">
        <v>10128</v>
      </c>
      <c r="B482" s="44" t="str">
        <f>VLOOKUP(A482,Insumos!$A$10:$F$3462,2,FALSE)</f>
        <v>LADRILHISTA - (OFICIAL - SINDUSCON)</v>
      </c>
      <c r="C482" s="45" t="str">
        <f>VLOOKUP(A482,Insumos!$A$10:$F$3462,3,FALSE)</f>
        <v>H</v>
      </c>
      <c r="D482" s="83">
        <v>0.5</v>
      </c>
      <c r="E482" s="329">
        <f>VLOOKUP(A482,Insumos!$A$10:$F$3462,4,FALSE)</f>
        <v>7.43</v>
      </c>
      <c r="F482" s="329">
        <f>ROUND((D482*E482),2)</f>
        <v>3.72</v>
      </c>
      <c r="G482" s="355"/>
      <c r="H482" s="129"/>
      <c r="O482" s="220"/>
    </row>
    <row r="483" spans="1:15" x14ac:dyDescent="0.25">
      <c r="A483" s="376">
        <v>10146</v>
      </c>
      <c r="B483" s="44" t="str">
        <f>VLOOKUP(A483,Insumos!$A$10:$F$3462,2,FALSE)</f>
        <v>SERVENTE (AUXILIAR DE OBRAS - SINDUSCON)</v>
      </c>
      <c r="C483" s="45" t="str">
        <f>VLOOKUP(A483,Insumos!$A$10:$F$3462,3,FALSE)</f>
        <v>H</v>
      </c>
      <c r="D483" s="83">
        <v>0.8</v>
      </c>
      <c r="E483" s="329">
        <f>VLOOKUP(A483,Insumos!$A$10:$F$3462,4,FALSE)</f>
        <v>5.46</v>
      </c>
      <c r="F483" s="329">
        <f>ROUND((D483*E483),2)</f>
        <v>4.37</v>
      </c>
      <c r="G483" s="355"/>
      <c r="H483" s="129"/>
      <c r="O483" s="220"/>
    </row>
    <row r="484" spans="1:15" x14ac:dyDescent="0.25">
      <c r="A484" s="376"/>
      <c r="B484" s="50" t="s">
        <v>145</v>
      </c>
      <c r="C484" s="51"/>
      <c r="D484" s="56"/>
      <c r="E484" s="329"/>
      <c r="F484" s="353"/>
      <c r="G484" s="338">
        <f>+SUM(F482:F483)</f>
        <v>8.09</v>
      </c>
      <c r="H484" s="129"/>
      <c r="O484" s="220"/>
    </row>
    <row r="485" spans="1:15" x14ac:dyDescent="0.25">
      <c r="A485" s="376" t="s">
        <v>98</v>
      </c>
      <c r="B485" s="48" t="s">
        <v>146</v>
      </c>
      <c r="C485" s="55"/>
      <c r="D485" s="83" t="s">
        <v>98</v>
      </c>
      <c r="E485" s="45"/>
      <c r="F485" s="57"/>
      <c r="G485" s="58" t="s">
        <v>147</v>
      </c>
      <c r="H485" s="129"/>
      <c r="O485" s="220"/>
    </row>
    <row r="486" spans="1:15" x14ac:dyDescent="0.25">
      <c r="A486" s="376" t="s">
        <v>460</v>
      </c>
      <c r="B486" s="230" t="str">
        <f>VLOOKUP(A486,Insumos!$A$10:$F$3462,2,FALSE)</f>
        <v>Argamassa colante Gail para piso externo</v>
      </c>
      <c r="C486" s="231" t="str">
        <f>VLOOKUP(A486,Insumos!$A$10:$F$3462,3,FALSE)</f>
        <v>kg</v>
      </c>
      <c r="D486" s="83">
        <v>5.5</v>
      </c>
      <c r="E486" s="329">
        <f>VLOOKUP(A486,Insumos!$A$10:$F$3462,4,FALSE)</f>
        <v>3.49</v>
      </c>
      <c r="F486" s="329">
        <f>ROUND((D486*E486),2)</f>
        <v>19.2</v>
      </c>
      <c r="G486" s="355"/>
      <c r="H486" s="129"/>
      <c r="J486" s="220" t="s">
        <v>490</v>
      </c>
      <c r="O486" s="220"/>
    </row>
    <row r="487" spans="1:15" ht="39" x14ac:dyDescent="0.25">
      <c r="A487" s="376" t="s">
        <v>459</v>
      </c>
      <c r="B487" s="230" t="str">
        <f>VLOOKUP(A487,Insumos!$A$10:$F$3462,2,FALSE)</f>
        <v>Placa Extrudada Gail - Linha Arquitetura Natural Castor Dimensão: 240X116X12 mm Características: Placa cerâmica extrudada, não esmaltada, monoqueima, com garras cônicas (prismáticas) de fixação, antiderrapante. Ref. 1077-1400</v>
      </c>
      <c r="C487" s="231" t="str">
        <f>VLOOKUP(A487,Insumos!$A$10:$F$3462,3,FALSE)</f>
        <v>m2</v>
      </c>
      <c r="D487" s="83">
        <v>1.05</v>
      </c>
      <c r="E487" s="329">
        <f>VLOOKUP(A487,Insumos!$A$10:$F$3462,4,FALSE)</f>
        <v>85.01</v>
      </c>
      <c r="F487" s="329">
        <f>ROUND((D487*E487),2)</f>
        <v>89.26</v>
      </c>
      <c r="G487" s="355"/>
      <c r="H487" s="129"/>
      <c r="J487" s="220" t="s">
        <v>490</v>
      </c>
      <c r="O487" s="220"/>
    </row>
    <row r="488" spans="1:15" x14ac:dyDescent="0.25">
      <c r="A488" s="376" t="s">
        <v>461</v>
      </c>
      <c r="B488" s="230" t="str">
        <f>VLOOKUP(A488,Insumos!$A$10:$F$3462,2,FALSE)</f>
        <v>Rejunte cimentício Gail para piso externo</v>
      </c>
      <c r="C488" s="231" t="str">
        <f>VLOOKUP(A488,Insumos!$A$10:$F$3462,3,FALSE)</f>
        <v>kg</v>
      </c>
      <c r="D488" s="59">
        <v>1.8</v>
      </c>
      <c r="E488" s="329">
        <f>VLOOKUP(A488,Insumos!$A$10:$F$3462,4,FALSE)</f>
        <v>4.21</v>
      </c>
      <c r="F488" s="329">
        <f>ROUND((D488*E488),2)</f>
        <v>7.58</v>
      </c>
      <c r="G488" s="355"/>
      <c r="H488" s="129"/>
      <c r="J488" s="220" t="s">
        <v>490</v>
      </c>
      <c r="O488" s="220"/>
    </row>
    <row r="489" spans="1:15" x14ac:dyDescent="0.25">
      <c r="A489" s="376"/>
      <c r="B489" s="48"/>
      <c r="C489" s="45"/>
      <c r="D489" s="61"/>
      <c r="E489" s="329"/>
      <c r="F489" s="329"/>
      <c r="G489" s="355"/>
      <c r="H489" s="129"/>
      <c r="O489" s="220"/>
    </row>
    <row r="490" spans="1:15" x14ac:dyDescent="0.25">
      <c r="A490" s="376"/>
      <c r="B490" s="50" t="s">
        <v>148</v>
      </c>
      <c r="C490" s="51"/>
      <c r="D490" s="62"/>
      <c r="E490" s="353"/>
      <c r="F490" s="353"/>
      <c r="G490" s="338">
        <f>+SUM(F486:F489)</f>
        <v>116.04</v>
      </c>
      <c r="H490" s="129"/>
      <c r="O490" s="220"/>
    </row>
    <row r="491" spans="1:15" x14ac:dyDescent="0.25">
      <c r="A491" s="376"/>
      <c r="B491" s="48" t="s">
        <v>149</v>
      </c>
      <c r="C491" s="55"/>
      <c r="D491" s="64"/>
      <c r="E491" s="55"/>
      <c r="F491" s="55"/>
      <c r="G491" s="58" t="s">
        <v>150</v>
      </c>
      <c r="H491" s="129"/>
      <c r="O491" s="220"/>
    </row>
    <row r="492" spans="1:15" x14ac:dyDescent="0.25">
      <c r="A492" s="376"/>
      <c r="B492" s="48" t="s">
        <v>98</v>
      </c>
      <c r="C492" s="45"/>
      <c r="D492" s="59"/>
      <c r="E492" s="45"/>
      <c r="F492" s="45"/>
      <c r="G492" s="47"/>
      <c r="H492" s="129"/>
      <c r="O492" s="220"/>
    </row>
    <row r="493" spans="1:15" ht="15.75" thickBot="1" x14ac:dyDescent="0.3">
      <c r="A493" s="376"/>
      <c r="B493" s="65" t="s">
        <v>151</v>
      </c>
      <c r="C493" s="66"/>
      <c r="D493" s="67"/>
      <c r="E493" s="66"/>
      <c r="F493" s="66"/>
      <c r="G493" s="68">
        <f>+SUM(F492:F492)</f>
        <v>0</v>
      </c>
      <c r="H493" s="129"/>
      <c r="O493" s="220"/>
    </row>
    <row r="494" spans="1:15" ht="4.5" customHeight="1" thickBot="1" x14ac:dyDescent="0.3">
      <c r="A494" s="376"/>
      <c r="B494" s="1382"/>
      <c r="C494" s="1382"/>
      <c r="D494" s="1382"/>
      <c r="E494" s="1382"/>
      <c r="F494" s="1382"/>
      <c r="G494" s="1382"/>
      <c r="H494" s="129"/>
      <c r="O494" s="220"/>
    </row>
    <row r="495" spans="1:15" ht="15.75" thickBot="1" x14ac:dyDescent="0.3">
      <c r="A495" s="376"/>
      <c r="B495" s="69" t="s">
        <v>152</v>
      </c>
      <c r="C495" s="70" t="s">
        <v>4415</v>
      </c>
      <c r="D495" s="71" t="s">
        <v>154</v>
      </c>
      <c r="E495" s="1381" t="s">
        <v>155</v>
      </c>
      <c r="F495" s="1381"/>
      <c r="G495" s="1381"/>
      <c r="H495" s="129"/>
      <c r="O495" s="220"/>
    </row>
    <row r="496" spans="1:15" ht="15.75" thickBot="1" x14ac:dyDescent="0.3">
      <c r="A496" s="376"/>
      <c r="B496" s="72" t="s">
        <v>156</v>
      </c>
      <c r="C496" s="73"/>
      <c r="D496" s="332">
        <f>G484</f>
        <v>8.09</v>
      </c>
      <c r="E496" s="1381"/>
      <c r="F496" s="1381"/>
      <c r="G496" s="1381"/>
      <c r="H496" s="129"/>
      <c r="O496" s="220"/>
    </row>
    <row r="497" spans="1:15" ht="15.75" thickBot="1" x14ac:dyDescent="0.3">
      <c r="A497" s="376"/>
      <c r="B497" s="72" t="s">
        <v>157</v>
      </c>
      <c r="C497" s="73"/>
      <c r="D497" s="332">
        <f>G490</f>
        <v>116.04</v>
      </c>
      <c r="E497" s="1381"/>
      <c r="F497" s="1381"/>
      <c r="G497" s="1381"/>
      <c r="H497" s="129"/>
      <c r="O497" s="220"/>
    </row>
    <row r="498" spans="1:15" ht="15.75" thickBot="1" x14ac:dyDescent="0.3">
      <c r="A498" s="376"/>
      <c r="B498" s="72" t="s">
        <v>158</v>
      </c>
      <c r="C498" s="73"/>
      <c r="D498" s="332">
        <f>G493</f>
        <v>0</v>
      </c>
      <c r="E498" s="1381"/>
      <c r="F498" s="1381"/>
      <c r="G498" s="1381"/>
      <c r="H498" s="129"/>
      <c r="O498" s="220"/>
    </row>
    <row r="499" spans="1:15" ht="15.75" thickBot="1" x14ac:dyDescent="0.3">
      <c r="A499" s="376"/>
      <c r="B499" s="72" t="s">
        <v>159</v>
      </c>
      <c r="C499" s="74">
        <f>$J$5</f>
        <v>157.27000000000001</v>
      </c>
      <c r="D499" s="332">
        <f>+ROUND((D496*C499),2)/100</f>
        <v>12.72</v>
      </c>
      <c r="E499" s="1381"/>
      <c r="F499" s="1381"/>
      <c r="G499" s="1381"/>
      <c r="H499" s="129"/>
      <c r="O499" s="220"/>
    </row>
    <row r="500" spans="1:15" ht="15.75" thickBot="1" x14ac:dyDescent="0.3">
      <c r="A500" s="376"/>
      <c r="B500" s="72" t="s">
        <v>160</v>
      </c>
      <c r="C500" s="75"/>
      <c r="D500" s="333">
        <f>+SUM(D496:D499)</f>
        <v>136.85</v>
      </c>
      <c r="E500" s="1381"/>
      <c r="F500" s="1381"/>
      <c r="G500" s="1381"/>
      <c r="H500" s="129"/>
      <c r="O500" s="220"/>
    </row>
    <row r="501" spans="1:15" ht="15.75" customHeight="1" thickBot="1" x14ac:dyDescent="0.3">
      <c r="A501" s="376"/>
      <c r="B501" s="72" t="s">
        <v>161</v>
      </c>
      <c r="C501" s="73"/>
      <c r="D501" s="332" t="s">
        <v>162</v>
      </c>
      <c r="E501" s="1382" t="s">
        <v>163</v>
      </c>
      <c r="F501" s="1382"/>
      <c r="G501" s="1382"/>
      <c r="H501" s="129"/>
      <c r="O501" s="220"/>
    </row>
    <row r="502" spans="1:15" ht="15.75" thickBot="1" x14ac:dyDescent="0.3">
      <c r="A502" s="376"/>
      <c r="B502" s="76" t="s">
        <v>164</v>
      </c>
      <c r="C502" s="77"/>
      <c r="D502" s="334">
        <f>+SUM(D500:D501)</f>
        <v>136.85</v>
      </c>
      <c r="E502" s="1382"/>
      <c r="F502" s="1382"/>
      <c r="G502" s="1382"/>
      <c r="H502" s="129"/>
      <c r="O502" s="220"/>
    </row>
    <row r="503" spans="1:15" ht="15.75" thickBot="1" x14ac:dyDescent="0.3">
      <c r="A503" s="376"/>
      <c r="B503" s="78" t="s">
        <v>165</v>
      </c>
      <c r="C503" s="79">
        <f>$I$5</f>
        <v>28.49</v>
      </c>
      <c r="D503" s="335">
        <f>ROUND((D502*C503),2)/100</f>
        <v>38.99</v>
      </c>
      <c r="E503" s="1382"/>
      <c r="F503" s="1382"/>
      <c r="G503" s="1382"/>
      <c r="H503" s="129"/>
      <c r="O503" s="220"/>
    </row>
    <row r="504" spans="1:15" ht="15.75" thickBot="1" x14ac:dyDescent="0.3">
      <c r="A504" s="376"/>
      <c r="B504" s="80" t="s">
        <v>166</v>
      </c>
      <c r="C504" s="81"/>
      <c r="D504" s="336">
        <f>+SUM(D502:D503)</f>
        <v>175.84</v>
      </c>
      <c r="E504" s="82"/>
      <c r="F504" s="337">
        <f>D504</f>
        <v>175.84</v>
      </c>
      <c r="G504" s="35"/>
      <c r="H504" s="129"/>
      <c r="I504" s="33"/>
      <c r="J504" s="33"/>
      <c r="K504" s="33"/>
      <c r="O504" s="220"/>
    </row>
    <row r="505" spans="1:15" ht="14.25" customHeight="1" x14ac:dyDescent="0.25">
      <c r="A505" s="376"/>
      <c r="B505" s="28"/>
      <c r="C505" s="28"/>
      <c r="D505" s="28"/>
      <c r="E505" s="28"/>
      <c r="F505" s="28"/>
      <c r="G505" s="28"/>
      <c r="H505" s="129"/>
      <c r="I505" s="33"/>
      <c r="J505" s="33"/>
      <c r="K505" s="33"/>
      <c r="O505" s="220"/>
    </row>
    <row r="506" spans="1:15" ht="14.25" customHeight="1" thickBot="1" x14ac:dyDescent="0.3">
      <c r="A506" s="376"/>
      <c r="B506" s="28"/>
      <c r="C506" s="28"/>
      <c r="D506" s="28"/>
      <c r="E506" s="28"/>
      <c r="F506" s="28"/>
      <c r="G506" s="28"/>
      <c r="H506" s="129"/>
      <c r="I506" s="33"/>
      <c r="J506" s="33"/>
      <c r="K506" s="33"/>
      <c r="O506" s="220"/>
    </row>
    <row r="507" spans="1:15" x14ac:dyDescent="0.25">
      <c r="A507" s="376"/>
      <c r="B507" s="1383" t="s">
        <v>131</v>
      </c>
      <c r="C507" s="1383"/>
      <c r="D507" s="1383"/>
      <c r="E507" s="1383"/>
      <c r="F507" s="1383"/>
      <c r="G507" s="1383"/>
      <c r="H507" s="129"/>
      <c r="I507" s="33"/>
      <c r="J507" s="33"/>
      <c r="K507" s="33"/>
      <c r="O507" s="220"/>
    </row>
    <row r="508" spans="1:15" ht="15.75" thickBot="1" x14ac:dyDescent="0.3">
      <c r="A508" s="376"/>
      <c r="B508" s="1384" t="str">
        <f>$I$3</f>
        <v>Urbanização da Orla de Piúma - Município de Piúma / ES</v>
      </c>
      <c r="C508" s="1385"/>
      <c r="D508" s="1385"/>
      <c r="E508" s="1385"/>
      <c r="F508" s="1385"/>
      <c r="G508" s="1386"/>
      <c r="H508" s="129"/>
      <c r="I508" s="33"/>
      <c r="J508" s="33"/>
      <c r="K508" s="33"/>
      <c r="O508" s="220"/>
    </row>
    <row r="509" spans="1:15" ht="15.75" thickBot="1" x14ac:dyDescent="0.3">
      <c r="A509" s="376"/>
      <c r="B509" s="34" t="s">
        <v>132</v>
      </c>
      <c r="C509" s="34" t="s">
        <v>133</v>
      </c>
      <c r="D509" s="1381" t="s">
        <v>134</v>
      </c>
      <c r="E509" s="1381"/>
      <c r="F509" s="131" t="s">
        <v>275</v>
      </c>
      <c r="G509" s="35" t="s">
        <v>135</v>
      </c>
      <c r="H509" s="129"/>
      <c r="I509" s="31"/>
      <c r="J509" s="31"/>
      <c r="K509" s="33"/>
      <c r="O509" s="220"/>
    </row>
    <row r="510" spans="1:15" ht="15.75" thickBot="1" x14ac:dyDescent="0.3">
      <c r="A510" s="376"/>
      <c r="B510" s="132" t="s">
        <v>325</v>
      </c>
      <c r="C510" s="37" t="s">
        <v>98</v>
      </c>
      <c r="D510" s="1381" t="s">
        <v>5</v>
      </c>
      <c r="E510" s="1381"/>
      <c r="F510" s="144" t="s">
        <v>198</v>
      </c>
      <c r="G510" s="38">
        <f>$K$5</f>
        <v>44501</v>
      </c>
      <c r="H510" s="129"/>
      <c r="I510" s="39"/>
      <c r="J510" s="31"/>
      <c r="K510" s="40"/>
      <c r="O510" s="220"/>
    </row>
    <row r="511" spans="1:15" ht="3.75" customHeight="1" thickBot="1" x14ac:dyDescent="0.3">
      <c r="A511" s="376"/>
      <c r="B511" s="1382"/>
      <c r="C511" s="1382"/>
      <c r="D511" s="1382"/>
      <c r="E511" s="1382"/>
      <c r="F511" s="1382"/>
      <c r="G511" s="1382"/>
      <c r="H511" s="129"/>
      <c r="I511" s="33"/>
      <c r="J511" s="33"/>
      <c r="K511" s="33"/>
      <c r="O511" s="220"/>
    </row>
    <row r="512" spans="1:15" x14ac:dyDescent="0.25">
      <c r="A512" s="376"/>
      <c r="B512" s="41" t="s">
        <v>139</v>
      </c>
      <c r="C512" s="42" t="s">
        <v>140</v>
      </c>
      <c r="D512" s="42" t="s">
        <v>141</v>
      </c>
      <c r="E512" s="42" t="s">
        <v>142</v>
      </c>
      <c r="F512" s="42" t="s">
        <v>143</v>
      </c>
      <c r="G512" s="43" t="s">
        <v>144</v>
      </c>
      <c r="H512" s="129"/>
      <c r="O512" s="220"/>
    </row>
    <row r="513" spans="1:15" x14ac:dyDescent="0.25">
      <c r="A513" s="376">
        <v>10111</v>
      </c>
      <c r="B513" s="230" t="str">
        <f>VLOOKUP(A513,Insumos!$A$10:$F$3462,2,FALSE)</f>
        <v>CARPINTEIRO (OFICIAL - SINDUSCON)</v>
      </c>
      <c r="C513" s="231" t="str">
        <f>VLOOKUP(A513,Insumos!$A$10:$F$3462,3,FALSE)</f>
        <v>H</v>
      </c>
      <c r="D513" s="218">
        <v>5</v>
      </c>
      <c r="E513" s="329">
        <f>VLOOKUP(A513,Insumos!$A$10:$F$3462,4,FALSE)</f>
        <v>7.43</v>
      </c>
      <c r="F513" s="329">
        <f>ROUND((D513*E513),2)</f>
        <v>37.15</v>
      </c>
      <c r="G513" s="355"/>
      <c r="H513" s="129"/>
      <c r="O513" s="220"/>
    </row>
    <row r="514" spans="1:15" x14ac:dyDescent="0.25">
      <c r="A514" s="376">
        <v>10101</v>
      </c>
      <c r="B514" s="230" t="str">
        <f>VLOOKUP(A514,Insumos!$A$10:$F$3462,2,FALSE)</f>
        <v>AJUDANTE (AJUDANTE PRATICO - SINDUSCON)</v>
      </c>
      <c r="C514" s="231" t="str">
        <f>VLOOKUP(A514,Insumos!$A$10:$F$3462,3,FALSE)</f>
        <v>H</v>
      </c>
      <c r="D514" s="218">
        <v>7.5</v>
      </c>
      <c r="E514" s="329">
        <f>VLOOKUP(A514,Insumos!$A$10:$F$3462,4,FALSE)</f>
        <v>6.27</v>
      </c>
      <c r="F514" s="329">
        <f>ROUND((D514*E514),2)</f>
        <v>47.03</v>
      </c>
      <c r="G514" s="355"/>
      <c r="H514" s="129"/>
      <c r="O514" s="220"/>
    </row>
    <row r="515" spans="1:15" x14ac:dyDescent="0.25">
      <c r="A515" s="376"/>
      <c r="B515" s="48"/>
      <c r="C515" s="45"/>
      <c r="D515" s="83"/>
      <c r="E515" s="329"/>
      <c r="F515" s="329"/>
      <c r="G515" s="355"/>
      <c r="H515" s="129"/>
      <c r="O515" s="220"/>
    </row>
    <row r="516" spans="1:15" x14ac:dyDescent="0.25">
      <c r="A516" s="376"/>
      <c r="B516" s="50" t="s">
        <v>145</v>
      </c>
      <c r="C516" s="51"/>
      <c r="D516" s="56"/>
      <c r="E516" s="329"/>
      <c r="F516" s="353"/>
      <c r="G516" s="338">
        <f>+SUM(F513:F515)</f>
        <v>84.18</v>
      </c>
      <c r="H516" s="129"/>
      <c r="O516" s="220"/>
    </row>
    <row r="517" spans="1:15" x14ac:dyDescent="0.25">
      <c r="A517" s="376" t="s">
        <v>98</v>
      </c>
      <c r="B517" s="48" t="s">
        <v>146</v>
      </c>
      <c r="C517" s="55"/>
      <c r="D517" s="83" t="s">
        <v>98</v>
      </c>
      <c r="E517" s="45"/>
      <c r="F517" s="57"/>
      <c r="G517" s="58" t="s">
        <v>147</v>
      </c>
      <c r="H517" s="129"/>
      <c r="O517" s="220"/>
    </row>
    <row r="518" spans="1:15" ht="26.25" x14ac:dyDescent="0.25">
      <c r="A518" s="376" t="s">
        <v>486</v>
      </c>
      <c r="B518" s="230" t="str">
        <f>VLOOKUP(A518,Insumos!$A$10:$F$3462,2,FALSE)</f>
        <v>Revestimento do deck em perfis e barrotes Ecoblock, inclusive cavilhas do mesmo material e frete</v>
      </c>
      <c r="C518" s="231" t="str">
        <f>VLOOKUP(A518,Insumos!$A$10:$F$3462,3,FALSE)</f>
        <v>und</v>
      </c>
      <c r="D518" s="180">
        <v>1.05</v>
      </c>
      <c r="E518" s="329">
        <f>VLOOKUP(A518,Insumos!$A$10:$F$3462,4,FALSE)</f>
        <v>337.7</v>
      </c>
      <c r="F518" s="329">
        <f>ROUND((D518*E518),2)</f>
        <v>354.59</v>
      </c>
      <c r="G518" s="355"/>
      <c r="H518" s="129"/>
      <c r="J518" s="137"/>
      <c r="K518" s="220"/>
      <c r="O518" s="220"/>
    </row>
    <row r="519" spans="1:15" s="159" customFormat="1" x14ac:dyDescent="0.25">
      <c r="A519" s="376">
        <v>200223</v>
      </c>
      <c r="B519" s="230" t="s">
        <v>512</v>
      </c>
      <c r="C519" s="231" t="s">
        <v>6</v>
      </c>
      <c r="D519" s="180">
        <v>0.1</v>
      </c>
      <c r="E519" s="329">
        <v>197.83</v>
      </c>
      <c r="F519" s="329">
        <f>ROUND((D519*E519),2)</f>
        <v>19.78</v>
      </c>
      <c r="G519" s="355"/>
      <c r="J519" s="137"/>
      <c r="K519" s="220"/>
      <c r="O519" s="220"/>
    </row>
    <row r="520" spans="1:15" s="159" customFormat="1" x14ac:dyDescent="0.25">
      <c r="A520" s="376">
        <v>130110</v>
      </c>
      <c r="B520" s="230" t="s">
        <v>345</v>
      </c>
      <c r="C520" s="231" t="s">
        <v>5</v>
      </c>
      <c r="D520" s="180">
        <v>1</v>
      </c>
      <c r="E520" s="329">
        <v>53.1</v>
      </c>
      <c r="F520" s="329">
        <f>ROUND((D520*E520),2)</f>
        <v>53.1</v>
      </c>
      <c r="G520" s="355"/>
      <c r="H520" s="177"/>
      <c r="O520" s="220"/>
    </row>
    <row r="521" spans="1:15" x14ac:dyDescent="0.25">
      <c r="A521" s="376"/>
      <c r="B521" s="178"/>
      <c r="C521" s="179"/>
      <c r="D521" s="180"/>
      <c r="E521" s="329"/>
      <c r="F521" s="329"/>
      <c r="G521" s="355"/>
      <c r="H521" s="129"/>
      <c r="O521" s="220"/>
    </row>
    <row r="522" spans="1:15" x14ac:dyDescent="0.25">
      <c r="A522" s="376"/>
      <c r="B522" s="50" t="s">
        <v>148</v>
      </c>
      <c r="C522" s="51"/>
      <c r="D522" s="62"/>
      <c r="E522" s="353"/>
      <c r="F522" s="353"/>
      <c r="G522" s="338">
        <f>+SUM(F518:F521)</f>
        <v>427.47</v>
      </c>
      <c r="H522" s="129"/>
      <c r="O522" s="220"/>
    </row>
    <row r="523" spans="1:15" x14ac:dyDescent="0.25">
      <c r="A523" s="376"/>
      <c r="B523" s="48" t="s">
        <v>149</v>
      </c>
      <c r="C523" s="55"/>
      <c r="D523" s="64"/>
      <c r="E523" s="55"/>
      <c r="F523" s="55"/>
      <c r="G523" s="58" t="s">
        <v>150</v>
      </c>
      <c r="H523" s="129"/>
      <c r="O523" s="220"/>
    </row>
    <row r="524" spans="1:15" x14ac:dyDescent="0.25">
      <c r="A524" s="376"/>
      <c r="B524" s="48" t="s">
        <v>98</v>
      </c>
      <c r="C524" s="45"/>
      <c r="D524" s="59"/>
      <c r="E524" s="45"/>
      <c r="F524" s="45"/>
      <c r="G524" s="47"/>
      <c r="H524" s="129"/>
      <c r="O524" s="220"/>
    </row>
    <row r="525" spans="1:15" x14ac:dyDescent="0.25">
      <c r="A525" s="376"/>
      <c r="B525" s="48" t="s">
        <v>98</v>
      </c>
      <c r="C525" s="45"/>
      <c r="D525" s="59"/>
      <c r="E525" s="45"/>
      <c r="F525" s="45"/>
      <c r="G525" s="47"/>
      <c r="H525" s="129"/>
      <c r="O525" s="220"/>
    </row>
    <row r="526" spans="1:15" ht="15.75" thickBot="1" x14ac:dyDescent="0.3">
      <c r="A526" s="376"/>
      <c r="B526" s="65" t="s">
        <v>151</v>
      </c>
      <c r="C526" s="66"/>
      <c r="D526" s="67"/>
      <c r="E526" s="66"/>
      <c r="F526" s="66"/>
      <c r="G526" s="68">
        <f>+SUM(F524:F525)</f>
        <v>0</v>
      </c>
      <c r="H526" s="129"/>
      <c r="O526" s="220"/>
    </row>
    <row r="527" spans="1:15" ht="4.5" customHeight="1" thickBot="1" x14ac:dyDescent="0.3">
      <c r="A527" s="376"/>
      <c r="B527" s="1382"/>
      <c r="C527" s="1382"/>
      <c r="D527" s="1382"/>
      <c r="E527" s="1382"/>
      <c r="F527" s="1382"/>
      <c r="G527" s="1382"/>
      <c r="H527" s="129"/>
      <c r="O527" s="220"/>
    </row>
    <row r="528" spans="1:15" ht="15.75" thickBot="1" x14ac:dyDescent="0.3">
      <c r="A528" s="376"/>
      <c r="B528" s="69" t="s">
        <v>152</v>
      </c>
      <c r="C528" s="70" t="s">
        <v>4415</v>
      </c>
      <c r="D528" s="71" t="s">
        <v>154</v>
      </c>
      <c r="E528" s="1381" t="s">
        <v>155</v>
      </c>
      <c r="F528" s="1381"/>
      <c r="G528" s="1381"/>
      <c r="H528" s="129"/>
      <c r="O528" s="220"/>
    </row>
    <row r="529" spans="1:15" ht="15.75" thickBot="1" x14ac:dyDescent="0.3">
      <c r="A529" s="376"/>
      <c r="B529" s="72" t="s">
        <v>156</v>
      </c>
      <c r="C529" s="73"/>
      <c r="D529" s="332">
        <f>G516</f>
        <v>84.18</v>
      </c>
      <c r="E529" s="1381"/>
      <c r="F529" s="1381"/>
      <c r="G529" s="1381"/>
      <c r="H529" s="129"/>
      <c r="O529" s="220"/>
    </row>
    <row r="530" spans="1:15" ht="15.75" thickBot="1" x14ac:dyDescent="0.3">
      <c r="A530" s="376"/>
      <c r="B530" s="72" t="s">
        <v>157</v>
      </c>
      <c r="C530" s="73"/>
      <c r="D530" s="332">
        <f>G522</f>
        <v>427.47</v>
      </c>
      <c r="E530" s="1381"/>
      <c r="F530" s="1381"/>
      <c r="G530" s="1381"/>
      <c r="H530" s="129"/>
      <c r="O530" s="220"/>
    </row>
    <row r="531" spans="1:15" ht="15.75" thickBot="1" x14ac:dyDescent="0.3">
      <c r="A531" s="376"/>
      <c r="B531" s="72" t="s">
        <v>158</v>
      </c>
      <c r="C531" s="73"/>
      <c r="D531" s="332">
        <f>G526</f>
        <v>0</v>
      </c>
      <c r="E531" s="1381"/>
      <c r="F531" s="1381"/>
      <c r="G531" s="1381"/>
      <c r="H531" s="129"/>
      <c r="O531" s="220"/>
    </row>
    <row r="532" spans="1:15" ht="15.75" thickBot="1" x14ac:dyDescent="0.3">
      <c r="A532" s="376"/>
      <c r="B532" s="72" t="s">
        <v>159</v>
      </c>
      <c r="C532" s="74">
        <f>$J$5</f>
        <v>157.27000000000001</v>
      </c>
      <c r="D532" s="332">
        <f>+ROUND((D529*C532),2)/100</f>
        <v>132.38999999999999</v>
      </c>
      <c r="E532" s="1381"/>
      <c r="F532" s="1381"/>
      <c r="G532" s="1381"/>
      <c r="H532" s="129"/>
      <c r="O532" s="220"/>
    </row>
    <row r="533" spans="1:15" ht="15.75" thickBot="1" x14ac:dyDescent="0.3">
      <c r="A533" s="376"/>
      <c r="B533" s="72" t="s">
        <v>160</v>
      </c>
      <c r="C533" s="75"/>
      <c r="D533" s="333">
        <f>+SUM(D529:D532)</f>
        <v>644.04</v>
      </c>
      <c r="E533" s="1381"/>
      <c r="F533" s="1381"/>
      <c r="G533" s="1381"/>
      <c r="H533" s="129"/>
      <c r="O533" s="220"/>
    </row>
    <row r="534" spans="1:15" ht="15.75" customHeight="1" thickBot="1" x14ac:dyDescent="0.3">
      <c r="A534" s="376"/>
      <c r="B534" s="72" t="s">
        <v>161</v>
      </c>
      <c r="C534" s="73"/>
      <c r="D534" s="332" t="s">
        <v>162</v>
      </c>
      <c r="E534" s="1382" t="s">
        <v>163</v>
      </c>
      <c r="F534" s="1382"/>
      <c r="G534" s="1382"/>
      <c r="H534" s="129"/>
      <c r="O534" s="220"/>
    </row>
    <row r="535" spans="1:15" ht="15.75" thickBot="1" x14ac:dyDescent="0.3">
      <c r="A535" s="376"/>
      <c r="B535" s="76" t="s">
        <v>164</v>
      </c>
      <c r="C535" s="77"/>
      <c r="D535" s="334">
        <f>+SUM(D533:D534)</f>
        <v>644.04</v>
      </c>
      <c r="E535" s="1382"/>
      <c r="F535" s="1382"/>
      <c r="G535" s="1382"/>
      <c r="H535" s="129"/>
      <c r="O535" s="220"/>
    </row>
    <row r="536" spans="1:15" ht="15.75" thickBot="1" x14ac:dyDescent="0.3">
      <c r="A536" s="376"/>
      <c r="B536" s="78" t="s">
        <v>165</v>
      </c>
      <c r="C536" s="79">
        <f>$I$5</f>
        <v>28.49</v>
      </c>
      <c r="D536" s="335">
        <f>ROUND((D535*C536),2)/100</f>
        <v>183.49</v>
      </c>
      <c r="E536" s="1382"/>
      <c r="F536" s="1382"/>
      <c r="G536" s="1382"/>
      <c r="H536" s="129"/>
      <c r="O536" s="220"/>
    </row>
    <row r="537" spans="1:15" ht="15.75" thickBot="1" x14ac:dyDescent="0.3">
      <c r="A537" s="376"/>
      <c r="B537" s="80" t="s">
        <v>166</v>
      </c>
      <c r="C537" s="81"/>
      <c r="D537" s="336">
        <f>+SUM(D535:D536)</f>
        <v>827.53</v>
      </c>
      <c r="E537" s="82"/>
      <c r="F537" s="337">
        <f>D537</f>
        <v>827.53</v>
      </c>
      <c r="G537" s="35"/>
      <c r="H537" s="129"/>
      <c r="I537" s="33"/>
      <c r="J537" s="33"/>
      <c r="K537" s="33"/>
      <c r="O537" s="220"/>
    </row>
    <row r="538" spans="1:15" ht="14.25" customHeight="1" x14ac:dyDescent="0.25">
      <c r="A538" s="376"/>
      <c r="B538" s="28"/>
      <c r="C538" s="28"/>
      <c r="D538" s="28"/>
      <c r="E538" s="28"/>
      <c r="F538" s="28"/>
      <c r="G538" s="28"/>
      <c r="H538" s="129"/>
      <c r="I538" s="33"/>
      <c r="J538" s="33"/>
      <c r="K538" s="33"/>
      <c r="O538" s="220"/>
    </row>
    <row r="539" spans="1:15" s="159" customFormat="1" ht="14.25" customHeight="1" thickBot="1" x14ac:dyDescent="0.3">
      <c r="A539" s="376"/>
      <c r="B539" s="28"/>
      <c r="C539" s="28"/>
      <c r="D539" s="28"/>
      <c r="E539" s="28"/>
      <c r="F539" s="28"/>
      <c r="G539" s="28"/>
      <c r="I539" s="143"/>
      <c r="J539" s="143"/>
      <c r="K539" s="143"/>
      <c r="O539" s="220"/>
    </row>
    <row r="540" spans="1:15" s="159" customFormat="1" ht="14.25" customHeight="1" x14ac:dyDescent="0.25">
      <c r="A540" s="376"/>
      <c r="B540" s="1383" t="s">
        <v>131</v>
      </c>
      <c r="C540" s="1383"/>
      <c r="D540" s="1383"/>
      <c r="E540" s="1383"/>
      <c r="F540" s="1383"/>
      <c r="G540" s="1383"/>
      <c r="I540" s="143"/>
      <c r="J540" s="143"/>
      <c r="K540" s="143"/>
      <c r="O540" s="220"/>
    </row>
    <row r="541" spans="1:15" s="159" customFormat="1" ht="14.25" customHeight="1" thickBot="1" x14ac:dyDescent="0.3">
      <c r="A541" s="376"/>
      <c r="B541" s="1384" t="str">
        <f>$I$3</f>
        <v>Urbanização da Orla de Piúma - Município de Piúma / ES</v>
      </c>
      <c r="C541" s="1385"/>
      <c r="D541" s="1385"/>
      <c r="E541" s="1385"/>
      <c r="F541" s="1385"/>
      <c r="G541" s="1386"/>
      <c r="I541" s="143"/>
      <c r="J541" s="143"/>
      <c r="K541" s="143"/>
      <c r="O541" s="220"/>
    </row>
    <row r="542" spans="1:15" s="159" customFormat="1" ht="14.25" customHeight="1" thickBot="1" x14ac:dyDescent="0.3">
      <c r="A542" s="376"/>
      <c r="B542" s="90" t="s">
        <v>132</v>
      </c>
      <c r="C542" s="90" t="s">
        <v>133</v>
      </c>
      <c r="D542" s="1381" t="s">
        <v>134</v>
      </c>
      <c r="E542" s="1381"/>
      <c r="F542" s="131" t="s">
        <v>275</v>
      </c>
      <c r="G542" s="131" t="s">
        <v>135</v>
      </c>
      <c r="I542" s="143"/>
      <c r="J542" s="143"/>
      <c r="K542" s="143"/>
      <c r="O542" s="220"/>
    </row>
    <row r="543" spans="1:15" s="159" customFormat="1" ht="27" thickBot="1" x14ac:dyDescent="0.3">
      <c r="A543" s="376"/>
      <c r="B543" s="132" t="s">
        <v>326</v>
      </c>
      <c r="C543" s="92" t="s">
        <v>98</v>
      </c>
      <c r="D543" s="1381" t="s">
        <v>8</v>
      </c>
      <c r="E543" s="1381"/>
      <c r="F543" s="144" t="s">
        <v>201</v>
      </c>
      <c r="G543" s="38">
        <f>$K$5</f>
        <v>44501</v>
      </c>
      <c r="I543" s="143"/>
      <c r="J543" s="143"/>
      <c r="K543" s="143"/>
      <c r="O543" s="220"/>
    </row>
    <row r="544" spans="1:15" s="159" customFormat="1" ht="14.25" customHeight="1" thickBot="1" x14ac:dyDescent="0.3">
      <c r="A544" s="376"/>
      <c r="B544" s="1382"/>
      <c r="C544" s="1382"/>
      <c r="D544" s="1382"/>
      <c r="E544" s="1382"/>
      <c r="F544" s="1382"/>
      <c r="G544" s="1382"/>
      <c r="I544" s="143"/>
      <c r="J544" s="143"/>
      <c r="K544" s="143"/>
      <c r="O544" s="220"/>
    </row>
    <row r="545" spans="1:15" s="159" customFormat="1" ht="14.25" customHeight="1" x14ac:dyDescent="0.25">
      <c r="A545" s="376"/>
      <c r="B545" s="93" t="s">
        <v>139</v>
      </c>
      <c r="C545" s="94" t="s">
        <v>140</v>
      </c>
      <c r="D545" s="94" t="s">
        <v>141</v>
      </c>
      <c r="E545" s="94" t="s">
        <v>142</v>
      </c>
      <c r="F545" s="94" t="s">
        <v>143</v>
      </c>
      <c r="G545" s="95" t="s">
        <v>144</v>
      </c>
      <c r="I545" s="143"/>
      <c r="J545" s="143"/>
      <c r="K545" s="143"/>
      <c r="O545" s="220"/>
    </row>
    <row r="546" spans="1:15" s="159" customFormat="1" ht="14.25" customHeight="1" x14ac:dyDescent="0.25">
      <c r="A546" s="376">
        <v>10115</v>
      </c>
      <c r="B546" s="145" t="str">
        <f>VLOOKUP(A546,Insumos!$A$10:$F$3462,2,FALSE)</f>
        <v>ELETRICISTA (OFICIAL - SINDUSCON)</v>
      </c>
      <c r="C546" s="146" t="str">
        <f>VLOOKUP(A546,Insumos!$A$10:$F$3462,3,FALSE)</f>
        <v>H</v>
      </c>
      <c r="D546" s="83">
        <v>1.8</v>
      </c>
      <c r="E546" s="329">
        <f>VLOOKUP(A546,Insumos!$A$10:$F$3462,4,FALSE)</f>
        <v>7.43</v>
      </c>
      <c r="F546" s="329">
        <f>ROUND((D546*E546),2)</f>
        <v>13.37</v>
      </c>
      <c r="G546" s="355"/>
      <c r="I546" s="143"/>
      <c r="J546" s="143"/>
      <c r="K546" s="143"/>
      <c r="O546" s="220"/>
    </row>
    <row r="547" spans="1:15" s="159" customFormat="1" ht="14.25" customHeight="1" x14ac:dyDescent="0.25">
      <c r="A547" s="376">
        <v>10101</v>
      </c>
      <c r="B547" s="145" t="str">
        <f>VLOOKUP(A547,Insumos!$A$10:$F$3462,2,FALSE)</f>
        <v>AJUDANTE (AJUDANTE PRATICO - SINDUSCON)</v>
      </c>
      <c r="C547" s="146" t="str">
        <f>VLOOKUP(A547,Insumos!$A$10:$F$3462,3,FALSE)</f>
        <v>H</v>
      </c>
      <c r="D547" s="83">
        <v>1.8</v>
      </c>
      <c r="E547" s="329">
        <f>VLOOKUP(A547,Insumos!$A$10:$F$3462,4,FALSE)</f>
        <v>6.27</v>
      </c>
      <c r="F547" s="329">
        <f>ROUND((D547*E547),2)</f>
        <v>11.29</v>
      </c>
      <c r="G547" s="355"/>
      <c r="I547" s="143"/>
      <c r="J547" s="143"/>
      <c r="K547" s="143"/>
      <c r="O547" s="220"/>
    </row>
    <row r="548" spans="1:15" s="159" customFormat="1" ht="14.25" customHeight="1" x14ac:dyDescent="0.25">
      <c r="A548" s="376"/>
      <c r="B548" s="99"/>
      <c r="C548" s="146"/>
      <c r="D548" s="83"/>
      <c r="E548" s="329"/>
      <c r="F548" s="329"/>
      <c r="G548" s="355"/>
      <c r="I548" s="143"/>
      <c r="J548" s="143"/>
      <c r="K548" s="143"/>
      <c r="O548" s="220"/>
    </row>
    <row r="549" spans="1:15" s="159" customFormat="1" ht="14.25" customHeight="1" x14ac:dyDescent="0.25">
      <c r="A549" s="376"/>
      <c r="B549" s="101" t="s">
        <v>145</v>
      </c>
      <c r="C549" s="102"/>
      <c r="D549" s="107"/>
      <c r="E549" s="329"/>
      <c r="F549" s="353"/>
      <c r="G549" s="338">
        <f>+SUM(F546:F548)</f>
        <v>24.66</v>
      </c>
      <c r="I549" s="143"/>
      <c r="J549" s="143"/>
      <c r="K549" s="143"/>
      <c r="O549" s="220"/>
    </row>
    <row r="550" spans="1:15" s="159" customFormat="1" ht="14.25" customHeight="1" x14ac:dyDescent="0.25">
      <c r="A550" s="376" t="s">
        <v>98</v>
      </c>
      <c r="B550" s="99" t="s">
        <v>146</v>
      </c>
      <c r="C550" s="106"/>
      <c r="D550" s="83" t="s">
        <v>98</v>
      </c>
      <c r="E550" s="146"/>
      <c r="F550" s="108"/>
      <c r="G550" s="109" t="s">
        <v>147</v>
      </c>
      <c r="I550" s="143"/>
      <c r="J550" s="143"/>
      <c r="K550" s="143"/>
      <c r="O550" s="220"/>
    </row>
    <row r="551" spans="1:15" s="159" customFormat="1" ht="14.25" customHeight="1" x14ac:dyDescent="0.25">
      <c r="A551" s="376">
        <v>41569</v>
      </c>
      <c r="B551" s="145" t="str">
        <f>VLOOKUP(A551,Insumos!$A$10:$F$3462,2,FALSE)</f>
        <v>CONJ CX MEDIDOR POLIFASICO P-980-005+CX DISJ P-940-003</v>
      </c>
      <c r="C551" s="146" t="str">
        <f>VLOOKUP(A551,Insumos!$A$10:$F$3462,3,FALSE)</f>
        <v>UN</v>
      </c>
      <c r="D551" s="83">
        <v>1</v>
      </c>
      <c r="E551" s="329">
        <f>VLOOKUP(A551,Insumos!$A$10:$F$3462,4,FALSE)</f>
        <v>150.19999999999999</v>
      </c>
      <c r="F551" s="329">
        <f>ROUND((D551*E551),2)</f>
        <v>150.19999999999999</v>
      </c>
      <c r="G551" s="355"/>
      <c r="I551" s="143"/>
      <c r="J551" s="143"/>
      <c r="K551" s="143"/>
      <c r="O551" s="220"/>
    </row>
    <row r="552" spans="1:15" s="159" customFormat="1" ht="14.25" customHeight="1" x14ac:dyDescent="0.25">
      <c r="A552" s="376"/>
      <c r="B552" s="145"/>
      <c r="C552" s="146"/>
      <c r="D552" s="83"/>
      <c r="E552" s="329"/>
      <c r="F552" s="329"/>
      <c r="G552" s="355"/>
      <c r="I552" s="143"/>
      <c r="J552" s="143"/>
      <c r="K552" s="143"/>
      <c r="O552" s="220"/>
    </row>
    <row r="553" spans="1:15" s="159" customFormat="1" ht="14.25" customHeight="1" x14ac:dyDescent="0.25">
      <c r="A553" s="376"/>
      <c r="B553" s="145"/>
      <c r="C553" s="146"/>
      <c r="D553" s="83"/>
      <c r="E553" s="329"/>
      <c r="F553" s="329"/>
      <c r="G553" s="355"/>
      <c r="I553" s="143"/>
      <c r="J553" s="143"/>
      <c r="K553" s="143"/>
      <c r="O553" s="220"/>
    </row>
    <row r="554" spans="1:15" s="159" customFormat="1" ht="14.25" customHeight="1" x14ac:dyDescent="0.25">
      <c r="A554" s="376"/>
      <c r="B554" s="101" t="s">
        <v>148</v>
      </c>
      <c r="C554" s="102"/>
      <c r="D554" s="112"/>
      <c r="E554" s="353"/>
      <c r="F554" s="353"/>
      <c r="G554" s="338">
        <f>+SUM(F551:F553)</f>
        <v>150.19999999999999</v>
      </c>
      <c r="I554" s="143"/>
      <c r="J554" s="143"/>
      <c r="K554" s="143"/>
      <c r="O554" s="220"/>
    </row>
    <row r="555" spans="1:15" s="159" customFormat="1" ht="14.25" customHeight="1" x14ac:dyDescent="0.25">
      <c r="A555" s="376"/>
      <c r="B555" s="99" t="s">
        <v>149</v>
      </c>
      <c r="C555" s="106"/>
      <c r="D555" s="114"/>
      <c r="E555" s="106"/>
      <c r="F555" s="106"/>
      <c r="G555" s="109" t="s">
        <v>150</v>
      </c>
      <c r="I555" s="143"/>
      <c r="J555" s="143"/>
      <c r="K555" s="143"/>
      <c r="O555" s="220"/>
    </row>
    <row r="556" spans="1:15" s="159" customFormat="1" ht="14.25" customHeight="1" x14ac:dyDescent="0.25">
      <c r="A556" s="376"/>
      <c r="B556" s="99" t="s">
        <v>98</v>
      </c>
      <c r="C556" s="146"/>
      <c r="D556" s="110"/>
      <c r="E556" s="146"/>
      <c r="F556" s="146"/>
      <c r="G556" s="148"/>
      <c r="I556" s="143"/>
      <c r="J556" s="143"/>
      <c r="K556" s="143"/>
      <c r="O556" s="220"/>
    </row>
    <row r="557" spans="1:15" s="159" customFormat="1" ht="14.25" customHeight="1" x14ac:dyDescent="0.25">
      <c r="A557" s="376"/>
      <c r="B557" s="99" t="s">
        <v>98</v>
      </c>
      <c r="C557" s="146"/>
      <c r="D557" s="110"/>
      <c r="E557" s="146"/>
      <c r="F557" s="146"/>
      <c r="G557" s="148"/>
      <c r="I557" s="143"/>
      <c r="J557" s="143"/>
      <c r="K557" s="143"/>
      <c r="O557" s="220"/>
    </row>
    <row r="558" spans="1:15" s="159" customFormat="1" ht="14.25" customHeight="1" thickBot="1" x14ac:dyDescent="0.3">
      <c r="A558" s="376"/>
      <c r="B558" s="115" t="s">
        <v>151</v>
      </c>
      <c r="C558" s="116"/>
      <c r="D558" s="117"/>
      <c r="E558" s="116"/>
      <c r="F558" s="116"/>
      <c r="G558" s="118">
        <f>+SUM(F556:F557)</f>
        <v>0</v>
      </c>
      <c r="I558" s="143"/>
      <c r="J558" s="143"/>
      <c r="K558" s="143"/>
      <c r="O558" s="220"/>
    </row>
    <row r="559" spans="1:15" s="159" customFormat="1" ht="14.25" customHeight="1" thickBot="1" x14ac:dyDescent="0.3">
      <c r="A559" s="376"/>
      <c r="B559" s="1382"/>
      <c r="C559" s="1382"/>
      <c r="D559" s="1382"/>
      <c r="E559" s="1382"/>
      <c r="F559" s="1382"/>
      <c r="G559" s="1382"/>
      <c r="I559" s="143"/>
      <c r="J559" s="143"/>
      <c r="K559" s="143"/>
      <c r="O559" s="220"/>
    </row>
    <row r="560" spans="1:15" s="159" customFormat="1" ht="14.25" customHeight="1" thickBot="1" x14ac:dyDescent="0.3">
      <c r="A560" s="376"/>
      <c r="B560" s="69" t="s">
        <v>152</v>
      </c>
      <c r="C560" s="70" t="s">
        <v>4415</v>
      </c>
      <c r="D560" s="71" t="s">
        <v>154</v>
      </c>
      <c r="E560" s="1381" t="s">
        <v>155</v>
      </c>
      <c r="F560" s="1381"/>
      <c r="G560" s="1381"/>
      <c r="I560" s="143"/>
      <c r="J560" s="143"/>
      <c r="K560" s="143"/>
      <c r="O560" s="220"/>
    </row>
    <row r="561" spans="1:15" s="159" customFormat="1" ht="14.25" customHeight="1" thickBot="1" x14ac:dyDescent="0.3">
      <c r="A561" s="376"/>
      <c r="B561" s="72" t="s">
        <v>156</v>
      </c>
      <c r="C561" s="73"/>
      <c r="D561" s="332">
        <f>G549</f>
        <v>24.66</v>
      </c>
      <c r="E561" s="1381"/>
      <c r="F561" s="1381"/>
      <c r="G561" s="1381"/>
      <c r="I561" s="143"/>
      <c r="J561" s="143"/>
      <c r="K561" s="143"/>
      <c r="O561" s="220"/>
    </row>
    <row r="562" spans="1:15" s="159" customFormat="1" ht="14.25" customHeight="1" thickBot="1" x14ac:dyDescent="0.3">
      <c r="A562" s="376"/>
      <c r="B562" s="72" t="s">
        <v>157</v>
      </c>
      <c r="C562" s="73"/>
      <c r="D562" s="332">
        <f>G554</f>
        <v>150.19999999999999</v>
      </c>
      <c r="E562" s="1381"/>
      <c r="F562" s="1381"/>
      <c r="G562" s="1381"/>
      <c r="I562" s="143"/>
      <c r="J562" s="143"/>
      <c r="K562" s="143"/>
      <c r="O562" s="220"/>
    </row>
    <row r="563" spans="1:15" s="159" customFormat="1" ht="14.25" customHeight="1" thickBot="1" x14ac:dyDescent="0.3">
      <c r="A563" s="376"/>
      <c r="B563" s="72" t="s">
        <v>158</v>
      </c>
      <c r="C563" s="73"/>
      <c r="D563" s="332">
        <f>G558</f>
        <v>0</v>
      </c>
      <c r="E563" s="1381"/>
      <c r="F563" s="1381"/>
      <c r="G563" s="1381"/>
      <c r="I563" s="143"/>
      <c r="J563" s="143"/>
      <c r="K563" s="143"/>
      <c r="O563" s="220"/>
    </row>
    <row r="564" spans="1:15" s="159" customFormat="1" ht="14.25" customHeight="1" thickBot="1" x14ac:dyDescent="0.3">
      <c r="A564" s="376"/>
      <c r="B564" s="72" t="s">
        <v>159</v>
      </c>
      <c r="C564" s="74">
        <f>$J$5</f>
        <v>157.27000000000001</v>
      </c>
      <c r="D564" s="332">
        <f>+ROUND((D561*C564),2)/100</f>
        <v>38.78</v>
      </c>
      <c r="E564" s="1381"/>
      <c r="F564" s="1381"/>
      <c r="G564" s="1381"/>
      <c r="I564" s="143"/>
      <c r="J564" s="143"/>
      <c r="K564" s="143"/>
      <c r="O564" s="220"/>
    </row>
    <row r="565" spans="1:15" s="159" customFormat="1" ht="14.25" customHeight="1" thickBot="1" x14ac:dyDescent="0.3">
      <c r="A565" s="376"/>
      <c r="B565" s="72" t="s">
        <v>160</v>
      </c>
      <c r="C565" s="75"/>
      <c r="D565" s="333">
        <f>+SUM(D561:D564)</f>
        <v>213.64</v>
      </c>
      <c r="E565" s="1381"/>
      <c r="F565" s="1381"/>
      <c r="G565" s="1381"/>
      <c r="I565" s="143"/>
      <c r="J565" s="143"/>
      <c r="K565" s="143"/>
      <c r="O565" s="220"/>
    </row>
    <row r="566" spans="1:15" s="159" customFormat="1" ht="14.25" customHeight="1" thickBot="1" x14ac:dyDescent="0.3">
      <c r="A566" s="376"/>
      <c r="B566" s="72" t="s">
        <v>161</v>
      </c>
      <c r="C566" s="73"/>
      <c r="D566" s="332" t="s">
        <v>162</v>
      </c>
      <c r="E566" s="1382" t="s">
        <v>163</v>
      </c>
      <c r="F566" s="1382"/>
      <c r="G566" s="1382"/>
      <c r="I566" s="143"/>
      <c r="J566" s="143"/>
      <c r="K566" s="143"/>
      <c r="O566" s="220"/>
    </row>
    <row r="567" spans="1:15" s="159" customFormat="1" ht="14.25" customHeight="1" thickBot="1" x14ac:dyDescent="0.3">
      <c r="A567" s="376"/>
      <c r="B567" s="122" t="s">
        <v>164</v>
      </c>
      <c r="C567" s="123"/>
      <c r="D567" s="334">
        <f>+SUM(D565:D566)</f>
        <v>213.64</v>
      </c>
      <c r="E567" s="1382"/>
      <c r="F567" s="1382"/>
      <c r="G567" s="1382"/>
      <c r="I567" s="143"/>
      <c r="J567" s="143"/>
      <c r="K567" s="143"/>
      <c r="O567" s="220"/>
    </row>
    <row r="568" spans="1:15" s="159" customFormat="1" ht="14.25" customHeight="1" thickBot="1" x14ac:dyDescent="0.3">
      <c r="A568" s="376"/>
      <c r="B568" s="124" t="s">
        <v>165</v>
      </c>
      <c r="C568" s="125">
        <f>$I$5</f>
        <v>28.49</v>
      </c>
      <c r="D568" s="335">
        <f>ROUND((D567*C568),2)/100</f>
        <v>60.87</v>
      </c>
      <c r="E568" s="1382"/>
      <c r="F568" s="1382"/>
      <c r="G568" s="1382"/>
      <c r="I568" s="143"/>
      <c r="J568" s="143"/>
      <c r="K568" s="143"/>
      <c r="O568" s="220"/>
    </row>
    <row r="569" spans="1:15" s="159" customFormat="1" ht="14.25" customHeight="1" thickBot="1" x14ac:dyDescent="0.3">
      <c r="A569" s="376"/>
      <c r="B569" s="80" t="s">
        <v>166</v>
      </c>
      <c r="C569" s="127"/>
      <c r="D569" s="336">
        <f>+SUM(D567:D568)</f>
        <v>274.51</v>
      </c>
      <c r="E569" s="128"/>
      <c r="F569" s="337">
        <f>D569</f>
        <v>274.51</v>
      </c>
      <c r="G569" s="131"/>
      <c r="I569" s="143"/>
      <c r="J569" s="143"/>
      <c r="K569" s="143"/>
      <c r="O569" s="220"/>
    </row>
    <row r="570" spans="1:15" s="159" customFormat="1" ht="14.25" customHeight="1" x14ac:dyDescent="0.25">
      <c r="A570" s="376"/>
      <c r="B570" s="28"/>
      <c r="C570" s="28"/>
      <c r="D570" s="28"/>
      <c r="E570" s="28"/>
      <c r="F570" s="28"/>
      <c r="G570" s="28"/>
      <c r="I570" s="143"/>
      <c r="J570" s="143"/>
      <c r="K570" s="143"/>
      <c r="O570" s="220"/>
    </row>
    <row r="571" spans="1:15" s="159" customFormat="1" ht="14.25" customHeight="1" thickBot="1" x14ac:dyDescent="0.3">
      <c r="A571" s="376"/>
      <c r="B571" s="28"/>
      <c r="C571" s="28"/>
      <c r="D571" s="28"/>
      <c r="E571" s="28"/>
      <c r="F571" s="28"/>
      <c r="G571" s="28"/>
      <c r="I571" s="143"/>
      <c r="J571" s="143"/>
      <c r="K571" s="143"/>
      <c r="O571" s="220"/>
    </row>
    <row r="572" spans="1:15" s="159" customFormat="1" ht="14.25" customHeight="1" x14ac:dyDescent="0.25">
      <c r="A572" s="376"/>
      <c r="B572" s="1383" t="s">
        <v>131</v>
      </c>
      <c r="C572" s="1383"/>
      <c r="D572" s="1383"/>
      <c r="E572" s="1383"/>
      <c r="F572" s="1383"/>
      <c r="G572" s="1383"/>
      <c r="I572" s="143"/>
      <c r="J572" s="143"/>
      <c r="K572" s="143"/>
      <c r="O572" s="220"/>
    </row>
    <row r="573" spans="1:15" s="159" customFormat="1" ht="14.25" customHeight="1" thickBot="1" x14ac:dyDescent="0.3">
      <c r="A573" s="376"/>
      <c r="B573" s="1384" t="str">
        <f>$I$3</f>
        <v>Urbanização da Orla de Piúma - Município de Piúma / ES</v>
      </c>
      <c r="C573" s="1385"/>
      <c r="D573" s="1385"/>
      <c r="E573" s="1385"/>
      <c r="F573" s="1385"/>
      <c r="G573" s="1386"/>
      <c r="I573" s="143"/>
      <c r="J573" s="143"/>
      <c r="K573" s="143"/>
      <c r="O573" s="220"/>
    </row>
    <row r="574" spans="1:15" s="159" customFormat="1" ht="14.25" customHeight="1" thickBot="1" x14ac:dyDescent="0.3">
      <c r="A574" s="376"/>
      <c r="B574" s="90" t="s">
        <v>132</v>
      </c>
      <c r="C574" s="90" t="s">
        <v>133</v>
      </c>
      <c r="D574" s="1381" t="s">
        <v>134</v>
      </c>
      <c r="E574" s="1381"/>
      <c r="F574" s="131" t="s">
        <v>275</v>
      </c>
      <c r="G574" s="131" t="s">
        <v>135</v>
      </c>
      <c r="I574" s="143"/>
      <c r="J574" s="143"/>
      <c r="K574" s="143"/>
      <c r="O574" s="220"/>
    </row>
    <row r="575" spans="1:15" s="159" customFormat="1" ht="39.75" thickBot="1" x14ac:dyDescent="0.3">
      <c r="A575" s="376"/>
      <c r="B575" s="132" t="s">
        <v>323</v>
      </c>
      <c r="C575" s="92" t="s">
        <v>98</v>
      </c>
      <c r="D575" s="1381" t="s">
        <v>8</v>
      </c>
      <c r="E575" s="1381"/>
      <c r="F575" s="144" t="s">
        <v>203</v>
      </c>
      <c r="G575" s="38">
        <f>$K$5</f>
        <v>44501</v>
      </c>
      <c r="I575" s="143"/>
      <c r="J575" s="143"/>
      <c r="K575" s="143"/>
      <c r="O575" s="220"/>
    </row>
    <row r="576" spans="1:15" s="159" customFormat="1" ht="14.25" customHeight="1" thickBot="1" x14ac:dyDescent="0.3">
      <c r="A576" s="376"/>
      <c r="B576" s="1382"/>
      <c r="C576" s="1382"/>
      <c r="D576" s="1382"/>
      <c r="E576" s="1382"/>
      <c r="F576" s="1382"/>
      <c r="G576" s="1382"/>
      <c r="I576" s="143"/>
      <c r="J576" s="143"/>
      <c r="K576" s="143"/>
      <c r="O576" s="220"/>
    </row>
    <row r="577" spans="1:15" s="159" customFormat="1" ht="14.25" customHeight="1" x14ac:dyDescent="0.25">
      <c r="A577" s="376"/>
      <c r="B577" s="93" t="s">
        <v>139</v>
      </c>
      <c r="C577" s="94" t="s">
        <v>140</v>
      </c>
      <c r="D577" s="94" t="s">
        <v>141</v>
      </c>
      <c r="E577" s="94" t="s">
        <v>142</v>
      </c>
      <c r="F577" s="94" t="s">
        <v>143</v>
      </c>
      <c r="G577" s="95" t="s">
        <v>144</v>
      </c>
      <c r="I577" s="143"/>
      <c r="J577" s="143"/>
      <c r="K577" s="143"/>
      <c r="O577" s="220"/>
    </row>
    <row r="578" spans="1:15" s="159" customFormat="1" ht="14.25" customHeight="1" x14ac:dyDescent="0.25">
      <c r="A578" s="376">
        <v>10115</v>
      </c>
      <c r="B578" s="145" t="str">
        <f>VLOOKUP(A578,Insumos!$A$10:$F$3462,2,FALSE)</f>
        <v>ELETRICISTA (OFICIAL - SINDUSCON)</v>
      </c>
      <c r="C578" s="146" t="str">
        <f>VLOOKUP(A578,Insumos!$A$10:$F$3462,3,FALSE)</f>
        <v>H</v>
      </c>
      <c r="D578" s="83">
        <v>2</v>
      </c>
      <c r="E578" s="329">
        <f>VLOOKUP(A578,Insumos!$A$10:$F$3462,4,FALSE)</f>
        <v>7.43</v>
      </c>
      <c r="F578" s="329">
        <f>ROUND((D578*E578),2)</f>
        <v>14.86</v>
      </c>
      <c r="G578" s="355"/>
      <c r="I578" s="143"/>
      <c r="J578" s="143"/>
      <c r="K578" s="143"/>
      <c r="O578" s="220"/>
    </row>
    <row r="579" spans="1:15" s="159" customFormat="1" ht="14.25" customHeight="1" x14ac:dyDescent="0.25">
      <c r="A579" s="376">
        <v>10101</v>
      </c>
      <c r="B579" s="145" t="str">
        <f>VLOOKUP(A579,Insumos!$A$10:$F$3462,2,FALSE)</f>
        <v>AJUDANTE (AJUDANTE PRATICO - SINDUSCON)</v>
      </c>
      <c r="C579" s="146" t="str">
        <f>VLOOKUP(A579,Insumos!$A$10:$F$3462,3,FALSE)</f>
        <v>H</v>
      </c>
      <c r="D579" s="83">
        <v>2</v>
      </c>
      <c r="E579" s="329">
        <f>VLOOKUP(A579,Insumos!$A$10:$F$3462,4,FALSE)</f>
        <v>6.27</v>
      </c>
      <c r="F579" s="329">
        <f>ROUND((D579*E579),2)</f>
        <v>12.54</v>
      </c>
      <c r="G579" s="355"/>
      <c r="I579" s="143"/>
      <c r="J579" s="143"/>
      <c r="K579" s="143"/>
      <c r="O579" s="220"/>
    </row>
    <row r="580" spans="1:15" s="159" customFormat="1" ht="14.25" customHeight="1" x14ac:dyDescent="0.25">
      <c r="A580" s="376"/>
      <c r="B580" s="99"/>
      <c r="C580" s="146"/>
      <c r="D580" s="83"/>
      <c r="E580" s="329"/>
      <c r="F580" s="329"/>
      <c r="G580" s="355"/>
      <c r="I580" s="143"/>
      <c r="J580" s="143"/>
      <c r="K580" s="143"/>
      <c r="O580" s="220"/>
    </row>
    <row r="581" spans="1:15" s="159" customFormat="1" ht="14.25" customHeight="1" x14ac:dyDescent="0.25">
      <c r="A581" s="376"/>
      <c r="B581" s="101" t="s">
        <v>145</v>
      </c>
      <c r="C581" s="102"/>
      <c r="D581" s="107"/>
      <c r="E581" s="329"/>
      <c r="F581" s="353"/>
      <c r="G581" s="338">
        <f>+SUM(F578:F580)</f>
        <v>27.4</v>
      </c>
      <c r="I581" s="143"/>
      <c r="J581" s="143"/>
      <c r="K581" s="143"/>
      <c r="O581" s="220"/>
    </row>
    <row r="582" spans="1:15" s="159" customFormat="1" ht="14.25" customHeight="1" x14ac:dyDescent="0.25">
      <c r="A582" s="376" t="s">
        <v>98</v>
      </c>
      <c r="B582" s="99" t="s">
        <v>146</v>
      </c>
      <c r="C582" s="106"/>
      <c r="D582" s="83" t="s">
        <v>98</v>
      </c>
      <c r="E582" s="146"/>
      <c r="F582" s="108"/>
      <c r="G582" s="109" t="s">
        <v>147</v>
      </c>
      <c r="I582" s="143"/>
      <c r="J582" s="143"/>
      <c r="K582" s="143"/>
      <c r="O582" s="220"/>
    </row>
    <row r="583" spans="1:15" s="159" customFormat="1" ht="26.25" x14ac:dyDescent="0.25">
      <c r="A583" s="379">
        <v>41528</v>
      </c>
      <c r="B583" s="145" t="str">
        <f>VLOOKUP(A583,Insumos!$A$10:$F$3462,2,FALSE)</f>
        <v>QUADRO DIST EMBUTIR MET C/ BARRAMENTO TRIFASICO 18 CIRC - 100A C/ TRINCO</v>
      </c>
      <c r="C583" s="146" t="str">
        <f>VLOOKUP(A583,Insumos!$A$10:$F$3462,3,FALSE)</f>
        <v>UN</v>
      </c>
      <c r="D583" s="83">
        <v>1</v>
      </c>
      <c r="E583" s="329">
        <f>VLOOKUP(A583,Insumos!$A$10:$F$3462,4,FALSE)</f>
        <v>556.76</v>
      </c>
      <c r="F583" s="329">
        <f>ROUND((D583*E583),2)</f>
        <v>556.76</v>
      </c>
      <c r="G583" s="355"/>
      <c r="I583" s="143"/>
      <c r="J583" s="143"/>
      <c r="K583" s="143"/>
      <c r="O583" s="220"/>
    </row>
    <row r="584" spans="1:15" s="159" customFormat="1" ht="14.25" customHeight="1" x14ac:dyDescent="0.25">
      <c r="A584" s="376"/>
      <c r="B584" s="145"/>
      <c r="C584" s="146"/>
      <c r="D584" s="83"/>
      <c r="E584" s="329"/>
      <c r="F584" s="329"/>
      <c r="G584" s="355"/>
      <c r="I584" s="143"/>
      <c r="J584" s="143"/>
      <c r="K584" s="143"/>
      <c r="O584" s="220"/>
    </row>
    <row r="585" spans="1:15" s="159" customFormat="1" ht="14.25" customHeight="1" x14ac:dyDescent="0.25">
      <c r="A585" s="376"/>
      <c r="B585" s="145"/>
      <c r="C585" s="146"/>
      <c r="D585" s="83"/>
      <c r="E585" s="329"/>
      <c r="F585" s="329"/>
      <c r="G585" s="355"/>
      <c r="I585" s="143"/>
      <c r="J585" s="143"/>
      <c r="K585" s="143"/>
      <c r="O585" s="220"/>
    </row>
    <row r="586" spans="1:15" s="159" customFormat="1" ht="14.25" customHeight="1" x14ac:dyDescent="0.25">
      <c r="A586" s="376"/>
      <c r="B586" s="101" t="s">
        <v>148</v>
      </c>
      <c r="C586" s="102"/>
      <c r="D586" s="112"/>
      <c r="E586" s="353"/>
      <c r="F586" s="353"/>
      <c r="G586" s="338">
        <f>+SUM(F583:F585)</f>
        <v>556.76</v>
      </c>
      <c r="I586" s="143"/>
      <c r="J586" s="143"/>
      <c r="K586" s="143"/>
      <c r="O586" s="220"/>
    </row>
    <row r="587" spans="1:15" s="159" customFormat="1" ht="14.25" customHeight="1" x14ac:dyDescent="0.25">
      <c r="A587" s="376"/>
      <c r="B587" s="99" t="s">
        <v>149</v>
      </c>
      <c r="C587" s="106"/>
      <c r="D587" s="114"/>
      <c r="E587" s="106"/>
      <c r="F587" s="106"/>
      <c r="G587" s="109" t="s">
        <v>150</v>
      </c>
      <c r="I587" s="143"/>
      <c r="J587" s="143"/>
      <c r="K587" s="143"/>
      <c r="O587" s="220"/>
    </row>
    <row r="588" spans="1:15" s="159" customFormat="1" ht="14.25" customHeight="1" x14ac:dyDescent="0.25">
      <c r="A588" s="376"/>
      <c r="B588" s="99" t="s">
        <v>98</v>
      </c>
      <c r="C588" s="146"/>
      <c r="D588" s="110"/>
      <c r="E588" s="146"/>
      <c r="F588" s="146"/>
      <c r="G588" s="148"/>
      <c r="I588" s="143"/>
      <c r="J588" s="143"/>
      <c r="K588" s="143"/>
      <c r="O588" s="220"/>
    </row>
    <row r="589" spans="1:15" s="159" customFormat="1" ht="14.25" customHeight="1" x14ac:dyDescent="0.25">
      <c r="A589" s="376"/>
      <c r="B589" s="99" t="s">
        <v>98</v>
      </c>
      <c r="C589" s="146"/>
      <c r="D589" s="110"/>
      <c r="E589" s="146"/>
      <c r="F589" s="146"/>
      <c r="G589" s="148"/>
      <c r="I589" s="143"/>
      <c r="J589" s="143"/>
      <c r="K589" s="143"/>
      <c r="O589" s="220"/>
    </row>
    <row r="590" spans="1:15" s="159" customFormat="1" ht="14.25" customHeight="1" thickBot="1" x14ac:dyDescent="0.3">
      <c r="A590" s="376"/>
      <c r="B590" s="115" t="s">
        <v>151</v>
      </c>
      <c r="C590" s="116"/>
      <c r="D590" s="117"/>
      <c r="E590" s="116"/>
      <c r="F590" s="116"/>
      <c r="G590" s="118">
        <f>+SUM(F588:F589)</f>
        <v>0</v>
      </c>
      <c r="I590" s="143"/>
      <c r="J590" s="143"/>
      <c r="K590" s="143"/>
      <c r="O590" s="220"/>
    </row>
    <row r="591" spans="1:15" s="159" customFormat="1" ht="14.25" customHeight="1" thickBot="1" x14ac:dyDescent="0.3">
      <c r="A591" s="376"/>
      <c r="B591" s="1382"/>
      <c r="C591" s="1382"/>
      <c r="D591" s="1382"/>
      <c r="E591" s="1382"/>
      <c r="F591" s="1382"/>
      <c r="G591" s="1382"/>
      <c r="I591" s="143"/>
      <c r="J591" s="143"/>
      <c r="K591" s="143"/>
      <c r="O591" s="220"/>
    </row>
    <row r="592" spans="1:15" s="159" customFormat="1" ht="14.25" customHeight="1" thickBot="1" x14ac:dyDescent="0.3">
      <c r="A592" s="376"/>
      <c r="B592" s="69" t="s">
        <v>152</v>
      </c>
      <c r="C592" s="70" t="s">
        <v>4415</v>
      </c>
      <c r="D592" s="71" t="s">
        <v>154</v>
      </c>
      <c r="E592" s="1381" t="s">
        <v>155</v>
      </c>
      <c r="F592" s="1381"/>
      <c r="G592" s="1381"/>
      <c r="I592" s="143"/>
      <c r="J592" s="143"/>
      <c r="K592" s="143"/>
      <c r="O592" s="220"/>
    </row>
    <row r="593" spans="1:15" s="159" customFormat="1" ht="14.25" customHeight="1" thickBot="1" x14ac:dyDescent="0.3">
      <c r="A593" s="376"/>
      <c r="B593" s="72" t="s">
        <v>156</v>
      </c>
      <c r="C593" s="73"/>
      <c r="D593" s="332">
        <f>G581</f>
        <v>27.4</v>
      </c>
      <c r="E593" s="1381"/>
      <c r="F593" s="1381"/>
      <c r="G593" s="1381"/>
      <c r="I593" s="143"/>
      <c r="J593" s="143"/>
      <c r="K593" s="143"/>
      <c r="O593" s="220"/>
    </row>
    <row r="594" spans="1:15" s="159" customFormat="1" ht="14.25" customHeight="1" thickBot="1" x14ac:dyDescent="0.3">
      <c r="A594" s="376"/>
      <c r="B594" s="72" t="s">
        <v>157</v>
      </c>
      <c r="C594" s="73"/>
      <c r="D594" s="332">
        <f>G586</f>
        <v>556.76</v>
      </c>
      <c r="E594" s="1381"/>
      <c r="F594" s="1381"/>
      <c r="G594" s="1381"/>
      <c r="I594" s="143"/>
      <c r="J594" s="143"/>
      <c r="K594" s="143"/>
      <c r="O594" s="220"/>
    </row>
    <row r="595" spans="1:15" s="159" customFormat="1" ht="14.25" customHeight="1" thickBot="1" x14ac:dyDescent="0.3">
      <c r="A595" s="376"/>
      <c r="B595" s="72" t="s">
        <v>158</v>
      </c>
      <c r="C595" s="73"/>
      <c r="D595" s="332">
        <f>G590</f>
        <v>0</v>
      </c>
      <c r="E595" s="1381"/>
      <c r="F595" s="1381"/>
      <c r="G595" s="1381"/>
      <c r="I595" s="143"/>
      <c r="J595" s="143"/>
      <c r="K595" s="143"/>
      <c r="O595" s="220"/>
    </row>
    <row r="596" spans="1:15" s="159" customFormat="1" ht="14.25" customHeight="1" thickBot="1" x14ac:dyDescent="0.3">
      <c r="A596" s="376"/>
      <c r="B596" s="72" t="s">
        <v>159</v>
      </c>
      <c r="C596" s="74">
        <f>$J$5</f>
        <v>157.27000000000001</v>
      </c>
      <c r="D596" s="332">
        <f>+ROUND((D593*C596),2)/100</f>
        <v>43.09</v>
      </c>
      <c r="E596" s="1381"/>
      <c r="F596" s="1381"/>
      <c r="G596" s="1381"/>
      <c r="I596" s="143"/>
      <c r="J596" s="143"/>
      <c r="K596" s="143"/>
      <c r="O596" s="220"/>
    </row>
    <row r="597" spans="1:15" s="159" customFormat="1" ht="14.25" customHeight="1" thickBot="1" x14ac:dyDescent="0.3">
      <c r="A597" s="376"/>
      <c r="B597" s="72" t="s">
        <v>160</v>
      </c>
      <c r="C597" s="75"/>
      <c r="D597" s="333">
        <f>+SUM(D593:D596)</f>
        <v>627.25</v>
      </c>
      <c r="E597" s="1381"/>
      <c r="F597" s="1381"/>
      <c r="G597" s="1381"/>
      <c r="I597" s="143"/>
      <c r="J597" s="143"/>
      <c r="K597" s="143"/>
      <c r="O597" s="220"/>
    </row>
    <row r="598" spans="1:15" s="159" customFormat="1" ht="14.25" customHeight="1" thickBot="1" x14ac:dyDescent="0.3">
      <c r="A598" s="376"/>
      <c r="B598" s="72" t="s">
        <v>161</v>
      </c>
      <c r="C598" s="73"/>
      <c r="D598" s="332" t="s">
        <v>162</v>
      </c>
      <c r="E598" s="1382" t="s">
        <v>163</v>
      </c>
      <c r="F598" s="1382"/>
      <c r="G598" s="1382"/>
      <c r="I598" s="143"/>
      <c r="J598" s="143"/>
      <c r="K598" s="143"/>
      <c r="O598" s="220"/>
    </row>
    <row r="599" spans="1:15" s="159" customFormat="1" ht="14.25" customHeight="1" thickBot="1" x14ac:dyDescent="0.3">
      <c r="A599" s="376"/>
      <c r="B599" s="122" t="s">
        <v>164</v>
      </c>
      <c r="C599" s="123"/>
      <c r="D599" s="334">
        <f>+SUM(D597:D598)</f>
        <v>627.25</v>
      </c>
      <c r="E599" s="1382"/>
      <c r="F599" s="1382"/>
      <c r="G599" s="1382"/>
      <c r="I599" s="143"/>
      <c r="J599" s="143"/>
      <c r="K599" s="143"/>
      <c r="O599" s="220"/>
    </row>
    <row r="600" spans="1:15" s="159" customFormat="1" ht="14.25" customHeight="1" thickBot="1" x14ac:dyDescent="0.3">
      <c r="A600" s="376"/>
      <c r="B600" s="124" t="s">
        <v>165</v>
      </c>
      <c r="C600" s="125">
        <f>$I$5</f>
        <v>28.49</v>
      </c>
      <c r="D600" s="335">
        <f>ROUND((D599*C600),2)/100</f>
        <v>178.7</v>
      </c>
      <c r="E600" s="1382"/>
      <c r="F600" s="1382"/>
      <c r="G600" s="1382"/>
      <c r="I600" s="143"/>
      <c r="J600" s="143"/>
      <c r="K600" s="143"/>
      <c r="O600" s="220"/>
    </row>
    <row r="601" spans="1:15" s="159" customFormat="1" ht="14.25" customHeight="1" thickBot="1" x14ac:dyDescent="0.3">
      <c r="A601" s="376"/>
      <c r="B601" s="80" t="s">
        <v>166</v>
      </c>
      <c r="C601" s="127"/>
      <c r="D601" s="336">
        <f>+SUM(D599:D600)</f>
        <v>805.95</v>
      </c>
      <c r="E601" s="128"/>
      <c r="F601" s="337">
        <f>D601</f>
        <v>805.95</v>
      </c>
      <c r="G601" s="131"/>
      <c r="I601" s="143"/>
      <c r="J601" s="143"/>
      <c r="K601" s="143"/>
      <c r="O601" s="220"/>
    </row>
    <row r="602" spans="1:15" s="159" customFormat="1" ht="14.25" customHeight="1" x14ac:dyDescent="0.25">
      <c r="A602" s="376"/>
      <c r="B602" s="28"/>
      <c r="C602" s="28"/>
      <c r="D602" s="28"/>
      <c r="E602" s="28"/>
      <c r="F602" s="28"/>
      <c r="G602" s="28"/>
      <c r="I602" s="143"/>
      <c r="J602" s="143"/>
      <c r="K602" s="143"/>
      <c r="O602" s="220"/>
    </row>
    <row r="603" spans="1:15" s="159" customFormat="1" ht="14.25" customHeight="1" thickBot="1" x14ac:dyDescent="0.3">
      <c r="A603" s="376"/>
      <c r="B603" s="28"/>
      <c r="C603" s="28"/>
      <c r="D603" s="28"/>
      <c r="E603" s="28"/>
      <c r="F603" s="28"/>
      <c r="G603" s="28"/>
      <c r="I603" s="143"/>
      <c r="J603" s="143"/>
      <c r="K603" s="143"/>
      <c r="O603" s="220"/>
    </row>
    <row r="604" spans="1:15" s="159" customFormat="1" ht="14.25" customHeight="1" x14ac:dyDescent="0.25">
      <c r="A604" s="376"/>
      <c r="B604" s="1383" t="s">
        <v>131</v>
      </c>
      <c r="C604" s="1383"/>
      <c r="D604" s="1383"/>
      <c r="E604" s="1383"/>
      <c r="F604" s="1383"/>
      <c r="G604" s="1383"/>
      <c r="I604" s="143"/>
      <c r="J604" s="143"/>
      <c r="K604" s="143"/>
      <c r="O604" s="220"/>
    </row>
    <row r="605" spans="1:15" s="159" customFormat="1" ht="14.25" customHeight="1" thickBot="1" x14ac:dyDescent="0.3">
      <c r="A605" s="376"/>
      <c r="B605" s="1384" t="str">
        <f>$I$3</f>
        <v>Urbanização da Orla de Piúma - Município de Piúma / ES</v>
      </c>
      <c r="C605" s="1385"/>
      <c r="D605" s="1385"/>
      <c r="E605" s="1385"/>
      <c r="F605" s="1385"/>
      <c r="G605" s="1386"/>
      <c r="I605" s="143"/>
      <c r="J605" s="143"/>
      <c r="K605" s="143"/>
      <c r="O605" s="220"/>
    </row>
    <row r="606" spans="1:15" s="159" customFormat="1" ht="14.25" customHeight="1" thickBot="1" x14ac:dyDescent="0.3">
      <c r="A606" s="376"/>
      <c r="B606" s="90" t="s">
        <v>132</v>
      </c>
      <c r="C606" s="90" t="s">
        <v>133</v>
      </c>
      <c r="D606" s="1381" t="s">
        <v>134</v>
      </c>
      <c r="E606" s="1381"/>
      <c r="F606" s="131" t="s">
        <v>275</v>
      </c>
      <c r="G606" s="131" t="s">
        <v>135</v>
      </c>
      <c r="I606" s="143"/>
      <c r="J606" s="143"/>
      <c r="K606" s="143"/>
      <c r="O606" s="220"/>
    </row>
    <row r="607" spans="1:15" s="159" customFormat="1" ht="39.75" thickBot="1" x14ac:dyDescent="0.3">
      <c r="A607" s="376"/>
      <c r="B607" s="132" t="s">
        <v>324</v>
      </c>
      <c r="C607" s="92" t="s">
        <v>98</v>
      </c>
      <c r="D607" s="1381" t="s">
        <v>8</v>
      </c>
      <c r="E607" s="1381"/>
      <c r="F607" s="144" t="s">
        <v>322</v>
      </c>
      <c r="G607" s="38">
        <f>$K$5</f>
        <v>44501</v>
      </c>
      <c r="I607" s="143"/>
      <c r="J607" s="143"/>
      <c r="K607" s="143"/>
      <c r="O607" s="220"/>
    </row>
    <row r="608" spans="1:15" s="159" customFormat="1" ht="14.25" customHeight="1" thickBot="1" x14ac:dyDescent="0.3">
      <c r="A608" s="376"/>
      <c r="B608" s="1382"/>
      <c r="C608" s="1382"/>
      <c r="D608" s="1382"/>
      <c r="E608" s="1382"/>
      <c r="F608" s="1382"/>
      <c r="G608" s="1382"/>
      <c r="I608" s="143"/>
      <c r="J608" s="143"/>
      <c r="K608" s="143"/>
      <c r="O608" s="220"/>
    </row>
    <row r="609" spans="1:15" s="159" customFormat="1" ht="14.25" customHeight="1" x14ac:dyDescent="0.25">
      <c r="A609" s="376"/>
      <c r="B609" s="93" t="s">
        <v>139</v>
      </c>
      <c r="C609" s="94" t="s">
        <v>140</v>
      </c>
      <c r="D609" s="94" t="s">
        <v>141</v>
      </c>
      <c r="E609" s="94" t="s">
        <v>142</v>
      </c>
      <c r="F609" s="94" t="s">
        <v>143</v>
      </c>
      <c r="G609" s="95" t="s">
        <v>144</v>
      </c>
      <c r="I609" s="143"/>
      <c r="J609" s="143"/>
      <c r="K609" s="143"/>
      <c r="O609" s="220"/>
    </row>
    <row r="610" spans="1:15" s="159" customFormat="1" ht="14.25" customHeight="1" x14ac:dyDescent="0.25">
      <c r="A610" s="376">
        <v>10115</v>
      </c>
      <c r="B610" s="145" t="str">
        <f>VLOOKUP(A610,Insumos!$A$10:$F$3462,2,FALSE)</f>
        <v>ELETRICISTA (OFICIAL - SINDUSCON)</v>
      </c>
      <c r="C610" s="146" t="str">
        <f>VLOOKUP(A610,Insumos!$A$10:$F$3462,3,FALSE)</f>
        <v>H</v>
      </c>
      <c r="D610" s="83">
        <v>1.25</v>
      </c>
      <c r="E610" s="329">
        <f>VLOOKUP(A610,Insumos!$A$10:$F$3462,4,FALSE)</f>
        <v>7.43</v>
      </c>
      <c r="F610" s="329">
        <f>ROUND((D610*E610),2)</f>
        <v>9.2899999999999991</v>
      </c>
      <c r="G610" s="355"/>
      <c r="I610" s="143"/>
      <c r="J610" s="143"/>
      <c r="K610" s="143"/>
      <c r="O610" s="220"/>
    </row>
    <row r="611" spans="1:15" s="159" customFormat="1" ht="14.25" customHeight="1" x14ac:dyDescent="0.25">
      <c r="A611" s="376">
        <v>10101</v>
      </c>
      <c r="B611" s="145" t="str">
        <f>VLOOKUP(A611,Insumos!$A$10:$F$3462,2,FALSE)</f>
        <v>AJUDANTE (AJUDANTE PRATICO - SINDUSCON)</v>
      </c>
      <c r="C611" s="146" t="str">
        <f>VLOOKUP(A611,Insumos!$A$10:$F$3462,3,FALSE)</f>
        <v>H</v>
      </c>
      <c r="D611" s="83">
        <v>1.25</v>
      </c>
      <c r="E611" s="329">
        <f>VLOOKUP(A611,Insumos!$A$10:$F$3462,4,FALSE)</f>
        <v>6.27</v>
      </c>
      <c r="F611" s="329">
        <f>ROUND((D611*E611),2)</f>
        <v>7.84</v>
      </c>
      <c r="G611" s="355"/>
      <c r="I611" s="143"/>
      <c r="J611" s="143"/>
      <c r="K611" s="143"/>
      <c r="O611" s="220"/>
    </row>
    <row r="612" spans="1:15" s="159" customFormat="1" ht="14.25" customHeight="1" x14ac:dyDescent="0.25">
      <c r="A612" s="376"/>
      <c r="B612" s="99"/>
      <c r="C612" s="146"/>
      <c r="D612" s="83"/>
      <c r="E612" s="329"/>
      <c r="F612" s="329"/>
      <c r="G612" s="355"/>
      <c r="I612" s="143"/>
      <c r="J612" s="143"/>
      <c r="K612" s="143"/>
      <c r="O612" s="220"/>
    </row>
    <row r="613" spans="1:15" s="159" customFormat="1" ht="14.25" customHeight="1" x14ac:dyDescent="0.25">
      <c r="A613" s="376"/>
      <c r="B613" s="101" t="s">
        <v>145</v>
      </c>
      <c r="C613" s="102"/>
      <c r="D613" s="107"/>
      <c r="E613" s="329"/>
      <c r="F613" s="353"/>
      <c r="G613" s="338">
        <f>+SUM(F610:F612)</f>
        <v>17.13</v>
      </c>
      <c r="I613" s="143"/>
      <c r="J613" s="143"/>
      <c r="K613" s="143"/>
      <c r="O613" s="220"/>
    </row>
    <row r="614" spans="1:15" s="159" customFormat="1" ht="14.25" customHeight="1" x14ac:dyDescent="0.25">
      <c r="A614" s="376" t="s">
        <v>98</v>
      </c>
      <c r="B614" s="99" t="s">
        <v>146</v>
      </c>
      <c r="C614" s="106"/>
      <c r="D614" s="83" t="s">
        <v>98</v>
      </c>
      <c r="E614" s="146"/>
      <c r="F614" s="108"/>
      <c r="G614" s="109" t="s">
        <v>147</v>
      </c>
      <c r="I614" s="143"/>
      <c r="J614" s="143"/>
      <c r="K614" s="143"/>
      <c r="O614" s="220"/>
    </row>
    <row r="615" spans="1:15" s="159" customFormat="1" x14ac:dyDescent="0.25">
      <c r="A615" s="379">
        <v>45003</v>
      </c>
      <c r="B615" s="145" t="str">
        <f>VLOOKUP(A615,Insumos!$A$10:$F$3462,2,FALSE)</f>
        <v>CAIXA PASSAG. CH 18 C/TAMPA PARAF. 200X200X100MM</v>
      </c>
      <c r="C615" s="146" t="str">
        <f>VLOOKUP(A615,Insumos!$A$10:$F$3462,3,FALSE)</f>
        <v>UN</v>
      </c>
      <c r="D615" s="83">
        <v>1</v>
      </c>
      <c r="E615" s="329">
        <f>VLOOKUP(A615,Insumos!$A$10:$F$3462,4,FALSE)</f>
        <v>57.07</v>
      </c>
      <c r="F615" s="329">
        <f>ROUND((D615*E615),2)</f>
        <v>57.07</v>
      </c>
      <c r="G615" s="355"/>
      <c r="I615" s="143"/>
      <c r="J615" s="143"/>
      <c r="K615" s="143"/>
      <c r="O615" s="220"/>
    </row>
    <row r="616" spans="1:15" s="159" customFormat="1" ht="14.25" customHeight="1" x14ac:dyDescent="0.25">
      <c r="A616" s="376"/>
      <c r="B616" s="145"/>
      <c r="C616" s="146"/>
      <c r="D616" s="83"/>
      <c r="E616" s="329"/>
      <c r="F616" s="329"/>
      <c r="G616" s="355"/>
      <c r="I616" s="143"/>
      <c r="J616" s="143"/>
      <c r="K616" s="143"/>
      <c r="O616" s="220"/>
    </row>
    <row r="617" spans="1:15" s="159" customFormat="1" ht="14.25" customHeight="1" x14ac:dyDescent="0.25">
      <c r="A617" s="376"/>
      <c r="B617" s="145"/>
      <c r="C617" s="146"/>
      <c r="D617" s="83"/>
      <c r="E617" s="329"/>
      <c r="F617" s="329"/>
      <c r="G617" s="355"/>
      <c r="I617" s="143"/>
      <c r="J617" s="143"/>
      <c r="K617" s="143"/>
      <c r="O617" s="220"/>
    </row>
    <row r="618" spans="1:15" s="159" customFormat="1" ht="14.25" customHeight="1" x14ac:dyDescent="0.25">
      <c r="A618" s="376"/>
      <c r="B618" s="101" t="s">
        <v>148</v>
      </c>
      <c r="C618" s="102"/>
      <c r="D618" s="112"/>
      <c r="E618" s="353"/>
      <c r="F618" s="353"/>
      <c r="G618" s="338">
        <f>+SUM(F615:F617)</f>
        <v>57.07</v>
      </c>
      <c r="I618" s="143"/>
      <c r="J618" s="143"/>
      <c r="K618" s="143"/>
      <c r="O618" s="220"/>
    </row>
    <row r="619" spans="1:15" s="159" customFormat="1" ht="14.25" customHeight="1" x14ac:dyDescent="0.25">
      <c r="A619" s="376"/>
      <c r="B619" s="99" t="s">
        <v>149</v>
      </c>
      <c r="C619" s="106"/>
      <c r="D619" s="114"/>
      <c r="E619" s="106"/>
      <c r="F619" s="106"/>
      <c r="G619" s="109" t="s">
        <v>150</v>
      </c>
      <c r="I619" s="143"/>
      <c r="J619" s="143"/>
      <c r="K619" s="143"/>
      <c r="O619" s="220"/>
    </row>
    <row r="620" spans="1:15" s="159" customFormat="1" ht="14.25" customHeight="1" x14ac:dyDescent="0.25">
      <c r="A620" s="376"/>
      <c r="B620" s="99" t="s">
        <v>98</v>
      </c>
      <c r="C620" s="146"/>
      <c r="D620" s="110"/>
      <c r="E620" s="146"/>
      <c r="F620" s="146"/>
      <c r="G620" s="148"/>
      <c r="I620" s="143"/>
      <c r="J620" s="143"/>
      <c r="K620" s="143"/>
      <c r="O620" s="220"/>
    </row>
    <row r="621" spans="1:15" s="159" customFormat="1" ht="14.25" customHeight="1" x14ac:dyDescent="0.25">
      <c r="A621" s="376"/>
      <c r="B621" s="99" t="s">
        <v>98</v>
      </c>
      <c r="C621" s="146"/>
      <c r="D621" s="110"/>
      <c r="E621" s="146"/>
      <c r="F621" s="146"/>
      <c r="G621" s="148"/>
      <c r="I621" s="143"/>
      <c r="J621" s="143"/>
      <c r="K621" s="143"/>
      <c r="O621" s="220"/>
    </row>
    <row r="622" spans="1:15" s="159" customFormat="1" ht="14.25" customHeight="1" thickBot="1" x14ac:dyDescent="0.3">
      <c r="A622" s="376"/>
      <c r="B622" s="115" t="s">
        <v>151</v>
      </c>
      <c r="C622" s="116"/>
      <c r="D622" s="117"/>
      <c r="E622" s="116"/>
      <c r="F622" s="116"/>
      <c r="G622" s="118">
        <f>+SUM(F620:F621)</f>
        <v>0</v>
      </c>
      <c r="I622" s="143"/>
      <c r="J622" s="143"/>
      <c r="K622" s="143"/>
      <c r="O622" s="220"/>
    </row>
    <row r="623" spans="1:15" s="159" customFormat="1" ht="14.25" customHeight="1" thickBot="1" x14ac:dyDescent="0.3">
      <c r="A623" s="376"/>
      <c r="B623" s="1382"/>
      <c r="C623" s="1382"/>
      <c r="D623" s="1382"/>
      <c r="E623" s="1382"/>
      <c r="F623" s="1382"/>
      <c r="G623" s="1382"/>
      <c r="I623" s="143"/>
      <c r="J623" s="143"/>
      <c r="K623" s="143"/>
      <c r="O623" s="220"/>
    </row>
    <row r="624" spans="1:15" s="159" customFormat="1" ht="14.25" customHeight="1" thickBot="1" x14ac:dyDescent="0.3">
      <c r="A624" s="376"/>
      <c r="B624" s="69" t="s">
        <v>152</v>
      </c>
      <c r="C624" s="70" t="s">
        <v>4415</v>
      </c>
      <c r="D624" s="71" t="s">
        <v>154</v>
      </c>
      <c r="E624" s="1381" t="s">
        <v>155</v>
      </c>
      <c r="F624" s="1381"/>
      <c r="G624" s="1381"/>
      <c r="I624" s="143"/>
      <c r="J624" s="143"/>
      <c r="K624" s="143"/>
      <c r="O624" s="220"/>
    </row>
    <row r="625" spans="1:15" s="159" customFormat="1" ht="14.25" customHeight="1" thickBot="1" x14ac:dyDescent="0.3">
      <c r="A625" s="376"/>
      <c r="B625" s="72" t="s">
        <v>156</v>
      </c>
      <c r="C625" s="73"/>
      <c r="D625" s="332">
        <f>G613</f>
        <v>17.13</v>
      </c>
      <c r="E625" s="1381"/>
      <c r="F625" s="1381"/>
      <c r="G625" s="1381"/>
      <c r="I625" s="143"/>
      <c r="J625" s="143"/>
      <c r="K625" s="143"/>
      <c r="O625" s="220"/>
    </row>
    <row r="626" spans="1:15" s="159" customFormat="1" ht="14.25" customHeight="1" thickBot="1" x14ac:dyDescent="0.3">
      <c r="A626" s="376"/>
      <c r="B626" s="72" t="s">
        <v>157</v>
      </c>
      <c r="C626" s="73"/>
      <c r="D626" s="332">
        <f>G618</f>
        <v>57.07</v>
      </c>
      <c r="E626" s="1381"/>
      <c r="F626" s="1381"/>
      <c r="G626" s="1381"/>
      <c r="I626" s="143"/>
      <c r="J626" s="143"/>
      <c r="K626" s="143"/>
      <c r="O626" s="220"/>
    </row>
    <row r="627" spans="1:15" s="159" customFormat="1" ht="14.25" customHeight="1" thickBot="1" x14ac:dyDescent="0.3">
      <c r="A627" s="376"/>
      <c r="B627" s="72" t="s">
        <v>158</v>
      </c>
      <c r="C627" s="73"/>
      <c r="D627" s="332">
        <f>G622</f>
        <v>0</v>
      </c>
      <c r="E627" s="1381"/>
      <c r="F627" s="1381"/>
      <c r="G627" s="1381"/>
      <c r="I627" s="143"/>
      <c r="J627" s="143"/>
      <c r="K627" s="143"/>
      <c r="O627" s="220"/>
    </row>
    <row r="628" spans="1:15" s="159" customFormat="1" ht="14.25" customHeight="1" thickBot="1" x14ac:dyDescent="0.3">
      <c r="A628" s="376"/>
      <c r="B628" s="72" t="s">
        <v>159</v>
      </c>
      <c r="C628" s="74">
        <f>$J$5</f>
        <v>157.27000000000001</v>
      </c>
      <c r="D628" s="332">
        <f>+ROUND((D625*C628),2)/100</f>
        <v>26.94</v>
      </c>
      <c r="E628" s="1381"/>
      <c r="F628" s="1381"/>
      <c r="G628" s="1381"/>
      <c r="I628" s="143"/>
      <c r="J628" s="143"/>
      <c r="K628" s="143"/>
      <c r="O628" s="220"/>
    </row>
    <row r="629" spans="1:15" s="159" customFormat="1" ht="14.25" customHeight="1" thickBot="1" x14ac:dyDescent="0.3">
      <c r="A629" s="376"/>
      <c r="B629" s="72" t="s">
        <v>160</v>
      </c>
      <c r="C629" s="75"/>
      <c r="D629" s="333">
        <f>+SUM(D625:D628)</f>
        <v>101.14</v>
      </c>
      <c r="E629" s="1381"/>
      <c r="F629" s="1381"/>
      <c r="G629" s="1381"/>
      <c r="I629" s="143"/>
      <c r="J629" s="143"/>
      <c r="K629" s="143"/>
      <c r="O629" s="220"/>
    </row>
    <row r="630" spans="1:15" s="159" customFormat="1" ht="14.25" customHeight="1" thickBot="1" x14ac:dyDescent="0.3">
      <c r="A630" s="376"/>
      <c r="B630" s="72" t="s">
        <v>161</v>
      </c>
      <c r="C630" s="73"/>
      <c r="D630" s="332" t="s">
        <v>162</v>
      </c>
      <c r="E630" s="1382" t="s">
        <v>163</v>
      </c>
      <c r="F630" s="1382"/>
      <c r="G630" s="1382"/>
      <c r="I630" s="143"/>
      <c r="J630" s="143"/>
      <c r="K630" s="143"/>
      <c r="O630" s="220"/>
    </row>
    <row r="631" spans="1:15" s="159" customFormat="1" ht="14.25" customHeight="1" thickBot="1" x14ac:dyDescent="0.3">
      <c r="A631" s="376"/>
      <c r="B631" s="122" t="s">
        <v>164</v>
      </c>
      <c r="C631" s="123"/>
      <c r="D631" s="334">
        <f>+SUM(D629:D630)</f>
        <v>101.14</v>
      </c>
      <c r="E631" s="1382"/>
      <c r="F631" s="1382"/>
      <c r="G631" s="1382"/>
      <c r="I631" s="143"/>
      <c r="J631" s="143"/>
      <c r="K631" s="143"/>
      <c r="O631" s="220"/>
    </row>
    <row r="632" spans="1:15" s="159" customFormat="1" ht="14.25" customHeight="1" thickBot="1" x14ac:dyDescent="0.3">
      <c r="A632" s="376"/>
      <c r="B632" s="124" t="s">
        <v>165</v>
      </c>
      <c r="C632" s="125">
        <f>$I$5</f>
        <v>28.49</v>
      </c>
      <c r="D632" s="335">
        <f>ROUND((D631*C632),2)/100</f>
        <v>28.81</v>
      </c>
      <c r="E632" s="1382"/>
      <c r="F632" s="1382"/>
      <c r="G632" s="1382"/>
      <c r="I632" s="143"/>
      <c r="J632" s="143"/>
      <c r="K632" s="143"/>
      <c r="O632" s="220"/>
    </row>
    <row r="633" spans="1:15" s="159" customFormat="1" ht="14.25" customHeight="1" thickBot="1" x14ac:dyDescent="0.3">
      <c r="A633" s="376"/>
      <c r="B633" s="80" t="s">
        <v>166</v>
      </c>
      <c r="C633" s="127"/>
      <c r="D633" s="336">
        <f>+SUM(D631:D632)</f>
        <v>129.94999999999999</v>
      </c>
      <c r="E633" s="128"/>
      <c r="F633" s="337">
        <f>D633</f>
        <v>129.94999999999999</v>
      </c>
      <c r="G633" s="131"/>
      <c r="I633" s="143"/>
      <c r="J633" s="143"/>
      <c r="K633" s="143"/>
      <c r="O633" s="220"/>
    </row>
    <row r="634" spans="1:15" s="159" customFormat="1" ht="14.25" customHeight="1" x14ac:dyDescent="0.25">
      <c r="A634" s="376"/>
      <c r="B634" s="28"/>
      <c r="C634" s="28"/>
      <c r="D634" s="28"/>
      <c r="E634" s="28"/>
      <c r="F634" s="28"/>
      <c r="G634" s="28"/>
      <c r="I634" s="143"/>
      <c r="J634" s="143"/>
      <c r="K634" s="143"/>
      <c r="O634" s="220"/>
    </row>
    <row r="635" spans="1:15" s="159" customFormat="1" ht="14.25" customHeight="1" thickBot="1" x14ac:dyDescent="0.3">
      <c r="A635" s="376"/>
      <c r="B635" s="28"/>
      <c r="C635" s="28"/>
      <c r="D635" s="28"/>
      <c r="E635" s="28"/>
      <c r="F635" s="28"/>
      <c r="G635" s="28"/>
      <c r="I635" s="143"/>
      <c r="J635" s="143"/>
      <c r="K635" s="143"/>
      <c r="O635" s="220"/>
    </row>
    <row r="636" spans="1:15" s="159" customFormat="1" ht="14.25" customHeight="1" x14ac:dyDescent="0.25">
      <c r="A636" s="376"/>
      <c r="B636" s="1383" t="s">
        <v>131</v>
      </c>
      <c r="C636" s="1383"/>
      <c r="D636" s="1383"/>
      <c r="E636" s="1383"/>
      <c r="F636" s="1383"/>
      <c r="G636" s="1383"/>
      <c r="I636" s="143"/>
      <c r="J636" s="143"/>
      <c r="K636" s="143"/>
      <c r="O636" s="220"/>
    </row>
    <row r="637" spans="1:15" s="159" customFormat="1" ht="14.25" customHeight="1" thickBot="1" x14ac:dyDescent="0.3">
      <c r="A637" s="376"/>
      <c r="B637" s="1384" t="str">
        <f>$I$3</f>
        <v>Urbanização da Orla de Piúma - Município de Piúma / ES</v>
      </c>
      <c r="C637" s="1385"/>
      <c r="D637" s="1385"/>
      <c r="E637" s="1385"/>
      <c r="F637" s="1385"/>
      <c r="G637" s="1386"/>
      <c r="I637" s="143"/>
      <c r="J637" s="143"/>
      <c r="K637" s="143"/>
      <c r="O637" s="220"/>
    </row>
    <row r="638" spans="1:15" s="159" customFormat="1" ht="14.25" customHeight="1" thickBot="1" x14ac:dyDescent="0.3">
      <c r="A638" s="376"/>
      <c r="B638" s="90" t="s">
        <v>132</v>
      </c>
      <c r="C638" s="90" t="s">
        <v>133</v>
      </c>
      <c r="D638" s="1381" t="s">
        <v>134</v>
      </c>
      <c r="E638" s="1381"/>
      <c r="F638" s="131" t="s">
        <v>275</v>
      </c>
      <c r="G638" s="131" t="s">
        <v>135</v>
      </c>
      <c r="I638" s="143"/>
      <c r="J638" s="143"/>
      <c r="K638" s="143"/>
      <c r="O638" s="220"/>
    </row>
    <row r="639" spans="1:15" s="159" customFormat="1" ht="27" thickBot="1" x14ac:dyDescent="0.3">
      <c r="A639" s="376"/>
      <c r="B639" s="132" t="s">
        <v>353</v>
      </c>
      <c r="C639" s="92" t="s">
        <v>98</v>
      </c>
      <c r="D639" s="1381" t="s">
        <v>7</v>
      </c>
      <c r="E639" s="1381"/>
      <c r="F639" s="144" t="s">
        <v>210</v>
      </c>
      <c r="G639" s="38">
        <f>$K$5</f>
        <v>44501</v>
      </c>
      <c r="I639" s="143"/>
      <c r="J639" s="143"/>
      <c r="K639" s="143"/>
      <c r="O639" s="220"/>
    </row>
    <row r="640" spans="1:15" s="159" customFormat="1" ht="14.25" customHeight="1" thickBot="1" x14ac:dyDescent="0.3">
      <c r="A640" s="376"/>
      <c r="B640" s="1382"/>
      <c r="C640" s="1382"/>
      <c r="D640" s="1382"/>
      <c r="E640" s="1382"/>
      <c r="F640" s="1382"/>
      <c r="G640" s="1382"/>
      <c r="I640" s="143"/>
      <c r="J640" s="143"/>
      <c r="K640" s="143"/>
      <c r="O640" s="220"/>
    </row>
    <row r="641" spans="1:15" s="159" customFormat="1" ht="14.25" customHeight="1" x14ac:dyDescent="0.25">
      <c r="A641" s="376"/>
      <c r="B641" s="93" t="s">
        <v>139</v>
      </c>
      <c r="C641" s="94" t="s">
        <v>140</v>
      </c>
      <c r="D641" s="94" t="s">
        <v>141</v>
      </c>
      <c r="E641" s="94" t="s">
        <v>142</v>
      </c>
      <c r="F641" s="94" t="s">
        <v>143</v>
      </c>
      <c r="G641" s="95" t="s">
        <v>144</v>
      </c>
      <c r="I641" s="143"/>
      <c r="J641" s="143"/>
      <c r="K641" s="143"/>
      <c r="O641" s="220"/>
    </row>
    <row r="642" spans="1:15" s="159" customFormat="1" ht="14.25" customHeight="1" x14ac:dyDescent="0.25">
      <c r="A642" s="376">
        <v>10115</v>
      </c>
      <c r="B642" s="145" t="str">
        <f>VLOOKUP(A642,Insumos!$A$10:$F$3462,2,FALSE)</f>
        <v>ELETRICISTA (OFICIAL - SINDUSCON)</v>
      </c>
      <c r="C642" s="146" t="str">
        <f>VLOOKUP(A642,Insumos!$A$10:$F$3462,3,FALSE)</f>
        <v>H</v>
      </c>
      <c r="D642" s="83">
        <v>1.6</v>
      </c>
      <c r="E642" s="329">
        <f>VLOOKUP(A642,Insumos!$A$10:$F$3462,4,FALSE)</f>
        <v>7.43</v>
      </c>
      <c r="F642" s="329">
        <f>ROUND((D642*E642),2)</f>
        <v>11.89</v>
      </c>
      <c r="G642" s="355"/>
      <c r="I642" s="143"/>
      <c r="J642" s="143"/>
      <c r="K642" s="143"/>
      <c r="O642" s="220"/>
    </row>
    <row r="643" spans="1:15" s="159" customFormat="1" ht="14.25" customHeight="1" x14ac:dyDescent="0.25">
      <c r="A643" s="376">
        <v>10101</v>
      </c>
      <c r="B643" s="145" t="str">
        <f>VLOOKUP(A643,Insumos!$A$10:$F$3462,2,FALSE)</f>
        <v>AJUDANTE (AJUDANTE PRATICO - SINDUSCON)</v>
      </c>
      <c r="C643" s="146" t="str">
        <f>VLOOKUP(A643,Insumos!$A$10:$F$3462,3,FALSE)</f>
        <v>H</v>
      </c>
      <c r="D643" s="83">
        <v>1.6</v>
      </c>
      <c r="E643" s="329">
        <f>VLOOKUP(A643,Insumos!$A$10:$F$3462,4,FALSE)</f>
        <v>6.27</v>
      </c>
      <c r="F643" s="329">
        <f>ROUND((D643*E643),2)</f>
        <v>10.029999999999999</v>
      </c>
      <c r="G643" s="355"/>
      <c r="I643" s="143"/>
      <c r="J643" s="143"/>
      <c r="K643" s="143"/>
      <c r="O643" s="220"/>
    </row>
    <row r="644" spans="1:15" s="159" customFormat="1" ht="14.25" customHeight="1" x14ac:dyDescent="0.25">
      <c r="A644" s="376"/>
      <c r="B644" s="99"/>
      <c r="C644" s="146"/>
      <c r="D644" s="83"/>
      <c r="E644" s="329"/>
      <c r="F644" s="329"/>
      <c r="G644" s="355"/>
      <c r="I644" s="143"/>
      <c r="J644" s="143"/>
      <c r="K644" s="143"/>
      <c r="O644" s="220"/>
    </row>
    <row r="645" spans="1:15" s="159" customFormat="1" ht="14.25" customHeight="1" x14ac:dyDescent="0.25">
      <c r="A645" s="376"/>
      <c r="B645" s="101" t="s">
        <v>145</v>
      </c>
      <c r="C645" s="102"/>
      <c r="D645" s="107"/>
      <c r="E645" s="329"/>
      <c r="F645" s="353"/>
      <c r="G645" s="338">
        <f>+SUM(F642:F644)</f>
        <v>21.92</v>
      </c>
      <c r="I645" s="143"/>
      <c r="J645" s="143"/>
      <c r="K645" s="143"/>
      <c r="O645" s="220"/>
    </row>
    <row r="646" spans="1:15" s="159" customFormat="1" ht="14.25" customHeight="1" x14ac:dyDescent="0.25">
      <c r="A646" s="376" t="s">
        <v>98</v>
      </c>
      <c r="B646" s="99" t="s">
        <v>146</v>
      </c>
      <c r="C646" s="106"/>
      <c r="D646" s="83" t="s">
        <v>98</v>
      </c>
      <c r="E646" s="146"/>
      <c r="F646" s="108"/>
      <c r="G646" s="109" t="s">
        <v>147</v>
      </c>
      <c r="I646" s="143"/>
      <c r="J646" s="143"/>
      <c r="K646" s="143"/>
      <c r="O646" s="220"/>
    </row>
    <row r="647" spans="1:15" s="159" customFormat="1" x14ac:dyDescent="0.25">
      <c r="A647" s="379">
        <v>3975</v>
      </c>
      <c r="B647" s="145" t="str">
        <f>VLOOKUP(A647,Insumos!$A$10:$F$3462,2,FALSE)</f>
        <v>Eletroduto em ferro galvanizado pesado sem costura 2" x 3m</v>
      </c>
      <c r="C647" s="146" t="str">
        <f>VLOOKUP(A647,Insumos!$A$10:$F$3462,3,FALSE)</f>
        <v>Und.</v>
      </c>
      <c r="D647" s="83">
        <f>1.02/3</f>
        <v>0.34</v>
      </c>
      <c r="E647" s="329">
        <f>VLOOKUP(A647,Insumos!$A$10:$F$3462,4,FALSE)</f>
        <v>339.85</v>
      </c>
      <c r="F647" s="329">
        <f>ROUND((D647*E647),2)</f>
        <v>115.55</v>
      </c>
      <c r="G647" s="355"/>
      <c r="I647" s="143"/>
      <c r="J647" s="143"/>
      <c r="K647" s="143"/>
      <c r="O647" s="220"/>
    </row>
    <row r="648" spans="1:15" s="159" customFormat="1" ht="26.25" x14ac:dyDescent="0.25">
      <c r="A648" s="379">
        <v>1806</v>
      </c>
      <c r="B648" s="145" t="str">
        <f>VLOOKUP(A648,Insumos!$A$10:$F$3462,2,FALSE)</f>
        <v xml:space="preserve"> CURVA 90 GRAUS DE FERRO GALVANIZADO, COM ROSCA BSP MACHO/FEMEA, DE 2"</v>
      </c>
      <c r="C648" s="146" t="str">
        <f>VLOOKUP(A648,Insumos!$A$10:$F$3462,3,FALSE)</f>
        <v>Und.</v>
      </c>
      <c r="D648" s="83">
        <f>18/198</f>
        <v>9.0909000000000004E-2</v>
      </c>
      <c r="E648" s="329">
        <f>VLOOKUP(A648,Insumos!$A$10:$F$3462,4,FALSE)</f>
        <v>98.48</v>
      </c>
      <c r="F648" s="329">
        <f>ROUND((D648*E648),2)</f>
        <v>8.9499999999999993</v>
      </c>
      <c r="G648" s="355"/>
      <c r="I648" s="143"/>
      <c r="J648" s="143"/>
      <c r="K648" s="143"/>
      <c r="O648" s="220"/>
    </row>
    <row r="649" spans="1:15" s="159" customFormat="1" x14ac:dyDescent="0.25">
      <c r="A649" s="379">
        <v>3912</v>
      </c>
      <c r="B649" s="145" t="str">
        <f>VLOOKUP(A649,Insumos!$A$10:$F$3462,2,FALSE)</f>
        <v>LUVA DE FERRO GALVANIZADO, COM ROSCA BSP, DE 2"</v>
      </c>
      <c r="C649" s="146" t="str">
        <f>VLOOKUP(A649,Insumos!$A$10:$F$3462,3,FALSE)</f>
        <v>Und.</v>
      </c>
      <c r="D649" s="83">
        <f>45/198</f>
        <v>0.227273</v>
      </c>
      <c r="E649" s="329">
        <f>VLOOKUP(A649,Insumos!$A$10:$F$3462,4,FALSE)</f>
        <v>27.73</v>
      </c>
      <c r="F649" s="329">
        <f>ROUND((D649*E649),2)</f>
        <v>6.3</v>
      </c>
      <c r="G649" s="355"/>
      <c r="I649" s="143"/>
      <c r="J649" s="143"/>
      <c r="K649" s="143"/>
      <c r="O649" s="220"/>
    </row>
    <row r="650" spans="1:15" s="159" customFormat="1" ht="14.25" customHeight="1" x14ac:dyDescent="0.25">
      <c r="A650" s="376"/>
      <c r="B650" s="101" t="s">
        <v>148</v>
      </c>
      <c r="C650" s="102"/>
      <c r="D650" s="112"/>
      <c r="E650" s="353"/>
      <c r="F650" s="353"/>
      <c r="G650" s="338">
        <f>+SUM(F647:F649)</f>
        <v>130.80000000000001</v>
      </c>
      <c r="I650" s="143"/>
      <c r="J650" s="143"/>
      <c r="K650" s="143"/>
      <c r="O650" s="220"/>
    </row>
    <row r="651" spans="1:15" s="159" customFormat="1" ht="14.25" customHeight="1" x14ac:dyDescent="0.25">
      <c r="A651" s="376"/>
      <c r="B651" s="99" t="s">
        <v>149</v>
      </c>
      <c r="C651" s="106"/>
      <c r="D651" s="114"/>
      <c r="E651" s="106"/>
      <c r="F651" s="106"/>
      <c r="G651" s="109" t="s">
        <v>150</v>
      </c>
      <c r="I651" s="143"/>
      <c r="J651" s="143"/>
      <c r="K651" s="143"/>
      <c r="O651" s="220"/>
    </row>
    <row r="652" spans="1:15" s="159" customFormat="1" ht="14.25" customHeight="1" x14ac:dyDescent="0.25">
      <c r="A652" s="376"/>
      <c r="B652" s="99" t="s">
        <v>98</v>
      </c>
      <c r="C652" s="146"/>
      <c r="D652" s="110"/>
      <c r="E652" s="146"/>
      <c r="F652" s="146"/>
      <c r="G652" s="148"/>
      <c r="I652" s="143"/>
      <c r="J652" s="143"/>
      <c r="K652" s="143"/>
      <c r="O652" s="220"/>
    </row>
    <row r="653" spans="1:15" s="159" customFormat="1" ht="14.25" customHeight="1" x14ac:dyDescent="0.25">
      <c r="A653" s="376"/>
      <c r="B653" s="99" t="s">
        <v>98</v>
      </c>
      <c r="C653" s="146"/>
      <c r="D653" s="110"/>
      <c r="E653" s="146"/>
      <c r="F653" s="146"/>
      <c r="G653" s="148"/>
      <c r="I653" s="143"/>
      <c r="J653" s="143"/>
      <c r="K653" s="143"/>
      <c r="O653" s="220"/>
    </row>
    <row r="654" spans="1:15" s="159" customFormat="1" ht="14.25" customHeight="1" thickBot="1" x14ac:dyDescent="0.3">
      <c r="A654" s="376"/>
      <c r="B654" s="115" t="s">
        <v>151</v>
      </c>
      <c r="C654" s="116"/>
      <c r="D654" s="117"/>
      <c r="E654" s="116"/>
      <c r="F654" s="116"/>
      <c r="G654" s="118">
        <f>+SUM(F652:F653)</f>
        <v>0</v>
      </c>
      <c r="I654" s="143"/>
      <c r="J654" s="143"/>
      <c r="K654" s="143"/>
      <c r="O654" s="220"/>
    </row>
    <row r="655" spans="1:15" s="159" customFormat="1" ht="14.25" customHeight="1" thickBot="1" x14ac:dyDescent="0.3">
      <c r="A655" s="376"/>
      <c r="B655" s="1382"/>
      <c r="C655" s="1382"/>
      <c r="D655" s="1382"/>
      <c r="E655" s="1382"/>
      <c r="F655" s="1382"/>
      <c r="G655" s="1382"/>
      <c r="I655" s="143"/>
      <c r="J655" s="143"/>
      <c r="K655" s="143"/>
      <c r="O655" s="220"/>
    </row>
    <row r="656" spans="1:15" s="159" customFormat="1" ht="14.25" customHeight="1" thickBot="1" x14ac:dyDescent="0.3">
      <c r="A656" s="376"/>
      <c r="B656" s="69" t="s">
        <v>152</v>
      </c>
      <c r="C656" s="70" t="s">
        <v>4415</v>
      </c>
      <c r="D656" s="71" t="s">
        <v>154</v>
      </c>
      <c r="E656" s="1381" t="s">
        <v>155</v>
      </c>
      <c r="F656" s="1381"/>
      <c r="G656" s="1381"/>
      <c r="I656" s="143"/>
      <c r="J656" s="143"/>
      <c r="K656" s="143"/>
      <c r="O656" s="220"/>
    </row>
    <row r="657" spans="1:15" s="159" customFormat="1" ht="14.25" customHeight="1" thickBot="1" x14ac:dyDescent="0.3">
      <c r="A657" s="376"/>
      <c r="B657" s="72" t="s">
        <v>156</v>
      </c>
      <c r="C657" s="73"/>
      <c r="D657" s="332">
        <f>G645</f>
        <v>21.92</v>
      </c>
      <c r="E657" s="1381"/>
      <c r="F657" s="1381"/>
      <c r="G657" s="1381"/>
      <c r="I657" s="143"/>
      <c r="J657" s="143"/>
      <c r="K657" s="143"/>
      <c r="O657" s="220"/>
    </row>
    <row r="658" spans="1:15" s="159" customFormat="1" ht="14.25" customHeight="1" thickBot="1" x14ac:dyDescent="0.3">
      <c r="A658" s="376"/>
      <c r="B658" s="72" t="s">
        <v>157</v>
      </c>
      <c r="C658" s="73"/>
      <c r="D658" s="332">
        <f>G650</f>
        <v>130.80000000000001</v>
      </c>
      <c r="E658" s="1381"/>
      <c r="F658" s="1381"/>
      <c r="G658" s="1381"/>
      <c r="I658" s="143"/>
      <c r="J658" s="143"/>
      <c r="K658" s="143"/>
      <c r="O658" s="220"/>
    </row>
    <row r="659" spans="1:15" s="159" customFormat="1" ht="14.25" customHeight="1" thickBot="1" x14ac:dyDescent="0.3">
      <c r="A659" s="376"/>
      <c r="B659" s="72" t="s">
        <v>158</v>
      </c>
      <c r="C659" s="73"/>
      <c r="D659" s="332">
        <f>G654</f>
        <v>0</v>
      </c>
      <c r="E659" s="1381"/>
      <c r="F659" s="1381"/>
      <c r="G659" s="1381"/>
      <c r="I659" s="143"/>
      <c r="J659" s="143"/>
      <c r="K659" s="143"/>
      <c r="O659" s="220"/>
    </row>
    <row r="660" spans="1:15" s="159" customFormat="1" ht="14.25" customHeight="1" thickBot="1" x14ac:dyDescent="0.3">
      <c r="A660" s="376"/>
      <c r="B660" s="72" t="s">
        <v>159</v>
      </c>
      <c r="C660" s="74">
        <f>$J$5</f>
        <v>157.27000000000001</v>
      </c>
      <c r="D660" s="332">
        <f>+ROUND((D657*C660),2)/100</f>
        <v>34.47</v>
      </c>
      <c r="E660" s="1381"/>
      <c r="F660" s="1381"/>
      <c r="G660" s="1381"/>
      <c r="I660" s="143"/>
      <c r="J660" s="143"/>
      <c r="K660" s="143"/>
      <c r="O660" s="220"/>
    </row>
    <row r="661" spans="1:15" s="159" customFormat="1" ht="14.25" customHeight="1" thickBot="1" x14ac:dyDescent="0.3">
      <c r="A661" s="376"/>
      <c r="B661" s="72" t="s">
        <v>160</v>
      </c>
      <c r="C661" s="75"/>
      <c r="D661" s="333">
        <f>+SUM(D657:D660)</f>
        <v>187.19</v>
      </c>
      <c r="E661" s="1381"/>
      <c r="F661" s="1381"/>
      <c r="G661" s="1381"/>
      <c r="I661" s="143"/>
      <c r="J661" s="143"/>
      <c r="K661" s="143"/>
      <c r="O661" s="220"/>
    </row>
    <row r="662" spans="1:15" s="159" customFormat="1" ht="14.25" customHeight="1" thickBot="1" x14ac:dyDescent="0.3">
      <c r="A662" s="376"/>
      <c r="B662" s="72" t="s">
        <v>161</v>
      </c>
      <c r="C662" s="73"/>
      <c r="D662" s="332" t="s">
        <v>162</v>
      </c>
      <c r="E662" s="1382" t="s">
        <v>163</v>
      </c>
      <c r="F662" s="1382"/>
      <c r="G662" s="1382"/>
      <c r="I662" s="143"/>
      <c r="J662" s="143"/>
      <c r="K662" s="143"/>
      <c r="O662" s="220"/>
    </row>
    <row r="663" spans="1:15" s="159" customFormat="1" ht="14.25" customHeight="1" thickBot="1" x14ac:dyDescent="0.3">
      <c r="A663" s="376"/>
      <c r="B663" s="122" t="s">
        <v>164</v>
      </c>
      <c r="C663" s="123"/>
      <c r="D663" s="334">
        <f>+SUM(D661:D662)</f>
        <v>187.19</v>
      </c>
      <c r="E663" s="1382"/>
      <c r="F663" s="1382"/>
      <c r="G663" s="1382"/>
      <c r="I663" s="143"/>
      <c r="J663" s="143"/>
      <c r="K663" s="143"/>
      <c r="O663" s="220"/>
    </row>
    <row r="664" spans="1:15" s="159" customFormat="1" ht="14.25" customHeight="1" thickBot="1" x14ac:dyDescent="0.3">
      <c r="A664" s="376"/>
      <c r="B664" s="124" t="s">
        <v>165</v>
      </c>
      <c r="C664" s="125">
        <f>$I$5</f>
        <v>28.49</v>
      </c>
      <c r="D664" s="335">
        <f>ROUND((D663*C664),2)/100</f>
        <v>53.33</v>
      </c>
      <c r="E664" s="1382"/>
      <c r="F664" s="1382"/>
      <c r="G664" s="1382"/>
      <c r="I664" s="143"/>
      <c r="J664" s="143"/>
      <c r="K664" s="143"/>
      <c r="O664" s="220"/>
    </row>
    <row r="665" spans="1:15" s="159" customFormat="1" ht="14.25" customHeight="1" thickBot="1" x14ac:dyDescent="0.3">
      <c r="A665" s="376"/>
      <c r="B665" s="80" t="s">
        <v>166</v>
      </c>
      <c r="C665" s="127"/>
      <c r="D665" s="336">
        <f>+SUM(D663:D664)</f>
        <v>240.52</v>
      </c>
      <c r="E665" s="128"/>
      <c r="F665" s="337">
        <f>D665</f>
        <v>240.52</v>
      </c>
      <c r="G665" s="131"/>
      <c r="I665" s="143"/>
      <c r="J665" s="143"/>
      <c r="K665" s="143"/>
      <c r="O665" s="220"/>
    </row>
    <row r="666" spans="1:15" s="159" customFormat="1" ht="14.25" customHeight="1" x14ac:dyDescent="0.25">
      <c r="A666" s="376"/>
      <c r="B666" s="28"/>
      <c r="C666" s="28"/>
      <c r="D666" s="28"/>
      <c r="E666" s="28"/>
      <c r="F666" s="28"/>
      <c r="G666" s="28"/>
      <c r="I666" s="143"/>
      <c r="J666" s="143"/>
      <c r="K666" s="143"/>
      <c r="O666" s="220"/>
    </row>
    <row r="667" spans="1:15" s="159" customFormat="1" ht="14.25" customHeight="1" thickBot="1" x14ac:dyDescent="0.3">
      <c r="A667" s="376"/>
      <c r="B667" s="28"/>
      <c r="C667" s="28"/>
      <c r="D667" s="28"/>
      <c r="E667" s="28"/>
      <c r="F667" s="28"/>
      <c r="G667" s="28"/>
      <c r="I667" s="143"/>
      <c r="J667" s="143"/>
      <c r="K667" s="143"/>
      <c r="O667" s="220"/>
    </row>
    <row r="668" spans="1:15" s="159" customFormat="1" ht="14.25" customHeight="1" x14ac:dyDescent="0.25">
      <c r="A668" s="376"/>
      <c r="B668" s="1383" t="s">
        <v>131</v>
      </c>
      <c r="C668" s="1383"/>
      <c r="D668" s="1383"/>
      <c r="E668" s="1383"/>
      <c r="F668" s="1383"/>
      <c r="G668" s="1383"/>
      <c r="I668" s="143"/>
      <c r="J668" s="143"/>
      <c r="K668" s="143"/>
      <c r="O668" s="220"/>
    </row>
    <row r="669" spans="1:15" s="159" customFormat="1" ht="14.25" customHeight="1" thickBot="1" x14ac:dyDescent="0.3">
      <c r="A669" s="376"/>
      <c r="B669" s="1384" t="str">
        <f>$I$3</f>
        <v>Urbanização da Orla de Piúma - Município de Piúma / ES</v>
      </c>
      <c r="C669" s="1385"/>
      <c r="D669" s="1385"/>
      <c r="E669" s="1385"/>
      <c r="F669" s="1385"/>
      <c r="G669" s="1386"/>
      <c r="I669" s="143"/>
      <c r="J669" s="143"/>
      <c r="K669" s="143"/>
      <c r="O669" s="220"/>
    </row>
    <row r="670" spans="1:15" s="159" customFormat="1" ht="14.25" customHeight="1" thickBot="1" x14ac:dyDescent="0.3">
      <c r="A670" s="376"/>
      <c r="B670" s="90" t="s">
        <v>132</v>
      </c>
      <c r="C670" s="90" t="s">
        <v>133</v>
      </c>
      <c r="D670" s="1381" t="s">
        <v>134</v>
      </c>
      <c r="E670" s="1381"/>
      <c r="F670" s="131" t="s">
        <v>275</v>
      </c>
      <c r="G670" s="131" t="s">
        <v>135</v>
      </c>
      <c r="I670" s="143"/>
      <c r="J670" s="143"/>
      <c r="K670" s="143"/>
      <c r="O670" s="220"/>
    </row>
    <row r="671" spans="1:15" s="159" customFormat="1" ht="27" thickBot="1" x14ac:dyDescent="0.3">
      <c r="A671" s="376"/>
      <c r="B671" s="132" t="s">
        <v>330</v>
      </c>
      <c r="C671" s="92" t="s">
        <v>98</v>
      </c>
      <c r="D671" s="1381" t="s">
        <v>7</v>
      </c>
      <c r="E671" s="1381"/>
      <c r="F671" s="144" t="s">
        <v>211</v>
      </c>
      <c r="G671" s="38">
        <f>$K$5</f>
        <v>44501</v>
      </c>
      <c r="I671" s="143"/>
      <c r="J671" s="143"/>
      <c r="K671" s="143"/>
      <c r="O671" s="220"/>
    </row>
    <row r="672" spans="1:15" s="159" customFormat="1" ht="14.25" customHeight="1" thickBot="1" x14ac:dyDescent="0.3">
      <c r="A672" s="376"/>
      <c r="B672" s="1382"/>
      <c r="C672" s="1382"/>
      <c r="D672" s="1382"/>
      <c r="E672" s="1382"/>
      <c r="F672" s="1382"/>
      <c r="G672" s="1382"/>
      <c r="I672" s="143"/>
      <c r="J672" s="143"/>
      <c r="K672" s="143"/>
      <c r="O672" s="220"/>
    </row>
    <row r="673" spans="1:15" s="159" customFormat="1" ht="14.25" customHeight="1" x14ac:dyDescent="0.25">
      <c r="A673" s="376"/>
      <c r="B673" s="93" t="s">
        <v>139</v>
      </c>
      <c r="C673" s="94" t="s">
        <v>140</v>
      </c>
      <c r="D673" s="94" t="s">
        <v>141</v>
      </c>
      <c r="E673" s="94" t="s">
        <v>142</v>
      </c>
      <c r="F673" s="94" t="s">
        <v>143</v>
      </c>
      <c r="G673" s="95" t="s">
        <v>144</v>
      </c>
      <c r="I673" s="143"/>
      <c r="J673" s="143"/>
      <c r="K673" s="143"/>
      <c r="O673" s="220"/>
    </row>
    <row r="674" spans="1:15" s="159" customFormat="1" ht="14.25" customHeight="1" x14ac:dyDescent="0.25">
      <c r="A674" s="376">
        <v>10115</v>
      </c>
      <c r="B674" s="145" t="str">
        <f>VLOOKUP(A674,Insumos!$A$10:$F$3462,2,FALSE)</f>
        <v>ELETRICISTA (OFICIAL - SINDUSCON)</v>
      </c>
      <c r="C674" s="146" t="str">
        <f>VLOOKUP(A674,Insumos!$A$10:$F$3462,3,FALSE)</f>
        <v>H</v>
      </c>
      <c r="D674" s="83">
        <v>1.5</v>
      </c>
      <c r="E674" s="329">
        <f>VLOOKUP(A674,Insumos!$A$10:$F$3462,4,FALSE)</f>
        <v>7.43</v>
      </c>
      <c r="F674" s="329">
        <f>ROUND((D674*E674),2)</f>
        <v>11.15</v>
      </c>
      <c r="G674" s="355"/>
      <c r="I674" s="143"/>
      <c r="J674" s="143"/>
      <c r="K674" s="143"/>
      <c r="O674" s="220"/>
    </row>
    <row r="675" spans="1:15" s="159" customFormat="1" ht="14.25" customHeight="1" x14ac:dyDescent="0.25">
      <c r="A675" s="376">
        <v>10101</v>
      </c>
      <c r="B675" s="145" t="str">
        <f>VLOOKUP(A675,Insumos!$A$10:$F$3462,2,FALSE)</f>
        <v>AJUDANTE (AJUDANTE PRATICO - SINDUSCON)</v>
      </c>
      <c r="C675" s="146" t="str">
        <f>VLOOKUP(A675,Insumos!$A$10:$F$3462,3,FALSE)</f>
        <v>H</v>
      </c>
      <c r="D675" s="83">
        <v>1.5</v>
      </c>
      <c r="E675" s="329">
        <f>VLOOKUP(A675,Insumos!$A$10:$F$3462,4,FALSE)</f>
        <v>6.27</v>
      </c>
      <c r="F675" s="329">
        <f>ROUND((D675*E675),2)</f>
        <v>9.41</v>
      </c>
      <c r="G675" s="355"/>
      <c r="I675" s="143"/>
      <c r="J675" s="143"/>
      <c r="K675" s="143"/>
      <c r="O675" s="220"/>
    </row>
    <row r="676" spans="1:15" s="159" customFormat="1" ht="14.25" customHeight="1" x14ac:dyDescent="0.25">
      <c r="A676" s="376"/>
      <c r="B676" s="99"/>
      <c r="C676" s="146"/>
      <c r="D676" s="83"/>
      <c r="E676" s="329"/>
      <c r="F676" s="329"/>
      <c r="G676" s="355"/>
      <c r="I676" s="143"/>
      <c r="J676" s="143"/>
      <c r="K676" s="143"/>
      <c r="O676" s="220"/>
    </row>
    <row r="677" spans="1:15" s="159" customFormat="1" ht="14.25" customHeight="1" x14ac:dyDescent="0.25">
      <c r="A677" s="376"/>
      <c r="B677" s="101" t="s">
        <v>145</v>
      </c>
      <c r="C677" s="102"/>
      <c r="D677" s="107"/>
      <c r="E677" s="329"/>
      <c r="F677" s="353"/>
      <c r="G677" s="338">
        <f>+SUM(F674:F676)</f>
        <v>20.56</v>
      </c>
      <c r="I677" s="143"/>
      <c r="J677" s="143"/>
      <c r="K677" s="143"/>
      <c r="O677" s="220"/>
    </row>
    <row r="678" spans="1:15" s="159" customFormat="1" ht="14.25" customHeight="1" x14ac:dyDescent="0.25">
      <c r="A678" s="376" t="s">
        <v>98</v>
      </c>
      <c r="B678" s="99" t="s">
        <v>146</v>
      </c>
      <c r="C678" s="106"/>
      <c r="D678" s="83" t="s">
        <v>98</v>
      </c>
      <c r="E678" s="146"/>
      <c r="F678" s="108"/>
      <c r="G678" s="109" t="s">
        <v>147</v>
      </c>
      <c r="I678" s="143"/>
      <c r="J678" s="143"/>
      <c r="K678" s="143"/>
      <c r="O678" s="220"/>
    </row>
    <row r="679" spans="1:15" s="159" customFormat="1" x14ac:dyDescent="0.25">
      <c r="A679" s="379">
        <v>3975</v>
      </c>
      <c r="B679" s="145" t="str">
        <f>VLOOKUP(A679,Insumos!$A$10:$F$3462,2,FALSE)</f>
        <v>Eletroduto em ferro galvanizado pesado sem costura 2" x 3m</v>
      </c>
      <c r="C679" s="146" t="str">
        <f>VLOOKUP(A679,Insumos!$A$10:$F$3462,3,FALSE)</f>
        <v>Und.</v>
      </c>
      <c r="D679" s="83">
        <f>1.05/3</f>
        <v>0.35</v>
      </c>
      <c r="E679" s="329">
        <f>VLOOKUP(A679,Insumos!$A$10:$F$3462,4,FALSE)</f>
        <v>339.85</v>
      </c>
      <c r="F679" s="329">
        <f>ROUND((D679*E679),2)</f>
        <v>118.95</v>
      </c>
      <c r="G679" s="355"/>
      <c r="I679" s="143"/>
      <c r="J679" s="143"/>
      <c r="K679" s="143"/>
      <c r="O679" s="220"/>
    </row>
    <row r="680" spans="1:15" s="159" customFormat="1" ht="26.25" x14ac:dyDescent="0.25">
      <c r="A680" s="376" t="s">
        <v>327</v>
      </c>
      <c r="B680" s="145" t="s">
        <v>328</v>
      </c>
      <c r="C680" s="146" t="s">
        <v>5</v>
      </c>
      <c r="D680" s="83">
        <f>3.1416*0.025*0.025*1.2</f>
        <v>2.356E-3</v>
      </c>
      <c r="E680" s="329">
        <v>20.010000000000002</v>
      </c>
      <c r="F680" s="329">
        <f>ROUND((D680*E680),2)</f>
        <v>0.05</v>
      </c>
      <c r="G680" s="355"/>
      <c r="I680" s="143"/>
      <c r="J680" s="143"/>
      <c r="K680" s="143"/>
      <c r="O680" s="220"/>
    </row>
    <row r="681" spans="1:15" s="159" customFormat="1" ht="14.25" customHeight="1" x14ac:dyDescent="0.25">
      <c r="A681" s="376"/>
      <c r="B681" s="145"/>
      <c r="C681" s="146"/>
      <c r="D681" s="83"/>
      <c r="E681" s="329"/>
      <c r="F681" s="329"/>
      <c r="G681" s="355"/>
      <c r="I681" s="143"/>
      <c r="J681" s="143"/>
      <c r="K681" s="143"/>
      <c r="O681" s="220"/>
    </row>
    <row r="682" spans="1:15" s="159" customFormat="1" ht="14.25" customHeight="1" x14ac:dyDescent="0.25">
      <c r="A682" s="376"/>
      <c r="B682" s="101" t="s">
        <v>148</v>
      </c>
      <c r="C682" s="102"/>
      <c r="D682" s="112"/>
      <c r="E682" s="353"/>
      <c r="F682" s="353"/>
      <c r="G682" s="338">
        <f>+SUM(F679:F681)</f>
        <v>119</v>
      </c>
      <c r="I682" s="143"/>
      <c r="J682" s="143"/>
      <c r="K682" s="143"/>
      <c r="O682" s="220"/>
    </row>
    <row r="683" spans="1:15" s="159" customFormat="1" ht="14.25" customHeight="1" x14ac:dyDescent="0.25">
      <c r="A683" s="376"/>
      <c r="B683" s="99" t="s">
        <v>149</v>
      </c>
      <c r="C683" s="106"/>
      <c r="D683" s="114"/>
      <c r="E683" s="106"/>
      <c r="F683" s="106"/>
      <c r="G683" s="109" t="s">
        <v>150</v>
      </c>
      <c r="I683" s="143"/>
      <c r="J683" s="143"/>
      <c r="K683" s="143"/>
      <c r="O683" s="220"/>
    </row>
    <row r="684" spans="1:15" s="159" customFormat="1" ht="14.25" customHeight="1" x14ac:dyDescent="0.25">
      <c r="A684" s="376"/>
      <c r="B684" s="99" t="s">
        <v>98</v>
      </c>
      <c r="C684" s="146"/>
      <c r="D684" s="110"/>
      <c r="E684" s="146"/>
      <c r="F684" s="146"/>
      <c r="G684" s="148"/>
      <c r="I684" s="143"/>
      <c r="J684" s="143"/>
      <c r="K684" s="143"/>
      <c r="O684" s="220"/>
    </row>
    <row r="685" spans="1:15" s="159" customFormat="1" ht="14.25" customHeight="1" x14ac:dyDescent="0.25">
      <c r="A685" s="376"/>
      <c r="B685" s="99" t="s">
        <v>98</v>
      </c>
      <c r="C685" s="146"/>
      <c r="D685" s="110"/>
      <c r="E685" s="146"/>
      <c r="F685" s="146"/>
      <c r="G685" s="148"/>
      <c r="I685" s="143"/>
      <c r="J685" s="143"/>
      <c r="K685" s="143"/>
      <c r="O685" s="220"/>
    </row>
    <row r="686" spans="1:15" s="159" customFormat="1" ht="14.25" customHeight="1" thickBot="1" x14ac:dyDescent="0.3">
      <c r="A686" s="376"/>
      <c r="B686" s="115" t="s">
        <v>151</v>
      </c>
      <c r="C686" s="116"/>
      <c r="D686" s="117"/>
      <c r="E686" s="116"/>
      <c r="F686" s="116"/>
      <c r="G686" s="118">
        <f>+SUM(F684:F685)</f>
        <v>0</v>
      </c>
      <c r="I686" s="143"/>
      <c r="J686" s="143"/>
      <c r="K686" s="143"/>
      <c r="O686" s="220"/>
    </row>
    <row r="687" spans="1:15" s="159" customFormat="1" ht="14.25" customHeight="1" thickBot="1" x14ac:dyDescent="0.3">
      <c r="A687" s="376"/>
      <c r="B687" s="1382"/>
      <c r="C687" s="1382"/>
      <c r="D687" s="1382"/>
      <c r="E687" s="1382"/>
      <c r="F687" s="1382"/>
      <c r="G687" s="1382"/>
      <c r="I687" s="143"/>
      <c r="J687" s="143"/>
      <c r="K687" s="143"/>
      <c r="O687" s="220"/>
    </row>
    <row r="688" spans="1:15" s="159" customFormat="1" ht="14.25" customHeight="1" thickBot="1" x14ac:dyDescent="0.3">
      <c r="A688" s="376"/>
      <c r="B688" s="69" t="s">
        <v>152</v>
      </c>
      <c r="C688" s="70" t="s">
        <v>4415</v>
      </c>
      <c r="D688" s="71" t="s">
        <v>154</v>
      </c>
      <c r="E688" s="1381" t="s">
        <v>155</v>
      </c>
      <c r="F688" s="1381"/>
      <c r="G688" s="1381"/>
      <c r="I688" s="143"/>
      <c r="J688" s="143"/>
      <c r="K688" s="143"/>
      <c r="O688" s="220"/>
    </row>
    <row r="689" spans="1:15" s="159" customFormat="1" ht="14.25" customHeight="1" thickBot="1" x14ac:dyDescent="0.3">
      <c r="A689" s="376"/>
      <c r="B689" s="72" t="s">
        <v>156</v>
      </c>
      <c r="C689" s="73"/>
      <c r="D689" s="332">
        <f>G677</f>
        <v>20.56</v>
      </c>
      <c r="E689" s="1381"/>
      <c r="F689" s="1381"/>
      <c r="G689" s="1381"/>
      <c r="I689" s="143"/>
      <c r="J689" s="143"/>
      <c r="K689" s="143"/>
      <c r="O689" s="220"/>
    </row>
    <row r="690" spans="1:15" s="159" customFormat="1" ht="14.25" customHeight="1" thickBot="1" x14ac:dyDescent="0.3">
      <c r="A690" s="376"/>
      <c r="B690" s="72" t="s">
        <v>157</v>
      </c>
      <c r="C690" s="73"/>
      <c r="D690" s="332">
        <f>G682</f>
        <v>119</v>
      </c>
      <c r="E690" s="1381"/>
      <c r="F690" s="1381"/>
      <c r="G690" s="1381"/>
      <c r="I690" s="143"/>
      <c r="J690" s="143"/>
      <c r="K690" s="143"/>
      <c r="O690" s="220"/>
    </row>
    <row r="691" spans="1:15" s="159" customFormat="1" ht="14.25" customHeight="1" thickBot="1" x14ac:dyDescent="0.3">
      <c r="A691" s="376"/>
      <c r="B691" s="72" t="s">
        <v>158</v>
      </c>
      <c r="C691" s="73"/>
      <c r="D691" s="332">
        <f>G686</f>
        <v>0</v>
      </c>
      <c r="E691" s="1381"/>
      <c r="F691" s="1381"/>
      <c r="G691" s="1381"/>
      <c r="I691" s="143"/>
      <c r="J691" s="143"/>
      <c r="K691" s="143"/>
      <c r="O691" s="220"/>
    </row>
    <row r="692" spans="1:15" s="159" customFormat="1" ht="14.25" customHeight="1" thickBot="1" x14ac:dyDescent="0.3">
      <c r="A692" s="376"/>
      <c r="B692" s="72" t="s">
        <v>159</v>
      </c>
      <c r="C692" s="74">
        <f>$J$5</f>
        <v>157.27000000000001</v>
      </c>
      <c r="D692" s="332">
        <f>+ROUND((D689*C692),2)/100</f>
        <v>32.33</v>
      </c>
      <c r="E692" s="1381"/>
      <c r="F692" s="1381"/>
      <c r="G692" s="1381"/>
      <c r="I692" s="143"/>
      <c r="J692" s="143"/>
      <c r="K692" s="143"/>
      <c r="O692" s="220"/>
    </row>
    <row r="693" spans="1:15" s="159" customFormat="1" ht="14.25" customHeight="1" thickBot="1" x14ac:dyDescent="0.3">
      <c r="A693" s="376"/>
      <c r="B693" s="72" t="s">
        <v>160</v>
      </c>
      <c r="C693" s="75"/>
      <c r="D693" s="333">
        <f>+SUM(D689:D692)</f>
        <v>171.89</v>
      </c>
      <c r="E693" s="1381"/>
      <c r="F693" s="1381"/>
      <c r="G693" s="1381"/>
      <c r="I693" s="143"/>
      <c r="J693" s="143"/>
      <c r="K693" s="143"/>
      <c r="O693" s="220"/>
    </row>
    <row r="694" spans="1:15" s="159" customFormat="1" ht="14.25" customHeight="1" thickBot="1" x14ac:dyDescent="0.3">
      <c r="A694" s="376"/>
      <c r="B694" s="72" t="s">
        <v>161</v>
      </c>
      <c r="C694" s="73"/>
      <c r="D694" s="332" t="s">
        <v>162</v>
      </c>
      <c r="E694" s="1382" t="s">
        <v>163</v>
      </c>
      <c r="F694" s="1382"/>
      <c r="G694" s="1382"/>
      <c r="I694" s="143"/>
      <c r="J694" s="143"/>
      <c r="K694" s="143"/>
      <c r="O694" s="220"/>
    </row>
    <row r="695" spans="1:15" s="159" customFormat="1" ht="14.25" customHeight="1" thickBot="1" x14ac:dyDescent="0.3">
      <c r="A695" s="376"/>
      <c r="B695" s="122" t="s">
        <v>164</v>
      </c>
      <c r="C695" s="123"/>
      <c r="D695" s="334">
        <f>+SUM(D693:D694)</f>
        <v>171.89</v>
      </c>
      <c r="E695" s="1382"/>
      <c r="F695" s="1382"/>
      <c r="G695" s="1382"/>
      <c r="I695" s="143"/>
      <c r="J695" s="143"/>
      <c r="K695" s="143"/>
      <c r="O695" s="220"/>
    </row>
    <row r="696" spans="1:15" s="159" customFormat="1" ht="14.25" customHeight="1" thickBot="1" x14ac:dyDescent="0.3">
      <c r="A696" s="376"/>
      <c r="B696" s="124" t="s">
        <v>165</v>
      </c>
      <c r="C696" s="125">
        <f>$I$5</f>
        <v>28.49</v>
      </c>
      <c r="D696" s="335">
        <f>ROUND((D695*C696),2)/100</f>
        <v>48.97</v>
      </c>
      <c r="E696" s="1382"/>
      <c r="F696" s="1382"/>
      <c r="G696" s="1382"/>
      <c r="I696" s="143"/>
      <c r="J696" s="143"/>
      <c r="K696" s="143"/>
      <c r="O696" s="220"/>
    </row>
    <row r="697" spans="1:15" s="159" customFormat="1" ht="14.25" customHeight="1" thickBot="1" x14ac:dyDescent="0.3">
      <c r="A697" s="376"/>
      <c r="B697" s="80" t="s">
        <v>166</v>
      </c>
      <c r="C697" s="127"/>
      <c r="D697" s="336">
        <f>+SUM(D695:D696)</f>
        <v>220.86</v>
      </c>
      <c r="E697" s="128"/>
      <c r="F697" s="337">
        <f>D697</f>
        <v>220.86</v>
      </c>
      <c r="G697" s="131"/>
      <c r="I697" s="143"/>
      <c r="J697" s="143"/>
      <c r="K697" s="143"/>
      <c r="O697" s="220"/>
    </row>
    <row r="698" spans="1:15" s="159" customFormat="1" ht="14.25" customHeight="1" x14ac:dyDescent="0.25">
      <c r="A698" s="376"/>
      <c r="B698" s="28"/>
      <c r="C698" s="28"/>
      <c r="D698" s="28"/>
      <c r="E698" s="28"/>
      <c r="F698" s="28"/>
      <c r="G698" s="28"/>
      <c r="I698" s="143"/>
      <c r="J698" s="143"/>
      <c r="K698" s="143"/>
      <c r="O698" s="220"/>
    </row>
    <row r="699" spans="1:15" s="159" customFormat="1" ht="14.25" customHeight="1" thickBot="1" x14ac:dyDescent="0.3">
      <c r="A699" s="376"/>
      <c r="B699" s="28"/>
      <c r="C699" s="28"/>
      <c r="D699" s="28"/>
      <c r="E699" s="28"/>
      <c r="F699" s="28"/>
      <c r="G699" s="28"/>
      <c r="I699" s="143"/>
      <c r="J699" s="143"/>
      <c r="K699" s="143"/>
      <c r="O699" s="220"/>
    </row>
    <row r="700" spans="1:15" s="159" customFormat="1" ht="14.25" customHeight="1" x14ac:dyDescent="0.25">
      <c r="A700" s="376"/>
      <c r="B700" s="1383" t="s">
        <v>131</v>
      </c>
      <c r="C700" s="1383"/>
      <c r="D700" s="1383"/>
      <c r="E700" s="1383"/>
      <c r="F700" s="1383"/>
      <c r="G700" s="1383"/>
      <c r="I700" s="143"/>
      <c r="J700" s="143"/>
      <c r="K700" s="143"/>
      <c r="O700" s="220"/>
    </row>
    <row r="701" spans="1:15" s="159" customFormat="1" ht="14.25" customHeight="1" thickBot="1" x14ac:dyDescent="0.3">
      <c r="A701" s="376"/>
      <c r="B701" s="1384" t="str">
        <f>$I$3</f>
        <v>Urbanização da Orla de Piúma - Município de Piúma / ES</v>
      </c>
      <c r="C701" s="1385"/>
      <c r="D701" s="1385"/>
      <c r="E701" s="1385"/>
      <c r="F701" s="1385"/>
      <c r="G701" s="1386"/>
      <c r="I701" s="143"/>
      <c r="J701" s="143"/>
      <c r="K701" s="143"/>
      <c r="O701" s="220"/>
    </row>
    <row r="702" spans="1:15" s="159" customFormat="1" ht="14.25" customHeight="1" thickBot="1" x14ac:dyDescent="0.3">
      <c r="A702" s="376"/>
      <c r="B702" s="90" t="s">
        <v>132</v>
      </c>
      <c r="C702" s="90" t="s">
        <v>133</v>
      </c>
      <c r="D702" s="1381" t="s">
        <v>134</v>
      </c>
      <c r="E702" s="1381"/>
      <c r="F702" s="131" t="s">
        <v>275</v>
      </c>
      <c r="G702" s="131" t="s">
        <v>135</v>
      </c>
      <c r="I702" s="143"/>
      <c r="J702" s="143"/>
      <c r="K702" s="143"/>
      <c r="O702" s="220"/>
    </row>
    <row r="703" spans="1:15" s="159" customFormat="1" ht="27" thickBot="1" x14ac:dyDescent="0.3">
      <c r="A703" s="376"/>
      <c r="B703" s="132" t="s">
        <v>329</v>
      </c>
      <c r="C703" s="92" t="s">
        <v>98</v>
      </c>
      <c r="D703" s="1381" t="s">
        <v>7</v>
      </c>
      <c r="E703" s="1381"/>
      <c r="F703" s="144" t="s">
        <v>212</v>
      </c>
      <c r="G703" s="38">
        <f>$K$5</f>
        <v>44501</v>
      </c>
      <c r="I703" s="143"/>
      <c r="J703" s="143"/>
      <c r="K703" s="143"/>
      <c r="O703" s="220"/>
    </row>
    <row r="704" spans="1:15" s="159" customFormat="1" ht="14.25" customHeight="1" thickBot="1" x14ac:dyDescent="0.3">
      <c r="A704" s="376"/>
      <c r="B704" s="1382"/>
      <c r="C704" s="1382"/>
      <c r="D704" s="1382"/>
      <c r="E704" s="1382"/>
      <c r="F704" s="1382"/>
      <c r="G704" s="1382"/>
      <c r="I704" s="143"/>
      <c r="J704" s="143"/>
      <c r="K704" s="143"/>
      <c r="O704" s="220"/>
    </row>
    <row r="705" spans="1:15" s="159" customFormat="1" ht="14.25" customHeight="1" x14ac:dyDescent="0.25">
      <c r="A705" s="376"/>
      <c r="B705" s="93" t="s">
        <v>139</v>
      </c>
      <c r="C705" s="94" t="s">
        <v>140</v>
      </c>
      <c r="D705" s="94" t="s">
        <v>141</v>
      </c>
      <c r="E705" s="94" t="s">
        <v>142</v>
      </c>
      <c r="F705" s="94" t="s">
        <v>143</v>
      </c>
      <c r="G705" s="95" t="s">
        <v>144</v>
      </c>
      <c r="I705" s="143"/>
      <c r="J705" s="143"/>
      <c r="K705" s="143"/>
      <c r="O705" s="220"/>
    </row>
    <row r="706" spans="1:15" s="159" customFormat="1" ht="14.25" customHeight="1" x14ac:dyDescent="0.25">
      <c r="A706" s="376">
        <v>10115</v>
      </c>
      <c r="B706" s="145" t="str">
        <f>VLOOKUP(A706,Insumos!$A$10:$F$3462,2,FALSE)</f>
        <v>ELETRICISTA (OFICIAL - SINDUSCON)</v>
      </c>
      <c r="C706" s="146" t="str">
        <f>VLOOKUP(A706,Insumos!$A$10:$F$3462,3,FALSE)</f>
        <v>H</v>
      </c>
      <c r="D706" s="83">
        <v>0.8</v>
      </c>
      <c r="E706" s="329">
        <f>VLOOKUP(A706,Insumos!$A$10:$F$3462,4,FALSE)</f>
        <v>7.43</v>
      </c>
      <c r="F706" s="329">
        <f>ROUND((D706*E706),2)</f>
        <v>5.94</v>
      </c>
      <c r="G706" s="355"/>
      <c r="I706" s="143"/>
      <c r="J706" s="143"/>
      <c r="K706" s="143"/>
      <c r="O706" s="220"/>
    </row>
    <row r="707" spans="1:15" s="159" customFormat="1" ht="14.25" customHeight="1" x14ac:dyDescent="0.25">
      <c r="A707" s="376">
        <v>10101</v>
      </c>
      <c r="B707" s="145" t="str">
        <f>VLOOKUP(A707,Insumos!$A$10:$F$3462,2,FALSE)</f>
        <v>AJUDANTE (AJUDANTE PRATICO - SINDUSCON)</v>
      </c>
      <c r="C707" s="146" t="str">
        <f>VLOOKUP(A707,Insumos!$A$10:$F$3462,3,FALSE)</f>
        <v>H</v>
      </c>
      <c r="D707" s="83">
        <v>0.8</v>
      </c>
      <c r="E707" s="329">
        <f>VLOOKUP(A707,Insumos!$A$10:$F$3462,4,FALSE)</f>
        <v>6.27</v>
      </c>
      <c r="F707" s="329">
        <f>ROUND((D707*E707),2)</f>
        <v>5.0199999999999996</v>
      </c>
      <c r="G707" s="355"/>
      <c r="I707" s="143"/>
      <c r="J707" s="143"/>
      <c r="K707" s="143"/>
      <c r="O707" s="220"/>
    </row>
    <row r="708" spans="1:15" s="159" customFormat="1" ht="14.25" customHeight="1" x14ac:dyDescent="0.25">
      <c r="A708" s="376"/>
      <c r="B708" s="99"/>
      <c r="C708" s="146"/>
      <c r="D708" s="83"/>
      <c r="E708" s="329"/>
      <c r="F708" s="329"/>
      <c r="G708" s="355"/>
      <c r="I708" s="143"/>
      <c r="J708" s="143"/>
      <c r="K708" s="143"/>
      <c r="O708" s="220"/>
    </row>
    <row r="709" spans="1:15" s="159" customFormat="1" ht="14.25" customHeight="1" x14ac:dyDescent="0.25">
      <c r="A709" s="376"/>
      <c r="B709" s="101" t="s">
        <v>145</v>
      </c>
      <c r="C709" s="102"/>
      <c r="D709" s="107"/>
      <c r="E709" s="329"/>
      <c r="F709" s="353"/>
      <c r="G709" s="338">
        <f>+SUM(F706:F708)</f>
        <v>10.96</v>
      </c>
      <c r="I709" s="143"/>
      <c r="J709" s="143"/>
      <c r="K709" s="143"/>
      <c r="O709" s="220"/>
    </row>
    <row r="710" spans="1:15" s="159" customFormat="1" ht="14.25" customHeight="1" x14ac:dyDescent="0.25">
      <c r="A710" s="376" t="s">
        <v>98</v>
      </c>
      <c r="B710" s="99" t="s">
        <v>146</v>
      </c>
      <c r="C710" s="106"/>
      <c r="D710" s="83" t="s">
        <v>98</v>
      </c>
      <c r="E710" s="146"/>
      <c r="F710" s="108"/>
      <c r="G710" s="109" t="s">
        <v>147</v>
      </c>
      <c r="I710" s="143"/>
      <c r="J710" s="143"/>
      <c r="K710" s="143"/>
      <c r="O710" s="220"/>
    </row>
    <row r="711" spans="1:15" s="159" customFormat="1" x14ac:dyDescent="0.25">
      <c r="A711" s="379">
        <v>3972</v>
      </c>
      <c r="B711" s="145" t="str">
        <f>VLOOKUP(A711,Insumos!$A$10:$F$3462,2,FALSE)</f>
        <v>Eletroduto em ferro galvanizado pesado sem costura 3/4" x 3m</v>
      </c>
      <c r="C711" s="146" t="str">
        <f>VLOOKUP(A711,Insumos!$A$10:$F$3462,3,FALSE)</f>
        <v>Und.</v>
      </c>
      <c r="D711" s="83">
        <f>1.6/3</f>
        <v>0.53333299999999995</v>
      </c>
      <c r="E711" s="329">
        <f>VLOOKUP(A711,Insumos!$A$10:$F$3462,4,FALSE)</f>
        <v>109.5</v>
      </c>
      <c r="F711" s="329">
        <f>ROUND((D711*E711),2)</f>
        <v>58.4</v>
      </c>
      <c r="G711" s="355"/>
      <c r="I711" s="143"/>
      <c r="J711" s="143"/>
      <c r="K711" s="143"/>
      <c r="O711" s="220"/>
    </row>
    <row r="712" spans="1:15" s="159" customFormat="1" x14ac:dyDescent="0.25">
      <c r="A712" s="376"/>
      <c r="B712" s="145"/>
      <c r="C712" s="146"/>
      <c r="D712" s="83"/>
      <c r="E712" s="329"/>
      <c r="F712" s="329"/>
      <c r="G712" s="355"/>
      <c r="I712" s="143"/>
      <c r="J712" s="143"/>
      <c r="K712" s="143"/>
      <c r="O712" s="220"/>
    </row>
    <row r="713" spans="1:15" s="159" customFormat="1" ht="14.25" customHeight="1" x14ac:dyDescent="0.25">
      <c r="A713" s="376"/>
      <c r="B713" s="145"/>
      <c r="C713" s="146"/>
      <c r="D713" s="83"/>
      <c r="E713" s="329"/>
      <c r="F713" s="329"/>
      <c r="G713" s="355"/>
      <c r="I713" s="143"/>
      <c r="J713" s="143"/>
      <c r="K713" s="143"/>
      <c r="O713" s="220"/>
    </row>
    <row r="714" spans="1:15" s="159" customFormat="1" ht="14.25" customHeight="1" x14ac:dyDescent="0.25">
      <c r="A714" s="376"/>
      <c r="B714" s="101" t="s">
        <v>148</v>
      </c>
      <c r="C714" s="102"/>
      <c r="D714" s="112"/>
      <c r="E714" s="353"/>
      <c r="F714" s="353"/>
      <c r="G714" s="338">
        <f>+SUM(F711:F713)</f>
        <v>58.4</v>
      </c>
      <c r="I714" s="143"/>
      <c r="J714" s="143"/>
      <c r="K714" s="143"/>
      <c r="O714" s="220"/>
    </row>
    <row r="715" spans="1:15" s="159" customFormat="1" ht="14.25" customHeight="1" x14ac:dyDescent="0.25">
      <c r="A715" s="376"/>
      <c r="B715" s="99" t="s">
        <v>149</v>
      </c>
      <c r="C715" s="106"/>
      <c r="D715" s="114"/>
      <c r="E715" s="106"/>
      <c r="F715" s="106"/>
      <c r="G715" s="109" t="s">
        <v>150</v>
      </c>
      <c r="I715" s="143"/>
      <c r="J715" s="143"/>
      <c r="K715" s="143"/>
      <c r="O715" s="220"/>
    </row>
    <row r="716" spans="1:15" s="159" customFormat="1" ht="14.25" customHeight="1" x14ac:dyDescent="0.25">
      <c r="A716" s="376"/>
      <c r="B716" s="99" t="s">
        <v>98</v>
      </c>
      <c r="C716" s="146"/>
      <c r="D716" s="110"/>
      <c r="E716" s="146"/>
      <c r="F716" s="146"/>
      <c r="G716" s="148"/>
      <c r="I716" s="143"/>
      <c r="J716" s="143"/>
      <c r="K716" s="143"/>
      <c r="O716" s="220"/>
    </row>
    <row r="717" spans="1:15" s="159" customFormat="1" ht="14.25" customHeight="1" x14ac:dyDescent="0.25">
      <c r="A717" s="376"/>
      <c r="B717" s="99" t="s">
        <v>98</v>
      </c>
      <c r="C717" s="146"/>
      <c r="D717" s="110"/>
      <c r="E717" s="146"/>
      <c r="F717" s="146"/>
      <c r="G717" s="148"/>
      <c r="I717" s="143"/>
      <c r="J717" s="143"/>
      <c r="K717" s="143"/>
      <c r="O717" s="220"/>
    </row>
    <row r="718" spans="1:15" s="159" customFormat="1" ht="14.25" customHeight="1" thickBot="1" x14ac:dyDescent="0.3">
      <c r="A718" s="376"/>
      <c r="B718" s="115" t="s">
        <v>151</v>
      </c>
      <c r="C718" s="116"/>
      <c r="D718" s="117"/>
      <c r="E718" s="116"/>
      <c r="F718" s="116"/>
      <c r="G718" s="118">
        <f>+SUM(F716:F717)</f>
        <v>0</v>
      </c>
      <c r="I718" s="143"/>
      <c r="J718" s="143"/>
      <c r="K718" s="143"/>
      <c r="O718" s="220"/>
    </row>
    <row r="719" spans="1:15" s="159" customFormat="1" ht="14.25" customHeight="1" thickBot="1" x14ac:dyDescent="0.3">
      <c r="A719" s="376"/>
      <c r="B719" s="1382"/>
      <c r="C719" s="1382"/>
      <c r="D719" s="1382"/>
      <c r="E719" s="1382"/>
      <c r="F719" s="1382"/>
      <c r="G719" s="1382"/>
      <c r="I719" s="143"/>
      <c r="J719" s="143"/>
      <c r="K719" s="143"/>
      <c r="O719" s="220"/>
    </row>
    <row r="720" spans="1:15" s="159" customFormat="1" ht="14.25" customHeight="1" thickBot="1" x14ac:dyDescent="0.3">
      <c r="A720" s="376"/>
      <c r="B720" s="69" t="s">
        <v>152</v>
      </c>
      <c r="C720" s="70" t="s">
        <v>4415</v>
      </c>
      <c r="D720" s="71" t="s">
        <v>154</v>
      </c>
      <c r="E720" s="1381" t="s">
        <v>155</v>
      </c>
      <c r="F720" s="1381"/>
      <c r="G720" s="1381"/>
      <c r="I720" s="143"/>
      <c r="J720" s="143"/>
      <c r="K720" s="143"/>
      <c r="O720" s="220"/>
    </row>
    <row r="721" spans="1:15" s="159" customFormat="1" ht="14.25" customHeight="1" thickBot="1" x14ac:dyDescent="0.3">
      <c r="A721" s="376"/>
      <c r="B721" s="72" t="s">
        <v>156</v>
      </c>
      <c r="C721" s="73"/>
      <c r="D721" s="332">
        <f>G709</f>
        <v>10.96</v>
      </c>
      <c r="E721" s="1381"/>
      <c r="F721" s="1381"/>
      <c r="G721" s="1381"/>
      <c r="I721" s="143"/>
      <c r="J721" s="143"/>
      <c r="K721" s="143"/>
      <c r="O721" s="220"/>
    </row>
    <row r="722" spans="1:15" s="159" customFormat="1" ht="14.25" customHeight="1" thickBot="1" x14ac:dyDescent="0.3">
      <c r="A722" s="376"/>
      <c r="B722" s="72" t="s">
        <v>157</v>
      </c>
      <c r="C722" s="73"/>
      <c r="D722" s="332">
        <f>G714</f>
        <v>58.4</v>
      </c>
      <c r="E722" s="1381"/>
      <c r="F722" s="1381"/>
      <c r="G722" s="1381"/>
      <c r="I722" s="143"/>
      <c r="J722" s="143"/>
      <c r="K722" s="143"/>
      <c r="O722" s="220"/>
    </row>
    <row r="723" spans="1:15" s="159" customFormat="1" ht="14.25" customHeight="1" thickBot="1" x14ac:dyDescent="0.3">
      <c r="A723" s="376"/>
      <c r="B723" s="72" t="s">
        <v>158</v>
      </c>
      <c r="C723" s="73"/>
      <c r="D723" s="332">
        <f>G718</f>
        <v>0</v>
      </c>
      <c r="E723" s="1381"/>
      <c r="F723" s="1381"/>
      <c r="G723" s="1381"/>
      <c r="I723" s="143"/>
      <c r="J723" s="143"/>
      <c r="K723" s="143"/>
      <c r="O723" s="220"/>
    </row>
    <row r="724" spans="1:15" s="159" customFormat="1" ht="14.25" customHeight="1" thickBot="1" x14ac:dyDescent="0.3">
      <c r="A724" s="376"/>
      <c r="B724" s="72" t="s">
        <v>159</v>
      </c>
      <c r="C724" s="74">
        <f>$J$5</f>
        <v>157.27000000000001</v>
      </c>
      <c r="D724" s="332">
        <f>+ROUND((D721*C724),2)/100</f>
        <v>17.239999999999998</v>
      </c>
      <c r="E724" s="1381"/>
      <c r="F724" s="1381"/>
      <c r="G724" s="1381"/>
      <c r="I724" s="143"/>
      <c r="J724" s="143"/>
      <c r="K724" s="143"/>
      <c r="O724" s="220"/>
    </row>
    <row r="725" spans="1:15" s="159" customFormat="1" ht="14.25" customHeight="1" thickBot="1" x14ac:dyDescent="0.3">
      <c r="A725" s="376"/>
      <c r="B725" s="72" t="s">
        <v>160</v>
      </c>
      <c r="C725" s="75"/>
      <c r="D725" s="333">
        <f>+SUM(D721:D724)</f>
        <v>86.6</v>
      </c>
      <c r="E725" s="1381"/>
      <c r="F725" s="1381"/>
      <c r="G725" s="1381"/>
      <c r="I725" s="143"/>
      <c r="J725" s="143"/>
      <c r="K725" s="143"/>
      <c r="O725" s="220"/>
    </row>
    <row r="726" spans="1:15" s="159" customFormat="1" ht="14.25" customHeight="1" thickBot="1" x14ac:dyDescent="0.3">
      <c r="A726" s="376"/>
      <c r="B726" s="72" t="s">
        <v>161</v>
      </c>
      <c r="C726" s="73"/>
      <c r="D726" s="332" t="s">
        <v>162</v>
      </c>
      <c r="E726" s="1382" t="s">
        <v>163</v>
      </c>
      <c r="F726" s="1382"/>
      <c r="G726" s="1382"/>
      <c r="I726" s="143"/>
      <c r="J726" s="143"/>
      <c r="K726" s="143"/>
      <c r="O726" s="220"/>
    </row>
    <row r="727" spans="1:15" s="159" customFormat="1" ht="14.25" customHeight="1" thickBot="1" x14ac:dyDescent="0.3">
      <c r="A727" s="376"/>
      <c r="B727" s="122" t="s">
        <v>164</v>
      </c>
      <c r="C727" s="123"/>
      <c r="D727" s="334">
        <f>+SUM(D725:D726)</f>
        <v>86.6</v>
      </c>
      <c r="E727" s="1382"/>
      <c r="F727" s="1382"/>
      <c r="G727" s="1382"/>
      <c r="I727" s="143"/>
      <c r="J727" s="143"/>
      <c r="K727" s="143"/>
      <c r="O727" s="220"/>
    </row>
    <row r="728" spans="1:15" s="159" customFormat="1" ht="14.25" customHeight="1" thickBot="1" x14ac:dyDescent="0.3">
      <c r="A728" s="376"/>
      <c r="B728" s="124" t="s">
        <v>165</v>
      </c>
      <c r="C728" s="125">
        <f>$I$5</f>
        <v>28.49</v>
      </c>
      <c r="D728" s="335">
        <f>ROUND((D727*C728),2)/100</f>
        <v>24.67</v>
      </c>
      <c r="E728" s="1382"/>
      <c r="F728" s="1382"/>
      <c r="G728" s="1382"/>
      <c r="I728" s="143"/>
      <c r="J728" s="143"/>
      <c r="K728" s="143"/>
      <c r="O728" s="220"/>
    </row>
    <row r="729" spans="1:15" s="159" customFormat="1" ht="14.25" customHeight="1" thickBot="1" x14ac:dyDescent="0.3">
      <c r="A729" s="376"/>
      <c r="B729" s="80" t="s">
        <v>166</v>
      </c>
      <c r="C729" s="127"/>
      <c r="D729" s="336">
        <f>+SUM(D727:D728)</f>
        <v>111.27</v>
      </c>
      <c r="E729" s="128"/>
      <c r="F729" s="337">
        <f>D729</f>
        <v>111.27</v>
      </c>
      <c r="G729" s="131"/>
      <c r="I729" s="143"/>
      <c r="J729" s="143"/>
      <c r="K729" s="143"/>
      <c r="O729" s="220"/>
    </row>
    <row r="730" spans="1:15" s="159" customFormat="1" ht="14.25" customHeight="1" x14ac:dyDescent="0.25">
      <c r="A730" s="376"/>
      <c r="B730" s="28"/>
      <c r="C730" s="28"/>
      <c r="D730" s="28"/>
      <c r="E730" s="28"/>
      <c r="F730" s="28"/>
      <c r="G730" s="28"/>
      <c r="I730" s="143"/>
      <c r="J730" s="143"/>
      <c r="K730" s="143"/>
      <c r="O730" s="220"/>
    </row>
    <row r="731" spans="1:15" s="159" customFormat="1" ht="14.25" customHeight="1" thickBot="1" x14ac:dyDescent="0.3">
      <c r="A731" s="376"/>
      <c r="B731" s="28"/>
      <c r="C731" s="28"/>
      <c r="D731" s="28"/>
      <c r="E731" s="28"/>
      <c r="F731" s="28"/>
      <c r="G731" s="28"/>
      <c r="I731" s="143"/>
      <c r="J731" s="143"/>
      <c r="K731" s="143"/>
      <c r="O731" s="220"/>
    </row>
    <row r="732" spans="1:15" s="159" customFormat="1" x14ac:dyDescent="0.25">
      <c r="A732" s="376"/>
      <c r="B732" s="1383" t="s">
        <v>131</v>
      </c>
      <c r="C732" s="1383"/>
      <c r="D732" s="1383"/>
      <c r="E732" s="1383"/>
      <c r="F732" s="1383"/>
      <c r="G732" s="1383"/>
      <c r="I732" s="143"/>
      <c r="J732" s="143"/>
      <c r="K732" s="143"/>
      <c r="O732" s="220"/>
    </row>
    <row r="733" spans="1:15" s="159" customFormat="1" ht="15.75" thickBot="1" x14ac:dyDescent="0.3">
      <c r="A733" s="376"/>
      <c r="B733" s="1384" t="str">
        <f>$I$3</f>
        <v>Urbanização da Orla de Piúma - Município de Piúma / ES</v>
      </c>
      <c r="C733" s="1385"/>
      <c r="D733" s="1385"/>
      <c r="E733" s="1385"/>
      <c r="F733" s="1385"/>
      <c r="G733" s="1386"/>
      <c r="I733" s="143"/>
      <c r="J733" s="143"/>
      <c r="K733" s="143"/>
      <c r="O733" s="220"/>
    </row>
    <row r="734" spans="1:15" s="159" customFormat="1" ht="15.75" thickBot="1" x14ac:dyDescent="0.3">
      <c r="A734" s="376"/>
      <c r="B734" s="90" t="s">
        <v>132</v>
      </c>
      <c r="C734" s="90" t="s">
        <v>133</v>
      </c>
      <c r="D734" s="1381" t="s">
        <v>134</v>
      </c>
      <c r="E734" s="1381"/>
      <c r="F734" s="131" t="s">
        <v>275</v>
      </c>
      <c r="G734" s="131" t="s">
        <v>135</v>
      </c>
      <c r="I734" s="31"/>
      <c r="J734" s="31"/>
      <c r="K734" s="143"/>
      <c r="O734" s="220"/>
    </row>
    <row r="735" spans="1:15" s="159" customFormat="1" ht="15.75" thickBot="1" x14ac:dyDescent="0.3">
      <c r="A735" s="376"/>
      <c r="B735" s="132" t="s">
        <v>194</v>
      </c>
      <c r="C735" s="92" t="s">
        <v>98</v>
      </c>
      <c r="D735" s="1381" t="s">
        <v>8</v>
      </c>
      <c r="E735" s="1381"/>
      <c r="F735" s="144" t="s">
        <v>213</v>
      </c>
      <c r="G735" s="38">
        <f>$K$5</f>
        <v>44501</v>
      </c>
      <c r="I735" s="143"/>
      <c r="J735" s="143"/>
      <c r="K735" s="143"/>
      <c r="O735" s="220"/>
    </row>
    <row r="736" spans="1:15" s="159" customFormat="1" ht="6" customHeight="1" thickBot="1" x14ac:dyDescent="0.3">
      <c r="A736" s="376"/>
      <c r="B736" s="1382"/>
      <c r="C736" s="1382"/>
      <c r="D736" s="1382"/>
      <c r="E736" s="1382"/>
      <c r="F736" s="1382"/>
      <c r="G736" s="1382"/>
      <c r="I736" s="143"/>
      <c r="J736" s="143"/>
      <c r="K736" s="143"/>
      <c r="O736" s="220"/>
    </row>
    <row r="737" spans="1:15" s="159" customFormat="1" ht="14.25" customHeight="1" x14ac:dyDescent="0.25">
      <c r="A737" s="376"/>
      <c r="B737" s="93" t="s">
        <v>139</v>
      </c>
      <c r="C737" s="94" t="s">
        <v>140</v>
      </c>
      <c r="D737" s="94" t="s">
        <v>141</v>
      </c>
      <c r="E737" s="94" t="s">
        <v>142</v>
      </c>
      <c r="F737" s="94" t="s">
        <v>143</v>
      </c>
      <c r="G737" s="95" t="s">
        <v>144</v>
      </c>
      <c r="I737" s="143"/>
      <c r="J737" s="143"/>
      <c r="K737" s="143"/>
      <c r="O737" s="220"/>
    </row>
    <row r="738" spans="1:15" s="159" customFormat="1" ht="14.25" customHeight="1" x14ac:dyDescent="0.25">
      <c r="A738" s="376">
        <v>10115</v>
      </c>
      <c r="B738" s="145" t="str">
        <f>VLOOKUP(A738,Insumos!$A$10:$F$3462,2,FALSE)</f>
        <v>ELETRICISTA (OFICIAL - SINDUSCON)</v>
      </c>
      <c r="C738" s="146" t="str">
        <f>VLOOKUP(A738,Insumos!$A$10:$F$3462,3,FALSE)</f>
        <v>H</v>
      </c>
      <c r="D738" s="147">
        <v>0.25</v>
      </c>
      <c r="E738" s="329">
        <f>VLOOKUP(A738,Insumos!$A$10:$F$3462,4,FALSE)</f>
        <v>7.43</v>
      </c>
      <c r="F738" s="329">
        <f>ROUND((D738*E738),2)</f>
        <v>1.86</v>
      </c>
      <c r="G738" s="355"/>
      <c r="I738" s="143"/>
      <c r="J738" s="143"/>
      <c r="K738" s="143"/>
      <c r="O738" s="220"/>
    </row>
    <row r="739" spans="1:15" s="159" customFormat="1" ht="14.25" customHeight="1" x14ac:dyDescent="0.25">
      <c r="A739" s="376">
        <v>10101</v>
      </c>
      <c r="B739" s="145" t="str">
        <f>VLOOKUP(A739,Insumos!$A$10:$F$3462,2,FALSE)</f>
        <v>AJUDANTE (AJUDANTE PRATICO - SINDUSCON)</v>
      </c>
      <c r="C739" s="146" t="str">
        <f>VLOOKUP(A739,Insumos!$A$10:$F$3462,3,FALSE)</f>
        <v>H</v>
      </c>
      <c r="D739" s="147">
        <v>0.25</v>
      </c>
      <c r="E739" s="329">
        <f>VLOOKUP(A739,Insumos!$A$10:$F$3462,4,FALSE)</f>
        <v>6.27</v>
      </c>
      <c r="F739" s="329">
        <f>ROUND((D739*E739),2)</f>
        <v>1.57</v>
      </c>
      <c r="G739" s="355"/>
      <c r="I739" s="143"/>
      <c r="J739" s="143"/>
      <c r="K739" s="143"/>
      <c r="O739" s="220"/>
    </row>
    <row r="740" spans="1:15" s="159" customFormat="1" ht="14.25" customHeight="1" x14ac:dyDescent="0.25">
      <c r="A740" s="376"/>
      <c r="B740" s="99"/>
      <c r="C740" s="146"/>
      <c r="D740" s="100"/>
      <c r="E740" s="329"/>
      <c r="F740" s="329"/>
      <c r="G740" s="355"/>
      <c r="I740" s="143"/>
      <c r="J740" s="143"/>
      <c r="K740" s="143"/>
      <c r="O740" s="220"/>
    </row>
    <row r="741" spans="1:15" s="159" customFormat="1" ht="14.25" customHeight="1" x14ac:dyDescent="0.25">
      <c r="A741" s="376"/>
      <c r="B741" s="101" t="s">
        <v>145</v>
      </c>
      <c r="C741" s="102"/>
      <c r="D741" s="103"/>
      <c r="E741" s="329"/>
      <c r="F741" s="353"/>
      <c r="G741" s="338">
        <f>+SUM(F738:F740)</f>
        <v>3.43</v>
      </c>
      <c r="I741" s="143"/>
      <c r="J741" s="143"/>
      <c r="K741" s="143"/>
      <c r="O741" s="220"/>
    </row>
    <row r="742" spans="1:15" s="159" customFormat="1" ht="14.25" customHeight="1" x14ac:dyDescent="0.25">
      <c r="A742" s="376"/>
      <c r="B742" s="99" t="s">
        <v>146</v>
      </c>
      <c r="C742" s="106"/>
      <c r="D742" s="107"/>
      <c r="E742" s="146"/>
      <c r="F742" s="108"/>
      <c r="G742" s="109" t="s">
        <v>147</v>
      </c>
      <c r="I742" s="143"/>
      <c r="J742" s="143"/>
      <c r="K742" s="143"/>
      <c r="O742" s="220"/>
    </row>
    <row r="743" spans="1:15" s="159" customFormat="1" ht="39" x14ac:dyDescent="0.25">
      <c r="A743" s="376">
        <v>1100</v>
      </c>
      <c r="B743" s="145" t="str">
        <f>VLOOKUP(A743,Insumos!$A$10:$F$3462,2,FALSE)</f>
        <v>CABECOTE PARA ENTRADA DE LINHA DE ALIMENTACAO PARA ELETRODUTO, EM LIGA DE ALUMINIO COM ACABAMENTO ANTI CORROSIVO, COM FIXACAO POR ENCAIXE LISO DE 360 GRAUS, DE 2"</v>
      </c>
      <c r="C743" s="146" t="str">
        <f>VLOOKUP(A743,Insumos!$A$10:$F$3462,3,FALSE)</f>
        <v>Und.</v>
      </c>
      <c r="D743" s="147">
        <v>1</v>
      </c>
      <c r="E743" s="329">
        <f>VLOOKUP(A743,Insumos!$A$10:$F$3462,4,FALSE)</f>
        <v>16.03</v>
      </c>
      <c r="F743" s="329">
        <f>ROUND((D743*E743),2)</f>
        <v>16.03</v>
      </c>
      <c r="G743" s="355"/>
      <c r="I743" s="143"/>
      <c r="J743" s="143"/>
      <c r="K743" s="143"/>
      <c r="O743" s="220"/>
    </row>
    <row r="744" spans="1:15" s="159" customFormat="1" ht="14.25" customHeight="1" x14ac:dyDescent="0.25">
      <c r="A744" s="376"/>
      <c r="B744" s="145"/>
      <c r="C744" s="146"/>
      <c r="D744" s="147"/>
      <c r="E744" s="329"/>
      <c r="F744" s="329"/>
      <c r="G744" s="355"/>
      <c r="I744" s="143"/>
      <c r="J744" s="143"/>
      <c r="K744" s="143"/>
      <c r="O744" s="220"/>
    </row>
    <row r="745" spans="1:15" s="159" customFormat="1" ht="14.25" customHeight="1" x14ac:dyDescent="0.25">
      <c r="A745" s="376"/>
      <c r="B745" s="101" t="s">
        <v>148</v>
      </c>
      <c r="C745" s="102"/>
      <c r="D745" s="112"/>
      <c r="E745" s="353"/>
      <c r="F745" s="353"/>
      <c r="G745" s="338">
        <f>+SUM(F743:F744)</f>
        <v>16.03</v>
      </c>
      <c r="I745" s="143"/>
      <c r="J745" s="143"/>
      <c r="K745" s="143"/>
      <c r="O745" s="220"/>
    </row>
    <row r="746" spans="1:15" s="159" customFormat="1" ht="14.25" customHeight="1" x14ac:dyDescent="0.25">
      <c r="A746" s="376"/>
      <c r="B746" s="99" t="s">
        <v>149</v>
      </c>
      <c r="C746" s="106"/>
      <c r="D746" s="114"/>
      <c r="E746" s="106"/>
      <c r="F746" s="106"/>
      <c r="G746" s="109" t="s">
        <v>150</v>
      </c>
      <c r="I746" s="143"/>
      <c r="J746" s="143"/>
      <c r="K746" s="143"/>
      <c r="O746" s="220"/>
    </row>
    <row r="747" spans="1:15" s="159" customFormat="1" ht="14.25" customHeight="1" x14ac:dyDescent="0.25">
      <c r="A747" s="376"/>
      <c r="B747" s="99" t="s">
        <v>98</v>
      </c>
      <c r="C747" s="146"/>
      <c r="D747" s="110"/>
      <c r="E747" s="146"/>
      <c r="F747" s="146"/>
      <c r="G747" s="148"/>
      <c r="I747" s="143"/>
      <c r="J747" s="143"/>
      <c r="K747" s="143"/>
      <c r="O747" s="220"/>
    </row>
    <row r="748" spans="1:15" s="159" customFormat="1" ht="14.25" customHeight="1" x14ac:dyDescent="0.25">
      <c r="A748" s="376"/>
      <c r="B748" s="99" t="s">
        <v>98</v>
      </c>
      <c r="C748" s="146"/>
      <c r="D748" s="110"/>
      <c r="E748" s="146"/>
      <c r="F748" s="146"/>
      <c r="G748" s="148"/>
      <c r="I748" s="143"/>
      <c r="J748" s="143"/>
      <c r="K748" s="143"/>
      <c r="O748" s="220"/>
    </row>
    <row r="749" spans="1:15" s="159" customFormat="1" ht="14.25" customHeight="1" thickBot="1" x14ac:dyDescent="0.3">
      <c r="A749" s="376"/>
      <c r="B749" s="115" t="s">
        <v>151</v>
      </c>
      <c r="C749" s="116"/>
      <c r="D749" s="117"/>
      <c r="E749" s="116"/>
      <c r="F749" s="116"/>
      <c r="G749" s="118">
        <f>+SUM(F747:F748)</f>
        <v>0</v>
      </c>
      <c r="I749" s="143"/>
      <c r="J749" s="143"/>
      <c r="K749" s="143"/>
      <c r="O749" s="220"/>
    </row>
    <row r="750" spans="1:15" s="159" customFormat="1" ht="4.5" customHeight="1" thickBot="1" x14ac:dyDescent="0.3">
      <c r="A750" s="376"/>
      <c r="B750" s="1382"/>
      <c r="C750" s="1382"/>
      <c r="D750" s="1382"/>
      <c r="E750" s="1382"/>
      <c r="F750" s="1382"/>
      <c r="G750" s="1382"/>
      <c r="I750" s="143"/>
      <c r="J750" s="143"/>
      <c r="K750" s="143"/>
      <c r="O750" s="220"/>
    </row>
    <row r="751" spans="1:15" s="159" customFormat="1" ht="14.25" customHeight="1" thickBot="1" x14ac:dyDescent="0.3">
      <c r="A751" s="376"/>
      <c r="B751" s="69" t="s">
        <v>152</v>
      </c>
      <c r="C751" s="70" t="s">
        <v>4415</v>
      </c>
      <c r="D751" s="71" t="s">
        <v>154</v>
      </c>
      <c r="E751" s="1381" t="s">
        <v>155</v>
      </c>
      <c r="F751" s="1381"/>
      <c r="G751" s="1381"/>
      <c r="I751" s="143"/>
      <c r="J751" s="143"/>
      <c r="K751" s="143"/>
      <c r="O751" s="220"/>
    </row>
    <row r="752" spans="1:15" s="159" customFormat="1" ht="14.25" customHeight="1" thickBot="1" x14ac:dyDescent="0.3">
      <c r="A752" s="376"/>
      <c r="B752" s="72" t="s">
        <v>156</v>
      </c>
      <c r="C752" s="73"/>
      <c r="D752" s="332">
        <f>G741</f>
        <v>3.43</v>
      </c>
      <c r="E752" s="1381"/>
      <c r="F752" s="1381"/>
      <c r="G752" s="1381"/>
      <c r="I752" s="143"/>
      <c r="J752" s="143"/>
      <c r="K752" s="143"/>
      <c r="O752" s="220"/>
    </row>
    <row r="753" spans="1:15" s="159" customFormat="1" ht="14.25" customHeight="1" thickBot="1" x14ac:dyDescent="0.3">
      <c r="A753" s="376"/>
      <c r="B753" s="72" t="s">
        <v>157</v>
      </c>
      <c r="C753" s="73"/>
      <c r="D753" s="332">
        <f>G745</f>
        <v>16.03</v>
      </c>
      <c r="E753" s="1381"/>
      <c r="F753" s="1381"/>
      <c r="G753" s="1381"/>
      <c r="I753" s="143"/>
      <c r="J753" s="143"/>
      <c r="K753" s="143"/>
      <c r="O753" s="220"/>
    </row>
    <row r="754" spans="1:15" s="159" customFormat="1" ht="14.25" customHeight="1" thickBot="1" x14ac:dyDescent="0.3">
      <c r="A754" s="376"/>
      <c r="B754" s="72" t="s">
        <v>158</v>
      </c>
      <c r="C754" s="73"/>
      <c r="D754" s="332">
        <f>G749</f>
        <v>0</v>
      </c>
      <c r="E754" s="1381"/>
      <c r="F754" s="1381"/>
      <c r="G754" s="1381"/>
      <c r="I754" s="143"/>
      <c r="J754" s="143"/>
      <c r="K754" s="143"/>
      <c r="O754" s="220"/>
    </row>
    <row r="755" spans="1:15" s="159" customFormat="1" ht="14.25" customHeight="1" thickBot="1" x14ac:dyDescent="0.3">
      <c r="A755" s="376"/>
      <c r="B755" s="72" t="s">
        <v>159</v>
      </c>
      <c r="C755" s="74">
        <f>$J$5</f>
        <v>157.27000000000001</v>
      </c>
      <c r="D755" s="332">
        <f>+ROUND((D752*C755),2)/100</f>
        <v>5.39</v>
      </c>
      <c r="E755" s="1381"/>
      <c r="F755" s="1381"/>
      <c r="G755" s="1381"/>
      <c r="I755" s="143"/>
      <c r="J755" s="143"/>
      <c r="K755" s="143"/>
      <c r="O755" s="220"/>
    </row>
    <row r="756" spans="1:15" s="159" customFormat="1" ht="14.25" customHeight="1" thickBot="1" x14ac:dyDescent="0.3">
      <c r="A756" s="376"/>
      <c r="B756" s="72" t="s">
        <v>160</v>
      </c>
      <c r="C756" s="75"/>
      <c r="D756" s="333">
        <f>+SUM(D752:D755)</f>
        <v>24.85</v>
      </c>
      <c r="E756" s="1381"/>
      <c r="F756" s="1381"/>
      <c r="G756" s="1381"/>
      <c r="I756" s="143"/>
      <c r="J756" s="143"/>
      <c r="K756" s="143"/>
      <c r="O756" s="220"/>
    </row>
    <row r="757" spans="1:15" s="159" customFormat="1" ht="14.25" customHeight="1" thickBot="1" x14ac:dyDescent="0.3">
      <c r="A757" s="376"/>
      <c r="B757" s="72" t="s">
        <v>161</v>
      </c>
      <c r="C757" s="73"/>
      <c r="D757" s="332" t="s">
        <v>162</v>
      </c>
      <c r="E757" s="1382" t="s">
        <v>163</v>
      </c>
      <c r="F757" s="1382"/>
      <c r="G757" s="1382"/>
      <c r="I757" s="143"/>
      <c r="J757" s="143"/>
      <c r="K757" s="143"/>
      <c r="O757" s="220"/>
    </row>
    <row r="758" spans="1:15" s="159" customFormat="1" ht="14.25" customHeight="1" thickBot="1" x14ac:dyDescent="0.3">
      <c r="A758" s="376"/>
      <c r="B758" s="122" t="s">
        <v>164</v>
      </c>
      <c r="C758" s="123"/>
      <c r="D758" s="334">
        <f>+SUM(D756:D757)</f>
        <v>24.85</v>
      </c>
      <c r="E758" s="1382"/>
      <c r="F758" s="1382"/>
      <c r="G758" s="1382"/>
      <c r="I758" s="143"/>
      <c r="J758" s="143"/>
      <c r="K758" s="143"/>
      <c r="O758" s="220"/>
    </row>
    <row r="759" spans="1:15" s="159" customFormat="1" ht="14.25" customHeight="1" thickBot="1" x14ac:dyDescent="0.3">
      <c r="A759" s="376"/>
      <c r="B759" s="124" t="s">
        <v>165</v>
      </c>
      <c r="C759" s="125">
        <f>$I$5</f>
        <v>28.49</v>
      </c>
      <c r="D759" s="335">
        <f>ROUND((D758*C759),2)/100</f>
        <v>7.08</v>
      </c>
      <c r="E759" s="1382"/>
      <c r="F759" s="1382"/>
      <c r="G759" s="1382"/>
      <c r="I759" s="143"/>
      <c r="J759" s="143"/>
      <c r="K759" s="143"/>
      <c r="O759" s="220"/>
    </row>
    <row r="760" spans="1:15" s="159" customFormat="1" ht="14.25" customHeight="1" thickBot="1" x14ac:dyDescent="0.3">
      <c r="A760" s="376"/>
      <c r="B760" s="80" t="s">
        <v>166</v>
      </c>
      <c r="C760" s="127"/>
      <c r="D760" s="336">
        <f>+SUM(D758:D759)</f>
        <v>31.93</v>
      </c>
      <c r="E760" s="128"/>
      <c r="F760" s="337">
        <f>D760</f>
        <v>31.93</v>
      </c>
      <c r="G760" s="131"/>
      <c r="I760" s="143"/>
      <c r="J760" s="143"/>
      <c r="K760" s="143"/>
      <c r="O760" s="220"/>
    </row>
    <row r="761" spans="1:15" s="159" customFormat="1" ht="14.25" customHeight="1" x14ac:dyDescent="0.25">
      <c r="A761" s="376"/>
      <c r="B761" s="28"/>
      <c r="C761" s="28"/>
      <c r="D761" s="28"/>
      <c r="E761" s="28"/>
      <c r="F761" s="28"/>
      <c r="G761" s="28"/>
      <c r="I761" s="143"/>
      <c r="J761" s="143"/>
      <c r="K761" s="143"/>
      <c r="O761" s="220"/>
    </row>
    <row r="762" spans="1:15" s="159" customFormat="1" ht="14.25" customHeight="1" thickBot="1" x14ac:dyDescent="0.3">
      <c r="A762" s="376"/>
      <c r="B762" s="28"/>
      <c r="C762" s="28"/>
      <c r="D762" s="28"/>
      <c r="E762" s="28"/>
      <c r="F762" s="28"/>
      <c r="G762" s="28"/>
      <c r="I762" s="143"/>
      <c r="J762" s="143"/>
      <c r="K762" s="143"/>
      <c r="O762" s="220"/>
    </row>
    <row r="763" spans="1:15" s="159" customFormat="1" x14ac:dyDescent="0.25">
      <c r="A763" s="376"/>
      <c r="B763" s="1383" t="s">
        <v>131</v>
      </c>
      <c r="C763" s="1383"/>
      <c r="D763" s="1383"/>
      <c r="E763" s="1383"/>
      <c r="F763" s="1383"/>
      <c r="G763" s="1383"/>
      <c r="I763" s="143"/>
      <c r="J763" s="143"/>
      <c r="K763" s="143"/>
      <c r="O763" s="220"/>
    </row>
    <row r="764" spans="1:15" s="159" customFormat="1" ht="15.75" thickBot="1" x14ac:dyDescent="0.3">
      <c r="A764" s="376"/>
      <c r="B764" s="1384" t="str">
        <f>$I$3</f>
        <v>Urbanização da Orla de Piúma - Município de Piúma / ES</v>
      </c>
      <c r="C764" s="1385"/>
      <c r="D764" s="1385"/>
      <c r="E764" s="1385"/>
      <c r="F764" s="1385"/>
      <c r="G764" s="1386"/>
      <c r="I764" s="143"/>
      <c r="J764" s="143"/>
      <c r="K764" s="143"/>
      <c r="O764" s="220"/>
    </row>
    <row r="765" spans="1:15" s="159" customFormat="1" ht="15.75" thickBot="1" x14ac:dyDescent="0.3">
      <c r="A765" s="376"/>
      <c r="B765" s="90" t="s">
        <v>132</v>
      </c>
      <c r="C765" s="90" t="s">
        <v>133</v>
      </c>
      <c r="D765" s="1381" t="s">
        <v>134</v>
      </c>
      <c r="E765" s="1381"/>
      <c r="F765" s="131" t="s">
        <v>275</v>
      </c>
      <c r="G765" s="131" t="s">
        <v>135</v>
      </c>
      <c r="I765" s="31"/>
      <c r="J765" s="31"/>
      <c r="K765" s="143"/>
      <c r="O765" s="220"/>
    </row>
    <row r="766" spans="1:15" s="159" customFormat="1" ht="29.25" customHeight="1" thickBot="1" x14ac:dyDescent="0.3">
      <c r="A766" s="376"/>
      <c r="B766" s="132" t="s">
        <v>332</v>
      </c>
      <c r="C766" s="92" t="s">
        <v>98</v>
      </c>
      <c r="D766" s="1381" t="s">
        <v>8</v>
      </c>
      <c r="E766" s="1381"/>
      <c r="F766" s="144" t="s">
        <v>214</v>
      </c>
      <c r="G766" s="38">
        <f>$K$5</f>
        <v>44501</v>
      </c>
      <c r="I766" s="143"/>
      <c r="J766" s="143"/>
      <c r="K766" s="143"/>
      <c r="O766" s="220"/>
    </row>
    <row r="767" spans="1:15" s="159" customFormat="1" ht="6" customHeight="1" thickBot="1" x14ac:dyDescent="0.3">
      <c r="A767" s="376"/>
      <c r="B767" s="1382"/>
      <c r="C767" s="1382"/>
      <c r="D767" s="1382"/>
      <c r="E767" s="1382"/>
      <c r="F767" s="1382"/>
      <c r="G767" s="1382"/>
      <c r="I767" s="143"/>
      <c r="J767" s="143"/>
      <c r="K767" s="143"/>
      <c r="O767" s="220"/>
    </row>
    <row r="768" spans="1:15" s="159" customFormat="1" ht="14.25" customHeight="1" x14ac:dyDescent="0.25">
      <c r="A768" s="376"/>
      <c r="B768" s="93" t="s">
        <v>139</v>
      </c>
      <c r="C768" s="94" t="s">
        <v>140</v>
      </c>
      <c r="D768" s="94" t="s">
        <v>141</v>
      </c>
      <c r="E768" s="94" t="s">
        <v>142</v>
      </c>
      <c r="F768" s="94" t="s">
        <v>143</v>
      </c>
      <c r="G768" s="95" t="s">
        <v>144</v>
      </c>
      <c r="I768" s="143"/>
      <c r="J768" s="143"/>
      <c r="K768" s="143"/>
      <c r="O768" s="220"/>
    </row>
    <row r="769" spans="1:15" s="159" customFormat="1" ht="14.25" customHeight="1" x14ac:dyDescent="0.25">
      <c r="A769" s="376">
        <v>10115</v>
      </c>
      <c r="B769" s="145" t="str">
        <f>VLOOKUP(A769,Insumos!$A$10:$F$3462,2,FALSE)</f>
        <v>ELETRICISTA (OFICIAL - SINDUSCON)</v>
      </c>
      <c r="C769" s="146" t="str">
        <f>VLOOKUP(A769,Insumos!$A$10:$F$3462,3,FALSE)</f>
        <v>H</v>
      </c>
      <c r="D769" s="147">
        <v>1</v>
      </c>
      <c r="E769" s="329">
        <f>VLOOKUP(A769,Insumos!$A$10:$F$3462,4,FALSE)</f>
        <v>7.43</v>
      </c>
      <c r="F769" s="329">
        <f>ROUND((D769*E769),2)</f>
        <v>7.43</v>
      </c>
      <c r="G769" s="355"/>
      <c r="I769" s="143"/>
      <c r="J769" s="143"/>
      <c r="K769" s="143"/>
      <c r="O769" s="220"/>
    </row>
    <row r="770" spans="1:15" s="159" customFormat="1" ht="14.25" customHeight="1" x14ac:dyDescent="0.25">
      <c r="A770" s="376">
        <v>10101</v>
      </c>
      <c r="B770" s="145" t="str">
        <f>VLOOKUP(A770,Insumos!$A$10:$F$3462,2,FALSE)</f>
        <v>AJUDANTE (AJUDANTE PRATICO - SINDUSCON)</v>
      </c>
      <c r="C770" s="146" t="str">
        <f>VLOOKUP(A770,Insumos!$A$10:$F$3462,3,FALSE)</f>
        <v>H</v>
      </c>
      <c r="D770" s="147">
        <v>1</v>
      </c>
      <c r="E770" s="329">
        <f>VLOOKUP(A770,Insumos!$A$10:$F$3462,4,FALSE)</f>
        <v>6.27</v>
      </c>
      <c r="F770" s="329">
        <f>ROUND((D770*E770),2)</f>
        <v>6.27</v>
      </c>
      <c r="G770" s="355"/>
      <c r="I770" s="143"/>
      <c r="J770" s="143"/>
      <c r="K770" s="143"/>
      <c r="O770" s="220"/>
    </row>
    <row r="771" spans="1:15" s="159" customFormat="1" ht="14.25" customHeight="1" x14ac:dyDescent="0.25">
      <c r="A771" s="376"/>
      <c r="B771" s="99"/>
      <c r="C771" s="146"/>
      <c r="D771" s="100"/>
      <c r="E771" s="329"/>
      <c r="F771" s="329"/>
      <c r="G771" s="355"/>
      <c r="I771" s="143"/>
      <c r="J771" s="143"/>
      <c r="K771" s="143"/>
      <c r="O771" s="220"/>
    </row>
    <row r="772" spans="1:15" s="159" customFormat="1" ht="14.25" customHeight="1" x14ac:dyDescent="0.25">
      <c r="A772" s="376"/>
      <c r="B772" s="101" t="s">
        <v>145</v>
      </c>
      <c r="C772" s="102"/>
      <c r="D772" s="103"/>
      <c r="E772" s="329"/>
      <c r="F772" s="353"/>
      <c r="G772" s="338">
        <f>+SUM(F769:F771)</f>
        <v>13.7</v>
      </c>
      <c r="I772" s="143"/>
      <c r="J772" s="143"/>
      <c r="K772" s="143"/>
      <c r="O772" s="220"/>
    </row>
    <row r="773" spans="1:15" s="159" customFormat="1" ht="14.25" customHeight="1" x14ac:dyDescent="0.25">
      <c r="A773" s="376"/>
      <c r="B773" s="99" t="s">
        <v>146</v>
      </c>
      <c r="C773" s="106"/>
      <c r="D773" s="107"/>
      <c r="E773" s="146"/>
      <c r="F773" s="108"/>
      <c r="G773" s="109" t="s">
        <v>147</v>
      </c>
      <c r="I773" s="143"/>
      <c r="J773" s="143"/>
      <c r="K773" s="143"/>
      <c r="O773" s="220"/>
    </row>
    <row r="774" spans="1:15" s="159" customFormat="1" ht="28.5" customHeight="1" x14ac:dyDescent="0.25">
      <c r="A774" s="381">
        <v>2510</v>
      </c>
      <c r="B774" s="230" t="str">
        <f>VLOOKUP(A774,Insumos!$A$10:$F$3462,2,FALSE)</f>
        <v xml:space="preserve">RELE FOTOELETRICO INTERNO E EXTERNO BIVOLT 1000 W, DE CONECTOR, SEM BASE </v>
      </c>
      <c r="C774" s="146" t="str">
        <f>VLOOKUP(A774,Insumos!$A$10:$F$3462,3,FALSE)</f>
        <v>Und.</v>
      </c>
      <c r="D774" s="147">
        <v>1</v>
      </c>
      <c r="E774" s="329">
        <f>VLOOKUP(A774,Insumos!$A$10:$F$3462,4,FALSE)</f>
        <v>40.78</v>
      </c>
      <c r="F774" s="329">
        <f>ROUND((D774*E774),2)</f>
        <v>40.78</v>
      </c>
      <c r="G774" s="355"/>
      <c r="I774" s="143"/>
      <c r="J774" s="143"/>
      <c r="K774" s="143"/>
      <c r="O774" s="220"/>
    </row>
    <row r="775" spans="1:15" s="159" customFormat="1" ht="26.25" x14ac:dyDescent="0.25">
      <c r="A775" s="379">
        <v>12294</v>
      </c>
      <c r="B775" s="145" t="str">
        <f>VLOOKUP(A775,Insumos!$A$10:$F$3462,2,FALSE)</f>
        <v>SOQUETE DE PORCELANA BASE E27, PARA USO AO TEMPO, PARA LAMPADAS</v>
      </c>
      <c r="C775" s="146" t="str">
        <f>VLOOKUP(A775,Insumos!$A$10:$F$3462,3,FALSE)</f>
        <v>Und.</v>
      </c>
      <c r="D775" s="147">
        <v>1</v>
      </c>
      <c r="E775" s="329">
        <f>VLOOKUP(A775,Insumos!$A$10:$F$3462,4,FALSE)</f>
        <v>10.74</v>
      </c>
      <c r="F775" s="329">
        <f>ROUND((D775*E775),2)</f>
        <v>10.74</v>
      </c>
      <c r="G775" s="355"/>
      <c r="I775" s="143"/>
      <c r="J775" s="143"/>
      <c r="K775" s="143"/>
      <c r="O775" s="220"/>
    </row>
    <row r="776" spans="1:15" s="159" customFormat="1" ht="14.25" customHeight="1" x14ac:dyDescent="0.25">
      <c r="A776" s="376"/>
      <c r="B776" s="99"/>
      <c r="C776" s="146"/>
      <c r="D776" s="111"/>
      <c r="E776" s="329"/>
      <c r="F776" s="329"/>
      <c r="G776" s="355"/>
      <c r="I776" s="143"/>
      <c r="J776" s="143"/>
      <c r="K776" s="143"/>
      <c r="O776" s="220"/>
    </row>
    <row r="777" spans="1:15" s="159" customFormat="1" ht="14.25" customHeight="1" x14ac:dyDescent="0.25">
      <c r="A777" s="376"/>
      <c r="B777" s="101" t="s">
        <v>148</v>
      </c>
      <c r="C777" s="102"/>
      <c r="D777" s="112"/>
      <c r="E777" s="353"/>
      <c r="F777" s="353"/>
      <c r="G777" s="338">
        <f>+SUM(F774:F776)</f>
        <v>51.52</v>
      </c>
      <c r="I777" s="143"/>
      <c r="J777" s="143"/>
      <c r="K777" s="143"/>
      <c r="O777" s="220"/>
    </row>
    <row r="778" spans="1:15" s="159" customFormat="1" ht="14.25" customHeight="1" x14ac:dyDescent="0.25">
      <c r="A778" s="376"/>
      <c r="B778" s="99" t="s">
        <v>149</v>
      </c>
      <c r="C778" s="106"/>
      <c r="D778" s="114"/>
      <c r="E778" s="106"/>
      <c r="F778" s="106"/>
      <c r="G778" s="109" t="s">
        <v>150</v>
      </c>
      <c r="I778" s="143"/>
      <c r="J778" s="143"/>
      <c r="K778" s="143"/>
      <c r="O778" s="220"/>
    </row>
    <row r="779" spans="1:15" s="159" customFormat="1" ht="14.25" customHeight="1" x14ac:dyDescent="0.25">
      <c r="A779" s="376"/>
      <c r="B779" s="99" t="s">
        <v>98</v>
      </c>
      <c r="C779" s="146"/>
      <c r="D779" s="110"/>
      <c r="E779" s="146"/>
      <c r="F779" s="146"/>
      <c r="G779" s="148"/>
      <c r="I779" s="143"/>
      <c r="J779" s="143"/>
      <c r="K779" s="143"/>
      <c r="O779" s="220"/>
    </row>
    <row r="780" spans="1:15" s="159" customFormat="1" ht="14.25" customHeight="1" x14ac:dyDescent="0.25">
      <c r="A780" s="376"/>
      <c r="B780" s="99" t="s">
        <v>98</v>
      </c>
      <c r="C780" s="146"/>
      <c r="D780" s="110"/>
      <c r="E780" s="146"/>
      <c r="F780" s="146"/>
      <c r="G780" s="148"/>
      <c r="I780" s="143"/>
      <c r="J780" s="143"/>
      <c r="K780" s="143"/>
      <c r="O780" s="220"/>
    </row>
    <row r="781" spans="1:15" s="159" customFormat="1" ht="14.25" customHeight="1" thickBot="1" x14ac:dyDescent="0.3">
      <c r="A781" s="376"/>
      <c r="B781" s="115" t="s">
        <v>151</v>
      </c>
      <c r="C781" s="116"/>
      <c r="D781" s="117"/>
      <c r="E781" s="116"/>
      <c r="F781" s="116"/>
      <c r="G781" s="118">
        <f>+SUM(F779:F780)</f>
        <v>0</v>
      </c>
      <c r="I781" s="143"/>
      <c r="J781" s="143"/>
      <c r="K781" s="143"/>
      <c r="O781" s="220"/>
    </row>
    <row r="782" spans="1:15" s="159" customFormat="1" ht="4.5" customHeight="1" thickBot="1" x14ac:dyDescent="0.3">
      <c r="A782" s="376"/>
      <c r="B782" s="1382"/>
      <c r="C782" s="1382"/>
      <c r="D782" s="1382"/>
      <c r="E782" s="1382"/>
      <c r="F782" s="1382"/>
      <c r="G782" s="1382"/>
      <c r="I782" s="143"/>
      <c r="J782" s="143"/>
      <c r="K782" s="143"/>
      <c r="O782" s="220"/>
    </row>
    <row r="783" spans="1:15" s="159" customFormat="1" ht="14.25" customHeight="1" thickBot="1" x14ac:dyDescent="0.3">
      <c r="A783" s="376"/>
      <c r="B783" s="69" t="s">
        <v>152</v>
      </c>
      <c r="C783" s="70" t="s">
        <v>4415</v>
      </c>
      <c r="D783" s="71" t="s">
        <v>154</v>
      </c>
      <c r="E783" s="1381" t="s">
        <v>155</v>
      </c>
      <c r="F783" s="1381"/>
      <c r="G783" s="1381"/>
      <c r="I783" s="143"/>
      <c r="J783" s="143"/>
      <c r="K783" s="143"/>
      <c r="O783" s="220"/>
    </row>
    <row r="784" spans="1:15" s="159" customFormat="1" ht="14.25" customHeight="1" thickBot="1" x14ac:dyDescent="0.3">
      <c r="A784" s="376"/>
      <c r="B784" s="72" t="s">
        <v>156</v>
      </c>
      <c r="C784" s="73"/>
      <c r="D784" s="332">
        <f>G772</f>
        <v>13.7</v>
      </c>
      <c r="E784" s="1381"/>
      <c r="F784" s="1381"/>
      <c r="G784" s="1381"/>
      <c r="I784" s="143"/>
      <c r="J784" s="143"/>
      <c r="K784" s="143"/>
      <c r="O784" s="220"/>
    </row>
    <row r="785" spans="1:15" s="159" customFormat="1" ht="14.25" customHeight="1" thickBot="1" x14ac:dyDescent="0.3">
      <c r="A785" s="376"/>
      <c r="B785" s="72" t="s">
        <v>157</v>
      </c>
      <c r="C785" s="73"/>
      <c r="D785" s="332">
        <f>G777</f>
        <v>51.52</v>
      </c>
      <c r="E785" s="1381"/>
      <c r="F785" s="1381"/>
      <c r="G785" s="1381"/>
      <c r="I785" s="143"/>
      <c r="J785" s="143"/>
      <c r="K785" s="143"/>
      <c r="O785" s="220"/>
    </row>
    <row r="786" spans="1:15" s="159" customFormat="1" ht="14.25" customHeight="1" thickBot="1" x14ac:dyDescent="0.3">
      <c r="A786" s="376"/>
      <c r="B786" s="72" t="s">
        <v>158</v>
      </c>
      <c r="C786" s="73"/>
      <c r="D786" s="332">
        <f>G781</f>
        <v>0</v>
      </c>
      <c r="E786" s="1381"/>
      <c r="F786" s="1381"/>
      <c r="G786" s="1381"/>
      <c r="I786" s="143"/>
      <c r="J786" s="143"/>
      <c r="K786" s="143"/>
      <c r="O786" s="220"/>
    </row>
    <row r="787" spans="1:15" s="159" customFormat="1" ht="14.25" customHeight="1" thickBot="1" x14ac:dyDescent="0.3">
      <c r="A787" s="376"/>
      <c r="B787" s="72" t="s">
        <v>159</v>
      </c>
      <c r="C787" s="74">
        <f>$J$5</f>
        <v>157.27000000000001</v>
      </c>
      <c r="D787" s="332">
        <f>+ROUND((D784*C787),2)/100</f>
        <v>21.55</v>
      </c>
      <c r="E787" s="1381"/>
      <c r="F787" s="1381"/>
      <c r="G787" s="1381"/>
      <c r="I787" s="143"/>
      <c r="J787" s="143"/>
      <c r="K787" s="143"/>
      <c r="O787" s="220"/>
    </row>
    <row r="788" spans="1:15" s="159" customFormat="1" ht="14.25" customHeight="1" thickBot="1" x14ac:dyDescent="0.3">
      <c r="A788" s="376"/>
      <c r="B788" s="72" t="s">
        <v>160</v>
      </c>
      <c r="C788" s="75"/>
      <c r="D788" s="333">
        <f>+SUM(D784:D787)</f>
        <v>86.77</v>
      </c>
      <c r="E788" s="1381"/>
      <c r="F788" s="1381"/>
      <c r="G788" s="1381"/>
      <c r="I788" s="143"/>
      <c r="J788" s="143"/>
      <c r="K788" s="143"/>
      <c r="O788" s="220"/>
    </row>
    <row r="789" spans="1:15" s="159" customFormat="1" ht="14.25" customHeight="1" thickBot="1" x14ac:dyDescent="0.3">
      <c r="A789" s="376"/>
      <c r="B789" s="72" t="s">
        <v>161</v>
      </c>
      <c r="C789" s="73"/>
      <c r="D789" s="332" t="s">
        <v>162</v>
      </c>
      <c r="E789" s="1382" t="s">
        <v>163</v>
      </c>
      <c r="F789" s="1382"/>
      <c r="G789" s="1382"/>
      <c r="I789" s="143"/>
      <c r="J789" s="143"/>
      <c r="K789" s="143"/>
      <c r="O789" s="220"/>
    </row>
    <row r="790" spans="1:15" s="159" customFormat="1" ht="14.25" customHeight="1" thickBot="1" x14ac:dyDescent="0.3">
      <c r="A790" s="376"/>
      <c r="B790" s="122" t="s">
        <v>164</v>
      </c>
      <c r="C790" s="123"/>
      <c r="D790" s="334">
        <f>+SUM(D788:D789)</f>
        <v>86.77</v>
      </c>
      <c r="E790" s="1382"/>
      <c r="F790" s="1382"/>
      <c r="G790" s="1382"/>
      <c r="I790" s="143"/>
      <c r="J790" s="143"/>
      <c r="K790" s="143"/>
      <c r="O790" s="220"/>
    </row>
    <row r="791" spans="1:15" s="159" customFormat="1" ht="14.25" customHeight="1" thickBot="1" x14ac:dyDescent="0.3">
      <c r="A791" s="376"/>
      <c r="B791" s="124" t="s">
        <v>165</v>
      </c>
      <c r="C791" s="125">
        <f>$I$5</f>
        <v>28.49</v>
      </c>
      <c r="D791" s="335">
        <f>ROUND((D790*C791),2)/100</f>
        <v>24.72</v>
      </c>
      <c r="E791" s="1382"/>
      <c r="F791" s="1382"/>
      <c r="G791" s="1382"/>
      <c r="I791" s="143"/>
      <c r="J791" s="143"/>
      <c r="K791" s="143"/>
      <c r="O791" s="220"/>
    </row>
    <row r="792" spans="1:15" s="159" customFormat="1" ht="14.25" customHeight="1" thickBot="1" x14ac:dyDescent="0.3">
      <c r="A792" s="376"/>
      <c r="B792" s="80" t="s">
        <v>166</v>
      </c>
      <c r="C792" s="127"/>
      <c r="D792" s="336">
        <f>+SUM(D790:D791)</f>
        <v>111.49</v>
      </c>
      <c r="E792" s="128"/>
      <c r="F792" s="337">
        <f>D792</f>
        <v>111.49</v>
      </c>
      <c r="G792" s="131"/>
      <c r="I792" s="143"/>
      <c r="J792" s="143"/>
      <c r="K792" s="143"/>
      <c r="O792" s="220"/>
    </row>
    <row r="793" spans="1:15" s="159" customFormat="1" ht="14.25" customHeight="1" x14ac:dyDescent="0.25">
      <c r="A793" s="376"/>
      <c r="B793" s="28"/>
      <c r="C793" s="28"/>
      <c r="D793" s="28"/>
      <c r="E793" s="28"/>
      <c r="F793" s="28"/>
      <c r="G793" s="28"/>
      <c r="I793" s="143"/>
      <c r="J793" s="143"/>
      <c r="K793" s="143"/>
      <c r="O793" s="220"/>
    </row>
    <row r="794" spans="1:15" s="159" customFormat="1" ht="14.25" customHeight="1" thickBot="1" x14ac:dyDescent="0.3">
      <c r="A794" s="376"/>
      <c r="B794" s="28"/>
      <c r="C794" s="28"/>
      <c r="D794" s="28"/>
      <c r="E794" s="28"/>
      <c r="F794" s="28"/>
      <c r="G794" s="28"/>
      <c r="I794" s="143"/>
      <c r="J794" s="143"/>
      <c r="K794" s="143"/>
      <c r="O794" s="220"/>
    </row>
    <row r="795" spans="1:15" s="159" customFormat="1" x14ac:dyDescent="0.25">
      <c r="A795" s="376"/>
      <c r="B795" s="1383" t="s">
        <v>131</v>
      </c>
      <c r="C795" s="1383"/>
      <c r="D795" s="1383"/>
      <c r="E795" s="1383"/>
      <c r="F795" s="1383"/>
      <c r="G795" s="1383"/>
      <c r="I795" s="143"/>
      <c r="J795" s="143"/>
      <c r="K795" s="143"/>
      <c r="O795" s="220"/>
    </row>
    <row r="796" spans="1:15" s="159" customFormat="1" ht="15.75" thickBot="1" x14ac:dyDescent="0.3">
      <c r="A796" s="376"/>
      <c r="B796" s="1384" t="str">
        <f>$I$3</f>
        <v>Urbanização da Orla de Piúma - Município de Piúma / ES</v>
      </c>
      <c r="C796" s="1385"/>
      <c r="D796" s="1385"/>
      <c r="E796" s="1385"/>
      <c r="F796" s="1385"/>
      <c r="G796" s="1386"/>
      <c r="I796" s="143"/>
      <c r="J796" s="143"/>
      <c r="K796" s="143"/>
      <c r="O796" s="220"/>
    </row>
    <row r="797" spans="1:15" s="159" customFormat="1" ht="15.75" thickBot="1" x14ac:dyDescent="0.3">
      <c r="A797" s="376"/>
      <c r="B797" s="90" t="s">
        <v>132</v>
      </c>
      <c r="C797" s="90" t="s">
        <v>133</v>
      </c>
      <c r="D797" s="1381" t="s">
        <v>134</v>
      </c>
      <c r="E797" s="1381"/>
      <c r="F797" s="131" t="s">
        <v>275</v>
      </c>
      <c r="G797" s="131" t="s">
        <v>135</v>
      </c>
      <c r="I797" s="31"/>
      <c r="J797" s="31"/>
      <c r="K797" s="143"/>
      <c r="O797" s="220"/>
    </row>
    <row r="798" spans="1:15" s="159" customFormat="1" ht="29.25" customHeight="1" thickBot="1" x14ac:dyDescent="0.3">
      <c r="A798" s="376"/>
      <c r="B798" s="132" t="s">
        <v>333</v>
      </c>
      <c r="C798" s="92" t="s">
        <v>98</v>
      </c>
      <c r="D798" s="1381" t="s">
        <v>8</v>
      </c>
      <c r="E798" s="1381"/>
      <c r="F798" s="144" t="s">
        <v>215</v>
      </c>
      <c r="G798" s="38">
        <f>$K$5</f>
        <v>44501</v>
      </c>
      <c r="I798" s="143"/>
      <c r="J798" s="143"/>
      <c r="K798" s="143"/>
      <c r="O798" s="220"/>
    </row>
    <row r="799" spans="1:15" s="159" customFormat="1" ht="6" customHeight="1" thickBot="1" x14ac:dyDescent="0.3">
      <c r="A799" s="376"/>
      <c r="B799" s="1382"/>
      <c r="C799" s="1382"/>
      <c r="D799" s="1382"/>
      <c r="E799" s="1382"/>
      <c r="F799" s="1382"/>
      <c r="G799" s="1382"/>
      <c r="I799" s="143"/>
      <c r="J799" s="143"/>
      <c r="K799" s="143"/>
      <c r="O799" s="220"/>
    </row>
    <row r="800" spans="1:15" s="159" customFormat="1" ht="14.25" customHeight="1" x14ac:dyDescent="0.25">
      <c r="A800" s="376"/>
      <c r="B800" s="93" t="s">
        <v>139</v>
      </c>
      <c r="C800" s="94" t="s">
        <v>140</v>
      </c>
      <c r="D800" s="94" t="s">
        <v>141</v>
      </c>
      <c r="E800" s="94" t="s">
        <v>142</v>
      </c>
      <c r="F800" s="94" t="s">
        <v>143</v>
      </c>
      <c r="G800" s="95" t="s">
        <v>144</v>
      </c>
      <c r="I800" s="143"/>
      <c r="J800" s="143"/>
      <c r="K800" s="143"/>
      <c r="O800" s="220"/>
    </row>
    <row r="801" spans="1:15" s="159" customFormat="1" ht="14.25" customHeight="1" x14ac:dyDescent="0.25">
      <c r="A801" s="376">
        <v>10115</v>
      </c>
      <c r="B801" s="145" t="str">
        <f>VLOOKUP(A801,Insumos!$A$10:$F$3462,2,FALSE)</f>
        <v>ELETRICISTA (OFICIAL - SINDUSCON)</v>
      </c>
      <c r="C801" s="146" t="str">
        <f>VLOOKUP(A801,Insumos!$A$10:$F$3462,3,FALSE)</f>
        <v>H</v>
      </c>
      <c r="D801" s="147">
        <v>0.9</v>
      </c>
      <c r="E801" s="329">
        <f>VLOOKUP(A801,Insumos!$A$10:$F$3462,4,FALSE)</f>
        <v>7.43</v>
      </c>
      <c r="F801" s="329">
        <f>ROUND((D801*E801),2)</f>
        <v>6.69</v>
      </c>
      <c r="G801" s="355"/>
      <c r="I801" s="143"/>
      <c r="J801" s="143"/>
      <c r="K801" s="143"/>
      <c r="O801" s="220"/>
    </row>
    <row r="802" spans="1:15" s="159" customFormat="1" ht="14.25" customHeight="1" x14ac:dyDescent="0.25">
      <c r="A802" s="376">
        <v>10101</v>
      </c>
      <c r="B802" s="145" t="str">
        <f>VLOOKUP(A802,Insumos!$A$10:$F$3462,2,FALSE)</f>
        <v>AJUDANTE (AJUDANTE PRATICO - SINDUSCON)</v>
      </c>
      <c r="C802" s="146" t="str">
        <f>VLOOKUP(A802,Insumos!$A$10:$F$3462,3,FALSE)</f>
        <v>H</v>
      </c>
      <c r="D802" s="147">
        <v>0.9</v>
      </c>
      <c r="E802" s="329">
        <f>VLOOKUP(A802,Insumos!$A$10:$F$3462,4,FALSE)</f>
        <v>6.27</v>
      </c>
      <c r="F802" s="329">
        <f>ROUND((D802*E802),2)</f>
        <v>5.64</v>
      </c>
      <c r="G802" s="355"/>
      <c r="I802" s="143"/>
      <c r="J802" s="143"/>
      <c r="K802" s="143"/>
      <c r="O802" s="220"/>
    </row>
    <row r="803" spans="1:15" s="159" customFormat="1" ht="14.25" customHeight="1" x14ac:dyDescent="0.25">
      <c r="A803" s="376"/>
      <c r="B803" s="99"/>
      <c r="C803" s="146"/>
      <c r="D803" s="100"/>
      <c r="E803" s="329"/>
      <c r="F803" s="329"/>
      <c r="G803" s="355"/>
      <c r="I803" s="143"/>
      <c r="J803" s="143"/>
      <c r="K803" s="143"/>
      <c r="O803" s="220"/>
    </row>
    <row r="804" spans="1:15" s="159" customFormat="1" ht="14.25" customHeight="1" x14ac:dyDescent="0.25">
      <c r="A804" s="376"/>
      <c r="B804" s="101" t="s">
        <v>145</v>
      </c>
      <c r="C804" s="102"/>
      <c r="D804" s="103"/>
      <c r="E804" s="329"/>
      <c r="F804" s="353"/>
      <c r="G804" s="338">
        <f>+SUM(F801:F803)</f>
        <v>12.33</v>
      </c>
      <c r="I804" s="143"/>
      <c r="J804" s="143"/>
      <c r="K804" s="143"/>
      <c r="O804" s="220"/>
    </row>
    <row r="805" spans="1:15" s="159" customFormat="1" ht="14.25" customHeight="1" x14ac:dyDescent="0.25">
      <c r="A805" s="376"/>
      <c r="B805" s="99" t="s">
        <v>146</v>
      </c>
      <c r="C805" s="106"/>
      <c r="D805" s="107"/>
      <c r="E805" s="146"/>
      <c r="F805" s="108"/>
      <c r="G805" s="109" t="s">
        <v>147</v>
      </c>
      <c r="I805" s="143"/>
      <c r="J805" s="143"/>
      <c r="K805" s="143"/>
      <c r="O805" s="220"/>
    </row>
    <row r="806" spans="1:15" s="159" customFormat="1" ht="14.25" customHeight="1" x14ac:dyDescent="0.25">
      <c r="A806" s="379">
        <v>12081</v>
      </c>
      <c r="B806" s="145" t="str">
        <f>VLOOKUP(A806,Insumos!$A$10:$F$3462,2,FALSE)</f>
        <v>CHAVE ELETRICA TRIPOLAR BLINDADA DE 30 A / 250 V</v>
      </c>
      <c r="C806" s="146" t="str">
        <f>VLOOKUP(A806,Insumos!$A$10:$F$3462,3,FALSE)</f>
        <v>Und.</v>
      </c>
      <c r="D806" s="147">
        <v>1</v>
      </c>
      <c r="E806" s="329">
        <f>VLOOKUP(A806,Insumos!$A$10:$F$3462,4,FALSE)</f>
        <v>131</v>
      </c>
      <c r="F806" s="329">
        <f>ROUND((D806*E806),2)</f>
        <v>131</v>
      </c>
      <c r="G806" s="355"/>
      <c r="I806" s="143"/>
      <c r="J806" s="143"/>
      <c r="K806" s="143"/>
      <c r="O806" s="220"/>
    </row>
    <row r="807" spans="1:15" s="159" customFormat="1" ht="14.25" customHeight="1" x14ac:dyDescent="0.25">
      <c r="A807" s="376"/>
      <c r="B807" s="99"/>
      <c r="C807" s="146"/>
      <c r="D807" s="111"/>
      <c r="E807" s="329"/>
      <c r="F807" s="329"/>
      <c r="G807" s="355"/>
      <c r="I807" s="143"/>
      <c r="J807" s="143"/>
      <c r="K807" s="143"/>
      <c r="O807" s="220"/>
    </row>
    <row r="808" spans="1:15" s="159" customFormat="1" ht="14.25" customHeight="1" x14ac:dyDescent="0.25">
      <c r="A808" s="376"/>
      <c r="B808" s="101" t="s">
        <v>148</v>
      </c>
      <c r="C808" s="102"/>
      <c r="D808" s="112"/>
      <c r="E808" s="353"/>
      <c r="F808" s="353"/>
      <c r="G808" s="338">
        <f>+SUM(F806:F807)</f>
        <v>131</v>
      </c>
      <c r="I808" s="143"/>
      <c r="J808" s="143"/>
      <c r="K808" s="143"/>
      <c r="O808" s="220"/>
    </row>
    <row r="809" spans="1:15" s="159" customFormat="1" ht="14.25" customHeight="1" x14ac:dyDescent="0.25">
      <c r="A809" s="376"/>
      <c r="B809" s="99" t="s">
        <v>149</v>
      </c>
      <c r="C809" s="106"/>
      <c r="D809" s="114"/>
      <c r="E809" s="106"/>
      <c r="F809" s="106"/>
      <c r="G809" s="109" t="s">
        <v>150</v>
      </c>
      <c r="I809" s="143"/>
      <c r="J809" s="143"/>
      <c r="K809" s="143"/>
      <c r="O809" s="220"/>
    </row>
    <row r="810" spans="1:15" s="159" customFormat="1" ht="14.25" customHeight="1" x14ac:dyDescent="0.25">
      <c r="A810" s="376"/>
      <c r="B810" s="99" t="s">
        <v>98</v>
      </c>
      <c r="C810" s="146"/>
      <c r="D810" s="110"/>
      <c r="E810" s="146"/>
      <c r="F810" s="146"/>
      <c r="G810" s="148"/>
      <c r="I810" s="143"/>
      <c r="J810" s="143"/>
      <c r="K810" s="143"/>
      <c r="O810" s="220"/>
    </row>
    <row r="811" spans="1:15" s="159" customFormat="1" ht="14.25" customHeight="1" x14ac:dyDescent="0.25">
      <c r="A811" s="376"/>
      <c r="B811" s="99" t="s">
        <v>98</v>
      </c>
      <c r="C811" s="146"/>
      <c r="D811" s="110"/>
      <c r="E811" s="146"/>
      <c r="F811" s="146"/>
      <c r="G811" s="148"/>
      <c r="I811" s="143"/>
      <c r="J811" s="143"/>
      <c r="K811" s="143"/>
      <c r="O811" s="220"/>
    </row>
    <row r="812" spans="1:15" s="159" customFormat="1" ht="14.25" customHeight="1" thickBot="1" x14ac:dyDescent="0.3">
      <c r="A812" s="376"/>
      <c r="B812" s="115" t="s">
        <v>151</v>
      </c>
      <c r="C812" s="116"/>
      <c r="D812" s="117"/>
      <c r="E812" s="116"/>
      <c r="F812" s="116"/>
      <c r="G812" s="118">
        <f>+SUM(F810:F811)</f>
        <v>0</v>
      </c>
      <c r="I812" s="143"/>
      <c r="J812" s="143"/>
      <c r="K812" s="143"/>
      <c r="O812" s="220"/>
    </row>
    <row r="813" spans="1:15" s="159" customFormat="1" ht="4.5" customHeight="1" thickBot="1" x14ac:dyDescent="0.3">
      <c r="A813" s="376"/>
      <c r="B813" s="1382"/>
      <c r="C813" s="1382"/>
      <c r="D813" s="1382"/>
      <c r="E813" s="1382"/>
      <c r="F813" s="1382"/>
      <c r="G813" s="1382"/>
      <c r="I813" s="143"/>
      <c r="J813" s="143"/>
      <c r="K813" s="143"/>
      <c r="O813" s="220"/>
    </row>
    <row r="814" spans="1:15" s="159" customFormat="1" ht="14.25" customHeight="1" thickBot="1" x14ac:dyDescent="0.3">
      <c r="A814" s="376"/>
      <c r="B814" s="69" t="s">
        <v>152</v>
      </c>
      <c r="C814" s="70" t="s">
        <v>4415</v>
      </c>
      <c r="D814" s="71" t="s">
        <v>154</v>
      </c>
      <c r="E814" s="1381" t="s">
        <v>155</v>
      </c>
      <c r="F814" s="1381"/>
      <c r="G814" s="1381"/>
      <c r="I814" s="143"/>
      <c r="J814" s="143"/>
      <c r="K814" s="143"/>
      <c r="O814" s="220"/>
    </row>
    <row r="815" spans="1:15" s="159" customFormat="1" ht="14.25" customHeight="1" thickBot="1" x14ac:dyDescent="0.3">
      <c r="A815" s="376"/>
      <c r="B815" s="72" t="s">
        <v>156</v>
      </c>
      <c r="C815" s="73"/>
      <c r="D815" s="332">
        <f>G804</f>
        <v>12.33</v>
      </c>
      <c r="E815" s="1381"/>
      <c r="F815" s="1381"/>
      <c r="G815" s="1381"/>
      <c r="I815" s="143"/>
      <c r="J815" s="143"/>
      <c r="K815" s="143"/>
      <c r="O815" s="220"/>
    </row>
    <row r="816" spans="1:15" s="159" customFormat="1" ht="14.25" customHeight="1" thickBot="1" x14ac:dyDescent="0.3">
      <c r="A816" s="376"/>
      <c r="B816" s="72" t="s">
        <v>157</v>
      </c>
      <c r="C816" s="73"/>
      <c r="D816" s="332">
        <f>G808</f>
        <v>131</v>
      </c>
      <c r="E816" s="1381"/>
      <c r="F816" s="1381"/>
      <c r="G816" s="1381"/>
      <c r="I816" s="143"/>
      <c r="J816" s="143"/>
      <c r="K816" s="143"/>
      <c r="O816" s="220"/>
    </row>
    <row r="817" spans="1:15" s="159" customFormat="1" ht="14.25" customHeight="1" thickBot="1" x14ac:dyDescent="0.3">
      <c r="A817" s="376"/>
      <c r="B817" s="72" t="s">
        <v>158</v>
      </c>
      <c r="C817" s="73"/>
      <c r="D817" s="332">
        <f>G812</f>
        <v>0</v>
      </c>
      <c r="E817" s="1381"/>
      <c r="F817" s="1381"/>
      <c r="G817" s="1381"/>
      <c r="I817" s="143"/>
      <c r="J817" s="143"/>
      <c r="K817" s="143"/>
      <c r="O817" s="220"/>
    </row>
    <row r="818" spans="1:15" s="159" customFormat="1" ht="14.25" customHeight="1" thickBot="1" x14ac:dyDescent="0.3">
      <c r="A818" s="376"/>
      <c r="B818" s="72" t="s">
        <v>159</v>
      </c>
      <c r="C818" s="74">
        <f>$J$5</f>
        <v>157.27000000000001</v>
      </c>
      <c r="D818" s="332">
        <f>+ROUND((D815*C818),2)/100</f>
        <v>19.39</v>
      </c>
      <c r="E818" s="1381"/>
      <c r="F818" s="1381"/>
      <c r="G818" s="1381"/>
      <c r="I818" s="143"/>
      <c r="J818" s="143"/>
      <c r="K818" s="143"/>
      <c r="O818" s="220"/>
    </row>
    <row r="819" spans="1:15" s="159" customFormat="1" ht="14.25" customHeight="1" thickBot="1" x14ac:dyDescent="0.3">
      <c r="A819" s="376"/>
      <c r="B819" s="72" t="s">
        <v>160</v>
      </c>
      <c r="C819" s="75"/>
      <c r="D819" s="333">
        <f>+SUM(D815:D818)</f>
        <v>162.72</v>
      </c>
      <c r="E819" s="1381"/>
      <c r="F819" s="1381"/>
      <c r="G819" s="1381"/>
      <c r="I819" s="143"/>
      <c r="J819" s="143"/>
      <c r="K819" s="143"/>
      <c r="O819" s="220"/>
    </row>
    <row r="820" spans="1:15" s="159" customFormat="1" ht="14.25" customHeight="1" thickBot="1" x14ac:dyDescent="0.3">
      <c r="A820" s="376"/>
      <c r="B820" s="72" t="s">
        <v>161</v>
      </c>
      <c r="C820" s="73"/>
      <c r="D820" s="332" t="s">
        <v>162</v>
      </c>
      <c r="E820" s="1382" t="s">
        <v>163</v>
      </c>
      <c r="F820" s="1382"/>
      <c r="G820" s="1382"/>
      <c r="I820" s="143"/>
      <c r="J820" s="143"/>
      <c r="K820" s="143"/>
      <c r="O820" s="220"/>
    </row>
    <row r="821" spans="1:15" s="159" customFormat="1" ht="14.25" customHeight="1" thickBot="1" x14ac:dyDescent="0.3">
      <c r="A821" s="376"/>
      <c r="B821" s="122" t="s">
        <v>164</v>
      </c>
      <c r="C821" s="123"/>
      <c r="D821" s="334">
        <f>+SUM(D819:D820)</f>
        <v>162.72</v>
      </c>
      <c r="E821" s="1382"/>
      <c r="F821" s="1382"/>
      <c r="G821" s="1382"/>
      <c r="I821" s="143"/>
      <c r="J821" s="143"/>
      <c r="K821" s="143"/>
      <c r="O821" s="220"/>
    </row>
    <row r="822" spans="1:15" s="159" customFormat="1" ht="14.25" customHeight="1" thickBot="1" x14ac:dyDescent="0.3">
      <c r="A822" s="376"/>
      <c r="B822" s="124" t="s">
        <v>165</v>
      </c>
      <c r="C822" s="125">
        <f>$I$5</f>
        <v>28.49</v>
      </c>
      <c r="D822" s="335">
        <f>ROUND((D821*C822),2)/100</f>
        <v>46.36</v>
      </c>
      <c r="E822" s="1382"/>
      <c r="F822" s="1382"/>
      <c r="G822" s="1382"/>
      <c r="I822" s="143"/>
      <c r="J822" s="143"/>
      <c r="K822" s="143"/>
      <c r="O822" s="220"/>
    </row>
    <row r="823" spans="1:15" s="159" customFormat="1" ht="14.25" customHeight="1" thickBot="1" x14ac:dyDescent="0.3">
      <c r="A823" s="376"/>
      <c r="B823" s="80" t="s">
        <v>166</v>
      </c>
      <c r="C823" s="127"/>
      <c r="D823" s="336">
        <f>+SUM(D821:D822)</f>
        <v>209.08</v>
      </c>
      <c r="E823" s="128"/>
      <c r="F823" s="337">
        <f>D823</f>
        <v>209.08</v>
      </c>
      <c r="G823" s="131"/>
      <c r="I823" s="143"/>
      <c r="J823" s="143"/>
      <c r="K823" s="143"/>
      <c r="O823" s="220"/>
    </row>
    <row r="824" spans="1:15" s="159" customFormat="1" ht="14.25" customHeight="1" x14ac:dyDescent="0.25">
      <c r="A824" s="376"/>
      <c r="B824" s="28"/>
      <c r="C824" s="28"/>
      <c r="D824" s="28"/>
      <c r="E824" s="28"/>
      <c r="F824" s="28"/>
      <c r="G824" s="28"/>
      <c r="I824" s="143"/>
      <c r="J824" s="143"/>
      <c r="K824" s="143"/>
      <c r="O824" s="220"/>
    </row>
    <row r="825" spans="1:15" s="159" customFormat="1" ht="14.25" customHeight="1" thickBot="1" x14ac:dyDescent="0.3">
      <c r="A825" s="376"/>
      <c r="B825" s="28"/>
      <c r="C825" s="28"/>
      <c r="D825" s="28"/>
      <c r="E825" s="28"/>
      <c r="F825" s="28"/>
      <c r="G825" s="28"/>
      <c r="I825" s="143"/>
      <c r="J825" s="143"/>
      <c r="K825" s="143"/>
      <c r="O825" s="220"/>
    </row>
    <row r="826" spans="1:15" s="159" customFormat="1" x14ac:dyDescent="0.25">
      <c r="A826" s="376"/>
      <c r="B826" s="1383" t="s">
        <v>131</v>
      </c>
      <c r="C826" s="1383"/>
      <c r="D826" s="1383"/>
      <c r="E826" s="1383"/>
      <c r="F826" s="1383"/>
      <c r="G826" s="1383"/>
      <c r="I826" s="143"/>
      <c r="J826" s="143"/>
      <c r="K826" s="143"/>
      <c r="O826" s="220"/>
    </row>
    <row r="827" spans="1:15" s="159" customFormat="1" ht="15.75" thickBot="1" x14ac:dyDescent="0.3">
      <c r="A827" s="376"/>
      <c r="B827" s="1384" t="str">
        <f>$I$3</f>
        <v>Urbanização da Orla de Piúma - Município de Piúma / ES</v>
      </c>
      <c r="C827" s="1385"/>
      <c r="D827" s="1385"/>
      <c r="E827" s="1385"/>
      <c r="F827" s="1385"/>
      <c r="G827" s="1386"/>
      <c r="I827" s="143"/>
      <c r="J827" s="143"/>
      <c r="K827" s="143"/>
      <c r="O827" s="220"/>
    </row>
    <row r="828" spans="1:15" s="159" customFormat="1" ht="15.75" thickBot="1" x14ac:dyDescent="0.3">
      <c r="A828" s="376"/>
      <c r="B828" s="90" t="s">
        <v>132</v>
      </c>
      <c r="C828" s="90" t="s">
        <v>133</v>
      </c>
      <c r="D828" s="1381" t="s">
        <v>134</v>
      </c>
      <c r="E828" s="1381"/>
      <c r="F828" s="131" t="s">
        <v>275</v>
      </c>
      <c r="G828" s="131" t="s">
        <v>135</v>
      </c>
      <c r="I828" s="31"/>
      <c r="J828" s="31"/>
      <c r="K828" s="143"/>
      <c r="O828" s="220"/>
    </row>
    <row r="829" spans="1:15" s="159" customFormat="1" ht="52.5" thickBot="1" x14ac:dyDescent="0.3">
      <c r="A829" s="376"/>
      <c r="B829" s="132" t="s">
        <v>337</v>
      </c>
      <c r="C829" s="92" t="s">
        <v>98</v>
      </c>
      <c r="D829" s="1381" t="s">
        <v>8</v>
      </c>
      <c r="E829" s="1381"/>
      <c r="F829" s="144" t="s">
        <v>216</v>
      </c>
      <c r="G829" s="38">
        <f>$K$5</f>
        <v>44501</v>
      </c>
      <c r="H829" s="220"/>
      <c r="I829" s="143"/>
      <c r="J829" s="143"/>
      <c r="K829" s="143"/>
      <c r="O829" s="220"/>
    </row>
    <row r="830" spans="1:15" s="159" customFormat="1" ht="6" customHeight="1" thickBot="1" x14ac:dyDescent="0.3">
      <c r="A830" s="376"/>
      <c r="B830" s="1382"/>
      <c r="C830" s="1382"/>
      <c r="D830" s="1382"/>
      <c r="E830" s="1382"/>
      <c r="F830" s="1382"/>
      <c r="G830" s="1382"/>
      <c r="H830" s="220"/>
      <c r="I830" s="143"/>
      <c r="J830" s="143"/>
      <c r="K830" s="143"/>
      <c r="O830" s="220"/>
    </row>
    <row r="831" spans="1:15" s="159" customFormat="1" ht="14.25" customHeight="1" x14ac:dyDescent="0.25">
      <c r="A831" s="376"/>
      <c r="B831" s="93" t="s">
        <v>139</v>
      </c>
      <c r="C831" s="94" t="s">
        <v>140</v>
      </c>
      <c r="D831" s="94" t="s">
        <v>141</v>
      </c>
      <c r="E831" s="94" t="s">
        <v>142</v>
      </c>
      <c r="F831" s="94" t="s">
        <v>143</v>
      </c>
      <c r="G831" s="95" t="s">
        <v>144</v>
      </c>
      <c r="H831" s="220"/>
      <c r="I831" s="143"/>
      <c r="J831" s="143"/>
      <c r="K831" s="143"/>
      <c r="O831" s="220"/>
    </row>
    <row r="832" spans="1:15" s="159" customFormat="1" ht="14.25" customHeight="1" x14ac:dyDescent="0.25">
      <c r="A832" s="376"/>
      <c r="B832" s="145"/>
      <c r="C832" s="146"/>
      <c r="D832" s="147"/>
      <c r="E832" s="146"/>
      <c r="F832" s="146"/>
      <c r="G832" s="148"/>
      <c r="H832" s="220"/>
      <c r="I832" s="143"/>
      <c r="J832" s="143"/>
      <c r="K832" s="143"/>
      <c r="O832" s="220"/>
    </row>
    <row r="833" spans="1:15" s="159" customFormat="1" ht="14.25" customHeight="1" x14ac:dyDescent="0.25">
      <c r="A833" s="376"/>
      <c r="B833" s="145"/>
      <c r="C833" s="146"/>
      <c r="D833" s="147"/>
      <c r="E833" s="146"/>
      <c r="F833" s="146"/>
      <c r="G833" s="148"/>
      <c r="H833" s="220"/>
      <c r="I833" s="143"/>
      <c r="J833" s="143"/>
      <c r="K833" s="143"/>
      <c r="O833" s="220"/>
    </row>
    <row r="834" spans="1:15" s="159" customFormat="1" ht="14.25" customHeight="1" x14ac:dyDescent="0.25">
      <c r="A834" s="376"/>
      <c r="B834" s="99"/>
      <c r="C834" s="146"/>
      <c r="D834" s="100"/>
      <c r="E834" s="146"/>
      <c r="F834" s="146"/>
      <c r="G834" s="148"/>
      <c r="H834" s="220"/>
      <c r="I834" s="143"/>
      <c r="J834" s="143"/>
      <c r="K834" s="143"/>
      <c r="O834" s="220"/>
    </row>
    <row r="835" spans="1:15" s="159" customFormat="1" ht="14.25" customHeight="1" x14ac:dyDescent="0.25">
      <c r="A835" s="376"/>
      <c r="B835" s="101" t="s">
        <v>145</v>
      </c>
      <c r="C835" s="102"/>
      <c r="D835" s="103"/>
      <c r="E835" s="146"/>
      <c r="F835" s="104"/>
      <c r="G835" s="105">
        <f>+SUM(F832:F834)</f>
        <v>0</v>
      </c>
      <c r="H835" s="220"/>
      <c r="I835" s="143"/>
      <c r="J835" s="143"/>
      <c r="K835" s="143"/>
      <c r="O835" s="220"/>
    </row>
    <row r="836" spans="1:15" s="159" customFormat="1" ht="14.25" customHeight="1" x14ac:dyDescent="0.25">
      <c r="A836" s="376"/>
      <c r="B836" s="99" t="s">
        <v>146</v>
      </c>
      <c r="C836" s="106"/>
      <c r="D836" s="107"/>
      <c r="E836" s="146"/>
      <c r="F836" s="108"/>
      <c r="G836" s="109" t="s">
        <v>147</v>
      </c>
      <c r="H836" s="220"/>
      <c r="I836" s="143"/>
      <c r="J836" s="143"/>
      <c r="K836" s="143"/>
      <c r="O836" s="220"/>
    </row>
    <row r="837" spans="1:15" s="159" customFormat="1" x14ac:dyDescent="0.25">
      <c r="A837" s="356" t="s">
        <v>4421</v>
      </c>
      <c r="B837" s="145" t="s">
        <v>452</v>
      </c>
      <c r="C837" s="146" t="s">
        <v>5</v>
      </c>
      <c r="D837" s="359">
        <f>1.7*1.9</f>
        <v>3.23</v>
      </c>
      <c r="E837" s="329">
        <v>1011.4</v>
      </c>
      <c r="F837" s="329">
        <f>ROUND((D837*E837),2)</f>
        <v>3266.82</v>
      </c>
      <c r="G837" s="355"/>
      <c r="H837" s="220"/>
      <c r="I837" s="143"/>
      <c r="J837" s="143"/>
      <c r="K837" s="143"/>
      <c r="O837" s="220"/>
    </row>
    <row r="838" spans="1:15" s="159" customFormat="1" ht="26.25" x14ac:dyDescent="0.25">
      <c r="A838" s="352" t="s">
        <v>338</v>
      </c>
      <c r="B838" s="145" t="s">
        <v>328</v>
      </c>
      <c r="C838" s="146" t="s">
        <v>5</v>
      </c>
      <c r="D838" s="360">
        <f>3.23*2.5</f>
        <v>8.08</v>
      </c>
      <c r="E838" s="329">
        <v>20.010000000000002</v>
      </c>
      <c r="F838" s="329">
        <f>ROUND((D838*E838),2)</f>
        <v>161.68</v>
      </c>
      <c r="G838" s="355"/>
      <c r="I838" s="143"/>
      <c r="J838" s="143"/>
      <c r="K838" s="143"/>
      <c r="O838" s="220"/>
    </row>
    <row r="839" spans="1:15" s="159" customFormat="1" ht="14.25" customHeight="1" x14ac:dyDescent="0.25">
      <c r="A839" s="376"/>
      <c r="B839" s="99"/>
      <c r="C839" s="146"/>
      <c r="D839" s="357"/>
      <c r="E839" s="329"/>
      <c r="F839" s="329"/>
      <c r="G839" s="355"/>
      <c r="I839" s="143"/>
      <c r="J839" s="143"/>
      <c r="K839" s="143"/>
      <c r="O839" s="220"/>
    </row>
    <row r="840" spans="1:15" s="159" customFormat="1" ht="14.25" customHeight="1" x14ac:dyDescent="0.25">
      <c r="A840" s="376"/>
      <c r="B840" s="101" t="s">
        <v>148</v>
      </c>
      <c r="C840" s="102"/>
      <c r="D840" s="358"/>
      <c r="E840" s="353"/>
      <c r="F840" s="353"/>
      <c r="G840" s="338">
        <f>+SUM(F837:F839)</f>
        <v>3428.5</v>
      </c>
      <c r="I840" s="143"/>
      <c r="J840" s="143"/>
      <c r="K840" s="143"/>
      <c r="O840" s="220"/>
    </row>
    <row r="841" spans="1:15" s="159" customFormat="1" ht="14.25" customHeight="1" x14ac:dyDescent="0.25">
      <c r="A841" s="376"/>
      <c r="B841" s="99" t="s">
        <v>149</v>
      </c>
      <c r="C841" s="106"/>
      <c r="D841" s="114"/>
      <c r="E841" s="106"/>
      <c r="F841" s="106"/>
      <c r="G841" s="109" t="s">
        <v>150</v>
      </c>
      <c r="I841" s="143"/>
      <c r="J841" s="143"/>
      <c r="K841" s="143"/>
      <c r="O841" s="220"/>
    </row>
    <row r="842" spans="1:15" s="159" customFormat="1" ht="14.25" customHeight="1" x14ac:dyDescent="0.25">
      <c r="A842" s="376"/>
      <c r="B842" s="99" t="s">
        <v>98</v>
      </c>
      <c r="C842" s="146"/>
      <c r="D842" s="110"/>
      <c r="E842" s="146"/>
      <c r="F842" s="146"/>
      <c r="G842" s="148"/>
      <c r="I842" s="143"/>
      <c r="J842" s="143"/>
      <c r="K842" s="143"/>
      <c r="O842" s="220"/>
    </row>
    <row r="843" spans="1:15" s="159" customFormat="1" ht="14.25" customHeight="1" x14ac:dyDescent="0.25">
      <c r="A843" s="376"/>
      <c r="B843" s="99" t="s">
        <v>98</v>
      </c>
      <c r="C843" s="146"/>
      <c r="D843" s="110"/>
      <c r="E843" s="146"/>
      <c r="F843" s="146"/>
      <c r="G843" s="148"/>
      <c r="I843" s="143"/>
      <c r="J843" s="143"/>
      <c r="K843" s="143"/>
      <c r="O843" s="220"/>
    </row>
    <row r="844" spans="1:15" s="159" customFormat="1" ht="14.25" customHeight="1" thickBot="1" x14ac:dyDescent="0.3">
      <c r="A844" s="376"/>
      <c r="B844" s="115" t="s">
        <v>151</v>
      </c>
      <c r="C844" s="116"/>
      <c r="D844" s="117"/>
      <c r="E844" s="116"/>
      <c r="F844" s="116"/>
      <c r="G844" s="118">
        <f>+SUM(F842:F843)</f>
        <v>0</v>
      </c>
      <c r="I844" s="143"/>
      <c r="J844" s="143"/>
      <c r="K844" s="143"/>
      <c r="O844" s="220"/>
    </row>
    <row r="845" spans="1:15" s="159" customFormat="1" ht="4.5" customHeight="1" thickBot="1" x14ac:dyDescent="0.3">
      <c r="A845" s="376"/>
      <c r="B845" s="1382"/>
      <c r="C845" s="1382"/>
      <c r="D845" s="1382"/>
      <c r="E845" s="1382"/>
      <c r="F845" s="1382"/>
      <c r="G845" s="1382"/>
      <c r="I845" s="143"/>
      <c r="J845" s="143"/>
      <c r="K845" s="143"/>
      <c r="O845" s="220"/>
    </row>
    <row r="846" spans="1:15" s="159" customFormat="1" ht="14.25" customHeight="1" thickBot="1" x14ac:dyDescent="0.3">
      <c r="A846" s="376"/>
      <c r="B846" s="69" t="s">
        <v>152</v>
      </c>
      <c r="C846" s="70" t="s">
        <v>4415</v>
      </c>
      <c r="D846" s="71" t="s">
        <v>154</v>
      </c>
      <c r="E846" s="1381" t="s">
        <v>155</v>
      </c>
      <c r="F846" s="1381"/>
      <c r="G846" s="1381"/>
      <c r="I846" s="143"/>
      <c r="J846" s="143"/>
      <c r="K846" s="143"/>
      <c r="O846" s="220"/>
    </row>
    <row r="847" spans="1:15" s="159" customFormat="1" ht="14.25" customHeight="1" thickBot="1" x14ac:dyDescent="0.3">
      <c r="A847" s="376"/>
      <c r="B847" s="72" t="s">
        <v>156</v>
      </c>
      <c r="C847" s="73"/>
      <c r="D847" s="332">
        <f>G835</f>
        <v>0</v>
      </c>
      <c r="E847" s="1381"/>
      <c r="F847" s="1381"/>
      <c r="G847" s="1381"/>
      <c r="I847" s="143"/>
      <c r="J847" s="143"/>
      <c r="K847" s="143"/>
      <c r="O847" s="220"/>
    </row>
    <row r="848" spans="1:15" s="159" customFormat="1" ht="14.25" customHeight="1" thickBot="1" x14ac:dyDescent="0.3">
      <c r="A848" s="376"/>
      <c r="B848" s="72" t="s">
        <v>157</v>
      </c>
      <c r="C848" s="73"/>
      <c r="D848" s="332">
        <f>G840</f>
        <v>3428.5</v>
      </c>
      <c r="E848" s="1381"/>
      <c r="F848" s="1381"/>
      <c r="G848" s="1381"/>
      <c r="I848" s="143"/>
      <c r="J848" s="143"/>
      <c r="K848" s="143"/>
      <c r="O848" s="220"/>
    </row>
    <row r="849" spans="1:15" s="159" customFormat="1" ht="14.25" customHeight="1" thickBot="1" x14ac:dyDescent="0.3">
      <c r="A849" s="376"/>
      <c r="B849" s="72" t="s">
        <v>158</v>
      </c>
      <c r="C849" s="73"/>
      <c r="D849" s="332">
        <f>G844</f>
        <v>0</v>
      </c>
      <c r="E849" s="1381"/>
      <c r="F849" s="1381"/>
      <c r="G849" s="1381"/>
      <c r="I849" s="143"/>
      <c r="J849" s="143"/>
      <c r="K849" s="143"/>
      <c r="O849" s="220"/>
    </row>
    <row r="850" spans="1:15" s="159" customFormat="1" ht="14.25" customHeight="1" thickBot="1" x14ac:dyDescent="0.3">
      <c r="A850" s="376"/>
      <c r="B850" s="72" t="s">
        <v>159</v>
      </c>
      <c r="C850" s="74">
        <f>$J$5</f>
        <v>157.27000000000001</v>
      </c>
      <c r="D850" s="332">
        <f>+ROUND((D847*C850),2)/100</f>
        <v>0</v>
      </c>
      <c r="E850" s="1381"/>
      <c r="F850" s="1381"/>
      <c r="G850" s="1381"/>
      <c r="I850" s="143"/>
      <c r="J850" s="143"/>
      <c r="K850" s="143"/>
      <c r="O850" s="220"/>
    </row>
    <row r="851" spans="1:15" s="159" customFormat="1" ht="14.25" customHeight="1" thickBot="1" x14ac:dyDescent="0.3">
      <c r="A851" s="376"/>
      <c r="B851" s="72" t="s">
        <v>160</v>
      </c>
      <c r="C851" s="75"/>
      <c r="D851" s="333">
        <f>+SUM(D847:D850)</f>
        <v>3428.5</v>
      </c>
      <c r="E851" s="1381"/>
      <c r="F851" s="1381"/>
      <c r="G851" s="1381"/>
      <c r="I851" s="143"/>
      <c r="J851" s="143"/>
      <c r="K851" s="143"/>
      <c r="O851" s="220"/>
    </row>
    <row r="852" spans="1:15" s="159" customFormat="1" ht="14.25" customHeight="1" thickBot="1" x14ac:dyDescent="0.3">
      <c r="A852" s="376"/>
      <c r="B852" s="72" t="s">
        <v>161</v>
      </c>
      <c r="C852" s="73"/>
      <c r="D852" s="332" t="s">
        <v>162</v>
      </c>
      <c r="E852" s="1382" t="s">
        <v>163</v>
      </c>
      <c r="F852" s="1382"/>
      <c r="G852" s="1382"/>
      <c r="I852" s="143"/>
      <c r="J852" s="143"/>
      <c r="K852" s="143"/>
      <c r="O852" s="220"/>
    </row>
    <row r="853" spans="1:15" s="159" customFormat="1" ht="14.25" customHeight="1" thickBot="1" x14ac:dyDescent="0.3">
      <c r="A853" s="376"/>
      <c r="B853" s="122" t="s">
        <v>164</v>
      </c>
      <c r="C853" s="123"/>
      <c r="D853" s="334">
        <f>+SUM(D851:D852)</f>
        <v>3428.5</v>
      </c>
      <c r="E853" s="1382"/>
      <c r="F853" s="1382"/>
      <c r="G853" s="1382"/>
      <c r="I853" s="143"/>
      <c r="J853" s="143"/>
      <c r="K853" s="143"/>
      <c r="O853" s="220"/>
    </row>
    <row r="854" spans="1:15" s="159" customFormat="1" ht="14.25" customHeight="1" thickBot="1" x14ac:dyDescent="0.3">
      <c r="A854" s="376"/>
      <c r="B854" s="124" t="s">
        <v>165</v>
      </c>
      <c r="C854" s="125">
        <f>$I$5</f>
        <v>28.49</v>
      </c>
      <c r="D854" s="335">
        <f>ROUND((D853*C854),2)/100</f>
        <v>976.78</v>
      </c>
      <c r="E854" s="1382"/>
      <c r="F854" s="1382"/>
      <c r="G854" s="1382"/>
      <c r="I854" s="143"/>
      <c r="J854" s="143"/>
      <c r="K854" s="143"/>
      <c r="O854" s="220"/>
    </row>
    <row r="855" spans="1:15" s="159" customFormat="1" ht="14.25" customHeight="1" thickBot="1" x14ac:dyDescent="0.3">
      <c r="A855" s="376"/>
      <c r="B855" s="80" t="s">
        <v>166</v>
      </c>
      <c r="C855" s="127"/>
      <c r="D855" s="336">
        <f>+SUM(D853:D854)</f>
        <v>4405.28</v>
      </c>
      <c r="E855" s="128"/>
      <c r="F855" s="337">
        <f>D855</f>
        <v>4405.28</v>
      </c>
      <c r="G855" s="131"/>
      <c r="I855" s="143"/>
      <c r="J855" s="143"/>
      <c r="K855" s="143"/>
      <c r="O855" s="220"/>
    </row>
    <row r="856" spans="1:15" s="159" customFormat="1" ht="14.25" customHeight="1" x14ac:dyDescent="0.25">
      <c r="A856" s="376"/>
      <c r="B856" s="28"/>
      <c r="C856" s="28"/>
      <c r="D856" s="28"/>
      <c r="E856" s="28"/>
      <c r="F856" s="28"/>
      <c r="G856" s="28"/>
      <c r="I856" s="143"/>
      <c r="J856" s="143"/>
      <c r="K856" s="143"/>
      <c r="O856" s="220"/>
    </row>
    <row r="857" spans="1:15" s="159" customFormat="1" ht="14.25" customHeight="1" thickBot="1" x14ac:dyDescent="0.3">
      <c r="A857" s="376"/>
      <c r="B857" s="28"/>
      <c r="C857" s="28"/>
      <c r="D857" s="28"/>
      <c r="E857" s="28"/>
      <c r="F857" s="28"/>
      <c r="G857" s="28"/>
      <c r="I857" s="143"/>
      <c r="J857" s="143"/>
      <c r="K857" s="143"/>
      <c r="O857" s="220"/>
    </row>
    <row r="858" spans="1:15" s="159" customFormat="1" x14ac:dyDescent="0.25">
      <c r="A858" s="376"/>
      <c r="B858" s="1383" t="s">
        <v>131</v>
      </c>
      <c r="C858" s="1383"/>
      <c r="D858" s="1383"/>
      <c r="E858" s="1383"/>
      <c r="F858" s="1383"/>
      <c r="G858" s="1383"/>
      <c r="I858" s="143"/>
      <c r="J858" s="143"/>
      <c r="K858" s="143"/>
      <c r="O858" s="220"/>
    </row>
    <row r="859" spans="1:15" s="159" customFormat="1" ht="15.75" thickBot="1" x14ac:dyDescent="0.3">
      <c r="A859" s="376"/>
      <c r="B859" s="1384" t="str">
        <f>$I$3</f>
        <v>Urbanização da Orla de Piúma - Município de Piúma / ES</v>
      </c>
      <c r="C859" s="1385"/>
      <c r="D859" s="1385"/>
      <c r="E859" s="1385"/>
      <c r="F859" s="1385"/>
      <c r="G859" s="1386"/>
      <c r="I859" s="143"/>
      <c r="J859" s="143"/>
      <c r="K859" s="143"/>
      <c r="O859" s="220"/>
    </row>
    <row r="860" spans="1:15" s="159" customFormat="1" ht="15.75" thickBot="1" x14ac:dyDescent="0.3">
      <c r="A860" s="376"/>
      <c r="B860" s="90" t="s">
        <v>132</v>
      </c>
      <c r="C860" s="90" t="s">
        <v>133</v>
      </c>
      <c r="D860" s="1381" t="s">
        <v>134</v>
      </c>
      <c r="E860" s="1381"/>
      <c r="F860" s="131" t="s">
        <v>275</v>
      </c>
      <c r="G860" s="131" t="s">
        <v>135</v>
      </c>
      <c r="I860" s="31"/>
      <c r="J860" s="31"/>
      <c r="K860" s="143"/>
      <c r="O860" s="220"/>
    </row>
    <row r="861" spans="1:15" s="159" customFormat="1" ht="70.5" customHeight="1" thickBot="1" x14ac:dyDescent="0.3">
      <c r="A861" s="376"/>
      <c r="B861" s="132" t="s">
        <v>341</v>
      </c>
      <c r="C861" s="92" t="s">
        <v>98</v>
      </c>
      <c r="D861" s="1381" t="s">
        <v>8</v>
      </c>
      <c r="E861" s="1381"/>
      <c r="F861" s="144" t="s">
        <v>217</v>
      </c>
      <c r="G861" s="38">
        <f>$K$5</f>
        <v>44501</v>
      </c>
      <c r="I861" s="143"/>
      <c r="J861" s="143"/>
      <c r="K861" s="143"/>
      <c r="O861" s="220"/>
    </row>
    <row r="862" spans="1:15" s="159" customFormat="1" ht="6" customHeight="1" thickBot="1" x14ac:dyDescent="0.3">
      <c r="A862" s="376"/>
      <c r="B862" s="1382"/>
      <c r="C862" s="1382"/>
      <c r="D862" s="1382"/>
      <c r="E862" s="1382"/>
      <c r="F862" s="1382"/>
      <c r="G862" s="1382"/>
      <c r="I862" s="143"/>
      <c r="J862" s="143"/>
      <c r="K862" s="143"/>
      <c r="O862" s="220"/>
    </row>
    <row r="863" spans="1:15" s="159" customFormat="1" ht="14.25" customHeight="1" x14ac:dyDescent="0.25">
      <c r="A863" s="376"/>
      <c r="B863" s="93" t="s">
        <v>139</v>
      </c>
      <c r="C863" s="94" t="s">
        <v>140</v>
      </c>
      <c r="D863" s="94" t="s">
        <v>141</v>
      </c>
      <c r="E863" s="94" t="s">
        <v>142</v>
      </c>
      <c r="F863" s="94" t="s">
        <v>143</v>
      </c>
      <c r="G863" s="95" t="s">
        <v>144</v>
      </c>
      <c r="I863" s="143"/>
      <c r="J863" s="143"/>
      <c r="K863" s="143"/>
      <c r="O863" s="220"/>
    </row>
    <row r="864" spans="1:15" s="159" customFormat="1" ht="14.25" customHeight="1" x14ac:dyDescent="0.25">
      <c r="A864" s="376">
        <v>10115</v>
      </c>
      <c r="B864" s="145" t="str">
        <f>VLOOKUP(A864,Insumos!$A$10:$F$3462,2,FALSE)</f>
        <v>ELETRICISTA (OFICIAL - SINDUSCON)</v>
      </c>
      <c r="C864" s="146" t="str">
        <f>VLOOKUP(A864,Insumos!$A$10:$F$3462,3,FALSE)</f>
        <v>H</v>
      </c>
      <c r="D864" s="147">
        <v>4</v>
      </c>
      <c r="E864" s="329">
        <f>VLOOKUP(A864,Insumos!$A$10:$F$3462,4,FALSE)</f>
        <v>7.43</v>
      </c>
      <c r="F864" s="329">
        <f>ROUND((D864*E864),2)</f>
        <v>29.72</v>
      </c>
      <c r="G864" s="355"/>
      <c r="I864" s="143"/>
      <c r="J864" s="143"/>
      <c r="K864" s="143"/>
      <c r="O864" s="220"/>
    </row>
    <row r="865" spans="1:15" s="159" customFormat="1" ht="14.25" customHeight="1" x14ac:dyDescent="0.25">
      <c r="A865" s="376">
        <v>10101</v>
      </c>
      <c r="B865" s="145" t="str">
        <f>VLOOKUP(A865,Insumos!$A$10:$F$3462,2,FALSE)</f>
        <v>AJUDANTE (AJUDANTE PRATICO - SINDUSCON)</v>
      </c>
      <c r="C865" s="146" t="str">
        <f>VLOOKUP(A865,Insumos!$A$10:$F$3462,3,FALSE)</f>
        <v>H</v>
      </c>
      <c r="D865" s="147">
        <v>4</v>
      </c>
      <c r="E865" s="329">
        <f>VLOOKUP(A865,Insumos!$A$10:$F$3462,4,FALSE)</f>
        <v>6.27</v>
      </c>
      <c r="F865" s="329">
        <f>ROUND((D865*E865),2)</f>
        <v>25.08</v>
      </c>
      <c r="G865" s="355"/>
      <c r="H865" s="220"/>
      <c r="I865" s="143"/>
      <c r="J865" s="143"/>
      <c r="K865" s="143"/>
      <c r="O865" s="220"/>
    </row>
    <row r="866" spans="1:15" s="159" customFormat="1" ht="14.25" customHeight="1" x14ac:dyDescent="0.25">
      <c r="A866" s="376"/>
      <c r="B866" s="101" t="s">
        <v>145</v>
      </c>
      <c r="C866" s="102"/>
      <c r="D866" s="103"/>
      <c r="E866" s="329"/>
      <c r="F866" s="353"/>
      <c r="G866" s="338">
        <f>+SUM(F864:F865)</f>
        <v>54.8</v>
      </c>
      <c r="I866" s="143"/>
      <c r="J866" s="143"/>
      <c r="K866" s="143"/>
      <c r="O866" s="220"/>
    </row>
    <row r="867" spans="1:15" s="159" customFormat="1" ht="14.25" customHeight="1" x14ac:dyDescent="0.25">
      <c r="A867" s="376"/>
      <c r="B867" s="99" t="s">
        <v>146</v>
      </c>
      <c r="C867" s="106"/>
      <c r="D867" s="107"/>
      <c r="E867" s="146"/>
      <c r="F867" s="108"/>
      <c r="G867" s="109"/>
      <c r="I867" s="143"/>
      <c r="J867" s="143"/>
      <c r="K867" s="143"/>
      <c r="O867" s="220"/>
    </row>
    <row r="868" spans="1:15" s="159" customFormat="1" ht="39" x14ac:dyDescent="0.25">
      <c r="A868" s="376" t="s">
        <v>468</v>
      </c>
      <c r="B868" s="230" t="str">
        <f>VLOOKUP(A868,Insumos!$A$10:$F$3462,2,FALSE)</f>
        <v>Poste PRFV 4,2m - 50 daN -Topo Ø76 mm - Redução  Ø 60mm - Acabamento liso - Flangeado - Pintado na  cor BRANCA - SEÇÃO ÚNICA 
PIF-4,2-50-76-R60 ou similar</v>
      </c>
      <c r="C868" s="231" t="str">
        <f>VLOOKUP(A868,Insumos!$A$10:$F$3462,3,FALSE)</f>
        <v>Und</v>
      </c>
      <c r="D868" s="181">
        <v>1</v>
      </c>
      <c r="E868" s="329">
        <f>VLOOKUP(A868,Insumos!$A$10:$F$3462,4,FALSE)</f>
        <v>1311.34</v>
      </c>
      <c r="F868" s="329">
        <f>ROUND((D868*E868),2)</f>
        <v>1311.34</v>
      </c>
      <c r="G868" s="355"/>
      <c r="I868" s="143"/>
      <c r="J868" s="143"/>
      <c r="K868" s="143"/>
      <c r="O868" s="220"/>
    </row>
    <row r="869" spans="1:15" s="159" customFormat="1" ht="39" x14ac:dyDescent="0.25">
      <c r="A869" s="376" t="s">
        <v>469</v>
      </c>
      <c r="B869" s="230" t="str">
        <f>VLOOKUP(A869,Insumos!$A$10:$F$3462,2,FALSE)</f>
        <v>Luminária  Ornamental de Topo de poste,  Tipo HEKA-LS  LED GG-15 - potencia 80W , 6700ml, drive incorporado  530mA, tensão 127/220V, grau de proteção IP66 , conjunto óptico IP44 no alojamento para drive, marca Tecnowatt ou similar</v>
      </c>
      <c r="C869" s="231" t="str">
        <f>VLOOKUP(A869,Insumos!$A$10:$F$3462,3,FALSE)</f>
        <v>Und</v>
      </c>
      <c r="D869" s="181">
        <v>1</v>
      </c>
      <c r="E869" s="329">
        <f>VLOOKUP(A869,Insumos!$A$10:$F$3462,4,FALSE)</f>
        <v>2828.11</v>
      </c>
      <c r="F869" s="329">
        <f>ROUND((D869*E869),2)</f>
        <v>2828.11</v>
      </c>
      <c r="G869" s="355"/>
      <c r="I869" s="143"/>
      <c r="J869" s="143"/>
      <c r="K869" s="143"/>
      <c r="O869" s="220"/>
    </row>
    <row r="870" spans="1:15" s="220" customFormat="1" x14ac:dyDescent="0.25">
      <c r="A870" s="376">
        <v>30101</v>
      </c>
      <c r="B870" s="230" t="s">
        <v>12</v>
      </c>
      <c r="C870" s="231" t="s">
        <v>6</v>
      </c>
      <c r="D870" s="232">
        <v>0.6</v>
      </c>
      <c r="E870" s="329">
        <v>45.66</v>
      </c>
      <c r="F870" s="329">
        <f>ROUND((D870*E870),2)</f>
        <v>27.4</v>
      </c>
      <c r="G870" s="355"/>
      <c r="I870" s="143"/>
      <c r="J870" s="143"/>
      <c r="K870" s="143"/>
    </row>
    <row r="871" spans="1:15" s="159" customFormat="1" ht="26.25" x14ac:dyDescent="0.25">
      <c r="A871" s="376">
        <v>40233</v>
      </c>
      <c r="B871" s="145" t="s">
        <v>340</v>
      </c>
      <c r="C871" s="146" t="s">
        <v>6</v>
      </c>
      <c r="D871" s="147">
        <f>0.4*0.4*0.45</f>
        <v>7.1999999999999995E-2</v>
      </c>
      <c r="E871" s="329">
        <v>546.41999999999996</v>
      </c>
      <c r="F871" s="329">
        <f>ROUND((D871*E871),2)</f>
        <v>39.340000000000003</v>
      </c>
      <c r="G871" s="355"/>
      <c r="I871" s="143"/>
      <c r="J871" s="143"/>
      <c r="K871" s="143"/>
      <c r="O871" s="220"/>
    </row>
    <row r="872" spans="1:15" s="159" customFormat="1" ht="39" x14ac:dyDescent="0.25">
      <c r="A872" s="376">
        <v>40206</v>
      </c>
      <c r="B872" s="145" t="s">
        <v>16</v>
      </c>
      <c r="C872" s="146" t="s">
        <v>5</v>
      </c>
      <c r="D872" s="110">
        <f>0.4*0.45*4</f>
        <v>0.72</v>
      </c>
      <c r="E872" s="329">
        <v>73.25</v>
      </c>
      <c r="F872" s="329">
        <f>ROUND((D872*E872),2)</f>
        <v>52.74</v>
      </c>
      <c r="G872" s="355"/>
      <c r="H872" s="220"/>
      <c r="I872" s="143"/>
      <c r="J872" s="143"/>
      <c r="K872" s="143"/>
      <c r="O872" s="220"/>
    </row>
    <row r="873" spans="1:15" s="159" customFormat="1" ht="14.25" customHeight="1" x14ac:dyDescent="0.25">
      <c r="A873" s="376"/>
      <c r="B873" s="101" t="s">
        <v>148</v>
      </c>
      <c r="C873" s="102"/>
      <c r="D873" s="112"/>
      <c r="E873" s="353"/>
      <c r="F873" s="353"/>
      <c r="G873" s="338">
        <f>+SUM(F868:F872)</f>
        <v>4258.93</v>
      </c>
      <c r="I873" s="143"/>
      <c r="J873" s="143"/>
      <c r="K873" s="143"/>
      <c r="O873" s="220"/>
    </row>
    <row r="874" spans="1:15" s="159" customFormat="1" ht="14.25" customHeight="1" x14ac:dyDescent="0.25">
      <c r="A874" s="376"/>
      <c r="B874" s="99" t="s">
        <v>149</v>
      </c>
      <c r="C874" s="106"/>
      <c r="D874" s="114"/>
      <c r="E874" s="106"/>
      <c r="F874" s="106"/>
      <c r="G874" s="109"/>
      <c r="I874" s="143"/>
      <c r="J874" s="143"/>
      <c r="K874" s="143"/>
      <c r="O874" s="220"/>
    </row>
    <row r="875" spans="1:15" s="159" customFormat="1" ht="14.25" customHeight="1" x14ac:dyDescent="0.25">
      <c r="A875" s="376">
        <v>80170</v>
      </c>
      <c r="B875" s="145" t="str">
        <f>VLOOKUP(A875,Insumos!$A$10:$F$3462,2,FALSE)</f>
        <v>CAMINHAO CARR MBENZ L1620/51 C/GUIND. 6T X M(E434)</v>
      </c>
      <c r="C875" s="146" t="str">
        <f>VLOOKUP(A875,Insumos!$A$10:$F$3462,3,FALSE)</f>
        <v>H</v>
      </c>
      <c r="D875" s="147">
        <v>1</v>
      </c>
      <c r="E875" s="329">
        <f>VLOOKUP(A875,Insumos!$A$10:$F$3462,4,FALSE)</f>
        <v>180.07</v>
      </c>
      <c r="F875" s="329">
        <f>ROUND((D875*E875),2)</f>
        <v>180.07</v>
      </c>
      <c r="G875" s="355"/>
      <c r="H875" s="220"/>
      <c r="I875" s="143"/>
      <c r="J875" s="143"/>
      <c r="K875" s="143"/>
      <c r="O875" s="220"/>
    </row>
    <row r="876" spans="1:15" s="159" customFormat="1" ht="14.25" customHeight="1" thickBot="1" x14ac:dyDescent="0.3">
      <c r="A876" s="376"/>
      <c r="B876" s="115" t="s">
        <v>151</v>
      </c>
      <c r="C876" s="116"/>
      <c r="D876" s="117"/>
      <c r="E876" s="361"/>
      <c r="F876" s="361"/>
      <c r="G876" s="362">
        <f>+SUM(F875:F875)</f>
        <v>180.07</v>
      </c>
      <c r="I876" s="143"/>
      <c r="J876" s="143"/>
      <c r="K876" s="143"/>
      <c r="O876" s="220"/>
    </row>
    <row r="877" spans="1:15" s="159" customFormat="1" ht="4.5" customHeight="1" thickBot="1" x14ac:dyDescent="0.3">
      <c r="A877" s="376"/>
      <c r="B877" s="1382"/>
      <c r="C877" s="1382"/>
      <c r="D877" s="1382"/>
      <c r="E877" s="1382"/>
      <c r="F877" s="1382"/>
      <c r="G877" s="1382"/>
      <c r="I877" s="143"/>
      <c r="J877" s="143"/>
      <c r="K877" s="143"/>
      <c r="O877" s="220"/>
    </row>
    <row r="878" spans="1:15" s="159" customFormat="1" ht="14.25" customHeight="1" thickBot="1" x14ac:dyDescent="0.3">
      <c r="A878" s="376"/>
      <c r="B878" s="69" t="s">
        <v>152</v>
      </c>
      <c r="C878" s="70" t="s">
        <v>4415</v>
      </c>
      <c r="D878" s="71" t="s">
        <v>154</v>
      </c>
      <c r="E878" s="1381" t="s">
        <v>155</v>
      </c>
      <c r="F878" s="1381"/>
      <c r="G878" s="1381"/>
      <c r="I878" s="143"/>
      <c r="J878" s="143"/>
      <c r="K878" s="143"/>
      <c r="O878" s="220"/>
    </row>
    <row r="879" spans="1:15" s="159" customFormat="1" ht="14.25" customHeight="1" thickBot="1" x14ac:dyDescent="0.3">
      <c r="A879" s="376"/>
      <c r="B879" s="72" t="s">
        <v>156</v>
      </c>
      <c r="C879" s="73"/>
      <c r="D879" s="332">
        <f>G866</f>
        <v>54.8</v>
      </c>
      <c r="E879" s="1381"/>
      <c r="F879" s="1381"/>
      <c r="G879" s="1381"/>
      <c r="I879" s="143"/>
      <c r="J879" s="143"/>
      <c r="K879" s="143"/>
      <c r="O879" s="220"/>
    </row>
    <row r="880" spans="1:15" s="159" customFormat="1" ht="14.25" customHeight="1" thickBot="1" x14ac:dyDescent="0.3">
      <c r="A880" s="376"/>
      <c r="B880" s="72" t="s">
        <v>157</v>
      </c>
      <c r="C880" s="73"/>
      <c r="D880" s="332">
        <f>G873</f>
        <v>4258.93</v>
      </c>
      <c r="E880" s="1381"/>
      <c r="F880" s="1381"/>
      <c r="G880" s="1381"/>
      <c r="I880" s="143"/>
      <c r="J880" s="143"/>
      <c r="K880" s="143"/>
      <c r="O880" s="220"/>
    </row>
    <row r="881" spans="1:15" s="159" customFormat="1" ht="14.25" customHeight="1" thickBot="1" x14ac:dyDescent="0.3">
      <c r="A881" s="376"/>
      <c r="B881" s="72" t="s">
        <v>158</v>
      </c>
      <c r="C881" s="73"/>
      <c r="D881" s="332">
        <f>G876</f>
        <v>180.07</v>
      </c>
      <c r="E881" s="1381"/>
      <c r="F881" s="1381"/>
      <c r="G881" s="1381"/>
      <c r="I881" s="143"/>
      <c r="J881" s="143"/>
      <c r="K881" s="143"/>
      <c r="O881" s="220"/>
    </row>
    <row r="882" spans="1:15" s="159" customFormat="1" ht="14.25" customHeight="1" thickBot="1" x14ac:dyDescent="0.3">
      <c r="A882" s="376"/>
      <c r="B882" s="72" t="s">
        <v>159</v>
      </c>
      <c r="C882" s="74">
        <f>$J$5</f>
        <v>157.27000000000001</v>
      </c>
      <c r="D882" s="332">
        <f>+ROUND((D879*C882),2)/100</f>
        <v>86.18</v>
      </c>
      <c r="E882" s="1381"/>
      <c r="F882" s="1381"/>
      <c r="G882" s="1381"/>
      <c r="I882" s="143"/>
      <c r="J882" s="143"/>
      <c r="K882" s="143"/>
      <c r="O882" s="220"/>
    </row>
    <row r="883" spans="1:15" s="159" customFormat="1" ht="14.25" customHeight="1" thickBot="1" x14ac:dyDescent="0.3">
      <c r="A883" s="376"/>
      <c r="B883" s="72" t="s">
        <v>160</v>
      </c>
      <c r="C883" s="75"/>
      <c r="D883" s="333">
        <f>+SUM(D879:D882)</f>
        <v>4579.9799999999996</v>
      </c>
      <c r="E883" s="1381"/>
      <c r="F883" s="1381"/>
      <c r="G883" s="1381"/>
      <c r="I883" s="143"/>
      <c r="J883" s="143"/>
      <c r="K883" s="143"/>
      <c r="O883" s="220"/>
    </row>
    <row r="884" spans="1:15" s="159" customFormat="1" ht="14.25" customHeight="1" thickBot="1" x14ac:dyDescent="0.3">
      <c r="A884" s="376"/>
      <c r="B884" s="72" t="s">
        <v>161</v>
      </c>
      <c r="C884" s="73"/>
      <c r="D884" s="332" t="s">
        <v>162</v>
      </c>
      <c r="E884" s="1382" t="s">
        <v>163</v>
      </c>
      <c r="F884" s="1382"/>
      <c r="G884" s="1382"/>
      <c r="I884" s="143"/>
      <c r="J884" s="143"/>
      <c r="K884" s="143"/>
      <c r="O884" s="220"/>
    </row>
    <row r="885" spans="1:15" s="159" customFormat="1" ht="14.25" customHeight="1" thickBot="1" x14ac:dyDescent="0.3">
      <c r="A885" s="376"/>
      <c r="B885" s="122" t="s">
        <v>164</v>
      </c>
      <c r="C885" s="123"/>
      <c r="D885" s="334">
        <f>+SUM(D883:D884)</f>
        <v>4579.9799999999996</v>
      </c>
      <c r="E885" s="1382"/>
      <c r="F885" s="1382"/>
      <c r="G885" s="1382"/>
      <c r="I885" s="143"/>
      <c r="J885" s="143"/>
      <c r="K885" s="143"/>
      <c r="O885" s="220"/>
    </row>
    <row r="886" spans="1:15" s="159" customFormat="1" ht="14.25" customHeight="1" thickBot="1" x14ac:dyDescent="0.3">
      <c r="A886" s="376"/>
      <c r="B886" s="124" t="s">
        <v>165</v>
      </c>
      <c r="C886" s="125">
        <f>$I$5</f>
        <v>28.49</v>
      </c>
      <c r="D886" s="335">
        <f>ROUND((D885*C886),2)/100</f>
        <v>1304.8399999999999</v>
      </c>
      <c r="E886" s="1382"/>
      <c r="F886" s="1382"/>
      <c r="G886" s="1382"/>
      <c r="I886" s="143"/>
      <c r="J886" s="143"/>
      <c r="K886" s="143"/>
      <c r="O886" s="220"/>
    </row>
    <row r="887" spans="1:15" s="159" customFormat="1" ht="14.25" customHeight="1" thickBot="1" x14ac:dyDescent="0.3">
      <c r="A887" s="376"/>
      <c r="B887" s="80" t="s">
        <v>166</v>
      </c>
      <c r="C887" s="127"/>
      <c r="D887" s="336">
        <f>+SUM(D885:D886)</f>
        <v>5884.82</v>
      </c>
      <c r="E887" s="128"/>
      <c r="F887" s="337">
        <f>D887</f>
        <v>5884.82</v>
      </c>
      <c r="G887" s="131"/>
      <c r="I887" s="143"/>
      <c r="J887" s="143"/>
      <c r="K887" s="143"/>
      <c r="O887" s="220"/>
    </row>
    <row r="888" spans="1:15" s="220" customFormat="1" ht="14.25" customHeight="1" x14ac:dyDescent="0.25">
      <c r="A888" s="376"/>
      <c r="B888" s="363"/>
      <c r="C888" s="364"/>
      <c r="D888" s="365"/>
      <c r="E888" s="366"/>
      <c r="F888" s="367"/>
      <c r="G888" s="366"/>
      <c r="I888" s="143"/>
      <c r="J888" s="143"/>
      <c r="K888" s="143"/>
    </row>
    <row r="889" spans="1:15" s="220" customFormat="1" ht="14.25" customHeight="1" x14ac:dyDescent="0.25">
      <c r="A889" s="376"/>
      <c r="B889" s="363"/>
      <c r="C889" s="364"/>
      <c r="D889" s="365"/>
      <c r="E889" s="366"/>
      <c r="F889" s="367"/>
      <c r="G889" s="366"/>
      <c r="I889" s="143"/>
      <c r="J889" s="143"/>
      <c r="K889" s="143"/>
    </row>
    <row r="890" spans="1:15" s="159" customFormat="1" ht="14.25" customHeight="1" thickBot="1" x14ac:dyDescent="0.3">
      <c r="A890" s="376"/>
      <c r="B890" s="368"/>
      <c r="C890" s="368"/>
      <c r="D890" s="368"/>
      <c r="E890" s="368"/>
      <c r="F890" s="368"/>
      <c r="G890" s="368"/>
      <c r="I890" s="143"/>
      <c r="J890" s="143"/>
      <c r="K890" s="143"/>
      <c r="O890" s="220"/>
    </row>
    <row r="891" spans="1:15" s="159" customFormat="1" x14ac:dyDescent="0.25">
      <c r="A891" s="376"/>
      <c r="B891" s="1383" t="s">
        <v>131</v>
      </c>
      <c r="C891" s="1383"/>
      <c r="D891" s="1383"/>
      <c r="E891" s="1383"/>
      <c r="F891" s="1383"/>
      <c r="G891" s="1383"/>
      <c r="I891" s="143"/>
      <c r="J891" s="143"/>
      <c r="K891" s="143"/>
      <c r="O891" s="220"/>
    </row>
    <row r="892" spans="1:15" s="159" customFormat="1" ht="15.75" thickBot="1" x14ac:dyDescent="0.3">
      <c r="A892" s="376"/>
      <c r="B892" s="1384" t="str">
        <f>$I$3</f>
        <v>Urbanização da Orla de Piúma - Município de Piúma / ES</v>
      </c>
      <c r="C892" s="1385"/>
      <c r="D892" s="1385"/>
      <c r="E892" s="1385"/>
      <c r="F892" s="1385"/>
      <c r="G892" s="1386"/>
      <c r="I892" s="143"/>
      <c r="J892" s="143"/>
      <c r="K892" s="143"/>
      <c r="O892" s="220"/>
    </row>
    <row r="893" spans="1:15" s="159" customFormat="1" ht="15.75" thickBot="1" x14ac:dyDescent="0.3">
      <c r="A893" s="376"/>
      <c r="B893" s="90" t="s">
        <v>132</v>
      </c>
      <c r="C893" s="90" t="s">
        <v>133</v>
      </c>
      <c r="D893" s="1381" t="s">
        <v>134</v>
      </c>
      <c r="E893" s="1381"/>
      <c r="F893" s="131" t="s">
        <v>275</v>
      </c>
      <c r="G893" s="131" t="s">
        <v>135</v>
      </c>
      <c r="I893" s="31"/>
      <c r="J893" s="31"/>
      <c r="K893" s="143"/>
      <c r="O893" s="220"/>
    </row>
    <row r="894" spans="1:15" s="159" customFormat="1" ht="39.75" thickBot="1" x14ac:dyDescent="0.3">
      <c r="A894" s="376"/>
      <c r="B894" s="132" t="s">
        <v>339</v>
      </c>
      <c r="C894" s="92" t="s">
        <v>98</v>
      </c>
      <c r="D894" s="1381" t="s">
        <v>8</v>
      </c>
      <c r="E894" s="1381"/>
      <c r="F894" s="144" t="s">
        <v>218</v>
      </c>
      <c r="G894" s="38">
        <f>$K$5</f>
        <v>44501</v>
      </c>
      <c r="I894" s="143"/>
      <c r="J894" s="143"/>
      <c r="K894" s="143"/>
      <c r="O894" s="220"/>
    </row>
    <row r="895" spans="1:15" s="159" customFormat="1" ht="6" customHeight="1" thickBot="1" x14ac:dyDescent="0.3">
      <c r="A895" s="376"/>
      <c r="B895" s="1382"/>
      <c r="C895" s="1382"/>
      <c r="D895" s="1382"/>
      <c r="E895" s="1382"/>
      <c r="F895" s="1382"/>
      <c r="G895" s="1382"/>
      <c r="I895" s="143"/>
      <c r="J895" s="143"/>
      <c r="K895" s="143"/>
      <c r="O895" s="220"/>
    </row>
    <row r="896" spans="1:15" s="159" customFormat="1" ht="14.25" customHeight="1" x14ac:dyDescent="0.25">
      <c r="A896" s="376"/>
      <c r="B896" s="93" t="s">
        <v>139</v>
      </c>
      <c r="C896" s="94" t="s">
        <v>140</v>
      </c>
      <c r="D896" s="94" t="s">
        <v>141</v>
      </c>
      <c r="E896" s="94" t="s">
        <v>142</v>
      </c>
      <c r="F896" s="94" t="s">
        <v>143</v>
      </c>
      <c r="G896" s="95" t="s">
        <v>144</v>
      </c>
      <c r="I896" s="143"/>
      <c r="J896" s="143"/>
      <c r="K896" s="143"/>
      <c r="O896" s="220"/>
    </row>
    <row r="897" spans="1:15" s="159" customFormat="1" ht="14.25" customHeight="1" x14ac:dyDescent="0.25">
      <c r="A897" s="376">
        <v>10115</v>
      </c>
      <c r="B897" s="145" t="str">
        <f>VLOOKUP(A897,Insumos!$A$10:$F$3462,2,FALSE)</f>
        <v>ELETRICISTA (OFICIAL - SINDUSCON)</v>
      </c>
      <c r="C897" s="146" t="str">
        <f>VLOOKUP(A897,Insumos!$A$10:$F$3462,3,FALSE)</f>
        <v>H</v>
      </c>
      <c r="D897" s="147">
        <v>2</v>
      </c>
      <c r="E897" s="329">
        <f>VLOOKUP(A897,Insumos!$A$10:$F$3462,4,FALSE)</f>
        <v>7.43</v>
      </c>
      <c r="F897" s="329">
        <f>ROUND((D897*E897),2)</f>
        <v>14.86</v>
      </c>
      <c r="G897" s="355"/>
      <c r="I897" s="143"/>
      <c r="J897" s="143"/>
      <c r="K897" s="143"/>
      <c r="O897" s="220"/>
    </row>
    <row r="898" spans="1:15" s="159" customFormat="1" ht="14.25" customHeight="1" x14ac:dyDescent="0.25">
      <c r="A898" s="376">
        <v>10101</v>
      </c>
      <c r="B898" s="145" t="str">
        <f>VLOOKUP(A898,Insumos!$A$10:$F$3462,2,FALSE)</f>
        <v>AJUDANTE (AJUDANTE PRATICO - SINDUSCON)</v>
      </c>
      <c r="C898" s="146" t="str">
        <f>VLOOKUP(A898,Insumos!$A$10:$F$3462,3,FALSE)</f>
        <v>H</v>
      </c>
      <c r="D898" s="147">
        <v>2</v>
      </c>
      <c r="E898" s="329">
        <f>VLOOKUP(A898,Insumos!$A$10:$F$3462,4,FALSE)</f>
        <v>6.27</v>
      </c>
      <c r="F898" s="329">
        <f>ROUND((D898*E898),2)</f>
        <v>12.54</v>
      </c>
      <c r="G898" s="355"/>
      <c r="I898" s="143"/>
      <c r="J898" s="143"/>
      <c r="K898" s="143"/>
      <c r="O898" s="220"/>
    </row>
    <row r="899" spans="1:15" s="159" customFormat="1" ht="14.25" customHeight="1" x14ac:dyDescent="0.25">
      <c r="A899" s="376"/>
      <c r="B899" s="99"/>
      <c r="C899" s="146"/>
      <c r="D899" s="100"/>
      <c r="E899" s="329"/>
      <c r="F899" s="329"/>
      <c r="G899" s="355"/>
      <c r="I899" s="143"/>
      <c r="J899" s="143"/>
      <c r="K899" s="143"/>
      <c r="O899" s="220"/>
    </row>
    <row r="900" spans="1:15" s="159" customFormat="1" ht="14.25" customHeight="1" x14ac:dyDescent="0.25">
      <c r="A900" s="376"/>
      <c r="B900" s="101" t="s">
        <v>145</v>
      </c>
      <c r="C900" s="102"/>
      <c r="D900" s="103"/>
      <c r="E900" s="329"/>
      <c r="F900" s="353"/>
      <c r="G900" s="338">
        <f>+SUM(F897:F899)</f>
        <v>27.4</v>
      </c>
      <c r="I900" s="143"/>
      <c r="J900" s="143"/>
      <c r="K900" s="143"/>
      <c r="O900" s="220"/>
    </row>
    <row r="901" spans="1:15" s="159" customFormat="1" ht="14.25" customHeight="1" x14ac:dyDescent="0.25">
      <c r="A901" s="376"/>
      <c r="B901" s="99" t="s">
        <v>146</v>
      </c>
      <c r="C901" s="106"/>
      <c r="D901" s="107"/>
      <c r="E901" s="146"/>
      <c r="F901" s="108"/>
      <c r="G901" s="109"/>
      <c r="I901" s="143"/>
      <c r="J901" s="143"/>
      <c r="K901" s="143"/>
      <c r="O901" s="220"/>
    </row>
    <row r="902" spans="1:15" s="159" customFormat="1" ht="39" x14ac:dyDescent="0.25">
      <c r="A902" s="376" t="s">
        <v>470</v>
      </c>
      <c r="B902" s="230" t="str">
        <f>VLOOKUP(A902,Insumos!$A$10:$F$3462,2,FALSE)</f>
        <v>Luminária  Ornamental de Embutir no Piso,  Tipo NIX  LED GG-15 - potencia 5,7W , 337ml, drive incorporado  450mA, tensão 127/220V, grau de proteção IP67 , conjunto óptico e alojamento para drive , marca Tecnowatt ou similar</v>
      </c>
      <c r="C902" s="231" t="str">
        <f>VLOOKUP(A902,Insumos!$A$10:$F$3462,3,FALSE)</f>
        <v>Und</v>
      </c>
      <c r="D902" s="147">
        <v>1</v>
      </c>
      <c r="E902" s="329">
        <f>VLOOKUP(A902,Insumos!$A$10:$F$3462,4,FALSE)</f>
        <v>1302.99</v>
      </c>
      <c r="F902" s="329">
        <f>ROUND((D902*E902),2)</f>
        <v>1302.99</v>
      </c>
      <c r="G902" s="355"/>
      <c r="I902" s="143"/>
      <c r="J902" s="143"/>
      <c r="K902" s="143"/>
      <c r="O902" s="220"/>
    </row>
    <row r="903" spans="1:15" s="159" customFormat="1" ht="14.25" customHeight="1" x14ac:dyDescent="0.25">
      <c r="A903" s="376"/>
      <c r="B903" s="99"/>
      <c r="C903" s="146"/>
      <c r="D903" s="111"/>
      <c r="E903" s="329"/>
      <c r="F903" s="329"/>
      <c r="G903" s="355"/>
      <c r="I903" s="143"/>
      <c r="J903" s="143"/>
      <c r="K903" s="143"/>
      <c r="O903" s="220"/>
    </row>
    <row r="904" spans="1:15" s="159" customFormat="1" ht="14.25" customHeight="1" x14ac:dyDescent="0.25">
      <c r="A904" s="376"/>
      <c r="B904" s="101" t="s">
        <v>148</v>
      </c>
      <c r="C904" s="102"/>
      <c r="D904" s="112"/>
      <c r="E904" s="353"/>
      <c r="F904" s="353"/>
      <c r="G904" s="338">
        <f>+SUM(F902:F903)</f>
        <v>1302.99</v>
      </c>
      <c r="I904" s="143"/>
      <c r="J904" s="143"/>
      <c r="K904" s="143"/>
      <c r="O904" s="220"/>
    </row>
    <row r="905" spans="1:15" s="159" customFormat="1" ht="14.25" customHeight="1" x14ac:dyDescent="0.25">
      <c r="A905" s="376"/>
      <c r="B905" s="99" t="s">
        <v>149</v>
      </c>
      <c r="C905" s="106"/>
      <c r="D905" s="114"/>
      <c r="E905" s="106"/>
      <c r="F905" s="106"/>
      <c r="G905" s="109"/>
      <c r="I905" s="143"/>
      <c r="J905" s="143"/>
      <c r="K905" s="143"/>
      <c r="O905" s="220"/>
    </row>
    <row r="906" spans="1:15" s="159" customFormat="1" ht="14.25" customHeight="1" x14ac:dyDescent="0.25">
      <c r="A906" s="376"/>
      <c r="B906" s="99" t="s">
        <v>98</v>
      </c>
      <c r="C906" s="146"/>
      <c r="D906" s="110"/>
      <c r="E906" s="146"/>
      <c r="F906" s="146"/>
      <c r="G906" s="148"/>
      <c r="I906" s="143"/>
      <c r="J906" s="143"/>
      <c r="K906" s="143"/>
      <c r="O906" s="220"/>
    </row>
    <row r="907" spans="1:15" s="159" customFormat="1" ht="14.25" customHeight="1" x14ac:dyDescent="0.25">
      <c r="A907" s="376"/>
      <c r="B907" s="99" t="s">
        <v>98</v>
      </c>
      <c r="C907" s="146"/>
      <c r="D907" s="110"/>
      <c r="E907" s="146"/>
      <c r="F907" s="146"/>
      <c r="G907" s="148"/>
      <c r="I907" s="143"/>
      <c r="J907" s="143"/>
      <c r="K907" s="143"/>
      <c r="O907" s="220"/>
    </row>
    <row r="908" spans="1:15" s="159" customFormat="1" ht="14.25" customHeight="1" thickBot="1" x14ac:dyDescent="0.3">
      <c r="A908" s="376"/>
      <c r="B908" s="115" t="s">
        <v>151</v>
      </c>
      <c r="C908" s="116"/>
      <c r="D908" s="117"/>
      <c r="E908" s="116"/>
      <c r="F908" s="116"/>
      <c r="G908" s="118">
        <f>+SUM(F906:F907)</f>
        <v>0</v>
      </c>
      <c r="I908" s="143"/>
      <c r="J908" s="143"/>
      <c r="K908" s="143"/>
      <c r="O908" s="220"/>
    </row>
    <row r="909" spans="1:15" s="159" customFormat="1" ht="4.5" customHeight="1" thickBot="1" x14ac:dyDescent="0.3">
      <c r="A909" s="376"/>
      <c r="B909" s="1382"/>
      <c r="C909" s="1382"/>
      <c r="D909" s="1382"/>
      <c r="E909" s="1382"/>
      <c r="F909" s="1382"/>
      <c r="G909" s="1382"/>
      <c r="I909" s="143"/>
      <c r="J909" s="143"/>
      <c r="K909" s="143"/>
      <c r="O909" s="220"/>
    </row>
    <row r="910" spans="1:15" s="159" customFormat="1" ht="14.25" customHeight="1" thickBot="1" x14ac:dyDescent="0.3">
      <c r="A910" s="376"/>
      <c r="B910" s="69" t="s">
        <v>152</v>
      </c>
      <c r="C910" s="70" t="s">
        <v>4415</v>
      </c>
      <c r="D910" s="71" t="s">
        <v>154</v>
      </c>
      <c r="E910" s="1381" t="s">
        <v>155</v>
      </c>
      <c r="F910" s="1381"/>
      <c r="G910" s="1381"/>
      <c r="I910" s="143"/>
      <c r="J910" s="143"/>
      <c r="K910" s="143"/>
      <c r="O910" s="220"/>
    </row>
    <row r="911" spans="1:15" s="159" customFormat="1" ht="14.25" customHeight="1" thickBot="1" x14ac:dyDescent="0.3">
      <c r="A911" s="376"/>
      <c r="B911" s="72" t="s">
        <v>156</v>
      </c>
      <c r="C911" s="73"/>
      <c r="D911" s="332">
        <f>G900</f>
        <v>27.4</v>
      </c>
      <c r="E911" s="1381"/>
      <c r="F911" s="1381"/>
      <c r="G911" s="1381"/>
      <c r="I911" s="143"/>
      <c r="J911" s="143"/>
      <c r="K911" s="143"/>
      <c r="O911" s="220"/>
    </row>
    <row r="912" spans="1:15" s="159" customFormat="1" ht="14.25" customHeight="1" thickBot="1" x14ac:dyDescent="0.3">
      <c r="A912" s="376"/>
      <c r="B912" s="72" t="s">
        <v>157</v>
      </c>
      <c r="C912" s="73"/>
      <c r="D912" s="332">
        <f>G904</f>
        <v>1302.99</v>
      </c>
      <c r="E912" s="1381"/>
      <c r="F912" s="1381"/>
      <c r="G912" s="1381"/>
      <c r="I912" s="143"/>
      <c r="J912" s="143"/>
      <c r="K912" s="143"/>
      <c r="O912" s="220"/>
    </row>
    <row r="913" spans="1:15" s="159" customFormat="1" ht="14.25" customHeight="1" thickBot="1" x14ac:dyDescent="0.3">
      <c r="A913" s="376"/>
      <c r="B913" s="72" t="s">
        <v>158</v>
      </c>
      <c r="C913" s="73"/>
      <c r="D913" s="332">
        <f>G908</f>
        <v>0</v>
      </c>
      <c r="E913" s="1381"/>
      <c r="F913" s="1381"/>
      <c r="G913" s="1381"/>
      <c r="I913" s="143"/>
      <c r="J913" s="143"/>
      <c r="K913" s="143"/>
      <c r="O913" s="220"/>
    </row>
    <row r="914" spans="1:15" s="159" customFormat="1" ht="14.25" customHeight="1" thickBot="1" x14ac:dyDescent="0.3">
      <c r="A914" s="376"/>
      <c r="B914" s="72" t="s">
        <v>159</v>
      </c>
      <c r="C914" s="74">
        <f>$J$5</f>
        <v>157.27000000000001</v>
      </c>
      <c r="D914" s="332">
        <f>+ROUND((D911*C914),2)/100</f>
        <v>43.09</v>
      </c>
      <c r="E914" s="1381"/>
      <c r="F914" s="1381"/>
      <c r="G914" s="1381"/>
      <c r="I914" s="143"/>
      <c r="J914" s="143"/>
      <c r="K914" s="143"/>
      <c r="O914" s="220"/>
    </row>
    <row r="915" spans="1:15" s="159" customFormat="1" ht="14.25" customHeight="1" thickBot="1" x14ac:dyDescent="0.3">
      <c r="A915" s="376"/>
      <c r="B915" s="72" t="s">
        <v>160</v>
      </c>
      <c r="C915" s="75"/>
      <c r="D915" s="333">
        <f>+SUM(D911:D914)</f>
        <v>1373.48</v>
      </c>
      <c r="E915" s="1381"/>
      <c r="F915" s="1381"/>
      <c r="G915" s="1381"/>
      <c r="I915" s="143"/>
      <c r="J915" s="143"/>
      <c r="K915" s="143"/>
      <c r="O915" s="220"/>
    </row>
    <row r="916" spans="1:15" s="159" customFormat="1" ht="14.25" customHeight="1" thickBot="1" x14ac:dyDescent="0.3">
      <c r="A916" s="376"/>
      <c r="B916" s="72" t="s">
        <v>161</v>
      </c>
      <c r="C916" s="73"/>
      <c r="D916" s="332" t="s">
        <v>162</v>
      </c>
      <c r="E916" s="1382" t="s">
        <v>163</v>
      </c>
      <c r="F916" s="1382"/>
      <c r="G916" s="1382"/>
      <c r="I916" s="143"/>
      <c r="J916" s="143"/>
      <c r="K916" s="143"/>
      <c r="O916" s="220"/>
    </row>
    <row r="917" spans="1:15" s="159" customFormat="1" ht="14.25" customHeight="1" thickBot="1" x14ac:dyDescent="0.3">
      <c r="A917" s="376"/>
      <c r="B917" s="122" t="s">
        <v>164</v>
      </c>
      <c r="C917" s="123"/>
      <c r="D917" s="334">
        <f>+SUM(D915:D916)</f>
        <v>1373.48</v>
      </c>
      <c r="E917" s="1382"/>
      <c r="F917" s="1382"/>
      <c r="G917" s="1382"/>
      <c r="I917" s="143"/>
      <c r="J917" s="143"/>
      <c r="K917" s="143"/>
      <c r="O917" s="220"/>
    </row>
    <row r="918" spans="1:15" s="159" customFormat="1" ht="14.25" customHeight="1" thickBot="1" x14ac:dyDescent="0.3">
      <c r="A918" s="376"/>
      <c r="B918" s="124" t="s">
        <v>165</v>
      </c>
      <c r="C918" s="125">
        <f>$I$5</f>
        <v>28.49</v>
      </c>
      <c r="D918" s="335">
        <f>ROUND((D917*C918),2)/100</f>
        <v>391.3</v>
      </c>
      <c r="E918" s="1382"/>
      <c r="F918" s="1382"/>
      <c r="G918" s="1382"/>
      <c r="I918" s="143"/>
      <c r="J918" s="143"/>
      <c r="K918" s="143"/>
      <c r="O918" s="220"/>
    </row>
    <row r="919" spans="1:15" s="159" customFormat="1" ht="14.25" customHeight="1" thickBot="1" x14ac:dyDescent="0.3">
      <c r="A919" s="376"/>
      <c r="B919" s="80" t="s">
        <v>166</v>
      </c>
      <c r="C919" s="127"/>
      <c r="D919" s="336">
        <f>+SUM(D917:D918)</f>
        <v>1764.78</v>
      </c>
      <c r="E919" s="128"/>
      <c r="F919" s="337">
        <f>D919</f>
        <v>1764.78</v>
      </c>
      <c r="G919" s="131"/>
      <c r="I919" s="143"/>
      <c r="J919" s="143"/>
      <c r="K919" s="143"/>
      <c r="O919" s="220"/>
    </row>
    <row r="920" spans="1:15" s="159" customFormat="1" ht="14.25" customHeight="1" x14ac:dyDescent="0.25">
      <c r="A920" s="376"/>
      <c r="B920" s="28"/>
      <c r="C920" s="28"/>
      <c r="D920" s="28"/>
      <c r="E920" s="28"/>
      <c r="F920" s="28"/>
      <c r="G920" s="28"/>
      <c r="I920" s="143"/>
      <c r="J920" s="143"/>
      <c r="K920" s="143"/>
      <c r="O920" s="220"/>
    </row>
    <row r="921" spans="1:15" s="159" customFormat="1" ht="14.25" customHeight="1" thickBot="1" x14ac:dyDescent="0.3">
      <c r="A921" s="376"/>
      <c r="B921" s="28"/>
      <c r="C921" s="28"/>
      <c r="D921" s="28"/>
      <c r="E921" s="28"/>
      <c r="F921" s="28"/>
      <c r="G921" s="28"/>
      <c r="I921" s="143"/>
      <c r="J921" s="143"/>
      <c r="K921" s="143"/>
      <c r="O921" s="220"/>
    </row>
    <row r="922" spans="1:15" s="159" customFormat="1" ht="14.25" customHeight="1" x14ac:dyDescent="0.25">
      <c r="A922" s="376"/>
      <c r="B922" s="1383" t="s">
        <v>131</v>
      </c>
      <c r="C922" s="1383"/>
      <c r="D922" s="1383"/>
      <c r="E922" s="1383"/>
      <c r="F922" s="1383"/>
      <c r="G922" s="1383"/>
      <c r="I922" s="143"/>
      <c r="J922" s="143"/>
      <c r="K922" s="143"/>
      <c r="O922" s="220"/>
    </row>
    <row r="923" spans="1:15" s="159" customFormat="1" ht="14.25" customHeight="1" thickBot="1" x14ac:dyDescent="0.3">
      <c r="A923" s="376"/>
      <c r="B923" s="1384" t="str">
        <f>$I$3</f>
        <v>Urbanização da Orla de Piúma - Município de Piúma / ES</v>
      </c>
      <c r="C923" s="1385"/>
      <c r="D923" s="1385"/>
      <c r="E923" s="1385"/>
      <c r="F923" s="1385"/>
      <c r="G923" s="1386"/>
      <c r="I923" s="143"/>
      <c r="J923" s="143"/>
      <c r="K923" s="143"/>
      <c r="O923" s="220"/>
    </row>
    <row r="924" spans="1:15" s="159" customFormat="1" ht="14.25" customHeight="1" thickBot="1" x14ac:dyDescent="0.3">
      <c r="A924" s="376"/>
      <c r="B924" s="90" t="s">
        <v>132</v>
      </c>
      <c r="C924" s="90" t="s">
        <v>133</v>
      </c>
      <c r="D924" s="1381" t="s">
        <v>134</v>
      </c>
      <c r="E924" s="1381"/>
      <c r="F924" s="131" t="s">
        <v>275</v>
      </c>
      <c r="G924" s="131" t="s">
        <v>135</v>
      </c>
      <c r="I924" s="143"/>
      <c r="J924" s="143"/>
      <c r="K924" s="143"/>
      <c r="O924" s="220"/>
    </row>
    <row r="925" spans="1:15" s="159" customFormat="1" ht="14.25" customHeight="1" thickBot="1" x14ac:dyDescent="0.3">
      <c r="A925" s="376"/>
      <c r="B925" s="132" t="s">
        <v>354</v>
      </c>
      <c r="C925" s="92" t="s">
        <v>98</v>
      </c>
      <c r="D925" s="1381" t="s">
        <v>7</v>
      </c>
      <c r="E925" s="1381"/>
      <c r="F925" s="144" t="s">
        <v>219</v>
      </c>
      <c r="G925" s="38">
        <f>$K$5</f>
        <v>44501</v>
      </c>
      <c r="I925" s="143"/>
      <c r="J925" s="143"/>
      <c r="K925" s="143"/>
      <c r="O925" s="220"/>
    </row>
    <row r="926" spans="1:15" s="159" customFormat="1" ht="14.25" customHeight="1" thickBot="1" x14ac:dyDescent="0.3">
      <c r="A926" s="376"/>
      <c r="B926" s="1382"/>
      <c r="C926" s="1382"/>
      <c r="D926" s="1382"/>
      <c r="E926" s="1382"/>
      <c r="F926" s="1382"/>
      <c r="G926" s="1382"/>
      <c r="I926" s="143"/>
      <c r="J926" s="143"/>
      <c r="K926" s="143"/>
      <c r="O926" s="220"/>
    </row>
    <row r="927" spans="1:15" s="159" customFormat="1" ht="14.25" customHeight="1" x14ac:dyDescent="0.25">
      <c r="A927" s="376"/>
      <c r="B927" s="93" t="s">
        <v>139</v>
      </c>
      <c r="C927" s="94" t="s">
        <v>140</v>
      </c>
      <c r="D927" s="94" t="s">
        <v>141</v>
      </c>
      <c r="E927" s="94" t="s">
        <v>142</v>
      </c>
      <c r="F927" s="94" t="s">
        <v>143</v>
      </c>
      <c r="G927" s="95" t="s">
        <v>144</v>
      </c>
      <c r="I927" s="143"/>
      <c r="J927" s="143"/>
      <c r="K927" s="143"/>
      <c r="O927" s="220"/>
    </row>
    <row r="928" spans="1:15" s="159" customFormat="1" ht="14.25" customHeight="1" x14ac:dyDescent="0.25">
      <c r="A928" s="376">
        <v>10115</v>
      </c>
      <c r="B928" s="230" t="str">
        <f>VLOOKUP(A928,Insumos!$A$10:$F$3462,2,FALSE)</f>
        <v>ELETRICISTA (OFICIAL - SINDUSCON)</v>
      </c>
      <c r="C928" s="231" t="str">
        <f>VLOOKUP(A928,Insumos!$A$10:$F$3462,3,FALSE)</f>
        <v>H</v>
      </c>
      <c r="D928" s="218">
        <v>1.6</v>
      </c>
      <c r="E928" s="329">
        <f>VLOOKUP(A928,Insumos!$A$10:$F$3462,4,FALSE)</f>
        <v>7.43</v>
      </c>
      <c r="F928" s="329">
        <f>ROUND((D928*E928),2)</f>
        <v>11.89</v>
      </c>
      <c r="G928" s="355"/>
      <c r="I928" s="143"/>
      <c r="J928" s="143"/>
      <c r="K928" s="143"/>
      <c r="O928" s="220"/>
    </row>
    <row r="929" spans="1:15" s="159" customFormat="1" ht="14.25" customHeight="1" x14ac:dyDescent="0.25">
      <c r="A929" s="376">
        <v>10101</v>
      </c>
      <c r="B929" s="230" t="str">
        <f>VLOOKUP(A929,Insumos!$A$10:$F$3462,2,FALSE)</f>
        <v>AJUDANTE (AJUDANTE PRATICO - SINDUSCON)</v>
      </c>
      <c r="C929" s="231" t="str">
        <f>VLOOKUP(A929,Insumos!$A$10:$F$3462,3,FALSE)</f>
        <v>H</v>
      </c>
      <c r="D929" s="218">
        <v>1.6</v>
      </c>
      <c r="E929" s="329">
        <f>VLOOKUP(A929,Insumos!$A$10:$F$3462,4,FALSE)</f>
        <v>6.27</v>
      </c>
      <c r="F929" s="329">
        <f>ROUND((D929*E929),2)</f>
        <v>10.029999999999999</v>
      </c>
      <c r="G929" s="355"/>
      <c r="I929" s="143"/>
      <c r="J929" s="143"/>
      <c r="K929" s="143"/>
      <c r="O929" s="220"/>
    </row>
    <row r="930" spans="1:15" s="159" customFormat="1" ht="14.25" customHeight="1" x14ac:dyDescent="0.25">
      <c r="A930" s="376"/>
      <c r="B930" s="234"/>
      <c r="C930" s="231"/>
      <c r="D930" s="218"/>
      <c r="E930" s="329"/>
      <c r="F930" s="329"/>
      <c r="G930" s="355"/>
      <c r="I930" s="143"/>
      <c r="J930" s="143"/>
      <c r="K930" s="143"/>
      <c r="O930" s="220"/>
    </row>
    <row r="931" spans="1:15" s="159" customFormat="1" ht="14.25" customHeight="1" x14ac:dyDescent="0.25">
      <c r="A931" s="376"/>
      <c r="B931" s="236" t="s">
        <v>145</v>
      </c>
      <c r="C931" s="237"/>
      <c r="D931" s="242"/>
      <c r="E931" s="329"/>
      <c r="F931" s="353"/>
      <c r="G931" s="338">
        <f>+SUM(F928:F930)</f>
        <v>21.92</v>
      </c>
      <c r="I931" s="143"/>
      <c r="J931" s="143"/>
      <c r="K931" s="143"/>
      <c r="O931" s="220"/>
    </row>
    <row r="932" spans="1:15" s="159" customFormat="1" ht="14.25" customHeight="1" x14ac:dyDescent="0.25">
      <c r="A932" s="376" t="s">
        <v>98</v>
      </c>
      <c r="B932" s="234" t="s">
        <v>146</v>
      </c>
      <c r="C932" s="241"/>
      <c r="D932" s="218" t="s">
        <v>98</v>
      </c>
      <c r="E932" s="231"/>
      <c r="F932" s="243"/>
      <c r="G932" s="244" t="s">
        <v>147</v>
      </c>
      <c r="I932" s="143"/>
      <c r="J932" s="143"/>
      <c r="K932" s="143"/>
      <c r="O932" s="220"/>
    </row>
    <row r="933" spans="1:15" s="159" customFormat="1" x14ac:dyDescent="0.25">
      <c r="A933" s="379">
        <v>3975</v>
      </c>
      <c r="B933" s="230" t="str">
        <f>VLOOKUP(A933,Insumos!$A$10:$F$3462,2,FALSE)</f>
        <v>Eletroduto em ferro galvanizado pesado sem costura 2" x 3m</v>
      </c>
      <c r="C933" s="231" t="str">
        <f>VLOOKUP(A933,Insumos!$A$10:$F$3462,3,FALSE)</f>
        <v>Und.</v>
      </c>
      <c r="D933" s="218">
        <f>1.02/3</f>
        <v>0.34</v>
      </c>
      <c r="E933" s="329">
        <f>VLOOKUP(A933,Insumos!$A$10:$F$3462,4,FALSE)</f>
        <v>339.85</v>
      </c>
      <c r="F933" s="329">
        <f>ROUND((D933*E933),2)</f>
        <v>115.55</v>
      </c>
      <c r="G933" s="355"/>
      <c r="I933" s="143"/>
      <c r="J933" s="143"/>
      <c r="K933" s="143"/>
      <c r="O933" s="220"/>
    </row>
    <row r="934" spans="1:15" s="159" customFormat="1" ht="14.25" customHeight="1" x14ac:dyDescent="0.25">
      <c r="A934" s="379">
        <v>3912</v>
      </c>
      <c r="B934" s="230" t="str">
        <f>VLOOKUP(A934,Insumos!$A$10:$F$3462,2,FALSE)</f>
        <v>LUVA DE FERRO GALVANIZADO, COM ROSCA BSP, DE 2"</v>
      </c>
      <c r="C934" s="231" t="str">
        <f>VLOOKUP(A934,Insumos!$A$10:$F$3462,3,FALSE)</f>
        <v>Und.</v>
      </c>
      <c r="D934" s="218">
        <f>139/806.5</f>
        <v>0.17235</v>
      </c>
      <c r="E934" s="329">
        <f>VLOOKUP(A934,Insumos!$A$10:$F$3462,4,FALSE)</f>
        <v>27.73</v>
      </c>
      <c r="F934" s="329">
        <f>ROUND((D934*E934),2)</f>
        <v>4.78</v>
      </c>
      <c r="G934" s="355"/>
      <c r="I934" s="143"/>
      <c r="J934" s="143"/>
      <c r="K934" s="143"/>
      <c r="O934" s="220"/>
    </row>
    <row r="935" spans="1:15" s="159" customFormat="1" ht="14.25" customHeight="1" x14ac:dyDescent="0.25">
      <c r="A935" s="376"/>
      <c r="B935" s="101" t="s">
        <v>148</v>
      </c>
      <c r="C935" s="102"/>
      <c r="D935" s="112"/>
      <c r="E935" s="353"/>
      <c r="F935" s="353"/>
      <c r="G935" s="338">
        <f>+SUM(F933:F934)</f>
        <v>120.33</v>
      </c>
      <c r="I935" s="143"/>
      <c r="J935" s="143"/>
      <c r="K935" s="143"/>
      <c r="O935" s="220"/>
    </row>
    <row r="936" spans="1:15" s="159" customFormat="1" ht="14.25" customHeight="1" x14ac:dyDescent="0.25">
      <c r="A936" s="376"/>
      <c r="B936" s="99" t="s">
        <v>149</v>
      </c>
      <c r="C936" s="106"/>
      <c r="D936" s="114"/>
      <c r="E936" s="106"/>
      <c r="F936" s="106"/>
      <c r="G936" s="109" t="s">
        <v>150</v>
      </c>
      <c r="I936" s="143"/>
      <c r="J936" s="143"/>
      <c r="K936" s="143"/>
      <c r="O936" s="220"/>
    </row>
    <row r="937" spans="1:15" s="159" customFormat="1" ht="14.25" customHeight="1" x14ac:dyDescent="0.25">
      <c r="A937" s="376"/>
      <c r="B937" s="99" t="s">
        <v>98</v>
      </c>
      <c r="C937" s="146"/>
      <c r="D937" s="110"/>
      <c r="E937" s="146"/>
      <c r="F937" s="146"/>
      <c r="G937" s="148"/>
      <c r="I937" s="143"/>
      <c r="J937" s="143"/>
      <c r="K937" s="143"/>
      <c r="O937" s="220"/>
    </row>
    <row r="938" spans="1:15" s="159" customFormat="1" ht="14.25" customHeight="1" x14ac:dyDescent="0.25">
      <c r="A938" s="376"/>
      <c r="B938" s="99" t="s">
        <v>98</v>
      </c>
      <c r="C938" s="146"/>
      <c r="D938" s="110"/>
      <c r="E938" s="146"/>
      <c r="F938" s="146"/>
      <c r="G938" s="148"/>
      <c r="I938" s="143"/>
      <c r="J938" s="143"/>
      <c r="K938" s="143"/>
      <c r="O938" s="220"/>
    </row>
    <row r="939" spans="1:15" s="159" customFormat="1" ht="14.25" customHeight="1" thickBot="1" x14ac:dyDescent="0.3">
      <c r="A939" s="376"/>
      <c r="B939" s="115" t="s">
        <v>151</v>
      </c>
      <c r="C939" s="116"/>
      <c r="D939" s="117"/>
      <c r="E939" s="116"/>
      <c r="F939" s="116"/>
      <c r="G939" s="118">
        <f>+SUM(F937:F938)</f>
        <v>0</v>
      </c>
      <c r="I939" s="143"/>
      <c r="J939" s="143"/>
      <c r="K939" s="143"/>
      <c r="O939" s="220"/>
    </row>
    <row r="940" spans="1:15" s="159" customFormat="1" ht="14.25" customHeight="1" thickBot="1" x14ac:dyDescent="0.3">
      <c r="A940" s="376"/>
      <c r="B940" s="1382"/>
      <c r="C940" s="1382"/>
      <c r="D940" s="1382"/>
      <c r="E940" s="1382"/>
      <c r="F940" s="1382"/>
      <c r="G940" s="1382"/>
      <c r="I940" s="143"/>
      <c r="J940" s="143"/>
      <c r="K940" s="143"/>
      <c r="O940" s="220"/>
    </row>
    <row r="941" spans="1:15" s="159" customFormat="1" ht="14.25" customHeight="1" thickBot="1" x14ac:dyDescent="0.3">
      <c r="A941" s="376"/>
      <c r="B941" s="69" t="s">
        <v>152</v>
      </c>
      <c r="C941" s="70" t="s">
        <v>4415</v>
      </c>
      <c r="D941" s="71" t="s">
        <v>154</v>
      </c>
      <c r="E941" s="1381" t="s">
        <v>155</v>
      </c>
      <c r="F941" s="1381"/>
      <c r="G941" s="1381"/>
      <c r="I941" s="143"/>
      <c r="J941" s="143"/>
      <c r="K941" s="143"/>
      <c r="O941" s="220"/>
    </row>
    <row r="942" spans="1:15" s="159" customFormat="1" ht="14.25" customHeight="1" thickBot="1" x14ac:dyDescent="0.3">
      <c r="A942" s="376"/>
      <c r="B942" s="72" t="s">
        <v>156</v>
      </c>
      <c r="C942" s="73"/>
      <c r="D942" s="332">
        <f>G931</f>
        <v>21.92</v>
      </c>
      <c r="E942" s="1381"/>
      <c r="F942" s="1381"/>
      <c r="G942" s="1381"/>
      <c r="I942" s="143"/>
      <c r="J942" s="143"/>
      <c r="K942" s="143"/>
      <c r="O942" s="220"/>
    </row>
    <row r="943" spans="1:15" s="159" customFormat="1" ht="14.25" customHeight="1" thickBot="1" x14ac:dyDescent="0.3">
      <c r="A943" s="376"/>
      <c r="B943" s="72" t="s">
        <v>157</v>
      </c>
      <c r="C943" s="73"/>
      <c r="D943" s="332">
        <f>G935</f>
        <v>120.33</v>
      </c>
      <c r="E943" s="1381"/>
      <c r="F943" s="1381"/>
      <c r="G943" s="1381"/>
      <c r="I943" s="143"/>
      <c r="J943" s="143"/>
      <c r="K943" s="143"/>
      <c r="O943" s="220"/>
    </row>
    <row r="944" spans="1:15" s="159" customFormat="1" ht="14.25" customHeight="1" thickBot="1" x14ac:dyDescent="0.3">
      <c r="A944" s="376"/>
      <c r="B944" s="72" t="s">
        <v>158</v>
      </c>
      <c r="C944" s="73"/>
      <c r="D944" s="332">
        <f>G939</f>
        <v>0</v>
      </c>
      <c r="E944" s="1381"/>
      <c r="F944" s="1381"/>
      <c r="G944" s="1381"/>
      <c r="I944" s="143"/>
      <c r="J944" s="143"/>
      <c r="K944" s="143"/>
      <c r="O944" s="220"/>
    </row>
    <row r="945" spans="1:15" s="159" customFormat="1" ht="14.25" customHeight="1" thickBot="1" x14ac:dyDescent="0.3">
      <c r="A945" s="376"/>
      <c r="B945" s="72" t="s">
        <v>159</v>
      </c>
      <c r="C945" s="74">
        <f>$J$5</f>
        <v>157.27000000000001</v>
      </c>
      <c r="D945" s="332">
        <f>+ROUND((D942*C945),2)/100</f>
        <v>34.47</v>
      </c>
      <c r="E945" s="1381"/>
      <c r="F945" s="1381"/>
      <c r="G945" s="1381"/>
      <c r="I945" s="143"/>
      <c r="J945" s="143"/>
      <c r="K945" s="143"/>
      <c r="O945" s="220"/>
    </row>
    <row r="946" spans="1:15" s="159" customFormat="1" ht="14.25" customHeight="1" thickBot="1" x14ac:dyDescent="0.3">
      <c r="A946" s="376"/>
      <c r="B946" s="72" t="s">
        <v>160</v>
      </c>
      <c r="C946" s="75"/>
      <c r="D946" s="333">
        <f>+SUM(D942:D945)</f>
        <v>176.72</v>
      </c>
      <c r="E946" s="1381"/>
      <c r="F946" s="1381"/>
      <c r="G946" s="1381"/>
      <c r="I946" s="143"/>
      <c r="J946" s="143"/>
      <c r="K946" s="143"/>
      <c r="O946" s="220"/>
    </row>
    <row r="947" spans="1:15" s="159" customFormat="1" ht="14.25" customHeight="1" thickBot="1" x14ac:dyDescent="0.3">
      <c r="A947" s="376"/>
      <c r="B947" s="72" t="s">
        <v>161</v>
      </c>
      <c r="C947" s="73"/>
      <c r="D947" s="332" t="s">
        <v>162</v>
      </c>
      <c r="E947" s="1382" t="s">
        <v>163</v>
      </c>
      <c r="F947" s="1382"/>
      <c r="G947" s="1382"/>
      <c r="I947" s="143"/>
      <c r="J947" s="143"/>
      <c r="K947" s="143"/>
      <c r="O947" s="220"/>
    </row>
    <row r="948" spans="1:15" s="159" customFormat="1" ht="14.25" customHeight="1" thickBot="1" x14ac:dyDescent="0.3">
      <c r="A948" s="376"/>
      <c r="B948" s="122" t="s">
        <v>164</v>
      </c>
      <c r="C948" s="123"/>
      <c r="D948" s="334">
        <f>+SUM(D946:D947)</f>
        <v>176.72</v>
      </c>
      <c r="E948" s="1382"/>
      <c r="F948" s="1382"/>
      <c r="G948" s="1382"/>
      <c r="I948" s="143"/>
      <c r="J948" s="143"/>
      <c r="K948" s="143"/>
      <c r="O948" s="220"/>
    </row>
    <row r="949" spans="1:15" s="159" customFormat="1" ht="14.25" customHeight="1" thickBot="1" x14ac:dyDescent="0.3">
      <c r="A949" s="376"/>
      <c r="B949" s="124" t="s">
        <v>165</v>
      </c>
      <c r="C949" s="125">
        <f>$I$5</f>
        <v>28.49</v>
      </c>
      <c r="D949" s="335">
        <f>ROUND((D948*C949),2)/100</f>
        <v>50.35</v>
      </c>
      <c r="E949" s="1382"/>
      <c r="F949" s="1382"/>
      <c r="G949" s="1382"/>
      <c r="I949" s="143"/>
      <c r="J949" s="143"/>
      <c r="K949" s="143"/>
      <c r="O949" s="220"/>
    </row>
    <row r="950" spans="1:15" s="159" customFormat="1" ht="14.25" customHeight="1" thickBot="1" x14ac:dyDescent="0.3">
      <c r="A950" s="376"/>
      <c r="B950" s="80" t="s">
        <v>166</v>
      </c>
      <c r="C950" s="127"/>
      <c r="D950" s="336">
        <f>+SUM(D948:D949)</f>
        <v>227.07</v>
      </c>
      <c r="E950" s="128"/>
      <c r="F950" s="337">
        <f>D950</f>
        <v>227.07</v>
      </c>
      <c r="G950" s="131"/>
      <c r="I950" s="143"/>
      <c r="J950" s="143"/>
      <c r="K950" s="143"/>
      <c r="O950" s="220"/>
    </row>
    <row r="951" spans="1:15" s="159" customFormat="1" ht="14.25" customHeight="1" x14ac:dyDescent="0.25">
      <c r="A951" s="376"/>
      <c r="B951" s="28"/>
      <c r="C951" s="28"/>
      <c r="D951" s="28"/>
      <c r="E951" s="28"/>
      <c r="F951" s="28"/>
      <c r="G951" s="28"/>
      <c r="I951" s="143"/>
      <c r="J951" s="143"/>
      <c r="K951" s="143"/>
      <c r="O951" s="220"/>
    </row>
    <row r="952" spans="1:15" s="159" customFormat="1" ht="14.25" customHeight="1" thickBot="1" x14ac:dyDescent="0.3">
      <c r="A952" s="376"/>
      <c r="B952" s="28"/>
      <c r="C952" s="28"/>
      <c r="D952" s="28"/>
      <c r="E952" s="28"/>
      <c r="F952" s="28"/>
      <c r="G952" s="28"/>
      <c r="I952" s="143"/>
      <c r="J952" s="143"/>
      <c r="K952" s="143"/>
      <c r="O952" s="220"/>
    </row>
    <row r="953" spans="1:15" s="159" customFormat="1" ht="14.25" customHeight="1" x14ac:dyDescent="0.25">
      <c r="A953" s="376"/>
      <c r="B953" s="1383" t="s">
        <v>131</v>
      </c>
      <c r="C953" s="1383"/>
      <c r="D953" s="1383"/>
      <c r="E953" s="1383"/>
      <c r="F953" s="1383"/>
      <c r="G953" s="1383"/>
      <c r="I953" s="143"/>
      <c r="J953" s="143"/>
      <c r="K953" s="143"/>
      <c r="O953" s="220"/>
    </row>
    <row r="954" spans="1:15" s="159" customFormat="1" ht="14.25" customHeight="1" thickBot="1" x14ac:dyDescent="0.3">
      <c r="A954" s="376"/>
      <c r="B954" s="1384" t="str">
        <f>$I$3</f>
        <v>Urbanização da Orla de Piúma - Município de Piúma / ES</v>
      </c>
      <c r="C954" s="1385"/>
      <c r="D954" s="1385"/>
      <c r="E954" s="1385"/>
      <c r="F954" s="1385"/>
      <c r="G954" s="1386"/>
      <c r="I954" s="143"/>
      <c r="J954" s="143"/>
      <c r="K954" s="143"/>
      <c r="O954" s="220"/>
    </row>
    <row r="955" spans="1:15" s="159" customFormat="1" ht="14.25" customHeight="1" thickBot="1" x14ac:dyDescent="0.3">
      <c r="A955" s="376"/>
      <c r="B955" s="90" t="s">
        <v>132</v>
      </c>
      <c r="C955" s="90" t="s">
        <v>133</v>
      </c>
      <c r="D955" s="1381" t="s">
        <v>134</v>
      </c>
      <c r="E955" s="1381"/>
      <c r="F955" s="131" t="s">
        <v>275</v>
      </c>
      <c r="G955" s="131" t="s">
        <v>135</v>
      </c>
      <c r="I955" s="143"/>
      <c r="J955" s="143"/>
      <c r="K955" s="143"/>
      <c r="O955" s="220"/>
    </row>
    <row r="956" spans="1:15" s="159" customFormat="1" ht="14.25" customHeight="1" thickBot="1" x14ac:dyDescent="0.3">
      <c r="A956" s="376"/>
      <c r="B956" s="132" t="s">
        <v>453</v>
      </c>
      <c r="C956" s="92" t="s">
        <v>98</v>
      </c>
      <c r="D956" s="1381" t="s">
        <v>8</v>
      </c>
      <c r="E956" s="1381"/>
      <c r="F956" s="144" t="s">
        <v>222</v>
      </c>
      <c r="G956" s="38">
        <f>$K$5</f>
        <v>44501</v>
      </c>
      <c r="I956" s="143"/>
      <c r="J956" s="143"/>
      <c r="K956" s="143"/>
      <c r="O956" s="220"/>
    </row>
    <row r="957" spans="1:15" s="159" customFormat="1" ht="14.25" customHeight="1" thickBot="1" x14ac:dyDescent="0.3">
      <c r="A957" s="376"/>
      <c r="B957" s="1382"/>
      <c r="C957" s="1382"/>
      <c r="D957" s="1382"/>
      <c r="E957" s="1382"/>
      <c r="F957" s="1382"/>
      <c r="G957" s="1382"/>
      <c r="I957" s="143"/>
      <c r="J957" s="143"/>
      <c r="K957" s="143"/>
      <c r="O957" s="220"/>
    </row>
    <row r="958" spans="1:15" s="159" customFormat="1" ht="14.25" customHeight="1" x14ac:dyDescent="0.25">
      <c r="A958" s="376"/>
      <c r="B958" s="93" t="s">
        <v>139</v>
      </c>
      <c r="C958" s="94" t="s">
        <v>140</v>
      </c>
      <c r="D958" s="94" t="s">
        <v>141</v>
      </c>
      <c r="E958" s="94" t="s">
        <v>142</v>
      </c>
      <c r="F958" s="94" t="s">
        <v>143</v>
      </c>
      <c r="G958" s="95" t="s">
        <v>144</v>
      </c>
      <c r="I958" s="143"/>
      <c r="J958" s="143"/>
      <c r="K958" s="143"/>
      <c r="O958" s="220"/>
    </row>
    <row r="959" spans="1:15" s="159" customFormat="1" ht="14.25" customHeight="1" x14ac:dyDescent="0.25">
      <c r="A959" s="376">
        <v>10101</v>
      </c>
      <c r="B959" s="145" t="str">
        <f>VLOOKUP(A959,Insumos!$A$10:$F$3462,2,FALSE)</f>
        <v>AJUDANTE (AJUDANTE PRATICO - SINDUSCON)</v>
      </c>
      <c r="C959" s="146" t="str">
        <f>VLOOKUP(A959,Insumos!$A$10:$F$3462,3,FALSE)</f>
        <v>H</v>
      </c>
      <c r="D959" s="83">
        <v>0.2</v>
      </c>
      <c r="E959" s="329">
        <f>VLOOKUP(A959,Insumos!$A$10:$F$3462,4,FALSE)</f>
        <v>6.27</v>
      </c>
      <c r="F959" s="329">
        <f>ROUND((D959*E959),2)</f>
        <v>1.25</v>
      </c>
      <c r="G959" s="355"/>
      <c r="I959" s="143"/>
      <c r="J959" s="143"/>
      <c r="K959" s="143"/>
      <c r="O959" s="220"/>
    </row>
    <row r="960" spans="1:15" s="159" customFormat="1" ht="14.25" customHeight="1" x14ac:dyDescent="0.25">
      <c r="A960" s="376"/>
      <c r="B960" s="145"/>
      <c r="C960" s="146"/>
      <c r="D960" s="83"/>
      <c r="E960" s="329"/>
      <c r="F960" s="329"/>
      <c r="G960" s="355"/>
      <c r="I960" s="143"/>
      <c r="J960" s="143"/>
      <c r="K960" s="143"/>
      <c r="O960" s="220"/>
    </row>
    <row r="961" spans="1:15" s="159" customFormat="1" ht="14.25" customHeight="1" x14ac:dyDescent="0.25">
      <c r="A961" s="376"/>
      <c r="B961" s="99"/>
      <c r="C961" s="146"/>
      <c r="D961" s="83"/>
      <c r="E961" s="329"/>
      <c r="F961" s="329"/>
      <c r="G961" s="355"/>
      <c r="I961" s="143"/>
      <c r="J961" s="143"/>
      <c r="K961" s="143"/>
      <c r="O961" s="220"/>
    </row>
    <row r="962" spans="1:15" s="159" customFormat="1" ht="14.25" customHeight="1" x14ac:dyDescent="0.25">
      <c r="A962" s="376"/>
      <c r="B962" s="101" t="s">
        <v>145</v>
      </c>
      <c r="C962" s="102"/>
      <c r="D962" s="107"/>
      <c r="E962" s="329"/>
      <c r="F962" s="353"/>
      <c r="G962" s="338">
        <f>+SUM(F959:F961)</f>
        <v>1.25</v>
      </c>
      <c r="I962" s="143"/>
      <c r="J962" s="143"/>
      <c r="K962" s="143"/>
      <c r="O962" s="220"/>
    </row>
    <row r="963" spans="1:15" s="159" customFormat="1" ht="14.25" customHeight="1" x14ac:dyDescent="0.25">
      <c r="A963" s="376" t="s">
        <v>98</v>
      </c>
      <c r="B963" s="99" t="s">
        <v>146</v>
      </c>
      <c r="C963" s="106"/>
      <c r="D963" s="83" t="s">
        <v>98</v>
      </c>
      <c r="E963" s="146"/>
      <c r="F963" s="108"/>
      <c r="G963" s="109" t="s">
        <v>147</v>
      </c>
      <c r="I963" s="143"/>
      <c r="J963" s="143"/>
      <c r="K963" s="143"/>
      <c r="O963" s="220"/>
    </row>
    <row r="964" spans="1:15" s="159" customFormat="1" x14ac:dyDescent="0.25">
      <c r="A964" s="379">
        <v>49503</v>
      </c>
      <c r="B964" s="145" t="str">
        <f>VLOOKUP(A964,Insumos!$A$10:$F$3462,2,FALSE)</f>
        <v>FITA ISOLANTE NR 33 - 19MM X 20M</v>
      </c>
      <c r="C964" s="146" t="str">
        <f>VLOOKUP(A964,Insumos!$A$10:$F$3462,3,FALSE)</f>
        <v>UN</v>
      </c>
      <c r="D964" s="83">
        <v>1</v>
      </c>
      <c r="E964" s="329">
        <f>VLOOKUP(A964,Insumos!$A$10:$F$3462,4,FALSE)</f>
        <v>25.2</v>
      </c>
      <c r="F964" s="329">
        <f>ROUND((D964*E964),2)</f>
        <v>25.2</v>
      </c>
      <c r="G964" s="355"/>
      <c r="I964" s="143"/>
      <c r="J964" s="143"/>
      <c r="K964" s="143"/>
      <c r="O964" s="220"/>
    </row>
    <row r="965" spans="1:15" s="159" customFormat="1" ht="14.25" customHeight="1" x14ac:dyDescent="0.25">
      <c r="A965" s="379"/>
      <c r="B965" s="145"/>
      <c r="C965" s="146"/>
      <c r="D965" s="83"/>
      <c r="E965" s="329"/>
      <c r="F965" s="329"/>
      <c r="G965" s="355"/>
      <c r="I965" s="143"/>
      <c r="J965" s="143"/>
      <c r="K965" s="143"/>
      <c r="O965" s="220"/>
    </row>
    <row r="966" spans="1:15" s="159" customFormat="1" ht="14.25" customHeight="1" x14ac:dyDescent="0.25">
      <c r="A966" s="379"/>
      <c r="B966" s="145"/>
      <c r="C966" s="146"/>
      <c r="D966" s="83"/>
      <c r="E966" s="329"/>
      <c r="F966" s="329"/>
      <c r="G966" s="355"/>
      <c r="I966" s="143"/>
      <c r="J966" s="143"/>
      <c r="K966" s="143"/>
      <c r="O966" s="220"/>
    </row>
    <row r="967" spans="1:15" s="159" customFormat="1" ht="14.25" customHeight="1" x14ac:dyDescent="0.25">
      <c r="A967" s="376"/>
      <c r="B967" s="101" t="s">
        <v>148</v>
      </c>
      <c r="C967" s="102"/>
      <c r="D967" s="112"/>
      <c r="E967" s="353"/>
      <c r="F967" s="353"/>
      <c r="G967" s="338">
        <f>+SUM(F964:F966)</f>
        <v>25.2</v>
      </c>
      <c r="I967" s="143"/>
      <c r="J967" s="143"/>
      <c r="K967" s="143"/>
      <c r="O967" s="220"/>
    </row>
    <row r="968" spans="1:15" s="159" customFormat="1" ht="14.25" customHeight="1" x14ac:dyDescent="0.25">
      <c r="A968" s="376"/>
      <c r="B968" s="99" t="s">
        <v>149</v>
      </c>
      <c r="C968" s="106"/>
      <c r="D968" s="114"/>
      <c r="E968" s="106"/>
      <c r="F968" s="106"/>
      <c r="G968" s="109" t="s">
        <v>150</v>
      </c>
      <c r="I968" s="143"/>
      <c r="J968" s="143"/>
      <c r="K968" s="143"/>
      <c r="O968" s="220"/>
    </row>
    <row r="969" spans="1:15" s="159" customFormat="1" ht="14.25" customHeight="1" x14ac:dyDescent="0.25">
      <c r="A969" s="376"/>
      <c r="B969" s="99" t="s">
        <v>98</v>
      </c>
      <c r="C969" s="146"/>
      <c r="D969" s="110"/>
      <c r="E969" s="146"/>
      <c r="F969" s="146"/>
      <c r="G969" s="148"/>
      <c r="I969" s="143"/>
      <c r="J969" s="143"/>
      <c r="K969" s="143"/>
      <c r="O969" s="220"/>
    </row>
    <row r="970" spans="1:15" s="159" customFormat="1" ht="14.25" customHeight="1" x14ac:dyDescent="0.25">
      <c r="A970" s="376"/>
      <c r="B970" s="99" t="s">
        <v>98</v>
      </c>
      <c r="C970" s="146"/>
      <c r="D970" s="110"/>
      <c r="E970" s="146"/>
      <c r="F970" s="146"/>
      <c r="G970" s="148"/>
      <c r="I970" s="143"/>
      <c r="J970" s="143"/>
      <c r="K970" s="143"/>
      <c r="O970" s="220"/>
    </row>
    <row r="971" spans="1:15" s="159" customFormat="1" ht="14.25" customHeight="1" thickBot="1" x14ac:dyDescent="0.3">
      <c r="A971" s="376"/>
      <c r="B971" s="115" t="s">
        <v>151</v>
      </c>
      <c r="C971" s="116"/>
      <c r="D971" s="117"/>
      <c r="E971" s="116"/>
      <c r="F971" s="116"/>
      <c r="G971" s="118">
        <f>+SUM(F969:F970)</f>
        <v>0</v>
      </c>
      <c r="I971" s="143"/>
      <c r="J971" s="143"/>
      <c r="K971" s="143"/>
      <c r="O971" s="220"/>
    </row>
    <row r="972" spans="1:15" s="159" customFormat="1" ht="14.25" customHeight="1" thickBot="1" x14ac:dyDescent="0.3">
      <c r="A972" s="376"/>
      <c r="B972" s="1382"/>
      <c r="C972" s="1382"/>
      <c r="D972" s="1382"/>
      <c r="E972" s="1382"/>
      <c r="F972" s="1382"/>
      <c r="G972" s="1382"/>
      <c r="I972" s="143"/>
      <c r="J972" s="143"/>
      <c r="K972" s="143"/>
      <c r="O972" s="220"/>
    </row>
    <row r="973" spans="1:15" s="159" customFormat="1" ht="14.25" customHeight="1" thickBot="1" x14ac:dyDescent="0.3">
      <c r="A973" s="376"/>
      <c r="B973" s="69" t="s">
        <v>152</v>
      </c>
      <c r="C973" s="70" t="s">
        <v>4415</v>
      </c>
      <c r="D973" s="71" t="s">
        <v>154</v>
      </c>
      <c r="E973" s="1381" t="s">
        <v>155</v>
      </c>
      <c r="F973" s="1381"/>
      <c r="G973" s="1381"/>
      <c r="I973" s="143"/>
      <c r="J973" s="143"/>
      <c r="K973" s="143"/>
      <c r="O973" s="220"/>
    </row>
    <row r="974" spans="1:15" s="159" customFormat="1" ht="14.25" customHeight="1" thickBot="1" x14ac:dyDescent="0.3">
      <c r="A974" s="376"/>
      <c r="B974" s="72" t="s">
        <v>156</v>
      </c>
      <c r="C974" s="73"/>
      <c r="D974" s="332">
        <f>G962</f>
        <v>1.25</v>
      </c>
      <c r="E974" s="1381"/>
      <c r="F974" s="1381"/>
      <c r="G974" s="1381"/>
      <c r="I974" s="143"/>
      <c r="J974" s="143"/>
      <c r="K974" s="143"/>
      <c r="O974" s="220"/>
    </row>
    <row r="975" spans="1:15" s="159" customFormat="1" ht="14.25" customHeight="1" thickBot="1" x14ac:dyDescent="0.3">
      <c r="A975" s="376"/>
      <c r="B975" s="72" t="s">
        <v>157</v>
      </c>
      <c r="C975" s="73"/>
      <c r="D975" s="332">
        <f>G967</f>
        <v>25.2</v>
      </c>
      <c r="E975" s="1381"/>
      <c r="F975" s="1381"/>
      <c r="G975" s="1381"/>
      <c r="I975" s="143"/>
      <c r="J975" s="143"/>
      <c r="K975" s="143"/>
      <c r="O975" s="220"/>
    </row>
    <row r="976" spans="1:15" s="159" customFormat="1" ht="14.25" customHeight="1" thickBot="1" x14ac:dyDescent="0.3">
      <c r="A976" s="376"/>
      <c r="B976" s="72" t="s">
        <v>158</v>
      </c>
      <c r="C976" s="73"/>
      <c r="D976" s="332">
        <f>G971</f>
        <v>0</v>
      </c>
      <c r="E976" s="1381"/>
      <c r="F976" s="1381"/>
      <c r="G976" s="1381"/>
      <c r="I976" s="143"/>
      <c r="J976" s="143"/>
      <c r="K976" s="143"/>
      <c r="O976" s="220"/>
    </row>
    <row r="977" spans="1:15" s="159" customFormat="1" ht="14.25" customHeight="1" thickBot="1" x14ac:dyDescent="0.3">
      <c r="A977" s="376"/>
      <c r="B977" s="72" t="s">
        <v>159</v>
      </c>
      <c r="C977" s="74">
        <f>$J$5</f>
        <v>157.27000000000001</v>
      </c>
      <c r="D977" s="332">
        <f>+ROUND((D974*C977),2)/100</f>
        <v>1.97</v>
      </c>
      <c r="E977" s="1381"/>
      <c r="F977" s="1381"/>
      <c r="G977" s="1381"/>
      <c r="I977" s="143"/>
      <c r="J977" s="143"/>
      <c r="K977" s="143"/>
      <c r="O977" s="220"/>
    </row>
    <row r="978" spans="1:15" s="159" customFormat="1" ht="14.25" customHeight="1" thickBot="1" x14ac:dyDescent="0.3">
      <c r="A978" s="376"/>
      <c r="B978" s="72" t="s">
        <v>160</v>
      </c>
      <c r="C978" s="75"/>
      <c r="D978" s="333">
        <f>+SUM(D974:D977)</f>
        <v>28.42</v>
      </c>
      <c r="E978" s="1381"/>
      <c r="F978" s="1381"/>
      <c r="G978" s="1381"/>
      <c r="I978" s="143"/>
      <c r="J978" s="143"/>
      <c r="K978" s="143"/>
      <c r="O978" s="220"/>
    </row>
    <row r="979" spans="1:15" s="159" customFormat="1" ht="14.25" customHeight="1" thickBot="1" x14ac:dyDescent="0.3">
      <c r="A979" s="376"/>
      <c r="B979" s="72" t="s">
        <v>161</v>
      </c>
      <c r="C979" s="73"/>
      <c r="D979" s="332" t="s">
        <v>162</v>
      </c>
      <c r="E979" s="1382" t="s">
        <v>163</v>
      </c>
      <c r="F979" s="1382"/>
      <c r="G979" s="1382"/>
      <c r="I979" s="143"/>
      <c r="J979" s="143"/>
      <c r="K979" s="143"/>
      <c r="O979" s="220"/>
    </row>
    <row r="980" spans="1:15" s="159" customFormat="1" ht="14.25" customHeight="1" thickBot="1" x14ac:dyDescent="0.3">
      <c r="A980" s="376"/>
      <c r="B980" s="122" t="s">
        <v>164</v>
      </c>
      <c r="C980" s="123"/>
      <c r="D980" s="334">
        <f>+SUM(D978:D979)</f>
        <v>28.42</v>
      </c>
      <c r="E980" s="1382"/>
      <c r="F980" s="1382"/>
      <c r="G980" s="1382"/>
      <c r="I980" s="143"/>
      <c r="J980" s="143"/>
      <c r="K980" s="143"/>
      <c r="O980" s="220"/>
    </row>
    <row r="981" spans="1:15" s="159" customFormat="1" ht="14.25" customHeight="1" thickBot="1" x14ac:dyDescent="0.3">
      <c r="A981" s="376"/>
      <c r="B981" s="124" t="s">
        <v>165</v>
      </c>
      <c r="C981" s="125">
        <f>$I$5</f>
        <v>28.49</v>
      </c>
      <c r="D981" s="335">
        <f>ROUND((D980*C981),2)/100</f>
        <v>8.1</v>
      </c>
      <c r="E981" s="1382"/>
      <c r="F981" s="1382"/>
      <c r="G981" s="1382"/>
      <c r="I981" s="143"/>
      <c r="J981" s="143"/>
      <c r="K981" s="143"/>
      <c r="O981" s="220"/>
    </row>
    <row r="982" spans="1:15" s="159" customFormat="1" ht="14.25" customHeight="1" thickBot="1" x14ac:dyDescent="0.3">
      <c r="A982" s="376"/>
      <c r="B982" s="80" t="s">
        <v>166</v>
      </c>
      <c r="C982" s="127"/>
      <c r="D982" s="336">
        <f>+SUM(D980:D981)</f>
        <v>36.520000000000003</v>
      </c>
      <c r="E982" s="128"/>
      <c r="F982" s="337">
        <f>D982</f>
        <v>36.520000000000003</v>
      </c>
      <c r="G982" s="131"/>
      <c r="I982" s="143"/>
      <c r="J982" s="143"/>
      <c r="K982" s="143"/>
      <c r="O982" s="220"/>
    </row>
    <row r="983" spans="1:15" s="159" customFormat="1" ht="14.25" customHeight="1" x14ac:dyDescent="0.25">
      <c r="A983" s="376"/>
      <c r="B983" s="28"/>
      <c r="C983" s="28"/>
      <c r="D983" s="28"/>
      <c r="E983" s="28"/>
      <c r="F983" s="28"/>
      <c r="G983" s="28"/>
      <c r="I983" s="143"/>
      <c r="J983" s="143"/>
      <c r="K983" s="143"/>
      <c r="O983" s="220"/>
    </row>
    <row r="984" spans="1:15" ht="14.25" customHeight="1" thickBot="1" x14ac:dyDescent="0.3">
      <c r="A984" s="376"/>
      <c r="B984" s="28"/>
      <c r="C984" s="28"/>
      <c r="D984" s="28"/>
      <c r="E984" s="28"/>
      <c r="F984" s="28"/>
      <c r="G984" s="28"/>
      <c r="H984" s="129"/>
      <c r="I984" s="33"/>
      <c r="J984" s="33"/>
      <c r="K984" s="33"/>
      <c r="O984" s="220"/>
    </row>
    <row r="985" spans="1:15" x14ac:dyDescent="0.25">
      <c r="A985" s="376"/>
      <c r="B985" s="1383" t="s">
        <v>131</v>
      </c>
      <c r="C985" s="1383"/>
      <c r="D985" s="1383"/>
      <c r="E985" s="1383"/>
      <c r="F985" s="1383"/>
      <c r="G985" s="1383"/>
      <c r="H985" s="129"/>
      <c r="I985" s="33"/>
      <c r="J985" s="33"/>
      <c r="K985" s="33"/>
      <c r="O985" s="220"/>
    </row>
    <row r="986" spans="1:15" ht="15.75" thickBot="1" x14ac:dyDescent="0.3">
      <c r="A986" s="376"/>
      <c r="B986" s="1384" t="str">
        <f>$I$3</f>
        <v>Urbanização da Orla de Piúma - Município de Piúma / ES</v>
      </c>
      <c r="C986" s="1385"/>
      <c r="D986" s="1385"/>
      <c r="E986" s="1385"/>
      <c r="F986" s="1385"/>
      <c r="G986" s="1386"/>
      <c r="H986" s="129"/>
      <c r="I986" s="33"/>
      <c r="J986" s="33"/>
      <c r="K986" s="33"/>
      <c r="O986" s="220"/>
    </row>
    <row r="987" spans="1:15" ht="15.75" thickBot="1" x14ac:dyDescent="0.3">
      <c r="A987" s="376"/>
      <c r="B987" s="34" t="s">
        <v>132</v>
      </c>
      <c r="C987" s="34" t="s">
        <v>133</v>
      </c>
      <c r="D987" s="1381" t="s">
        <v>134</v>
      </c>
      <c r="E987" s="1381"/>
      <c r="F987" s="131" t="s">
        <v>275</v>
      </c>
      <c r="G987" s="35" t="s">
        <v>135</v>
      </c>
      <c r="H987" s="129"/>
      <c r="I987" s="31"/>
      <c r="J987" s="31"/>
      <c r="K987" s="33"/>
      <c r="O987" s="220"/>
    </row>
    <row r="988" spans="1:15" ht="27.75" customHeight="1" thickBot="1" x14ac:dyDescent="0.3">
      <c r="A988" s="376"/>
      <c r="B988" s="132" t="s">
        <v>232</v>
      </c>
      <c r="C988" s="92" t="s">
        <v>98</v>
      </c>
      <c r="D988" s="1381" t="s">
        <v>8</v>
      </c>
      <c r="E988" s="1381"/>
      <c r="F988" s="144" t="s">
        <v>225</v>
      </c>
      <c r="G988" s="38">
        <f>$K$5</f>
        <v>44501</v>
      </c>
      <c r="H988" s="129"/>
      <c r="I988" s="33"/>
      <c r="J988" s="33"/>
      <c r="K988" s="33"/>
      <c r="O988" s="220"/>
    </row>
    <row r="989" spans="1:15" ht="6" customHeight="1" thickBot="1" x14ac:dyDescent="0.3">
      <c r="A989" s="376"/>
      <c r="B989" s="1382"/>
      <c r="C989" s="1382"/>
      <c r="D989" s="1382"/>
      <c r="E989" s="1382"/>
      <c r="F989" s="1382"/>
      <c r="G989" s="1382"/>
      <c r="H989" s="129"/>
      <c r="I989" s="33"/>
      <c r="J989" s="33"/>
      <c r="K989" s="33"/>
      <c r="O989" s="220"/>
    </row>
    <row r="990" spans="1:15" ht="14.25" customHeight="1" x14ac:dyDescent="0.25">
      <c r="A990" s="376"/>
      <c r="B990" s="41" t="s">
        <v>139</v>
      </c>
      <c r="C990" s="42" t="s">
        <v>140</v>
      </c>
      <c r="D990" s="42" t="s">
        <v>141</v>
      </c>
      <c r="E990" s="42" t="s">
        <v>142</v>
      </c>
      <c r="F990" s="42" t="s">
        <v>143</v>
      </c>
      <c r="G990" s="43" t="s">
        <v>144</v>
      </c>
      <c r="H990" s="129"/>
      <c r="I990" s="33"/>
      <c r="J990" s="33"/>
      <c r="K990" s="33"/>
      <c r="O990" s="220"/>
    </row>
    <row r="991" spans="1:15" ht="14.25" customHeight="1" x14ac:dyDescent="0.25">
      <c r="A991" s="376"/>
      <c r="B991" s="44"/>
      <c r="C991" s="45"/>
      <c r="D991" s="46"/>
      <c r="E991" s="45"/>
      <c r="F991" s="45"/>
      <c r="G991" s="47"/>
      <c r="H991" s="129"/>
      <c r="I991" s="33"/>
      <c r="J991" s="33"/>
      <c r="K991" s="33"/>
      <c r="O991" s="220"/>
    </row>
    <row r="992" spans="1:15" ht="14.25" customHeight="1" x14ac:dyDescent="0.25">
      <c r="A992" s="376"/>
      <c r="B992" s="44"/>
      <c r="C992" s="45"/>
      <c r="D992" s="46"/>
      <c r="E992" s="45"/>
      <c r="F992" s="45"/>
      <c r="G992" s="47"/>
      <c r="H992" s="129"/>
      <c r="I992" s="33"/>
      <c r="J992" s="33"/>
      <c r="K992" s="33"/>
      <c r="O992" s="220"/>
    </row>
    <row r="993" spans="1:15" ht="14.25" customHeight="1" x14ac:dyDescent="0.25">
      <c r="A993" s="376"/>
      <c r="B993" s="48"/>
      <c r="C993" s="45"/>
      <c r="D993" s="49"/>
      <c r="E993" s="45"/>
      <c r="F993" s="45"/>
      <c r="G993" s="47"/>
      <c r="H993" s="129"/>
      <c r="I993" s="33"/>
      <c r="J993" s="33"/>
      <c r="K993" s="33"/>
      <c r="O993" s="220"/>
    </row>
    <row r="994" spans="1:15" ht="14.25" customHeight="1" x14ac:dyDescent="0.25">
      <c r="A994" s="376"/>
      <c r="B994" s="50" t="s">
        <v>145</v>
      </c>
      <c r="C994" s="51"/>
      <c r="D994" s="52"/>
      <c r="E994" s="45"/>
      <c r="F994" s="53"/>
      <c r="G994" s="54">
        <f>+SUM(F991:F993)</f>
        <v>0</v>
      </c>
      <c r="H994" s="129"/>
      <c r="I994" s="33"/>
      <c r="J994" s="33"/>
      <c r="K994" s="33"/>
      <c r="O994" s="220"/>
    </row>
    <row r="995" spans="1:15" ht="14.25" customHeight="1" x14ac:dyDescent="0.25">
      <c r="A995" s="376"/>
      <c r="B995" s="48" t="s">
        <v>146</v>
      </c>
      <c r="C995" s="55"/>
      <c r="D995" s="56"/>
      <c r="E995" s="45"/>
      <c r="F995" s="57"/>
      <c r="G995" s="58" t="s">
        <v>147</v>
      </c>
      <c r="H995" s="129"/>
      <c r="I995" s="33"/>
      <c r="J995" s="33"/>
      <c r="K995" s="33"/>
      <c r="O995" s="220"/>
    </row>
    <row r="996" spans="1:15" ht="26.25" customHeight="1" x14ac:dyDescent="0.25">
      <c r="A996" s="376" t="s">
        <v>491</v>
      </c>
      <c r="B996" s="230" t="str">
        <f>VLOOKUP(A996,Insumos!$A$10:$F$3462,2,FALSE)</f>
        <v>Fornecimento e instalação de vidro temperado 8mm para fechamento do quiosque principal (cortina de vidro), inclusive estrutura em alumínio e roldanas blindadas</v>
      </c>
      <c r="C996" s="231" t="str">
        <f>VLOOKUP(A996,Insumos!$A$10:$F$3462,3,FALSE)</f>
        <v>und</v>
      </c>
      <c r="D996" s="46">
        <v>1</v>
      </c>
      <c r="E996" s="329">
        <f>VLOOKUP(A996,Insumos!$A$10:$F$3462,4,FALSE)</f>
        <v>7200</v>
      </c>
      <c r="F996" s="329">
        <f>ROUND((D996*E996),2)</f>
        <v>7200</v>
      </c>
      <c r="G996" s="355"/>
      <c r="H996" s="129"/>
      <c r="I996" s="33"/>
      <c r="J996" s="33"/>
      <c r="K996" s="33"/>
      <c r="O996" s="220"/>
    </row>
    <row r="997" spans="1:15" ht="14.25" customHeight="1" x14ac:dyDescent="0.25">
      <c r="A997" s="376"/>
      <c r="B997" s="48"/>
      <c r="C997" s="45"/>
      <c r="D997" s="61"/>
      <c r="E997" s="329"/>
      <c r="F997" s="329"/>
      <c r="G997" s="355"/>
      <c r="H997" s="129"/>
      <c r="I997" s="33"/>
      <c r="J997" s="33"/>
      <c r="K997" s="33"/>
      <c r="O997" s="220"/>
    </row>
    <row r="998" spans="1:15" ht="14.25" customHeight="1" x14ac:dyDescent="0.25">
      <c r="A998" s="376"/>
      <c r="B998" s="50" t="s">
        <v>148</v>
      </c>
      <c r="C998" s="51"/>
      <c r="D998" s="62"/>
      <c r="E998" s="353"/>
      <c r="F998" s="353"/>
      <c r="G998" s="338">
        <f>+SUM(F996:F997)</f>
        <v>7200</v>
      </c>
      <c r="H998" s="129"/>
      <c r="I998" s="33"/>
      <c r="J998" s="33"/>
      <c r="K998" s="33"/>
      <c r="O998" s="220"/>
    </row>
    <row r="999" spans="1:15" ht="14.25" customHeight="1" x14ac:dyDescent="0.25">
      <c r="A999" s="376"/>
      <c r="B999" s="48" t="s">
        <v>149</v>
      </c>
      <c r="C999" s="55"/>
      <c r="D999" s="64"/>
      <c r="E999" s="55"/>
      <c r="F999" s="55"/>
      <c r="G999" s="58" t="s">
        <v>150</v>
      </c>
      <c r="H999" s="129"/>
      <c r="I999" s="33"/>
      <c r="J999" s="33"/>
      <c r="K999" s="33"/>
      <c r="O999" s="220"/>
    </row>
    <row r="1000" spans="1:15" ht="14.25" customHeight="1" x14ac:dyDescent="0.25">
      <c r="A1000" s="376"/>
      <c r="B1000" s="48" t="s">
        <v>98</v>
      </c>
      <c r="C1000" s="45"/>
      <c r="D1000" s="59"/>
      <c r="E1000" s="45"/>
      <c r="F1000" s="45"/>
      <c r="G1000" s="47"/>
      <c r="H1000" s="129"/>
      <c r="I1000" s="33"/>
      <c r="J1000" s="33"/>
      <c r="K1000" s="33"/>
      <c r="O1000" s="220"/>
    </row>
    <row r="1001" spans="1:15" ht="14.25" customHeight="1" x14ac:dyDescent="0.25">
      <c r="A1001" s="376"/>
      <c r="B1001" s="48" t="s">
        <v>98</v>
      </c>
      <c r="C1001" s="45"/>
      <c r="D1001" s="59"/>
      <c r="E1001" s="45"/>
      <c r="F1001" s="45"/>
      <c r="G1001" s="47"/>
      <c r="H1001" s="129"/>
      <c r="I1001" s="33"/>
      <c r="J1001" s="33"/>
      <c r="K1001" s="33"/>
      <c r="O1001" s="220"/>
    </row>
    <row r="1002" spans="1:15" ht="14.25" customHeight="1" thickBot="1" x14ac:dyDescent="0.3">
      <c r="A1002" s="376"/>
      <c r="B1002" s="65" t="s">
        <v>151</v>
      </c>
      <c r="C1002" s="66"/>
      <c r="D1002" s="67"/>
      <c r="E1002" s="66"/>
      <c r="F1002" s="66"/>
      <c r="G1002" s="68">
        <f>+SUM(F1000:F1001)</f>
        <v>0</v>
      </c>
      <c r="H1002" s="129"/>
      <c r="I1002" s="33"/>
      <c r="J1002" s="33"/>
      <c r="K1002" s="33"/>
      <c r="O1002" s="220"/>
    </row>
    <row r="1003" spans="1:15" ht="4.5" customHeight="1" thickBot="1" x14ac:dyDescent="0.3">
      <c r="A1003" s="376"/>
      <c r="B1003" s="1382"/>
      <c r="C1003" s="1382"/>
      <c r="D1003" s="1382"/>
      <c r="E1003" s="1382"/>
      <c r="F1003" s="1382"/>
      <c r="G1003" s="1382"/>
      <c r="H1003" s="129"/>
      <c r="I1003" s="33"/>
      <c r="J1003" s="33"/>
      <c r="K1003" s="33"/>
      <c r="O1003" s="220"/>
    </row>
    <row r="1004" spans="1:15" ht="14.25" customHeight="1" thickBot="1" x14ac:dyDescent="0.3">
      <c r="A1004" s="376"/>
      <c r="B1004" s="69" t="s">
        <v>152</v>
      </c>
      <c r="C1004" s="70" t="s">
        <v>4415</v>
      </c>
      <c r="D1004" s="71" t="s">
        <v>154</v>
      </c>
      <c r="E1004" s="1381" t="s">
        <v>155</v>
      </c>
      <c r="F1004" s="1381"/>
      <c r="G1004" s="1381"/>
      <c r="H1004" s="129"/>
      <c r="I1004" s="33"/>
      <c r="J1004" s="33"/>
      <c r="K1004" s="33"/>
      <c r="O1004" s="220"/>
    </row>
    <row r="1005" spans="1:15" ht="14.25" customHeight="1" thickBot="1" x14ac:dyDescent="0.3">
      <c r="A1005" s="376"/>
      <c r="B1005" s="72" t="s">
        <v>156</v>
      </c>
      <c r="C1005" s="73"/>
      <c r="D1005" s="332">
        <f>G994</f>
        <v>0</v>
      </c>
      <c r="E1005" s="1381"/>
      <c r="F1005" s="1381"/>
      <c r="G1005" s="1381"/>
      <c r="H1005" s="129"/>
      <c r="I1005" s="33"/>
      <c r="J1005" s="33"/>
      <c r="K1005" s="33"/>
      <c r="O1005" s="220"/>
    </row>
    <row r="1006" spans="1:15" ht="14.25" customHeight="1" thickBot="1" x14ac:dyDescent="0.3">
      <c r="A1006" s="376"/>
      <c r="B1006" s="72" t="s">
        <v>157</v>
      </c>
      <c r="C1006" s="73"/>
      <c r="D1006" s="332">
        <f>G998</f>
        <v>7200</v>
      </c>
      <c r="E1006" s="1381"/>
      <c r="F1006" s="1381"/>
      <c r="G1006" s="1381"/>
      <c r="H1006" s="129"/>
      <c r="I1006" s="33"/>
      <c r="J1006" s="33"/>
      <c r="K1006" s="33"/>
      <c r="O1006" s="220"/>
    </row>
    <row r="1007" spans="1:15" ht="14.25" customHeight="1" thickBot="1" x14ac:dyDescent="0.3">
      <c r="A1007" s="376"/>
      <c r="B1007" s="72" t="s">
        <v>158</v>
      </c>
      <c r="C1007" s="73"/>
      <c r="D1007" s="332">
        <f>G1002</f>
        <v>0</v>
      </c>
      <c r="E1007" s="1381"/>
      <c r="F1007" s="1381"/>
      <c r="G1007" s="1381"/>
      <c r="H1007" s="129"/>
      <c r="I1007" s="33"/>
      <c r="J1007" s="33"/>
      <c r="K1007" s="33"/>
      <c r="O1007" s="220"/>
    </row>
    <row r="1008" spans="1:15" ht="14.25" customHeight="1" thickBot="1" x14ac:dyDescent="0.3">
      <c r="A1008" s="376"/>
      <c r="B1008" s="72" t="s">
        <v>159</v>
      </c>
      <c r="C1008" s="74">
        <f>$J$5</f>
        <v>157.27000000000001</v>
      </c>
      <c r="D1008" s="332">
        <f>+ROUND((D1005*C1008),2)/100</f>
        <v>0</v>
      </c>
      <c r="E1008" s="1381"/>
      <c r="F1008" s="1381"/>
      <c r="G1008" s="1381"/>
      <c r="H1008" s="129"/>
      <c r="I1008" s="33"/>
      <c r="J1008" s="33"/>
      <c r="K1008" s="33"/>
      <c r="O1008" s="220"/>
    </row>
    <row r="1009" spans="1:15" ht="14.25" customHeight="1" thickBot="1" x14ac:dyDescent="0.3">
      <c r="A1009" s="376"/>
      <c r="B1009" s="72" t="s">
        <v>160</v>
      </c>
      <c r="C1009" s="75"/>
      <c r="D1009" s="333">
        <f>+SUM(D1005:D1008)</f>
        <v>7200</v>
      </c>
      <c r="E1009" s="1381"/>
      <c r="F1009" s="1381"/>
      <c r="G1009" s="1381"/>
      <c r="H1009" s="129"/>
      <c r="I1009" s="33"/>
      <c r="J1009" s="33"/>
      <c r="K1009" s="33"/>
      <c r="O1009" s="220"/>
    </row>
    <row r="1010" spans="1:15" ht="14.25" customHeight="1" thickBot="1" x14ac:dyDescent="0.3">
      <c r="A1010" s="376"/>
      <c r="B1010" s="72" t="s">
        <v>161</v>
      </c>
      <c r="C1010" s="73"/>
      <c r="D1010" s="332" t="s">
        <v>162</v>
      </c>
      <c r="E1010" s="1382" t="s">
        <v>163</v>
      </c>
      <c r="F1010" s="1382"/>
      <c r="G1010" s="1382"/>
      <c r="H1010" s="129"/>
      <c r="I1010" s="33"/>
      <c r="J1010" s="33"/>
      <c r="K1010" s="33"/>
      <c r="O1010" s="220"/>
    </row>
    <row r="1011" spans="1:15" ht="14.25" customHeight="1" thickBot="1" x14ac:dyDescent="0.3">
      <c r="A1011" s="376"/>
      <c r="B1011" s="76" t="s">
        <v>164</v>
      </c>
      <c r="C1011" s="77"/>
      <c r="D1011" s="334">
        <f>+SUM(D1009:D1010)</f>
        <v>7200</v>
      </c>
      <c r="E1011" s="1382"/>
      <c r="F1011" s="1382"/>
      <c r="G1011" s="1382"/>
      <c r="H1011" s="129"/>
      <c r="I1011" s="33"/>
      <c r="J1011" s="33"/>
      <c r="K1011" s="33"/>
      <c r="O1011" s="220"/>
    </row>
    <row r="1012" spans="1:15" ht="14.25" customHeight="1" thickBot="1" x14ac:dyDescent="0.3">
      <c r="A1012" s="376"/>
      <c r="B1012" s="78" t="s">
        <v>165</v>
      </c>
      <c r="C1012" s="79">
        <f>$I$5</f>
        <v>28.49</v>
      </c>
      <c r="D1012" s="335">
        <f>ROUND((D1011*C1012),2)/100</f>
        <v>2051.2800000000002</v>
      </c>
      <c r="E1012" s="1382"/>
      <c r="F1012" s="1382"/>
      <c r="G1012" s="1382"/>
      <c r="H1012" s="129"/>
      <c r="I1012" s="33"/>
      <c r="J1012" s="33"/>
      <c r="K1012" s="33"/>
      <c r="O1012" s="220"/>
    </row>
    <row r="1013" spans="1:15" ht="14.25" customHeight="1" thickBot="1" x14ac:dyDescent="0.3">
      <c r="A1013" s="376"/>
      <c r="B1013" s="80" t="s">
        <v>166</v>
      </c>
      <c r="C1013" s="81"/>
      <c r="D1013" s="336">
        <f>+SUM(D1011:D1012)</f>
        <v>9251.2800000000007</v>
      </c>
      <c r="E1013" s="82"/>
      <c r="F1013" s="337">
        <f>D1013</f>
        <v>9251.2800000000007</v>
      </c>
      <c r="G1013" s="35"/>
      <c r="H1013" s="129"/>
      <c r="I1013" s="33"/>
      <c r="J1013" s="33"/>
      <c r="K1013" s="33"/>
      <c r="O1013" s="220"/>
    </row>
    <row r="1014" spans="1:15" ht="14.25" customHeight="1" x14ac:dyDescent="0.25">
      <c r="A1014" s="376"/>
      <c r="B1014" s="28"/>
      <c r="C1014" s="28"/>
      <c r="D1014" s="28"/>
      <c r="E1014" s="28"/>
      <c r="F1014" s="28"/>
      <c r="G1014" s="28"/>
      <c r="H1014" s="159"/>
      <c r="I1014" s="33"/>
      <c r="J1014" s="33"/>
      <c r="K1014" s="33"/>
      <c r="O1014" s="220"/>
    </row>
    <row r="1015" spans="1:15" s="159" customFormat="1" ht="14.25" customHeight="1" thickBot="1" x14ac:dyDescent="0.3">
      <c r="A1015" s="376"/>
      <c r="B1015" s="28"/>
      <c r="C1015" s="28"/>
      <c r="D1015" s="28"/>
      <c r="E1015" s="28"/>
      <c r="F1015" s="28"/>
      <c r="G1015" s="28"/>
      <c r="I1015" s="143"/>
      <c r="J1015" s="143"/>
      <c r="K1015" s="143"/>
      <c r="O1015" s="220"/>
    </row>
    <row r="1016" spans="1:15" s="159" customFormat="1" ht="14.25" customHeight="1" x14ac:dyDescent="0.25">
      <c r="A1016" s="376"/>
      <c r="B1016" s="1383" t="s">
        <v>131</v>
      </c>
      <c r="C1016" s="1383"/>
      <c r="D1016" s="1383"/>
      <c r="E1016" s="1383"/>
      <c r="F1016" s="1383"/>
      <c r="G1016" s="1383"/>
      <c r="I1016" s="143"/>
      <c r="J1016" s="143"/>
      <c r="K1016" s="143"/>
      <c r="O1016" s="220"/>
    </row>
    <row r="1017" spans="1:15" s="159" customFormat="1" ht="14.25" customHeight="1" thickBot="1" x14ac:dyDescent="0.3">
      <c r="A1017" s="376"/>
      <c r="B1017" s="1384" t="str">
        <f>$I$3</f>
        <v>Urbanização da Orla de Piúma - Município de Piúma / ES</v>
      </c>
      <c r="C1017" s="1385"/>
      <c r="D1017" s="1385"/>
      <c r="E1017" s="1385"/>
      <c r="F1017" s="1385"/>
      <c r="G1017" s="1386"/>
      <c r="I1017" s="143"/>
      <c r="J1017" s="143"/>
      <c r="K1017" s="143"/>
      <c r="O1017" s="220"/>
    </row>
    <row r="1018" spans="1:15" s="159" customFormat="1" ht="14.25" customHeight="1" thickBot="1" x14ac:dyDescent="0.3">
      <c r="A1018" s="376"/>
      <c r="B1018" s="90" t="s">
        <v>132</v>
      </c>
      <c r="C1018" s="90" t="s">
        <v>133</v>
      </c>
      <c r="D1018" s="1381" t="s">
        <v>134</v>
      </c>
      <c r="E1018" s="1381"/>
      <c r="F1018" s="131" t="s">
        <v>275</v>
      </c>
      <c r="G1018" s="131" t="s">
        <v>135</v>
      </c>
      <c r="I1018" s="143"/>
      <c r="J1018" s="143"/>
      <c r="K1018" s="143"/>
      <c r="O1018" s="220"/>
    </row>
    <row r="1019" spans="1:15" s="159" customFormat="1" ht="14.25" customHeight="1" thickBot="1" x14ac:dyDescent="0.3">
      <c r="A1019" s="376"/>
      <c r="B1019" s="132" t="s">
        <v>283</v>
      </c>
      <c r="C1019" s="92" t="s">
        <v>98</v>
      </c>
      <c r="D1019" s="1381" t="s">
        <v>5</v>
      </c>
      <c r="E1019" s="1381"/>
      <c r="F1019" s="144" t="s">
        <v>226</v>
      </c>
      <c r="G1019" s="38">
        <f>$K$5</f>
        <v>44501</v>
      </c>
      <c r="I1019" s="143"/>
      <c r="J1019" s="143"/>
      <c r="K1019" s="143"/>
      <c r="O1019" s="220"/>
    </row>
    <row r="1020" spans="1:15" s="159" customFormat="1" ht="14.25" customHeight="1" thickBot="1" x14ac:dyDescent="0.3">
      <c r="A1020" s="376"/>
      <c r="B1020" s="1382"/>
      <c r="C1020" s="1382"/>
      <c r="D1020" s="1382"/>
      <c r="E1020" s="1382"/>
      <c r="F1020" s="1382"/>
      <c r="G1020" s="1382"/>
      <c r="I1020" s="143"/>
      <c r="J1020" s="143"/>
      <c r="K1020" s="143"/>
      <c r="O1020" s="220"/>
    </row>
    <row r="1021" spans="1:15" s="159" customFormat="1" ht="14.25" customHeight="1" x14ac:dyDescent="0.25">
      <c r="A1021" s="376"/>
      <c r="B1021" s="93" t="s">
        <v>139</v>
      </c>
      <c r="C1021" s="94" t="s">
        <v>140</v>
      </c>
      <c r="D1021" s="94" t="s">
        <v>141</v>
      </c>
      <c r="E1021" s="94" t="s">
        <v>142</v>
      </c>
      <c r="F1021" s="94" t="s">
        <v>143</v>
      </c>
      <c r="G1021" s="95" t="s">
        <v>144</v>
      </c>
      <c r="I1021" s="143"/>
      <c r="J1021" s="143"/>
      <c r="K1021" s="143"/>
      <c r="O1021" s="220"/>
    </row>
    <row r="1022" spans="1:15" s="159" customFormat="1" ht="14.25" customHeight="1" x14ac:dyDescent="0.25">
      <c r="A1022" s="376">
        <v>10101</v>
      </c>
      <c r="B1022" s="145" t="str">
        <f>VLOOKUP(A1022,Insumos!$A$10:$F$3462,2,FALSE)</f>
        <v>AJUDANTE (AJUDANTE PRATICO - SINDUSCON)</v>
      </c>
      <c r="C1022" s="146" t="str">
        <f>VLOOKUP(A1022,Insumos!$A$10:$F$3462,3,FALSE)</f>
        <v>H</v>
      </c>
      <c r="D1022" s="83">
        <v>2.6549999999999998</v>
      </c>
      <c r="E1022" s="329">
        <f>VLOOKUP(A1022,Insumos!$A$10:$F$3462,4,FALSE)</f>
        <v>6.27</v>
      </c>
      <c r="F1022" s="329">
        <f>ROUND((D1022*E1022),2)</f>
        <v>16.649999999999999</v>
      </c>
      <c r="G1022" s="355"/>
      <c r="I1022" s="143"/>
      <c r="J1022" s="143"/>
      <c r="K1022" s="143"/>
      <c r="O1022" s="220"/>
    </row>
    <row r="1023" spans="1:15" s="159" customFormat="1" ht="14.25" customHeight="1" x14ac:dyDescent="0.25">
      <c r="A1023" s="376">
        <v>10150</v>
      </c>
      <c r="B1023" s="145" t="str">
        <f>VLOOKUP(A1023,Insumos!$A$10:$F$3462,2,FALSE)</f>
        <v>TELHADISTA - (OFICIAL - SINDUSCON)</v>
      </c>
      <c r="C1023" s="146" t="str">
        <f>VLOOKUP(A1023,Insumos!$A$10:$F$3462,3,FALSE)</f>
        <v>H</v>
      </c>
      <c r="D1023" s="83">
        <v>2.0499999999999998</v>
      </c>
      <c r="E1023" s="329">
        <f>VLOOKUP(A1023,Insumos!$A$10:$F$3462,4,FALSE)</f>
        <v>7.43</v>
      </c>
      <c r="F1023" s="329">
        <f>ROUND((D1023*E1023),2)</f>
        <v>15.23</v>
      </c>
      <c r="G1023" s="355"/>
      <c r="I1023" s="143"/>
      <c r="J1023" s="143"/>
      <c r="K1023" s="143"/>
      <c r="O1023" s="220"/>
    </row>
    <row r="1024" spans="1:15" s="159" customFormat="1" ht="14.25" customHeight="1" x14ac:dyDescent="0.25">
      <c r="A1024" s="376"/>
      <c r="B1024" s="99"/>
      <c r="C1024" s="146"/>
      <c r="D1024" s="100"/>
      <c r="E1024" s="329"/>
      <c r="F1024" s="329"/>
      <c r="G1024" s="355"/>
      <c r="I1024" s="143"/>
      <c r="J1024" s="143"/>
      <c r="K1024" s="143"/>
      <c r="O1024" s="220"/>
    </row>
    <row r="1025" spans="1:15" s="159" customFormat="1" ht="14.25" customHeight="1" x14ac:dyDescent="0.25">
      <c r="A1025" s="376"/>
      <c r="B1025" s="101" t="s">
        <v>145</v>
      </c>
      <c r="C1025" s="102"/>
      <c r="D1025" s="103"/>
      <c r="E1025" s="329"/>
      <c r="F1025" s="353"/>
      <c r="G1025" s="338">
        <f>+SUM(F1022:F1024)</f>
        <v>31.88</v>
      </c>
      <c r="I1025" s="143"/>
      <c r="J1025" s="143"/>
      <c r="K1025" s="143"/>
      <c r="O1025" s="220"/>
    </row>
    <row r="1026" spans="1:15" s="159" customFormat="1" ht="14.25" customHeight="1" x14ac:dyDescent="0.25">
      <c r="A1026" s="376"/>
      <c r="B1026" s="99" t="s">
        <v>146</v>
      </c>
      <c r="C1026" s="106"/>
      <c r="D1026" s="107"/>
      <c r="E1026" s="146"/>
      <c r="F1026" s="108"/>
      <c r="G1026" s="109" t="s">
        <v>147</v>
      </c>
      <c r="I1026" s="143"/>
      <c r="J1026" s="143"/>
      <c r="K1026" s="143"/>
      <c r="O1026" s="220"/>
    </row>
    <row r="1027" spans="1:15" s="159" customFormat="1" ht="14.25" customHeight="1" x14ac:dyDescent="0.25">
      <c r="A1027" s="376">
        <v>20503</v>
      </c>
      <c r="B1027" s="145" t="str">
        <f>VLOOKUP(A1027,Insumos!$A$10:$F$3462,2,FALSE)</f>
        <v>AREIA LAVADA MEDIA</v>
      </c>
      <c r="C1027" s="146" t="str">
        <f>VLOOKUP(A1027,Insumos!$A$10:$F$3462,3,FALSE)</f>
        <v>M3</v>
      </c>
      <c r="D1027" s="83">
        <v>2.0000000000000001E-4</v>
      </c>
      <c r="E1027" s="329">
        <f>VLOOKUP(A1027,Insumos!$A$10:$F$3462,4,FALSE)</f>
        <v>90</v>
      </c>
      <c r="F1027" s="329">
        <f>ROUND((D1027*E1027),2)</f>
        <v>0.02</v>
      </c>
      <c r="G1027" s="355"/>
      <c r="I1027" s="143"/>
      <c r="J1027" s="143"/>
      <c r="K1027" s="143"/>
      <c r="O1027" s="220"/>
    </row>
    <row r="1028" spans="1:15" s="159" customFormat="1" ht="14.25" customHeight="1" x14ac:dyDescent="0.25">
      <c r="A1028" s="376">
        <v>20508</v>
      </c>
      <c r="B1028" s="145" t="str">
        <f>VLOOKUP(A1028,Insumos!$A$10:$F$3462,2,FALSE)</f>
        <v>CIMENTO PORTLAND CP III - 40</v>
      </c>
      <c r="C1028" s="146" t="str">
        <f>VLOOKUP(A1028,Insumos!$A$10:$F$3462,3,FALSE)</f>
        <v>KG</v>
      </c>
      <c r="D1028" s="83">
        <v>8.5999999999999993E-2</v>
      </c>
      <c r="E1028" s="329">
        <f>VLOOKUP(A1028,Insumos!$A$10:$F$3462,4,FALSE)</f>
        <v>0.46</v>
      </c>
      <c r="F1028" s="329">
        <f>ROUND((D1028*E1028),2)</f>
        <v>0.04</v>
      </c>
      <c r="G1028" s="355"/>
      <c r="I1028" s="143"/>
      <c r="J1028" s="143"/>
      <c r="K1028" s="143"/>
      <c r="O1028" s="220"/>
    </row>
    <row r="1029" spans="1:15" s="159" customFormat="1" ht="26.25" x14ac:dyDescent="0.25">
      <c r="A1029" s="379">
        <v>40742</v>
      </c>
      <c r="B1029" s="145" t="str">
        <f>VLOOKUP(A1029,Insumos!$A$10:$F$3462,2,FALSE)</f>
        <v>Cumeeira para telha de concreto, para 2 aguas de telhado, cor cinza, rendimento de *3* telhas/m</v>
      </c>
      <c r="C1029" s="146" t="str">
        <f>VLOOKUP(A1029,Insumos!$A$10:$F$3462,3,FALSE)</f>
        <v>Und.</v>
      </c>
      <c r="D1029" s="83">
        <v>0.3</v>
      </c>
      <c r="E1029" s="329">
        <f>VLOOKUP(A1029,Insumos!$A$10:$F$3462,4,FALSE)</f>
        <v>7.48</v>
      </c>
      <c r="F1029" s="329">
        <f>ROUND((D1029*E1029),2)</f>
        <v>2.2400000000000002</v>
      </c>
      <c r="G1029" s="355"/>
      <c r="I1029" s="143"/>
      <c r="J1029" s="143"/>
      <c r="K1029" s="143"/>
      <c r="O1029" s="220"/>
    </row>
    <row r="1030" spans="1:15" s="159" customFormat="1" ht="14.25" customHeight="1" x14ac:dyDescent="0.25">
      <c r="A1030" s="379">
        <v>9952</v>
      </c>
      <c r="B1030" s="145" t="str">
        <f>VLOOKUP(A1030,Insumos!$A$10:$F$3462,2,FALSE)</f>
        <v>Telha de concreto, plana, 10,4un/m² ( Tégula ou similar)</v>
      </c>
      <c r="C1030" s="146" t="str">
        <f>VLOOKUP(A1030,Insumos!$A$10:$F$3462,3,FALSE)</f>
        <v>Und.</v>
      </c>
      <c r="D1030" s="83">
        <v>10.5</v>
      </c>
      <c r="E1030" s="329">
        <f>VLOOKUP(A1030,Insumos!$A$10:$F$3462,4,FALSE)</f>
        <v>10.72</v>
      </c>
      <c r="F1030" s="329">
        <f>ROUND((D1030*E1030),2)</f>
        <v>112.56</v>
      </c>
      <c r="G1030" s="355"/>
      <c r="I1030" s="143"/>
      <c r="J1030" s="143"/>
      <c r="K1030" s="143"/>
      <c r="O1030" s="220"/>
    </row>
    <row r="1031" spans="1:15" s="159" customFormat="1" ht="14.25" customHeight="1" x14ac:dyDescent="0.25">
      <c r="A1031" s="376"/>
      <c r="B1031" s="101" t="s">
        <v>148</v>
      </c>
      <c r="C1031" s="102"/>
      <c r="D1031" s="112"/>
      <c r="E1031" s="353"/>
      <c r="F1031" s="353"/>
      <c r="G1031" s="338">
        <f>+SUM(F1027:F1030)</f>
        <v>114.86</v>
      </c>
      <c r="I1031" s="143"/>
      <c r="J1031" s="143"/>
      <c r="K1031" s="143"/>
      <c r="O1031" s="220"/>
    </row>
    <row r="1032" spans="1:15" s="159" customFormat="1" ht="14.25" customHeight="1" x14ac:dyDescent="0.25">
      <c r="A1032" s="376"/>
      <c r="B1032" s="99" t="s">
        <v>149</v>
      </c>
      <c r="C1032" s="106"/>
      <c r="D1032" s="114"/>
      <c r="E1032" s="106"/>
      <c r="F1032" s="106"/>
      <c r="G1032" s="109" t="s">
        <v>150</v>
      </c>
      <c r="I1032" s="143"/>
      <c r="J1032" s="143"/>
      <c r="K1032" s="143"/>
      <c r="O1032" s="220"/>
    </row>
    <row r="1033" spans="1:15" s="159" customFormat="1" ht="14.25" customHeight="1" x14ac:dyDescent="0.25">
      <c r="A1033" s="376"/>
      <c r="B1033" s="99" t="s">
        <v>98</v>
      </c>
      <c r="C1033" s="146"/>
      <c r="D1033" s="110"/>
      <c r="E1033" s="146"/>
      <c r="F1033" s="146"/>
      <c r="G1033" s="148"/>
      <c r="I1033" s="143"/>
      <c r="J1033" s="143"/>
      <c r="K1033" s="143"/>
      <c r="O1033" s="220"/>
    </row>
    <row r="1034" spans="1:15" s="159" customFormat="1" ht="14.25" customHeight="1" x14ac:dyDescent="0.25">
      <c r="A1034" s="376"/>
      <c r="B1034" s="99" t="s">
        <v>98</v>
      </c>
      <c r="C1034" s="146"/>
      <c r="D1034" s="110"/>
      <c r="E1034" s="146"/>
      <c r="F1034" s="146"/>
      <c r="G1034" s="148"/>
      <c r="I1034" s="143"/>
      <c r="J1034" s="143"/>
      <c r="K1034" s="143"/>
      <c r="O1034" s="220"/>
    </row>
    <row r="1035" spans="1:15" s="159" customFormat="1" ht="14.25" customHeight="1" thickBot="1" x14ac:dyDescent="0.3">
      <c r="A1035" s="376"/>
      <c r="B1035" s="115" t="s">
        <v>151</v>
      </c>
      <c r="C1035" s="116"/>
      <c r="D1035" s="117"/>
      <c r="E1035" s="116"/>
      <c r="F1035" s="116"/>
      <c r="G1035" s="118">
        <f>+SUM(F1033:F1034)</f>
        <v>0</v>
      </c>
      <c r="I1035" s="143"/>
      <c r="J1035" s="143"/>
      <c r="K1035" s="143"/>
      <c r="O1035" s="220"/>
    </row>
    <row r="1036" spans="1:15" s="159" customFormat="1" ht="14.25" customHeight="1" thickBot="1" x14ac:dyDescent="0.3">
      <c r="A1036" s="376"/>
      <c r="B1036" s="1382"/>
      <c r="C1036" s="1382"/>
      <c r="D1036" s="1382"/>
      <c r="E1036" s="1382"/>
      <c r="F1036" s="1382"/>
      <c r="G1036" s="1382"/>
      <c r="I1036" s="143"/>
      <c r="J1036" s="143"/>
      <c r="K1036" s="143"/>
      <c r="O1036" s="220"/>
    </row>
    <row r="1037" spans="1:15" s="159" customFormat="1" ht="14.25" customHeight="1" thickBot="1" x14ac:dyDescent="0.3">
      <c r="A1037" s="376"/>
      <c r="B1037" s="69" t="s">
        <v>152</v>
      </c>
      <c r="C1037" s="70" t="s">
        <v>4415</v>
      </c>
      <c r="D1037" s="71" t="s">
        <v>154</v>
      </c>
      <c r="E1037" s="1381" t="s">
        <v>155</v>
      </c>
      <c r="F1037" s="1381"/>
      <c r="G1037" s="1381"/>
      <c r="I1037" s="143"/>
      <c r="J1037" s="143"/>
      <c r="K1037" s="143"/>
      <c r="O1037" s="220"/>
    </row>
    <row r="1038" spans="1:15" s="159" customFormat="1" ht="14.25" customHeight="1" thickBot="1" x14ac:dyDescent="0.3">
      <c r="A1038" s="376"/>
      <c r="B1038" s="72" t="s">
        <v>156</v>
      </c>
      <c r="C1038" s="73"/>
      <c r="D1038" s="332">
        <f>G1025</f>
        <v>31.88</v>
      </c>
      <c r="E1038" s="1381"/>
      <c r="F1038" s="1381"/>
      <c r="G1038" s="1381"/>
      <c r="I1038" s="143"/>
      <c r="J1038" s="143"/>
      <c r="K1038" s="143"/>
      <c r="O1038" s="220"/>
    </row>
    <row r="1039" spans="1:15" s="159" customFormat="1" ht="14.25" customHeight="1" thickBot="1" x14ac:dyDescent="0.3">
      <c r="A1039" s="376"/>
      <c r="B1039" s="72" t="s">
        <v>157</v>
      </c>
      <c r="C1039" s="73"/>
      <c r="D1039" s="332">
        <f>G1031</f>
        <v>114.86</v>
      </c>
      <c r="E1039" s="1381"/>
      <c r="F1039" s="1381"/>
      <c r="G1039" s="1381"/>
      <c r="I1039" s="143"/>
      <c r="J1039" s="143"/>
      <c r="K1039" s="143"/>
      <c r="O1039" s="220"/>
    </row>
    <row r="1040" spans="1:15" s="159" customFormat="1" ht="14.25" customHeight="1" thickBot="1" x14ac:dyDescent="0.3">
      <c r="A1040" s="376"/>
      <c r="B1040" s="72" t="s">
        <v>158</v>
      </c>
      <c r="C1040" s="73"/>
      <c r="D1040" s="332">
        <f>G1035</f>
        <v>0</v>
      </c>
      <c r="E1040" s="1381"/>
      <c r="F1040" s="1381"/>
      <c r="G1040" s="1381"/>
      <c r="I1040" s="143"/>
      <c r="J1040" s="143"/>
      <c r="K1040" s="143"/>
      <c r="O1040" s="220"/>
    </row>
    <row r="1041" spans="1:15" s="159" customFormat="1" ht="14.25" customHeight="1" thickBot="1" x14ac:dyDescent="0.3">
      <c r="A1041" s="376"/>
      <c r="B1041" s="72" t="s">
        <v>159</v>
      </c>
      <c r="C1041" s="74">
        <f>$J$5</f>
        <v>157.27000000000001</v>
      </c>
      <c r="D1041" s="332">
        <f>+ROUND((D1038*C1041),2)/100</f>
        <v>50.14</v>
      </c>
      <c r="E1041" s="1381"/>
      <c r="F1041" s="1381"/>
      <c r="G1041" s="1381"/>
      <c r="I1041" s="143"/>
      <c r="J1041" s="143"/>
      <c r="K1041" s="143"/>
      <c r="O1041" s="220"/>
    </row>
    <row r="1042" spans="1:15" s="159" customFormat="1" ht="14.25" customHeight="1" thickBot="1" x14ac:dyDescent="0.3">
      <c r="A1042" s="376"/>
      <c r="B1042" s="72" t="s">
        <v>160</v>
      </c>
      <c r="C1042" s="75"/>
      <c r="D1042" s="333">
        <f>+SUM(D1038:D1041)</f>
        <v>196.88</v>
      </c>
      <c r="E1042" s="1381"/>
      <c r="F1042" s="1381"/>
      <c r="G1042" s="1381"/>
      <c r="I1042" s="143"/>
      <c r="J1042" s="143"/>
      <c r="K1042" s="143"/>
      <c r="O1042" s="220"/>
    </row>
    <row r="1043" spans="1:15" s="159" customFormat="1" ht="14.25" customHeight="1" thickBot="1" x14ac:dyDescent="0.3">
      <c r="A1043" s="376"/>
      <c r="B1043" s="72" t="s">
        <v>161</v>
      </c>
      <c r="C1043" s="73"/>
      <c r="D1043" s="332" t="s">
        <v>162</v>
      </c>
      <c r="E1043" s="1382" t="s">
        <v>163</v>
      </c>
      <c r="F1043" s="1382"/>
      <c r="G1043" s="1382"/>
      <c r="I1043" s="143"/>
      <c r="J1043" s="143"/>
      <c r="K1043" s="143"/>
      <c r="O1043" s="220"/>
    </row>
    <row r="1044" spans="1:15" s="159" customFormat="1" ht="14.25" customHeight="1" thickBot="1" x14ac:dyDescent="0.3">
      <c r="A1044" s="376"/>
      <c r="B1044" s="122" t="s">
        <v>164</v>
      </c>
      <c r="C1044" s="123"/>
      <c r="D1044" s="334">
        <f>+SUM(D1042:D1043)</f>
        <v>196.88</v>
      </c>
      <c r="E1044" s="1382"/>
      <c r="F1044" s="1382"/>
      <c r="G1044" s="1382"/>
      <c r="I1044" s="143"/>
      <c r="J1044" s="143"/>
      <c r="K1044" s="143"/>
      <c r="O1044" s="220"/>
    </row>
    <row r="1045" spans="1:15" s="159" customFormat="1" ht="14.25" customHeight="1" thickBot="1" x14ac:dyDescent="0.3">
      <c r="A1045" s="376"/>
      <c r="B1045" s="124" t="s">
        <v>165</v>
      </c>
      <c r="C1045" s="125">
        <f>$I$5</f>
        <v>28.49</v>
      </c>
      <c r="D1045" s="335">
        <f>ROUND((D1044*C1045),2)/100</f>
        <v>56.09</v>
      </c>
      <c r="E1045" s="1382"/>
      <c r="F1045" s="1382"/>
      <c r="G1045" s="1382"/>
      <c r="I1045" s="143"/>
      <c r="J1045" s="143"/>
      <c r="K1045" s="143"/>
      <c r="O1045" s="220"/>
    </row>
    <row r="1046" spans="1:15" s="159" customFormat="1" ht="14.25" customHeight="1" thickBot="1" x14ac:dyDescent="0.3">
      <c r="A1046" s="376"/>
      <c r="B1046" s="80" t="s">
        <v>166</v>
      </c>
      <c r="C1046" s="127"/>
      <c r="D1046" s="336">
        <f>+SUM(D1044:D1045)</f>
        <v>252.97</v>
      </c>
      <c r="E1046" s="128"/>
      <c r="F1046" s="337">
        <f>D1046</f>
        <v>252.97</v>
      </c>
      <c r="G1046" s="131"/>
      <c r="I1046" s="143"/>
      <c r="J1046" s="143"/>
      <c r="K1046" s="143"/>
      <c r="O1046" s="220"/>
    </row>
    <row r="1047" spans="1:15" s="159" customFormat="1" ht="14.25" customHeight="1" x14ac:dyDescent="0.25">
      <c r="A1047" s="376"/>
      <c r="B1047" s="28"/>
      <c r="C1047" s="28"/>
      <c r="D1047" s="28"/>
      <c r="E1047" s="28"/>
      <c r="F1047" s="28"/>
      <c r="G1047" s="28"/>
      <c r="I1047" s="143"/>
      <c r="J1047" s="143"/>
      <c r="K1047" s="143"/>
      <c r="O1047" s="220"/>
    </row>
    <row r="1048" spans="1:15" ht="14.25" customHeight="1" thickBot="1" x14ac:dyDescent="0.3">
      <c r="A1048" s="376"/>
      <c r="B1048" s="28"/>
      <c r="C1048" s="28"/>
      <c r="D1048" s="28"/>
      <c r="E1048" s="28"/>
      <c r="F1048" s="28"/>
      <c r="G1048" s="28"/>
      <c r="H1048" s="129"/>
      <c r="I1048" s="33"/>
      <c r="J1048" s="33"/>
      <c r="K1048" s="33"/>
      <c r="O1048" s="220"/>
    </row>
    <row r="1049" spans="1:15" x14ac:dyDescent="0.25">
      <c r="A1049" s="376"/>
      <c r="B1049" s="1383" t="s">
        <v>131</v>
      </c>
      <c r="C1049" s="1383"/>
      <c r="D1049" s="1383"/>
      <c r="E1049" s="1383"/>
      <c r="F1049" s="1383"/>
      <c r="G1049" s="1383"/>
      <c r="H1049" s="129"/>
      <c r="I1049" s="33"/>
      <c r="J1049" s="33"/>
      <c r="K1049" s="33"/>
      <c r="O1049" s="220"/>
    </row>
    <row r="1050" spans="1:15" ht="15.75" thickBot="1" x14ac:dyDescent="0.3">
      <c r="A1050" s="376"/>
      <c r="B1050" s="1384" t="str">
        <f>$I$3</f>
        <v>Urbanização da Orla de Piúma - Município de Piúma / ES</v>
      </c>
      <c r="C1050" s="1385"/>
      <c r="D1050" s="1385"/>
      <c r="E1050" s="1385"/>
      <c r="F1050" s="1385"/>
      <c r="G1050" s="1386"/>
      <c r="H1050" s="129"/>
      <c r="I1050" s="33"/>
      <c r="J1050" s="33"/>
      <c r="K1050" s="33"/>
      <c r="O1050" s="220"/>
    </row>
    <row r="1051" spans="1:15" ht="15.75" thickBot="1" x14ac:dyDescent="0.3">
      <c r="A1051" s="376"/>
      <c r="B1051" s="34" t="s">
        <v>132</v>
      </c>
      <c r="C1051" s="34" t="s">
        <v>133</v>
      </c>
      <c r="D1051" s="1381" t="s">
        <v>134</v>
      </c>
      <c r="E1051" s="1381"/>
      <c r="F1051" s="131" t="s">
        <v>275</v>
      </c>
      <c r="G1051" s="35" t="s">
        <v>135</v>
      </c>
      <c r="H1051" s="129"/>
      <c r="I1051" s="31"/>
      <c r="J1051" s="31"/>
      <c r="K1051" s="33"/>
      <c r="O1051" s="220"/>
    </row>
    <row r="1052" spans="1:15" ht="35.25" customHeight="1" thickBot="1" x14ac:dyDescent="0.3">
      <c r="A1052" s="376"/>
      <c r="B1052" s="132" t="s">
        <v>4400</v>
      </c>
      <c r="C1052" s="92" t="s">
        <v>98</v>
      </c>
      <c r="D1052" s="1381" t="s">
        <v>5</v>
      </c>
      <c r="E1052" s="1381"/>
      <c r="F1052" s="144" t="s">
        <v>227</v>
      </c>
      <c r="G1052" s="38">
        <f>$K$5</f>
        <v>44501</v>
      </c>
      <c r="H1052" s="129"/>
      <c r="I1052" s="33"/>
      <c r="J1052" s="33"/>
      <c r="K1052" s="33"/>
      <c r="O1052" s="220"/>
    </row>
    <row r="1053" spans="1:15" ht="6" customHeight="1" thickBot="1" x14ac:dyDescent="0.3">
      <c r="A1053" s="376"/>
      <c r="B1053" s="1382"/>
      <c r="C1053" s="1382"/>
      <c r="D1053" s="1382"/>
      <c r="E1053" s="1382"/>
      <c r="F1053" s="1382"/>
      <c r="G1053" s="1382"/>
      <c r="H1053" s="129"/>
      <c r="I1053" s="33"/>
      <c r="J1053" s="33"/>
      <c r="K1053" s="33"/>
      <c r="O1053" s="220"/>
    </row>
    <row r="1054" spans="1:15" ht="14.25" customHeight="1" x14ac:dyDescent="0.25">
      <c r="A1054" s="376"/>
      <c r="B1054" s="41" t="s">
        <v>139</v>
      </c>
      <c r="C1054" s="42" t="s">
        <v>140</v>
      </c>
      <c r="D1054" s="42" t="s">
        <v>141</v>
      </c>
      <c r="E1054" s="42" t="s">
        <v>142</v>
      </c>
      <c r="F1054" s="42" t="s">
        <v>143</v>
      </c>
      <c r="G1054" s="43" t="s">
        <v>144</v>
      </c>
      <c r="H1054" s="129"/>
      <c r="I1054" s="33"/>
      <c r="J1054" s="33"/>
      <c r="K1054" s="33"/>
      <c r="O1054" s="220"/>
    </row>
    <row r="1055" spans="1:15" ht="14.25" customHeight="1" x14ac:dyDescent="0.25">
      <c r="A1055" s="376">
        <v>10138</v>
      </c>
      <c r="B1055" s="44" t="str">
        <f>VLOOKUP(A1055,Insumos!$A$10:$F$3462,2,FALSE)</f>
        <v>PASTILHEIRO - (OFICIAL - SINDUSCON)</v>
      </c>
      <c r="C1055" s="45" t="str">
        <f>VLOOKUP(A1055,Insumos!$A$10:$F$3462,3,FALSE)</f>
        <v>H</v>
      </c>
      <c r="D1055" s="46">
        <v>0.75</v>
      </c>
      <c r="E1055" s="329">
        <f>VLOOKUP(A1055,Insumos!$A$10:$F$3462,4,FALSE)</f>
        <v>7.43</v>
      </c>
      <c r="F1055" s="329">
        <f>ROUND((D1055*E1055),2)</f>
        <v>5.57</v>
      </c>
      <c r="G1055" s="355"/>
      <c r="H1055" s="129"/>
      <c r="I1055" s="33"/>
      <c r="J1055" s="33"/>
      <c r="K1055" s="33"/>
      <c r="O1055" s="220"/>
    </row>
    <row r="1056" spans="1:15" ht="14.25" customHeight="1" x14ac:dyDescent="0.25">
      <c r="A1056" s="376">
        <v>10146</v>
      </c>
      <c r="B1056" s="44" t="str">
        <f>VLOOKUP(A1056,Insumos!$A$10:$F$3462,2,FALSE)</f>
        <v>SERVENTE (AUXILIAR DE OBRAS - SINDUSCON)</v>
      </c>
      <c r="C1056" s="45" t="str">
        <f>VLOOKUP(A1056,Insumos!$A$10:$F$3462,3,FALSE)</f>
        <v>H</v>
      </c>
      <c r="D1056" s="46">
        <v>0.75</v>
      </c>
      <c r="E1056" s="329">
        <f>VLOOKUP(A1056,Insumos!$A$10:$F$3462,4,FALSE)</f>
        <v>5.46</v>
      </c>
      <c r="F1056" s="329">
        <f>ROUND((D1056*E1056),2)</f>
        <v>4.0999999999999996</v>
      </c>
      <c r="G1056" s="355"/>
      <c r="H1056" s="129"/>
      <c r="I1056" s="33"/>
      <c r="J1056" s="33"/>
      <c r="K1056" s="33"/>
      <c r="O1056" s="220"/>
    </row>
    <row r="1057" spans="1:15" ht="14.25" customHeight="1" x14ac:dyDescent="0.25">
      <c r="A1057" s="376"/>
      <c r="B1057" s="48"/>
      <c r="C1057" s="45"/>
      <c r="D1057" s="49"/>
      <c r="E1057" s="329"/>
      <c r="F1057" s="329"/>
      <c r="G1057" s="355"/>
      <c r="H1057" s="129"/>
      <c r="I1057" s="33"/>
      <c r="J1057" s="33"/>
      <c r="K1057" s="33"/>
      <c r="O1057" s="220"/>
    </row>
    <row r="1058" spans="1:15" ht="14.25" customHeight="1" x14ac:dyDescent="0.25">
      <c r="A1058" s="376"/>
      <c r="B1058" s="50" t="s">
        <v>145</v>
      </c>
      <c r="C1058" s="51"/>
      <c r="D1058" s="52"/>
      <c r="E1058" s="329"/>
      <c r="F1058" s="353"/>
      <c r="G1058" s="338">
        <f>+SUM(F1055:F1057)</f>
        <v>9.67</v>
      </c>
      <c r="H1058" s="129"/>
      <c r="I1058" s="33"/>
      <c r="J1058" s="33"/>
      <c r="K1058" s="33"/>
      <c r="O1058" s="220"/>
    </row>
    <row r="1059" spans="1:15" ht="14.25" customHeight="1" x14ac:dyDescent="0.25">
      <c r="A1059" s="376"/>
      <c r="B1059" s="48" t="s">
        <v>146</v>
      </c>
      <c r="C1059" s="55"/>
      <c r="D1059" s="56"/>
      <c r="E1059" s="45"/>
      <c r="F1059" s="57"/>
      <c r="G1059" s="58" t="s">
        <v>147</v>
      </c>
      <c r="H1059" s="129"/>
      <c r="I1059" s="33"/>
      <c r="J1059" s="33"/>
      <c r="K1059" s="33"/>
      <c r="O1059" s="220"/>
    </row>
    <row r="1060" spans="1:15" ht="14.25" customHeight="1" x14ac:dyDescent="0.25">
      <c r="A1060" s="376">
        <v>20572</v>
      </c>
      <c r="B1060" s="44" t="str">
        <f>VLOOKUP(A1060,Insumos!$A$10:$F$3462,2,FALSE)</f>
        <v>ARGAMASSA FINA PRE FABRICADA P/ ASSENT E REJUNTE DE PASTILHAS</v>
      </c>
      <c r="C1060" s="45" t="str">
        <f>VLOOKUP(A1060,Insumos!$A$10:$F$3462,3,FALSE)</f>
        <v>KG</v>
      </c>
      <c r="D1060" s="46">
        <v>6</v>
      </c>
      <c r="E1060" s="329">
        <f>VLOOKUP(A1060,Insumos!$A$10:$F$3462,4,FALSE)</f>
        <v>3.39</v>
      </c>
      <c r="F1060" s="329">
        <f>ROUND((D1060*E1060),2)</f>
        <v>20.34</v>
      </c>
      <c r="G1060" s="355"/>
      <c r="H1060" s="129"/>
      <c r="I1060" s="33"/>
      <c r="J1060" s="33"/>
      <c r="K1060" s="33"/>
      <c r="O1060" s="220"/>
    </row>
    <row r="1061" spans="1:15" ht="14.25" customHeight="1" x14ac:dyDescent="0.25">
      <c r="A1061" s="376">
        <v>20588</v>
      </c>
      <c r="B1061" s="44" t="str">
        <f>VLOOKUP(A1061,Insumos!$A$10:$F$3462,2,FALSE)</f>
        <v>REJUNTE PRE-FABRICADA</v>
      </c>
      <c r="C1061" s="45" t="str">
        <f>VLOOKUP(A1061,Insumos!$A$10:$F$3462,3,FALSE)</f>
        <v>KG</v>
      </c>
      <c r="D1061" s="46">
        <v>0.5</v>
      </c>
      <c r="E1061" s="329">
        <f>VLOOKUP(A1061,Insumos!$A$10:$F$3462,4,FALSE)</f>
        <v>6.22</v>
      </c>
      <c r="F1061" s="329">
        <f>ROUND((D1061*E1061),2)</f>
        <v>3.11</v>
      </c>
      <c r="G1061" s="355"/>
      <c r="H1061" s="129"/>
      <c r="I1061" s="33"/>
      <c r="J1061" s="33"/>
      <c r="K1061" s="33"/>
      <c r="O1061" s="220"/>
    </row>
    <row r="1062" spans="1:15" ht="29.25" customHeight="1" x14ac:dyDescent="0.25">
      <c r="A1062" s="376" t="s">
        <v>465</v>
      </c>
      <c r="B1062" s="230" t="str">
        <f>VLOOKUP(A1062,Insumos!$A$10:$F$3462,2,FALSE)</f>
        <v>Revestimento em pastilha de porcelana Coleção Mediterranée, PEI 2, Cerâmica JATOBÁ,  Código JD 4102  Pérola Oceânica - 2,5 x 2,5cm</v>
      </c>
      <c r="C1062" s="231" t="str">
        <f>VLOOKUP(A1062,Insumos!$A$10:$F$3462,3,FALSE)</f>
        <v>m2</v>
      </c>
      <c r="D1062" s="46">
        <v>1.05</v>
      </c>
      <c r="E1062" s="329">
        <f>VLOOKUP(A1062,Insumos!$A$10:$F$3462,4,FALSE)</f>
        <v>113.58</v>
      </c>
      <c r="F1062" s="329">
        <f>ROUND((D1062*E1062),2)</f>
        <v>119.26</v>
      </c>
      <c r="G1062" s="355"/>
      <c r="H1062" s="129"/>
      <c r="I1062" s="33"/>
      <c r="J1062" s="143" t="s">
        <v>501</v>
      </c>
      <c r="K1062" s="33"/>
      <c r="O1062" s="220"/>
    </row>
    <row r="1063" spans="1:15" ht="14.25" customHeight="1" x14ac:dyDescent="0.25">
      <c r="A1063" s="376"/>
      <c r="B1063" s="48"/>
      <c r="C1063" s="45"/>
      <c r="D1063" s="61"/>
      <c r="E1063" s="329"/>
      <c r="F1063" s="329"/>
      <c r="G1063" s="355"/>
      <c r="H1063" s="129"/>
      <c r="I1063" s="33"/>
      <c r="J1063" s="33"/>
      <c r="K1063" s="33"/>
      <c r="O1063" s="220"/>
    </row>
    <row r="1064" spans="1:15" ht="14.25" customHeight="1" x14ac:dyDescent="0.25">
      <c r="A1064" s="376"/>
      <c r="B1064" s="50" t="s">
        <v>148</v>
      </c>
      <c r="C1064" s="51"/>
      <c r="D1064" s="62"/>
      <c r="E1064" s="353"/>
      <c r="F1064" s="353"/>
      <c r="G1064" s="338">
        <f>+SUM(F1060:F1063)</f>
        <v>142.71</v>
      </c>
      <c r="H1064" s="129"/>
      <c r="I1064" s="33"/>
      <c r="J1064" s="33"/>
      <c r="K1064" s="33"/>
      <c r="O1064" s="220"/>
    </row>
    <row r="1065" spans="1:15" ht="14.25" customHeight="1" x14ac:dyDescent="0.25">
      <c r="A1065" s="376"/>
      <c r="B1065" s="48" t="s">
        <v>149</v>
      </c>
      <c r="C1065" s="55"/>
      <c r="D1065" s="64"/>
      <c r="E1065" s="55"/>
      <c r="F1065" s="55"/>
      <c r="G1065" s="58" t="s">
        <v>150</v>
      </c>
      <c r="H1065" s="129"/>
      <c r="I1065" s="33"/>
      <c r="J1065" s="33"/>
      <c r="K1065" s="33"/>
      <c r="O1065" s="220"/>
    </row>
    <row r="1066" spans="1:15" ht="14.25" customHeight="1" x14ac:dyDescent="0.25">
      <c r="A1066" s="376"/>
      <c r="B1066" s="48" t="s">
        <v>98</v>
      </c>
      <c r="C1066" s="45"/>
      <c r="D1066" s="59"/>
      <c r="E1066" s="45"/>
      <c r="F1066" s="45"/>
      <c r="G1066" s="47"/>
      <c r="H1066" s="129"/>
      <c r="I1066" s="33"/>
      <c r="J1066" s="33"/>
      <c r="K1066" s="33"/>
      <c r="O1066" s="220"/>
    </row>
    <row r="1067" spans="1:15" ht="14.25" customHeight="1" x14ac:dyDescent="0.25">
      <c r="A1067" s="376"/>
      <c r="B1067" s="48" t="s">
        <v>98</v>
      </c>
      <c r="C1067" s="45"/>
      <c r="D1067" s="59"/>
      <c r="E1067" s="45"/>
      <c r="F1067" s="45"/>
      <c r="G1067" s="47"/>
      <c r="H1067" s="129"/>
      <c r="I1067" s="33"/>
      <c r="J1067" s="33"/>
      <c r="K1067" s="33"/>
      <c r="O1067" s="220"/>
    </row>
    <row r="1068" spans="1:15" ht="14.25" customHeight="1" thickBot="1" x14ac:dyDescent="0.3">
      <c r="A1068" s="376"/>
      <c r="B1068" s="65" t="s">
        <v>151</v>
      </c>
      <c r="C1068" s="66"/>
      <c r="D1068" s="67"/>
      <c r="E1068" s="66"/>
      <c r="F1068" s="66"/>
      <c r="G1068" s="68">
        <f>+SUM(F1066:F1067)</f>
        <v>0</v>
      </c>
      <c r="H1068" s="129"/>
      <c r="I1068" s="33"/>
      <c r="J1068" s="33"/>
      <c r="K1068" s="33"/>
      <c r="O1068" s="220"/>
    </row>
    <row r="1069" spans="1:15" ht="4.5" customHeight="1" thickBot="1" x14ac:dyDescent="0.3">
      <c r="A1069" s="376"/>
      <c r="B1069" s="1382"/>
      <c r="C1069" s="1382"/>
      <c r="D1069" s="1382"/>
      <c r="E1069" s="1382"/>
      <c r="F1069" s="1382"/>
      <c r="G1069" s="1382"/>
      <c r="H1069" s="129"/>
      <c r="I1069" s="33"/>
      <c r="J1069" s="33"/>
      <c r="K1069" s="33"/>
      <c r="O1069" s="220"/>
    </row>
    <row r="1070" spans="1:15" ht="14.25" customHeight="1" thickBot="1" x14ac:dyDescent="0.3">
      <c r="A1070" s="376"/>
      <c r="B1070" s="69" t="s">
        <v>152</v>
      </c>
      <c r="C1070" s="70" t="s">
        <v>4415</v>
      </c>
      <c r="D1070" s="71" t="s">
        <v>154</v>
      </c>
      <c r="E1070" s="1381" t="s">
        <v>155</v>
      </c>
      <c r="F1070" s="1381"/>
      <c r="G1070" s="1381"/>
      <c r="H1070" s="129"/>
      <c r="I1070" s="33"/>
      <c r="J1070" s="33"/>
      <c r="K1070" s="33"/>
      <c r="O1070" s="220"/>
    </row>
    <row r="1071" spans="1:15" ht="14.25" customHeight="1" thickBot="1" x14ac:dyDescent="0.3">
      <c r="A1071" s="376"/>
      <c r="B1071" s="72" t="s">
        <v>156</v>
      </c>
      <c r="C1071" s="73"/>
      <c r="D1071" s="332">
        <f>G1058</f>
        <v>9.67</v>
      </c>
      <c r="E1071" s="1381"/>
      <c r="F1071" s="1381"/>
      <c r="G1071" s="1381"/>
      <c r="H1071" s="129"/>
      <c r="I1071" s="33"/>
      <c r="J1071" s="33"/>
      <c r="K1071" s="33"/>
      <c r="O1071" s="220"/>
    </row>
    <row r="1072" spans="1:15" ht="14.25" customHeight="1" thickBot="1" x14ac:dyDescent="0.3">
      <c r="A1072" s="376"/>
      <c r="B1072" s="72" t="s">
        <v>157</v>
      </c>
      <c r="C1072" s="73"/>
      <c r="D1072" s="332">
        <f>G1064</f>
        <v>142.71</v>
      </c>
      <c r="E1072" s="1381"/>
      <c r="F1072" s="1381"/>
      <c r="G1072" s="1381"/>
      <c r="H1072" s="129"/>
      <c r="I1072" s="33"/>
      <c r="J1072" s="33"/>
      <c r="K1072" s="33"/>
      <c r="O1072" s="220"/>
    </row>
    <row r="1073" spans="1:15" ht="14.25" customHeight="1" thickBot="1" x14ac:dyDescent="0.3">
      <c r="A1073" s="376"/>
      <c r="B1073" s="72" t="s">
        <v>158</v>
      </c>
      <c r="C1073" s="73"/>
      <c r="D1073" s="332">
        <f>G1068</f>
        <v>0</v>
      </c>
      <c r="E1073" s="1381"/>
      <c r="F1073" s="1381"/>
      <c r="G1073" s="1381"/>
      <c r="H1073" s="129"/>
      <c r="I1073" s="33"/>
      <c r="J1073" s="33"/>
      <c r="K1073" s="33"/>
      <c r="O1073" s="220"/>
    </row>
    <row r="1074" spans="1:15" ht="14.25" customHeight="1" thickBot="1" x14ac:dyDescent="0.3">
      <c r="A1074" s="376"/>
      <c r="B1074" s="72" t="s">
        <v>159</v>
      </c>
      <c r="C1074" s="74">
        <f>$J$5</f>
        <v>157.27000000000001</v>
      </c>
      <c r="D1074" s="332">
        <f>+ROUND((D1071*C1074),2)/100</f>
        <v>15.21</v>
      </c>
      <c r="E1074" s="1381"/>
      <c r="F1074" s="1381"/>
      <c r="G1074" s="1381"/>
      <c r="H1074" s="129"/>
      <c r="I1074" s="33"/>
      <c r="J1074" s="33"/>
      <c r="K1074" s="33"/>
      <c r="O1074" s="220"/>
    </row>
    <row r="1075" spans="1:15" ht="14.25" customHeight="1" thickBot="1" x14ac:dyDescent="0.3">
      <c r="A1075" s="376"/>
      <c r="B1075" s="72" t="s">
        <v>160</v>
      </c>
      <c r="C1075" s="75"/>
      <c r="D1075" s="333">
        <f>+SUM(D1071:D1074)</f>
        <v>167.59</v>
      </c>
      <c r="E1075" s="1381"/>
      <c r="F1075" s="1381"/>
      <c r="G1075" s="1381"/>
      <c r="H1075" s="129"/>
      <c r="I1075" s="33"/>
      <c r="J1075" s="33"/>
      <c r="K1075" s="33"/>
      <c r="O1075" s="220"/>
    </row>
    <row r="1076" spans="1:15" ht="14.25" customHeight="1" thickBot="1" x14ac:dyDescent="0.3">
      <c r="A1076" s="376"/>
      <c r="B1076" s="72" t="s">
        <v>161</v>
      </c>
      <c r="C1076" s="73"/>
      <c r="D1076" s="332" t="s">
        <v>162</v>
      </c>
      <c r="E1076" s="1382" t="s">
        <v>163</v>
      </c>
      <c r="F1076" s="1382"/>
      <c r="G1076" s="1382"/>
      <c r="H1076" s="129"/>
      <c r="I1076" s="33"/>
      <c r="J1076" s="33"/>
      <c r="K1076" s="33"/>
      <c r="O1076" s="220"/>
    </row>
    <row r="1077" spans="1:15" ht="14.25" customHeight="1" thickBot="1" x14ac:dyDescent="0.3">
      <c r="A1077" s="376"/>
      <c r="B1077" s="76" t="s">
        <v>164</v>
      </c>
      <c r="C1077" s="77"/>
      <c r="D1077" s="334">
        <f>+SUM(D1075:D1076)</f>
        <v>167.59</v>
      </c>
      <c r="E1077" s="1382"/>
      <c r="F1077" s="1382"/>
      <c r="G1077" s="1382"/>
      <c r="H1077" s="129"/>
      <c r="I1077" s="33"/>
      <c r="J1077" s="33"/>
      <c r="K1077" s="33"/>
      <c r="O1077" s="220"/>
    </row>
    <row r="1078" spans="1:15" ht="14.25" customHeight="1" thickBot="1" x14ac:dyDescent="0.3">
      <c r="A1078" s="376"/>
      <c r="B1078" s="78" t="s">
        <v>165</v>
      </c>
      <c r="C1078" s="79">
        <f>$I$5</f>
        <v>28.49</v>
      </c>
      <c r="D1078" s="335">
        <f>ROUND((D1077*C1078),2)/100</f>
        <v>47.75</v>
      </c>
      <c r="E1078" s="1382"/>
      <c r="F1078" s="1382"/>
      <c r="G1078" s="1382"/>
      <c r="H1078" s="129"/>
      <c r="I1078" s="33"/>
      <c r="J1078" s="33"/>
      <c r="K1078" s="33"/>
      <c r="O1078" s="220"/>
    </row>
    <row r="1079" spans="1:15" ht="14.25" customHeight="1" thickBot="1" x14ac:dyDescent="0.3">
      <c r="A1079" s="376"/>
      <c r="B1079" s="80" t="s">
        <v>166</v>
      </c>
      <c r="C1079" s="81"/>
      <c r="D1079" s="336">
        <f>+SUM(D1077:D1078)</f>
        <v>215.34</v>
      </c>
      <c r="E1079" s="82"/>
      <c r="F1079" s="337">
        <f>D1079</f>
        <v>215.34</v>
      </c>
      <c r="G1079" s="35"/>
      <c r="H1079" s="129"/>
      <c r="I1079" s="33"/>
      <c r="J1079" s="33"/>
      <c r="K1079" s="33"/>
      <c r="O1079" s="220"/>
    </row>
    <row r="1080" spans="1:15" ht="14.25" customHeight="1" x14ac:dyDescent="0.25">
      <c r="A1080" s="376"/>
      <c r="B1080" s="28"/>
      <c r="C1080" s="28"/>
      <c r="D1080" s="28"/>
      <c r="E1080" s="28"/>
      <c r="F1080" s="28"/>
      <c r="G1080" s="28"/>
      <c r="H1080" s="129"/>
      <c r="I1080" s="33"/>
      <c r="J1080" s="33"/>
      <c r="K1080" s="33"/>
      <c r="O1080" s="220"/>
    </row>
    <row r="1081" spans="1:15" ht="14.25" customHeight="1" thickBot="1" x14ac:dyDescent="0.3">
      <c r="A1081" s="376"/>
      <c r="B1081" s="28"/>
      <c r="C1081" s="28"/>
      <c r="D1081" s="28"/>
      <c r="E1081" s="28"/>
      <c r="F1081" s="28"/>
      <c r="G1081" s="28"/>
      <c r="H1081" s="129"/>
      <c r="I1081" s="33"/>
      <c r="J1081" s="33"/>
      <c r="K1081" s="33"/>
      <c r="O1081" s="220"/>
    </row>
    <row r="1082" spans="1:15" x14ac:dyDescent="0.25">
      <c r="A1082" s="376"/>
      <c r="B1082" s="1383" t="s">
        <v>131</v>
      </c>
      <c r="C1082" s="1383"/>
      <c r="D1082" s="1383"/>
      <c r="E1082" s="1383"/>
      <c r="F1082" s="1383"/>
      <c r="G1082" s="1383"/>
      <c r="H1082" s="129"/>
      <c r="I1082" s="33"/>
      <c r="J1082" s="33"/>
      <c r="K1082" s="33"/>
      <c r="O1082" s="220"/>
    </row>
    <row r="1083" spans="1:15" ht="15.75" thickBot="1" x14ac:dyDescent="0.3">
      <c r="A1083" s="376"/>
      <c r="B1083" s="1384" t="str">
        <f>$I$3</f>
        <v>Urbanização da Orla de Piúma - Município de Piúma / ES</v>
      </c>
      <c r="C1083" s="1385"/>
      <c r="D1083" s="1385"/>
      <c r="E1083" s="1385"/>
      <c r="F1083" s="1385"/>
      <c r="G1083" s="1386"/>
      <c r="H1083" s="129"/>
      <c r="I1083" s="33"/>
      <c r="J1083" s="33"/>
      <c r="K1083" s="33"/>
      <c r="O1083" s="220"/>
    </row>
    <row r="1084" spans="1:15" ht="15.75" thickBot="1" x14ac:dyDescent="0.3">
      <c r="A1084" s="376"/>
      <c r="B1084" s="34" t="s">
        <v>132</v>
      </c>
      <c r="C1084" s="34" t="s">
        <v>133</v>
      </c>
      <c r="D1084" s="1381" t="s">
        <v>134</v>
      </c>
      <c r="E1084" s="1381"/>
      <c r="F1084" s="131" t="s">
        <v>275</v>
      </c>
      <c r="G1084" s="35" t="s">
        <v>135</v>
      </c>
      <c r="H1084" s="129"/>
      <c r="I1084" s="31"/>
      <c r="J1084" s="31"/>
      <c r="K1084" s="33"/>
      <c r="O1084" s="220"/>
    </row>
    <row r="1085" spans="1:15" ht="35.25" customHeight="1" thickBot="1" x14ac:dyDescent="0.3">
      <c r="A1085" s="376"/>
      <c r="B1085" s="132" t="s">
        <v>4401</v>
      </c>
      <c r="C1085" s="92" t="s">
        <v>98</v>
      </c>
      <c r="D1085" s="1381" t="s">
        <v>5</v>
      </c>
      <c r="E1085" s="1381"/>
      <c r="F1085" s="144" t="s">
        <v>228</v>
      </c>
      <c r="G1085" s="38">
        <f>$K$5</f>
        <v>44501</v>
      </c>
      <c r="H1085" s="129"/>
      <c r="I1085" s="33"/>
      <c r="J1085" s="33"/>
      <c r="K1085" s="33"/>
      <c r="O1085" s="220"/>
    </row>
    <row r="1086" spans="1:15" ht="6" customHeight="1" thickBot="1" x14ac:dyDescent="0.3">
      <c r="A1086" s="376"/>
      <c r="B1086" s="1382"/>
      <c r="C1086" s="1382"/>
      <c r="D1086" s="1382"/>
      <c r="E1086" s="1382"/>
      <c r="F1086" s="1382"/>
      <c r="G1086" s="1382"/>
      <c r="H1086" s="129"/>
      <c r="I1086" s="33"/>
      <c r="J1086" s="33"/>
      <c r="K1086" s="33"/>
      <c r="O1086" s="220"/>
    </row>
    <row r="1087" spans="1:15" ht="14.25" customHeight="1" x14ac:dyDescent="0.25">
      <c r="A1087" s="376"/>
      <c r="B1087" s="41" t="s">
        <v>139</v>
      </c>
      <c r="C1087" s="42" t="s">
        <v>140</v>
      </c>
      <c r="D1087" s="42" t="s">
        <v>141</v>
      </c>
      <c r="E1087" s="42" t="s">
        <v>142</v>
      </c>
      <c r="F1087" s="42" t="s">
        <v>143</v>
      </c>
      <c r="G1087" s="43" t="s">
        <v>144</v>
      </c>
      <c r="H1087" s="129"/>
      <c r="I1087" s="33"/>
      <c r="J1087" s="33"/>
      <c r="K1087" s="33"/>
      <c r="O1087" s="220"/>
    </row>
    <row r="1088" spans="1:15" ht="14.25" customHeight="1" x14ac:dyDescent="0.25">
      <c r="A1088" s="376">
        <v>10138</v>
      </c>
      <c r="B1088" s="44" t="str">
        <f>VLOOKUP(A1088,Insumos!$A$10:$F$3462,2,FALSE)</f>
        <v>PASTILHEIRO - (OFICIAL - SINDUSCON)</v>
      </c>
      <c r="C1088" s="45" t="str">
        <f>VLOOKUP(A1088,Insumos!$A$10:$F$3462,3,FALSE)</f>
        <v>H</v>
      </c>
      <c r="D1088" s="46">
        <v>0.75</v>
      </c>
      <c r="E1088" s="329">
        <f>VLOOKUP(A1088,Insumos!$A$10:$F$3462,4,FALSE)</f>
        <v>7.43</v>
      </c>
      <c r="F1088" s="329">
        <f>ROUND((D1088*E1088),2)</f>
        <v>5.57</v>
      </c>
      <c r="G1088" s="355"/>
      <c r="H1088" s="129"/>
      <c r="I1088" s="33"/>
      <c r="J1088" s="33"/>
      <c r="K1088" s="33"/>
      <c r="O1088" s="220"/>
    </row>
    <row r="1089" spans="1:15" ht="14.25" customHeight="1" x14ac:dyDescent="0.25">
      <c r="A1089" s="376">
        <v>10146</v>
      </c>
      <c r="B1089" s="44" t="str">
        <f>VLOOKUP(A1089,Insumos!$A$10:$F$3462,2,FALSE)</f>
        <v>SERVENTE (AUXILIAR DE OBRAS - SINDUSCON)</v>
      </c>
      <c r="C1089" s="45" t="str">
        <f>VLOOKUP(A1089,Insumos!$A$10:$F$3462,3,FALSE)</f>
        <v>H</v>
      </c>
      <c r="D1089" s="46">
        <v>0.75</v>
      </c>
      <c r="E1089" s="329">
        <f>VLOOKUP(A1089,Insumos!$A$10:$F$3462,4,FALSE)</f>
        <v>5.46</v>
      </c>
      <c r="F1089" s="329">
        <f>ROUND((D1089*E1089),2)</f>
        <v>4.0999999999999996</v>
      </c>
      <c r="G1089" s="355"/>
      <c r="H1089" s="129"/>
      <c r="I1089" s="33"/>
      <c r="J1089" s="33"/>
      <c r="K1089" s="33"/>
      <c r="O1089" s="220"/>
    </row>
    <row r="1090" spans="1:15" ht="14.25" customHeight="1" x14ac:dyDescent="0.25">
      <c r="A1090" s="376"/>
      <c r="B1090" s="48"/>
      <c r="C1090" s="45"/>
      <c r="D1090" s="49"/>
      <c r="E1090" s="329"/>
      <c r="F1090" s="329"/>
      <c r="G1090" s="355"/>
      <c r="H1090" s="129"/>
      <c r="I1090" s="33"/>
      <c r="J1090" s="33"/>
      <c r="K1090" s="33"/>
      <c r="O1090" s="220"/>
    </row>
    <row r="1091" spans="1:15" ht="14.25" customHeight="1" x14ac:dyDescent="0.25">
      <c r="A1091" s="376"/>
      <c r="B1091" s="50" t="s">
        <v>145</v>
      </c>
      <c r="C1091" s="51"/>
      <c r="D1091" s="52"/>
      <c r="E1091" s="329"/>
      <c r="F1091" s="353"/>
      <c r="G1091" s="338">
        <f>+SUM(F1088:F1090)</f>
        <v>9.67</v>
      </c>
      <c r="H1091" s="129"/>
      <c r="I1091" s="33"/>
      <c r="J1091" s="33"/>
      <c r="K1091" s="33"/>
      <c r="O1091" s="220"/>
    </row>
    <row r="1092" spans="1:15" ht="14.25" customHeight="1" x14ac:dyDescent="0.25">
      <c r="A1092" s="376"/>
      <c r="B1092" s="48" t="s">
        <v>146</v>
      </c>
      <c r="C1092" s="55"/>
      <c r="D1092" s="56"/>
      <c r="E1092" s="45"/>
      <c r="F1092" s="57"/>
      <c r="G1092" s="58" t="s">
        <v>147</v>
      </c>
      <c r="H1092" s="129"/>
      <c r="I1092" s="33"/>
      <c r="J1092" s="33"/>
      <c r="K1092" s="33"/>
      <c r="O1092" s="220"/>
    </row>
    <row r="1093" spans="1:15" ht="14.25" customHeight="1" x14ac:dyDescent="0.25">
      <c r="A1093" s="376">
        <v>20572</v>
      </c>
      <c r="B1093" s="44" t="str">
        <f>VLOOKUP(A1093,Insumos!$A$10:$F$3462,2,FALSE)</f>
        <v>ARGAMASSA FINA PRE FABRICADA P/ ASSENT E REJUNTE DE PASTILHAS</v>
      </c>
      <c r="C1093" s="45" t="str">
        <f>VLOOKUP(A1093,Insumos!$A$10:$F$3462,3,FALSE)</f>
        <v>KG</v>
      </c>
      <c r="D1093" s="46">
        <v>6</v>
      </c>
      <c r="E1093" s="329">
        <f>VLOOKUP(A1093,Insumos!$A$10:$F$3462,4,FALSE)</f>
        <v>3.39</v>
      </c>
      <c r="F1093" s="329">
        <f>ROUND((D1093*E1093),2)</f>
        <v>20.34</v>
      </c>
      <c r="G1093" s="355"/>
      <c r="H1093" s="129"/>
      <c r="I1093" s="33"/>
      <c r="J1093" s="33"/>
      <c r="K1093" s="33"/>
      <c r="O1093" s="220"/>
    </row>
    <row r="1094" spans="1:15" ht="14.25" customHeight="1" x14ac:dyDescent="0.25">
      <c r="A1094" s="376">
        <v>20588</v>
      </c>
      <c r="B1094" s="44" t="str">
        <f>VLOOKUP(A1094,Insumos!$A$10:$F$3462,2,FALSE)</f>
        <v>REJUNTE PRE-FABRICADA</v>
      </c>
      <c r="C1094" s="45" t="str">
        <f>VLOOKUP(A1094,Insumos!$A$10:$F$3462,3,FALSE)</f>
        <v>KG</v>
      </c>
      <c r="D1094" s="46">
        <v>0.5</v>
      </c>
      <c r="E1094" s="329">
        <f>VLOOKUP(A1094,Insumos!$A$10:$F$3462,4,FALSE)</f>
        <v>6.22</v>
      </c>
      <c r="F1094" s="329">
        <f>ROUND((D1094*E1094),2)</f>
        <v>3.11</v>
      </c>
      <c r="G1094" s="355"/>
      <c r="H1094" s="129"/>
      <c r="I1094" s="33"/>
      <c r="J1094" s="33"/>
      <c r="K1094" s="33"/>
      <c r="O1094" s="220"/>
    </row>
    <row r="1095" spans="1:15" ht="29.25" customHeight="1" x14ac:dyDescent="0.25">
      <c r="A1095" s="376" t="s">
        <v>466</v>
      </c>
      <c r="B1095" s="230" t="str">
        <f>VLOOKUP(A1095,Insumos!$A$10:$F$3462,2,FALSE)</f>
        <v>Revestimento em pastilha de porcelana Coleção Mediterranée,  Cerâmica JATOBÁ,  Código do Conjunto JD 8410 Miscelania Azul - 2,5 x 2,5cm</v>
      </c>
      <c r="C1095" s="231" t="str">
        <f>VLOOKUP(A1095,Insumos!$A$10:$F$3462,3,FALSE)</f>
        <v>m2</v>
      </c>
      <c r="D1095" s="46">
        <v>1.05</v>
      </c>
      <c r="E1095" s="329">
        <f>VLOOKUP(A1095,Insumos!$A$10:$F$3462,4,FALSE)</f>
        <v>113.58</v>
      </c>
      <c r="F1095" s="329">
        <f>ROUND((D1095*E1095),2)</f>
        <v>119.26</v>
      </c>
      <c r="G1095" s="355"/>
      <c r="H1095" s="129"/>
      <c r="I1095" s="33"/>
      <c r="J1095" s="143" t="s">
        <v>501</v>
      </c>
      <c r="K1095" s="33"/>
      <c r="O1095" s="220"/>
    </row>
    <row r="1096" spans="1:15" ht="14.25" customHeight="1" x14ac:dyDescent="0.25">
      <c r="A1096" s="376"/>
      <c r="B1096" s="48"/>
      <c r="C1096" s="45"/>
      <c r="D1096" s="61"/>
      <c r="E1096" s="329"/>
      <c r="F1096" s="329"/>
      <c r="G1096" s="355"/>
      <c r="H1096" s="129"/>
      <c r="I1096" s="33"/>
      <c r="J1096" s="33"/>
      <c r="K1096" s="33"/>
      <c r="O1096" s="220"/>
    </row>
    <row r="1097" spans="1:15" ht="14.25" customHeight="1" x14ac:dyDescent="0.25">
      <c r="A1097" s="376"/>
      <c r="B1097" s="50" t="s">
        <v>148</v>
      </c>
      <c r="C1097" s="51"/>
      <c r="D1097" s="62"/>
      <c r="E1097" s="353"/>
      <c r="F1097" s="353"/>
      <c r="G1097" s="338">
        <f>+SUM(F1093:F1096)</f>
        <v>142.71</v>
      </c>
      <c r="H1097" s="129"/>
      <c r="I1097" s="33"/>
      <c r="J1097" s="33"/>
      <c r="K1097" s="33"/>
      <c r="O1097" s="220"/>
    </row>
    <row r="1098" spans="1:15" ht="14.25" customHeight="1" x14ac:dyDescent="0.25">
      <c r="A1098" s="376"/>
      <c r="B1098" s="48" t="s">
        <v>149</v>
      </c>
      <c r="C1098" s="55"/>
      <c r="D1098" s="64"/>
      <c r="E1098" s="55"/>
      <c r="F1098" s="55"/>
      <c r="G1098" s="58" t="s">
        <v>150</v>
      </c>
      <c r="H1098" s="129"/>
      <c r="I1098" s="33"/>
      <c r="J1098" s="33"/>
      <c r="K1098" s="33"/>
      <c r="O1098" s="220"/>
    </row>
    <row r="1099" spans="1:15" ht="14.25" customHeight="1" x14ac:dyDescent="0.25">
      <c r="A1099" s="376"/>
      <c r="B1099" s="48" t="s">
        <v>98</v>
      </c>
      <c r="C1099" s="45"/>
      <c r="D1099" s="59"/>
      <c r="E1099" s="45"/>
      <c r="F1099" s="45"/>
      <c r="G1099" s="47"/>
      <c r="H1099" s="129"/>
      <c r="I1099" s="33"/>
      <c r="J1099" s="33"/>
      <c r="K1099" s="33"/>
      <c r="O1099" s="220"/>
    </row>
    <row r="1100" spans="1:15" ht="14.25" customHeight="1" x14ac:dyDescent="0.25">
      <c r="A1100" s="376"/>
      <c r="B1100" s="48" t="s">
        <v>98</v>
      </c>
      <c r="C1100" s="45"/>
      <c r="D1100" s="59"/>
      <c r="E1100" s="45"/>
      <c r="F1100" s="45"/>
      <c r="G1100" s="47"/>
      <c r="H1100" s="129"/>
      <c r="I1100" s="33"/>
      <c r="J1100" s="33"/>
      <c r="K1100" s="33"/>
      <c r="O1100" s="220"/>
    </row>
    <row r="1101" spans="1:15" ht="14.25" customHeight="1" thickBot="1" x14ac:dyDescent="0.3">
      <c r="A1101" s="376"/>
      <c r="B1101" s="65" t="s">
        <v>151</v>
      </c>
      <c r="C1101" s="66"/>
      <c r="D1101" s="67"/>
      <c r="E1101" s="66"/>
      <c r="F1101" s="66"/>
      <c r="G1101" s="68">
        <f>+SUM(F1099:F1100)</f>
        <v>0</v>
      </c>
      <c r="H1101" s="129"/>
      <c r="I1101" s="33"/>
      <c r="J1101" s="33"/>
      <c r="K1101" s="33"/>
      <c r="O1101" s="220"/>
    </row>
    <row r="1102" spans="1:15" ht="4.5" customHeight="1" thickBot="1" x14ac:dyDescent="0.3">
      <c r="A1102" s="376"/>
      <c r="B1102" s="1382"/>
      <c r="C1102" s="1382"/>
      <c r="D1102" s="1382"/>
      <c r="E1102" s="1382"/>
      <c r="F1102" s="1382"/>
      <c r="G1102" s="1382"/>
      <c r="H1102" s="129"/>
      <c r="I1102" s="33"/>
      <c r="J1102" s="33"/>
      <c r="K1102" s="33"/>
      <c r="O1102" s="220"/>
    </row>
    <row r="1103" spans="1:15" ht="14.25" customHeight="1" thickBot="1" x14ac:dyDescent="0.3">
      <c r="A1103" s="376"/>
      <c r="B1103" s="69" t="s">
        <v>152</v>
      </c>
      <c r="C1103" s="70" t="s">
        <v>4415</v>
      </c>
      <c r="D1103" s="71" t="s">
        <v>154</v>
      </c>
      <c r="E1103" s="1381" t="s">
        <v>155</v>
      </c>
      <c r="F1103" s="1381"/>
      <c r="G1103" s="1381"/>
      <c r="H1103" s="129"/>
      <c r="I1103" s="33"/>
      <c r="J1103" s="33"/>
      <c r="K1103" s="33"/>
      <c r="O1103" s="220"/>
    </row>
    <row r="1104" spans="1:15" ht="14.25" customHeight="1" thickBot="1" x14ac:dyDescent="0.3">
      <c r="A1104" s="376"/>
      <c r="B1104" s="72" t="s">
        <v>156</v>
      </c>
      <c r="C1104" s="73"/>
      <c r="D1104" s="332">
        <f>G1091</f>
        <v>9.67</v>
      </c>
      <c r="E1104" s="1381"/>
      <c r="F1104" s="1381"/>
      <c r="G1104" s="1381"/>
      <c r="H1104" s="129"/>
      <c r="I1104" s="33"/>
      <c r="J1104" s="33"/>
      <c r="K1104" s="33"/>
      <c r="O1104" s="220"/>
    </row>
    <row r="1105" spans="1:15" ht="14.25" customHeight="1" thickBot="1" x14ac:dyDescent="0.3">
      <c r="A1105" s="376"/>
      <c r="B1105" s="72" t="s">
        <v>157</v>
      </c>
      <c r="C1105" s="73"/>
      <c r="D1105" s="332">
        <f>G1097</f>
        <v>142.71</v>
      </c>
      <c r="E1105" s="1381"/>
      <c r="F1105" s="1381"/>
      <c r="G1105" s="1381"/>
      <c r="H1105" s="129"/>
      <c r="I1105" s="33"/>
      <c r="J1105" s="33"/>
      <c r="K1105" s="33"/>
      <c r="O1105" s="220"/>
    </row>
    <row r="1106" spans="1:15" ht="14.25" customHeight="1" thickBot="1" x14ac:dyDescent="0.3">
      <c r="A1106" s="376"/>
      <c r="B1106" s="72" t="s">
        <v>158</v>
      </c>
      <c r="C1106" s="73"/>
      <c r="D1106" s="332">
        <f>G1101</f>
        <v>0</v>
      </c>
      <c r="E1106" s="1381"/>
      <c r="F1106" s="1381"/>
      <c r="G1106" s="1381"/>
      <c r="H1106" s="129"/>
      <c r="I1106" s="33"/>
      <c r="J1106" s="33"/>
      <c r="K1106" s="33"/>
      <c r="O1106" s="220"/>
    </row>
    <row r="1107" spans="1:15" ht="14.25" customHeight="1" thickBot="1" x14ac:dyDescent="0.3">
      <c r="A1107" s="376"/>
      <c r="B1107" s="72" t="s">
        <v>159</v>
      </c>
      <c r="C1107" s="74">
        <f>$J$5</f>
        <v>157.27000000000001</v>
      </c>
      <c r="D1107" s="332">
        <f>+ROUND((D1104*C1107),2)/100</f>
        <v>15.21</v>
      </c>
      <c r="E1107" s="1381"/>
      <c r="F1107" s="1381"/>
      <c r="G1107" s="1381"/>
      <c r="H1107" s="129"/>
      <c r="I1107" s="33"/>
      <c r="J1107" s="33"/>
      <c r="K1107" s="33"/>
      <c r="O1107" s="220"/>
    </row>
    <row r="1108" spans="1:15" ht="14.25" customHeight="1" thickBot="1" x14ac:dyDescent="0.3">
      <c r="A1108" s="376"/>
      <c r="B1108" s="72" t="s">
        <v>160</v>
      </c>
      <c r="C1108" s="75"/>
      <c r="D1108" s="333">
        <f>+SUM(D1104:D1107)</f>
        <v>167.59</v>
      </c>
      <c r="E1108" s="1381"/>
      <c r="F1108" s="1381"/>
      <c r="G1108" s="1381"/>
      <c r="H1108" s="129"/>
      <c r="I1108" s="33"/>
      <c r="J1108" s="33"/>
      <c r="K1108" s="33"/>
      <c r="O1108" s="220"/>
    </row>
    <row r="1109" spans="1:15" ht="14.25" customHeight="1" thickBot="1" x14ac:dyDescent="0.3">
      <c r="A1109" s="376"/>
      <c r="B1109" s="72" t="s">
        <v>161</v>
      </c>
      <c r="C1109" s="73"/>
      <c r="D1109" s="332" t="s">
        <v>162</v>
      </c>
      <c r="E1109" s="1382" t="s">
        <v>163</v>
      </c>
      <c r="F1109" s="1382"/>
      <c r="G1109" s="1382"/>
      <c r="H1109" s="129"/>
      <c r="I1109" s="33"/>
      <c r="J1109" s="33"/>
      <c r="K1109" s="33"/>
      <c r="O1109" s="220"/>
    </row>
    <row r="1110" spans="1:15" ht="14.25" customHeight="1" thickBot="1" x14ac:dyDescent="0.3">
      <c r="A1110" s="376"/>
      <c r="B1110" s="76" t="s">
        <v>164</v>
      </c>
      <c r="C1110" s="77"/>
      <c r="D1110" s="334">
        <f>+SUM(D1108:D1109)</f>
        <v>167.59</v>
      </c>
      <c r="E1110" s="1382"/>
      <c r="F1110" s="1382"/>
      <c r="G1110" s="1382"/>
      <c r="H1110" s="129"/>
      <c r="I1110" s="33"/>
      <c r="J1110" s="33"/>
      <c r="K1110" s="33"/>
      <c r="O1110" s="220"/>
    </row>
    <row r="1111" spans="1:15" ht="14.25" customHeight="1" thickBot="1" x14ac:dyDescent="0.3">
      <c r="A1111" s="376"/>
      <c r="B1111" s="78" t="s">
        <v>165</v>
      </c>
      <c r="C1111" s="79">
        <f>$I$5</f>
        <v>28.49</v>
      </c>
      <c r="D1111" s="335">
        <f>ROUND((D1110*C1111),2)/100</f>
        <v>47.75</v>
      </c>
      <c r="E1111" s="1382"/>
      <c r="F1111" s="1382"/>
      <c r="G1111" s="1382"/>
      <c r="H1111" s="129"/>
      <c r="I1111" s="33"/>
      <c r="J1111" s="33"/>
      <c r="K1111" s="33"/>
      <c r="O1111" s="220"/>
    </row>
    <row r="1112" spans="1:15" ht="14.25" customHeight="1" thickBot="1" x14ac:dyDescent="0.3">
      <c r="A1112" s="376"/>
      <c r="B1112" s="80" t="s">
        <v>166</v>
      </c>
      <c r="C1112" s="81"/>
      <c r="D1112" s="336">
        <f>+SUM(D1110:D1111)</f>
        <v>215.34</v>
      </c>
      <c r="E1112" s="82"/>
      <c r="F1112" s="337">
        <f>D1112</f>
        <v>215.34</v>
      </c>
      <c r="G1112" s="35"/>
      <c r="H1112" s="129"/>
      <c r="I1112" s="33"/>
      <c r="J1112" s="33"/>
      <c r="K1112" s="33"/>
      <c r="O1112" s="220"/>
    </row>
    <row r="1113" spans="1:15" ht="14.25" customHeight="1" x14ac:dyDescent="0.25">
      <c r="A1113" s="376"/>
      <c r="B1113" s="28"/>
      <c r="C1113" s="28"/>
      <c r="D1113" s="28"/>
      <c r="E1113" s="28"/>
      <c r="F1113" s="28"/>
      <c r="G1113" s="28"/>
      <c r="H1113" s="129"/>
      <c r="I1113" s="33"/>
      <c r="J1113" s="33"/>
      <c r="K1113" s="33"/>
      <c r="O1113" s="220"/>
    </row>
    <row r="1114" spans="1:15" ht="14.25" customHeight="1" thickBot="1" x14ac:dyDescent="0.3">
      <c r="A1114" s="376"/>
      <c r="B1114" s="28"/>
      <c r="C1114" s="28"/>
      <c r="D1114" s="28"/>
      <c r="E1114" s="28"/>
      <c r="F1114" s="28"/>
      <c r="G1114" s="28"/>
      <c r="H1114" s="129"/>
      <c r="I1114" s="33"/>
      <c r="J1114" s="33"/>
      <c r="K1114" s="33"/>
      <c r="O1114" s="220"/>
    </row>
    <row r="1115" spans="1:15" x14ac:dyDescent="0.25">
      <c r="A1115" s="376"/>
      <c r="B1115" s="1383" t="s">
        <v>131</v>
      </c>
      <c r="C1115" s="1383"/>
      <c r="D1115" s="1383"/>
      <c r="E1115" s="1383"/>
      <c r="F1115" s="1383"/>
      <c r="G1115" s="1383"/>
      <c r="H1115" s="129"/>
      <c r="I1115" s="33"/>
      <c r="J1115" s="33"/>
      <c r="K1115" s="33"/>
      <c r="O1115" s="220"/>
    </row>
    <row r="1116" spans="1:15" ht="15.75" thickBot="1" x14ac:dyDescent="0.3">
      <c r="A1116" s="376"/>
      <c r="B1116" s="1384" t="str">
        <f>$I$3</f>
        <v>Urbanização da Orla de Piúma - Município de Piúma / ES</v>
      </c>
      <c r="C1116" s="1385"/>
      <c r="D1116" s="1385"/>
      <c r="E1116" s="1385"/>
      <c r="F1116" s="1385"/>
      <c r="G1116" s="1386"/>
      <c r="H1116" s="129"/>
      <c r="I1116" s="33"/>
      <c r="J1116" s="33"/>
      <c r="K1116" s="33"/>
      <c r="O1116" s="220"/>
    </row>
    <row r="1117" spans="1:15" ht="15.75" thickBot="1" x14ac:dyDescent="0.3">
      <c r="A1117" s="376"/>
      <c r="B1117" s="34" t="s">
        <v>132</v>
      </c>
      <c r="C1117" s="34" t="s">
        <v>133</v>
      </c>
      <c r="D1117" s="1381" t="s">
        <v>134</v>
      </c>
      <c r="E1117" s="1381"/>
      <c r="F1117" s="131" t="s">
        <v>275</v>
      </c>
      <c r="G1117" s="35" t="s">
        <v>135</v>
      </c>
      <c r="H1117" s="129"/>
      <c r="I1117" s="31"/>
      <c r="J1117" s="31"/>
      <c r="K1117" s="33"/>
      <c r="O1117" s="220"/>
    </row>
    <row r="1118" spans="1:15" ht="35.25" customHeight="1" thickBot="1" x14ac:dyDescent="0.3">
      <c r="A1118" s="376"/>
      <c r="B1118" s="132" t="s">
        <v>502</v>
      </c>
      <c r="C1118" s="92" t="s">
        <v>98</v>
      </c>
      <c r="D1118" s="1381" t="s">
        <v>5</v>
      </c>
      <c r="E1118" s="1381"/>
      <c r="F1118" s="144" t="s">
        <v>229</v>
      </c>
      <c r="G1118" s="38">
        <f>$K$5</f>
        <v>44501</v>
      </c>
      <c r="H1118" s="129"/>
      <c r="I1118" s="33"/>
      <c r="J1118" s="33"/>
      <c r="K1118" s="33"/>
      <c r="O1118" s="220"/>
    </row>
    <row r="1119" spans="1:15" ht="6" customHeight="1" thickBot="1" x14ac:dyDescent="0.3">
      <c r="A1119" s="376"/>
      <c r="B1119" s="1382"/>
      <c r="C1119" s="1382"/>
      <c r="D1119" s="1382"/>
      <c r="E1119" s="1382"/>
      <c r="F1119" s="1382"/>
      <c r="G1119" s="1382"/>
      <c r="H1119" s="129"/>
      <c r="I1119" s="33"/>
      <c r="J1119" s="33"/>
      <c r="K1119" s="33"/>
      <c r="O1119" s="220"/>
    </row>
    <row r="1120" spans="1:15" ht="14.25" customHeight="1" x14ac:dyDescent="0.25">
      <c r="A1120" s="376"/>
      <c r="B1120" s="41" t="s">
        <v>139</v>
      </c>
      <c r="C1120" s="42" t="s">
        <v>140</v>
      </c>
      <c r="D1120" s="42" t="s">
        <v>141</v>
      </c>
      <c r="E1120" s="42" t="s">
        <v>142</v>
      </c>
      <c r="F1120" s="42" t="s">
        <v>143</v>
      </c>
      <c r="G1120" s="43" t="s">
        <v>144</v>
      </c>
      <c r="H1120" s="129"/>
      <c r="I1120" s="33"/>
      <c r="J1120" s="33"/>
      <c r="K1120" s="33"/>
      <c r="O1120" s="220"/>
    </row>
    <row r="1121" spans="1:15" ht="14.25" customHeight="1" x14ac:dyDescent="0.25">
      <c r="A1121" s="376">
        <v>10106</v>
      </c>
      <c r="B1121" s="44" t="str">
        <f>VLOOKUP(A1121,Insumos!$A$10:$F$3462,2,FALSE)</f>
        <v>AZULEJISTA (OFICIAL - SINDUSCON)</v>
      </c>
      <c r="C1121" s="45" t="str">
        <f>VLOOKUP(A1121,Insumos!$A$10:$F$3462,3,FALSE)</f>
        <v>H</v>
      </c>
      <c r="D1121" s="46">
        <v>0.61</v>
      </c>
      <c r="E1121" s="329">
        <f>VLOOKUP(A1121,Insumos!$A$10:$F$3462,4,FALSE)</f>
        <v>7.43</v>
      </c>
      <c r="F1121" s="329">
        <f>ROUND((D1121*E1121),2)</f>
        <v>4.53</v>
      </c>
      <c r="G1121" s="355"/>
      <c r="H1121" s="129"/>
      <c r="I1121" s="33"/>
      <c r="J1121" s="33"/>
      <c r="K1121" s="33"/>
      <c r="O1121" s="220"/>
    </row>
    <row r="1122" spans="1:15" ht="14.25" customHeight="1" x14ac:dyDescent="0.25">
      <c r="A1122" s="376">
        <v>10146</v>
      </c>
      <c r="B1122" s="44" t="str">
        <f>VLOOKUP(A1122,Insumos!$A$10:$F$3462,2,FALSE)</f>
        <v>SERVENTE (AUXILIAR DE OBRAS - SINDUSCON)</v>
      </c>
      <c r="C1122" s="45" t="str">
        <f>VLOOKUP(A1122,Insumos!$A$10:$F$3462,3,FALSE)</f>
        <v>H</v>
      </c>
      <c r="D1122" s="46">
        <v>0.44</v>
      </c>
      <c r="E1122" s="329">
        <f>VLOOKUP(A1122,Insumos!$A$10:$F$3462,4,FALSE)</f>
        <v>5.46</v>
      </c>
      <c r="F1122" s="329">
        <f>ROUND((D1122*E1122),2)</f>
        <v>2.4</v>
      </c>
      <c r="G1122" s="355"/>
      <c r="H1122" s="129"/>
      <c r="I1122" s="33"/>
      <c r="J1122" s="33"/>
      <c r="K1122" s="33"/>
      <c r="O1122" s="220"/>
    </row>
    <row r="1123" spans="1:15" ht="14.25" customHeight="1" x14ac:dyDescent="0.25">
      <c r="A1123" s="376"/>
      <c r="B1123" s="48"/>
      <c r="C1123" s="45"/>
      <c r="D1123" s="49"/>
      <c r="E1123" s="329"/>
      <c r="F1123" s="329"/>
      <c r="G1123" s="355"/>
      <c r="H1123" s="129"/>
      <c r="I1123" s="33"/>
      <c r="J1123" s="33"/>
      <c r="K1123" s="33"/>
      <c r="O1123" s="220"/>
    </row>
    <row r="1124" spans="1:15" ht="14.25" customHeight="1" x14ac:dyDescent="0.25">
      <c r="A1124" s="376"/>
      <c r="B1124" s="50" t="s">
        <v>145</v>
      </c>
      <c r="C1124" s="51"/>
      <c r="D1124" s="52"/>
      <c r="E1124" s="329"/>
      <c r="F1124" s="353"/>
      <c r="G1124" s="338">
        <f>+SUM(F1121:F1123)</f>
        <v>6.93</v>
      </c>
      <c r="H1124" s="129"/>
      <c r="I1124" s="33"/>
      <c r="J1124" s="33"/>
      <c r="K1124" s="33"/>
      <c r="O1124" s="220"/>
    </row>
    <row r="1125" spans="1:15" ht="14.25" customHeight="1" x14ac:dyDescent="0.25">
      <c r="A1125" s="376"/>
      <c r="B1125" s="48" t="s">
        <v>146</v>
      </c>
      <c r="C1125" s="55"/>
      <c r="D1125" s="56"/>
      <c r="E1125" s="45"/>
      <c r="F1125" s="57"/>
      <c r="G1125" s="58" t="s">
        <v>147</v>
      </c>
      <c r="H1125" s="129"/>
      <c r="I1125" s="33"/>
      <c r="J1125" s="33"/>
      <c r="K1125" s="33"/>
      <c r="O1125" s="220"/>
    </row>
    <row r="1126" spans="1:15" ht="14.25" customHeight="1" x14ac:dyDescent="0.25">
      <c r="A1126" s="376">
        <v>20510</v>
      </c>
      <c r="B1126" s="44" t="str">
        <f>VLOOKUP(A1126,Insumos!$A$10:$F$3462,2,FALSE)</f>
        <v>CIMENTO COLANTE INDUSTRIALIZADO AC I</v>
      </c>
      <c r="C1126" s="45" t="str">
        <f>VLOOKUP(A1126,Insumos!$A$10:$F$3462,3,FALSE)</f>
        <v>KG</v>
      </c>
      <c r="D1126" s="46">
        <v>4.5</v>
      </c>
      <c r="E1126" s="329">
        <f>VLOOKUP(A1126,Insumos!$A$10:$F$3462,4,FALSE)</f>
        <v>0.81</v>
      </c>
      <c r="F1126" s="329">
        <f>ROUND((D1126*E1126),2)</f>
        <v>3.65</v>
      </c>
      <c r="G1126" s="355"/>
      <c r="H1126" s="129"/>
      <c r="I1126" s="33"/>
      <c r="J1126" s="33"/>
      <c r="K1126" s="33"/>
      <c r="O1126" s="220"/>
    </row>
    <row r="1127" spans="1:15" ht="14.25" customHeight="1" x14ac:dyDescent="0.25">
      <c r="A1127" s="376">
        <v>20588</v>
      </c>
      <c r="B1127" s="44" t="str">
        <f>VLOOKUP(A1127,Insumos!$A$10:$F$3462,2,FALSE)</f>
        <v>REJUNTE PRE-FABRICADA</v>
      </c>
      <c r="C1127" s="45" t="str">
        <f>VLOOKUP(A1127,Insumos!$A$10:$F$3462,3,FALSE)</f>
        <v>KG</v>
      </c>
      <c r="D1127" s="46">
        <v>0.441</v>
      </c>
      <c r="E1127" s="329">
        <f>VLOOKUP(A1127,Insumos!$A$10:$F$3462,4,FALSE)</f>
        <v>6.22</v>
      </c>
      <c r="F1127" s="329">
        <f>ROUND((D1127*E1127),2)</f>
        <v>2.74</v>
      </c>
      <c r="G1127" s="355"/>
      <c r="H1127" s="129"/>
      <c r="I1127" s="33"/>
      <c r="J1127" s="33"/>
      <c r="K1127" s="33"/>
      <c r="O1127" s="220"/>
    </row>
    <row r="1128" spans="1:15" ht="29.25" customHeight="1" x14ac:dyDescent="0.25">
      <c r="A1128" s="376" t="s">
        <v>467</v>
      </c>
      <c r="B1128" s="230" t="str">
        <f>VLOOKUP(A1128,Insumos!$A$10:$F$3462,2,FALSE)</f>
        <v>Revestimento Amadeirado Incepa PP Arbol Carvalho 20 x 120 cm retificado ABS áspero</v>
      </c>
      <c r="C1128" s="231" t="str">
        <f>VLOOKUP(A1128,Insumos!$A$10:$F$3462,3,FALSE)</f>
        <v>m2</v>
      </c>
      <c r="D1128" s="46">
        <v>1.05</v>
      </c>
      <c r="E1128" s="329">
        <f>VLOOKUP(A1128,Insumos!$A$10:$F$3462,4,FALSE)</f>
        <v>129.9</v>
      </c>
      <c r="F1128" s="329">
        <f>ROUND((D1128*E1128),2)</f>
        <v>136.4</v>
      </c>
      <c r="G1128" s="355"/>
      <c r="H1128" s="129"/>
      <c r="I1128" s="33"/>
      <c r="J1128" s="143" t="s">
        <v>349</v>
      </c>
      <c r="K1128" s="33"/>
      <c r="O1128" s="220"/>
    </row>
    <row r="1129" spans="1:15" ht="14.25" customHeight="1" x14ac:dyDescent="0.25">
      <c r="A1129" s="376"/>
      <c r="B1129" s="44"/>
      <c r="C1129" s="45"/>
      <c r="D1129" s="46"/>
      <c r="E1129" s="329"/>
      <c r="F1129" s="329"/>
      <c r="G1129" s="355"/>
      <c r="H1129" s="129"/>
      <c r="I1129" s="33"/>
      <c r="J1129" s="33"/>
      <c r="K1129" s="33"/>
      <c r="O1129" s="220"/>
    </row>
    <row r="1130" spans="1:15" ht="14.25" customHeight="1" x14ac:dyDescent="0.25">
      <c r="A1130" s="376"/>
      <c r="B1130" s="44"/>
      <c r="C1130" s="45"/>
      <c r="D1130" s="46"/>
      <c r="E1130" s="329"/>
      <c r="F1130" s="329"/>
      <c r="G1130" s="355"/>
      <c r="H1130" s="129"/>
      <c r="I1130" s="33"/>
      <c r="J1130" s="33"/>
      <c r="K1130" s="33"/>
      <c r="O1130" s="220"/>
    </row>
    <row r="1131" spans="1:15" ht="14.25" customHeight="1" x14ac:dyDescent="0.25">
      <c r="A1131" s="376"/>
      <c r="B1131" s="48"/>
      <c r="C1131" s="45"/>
      <c r="D1131" s="61"/>
      <c r="E1131" s="329"/>
      <c r="F1131" s="329"/>
      <c r="G1131" s="355"/>
      <c r="H1131" s="129"/>
      <c r="I1131" s="33"/>
      <c r="J1131" s="33"/>
      <c r="K1131" s="33"/>
      <c r="O1131" s="220"/>
    </row>
    <row r="1132" spans="1:15" ht="14.25" customHeight="1" x14ac:dyDescent="0.25">
      <c r="A1132" s="376"/>
      <c r="B1132" s="50" t="s">
        <v>148</v>
      </c>
      <c r="C1132" s="51"/>
      <c r="D1132" s="62"/>
      <c r="E1132" s="353"/>
      <c r="F1132" s="353"/>
      <c r="G1132" s="338">
        <f>+SUM(F1126:F1131)</f>
        <v>142.79</v>
      </c>
      <c r="H1132" s="129"/>
      <c r="I1132" s="33"/>
      <c r="J1132" s="33"/>
      <c r="K1132" s="33"/>
      <c r="O1132" s="220"/>
    </row>
    <row r="1133" spans="1:15" ht="14.25" customHeight="1" x14ac:dyDescent="0.25">
      <c r="A1133" s="376"/>
      <c r="B1133" s="48" t="s">
        <v>149</v>
      </c>
      <c r="C1133" s="55"/>
      <c r="D1133" s="64"/>
      <c r="E1133" s="55"/>
      <c r="F1133" s="55"/>
      <c r="G1133" s="58" t="s">
        <v>150</v>
      </c>
      <c r="H1133" s="129"/>
      <c r="I1133" s="33"/>
      <c r="J1133" s="33"/>
      <c r="K1133" s="33"/>
      <c r="O1133" s="220"/>
    </row>
    <row r="1134" spans="1:15" ht="14.25" customHeight="1" x14ac:dyDescent="0.25">
      <c r="A1134" s="376"/>
      <c r="B1134" s="48" t="s">
        <v>98</v>
      </c>
      <c r="C1134" s="45"/>
      <c r="D1134" s="59"/>
      <c r="E1134" s="45"/>
      <c r="F1134" s="45"/>
      <c r="G1134" s="47"/>
      <c r="H1134" s="129"/>
      <c r="I1134" s="33"/>
      <c r="J1134" s="33"/>
      <c r="K1134" s="33"/>
      <c r="O1134" s="220"/>
    </row>
    <row r="1135" spans="1:15" ht="14.25" customHeight="1" x14ac:dyDescent="0.25">
      <c r="A1135" s="376"/>
      <c r="B1135" s="48" t="s">
        <v>98</v>
      </c>
      <c r="C1135" s="45"/>
      <c r="D1135" s="59"/>
      <c r="E1135" s="45"/>
      <c r="F1135" s="45"/>
      <c r="G1135" s="47"/>
      <c r="H1135" s="129"/>
      <c r="I1135" s="33"/>
      <c r="J1135" s="33"/>
      <c r="K1135" s="33"/>
      <c r="O1135" s="220"/>
    </row>
    <row r="1136" spans="1:15" ht="14.25" customHeight="1" thickBot="1" x14ac:dyDescent="0.3">
      <c r="A1136" s="376"/>
      <c r="B1136" s="65" t="s">
        <v>151</v>
      </c>
      <c r="C1136" s="66"/>
      <c r="D1136" s="67"/>
      <c r="E1136" s="66"/>
      <c r="F1136" s="66"/>
      <c r="G1136" s="68">
        <f>+SUM(F1134:F1135)</f>
        <v>0</v>
      </c>
      <c r="H1136" s="129"/>
      <c r="I1136" s="33"/>
      <c r="J1136" s="33"/>
      <c r="K1136" s="33"/>
      <c r="O1136" s="220"/>
    </row>
    <row r="1137" spans="1:15" ht="4.5" customHeight="1" thickBot="1" x14ac:dyDescent="0.3">
      <c r="A1137" s="376"/>
      <c r="B1137" s="1382"/>
      <c r="C1137" s="1382"/>
      <c r="D1137" s="1382"/>
      <c r="E1137" s="1382"/>
      <c r="F1137" s="1382"/>
      <c r="G1137" s="1382"/>
      <c r="H1137" s="129"/>
      <c r="I1137" s="33"/>
      <c r="J1137" s="33"/>
      <c r="K1137" s="33"/>
      <c r="O1137" s="220"/>
    </row>
    <row r="1138" spans="1:15" ht="14.25" customHeight="1" thickBot="1" x14ac:dyDescent="0.3">
      <c r="A1138" s="376"/>
      <c r="B1138" s="69" t="s">
        <v>152</v>
      </c>
      <c r="C1138" s="70" t="s">
        <v>4415</v>
      </c>
      <c r="D1138" s="71" t="s">
        <v>154</v>
      </c>
      <c r="E1138" s="1381" t="s">
        <v>155</v>
      </c>
      <c r="F1138" s="1381"/>
      <c r="G1138" s="1381"/>
      <c r="H1138" s="129"/>
      <c r="I1138" s="33"/>
      <c r="J1138" s="33"/>
      <c r="K1138" s="33"/>
      <c r="O1138" s="220"/>
    </row>
    <row r="1139" spans="1:15" ht="14.25" customHeight="1" thickBot="1" x14ac:dyDescent="0.3">
      <c r="A1139" s="376"/>
      <c r="B1139" s="72" t="s">
        <v>156</v>
      </c>
      <c r="C1139" s="73"/>
      <c r="D1139" s="332">
        <f>G1124</f>
        <v>6.93</v>
      </c>
      <c r="E1139" s="1381"/>
      <c r="F1139" s="1381"/>
      <c r="G1139" s="1381"/>
      <c r="H1139" s="129"/>
      <c r="I1139" s="33"/>
      <c r="J1139" s="33"/>
      <c r="K1139" s="33"/>
      <c r="O1139" s="220"/>
    </row>
    <row r="1140" spans="1:15" ht="14.25" customHeight="1" thickBot="1" x14ac:dyDescent="0.3">
      <c r="A1140" s="376"/>
      <c r="B1140" s="72" t="s">
        <v>157</v>
      </c>
      <c r="C1140" s="73"/>
      <c r="D1140" s="332">
        <f>G1132</f>
        <v>142.79</v>
      </c>
      <c r="E1140" s="1381"/>
      <c r="F1140" s="1381"/>
      <c r="G1140" s="1381"/>
      <c r="H1140" s="129"/>
      <c r="I1140" s="33"/>
      <c r="J1140" s="33"/>
      <c r="K1140" s="33"/>
      <c r="O1140" s="220"/>
    </row>
    <row r="1141" spans="1:15" ht="14.25" customHeight="1" thickBot="1" x14ac:dyDescent="0.3">
      <c r="A1141" s="376"/>
      <c r="B1141" s="72" t="s">
        <v>158</v>
      </c>
      <c r="C1141" s="73"/>
      <c r="D1141" s="332">
        <f>G1136</f>
        <v>0</v>
      </c>
      <c r="E1141" s="1381"/>
      <c r="F1141" s="1381"/>
      <c r="G1141" s="1381"/>
      <c r="H1141" s="129"/>
      <c r="I1141" s="33"/>
      <c r="J1141" s="33"/>
      <c r="K1141" s="33"/>
      <c r="O1141" s="220"/>
    </row>
    <row r="1142" spans="1:15" ht="14.25" customHeight="1" thickBot="1" x14ac:dyDescent="0.3">
      <c r="A1142" s="376"/>
      <c r="B1142" s="72" t="s">
        <v>159</v>
      </c>
      <c r="C1142" s="74">
        <f>$J$5</f>
        <v>157.27000000000001</v>
      </c>
      <c r="D1142" s="332">
        <f>+ROUND((D1139*C1142),2)/100</f>
        <v>10.9</v>
      </c>
      <c r="E1142" s="1381"/>
      <c r="F1142" s="1381"/>
      <c r="G1142" s="1381"/>
      <c r="H1142" s="129"/>
      <c r="I1142" s="33"/>
      <c r="J1142" s="33"/>
      <c r="K1142" s="33"/>
      <c r="O1142" s="220"/>
    </row>
    <row r="1143" spans="1:15" ht="14.25" customHeight="1" thickBot="1" x14ac:dyDescent="0.3">
      <c r="A1143" s="376"/>
      <c r="B1143" s="72" t="s">
        <v>160</v>
      </c>
      <c r="C1143" s="75"/>
      <c r="D1143" s="333">
        <f>+SUM(D1139:D1142)</f>
        <v>160.62</v>
      </c>
      <c r="E1143" s="1381"/>
      <c r="F1143" s="1381"/>
      <c r="G1143" s="1381"/>
      <c r="H1143" s="129"/>
      <c r="I1143" s="33"/>
      <c r="J1143" s="33"/>
      <c r="K1143" s="33"/>
      <c r="O1143" s="220"/>
    </row>
    <row r="1144" spans="1:15" ht="14.25" customHeight="1" thickBot="1" x14ac:dyDescent="0.3">
      <c r="A1144" s="376"/>
      <c r="B1144" s="72" t="s">
        <v>161</v>
      </c>
      <c r="C1144" s="73"/>
      <c r="D1144" s="332" t="s">
        <v>162</v>
      </c>
      <c r="E1144" s="1382" t="s">
        <v>163</v>
      </c>
      <c r="F1144" s="1382"/>
      <c r="G1144" s="1382"/>
      <c r="H1144" s="129"/>
      <c r="I1144" s="33"/>
      <c r="J1144" s="33"/>
      <c r="K1144" s="33"/>
      <c r="O1144" s="220"/>
    </row>
    <row r="1145" spans="1:15" ht="14.25" customHeight="1" thickBot="1" x14ac:dyDescent="0.3">
      <c r="A1145" s="376"/>
      <c r="B1145" s="76" t="s">
        <v>164</v>
      </c>
      <c r="C1145" s="77"/>
      <c r="D1145" s="334">
        <f>+SUM(D1143:D1144)</f>
        <v>160.62</v>
      </c>
      <c r="E1145" s="1382"/>
      <c r="F1145" s="1382"/>
      <c r="G1145" s="1382"/>
      <c r="H1145" s="129"/>
      <c r="I1145" s="33"/>
      <c r="J1145" s="33"/>
      <c r="K1145" s="33"/>
      <c r="O1145" s="220"/>
    </row>
    <row r="1146" spans="1:15" ht="14.25" customHeight="1" thickBot="1" x14ac:dyDescent="0.3">
      <c r="A1146" s="376"/>
      <c r="B1146" s="78" t="s">
        <v>165</v>
      </c>
      <c r="C1146" s="79">
        <f>$I$5</f>
        <v>28.49</v>
      </c>
      <c r="D1146" s="335">
        <f>ROUND((D1145*C1146),2)/100</f>
        <v>45.76</v>
      </c>
      <c r="E1146" s="1382"/>
      <c r="F1146" s="1382"/>
      <c r="G1146" s="1382"/>
      <c r="H1146" s="129"/>
      <c r="I1146" s="33"/>
      <c r="J1146" s="33"/>
      <c r="K1146" s="33"/>
      <c r="O1146" s="220"/>
    </row>
    <row r="1147" spans="1:15" ht="14.25" customHeight="1" thickBot="1" x14ac:dyDescent="0.3">
      <c r="A1147" s="376"/>
      <c r="B1147" s="80" t="s">
        <v>166</v>
      </c>
      <c r="C1147" s="81"/>
      <c r="D1147" s="336">
        <f>+SUM(D1145:D1146)</f>
        <v>206.38</v>
      </c>
      <c r="E1147" s="82"/>
      <c r="F1147" s="337">
        <f>D1147</f>
        <v>206.38</v>
      </c>
      <c r="G1147" s="35"/>
      <c r="H1147" s="129"/>
      <c r="I1147" s="33"/>
      <c r="J1147" s="33"/>
      <c r="K1147" s="33"/>
      <c r="O1147" s="220"/>
    </row>
    <row r="1148" spans="1:15" x14ac:dyDescent="0.25">
      <c r="H1148" s="129"/>
      <c r="O1148" s="220"/>
    </row>
    <row r="1149" spans="1:15" ht="15.75" thickBot="1" x14ac:dyDescent="0.3">
      <c r="H1149" s="129"/>
      <c r="O1149" s="220"/>
    </row>
    <row r="1150" spans="1:15" x14ac:dyDescent="0.25">
      <c r="A1150" s="376"/>
      <c r="B1150" s="1383" t="s">
        <v>131</v>
      </c>
      <c r="C1150" s="1383"/>
      <c r="D1150" s="1383"/>
      <c r="E1150" s="1383"/>
      <c r="F1150" s="1383"/>
      <c r="G1150" s="1383"/>
      <c r="H1150" s="129"/>
      <c r="I1150" s="33"/>
      <c r="J1150" s="33"/>
      <c r="K1150" s="33"/>
      <c r="O1150" s="220"/>
    </row>
    <row r="1151" spans="1:15" ht="15.75" thickBot="1" x14ac:dyDescent="0.3">
      <c r="A1151" s="376"/>
      <c r="B1151" s="1384" t="str">
        <f>$I$3</f>
        <v>Urbanização da Orla de Piúma - Município de Piúma / ES</v>
      </c>
      <c r="C1151" s="1385"/>
      <c r="D1151" s="1385"/>
      <c r="E1151" s="1385"/>
      <c r="F1151" s="1385"/>
      <c r="G1151" s="1386"/>
      <c r="H1151" s="129"/>
      <c r="I1151" s="33"/>
      <c r="J1151" s="33"/>
      <c r="K1151" s="33"/>
      <c r="O1151" s="220"/>
    </row>
    <row r="1152" spans="1:15" ht="15.75" thickBot="1" x14ac:dyDescent="0.3">
      <c r="A1152" s="376"/>
      <c r="B1152" s="34" t="s">
        <v>132</v>
      </c>
      <c r="C1152" s="34" t="s">
        <v>133</v>
      </c>
      <c r="D1152" s="1381" t="s">
        <v>134</v>
      </c>
      <c r="E1152" s="1381"/>
      <c r="F1152" s="131" t="s">
        <v>275</v>
      </c>
      <c r="G1152" s="35" t="s">
        <v>135</v>
      </c>
      <c r="H1152" s="129"/>
      <c r="I1152" s="31"/>
      <c r="J1152" s="31"/>
      <c r="K1152" s="33"/>
      <c r="O1152" s="220"/>
    </row>
    <row r="1153" spans="1:15" ht="15.75" thickBot="1" x14ac:dyDescent="0.3">
      <c r="A1153" s="376"/>
      <c r="B1153" s="132" t="s">
        <v>292</v>
      </c>
      <c r="C1153" s="92" t="s">
        <v>98</v>
      </c>
      <c r="D1153" s="1381" t="s">
        <v>5</v>
      </c>
      <c r="E1153" s="1381"/>
      <c r="F1153" s="144" t="s">
        <v>230</v>
      </c>
      <c r="G1153" s="38">
        <f>$K$5</f>
        <v>44501</v>
      </c>
      <c r="H1153" s="129"/>
      <c r="I1153" s="33"/>
      <c r="J1153" s="33"/>
      <c r="K1153" s="33"/>
      <c r="O1153" s="220"/>
    </row>
    <row r="1154" spans="1:15" ht="6" customHeight="1" thickBot="1" x14ac:dyDescent="0.3">
      <c r="A1154" s="376"/>
      <c r="B1154" s="1382"/>
      <c r="C1154" s="1382"/>
      <c r="D1154" s="1382"/>
      <c r="E1154" s="1382"/>
      <c r="F1154" s="1382"/>
      <c r="G1154" s="1382"/>
      <c r="H1154" s="129"/>
      <c r="I1154" s="33"/>
      <c r="J1154" s="33"/>
      <c r="K1154" s="33"/>
      <c r="O1154" s="220"/>
    </row>
    <row r="1155" spans="1:15" ht="14.25" customHeight="1" x14ac:dyDescent="0.25">
      <c r="A1155" s="376"/>
      <c r="B1155" s="41" t="s">
        <v>139</v>
      </c>
      <c r="C1155" s="42" t="s">
        <v>140</v>
      </c>
      <c r="D1155" s="42" t="s">
        <v>141</v>
      </c>
      <c r="E1155" s="42" t="s">
        <v>142</v>
      </c>
      <c r="F1155" s="42" t="s">
        <v>143</v>
      </c>
      <c r="G1155" s="43" t="s">
        <v>144</v>
      </c>
      <c r="H1155" s="129"/>
      <c r="I1155" s="33"/>
      <c r="J1155" s="33"/>
      <c r="K1155" s="33"/>
      <c r="O1155" s="220"/>
    </row>
    <row r="1156" spans="1:15" ht="14.25" customHeight="1" x14ac:dyDescent="0.25">
      <c r="A1156" s="376">
        <v>10106</v>
      </c>
      <c r="B1156" s="44" t="str">
        <f>VLOOKUP(A1156,Insumos!$A$10:$F$3462,2,FALSE)</f>
        <v>AZULEJISTA (OFICIAL - SINDUSCON)</v>
      </c>
      <c r="C1156" s="45" t="str">
        <f>VLOOKUP(A1156,Insumos!$A$10:$F$3462,3,FALSE)</f>
        <v>H</v>
      </c>
      <c r="D1156" s="46">
        <v>1.2</v>
      </c>
      <c r="E1156" s="329">
        <f>VLOOKUP(A1156,Insumos!$A$10:$F$3462,4,FALSE)</f>
        <v>7.43</v>
      </c>
      <c r="F1156" s="329">
        <f>ROUND((D1156*E1156),2)</f>
        <v>8.92</v>
      </c>
      <c r="G1156" s="355"/>
      <c r="H1156" s="129"/>
      <c r="I1156" s="33"/>
      <c r="J1156" s="33"/>
      <c r="K1156" s="33"/>
      <c r="O1156" s="220"/>
    </row>
    <row r="1157" spans="1:15" ht="14.25" customHeight="1" x14ac:dyDescent="0.25">
      <c r="A1157" s="376">
        <v>10146</v>
      </c>
      <c r="B1157" s="44" t="str">
        <f>VLOOKUP(A1157,Insumos!$A$10:$F$3462,2,FALSE)</f>
        <v>SERVENTE (AUXILIAR DE OBRAS - SINDUSCON)</v>
      </c>
      <c r="C1157" s="45" t="str">
        <f>VLOOKUP(A1157,Insumos!$A$10:$F$3462,3,FALSE)</f>
        <v>H</v>
      </c>
      <c r="D1157" s="46">
        <v>0.8</v>
      </c>
      <c r="E1157" s="329">
        <f>VLOOKUP(A1157,Insumos!$A$10:$F$3462,4,FALSE)</f>
        <v>5.46</v>
      </c>
      <c r="F1157" s="329">
        <f>ROUND((D1157*E1157),2)</f>
        <v>4.37</v>
      </c>
      <c r="G1157" s="355"/>
      <c r="H1157" s="129"/>
      <c r="I1157" s="33"/>
      <c r="J1157" s="33"/>
      <c r="K1157" s="33"/>
      <c r="O1157" s="220"/>
    </row>
    <row r="1158" spans="1:15" ht="14.25" customHeight="1" x14ac:dyDescent="0.25">
      <c r="A1158" s="376"/>
      <c r="B1158" s="48"/>
      <c r="C1158" s="45"/>
      <c r="D1158" s="49"/>
      <c r="E1158" s="329"/>
      <c r="F1158" s="329"/>
      <c r="G1158" s="355"/>
      <c r="H1158" s="129"/>
      <c r="I1158" s="33"/>
      <c r="J1158" s="33"/>
      <c r="K1158" s="33"/>
      <c r="O1158" s="220"/>
    </row>
    <row r="1159" spans="1:15" ht="14.25" customHeight="1" x14ac:dyDescent="0.25">
      <c r="A1159" s="376"/>
      <c r="B1159" s="50" t="s">
        <v>145</v>
      </c>
      <c r="C1159" s="51"/>
      <c r="D1159" s="52"/>
      <c r="E1159" s="329"/>
      <c r="F1159" s="353"/>
      <c r="G1159" s="338">
        <f>+SUM(F1156:F1158)</f>
        <v>13.29</v>
      </c>
      <c r="H1159" s="129"/>
      <c r="I1159" s="33"/>
      <c r="J1159" s="33"/>
      <c r="K1159" s="33"/>
      <c r="O1159" s="220"/>
    </row>
    <row r="1160" spans="1:15" ht="14.25" customHeight="1" x14ac:dyDescent="0.25">
      <c r="A1160" s="376"/>
      <c r="B1160" s="48" t="s">
        <v>146</v>
      </c>
      <c r="C1160" s="55"/>
      <c r="D1160" s="56"/>
      <c r="E1160" s="45"/>
      <c r="F1160" s="57"/>
      <c r="G1160" s="58" t="s">
        <v>147</v>
      </c>
      <c r="H1160" s="129"/>
      <c r="I1160" s="33"/>
      <c r="J1160" s="33"/>
      <c r="K1160" s="33"/>
      <c r="O1160" s="220"/>
    </row>
    <row r="1161" spans="1:15" ht="14.25" customHeight="1" x14ac:dyDescent="0.25">
      <c r="A1161" s="376">
        <v>20503</v>
      </c>
      <c r="B1161" s="44" t="str">
        <f>VLOOKUP(A1161,Insumos!$A$10:$F$3462,2,FALSE)</f>
        <v>AREIA LAVADA MEDIA</v>
      </c>
      <c r="C1161" s="45" t="str">
        <f>VLOOKUP(A1161,Insumos!$A$10:$F$3462,3,FALSE)</f>
        <v>M3</v>
      </c>
      <c r="D1161" s="46">
        <v>2.3199999999999998E-2</v>
      </c>
      <c r="E1161" s="329">
        <f>VLOOKUP(A1161,Insumos!$A$10:$F$3462,4,FALSE)</f>
        <v>90</v>
      </c>
      <c r="F1161" s="329">
        <f>ROUND((D1161*E1161),2)</f>
        <v>2.09</v>
      </c>
      <c r="G1161" s="355"/>
      <c r="H1161" s="129"/>
      <c r="I1161" s="33"/>
      <c r="J1161" s="33"/>
      <c r="K1161" s="33"/>
      <c r="O1161" s="220"/>
    </row>
    <row r="1162" spans="1:15" ht="14.25" customHeight="1" x14ac:dyDescent="0.25">
      <c r="A1162" s="376">
        <v>20508</v>
      </c>
      <c r="B1162" s="44" t="str">
        <f>VLOOKUP(A1162,Insumos!$A$10:$F$3462,2,FALSE)</f>
        <v>CIMENTO PORTLAND CP III - 40</v>
      </c>
      <c r="C1162" s="45" t="str">
        <f>VLOOKUP(A1162,Insumos!$A$10:$F$3462,3,FALSE)</f>
        <v>KG</v>
      </c>
      <c r="D1162" s="46">
        <v>4.4800000000000004</v>
      </c>
      <c r="E1162" s="329">
        <f>VLOOKUP(A1162,Insumos!$A$10:$F$3462,4,FALSE)</f>
        <v>0.46</v>
      </c>
      <c r="F1162" s="329">
        <f>ROUND((D1162*E1162),2)</f>
        <v>2.06</v>
      </c>
      <c r="G1162" s="355"/>
      <c r="H1162" s="129"/>
      <c r="I1162" s="33"/>
      <c r="J1162" s="33"/>
      <c r="K1162" s="33"/>
      <c r="O1162" s="220"/>
    </row>
    <row r="1163" spans="1:15" ht="39" x14ac:dyDescent="0.25">
      <c r="A1163" s="376">
        <v>4712</v>
      </c>
      <c r="B1163" s="230" t="str">
        <f>VLOOKUP(A1163,Insumos!$A$10:$F$3462,2,FALSE)</f>
        <v>PEDRA QUARTZITO OU CALCARIO LAMINADO, CACO, TIPO CARIRI, ITACOLOMI, LAGOA SANTA, LUMINARIA, PIRENOPOLIS, SAO TOME OU OUTRAS SIMILARES DA REGIAO, E= *1,5 A *2,5 CM</v>
      </c>
      <c r="C1163" s="231" t="str">
        <f>VLOOKUP(A1163,Insumos!$A$10:$F$3462,3,FALSE)</f>
        <v>m2</v>
      </c>
      <c r="D1163" s="232">
        <v>1.05</v>
      </c>
      <c r="E1163" s="329">
        <f>VLOOKUP(A1163,Insumos!$A$10:$F$3462,4,FALSE)</f>
        <v>62.72</v>
      </c>
      <c r="F1163" s="329">
        <f>ROUND((D1163*E1163),2)</f>
        <v>65.86</v>
      </c>
      <c r="G1163" s="355"/>
      <c r="H1163" s="129"/>
      <c r="I1163" s="33"/>
      <c r="J1163" s="33"/>
      <c r="K1163" s="33"/>
      <c r="O1163" s="220"/>
    </row>
    <row r="1164" spans="1:15" ht="14.25" customHeight="1" x14ac:dyDescent="0.25">
      <c r="A1164" s="376"/>
      <c r="B1164" s="44"/>
      <c r="C1164" s="45"/>
      <c r="D1164" s="46"/>
      <c r="E1164" s="329"/>
      <c r="F1164" s="329"/>
      <c r="G1164" s="355"/>
      <c r="H1164" s="129"/>
      <c r="I1164" s="33"/>
      <c r="J1164" s="33"/>
      <c r="K1164" s="33"/>
      <c r="O1164" s="220"/>
    </row>
    <row r="1165" spans="1:15" ht="14.25" customHeight="1" x14ac:dyDescent="0.25">
      <c r="A1165" s="376"/>
      <c r="B1165" s="44"/>
      <c r="C1165" s="45"/>
      <c r="D1165" s="46"/>
      <c r="E1165" s="329"/>
      <c r="F1165" s="329"/>
      <c r="G1165" s="355"/>
      <c r="H1165" s="129"/>
      <c r="I1165" s="33"/>
      <c r="J1165" s="33"/>
      <c r="K1165" s="33"/>
      <c r="O1165" s="220"/>
    </row>
    <row r="1166" spans="1:15" ht="14.25" customHeight="1" x14ac:dyDescent="0.25">
      <c r="A1166" s="376"/>
      <c r="B1166" s="48"/>
      <c r="C1166" s="45"/>
      <c r="D1166" s="61"/>
      <c r="E1166" s="329"/>
      <c r="F1166" s="329"/>
      <c r="G1166" s="355"/>
      <c r="H1166" s="129"/>
      <c r="I1166" s="33"/>
      <c r="J1166" s="33"/>
      <c r="K1166" s="33"/>
      <c r="O1166" s="220"/>
    </row>
    <row r="1167" spans="1:15" ht="14.25" customHeight="1" x14ac:dyDescent="0.25">
      <c r="A1167" s="376"/>
      <c r="B1167" s="50" t="s">
        <v>148</v>
      </c>
      <c r="C1167" s="51"/>
      <c r="D1167" s="62"/>
      <c r="E1167" s="353"/>
      <c r="F1167" s="353"/>
      <c r="G1167" s="338">
        <f>+SUM(F1161:F1166)</f>
        <v>70.010000000000005</v>
      </c>
      <c r="H1167" s="129"/>
      <c r="I1167" s="33"/>
      <c r="J1167" s="33"/>
      <c r="K1167" s="33"/>
      <c r="O1167" s="220"/>
    </row>
    <row r="1168" spans="1:15" ht="14.25" customHeight="1" x14ac:dyDescent="0.25">
      <c r="A1168" s="376"/>
      <c r="B1168" s="48" t="s">
        <v>149</v>
      </c>
      <c r="C1168" s="55"/>
      <c r="D1168" s="64"/>
      <c r="E1168" s="55"/>
      <c r="F1168" s="55"/>
      <c r="G1168" s="58" t="s">
        <v>150</v>
      </c>
      <c r="H1168" s="129"/>
      <c r="I1168" s="33"/>
      <c r="J1168" s="33"/>
      <c r="K1168" s="33"/>
      <c r="O1168" s="220"/>
    </row>
    <row r="1169" spans="1:15" ht="14.25" customHeight="1" x14ac:dyDescent="0.25">
      <c r="A1169" s="376"/>
      <c r="B1169" s="48" t="s">
        <v>98</v>
      </c>
      <c r="C1169" s="45"/>
      <c r="D1169" s="59"/>
      <c r="E1169" s="45"/>
      <c r="F1169" s="45"/>
      <c r="G1169" s="47"/>
      <c r="H1169" s="129"/>
      <c r="I1169" s="33"/>
      <c r="J1169" s="33"/>
      <c r="K1169" s="33"/>
      <c r="O1169" s="220"/>
    </row>
    <row r="1170" spans="1:15" ht="14.25" customHeight="1" x14ac:dyDescent="0.25">
      <c r="A1170" s="376"/>
      <c r="B1170" s="48" t="s">
        <v>98</v>
      </c>
      <c r="C1170" s="45"/>
      <c r="D1170" s="59"/>
      <c r="E1170" s="45"/>
      <c r="F1170" s="45"/>
      <c r="G1170" s="47"/>
      <c r="H1170" s="129"/>
      <c r="I1170" s="33"/>
      <c r="J1170" s="33"/>
      <c r="K1170" s="33"/>
      <c r="O1170" s="220"/>
    </row>
    <row r="1171" spans="1:15" ht="14.25" customHeight="1" thickBot="1" x14ac:dyDescent="0.3">
      <c r="A1171" s="376"/>
      <c r="B1171" s="65" t="s">
        <v>151</v>
      </c>
      <c r="C1171" s="66"/>
      <c r="D1171" s="67"/>
      <c r="E1171" s="66"/>
      <c r="F1171" s="66"/>
      <c r="G1171" s="68">
        <f>+SUM(F1169:F1170)</f>
        <v>0</v>
      </c>
      <c r="H1171" s="129"/>
      <c r="I1171" s="33"/>
      <c r="J1171" s="33"/>
      <c r="K1171" s="33"/>
      <c r="O1171" s="220"/>
    </row>
    <row r="1172" spans="1:15" ht="4.5" customHeight="1" thickBot="1" x14ac:dyDescent="0.3">
      <c r="A1172" s="376"/>
      <c r="B1172" s="1382"/>
      <c r="C1172" s="1382"/>
      <c r="D1172" s="1382"/>
      <c r="E1172" s="1382"/>
      <c r="F1172" s="1382"/>
      <c r="G1172" s="1382"/>
      <c r="H1172" s="129"/>
      <c r="I1172" s="33"/>
      <c r="J1172" s="33"/>
      <c r="K1172" s="33"/>
      <c r="O1172" s="220"/>
    </row>
    <row r="1173" spans="1:15" ht="14.25" customHeight="1" thickBot="1" x14ac:dyDescent="0.3">
      <c r="A1173" s="376"/>
      <c r="B1173" s="69" t="s">
        <v>152</v>
      </c>
      <c r="C1173" s="70" t="s">
        <v>153</v>
      </c>
      <c r="D1173" s="71" t="s">
        <v>154</v>
      </c>
      <c r="E1173" s="1381" t="s">
        <v>155</v>
      </c>
      <c r="F1173" s="1381"/>
      <c r="G1173" s="1381"/>
      <c r="H1173" s="129"/>
      <c r="I1173" s="33"/>
      <c r="J1173" s="33"/>
      <c r="K1173" s="33"/>
      <c r="O1173" s="220"/>
    </row>
    <row r="1174" spans="1:15" ht="14.25" customHeight="1" thickBot="1" x14ac:dyDescent="0.3">
      <c r="A1174" s="376"/>
      <c r="B1174" s="72" t="s">
        <v>156</v>
      </c>
      <c r="C1174" s="73"/>
      <c r="D1174" s="332">
        <f>G1159</f>
        <v>13.29</v>
      </c>
      <c r="E1174" s="1381"/>
      <c r="F1174" s="1381"/>
      <c r="G1174" s="1381"/>
      <c r="H1174" s="129"/>
      <c r="I1174" s="33"/>
      <c r="J1174" s="33"/>
      <c r="K1174" s="33"/>
      <c r="O1174" s="220"/>
    </row>
    <row r="1175" spans="1:15" ht="14.25" customHeight="1" thickBot="1" x14ac:dyDescent="0.3">
      <c r="A1175" s="376"/>
      <c r="B1175" s="72" t="s">
        <v>157</v>
      </c>
      <c r="C1175" s="73"/>
      <c r="D1175" s="332">
        <f>G1167</f>
        <v>70.010000000000005</v>
      </c>
      <c r="E1175" s="1381"/>
      <c r="F1175" s="1381"/>
      <c r="G1175" s="1381"/>
      <c r="H1175" s="129"/>
      <c r="I1175" s="33"/>
      <c r="J1175" s="33"/>
      <c r="K1175" s="33"/>
      <c r="O1175" s="220"/>
    </row>
    <row r="1176" spans="1:15" ht="14.25" customHeight="1" thickBot="1" x14ac:dyDescent="0.3">
      <c r="A1176" s="376"/>
      <c r="B1176" s="72" t="s">
        <v>158</v>
      </c>
      <c r="C1176" s="73"/>
      <c r="D1176" s="332">
        <f>G1171</f>
        <v>0</v>
      </c>
      <c r="E1176" s="1381"/>
      <c r="F1176" s="1381"/>
      <c r="G1176" s="1381"/>
      <c r="H1176" s="129"/>
      <c r="I1176" s="33"/>
      <c r="J1176" s="33"/>
      <c r="K1176" s="33"/>
      <c r="O1176" s="220"/>
    </row>
    <row r="1177" spans="1:15" ht="14.25" customHeight="1" thickBot="1" x14ac:dyDescent="0.3">
      <c r="A1177" s="376"/>
      <c r="B1177" s="72" t="s">
        <v>159</v>
      </c>
      <c r="C1177" s="74">
        <f>$J$5</f>
        <v>157.27000000000001</v>
      </c>
      <c r="D1177" s="332">
        <f>+ROUND((D1174*C1177),2)/100</f>
        <v>20.9</v>
      </c>
      <c r="E1177" s="1381"/>
      <c r="F1177" s="1381"/>
      <c r="G1177" s="1381"/>
      <c r="H1177" s="129"/>
      <c r="I1177" s="33"/>
      <c r="J1177" s="33"/>
      <c r="K1177" s="33"/>
      <c r="O1177" s="220"/>
    </row>
    <row r="1178" spans="1:15" ht="14.25" customHeight="1" thickBot="1" x14ac:dyDescent="0.3">
      <c r="A1178" s="376"/>
      <c r="B1178" s="72" t="s">
        <v>160</v>
      </c>
      <c r="C1178" s="75"/>
      <c r="D1178" s="333">
        <f>+SUM(D1174:D1177)</f>
        <v>104.2</v>
      </c>
      <c r="E1178" s="1381"/>
      <c r="F1178" s="1381"/>
      <c r="G1178" s="1381"/>
      <c r="H1178" s="129"/>
      <c r="I1178" s="33"/>
      <c r="J1178" s="33"/>
      <c r="K1178" s="33"/>
      <c r="O1178" s="220"/>
    </row>
    <row r="1179" spans="1:15" ht="14.25" customHeight="1" thickBot="1" x14ac:dyDescent="0.3">
      <c r="A1179" s="376"/>
      <c r="B1179" s="72" t="s">
        <v>161</v>
      </c>
      <c r="C1179" s="73"/>
      <c r="D1179" s="332" t="s">
        <v>162</v>
      </c>
      <c r="E1179" s="1382" t="s">
        <v>163</v>
      </c>
      <c r="F1179" s="1382"/>
      <c r="G1179" s="1382"/>
      <c r="H1179" s="129"/>
      <c r="I1179" s="33"/>
      <c r="J1179" s="33"/>
      <c r="K1179" s="33"/>
      <c r="O1179" s="220"/>
    </row>
    <row r="1180" spans="1:15" ht="14.25" customHeight="1" thickBot="1" x14ac:dyDescent="0.3">
      <c r="A1180" s="376"/>
      <c r="B1180" s="76" t="s">
        <v>164</v>
      </c>
      <c r="C1180" s="77"/>
      <c r="D1180" s="334">
        <f>+SUM(D1178:D1179)</f>
        <v>104.2</v>
      </c>
      <c r="E1180" s="1382"/>
      <c r="F1180" s="1382"/>
      <c r="G1180" s="1382"/>
      <c r="H1180" s="129"/>
      <c r="I1180" s="33"/>
      <c r="J1180" s="33"/>
      <c r="K1180" s="33"/>
      <c r="O1180" s="220"/>
    </row>
    <row r="1181" spans="1:15" ht="14.25" customHeight="1" thickBot="1" x14ac:dyDescent="0.3">
      <c r="A1181" s="376"/>
      <c r="B1181" s="78" t="s">
        <v>165</v>
      </c>
      <c r="C1181" s="79">
        <f>$I$5</f>
        <v>28.49</v>
      </c>
      <c r="D1181" s="335">
        <f>ROUND((D1180*C1181),2)/100</f>
        <v>29.69</v>
      </c>
      <c r="E1181" s="1382"/>
      <c r="F1181" s="1382"/>
      <c r="G1181" s="1382"/>
      <c r="H1181" s="129"/>
      <c r="I1181" s="33"/>
      <c r="J1181" s="33"/>
      <c r="K1181" s="33"/>
      <c r="O1181" s="220"/>
    </row>
    <row r="1182" spans="1:15" ht="14.25" customHeight="1" thickBot="1" x14ac:dyDescent="0.3">
      <c r="A1182" s="376"/>
      <c r="B1182" s="80" t="s">
        <v>166</v>
      </c>
      <c r="C1182" s="81"/>
      <c r="D1182" s="336">
        <f>+SUM(D1180:D1181)</f>
        <v>133.88999999999999</v>
      </c>
      <c r="E1182" s="82"/>
      <c r="F1182" s="337">
        <f>D1182</f>
        <v>133.88999999999999</v>
      </c>
      <c r="G1182" s="35"/>
      <c r="H1182" s="129"/>
      <c r="I1182" s="33"/>
      <c r="J1182" s="33"/>
      <c r="K1182" s="33"/>
      <c r="O1182" s="220"/>
    </row>
    <row r="1183" spans="1:15" x14ac:dyDescent="0.25">
      <c r="H1183" s="129"/>
      <c r="O1183" s="220"/>
    </row>
    <row r="1184" spans="1:15" ht="15.75" thickBot="1" x14ac:dyDescent="0.3">
      <c r="H1184" s="129"/>
      <c r="O1184" s="220"/>
    </row>
    <row r="1185" spans="1:15" x14ac:dyDescent="0.25">
      <c r="A1185" s="376"/>
      <c r="B1185" s="1383" t="s">
        <v>131</v>
      </c>
      <c r="C1185" s="1383"/>
      <c r="D1185" s="1383"/>
      <c r="E1185" s="1383"/>
      <c r="F1185" s="1383"/>
      <c r="G1185" s="1383"/>
      <c r="H1185" s="129"/>
      <c r="I1185" s="33"/>
      <c r="J1185" s="33"/>
      <c r="K1185" s="33"/>
      <c r="O1185" s="220"/>
    </row>
    <row r="1186" spans="1:15" ht="15.75" thickBot="1" x14ac:dyDescent="0.3">
      <c r="A1186" s="376"/>
      <c r="B1186" s="1384" t="str">
        <f>$I$3</f>
        <v>Urbanização da Orla de Piúma - Município de Piúma / ES</v>
      </c>
      <c r="C1186" s="1385"/>
      <c r="D1186" s="1385"/>
      <c r="E1186" s="1385"/>
      <c r="F1186" s="1385"/>
      <c r="G1186" s="1386"/>
      <c r="H1186" s="129"/>
      <c r="I1186" s="33"/>
      <c r="J1186" s="33"/>
      <c r="K1186" s="33"/>
      <c r="O1186" s="220"/>
    </row>
    <row r="1187" spans="1:15" ht="15.75" thickBot="1" x14ac:dyDescent="0.3">
      <c r="A1187" s="376"/>
      <c r="B1187" s="34" t="s">
        <v>132</v>
      </c>
      <c r="C1187" s="34" t="s">
        <v>133</v>
      </c>
      <c r="D1187" s="1381" t="s">
        <v>134</v>
      </c>
      <c r="E1187" s="1381"/>
      <c r="F1187" s="131" t="s">
        <v>275</v>
      </c>
      <c r="G1187" s="35" t="s">
        <v>135</v>
      </c>
      <c r="H1187" s="129"/>
      <c r="I1187" s="31"/>
      <c r="J1187" s="31"/>
      <c r="K1187" s="33"/>
      <c r="O1187" s="220"/>
    </row>
    <row r="1188" spans="1:15" ht="42.75" customHeight="1" thickBot="1" x14ac:dyDescent="0.3">
      <c r="A1188" s="376"/>
      <c r="B1188" s="225" t="s">
        <v>350</v>
      </c>
      <c r="C1188" s="92" t="s">
        <v>98</v>
      </c>
      <c r="D1188" s="1381" t="s">
        <v>5</v>
      </c>
      <c r="E1188" s="1381"/>
      <c r="F1188" s="144" t="s">
        <v>347</v>
      </c>
      <c r="G1188" s="38">
        <f>$K$5</f>
        <v>44501</v>
      </c>
      <c r="H1188" s="129"/>
      <c r="I1188" s="33"/>
      <c r="J1188" s="33"/>
      <c r="K1188" s="33"/>
      <c r="O1188" s="220"/>
    </row>
    <row r="1189" spans="1:15" ht="6" customHeight="1" thickBot="1" x14ac:dyDescent="0.3">
      <c r="A1189" s="376"/>
      <c r="B1189" s="1382"/>
      <c r="C1189" s="1382"/>
      <c r="D1189" s="1382"/>
      <c r="E1189" s="1382"/>
      <c r="F1189" s="1382"/>
      <c r="G1189" s="1382"/>
      <c r="H1189" s="129"/>
      <c r="I1189" s="33"/>
      <c r="J1189" s="33"/>
      <c r="K1189" s="33"/>
      <c r="O1189" s="220"/>
    </row>
    <row r="1190" spans="1:15" ht="14.25" customHeight="1" x14ac:dyDescent="0.25">
      <c r="A1190" s="376"/>
      <c r="B1190" s="41" t="s">
        <v>139</v>
      </c>
      <c r="C1190" s="42" t="s">
        <v>140</v>
      </c>
      <c r="D1190" s="42" t="s">
        <v>141</v>
      </c>
      <c r="E1190" s="42" t="s">
        <v>142</v>
      </c>
      <c r="F1190" s="42" t="s">
        <v>143</v>
      </c>
      <c r="G1190" s="43" t="s">
        <v>144</v>
      </c>
      <c r="H1190" s="129"/>
      <c r="I1190" s="33"/>
      <c r="J1190" s="33"/>
      <c r="K1190" s="33"/>
      <c r="O1190" s="220"/>
    </row>
    <row r="1191" spans="1:15" ht="14.25" customHeight="1" x14ac:dyDescent="0.25">
      <c r="A1191" s="376">
        <v>10128</v>
      </c>
      <c r="B1191" s="44" t="str">
        <f>VLOOKUP(A1191,Insumos!$A$10:$F$3462,2,FALSE)</f>
        <v>LADRILHISTA - (OFICIAL - SINDUSCON)</v>
      </c>
      <c r="C1191" s="45" t="str">
        <f>VLOOKUP(A1191,Insumos!$A$10:$F$3462,3,FALSE)</f>
        <v>H</v>
      </c>
      <c r="D1191" s="46">
        <v>0.9</v>
      </c>
      <c r="E1191" s="329">
        <f>VLOOKUP(A1191,Insumos!$A$10:$F$3462,4,FALSE)</f>
        <v>7.43</v>
      </c>
      <c r="F1191" s="329">
        <f>ROUND((D1191*E1191),2)</f>
        <v>6.69</v>
      </c>
      <c r="G1191" s="355"/>
      <c r="H1191" s="129"/>
      <c r="I1191" s="33"/>
      <c r="J1191" s="33"/>
      <c r="K1191" s="33"/>
      <c r="O1191" s="220"/>
    </row>
    <row r="1192" spans="1:15" ht="14.25" customHeight="1" x14ac:dyDescent="0.25">
      <c r="A1192" s="376">
        <v>10146</v>
      </c>
      <c r="B1192" s="44" t="str">
        <f>VLOOKUP(A1192,Insumos!$A$10:$F$3462,2,FALSE)</f>
        <v>SERVENTE (AUXILIAR DE OBRAS - SINDUSCON)</v>
      </c>
      <c r="C1192" s="45" t="str">
        <f>VLOOKUP(A1192,Insumos!$A$10:$F$3462,3,FALSE)</f>
        <v>H</v>
      </c>
      <c r="D1192" s="46">
        <v>0.9</v>
      </c>
      <c r="E1192" s="329">
        <f>VLOOKUP(A1192,Insumos!$A$10:$F$3462,4,FALSE)</f>
        <v>5.46</v>
      </c>
      <c r="F1192" s="329">
        <f>ROUND((D1192*E1192),2)</f>
        <v>4.91</v>
      </c>
      <c r="G1192" s="355"/>
      <c r="H1192" s="129"/>
      <c r="I1192" s="33"/>
      <c r="J1192" s="33"/>
      <c r="K1192" s="33"/>
      <c r="O1192" s="220"/>
    </row>
    <row r="1193" spans="1:15" ht="14.25" customHeight="1" x14ac:dyDescent="0.25">
      <c r="A1193" s="376"/>
      <c r="B1193" s="48"/>
      <c r="C1193" s="45"/>
      <c r="D1193" s="49"/>
      <c r="E1193" s="329"/>
      <c r="F1193" s="329"/>
      <c r="G1193" s="355"/>
      <c r="H1193" s="129"/>
      <c r="I1193" s="33"/>
      <c r="J1193" s="33"/>
      <c r="K1193" s="33"/>
      <c r="O1193" s="220"/>
    </row>
    <row r="1194" spans="1:15" ht="14.25" customHeight="1" x14ac:dyDescent="0.25">
      <c r="A1194" s="376"/>
      <c r="B1194" s="50" t="s">
        <v>145</v>
      </c>
      <c r="C1194" s="51"/>
      <c r="D1194" s="52"/>
      <c r="E1194" s="329"/>
      <c r="F1194" s="353"/>
      <c r="G1194" s="338">
        <f>+SUM(F1191:F1193)</f>
        <v>11.6</v>
      </c>
      <c r="H1194" s="129"/>
      <c r="I1194" s="33"/>
      <c r="J1194" s="33"/>
      <c r="K1194" s="33"/>
      <c r="O1194" s="220"/>
    </row>
    <row r="1195" spans="1:15" ht="14.25" customHeight="1" x14ac:dyDescent="0.25">
      <c r="A1195" s="376"/>
      <c r="B1195" s="48" t="s">
        <v>146</v>
      </c>
      <c r="C1195" s="55"/>
      <c r="D1195" s="56"/>
      <c r="E1195" s="45"/>
      <c r="F1195" s="57"/>
      <c r="G1195" s="58" t="s">
        <v>147</v>
      </c>
      <c r="H1195" s="129"/>
      <c r="I1195" s="33"/>
      <c r="J1195" s="33"/>
      <c r="K1195" s="33"/>
      <c r="O1195" s="220"/>
    </row>
    <row r="1196" spans="1:15" ht="14.25" customHeight="1" x14ac:dyDescent="0.25">
      <c r="A1196" s="376" t="s">
        <v>463</v>
      </c>
      <c r="B1196" s="230" t="str">
        <f>VLOOKUP(A1196,Insumos!$A$10:$F$3462,2,FALSE)</f>
        <v>Argamassa pré fabricada Gail para assentamento de piso industrial</v>
      </c>
      <c r="C1196" s="231" t="str">
        <f>VLOOKUP(A1196,Insumos!$A$10:$F$3462,3,FALSE)</f>
        <v>kg</v>
      </c>
      <c r="D1196" s="46">
        <v>5.55</v>
      </c>
      <c r="E1196" s="329">
        <f>VLOOKUP(A1196,Insumos!$A$10:$F$3462,4,FALSE)</f>
        <v>3.62</v>
      </c>
      <c r="F1196" s="329">
        <f>ROUND((D1196*E1196),2)</f>
        <v>20.09</v>
      </c>
      <c r="G1196" s="355"/>
      <c r="H1196" s="129"/>
      <c r="I1196" s="33"/>
      <c r="J1196" s="159" t="s">
        <v>503</v>
      </c>
      <c r="K1196" s="33"/>
      <c r="O1196" s="220"/>
    </row>
    <row r="1197" spans="1:15" ht="14.25" customHeight="1" x14ac:dyDescent="0.25">
      <c r="A1197" s="376" t="s">
        <v>464</v>
      </c>
      <c r="B1197" s="230" t="str">
        <f>VLOOKUP(A1197,Insumos!$A$10:$F$3462,2,FALSE)</f>
        <v>Rejunte aluminoso Gail (anti-fungo e anti-mofo)</v>
      </c>
      <c r="C1197" s="231" t="str">
        <f>VLOOKUP(A1197,Insumos!$A$10:$F$3462,3,FALSE)</f>
        <v>kg</v>
      </c>
      <c r="D1197" s="46">
        <v>0.873</v>
      </c>
      <c r="E1197" s="329">
        <f>VLOOKUP(A1197,Insumos!$A$10:$F$3462,4,FALSE)</f>
        <v>67</v>
      </c>
      <c r="F1197" s="329">
        <f>ROUND((D1197*E1197),2)</f>
        <v>58.49</v>
      </c>
      <c r="G1197" s="355"/>
      <c r="H1197" s="129"/>
      <c r="I1197" s="33"/>
      <c r="J1197" s="220" t="s">
        <v>503</v>
      </c>
      <c r="K1197" s="33"/>
      <c r="O1197" s="220"/>
    </row>
    <row r="1198" spans="1:15" ht="29.25" customHeight="1" x14ac:dyDescent="0.25">
      <c r="A1198" s="376" t="s">
        <v>462</v>
      </c>
      <c r="B1198" s="230" t="str">
        <f>VLOOKUP(A1198,Insumos!$A$10:$F$3462,2,FALSE)</f>
        <v>Revestimento cerâmico Linha Industrial Gressit, 240X240x9mm, cor cinza claro, PEI 5, ref.: 6039-1015</v>
      </c>
      <c r="C1198" s="231" t="str">
        <f>VLOOKUP(A1198,Insumos!$A$10:$F$3462,3,FALSE)</f>
        <v>m2</v>
      </c>
      <c r="D1198" s="46">
        <v>1.05</v>
      </c>
      <c r="E1198" s="329">
        <f>VLOOKUP(A1198,Insumos!$A$10:$F$3462,4,FALSE)</f>
        <v>104</v>
      </c>
      <c r="F1198" s="329">
        <f>ROUND((D1198*E1198),2)</f>
        <v>109.2</v>
      </c>
      <c r="G1198" s="355"/>
      <c r="H1198" s="129"/>
      <c r="I1198" s="33"/>
      <c r="J1198" s="220" t="s">
        <v>503</v>
      </c>
      <c r="K1198" s="33"/>
      <c r="O1198" s="220"/>
    </row>
    <row r="1199" spans="1:15" ht="14.25" customHeight="1" x14ac:dyDescent="0.25">
      <c r="A1199" s="376"/>
      <c r="B1199" s="48"/>
      <c r="C1199" s="45"/>
      <c r="D1199" s="61"/>
      <c r="E1199" s="329"/>
      <c r="F1199" s="329"/>
      <c r="G1199" s="355"/>
      <c r="H1199" s="129"/>
      <c r="I1199" s="33"/>
      <c r="J1199" s="33"/>
      <c r="K1199" s="33"/>
      <c r="O1199" s="220"/>
    </row>
    <row r="1200" spans="1:15" ht="14.25" customHeight="1" x14ac:dyDescent="0.25">
      <c r="A1200" s="376"/>
      <c r="B1200" s="50" t="s">
        <v>148</v>
      </c>
      <c r="C1200" s="51"/>
      <c r="D1200" s="62"/>
      <c r="E1200" s="353"/>
      <c r="F1200" s="353"/>
      <c r="G1200" s="338">
        <f>+SUM(F1196:F1199)</f>
        <v>187.78</v>
      </c>
      <c r="H1200" s="129"/>
      <c r="I1200" s="33"/>
      <c r="J1200" s="33"/>
      <c r="K1200" s="33"/>
      <c r="O1200" s="220"/>
    </row>
    <row r="1201" spans="1:15" ht="14.25" customHeight="1" x14ac:dyDescent="0.25">
      <c r="A1201" s="376"/>
      <c r="B1201" s="48" t="s">
        <v>149</v>
      </c>
      <c r="C1201" s="55"/>
      <c r="D1201" s="64"/>
      <c r="E1201" s="55"/>
      <c r="F1201" s="55"/>
      <c r="G1201" s="58" t="s">
        <v>150</v>
      </c>
      <c r="H1201" s="129"/>
      <c r="I1201" s="33"/>
      <c r="J1201" s="33"/>
      <c r="K1201" s="33"/>
      <c r="O1201" s="220"/>
    </row>
    <row r="1202" spans="1:15" ht="14.25" customHeight="1" x14ac:dyDescent="0.25">
      <c r="A1202" s="376"/>
      <c r="B1202" s="48" t="s">
        <v>98</v>
      </c>
      <c r="C1202" s="45"/>
      <c r="D1202" s="59"/>
      <c r="E1202" s="45"/>
      <c r="F1202" s="45"/>
      <c r="G1202" s="47"/>
      <c r="H1202" s="129"/>
      <c r="I1202" s="33"/>
      <c r="J1202" s="33"/>
      <c r="K1202" s="33"/>
      <c r="O1202" s="220"/>
    </row>
    <row r="1203" spans="1:15" ht="14.25" customHeight="1" x14ac:dyDescent="0.25">
      <c r="A1203" s="376"/>
      <c r="B1203" s="48" t="s">
        <v>98</v>
      </c>
      <c r="C1203" s="45"/>
      <c r="D1203" s="59"/>
      <c r="E1203" s="45"/>
      <c r="F1203" s="45"/>
      <c r="G1203" s="47"/>
      <c r="H1203" s="129"/>
      <c r="I1203" s="33"/>
      <c r="J1203" s="33"/>
      <c r="K1203" s="33"/>
      <c r="O1203" s="220"/>
    </row>
    <row r="1204" spans="1:15" ht="14.25" customHeight="1" thickBot="1" x14ac:dyDescent="0.3">
      <c r="A1204" s="376"/>
      <c r="B1204" s="65" t="s">
        <v>151</v>
      </c>
      <c r="C1204" s="66"/>
      <c r="D1204" s="67"/>
      <c r="E1204" s="66"/>
      <c r="F1204" s="66"/>
      <c r="G1204" s="68">
        <f>+SUM(F1202:F1203)</f>
        <v>0</v>
      </c>
      <c r="H1204" s="129"/>
      <c r="I1204" s="33"/>
      <c r="J1204" s="33"/>
      <c r="K1204" s="33"/>
      <c r="O1204" s="220"/>
    </row>
    <row r="1205" spans="1:15" ht="4.5" customHeight="1" thickBot="1" x14ac:dyDescent="0.3">
      <c r="A1205" s="376"/>
      <c r="B1205" s="1382"/>
      <c r="C1205" s="1382"/>
      <c r="D1205" s="1382"/>
      <c r="E1205" s="1382"/>
      <c r="F1205" s="1382"/>
      <c r="G1205" s="1382"/>
      <c r="H1205" s="129"/>
      <c r="I1205" s="33"/>
      <c r="J1205" s="33"/>
      <c r="K1205" s="33"/>
      <c r="O1205" s="220"/>
    </row>
    <row r="1206" spans="1:15" ht="14.25" customHeight="1" thickBot="1" x14ac:dyDescent="0.3">
      <c r="A1206" s="376"/>
      <c r="B1206" s="69" t="s">
        <v>152</v>
      </c>
      <c r="C1206" s="70" t="s">
        <v>4415</v>
      </c>
      <c r="D1206" s="71" t="s">
        <v>154</v>
      </c>
      <c r="E1206" s="1381" t="s">
        <v>155</v>
      </c>
      <c r="F1206" s="1381"/>
      <c r="G1206" s="1381"/>
      <c r="H1206" s="129"/>
      <c r="I1206" s="33"/>
      <c r="J1206" s="33"/>
      <c r="K1206" s="33"/>
      <c r="O1206" s="220"/>
    </row>
    <row r="1207" spans="1:15" ht="14.25" customHeight="1" thickBot="1" x14ac:dyDescent="0.3">
      <c r="A1207" s="376"/>
      <c r="B1207" s="72" t="s">
        <v>156</v>
      </c>
      <c r="C1207" s="73"/>
      <c r="D1207" s="332">
        <f>G1194</f>
        <v>11.6</v>
      </c>
      <c r="E1207" s="1381"/>
      <c r="F1207" s="1381"/>
      <c r="G1207" s="1381"/>
      <c r="H1207" s="129"/>
      <c r="I1207" s="33"/>
      <c r="J1207" s="33"/>
      <c r="K1207" s="33"/>
      <c r="O1207" s="220"/>
    </row>
    <row r="1208" spans="1:15" ht="14.25" customHeight="1" thickBot="1" x14ac:dyDescent="0.3">
      <c r="A1208" s="376"/>
      <c r="B1208" s="72" t="s">
        <v>157</v>
      </c>
      <c r="C1208" s="73"/>
      <c r="D1208" s="332">
        <f>G1200</f>
        <v>187.78</v>
      </c>
      <c r="E1208" s="1381"/>
      <c r="F1208" s="1381"/>
      <c r="G1208" s="1381"/>
      <c r="H1208" s="129"/>
      <c r="I1208" s="33"/>
      <c r="J1208" s="33"/>
      <c r="K1208" s="33"/>
      <c r="O1208" s="220"/>
    </row>
    <row r="1209" spans="1:15" ht="14.25" customHeight="1" thickBot="1" x14ac:dyDescent="0.3">
      <c r="A1209" s="376"/>
      <c r="B1209" s="72" t="s">
        <v>158</v>
      </c>
      <c r="C1209" s="73"/>
      <c r="D1209" s="332">
        <f>G1204</f>
        <v>0</v>
      </c>
      <c r="E1209" s="1381"/>
      <c r="F1209" s="1381"/>
      <c r="G1209" s="1381"/>
      <c r="H1209" s="129"/>
      <c r="I1209" s="33"/>
      <c r="J1209" s="33"/>
      <c r="K1209" s="33"/>
      <c r="O1209" s="220"/>
    </row>
    <row r="1210" spans="1:15" ht="14.25" customHeight="1" thickBot="1" x14ac:dyDescent="0.3">
      <c r="A1210" s="376"/>
      <c r="B1210" s="72" t="s">
        <v>159</v>
      </c>
      <c r="C1210" s="74">
        <f>$J$5</f>
        <v>157.27000000000001</v>
      </c>
      <c r="D1210" s="332">
        <f>+ROUND((D1207*C1210),2)/100</f>
        <v>18.239999999999998</v>
      </c>
      <c r="E1210" s="1381"/>
      <c r="F1210" s="1381"/>
      <c r="G1210" s="1381"/>
      <c r="H1210" s="129"/>
      <c r="I1210" s="33"/>
      <c r="J1210" s="33"/>
      <c r="K1210" s="33"/>
      <c r="O1210" s="220"/>
    </row>
    <row r="1211" spans="1:15" ht="14.25" customHeight="1" thickBot="1" x14ac:dyDescent="0.3">
      <c r="A1211" s="376"/>
      <c r="B1211" s="72" t="s">
        <v>160</v>
      </c>
      <c r="C1211" s="75"/>
      <c r="D1211" s="333">
        <f>+SUM(D1207:D1210)</f>
        <v>217.62</v>
      </c>
      <c r="E1211" s="1381"/>
      <c r="F1211" s="1381"/>
      <c r="G1211" s="1381"/>
      <c r="H1211" s="129"/>
      <c r="I1211" s="33"/>
      <c r="J1211" s="33"/>
      <c r="K1211" s="33"/>
      <c r="O1211" s="220"/>
    </row>
    <row r="1212" spans="1:15" ht="14.25" customHeight="1" thickBot="1" x14ac:dyDescent="0.3">
      <c r="A1212" s="376"/>
      <c r="B1212" s="72" t="s">
        <v>161</v>
      </c>
      <c r="C1212" s="73"/>
      <c r="D1212" s="332" t="s">
        <v>162</v>
      </c>
      <c r="E1212" s="1382" t="s">
        <v>163</v>
      </c>
      <c r="F1212" s="1382"/>
      <c r="G1212" s="1382"/>
      <c r="H1212" s="129"/>
      <c r="I1212" s="33"/>
      <c r="J1212" s="33"/>
      <c r="K1212" s="33"/>
      <c r="O1212" s="220"/>
    </row>
    <row r="1213" spans="1:15" ht="14.25" customHeight="1" thickBot="1" x14ac:dyDescent="0.3">
      <c r="A1213" s="376"/>
      <c r="B1213" s="76" t="s">
        <v>164</v>
      </c>
      <c r="C1213" s="77"/>
      <c r="D1213" s="334">
        <f>+SUM(D1211:D1212)</f>
        <v>217.62</v>
      </c>
      <c r="E1213" s="1382"/>
      <c r="F1213" s="1382"/>
      <c r="G1213" s="1382"/>
      <c r="H1213" s="129"/>
      <c r="I1213" s="33"/>
      <c r="J1213" s="33"/>
      <c r="K1213" s="33"/>
      <c r="O1213" s="220"/>
    </row>
    <row r="1214" spans="1:15" ht="14.25" customHeight="1" thickBot="1" x14ac:dyDescent="0.3">
      <c r="A1214" s="376"/>
      <c r="B1214" s="78" t="s">
        <v>165</v>
      </c>
      <c r="C1214" s="79">
        <f>$I$5</f>
        <v>28.49</v>
      </c>
      <c r="D1214" s="335">
        <f>ROUND((D1213*C1214),2)/100</f>
        <v>62</v>
      </c>
      <c r="E1214" s="1382"/>
      <c r="F1214" s="1382"/>
      <c r="G1214" s="1382"/>
      <c r="H1214" s="129"/>
      <c r="I1214" s="33"/>
      <c r="J1214" s="33"/>
      <c r="K1214" s="33"/>
      <c r="O1214" s="220"/>
    </row>
    <row r="1215" spans="1:15" ht="14.25" customHeight="1" thickBot="1" x14ac:dyDescent="0.3">
      <c r="A1215" s="376"/>
      <c r="B1215" s="80" t="s">
        <v>166</v>
      </c>
      <c r="C1215" s="81"/>
      <c r="D1215" s="336">
        <f>+SUM(D1213:D1214)</f>
        <v>279.62</v>
      </c>
      <c r="E1215" s="82"/>
      <c r="F1215" s="337">
        <f>D1215</f>
        <v>279.62</v>
      </c>
      <c r="G1215" s="35"/>
      <c r="H1215" s="129"/>
      <c r="I1215" s="33"/>
      <c r="J1215" s="33"/>
      <c r="K1215" s="33"/>
      <c r="O1215" s="220"/>
    </row>
    <row r="1216" spans="1:15" x14ac:dyDescent="0.25">
      <c r="H1216" s="129"/>
      <c r="O1216" s="220"/>
    </row>
    <row r="1217" spans="1:15" ht="15.75" thickBot="1" x14ac:dyDescent="0.3">
      <c r="H1217" s="129"/>
      <c r="O1217" s="220"/>
    </row>
    <row r="1218" spans="1:15" x14ac:dyDescent="0.25">
      <c r="A1218" s="376"/>
      <c r="B1218" s="1383" t="s">
        <v>131</v>
      </c>
      <c r="C1218" s="1383"/>
      <c r="D1218" s="1383"/>
      <c r="E1218" s="1383"/>
      <c r="F1218" s="1383"/>
      <c r="G1218" s="1383"/>
      <c r="H1218" s="129"/>
      <c r="I1218" s="33"/>
      <c r="J1218" s="33"/>
      <c r="K1218" s="33"/>
      <c r="O1218" s="220"/>
    </row>
    <row r="1219" spans="1:15" ht="15.75" thickBot="1" x14ac:dyDescent="0.3">
      <c r="A1219" s="376"/>
      <c r="B1219" s="1384" t="str">
        <f>$I$3</f>
        <v>Urbanização da Orla de Piúma - Município de Piúma / ES</v>
      </c>
      <c r="C1219" s="1385"/>
      <c r="D1219" s="1385"/>
      <c r="E1219" s="1385"/>
      <c r="F1219" s="1385"/>
      <c r="G1219" s="1386"/>
      <c r="H1219" s="129"/>
      <c r="I1219" s="33"/>
      <c r="J1219" s="33"/>
      <c r="K1219" s="33"/>
      <c r="O1219" s="220"/>
    </row>
    <row r="1220" spans="1:15" ht="15.75" thickBot="1" x14ac:dyDescent="0.3">
      <c r="A1220" s="376"/>
      <c r="B1220" s="34" t="s">
        <v>132</v>
      </c>
      <c r="C1220" s="34" t="s">
        <v>133</v>
      </c>
      <c r="D1220" s="1381" t="s">
        <v>134</v>
      </c>
      <c r="E1220" s="1381"/>
      <c r="F1220" s="131" t="s">
        <v>275</v>
      </c>
      <c r="G1220" s="35" t="s">
        <v>135</v>
      </c>
      <c r="H1220" s="129"/>
      <c r="I1220" s="31"/>
      <c r="J1220" s="31"/>
      <c r="K1220" s="33"/>
      <c r="O1220" s="220"/>
    </row>
    <row r="1221" spans="1:15" ht="15.75" thickBot="1" x14ac:dyDescent="0.3">
      <c r="A1221" s="376"/>
      <c r="B1221" s="132" t="s">
        <v>205</v>
      </c>
      <c r="C1221" s="92" t="s">
        <v>98</v>
      </c>
      <c r="D1221" s="1381" t="s">
        <v>7</v>
      </c>
      <c r="E1221" s="1381"/>
      <c r="F1221" s="144" t="s">
        <v>348</v>
      </c>
      <c r="G1221" s="38">
        <f>$K$5</f>
        <v>44501</v>
      </c>
      <c r="H1221" s="129"/>
      <c r="I1221" s="33"/>
      <c r="J1221" s="33"/>
      <c r="K1221" s="33"/>
      <c r="O1221" s="220"/>
    </row>
    <row r="1222" spans="1:15" ht="6" customHeight="1" thickBot="1" x14ac:dyDescent="0.3">
      <c r="A1222" s="376"/>
      <c r="B1222" s="1382"/>
      <c r="C1222" s="1382"/>
      <c r="D1222" s="1382"/>
      <c r="E1222" s="1382"/>
      <c r="F1222" s="1382"/>
      <c r="G1222" s="1382"/>
      <c r="H1222" s="129"/>
      <c r="I1222" s="33"/>
      <c r="J1222" s="33"/>
      <c r="K1222" s="33"/>
      <c r="O1222" s="220"/>
    </row>
    <row r="1223" spans="1:15" ht="14.25" customHeight="1" x14ac:dyDescent="0.25">
      <c r="A1223" s="376"/>
      <c r="B1223" s="41" t="s">
        <v>139</v>
      </c>
      <c r="C1223" s="42" t="s">
        <v>140</v>
      </c>
      <c r="D1223" s="42" t="s">
        <v>141</v>
      </c>
      <c r="E1223" s="42" t="s">
        <v>142</v>
      </c>
      <c r="F1223" s="42" t="s">
        <v>143</v>
      </c>
      <c r="G1223" s="43" t="s">
        <v>144</v>
      </c>
      <c r="H1223" s="129"/>
      <c r="I1223" s="33"/>
      <c r="J1223" s="33"/>
      <c r="K1223" s="33"/>
      <c r="O1223" s="220"/>
    </row>
    <row r="1224" spans="1:15" ht="14.25" customHeight="1" x14ac:dyDescent="0.25">
      <c r="A1224" s="376">
        <v>10139</v>
      </c>
      <c r="B1224" s="44" t="str">
        <f>VLOOKUP(A1224,Insumos!$A$10:$F$3462,2,FALSE)</f>
        <v>PEDREIRO - (OFICIAL - SINDUSCON)</v>
      </c>
      <c r="C1224" s="45" t="str">
        <f>VLOOKUP(A1224,Insumos!$A$10:$F$3462,3,FALSE)</f>
        <v>H</v>
      </c>
      <c r="D1224" s="46">
        <v>0.4</v>
      </c>
      <c r="E1224" s="329">
        <f>VLOOKUP(A1224,Insumos!$A$10:$F$3462,4,FALSE)</f>
        <v>7.43</v>
      </c>
      <c r="F1224" s="329">
        <f>ROUND((D1224*E1224),2)</f>
        <v>2.97</v>
      </c>
      <c r="G1224" s="355"/>
      <c r="H1224" s="129"/>
      <c r="I1224" s="33"/>
      <c r="J1224" s="33"/>
      <c r="K1224" s="33"/>
      <c r="O1224" s="220"/>
    </row>
    <row r="1225" spans="1:15" ht="14.25" customHeight="1" x14ac:dyDescent="0.25">
      <c r="A1225" s="376">
        <v>10146</v>
      </c>
      <c r="B1225" s="44" t="str">
        <f>VLOOKUP(A1225,Insumos!$A$10:$F$3462,2,FALSE)</f>
        <v>SERVENTE (AUXILIAR DE OBRAS - SINDUSCON)</v>
      </c>
      <c r="C1225" s="45" t="str">
        <f>VLOOKUP(A1225,Insumos!$A$10:$F$3462,3,FALSE)</f>
        <v>H</v>
      </c>
      <c r="D1225" s="46">
        <v>0.44</v>
      </c>
      <c r="E1225" s="329">
        <f>VLOOKUP(A1225,Insumos!$A$10:$F$3462,4,FALSE)</f>
        <v>5.46</v>
      </c>
      <c r="F1225" s="329">
        <f>ROUND((D1225*E1225),2)</f>
        <v>2.4</v>
      </c>
      <c r="G1225" s="355"/>
      <c r="H1225" s="129"/>
      <c r="I1225" s="33"/>
      <c r="J1225" s="33"/>
      <c r="K1225" s="33"/>
      <c r="O1225" s="220"/>
    </row>
    <row r="1226" spans="1:15" ht="14.25" customHeight="1" x14ac:dyDescent="0.25">
      <c r="A1226" s="376"/>
      <c r="B1226" s="48"/>
      <c r="C1226" s="45"/>
      <c r="D1226" s="49"/>
      <c r="E1226" s="329"/>
      <c r="F1226" s="329"/>
      <c r="G1226" s="355"/>
      <c r="H1226" s="129"/>
      <c r="I1226" s="33"/>
      <c r="J1226" s="33"/>
      <c r="K1226" s="33"/>
      <c r="O1226" s="220"/>
    </row>
    <row r="1227" spans="1:15" ht="14.25" customHeight="1" x14ac:dyDescent="0.25">
      <c r="A1227" s="376"/>
      <c r="B1227" s="50" t="s">
        <v>145</v>
      </c>
      <c r="C1227" s="51"/>
      <c r="D1227" s="52"/>
      <c r="E1227" s="329"/>
      <c r="F1227" s="353"/>
      <c r="G1227" s="338">
        <f>+SUM(F1224:F1226)</f>
        <v>5.37</v>
      </c>
      <c r="H1227" s="129"/>
      <c r="I1227" s="33"/>
      <c r="J1227" s="33"/>
      <c r="K1227" s="33"/>
      <c r="O1227" s="220"/>
    </row>
    <row r="1228" spans="1:15" ht="14.25" customHeight="1" x14ac:dyDescent="0.25">
      <c r="A1228" s="376"/>
      <c r="B1228" s="48" t="s">
        <v>146</v>
      </c>
      <c r="C1228" s="55"/>
      <c r="D1228" s="56"/>
      <c r="E1228" s="45"/>
      <c r="F1228" s="57"/>
      <c r="G1228" s="58" t="s">
        <v>147</v>
      </c>
      <c r="H1228" s="129"/>
      <c r="I1228" s="33"/>
      <c r="J1228" s="33"/>
      <c r="K1228" s="33"/>
      <c r="O1228" s="220"/>
    </row>
    <row r="1229" spans="1:15" ht="14.25" customHeight="1" x14ac:dyDescent="0.25">
      <c r="A1229" s="376">
        <v>20503</v>
      </c>
      <c r="B1229" s="44" t="str">
        <f>VLOOKUP(A1229,Insumos!$A$10:$F$3462,2,FALSE)</f>
        <v>AREIA LAVADA MEDIA</v>
      </c>
      <c r="C1229" s="45" t="str">
        <f>VLOOKUP(A1229,Insumos!$A$10:$F$3462,3,FALSE)</f>
        <v>M3</v>
      </c>
      <c r="D1229" s="46">
        <v>4.5999999999999999E-3</v>
      </c>
      <c r="E1229" s="329">
        <f>VLOOKUP(A1229,Insumos!$A$10:$F$3462,4,FALSE)</f>
        <v>90</v>
      </c>
      <c r="F1229" s="329">
        <f>ROUND((D1229*E1229),2)</f>
        <v>0.41</v>
      </c>
      <c r="G1229" s="355"/>
      <c r="H1229" s="129"/>
      <c r="I1229" s="33"/>
      <c r="J1229" s="33"/>
      <c r="K1229" s="33"/>
      <c r="O1229" s="220"/>
    </row>
    <row r="1230" spans="1:15" ht="14.25" customHeight="1" x14ac:dyDescent="0.25">
      <c r="A1230" s="376">
        <v>20505</v>
      </c>
      <c r="B1230" s="44" t="str">
        <f>VLOOKUP(A1230,Insumos!$A$10:$F$3462,2,FALSE)</f>
        <v>CAL HIDRATADO P/ ARGAMASSA CH III</v>
      </c>
      <c r="C1230" s="45" t="str">
        <f>VLOOKUP(A1230,Insumos!$A$10:$F$3462,3,FALSE)</f>
        <v>KG</v>
      </c>
      <c r="D1230" s="46">
        <v>0.68</v>
      </c>
      <c r="E1230" s="329">
        <f>VLOOKUP(A1230,Insumos!$A$10:$F$3462,4,FALSE)</f>
        <v>0.78</v>
      </c>
      <c r="F1230" s="329">
        <f>ROUND((D1230*E1230),2)</f>
        <v>0.53</v>
      </c>
      <c r="G1230" s="355"/>
      <c r="H1230" s="129"/>
      <c r="I1230" s="33"/>
      <c r="J1230" s="33"/>
      <c r="K1230" s="33"/>
      <c r="O1230" s="220"/>
    </row>
    <row r="1231" spans="1:15" ht="14.25" customHeight="1" x14ac:dyDescent="0.25">
      <c r="A1231" s="376">
        <v>20508</v>
      </c>
      <c r="B1231" s="44" t="str">
        <f>VLOOKUP(A1231,Insumos!$A$10:$F$3462,2,FALSE)</f>
        <v>CIMENTO PORTLAND CP III - 40</v>
      </c>
      <c r="C1231" s="45" t="str">
        <f>VLOOKUP(A1231,Insumos!$A$10:$F$3462,3,FALSE)</f>
        <v>KG</v>
      </c>
      <c r="D1231" s="46">
        <v>1.37</v>
      </c>
      <c r="E1231" s="329">
        <f>VLOOKUP(A1231,Insumos!$A$10:$F$3462,4,FALSE)</f>
        <v>0.46</v>
      </c>
      <c r="F1231" s="329">
        <f>ROUND((D1231*E1231),2)</f>
        <v>0.63</v>
      </c>
      <c r="G1231" s="355"/>
      <c r="H1231" s="129"/>
      <c r="I1231" s="33"/>
      <c r="J1231" s="33"/>
      <c r="K1231" s="33"/>
      <c r="O1231" s="220"/>
    </row>
    <row r="1232" spans="1:15" x14ac:dyDescent="0.25">
      <c r="A1232" s="376">
        <v>13256</v>
      </c>
      <c r="B1232" s="145" t="str">
        <f>VLOOKUP(A1232,Insumos!$A$10:$F$3462,2,FALSE)</f>
        <v>Soleira em granito branco Siena, polido, l = 15 cm, e = 2cm</v>
      </c>
      <c r="C1232" s="146" t="str">
        <f>VLOOKUP(A1232,Insumos!$A$10:$F$3462,3,FALSE)</f>
        <v>m</v>
      </c>
      <c r="D1232" s="46">
        <v>1</v>
      </c>
      <c r="E1232" s="329">
        <f>VLOOKUP(A1232,Insumos!$A$10:$F$3462,4,FALSE)</f>
        <v>69.91</v>
      </c>
      <c r="F1232" s="329">
        <f>ROUND((D1232*E1232),2)</f>
        <v>69.91</v>
      </c>
      <c r="G1232" s="355"/>
      <c r="H1232" s="129"/>
      <c r="I1232" s="33"/>
      <c r="J1232" s="33"/>
      <c r="K1232" s="33"/>
      <c r="O1232" s="220"/>
    </row>
    <row r="1233" spans="1:15" ht="14.25" customHeight="1" x14ac:dyDescent="0.25">
      <c r="A1233" s="376"/>
      <c r="B1233" s="48"/>
      <c r="C1233" s="45"/>
      <c r="D1233" s="61"/>
      <c r="E1233" s="329"/>
      <c r="F1233" s="329"/>
      <c r="G1233" s="355"/>
      <c r="H1233" s="129"/>
      <c r="I1233" s="33"/>
      <c r="J1233" s="33"/>
      <c r="K1233" s="33"/>
      <c r="O1233" s="220"/>
    </row>
    <row r="1234" spans="1:15" ht="14.25" customHeight="1" x14ac:dyDescent="0.25">
      <c r="A1234" s="376"/>
      <c r="B1234" s="50" t="s">
        <v>148</v>
      </c>
      <c r="C1234" s="51"/>
      <c r="D1234" s="62"/>
      <c r="E1234" s="353"/>
      <c r="F1234" s="353"/>
      <c r="G1234" s="338">
        <f>+SUM(F1229:F1233)</f>
        <v>71.48</v>
      </c>
      <c r="H1234" s="129"/>
      <c r="I1234" s="33"/>
      <c r="J1234" s="33"/>
      <c r="K1234" s="33"/>
      <c r="O1234" s="220"/>
    </row>
    <row r="1235" spans="1:15" ht="14.25" customHeight="1" x14ac:dyDescent="0.25">
      <c r="A1235" s="376"/>
      <c r="B1235" s="48" t="s">
        <v>149</v>
      </c>
      <c r="C1235" s="55"/>
      <c r="D1235" s="64"/>
      <c r="E1235" s="55"/>
      <c r="F1235" s="55"/>
      <c r="G1235" s="58" t="s">
        <v>150</v>
      </c>
      <c r="H1235" s="129"/>
      <c r="I1235" s="33"/>
      <c r="J1235" s="33"/>
      <c r="K1235" s="33"/>
      <c r="O1235" s="220"/>
    </row>
    <row r="1236" spans="1:15" ht="14.25" customHeight="1" x14ac:dyDescent="0.25">
      <c r="A1236" s="376"/>
      <c r="B1236" s="48" t="s">
        <v>98</v>
      </c>
      <c r="C1236" s="45"/>
      <c r="D1236" s="59"/>
      <c r="E1236" s="45"/>
      <c r="F1236" s="45"/>
      <c r="G1236" s="47"/>
      <c r="H1236" s="129"/>
      <c r="I1236" s="33"/>
      <c r="J1236" s="33"/>
      <c r="K1236" s="33"/>
      <c r="O1236" s="220"/>
    </row>
    <row r="1237" spans="1:15" ht="14.25" customHeight="1" x14ac:dyDescent="0.25">
      <c r="A1237" s="376"/>
      <c r="B1237" s="48" t="s">
        <v>98</v>
      </c>
      <c r="C1237" s="45"/>
      <c r="D1237" s="59"/>
      <c r="E1237" s="45"/>
      <c r="F1237" s="45"/>
      <c r="G1237" s="47"/>
      <c r="H1237" s="129"/>
      <c r="I1237" s="33"/>
      <c r="J1237" s="33"/>
      <c r="K1237" s="33"/>
      <c r="O1237" s="220"/>
    </row>
    <row r="1238" spans="1:15" ht="14.25" customHeight="1" thickBot="1" x14ac:dyDescent="0.3">
      <c r="A1238" s="376"/>
      <c r="B1238" s="65" t="s">
        <v>151</v>
      </c>
      <c r="C1238" s="66"/>
      <c r="D1238" s="67"/>
      <c r="E1238" s="66"/>
      <c r="F1238" s="66"/>
      <c r="G1238" s="68">
        <f>+SUM(F1236:F1237)</f>
        <v>0</v>
      </c>
      <c r="H1238" s="129"/>
      <c r="I1238" s="33"/>
      <c r="J1238" s="33"/>
      <c r="K1238" s="33"/>
      <c r="O1238" s="220"/>
    </row>
    <row r="1239" spans="1:15" ht="4.5" customHeight="1" thickBot="1" x14ac:dyDescent="0.3">
      <c r="A1239" s="376"/>
      <c r="B1239" s="1382"/>
      <c r="C1239" s="1382"/>
      <c r="D1239" s="1382"/>
      <c r="E1239" s="1382"/>
      <c r="F1239" s="1382"/>
      <c r="G1239" s="1382"/>
      <c r="H1239" s="129"/>
      <c r="I1239" s="33"/>
      <c r="J1239" s="33"/>
      <c r="K1239" s="33"/>
      <c r="O1239" s="220"/>
    </row>
    <row r="1240" spans="1:15" ht="14.25" customHeight="1" thickBot="1" x14ac:dyDescent="0.3">
      <c r="A1240" s="376"/>
      <c r="B1240" s="69" t="s">
        <v>152</v>
      </c>
      <c r="C1240" s="70" t="s">
        <v>4415</v>
      </c>
      <c r="D1240" s="71" t="s">
        <v>154</v>
      </c>
      <c r="E1240" s="1381" t="s">
        <v>155</v>
      </c>
      <c r="F1240" s="1381"/>
      <c r="G1240" s="1381"/>
      <c r="H1240" s="129"/>
      <c r="I1240" s="33"/>
      <c r="J1240" s="33"/>
      <c r="K1240" s="33"/>
      <c r="O1240" s="220"/>
    </row>
    <row r="1241" spans="1:15" ht="14.25" customHeight="1" thickBot="1" x14ac:dyDescent="0.3">
      <c r="A1241" s="376"/>
      <c r="B1241" s="72" t="s">
        <v>156</v>
      </c>
      <c r="C1241" s="73"/>
      <c r="D1241" s="332">
        <f>G1227</f>
        <v>5.37</v>
      </c>
      <c r="E1241" s="1381"/>
      <c r="F1241" s="1381"/>
      <c r="G1241" s="1381"/>
      <c r="H1241" s="129"/>
      <c r="I1241" s="33"/>
      <c r="J1241" s="33"/>
      <c r="K1241" s="33"/>
      <c r="O1241" s="220"/>
    </row>
    <row r="1242" spans="1:15" ht="14.25" customHeight="1" thickBot="1" x14ac:dyDescent="0.3">
      <c r="A1242" s="376"/>
      <c r="B1242" s="72" t="s">
        <v>157</v>
      </c>
      <c r="C1242" s="73"/>
      <c r="D1242" s="332">
        <f>G1234</f>
        <v>71.48</v>
      </c>
      <c r="E1242" s="1381"/>
      <c r="F1242" s="1381"/>
      <c r="G1242" s="1381"/>
      <c r="H1242" s="129"/>
      <c r="I1242" s="33"/>
      <c r="J1242" s="33"/>
      <c r="K1242" s="33"/>
      <c r="O1242" s="220"/>
    </row>
    <row r="1243" spans="1:15" ht="14.25" customHeight="1" thickBot="1" x14ac:dyDescent="0.3">
      <c r="A1243" s="376"/>
      <c r="B1243" s="72" t="s">
        <v>158</v>
      </c>
      <c r="C1243" s="73"/>
      <c r="D1243" s="332">
        <f>G1238</f>
        <v>0</v>
      </c>
      <c r="E1243" s="1381"/>
      <c r="F1243" s="1381"/>
      <c r="G1243" s="1381"/>
      <c r="H1243" s="129"/>
      <c r="I1243" s="33"/>
      <c r="J1243" s="33"/>
      <c r="K1243" s="33"/>
      <c r="O1243" s="220"/>
    </row>
    <row r="1244" spans="1:15" ht="14.25" customHeight="1" thickBot="1" x14ac:dyDescent="0.3">
      <c r="A1244" s="376"/>
      <c r="B1244" s="72" t="s">
        <v>159</v>
      </c>
      <c r="C1244" s="74">
        <f>$J$5</f>
        <v>157.27000000000001</v>
      </c>
      <c r="D1244" s="332">
        <f>+ROUND((D1241*C1244),2)/100</f>
        <v>8.4499999999999993</v>
      </c>
      <c r="E1244" s="1381"/>
      <c r="F1244" s="1381"/>
      <c r="G1244" s="1381"/>
      <c r="H1244" s="129"/>
      <c r="I1244" s="33"/>
      <c r="J1244" s="33"/>
      <c r="K1244" s="33"/>
      <c r="O1244" s="220"/>
    </row>
    <row r="1245" spans="1:15" ht="14.25" customHeight="1" thickBot="1" x14ac:dyDescent="0.3">
      <c r="A1245" s="376"/>
      <c r="B1245" s="72" t="s">
        <v>160</v>
      </c>
      <c r="C1245" s="75"/>
      <c r="D1245" s="333">
        <f>+SUM(D1241:D1244)</f>
        <v>85.3</v>
      </c>
      <c r="E1245" s="1381"/>
      <c r="F1245" s="1381"/>
      <c r="G1245" s="1381"/>
      <c r="H1245" s="129"/>
      <c r="I1245" s="33"/>
      <c r="J1245" s="33"/>
      <c r="K1245" s="33"/>
      <c r="O1245" s="220"/>
    </row>
    <row r="1246" spans="1:15" ht="14.25" customHeight="1" thickBot="1" x14ac:dyDescent="0.3">
      <c r="A1246" s="376"/>
      <c r="B1246" s="72" t="s">
        <v>161</v>
      </c>
      <c r="C1246" s="73"/>
      <c r="D1246" s="332" t="s">
        <v>162</v>
      </c>
      <c r="E1246" s="1382" t="s">
        <v>163</v>
      </c>
      <c r="F1246" s="1382"/>
      <c r="G1246" s="1382"/>
      <c r="H1246" s="129"/>
      <c r="I1246" s="33"/>
      <c r="J1246" s="33"/>
      <c r="K1246" s="33"/>
      <c r="O1246" s="220"/>
    </row>
    <row r="1247" spans="1:15" ht="14.25" customHeight="1" thickBot="1" x14ac:dyDescent="0.3">
      <c r="A1247" s="376"/>
      <c r="B1247" s="76" t="s">
        <v>164</v>
      </c>
      <c r="C1247" s="77"/>
      <c r="D1247" s="334">
        <f>+SUM(D1245:D1246)</f>
        <v>85.3</v>
      </c>
      <c r="E1247" s="1382"/>
      <c r="F1247" s="1382"/>
      <c r="G1247" s="1382"/>
      <c r="H1247" s="129"/>
      <c r="I1247" s="33"/>
      <c r="J1247" s="33"/>
      <c r="K1247" s="33"/>
      <c r="O1247" s="220"/>
    </row>
    <row r="1248" spans="1:15" ht="14.25" customHeight="1" thickBot="1" x14ac:dyDescent="0.3">
      <c r="A1248" s="376"/>
      <c r="B1248" s="78" t="s">
        <v>165</v>
      </c>
      <c r="C1248" s="79">
        <f>$I$5</f>
        <v>28.49</v>
      </c>
      <c r="D1248" s="335">
        <f>ROUND((D1247*C1248),2)/100</f>
        <v>24.3</v>
      </c>
      <c r="E1248" s="1382"/>
      <c r="F1248" s="1382"/>
      <c r="G1248" s="1382"/>
      <c r="H1248" s="129"/>
      <c r="I1248" s="33"/>
      <c r="J1248" s="33"/>
      <c r="K1248" s="33"/>
      <c r="O1248" s="220"/>
    </row>
    <row r="1249" spans="1:15" ht="14.25" customHeight="1" thickBot="1" x14ac:dyDescent="0.3">
      <c r="A1249" s="376"/>
      <c r="B1249" s="80" t="s">
        <v>166</v>
      </c>
      <c r="C1249" s="81"/>
      <c r="D1249" s="336">
        <f>+SUM(D1247:D1248)</f>
        <v>109.6</v>
      </c>
      <c r="E1249" s="82"/>
      <c r="F1249" s="337">
        <f>D1249</f>
        <v>109.6</v>
      </c>
      <c r="G1249" s="35"/>
      <c r="H1249" s="129"/>
      <c r="I1249" s="33"/>
      <c r="J1249" s="33"/>
      <c r="K1249" s="33"/>
      <c r="O1249" s="220"/>
    </row>
    <row r="1250" spans="1:15" x14ac:dyDescent="0.25">
      <c r="H1250" s="129"/>
      <c r="O1250" s="220"/>
    </row>
    <row r="1251" spans="1:15" ht="15.75" thickBot="1" x14ac:dyDescent="0.3">
      <c r="H1251" s="129"/>
      <c r="O1251" s="220"/>
    </row>
    <row r="1252" spans="1:15" x14ac:dyDescent="0.25">
      <c r="A1252" s="376"/>
      <c r="B1252" s="1383" t="s">
        <v>131</v>
      </c>
      <c r="C1252" s="1383"/>
      <c r="D1252" s="1383"/>
      <c r="E1252" s="1383"/>
      <c r="F1252" s="1383"/>
      <c r="G1252" s="1383"/>
      <c r="H1252" s="129"/>
      <c r="I1252" s="33"/>
      <c r="J1252" s="33"/>
      <c r="K1252" s="33"/>
      <c r="O1252" s="220"/>
    </row>
    <row r="1253" spans="1:15" ht="15.75" thickBot="1" x14ac:dyDescent="0.3">
      <c r="A1253" s="376"/>
      <c r="B1253" s="1384" t="str">
        <f>$I$3</f>
        <v>Urbanização da Orla de Piúma - Município de Piúma / ES</v>
      </c>
      <c r="C1253" s="1385"/>
      <c r="D1253" s="1385"/>
      <c r="E1253" s="1385"/>
      <c r="F1253" s="1385"/>
      <c r="G1253" s="1386"/>
      <c r="H1253" s="129"/>
      <c r="I1253" s="33"/>
      <c r="J1253" s="33"/>
      <c r="K1253" s="33"/>
      <c r="O1253" s="220"/>
    </row>
    <row r="1254" spans="1:15" ht="15.75" thickBot="1" x14ac:dyDescent="0.3">
      <c r="A1254" s="376"/>
      <c r="B1254" s="34" t="s">
        <v>132</v>
      </c>
      <c r="C1254" s="34" t="s">
        <v>133</v>
      </c>
      <c r="D1254" s="1381" t="s">
        <v>134</v>
      </c>
      <c r="E1254" s="1381"/>
      <c r="F1254" s="131" t="s">
        <v>275</v>
      </c>
      <c r="G1254" s="35" t="s">
        <v>135</v>
      </c>
      <c r="H1254" s="129"/>
      <c r="I1254" s="31"/>
      <c r="J1254" s="31"/>
      <c r="K1254" s="33"/>
      <c r="O1254" s="220"/>
    </row>
    <row r="1255" spans="1:15" ht="15.75" thickBot="1" x14ac:dyDescent="0.3">
      <c r="A1255" s="376"/>
      <c r="B1255" s="132" t="s">
        <v>206</v>
      </c>
      <c r="C1255" s="92" t="s">
        <v>98</v>
      </c>
      <c r="D1255" s="1381" t="s">
        <v>7</v>
      </c>
      <c r="E1255" s="1381"/>
      <c r="F1255" s="144" t="s">
        <v>235</v>
      </c>
      <c r="G1255" s="38">
        <f>$K$5</f>
        <v>44501</v>
      </c>
      <c r="H1255" s="129"/>
      <c r="I1255" s="33"/>
      <c r="J1255" s="33"/>
      <c r="K1255" s="33"/>
      <c r="O1255" s="220"/>
    </row>
    <row r="1256" spans="1:15" ht="6" customHeight="1" thickBot="1" x14ac:dyDescent="0.3">
      <c r="A1256" s="376"/>
      <c r="B1256" s="1382"/>
      <c r="C1256" s="1382"/>
      <c r="D1256" s="1382"/>
      <c r="E1256" s="1382"/>
      <c r="F1256" s="1382"/>
      <c r="G1256" s="1382"/>
      <c r="H1256" s="129"/>
      <c r="I1256" s="33"/>
      <c r="J1256" s="33"/>
      <c r="K1256" s="33"/>
      <c r="O1256" s="220"/>
    </row>
    <row r="1257" spans="1:15" ht="14.25" customHeight="1" x14ac:dyDescent="0.25">
      <c r="A1257" s="376"/>
      <c r="B1257" s="41" t="s">
        <v>139</v>
      </c>
      <c r="C1257" s="42" t="s">
        <v>140</v>
      </c>
      <c r="D1257" s="42" t="s">
        <v>141</v>
      </c>
      <c r="E1257" s="42" t="s">
        <v>142</v>
      </c>
      <c r="F1257" s="42" t="s">
        <v>143</v>
      </c>
      <c r="G1257" s="43" t="s">
        <v>144</v>
      </c>
      <c r="H1257" s="129"/>
      <c r="I1257" s="33"/>
      <c r="J1257" s="33"/>
      <c r="K1257" s="33"/>
      <c r="O1257" s="220"/>
    </row>
    <row r="1258" spans="1:15" ht="14.25" customHeight="1" x14ac:dyDescent="0.25">
      <c r="A1258" s="376">
        <v>10139</v>
      </c>
      <c r="B1258" s="44" t="str">
        <f>VLOOKUP(A1258,Insumos!$A$10:$F$3462,2,FALSE)</f>
        <v>PEDREIRO - (OFICIAL - SINDUSCON)</v>
      </c>
      <c r="C1258" s="45" t="str">
        <f>VLOOKUP(A1258,Insumos!$A$10:$F$3462,3,FALSE)</f>
        <v>H</v>
      </c>
      <c r="D1258" s="46">
        <v>0.84</v>
      </c>
      <c r="E1258" s="329">
        <f>VLOOKUP(A1258,Insumos!$A$10:$F$3462,4,FALSE)</f>
        <v>7.43</v>
      </c>
      <c r="F1258" s="329">
        <f>ROUND((D1258*E1258),2)</f>
        <v>6.24</v>
      </c>
      <c r="G1258" s="355"/>
      <c r="H1258" s="129"/>
      <c r="I1258" s="33"/>
      <c r="J1258" s="33"/>
      <c r="K1258" s="33"/>
      <c r="O1258" s="220"/>
    </row>
    <row r="1259" spans="1:15" ht="14.25" customHeight="1" x14ac:dyDescent="0.25">
      <c r="A1259" s="376">
        <v>10146</v>
      </c>
      <c r="B1259" s="44" t="str">
        <f>VLOOKUP(A1259,Insumos!$A$10:$F$3462,2,FALSE)</f>
        <v>SERVENTE (AUXILIAR DE OBRAS - SINDUSCON)</v>
      </c>
      <c r="C1259" s="45" t="str">
        <f>VLOOKUP(A1259,Insumos!$A$10:$F$3462,3,FALSE)</f>
        <v>H</v>
      </c>
      <c r="D1259" s="46">
        <v>0.91</v>
      </c>
      <c r="E1259" s="329">
        <f>VLOOKUP(A1259,Insumos!$A$10:$F$3462,4,FALSE)</f>
        <v>5.46</v>
      </c>
      <c r="F1259" s="329">
        <f>ROUND((D1259*E1259),2)</f>
        <v>4.97</v>
      </c>
      <c r="G1259" s="355"/>
      <c r="H1259" s="129"/>
      <c r="I1259" s="33"/>
      <c r="J1259" s="33"/>
      <c r="K1259" s="33"/>
      <c r="O1259" s="220"/>
    </row>
    <row r="1260" spans="1:15" ht="14.25" customHeight="1" x14ac:dyDescent="0.25">
      <c r="A1260" s="376"/>
      <c r="B1260" s="48"/>
      <c r="C1260" s="45"/>
      <c r="D1260" s="49"/>
      <c r="E1260" s="329"/>
      <c r="F1260" s="329"/>
      <c r="G1260" s="355"/>
      <c r="H1260" s="129"/>
      <c r="I1260" s="33"/>
      <c r="J1260" s="33"/>
      <c r="K1260" s="33"/>
      <c r="O1260" s="220"/>
    </row>
    <row r="1261" spans="1:15" ht="14.25" customHeight="1" x14ac:dyDescent="0.25">
      <c r="A1261" s="376"/>
      <c r="B1261" s="50" t="s">
        <v>145</v>
      </c>
      <c r="C1261" s="51"/>
      <c r="D1261" s="52"/>
      <c r="E1261" s="329"/>
      <c r="F1261" s="353"/>
      <c r="G1261" s="338">
        <f>+SUM(F1258:F1260)</f>
        <v>11.21</v>
      </c>
      <c r="H1261" s="129"/>
      <c r="I1261" s="33"/>
      <c r="J1261" s="33"/>
      <c r="K1261" s="33"/>
      <c r="O1261" s="220"/>
    </row>
    <row r="1262" spans="1:15" ht="14.25" customHeight="1" x14ac:dyDescent="0.25">
      <c r="A1262" s="376"/>
      <c r="B1262" s="48" t="s">
        <v>146</v>
      </c>
      <c r="C1262" s="55"/>
      <c r="D1262" s="56"/>
      <c r="E1262" s="45"/>
      <c r="F1262" s="57"/>
      <c r="G1262" s="58" t="s">
        <v>147</v>
      </c>
      <c r="H1262" s="129"/>
      <c r="I1262" s="33"/>
      <c r="J1262" s="33"/>
      <c r="K1262" s="33"/>
      <c r="O1262" s="220"/>
    </row>
    <row r="1263" spans="1:15" ht="14.25" customHeight="1" x14ac:dyDescent="0.25">
      <c r="A1263" s="376">
        <v>20503</v>
      </c>
      <c r="B1263" s="44" t="str">
        <f>VLOOKUP(A1263,Insumos!$A$10:$F$3462,2,FALSE)</f>
        <v>AREIA LAVADA MEDIA</v>
      </c>
      <c r="C1263" s="45" t="str">
        <f>VLOOKUP(A1263,Insumos!$A$10:$F$3462,3,FALSE)</f>
        <v>M3</v>
      </c>
      <c r="D1263" s="46">
        <v>8.6099999999999996E-3</v>
      </c>
      <c r="E1263" s="329">
        <f>VLOOKUP(A1263,Insumos!$A$10:$F$3462,4,FALSE)</f>
        <v>90</v>
      </c>
      <c r="F1263" s="329">
        <f>ROUND((D1263*E1263),2)</f>
        <v>0.77</v>
      </c>
      <c r="G1263" s="355"/>
      <c r="H1263" s="129"/>
      <c r="I1263" s="33"/>
      <c r="J1263" s="33"/>
      <c r="K1263" s="33"/>
      <c r="O1263" s="220"/>
    </row>
    <row r="1264" spans="1:15" ht="14.25" customHeight="1" x14ac:dyDescent="0.25">
      <c r="A1264" s="376">
        <v>20505</v>
      </c>
      <c r="B1264" s="44" t="str">
        <f>VLOOKUP(A1264,Insumos!$A$10:$F$3462,2,FALSE)</f>
        <v>CAL HIDRATADO P/ ARGAMASSA CH III</v>
      </c>
      <c r="C1264" s="45" t="str">
        <f>VLOOKUP(A1264,Insumos!$A$10:$F$3462,3,FALSE)</f>
        <v>KG</v>
      </c>
      <c r="D1264" s="46">
        <v>1.274</v>
      </c>
      <c r="E1264" s="329">
        <f>VLOOKUP(A1264,Insumos!$A$10:$F$3462,4,FALSE)</f>
        <v>0.78</v>
      </c>
      <c r="F1264" s="329">
        <f>ROUND((D1264*E1264),2)</f>
        <v>0.99</v>
      </c>
      <c r="G1264" s="355"/>
      <c r="H1264" s="129"/>
      <c r="I1264" s="33"/>
      <c r="J1264" s="33"/>
      <c r="K1264" s="33"/>
      <c r="O1264" s="220"/>
    </row>
    <row r="1265" spans="1:15" ht="14.25" customHeight="1" x14ac:dyDescent="0.25">
      <c r="A1265" s="376">
        <v>20508</v>
      </c>
      <c r="B1265" s="44" t="str">
        <f>VLOOKUP(A1265,Insumos!$A$10:$F$3462,2,FALSE)</f>
        <v>CIMENTO PORTLAND CP III - 40</v>
      </c>
      <c r="C1265" s="45" t="str">
        <f>VLOOKUP(A1265,Insumos!$A$10:$F$3462,3,FALSE)</f>
        <v>KG</v>
      </c>
      <c r="D1265" s="46">
        <v>2.5619999999999998</v>
      </c>
      <c r="E1265" s="329">
        <f>VLOOKUP(A1265,Insumos!$A$10:$F$3462,4,FALSE)</f>
        <v>0.46</v>
      </c>
      <c r="F1265" s="329">
        <f>ROUND((D1265*E1265),2)</f>
        <v>1.18</v>
      </c>
      <c r="G1265" s="355"/>
      <c r="H1265" s="129"/>
      <c r="I1265" s="33"/>
      <c r="J1265" s="33"/>
      <c r="K1265" s="33"/>
      <c r="O1265" s="220"/>
    </row>
    <row r="1266" spans="1:15" x14ac:dyDescent="0.25">
      <c r="A1266" s="376">
        <v>13257</v>
      </c>
      <c r="B1266" s="145" t="str">
        <f>VLOOKUP(A1266,Insumos!$A$10:$F$3462,2,FALSE)</f>
        <v>Peitoril/chapim em granito branco siena, polido, l = 15cm, e = 2cm</v>
      </c>
      <c r="C1266" s="146" t="str">
        <f>VLOOKUP(A1266,Insumos!$A$10:$F$3462,3,FALSE)</f>
        <v>m</v>
      </c>
      <c r="D1266" s="46">
        <v>1</v>
      </c>
      <c r="E1266" s="329">
        <f>VLOOKUP(A1266,Insumos!$A$10:$F$3462,4,FALSE)</f>
        <v>108.39</v>
      </c>
      <c r="F1266" s="329">
        <f>ROUND((D1266*E1266),2)</f>
        <v>108.39</v>
      </c>
      <c r="G1266" s="355"/>
      <c r="H1266" s="129"/>
      <c r="I1266" s="33"/>
      <c r="J1266" s="33"/>
      <c r="K1266" s="33"/>
      <c r="O1266" s="220"/>
    </row>
    <row r="1267" spans="1:15" ht="14.25" customHeight="1" x14ac:dyDescent="0.25">
      <c r="A1267" s="376"/>
      <c r="B1267" s="48"/>
      <c r="C1267" s="45"/>
      <c r="D1267" s="61"/>
      <c r="E1267" s="329"/>
      <c r="F1267" s="329"/>
      <c r="G1267" s="355"/>
      <c r="H1267" s="129"/>
      <c r="I1267" s="33"/>
      <c r="J1267" s="33"/>
      <c r="K1267" s="33"/>
      <c r="O1267" s="220"/>
    </row>
    <row r="1268" spans="1:15" ht="14.25" customHeight="1" x14ac:dyDescent="0.25">
      <c r="A1268" s="376"/>
      <c r="B1268" s="50" t="s">
        <v>148</v>
      </c>
      <c r="C1268" s="51"/>
      <c r="D1268" s="62"/>
      <c r="E1268" s="353"/>
      <c r="F1268" s="353"/>
      <c r="G1268" s="338">
        <f>+SUM(F1263:F1267)</f>
        <v>111.33</v>
      </c>
      <c r="H1268" s="129"/>
      <c r="I1268" s="33"/>
      <c r="J1268" s="33"/>
      <c r="K1268" s="33"/>
      <c r="O1268" s="220"/>
    </row>
    <row r="1269" spans="1:15" ht="14.25" customHeight="1" x14ac:dyDescent="0.25">
      <c r="A1269" s="376"/>
      <c r="B1269" s="48" t="s">
        <v>149</v>
      </c>
      <c r="C1269" s="55"/>
      <c r="D1269" s="64"/>
      <c r="E1269" s="55"/>
      <c r="F1269" s="55"/>
      <c r="G1269" s="58" t="s">
        <v>150</v>
      </c>
      <c r="H1269" s="129"/>
      <c r="I1269" s="33"/>
      <c r="J1269" s="33"/>
      <c r="K1269" s="33"/>
      <c r="O1269" s="220"/>
    </row>
    <row r="1270" spans="1:15" ht="14.25" customHeight="1" x14ac:dyDescent="0.25">
      <c r="A1270" s="376"/>
      <c r="B1270" s="48" t="s">
        <v>98</v>
      </c>
      <c r="C1270" s="45"/>
      <c r="D1270" s="59"/>
      <c r="E1270" s="45"/>
      <c r="F1270" s="45"/>
      <c r="G1270" s="47"/>
      <c r="H1270" s="129"/>
      <c r="I1270" s="33"/>
      <c r="J1270" s="33"/>
      <c r="K1270" s="33"/>
      <c r="O1270" s="220"/>
    </row>
    <row r="1271" spans="1:15" ht="14.25" customHeight="1" x14ac:dyDescent="0.25">
      <c r="A1271" s="376"/>
      <c r="B1271" s="48" t="s">
        <v>98</v>
      </c>
      <c r="C1271" s="45"/>
      <c r="D1271" s="59"/>
      <c r="E1271" s="45"/>
      <c r="F1271" s="45"/>
      <c r="G1271" s="47"/>
      <c r="H1271" s="129"/>
      <c r="I1271" s="33"/>
      <c r="J1271" s="33"/>
      <c r="K1271" s="33"/>
      <c r="O1271" s="220"/>
    </row>
    <row r="1272" spans="1:15" ht="14.25" customHeight="1" thickBot="1" x14ac:dyDescent="0.3">
      <c r="A1272" s="376"/>
      <c r="B1272" s="65" t="s">
        <v>151</v>
      </c>
      <c r="C1272" s="66"/>
      <c r="D1272" s="67"/>
      <c r="E1272" s="66"/>
      <c r="F1272" s="66"/>
      <c r="G1272" s="68">
        <f>+SUM(F1270:F1271)</f>
        <v>0</v>
      </c>
      <c r="H1272" s="129"/>
      <c r="I1272" s="33"/>
      <c r="J1272" s="33"/>
      <c r="K1272" s="33"/>
      <c r="O1272" s="220"/>
    </row>
    <row r="1273" spans="1:15" ht="4.5" customHeight="1" thickBot="1" x14ac:dyDescent="0.3">
      <c r="A1273" s="376"/>
      <c r="B1273" s="1382"/>
      <c r="C1273" s="1382"/>
      <c r="D1273" s="1382"/>
      <c r="E1273" s="1382"/>
      <c r="F1273" s="1382"/>
      <c r="G1273" s="1382"/>
      <c r="H1273" s="129"/>
      <c r="I1273" s="33"/>
      <c r="J1273" s="33"/>
      <c r="K1273" s="33"/>
      <c r="O1273" s="220"/>
    </row>
    <row r="1274" spans="1:15" ht="14.25" customHeight="1" thickBot="1" x14ac:dyDescent="0.3">
      <c r="A1274" s="376"/>
      <c r="B1274" s="69" t="s">
        <v>152</v>
      </c>
      <c r="C1274" s="70" t="s">
        <v>4415</v>
      </c>
      <c r="D1274" s="71" t="s">
        <v>154</v>
      </c>
      <c r="E1274" s="1381" t="s">
        <v>155</v>
      </c>
      <c r="F1274" s="1381"/>
      <c r="G1274" s="1381"/>
      <c r="H1274" s="129"/>
      <c r="I1274" s="33"/>
      <c r="J1274" s="33"/>
      <c r="K1274" s="33"/>
      <c r="O1274" s="220"/>
    </row>
    <row r="1275" spans="1:15" ht="14.25" customHeight="1" thickBot="1" x14ac:dyDescent="0.3">
      <c r="A1275" s="376"/>
      <c r="B1275" s="72" t="s">
        <v>156</v>
      </c>
      <c r="C1275" s="73"/>
      <c r="D1275" s="332">
        <f>G1261</f>
        <v>11.21</v>
      </c>
      <c r="E1275" s="1381"/>
      <c r="F1275" s="1381"/>
      <c r="G1275" s="1381"/>
      <c r="H1275" s="129"/>
      <c r="I1275" s="33"/>
      <c r="J1275" s="33"/>
      <c r="K1275" s="33"/>
      <c r="O1275" s="220"/>
    </row>
    <row r="1276" spans="1:15" ht="14.25" customHeight="1" thickBot="1" x14ac:dyDescent="0.3">
      <c r="A1276" s="376"/>
      <c r="B1276" s="72" t="s">
        <v>157</v>
      </c>
      <c r="C1276" s="73"/>
      <c r="D1276" s="332">
        <f>G1268</f>
        <v>111.33</v>
      </c>
      <c r="E1276" s="1381"/>
      <c r="F1276" s="1381"/>
      <c r="G1276" s="1381"/>
      <c r="H1276" s="129"/>
      <c r="I1276" s="33"/>
      <c r="J1276" s="33"/>
      <c r="K1276" s="33"/>
      <c r="O1276" s="220"/>
    </row>
    <row r="1277" spans="1:15" ht="14.25" customHeight="1" thickBot="1" x14ac:dyDescent="0.3">
      <c r="A1277" s="376"/>
      <c r="B1277" s="72" t="s">
        <v>158</v>
      </c>
      <c r="C1277" s="73"/>
      <c r="D1277" s="332">
        <f>G1272</f>
        <v>0</v>
      </c>
      <c r="E1277" s="1381"/>
      <c r="F1277" s="1381"/>
      <c r="G1277" s="1381"/>
      <c r="H1277" s="129"/>
      <c r="I1277" s="33"/>
      <c r="J1277" s="33"/>
      <c r="K1277" s="33"/>
      <c r="O1277" s="220"/>
    </row>
    <row r="1278" spans="1:15" ht="14.25" customHeight="1" thickBot="1" x14ac:dyDescent="0.3">
      <c r="A1278" s="376"/>
      <c r="B1278" s="72" t="s">
        <v>159</v>
      </c>
      <c r="C1278" s="74">
        <f>$J$5</f>
        <v>157.27000000000001</v>
      </c>
      <c r="D1278" s="332">
        <f>+ROUND((D1275*C1278),2)/100</f>
        <v>17.63</v>
      </c>
      <c r="E1278" s="1381"/>
      <c r="F1278" s="1381"/>
      <c r="G1278" s="1381"/>
      <c r="H1278" s="129"/>
      <c r="I1278" s="33"/>
      <c r="J1278" s="33"/>
      <c r="K1278" s="33"/>
      <c r="O1278" s="220"/>
    </row>
    <row r="1279" spans="1:15" ht="14.25" customHeight="1" thickBot="1" x14ac:dyDescent="0.3">
      <c r="A1279" s="376"/>
      <c r="B1279" s="72" t="s">
        <v>160</v>
      </c>
      <c r="C1279" s="75"/>
      <c r="D1279" s="333">
        <f>+SUM(D1275:D1278)</f>
        <v>140.16999999999999</v>
      </c>
      <c r="E1279" s="1381"/>
      <c r="F1279" s="1381"/>
      <c r="G1279" s="1381"/>
      <c r="H1279" s="129"/>
      <c r="I1279" s="33"/>
      <c r="J1279" s="33"/>
      <c r="K1279" s="33"/>
      <c r="O1279" s="220"/>
    </row>
    <row r="1280" spans="1:15" ht="14.25" customHeight="1" thickBot="1" x14ac:dyDescent="0.3">
      <c r="A1280" s="376"/>
      <c r="B1280" s="72" t="s">
        <v>161</v>
      </c>
      <c r="C1280" s="73"/>
      <c r="D1280" s="332" t="s">
        <v>162</v>
      </c>
      <c r="E1280" s="1382" t="s">
        <v>163</v>
      </c>
      <c r="F1280" s="1382"/>
      <c r="G1280" s="1382"/>
      <c r="H1280" s="129"/>
      <c r="I1280" s="33"/>
      <c r="J1280" s="33"/>
      <c r="K1280" s="33"/>
      <c r="O1280" s="220"/>
    </row>
    <row r="1281" spans="1:15" ht="14.25" customHeight="1" thickBot="1" x14ac:dyDescent="0.3">
      <c r="A1281" s="376"/>
      <c r="B1281" s="76" t="s">
        <v>164</v>
      </c>
      <c r="C1281" s="77"/>
      <c r="D1281" s="334">
        <f>+SUM(D1279:D1280)</f>
        <v>140.16999999999999</v>
      </c>
      <c r="E1281" s="1382"/>
      <c r="F1281" s="1382"/>
      <c r="G1281" s="1382"/>
      <c r="H1281" s="129"/>
      <c r="I1281" s="33"/>
      <c r="J1281" s="33"/>
      <c r="K1281" s="33"/>
      <c r="O1281" s="220"/>
    </row>
    <row r="1282" spans="1:15" ht="14.25" customHeight="1" thickBot="1" x14ac:dyDescent="0.3">
      <c r="A1282" s="376"/>
      <c r="B1282" s="78" t="s">
        <v>165</v>
      </c>
      <c r="C1282" s="79">
        <f>$I$5</f>
        <v>28.49</v>
      </c>
      <c r="D1282" s="335">
        <f>ROUND((D1281*C1282),2)/100</f>
        <v>39.93</v>
      </c>
      <c r="E1282" s="1382"/>
      <c r="F1282" s="1382"/>
      <c r="G1282" s="1382"/>
      <c r="H1282" s="129"/>
      <c r="I1282" s="33"/>
      <c r="J1282" s="33"/>
      <c r="K1282" s="33"/>
      <c r="O1282" s="220"/>
    </row>
    <row r="1283" spans="1:15" ht="14.25" customHeight="1" thickBot="1" x14ac:dyDescent="0.3">
      <c r="A1283" s="376"/>
      <c r="B1283" s="80" t="s">
        <v>166</v>
      </c>
      <c r="C1283" s="81"/>
      <c r="D1283" s="336">
        <f>+SUM(D1281:D1282)</f>
        <v>180.1</v>
      </c>
      <c r="E1283" s="82"/>
      <c r="F1283" s="337">
        <f>D1283</f>
        <v>180.1</v>
      </c>
      <c r="G1283" s="35"/>
      <c r="H1283" s="129"/>
      <c r="I1283" s="33"/>
      <c r="J1283" s="33"/>
      <c r="K1283" s="33"/>
      <c r="O1283" s="220"/>
    </row>
    <row r="1284" spans="1:15" x14ac:dyDescent="0.25">
      <c r="H1284" s="129"/>
      <c r="O1284" s="220"/>
    </row>
    <row r="1285" spans="1:15" ht="15.75" thickBot="1" x14ac:dyDescent="0.3">
      <c r="H1285" s="129"/>
      <c r="O1285" s="220"/>
    </row>
    <row r="1286" spans="1:15" x14ac:dyDescent="0.25">
      <c r="A1286" s="376"/>
      <c r="B1286" s="1383" t="s">
        <v>131</v>
      </c>
      <c r="C1286" s="1383"/>
      <c r="D1286" s="1383"/>
      <c r="E1286" s="1383"/>
      <c r="F1286" s="1383"/>
      <c r="G1286" s="1383"/>
      <c r="H1286" s="129"/>
      <c r="I1286" s="33"/>
      <c r="J1286" s="33"/>
      <c r="K1286" s="33"/>
      <c r="O1286" s="220"/>
    </row>
    <row r="1287" spans="1:15" ht="15.75" thickBot="1" x14ac:dyDescent="0.3">
      <c r="A1287" s="376"/>
      <c r="B1287" s="1384" t="str">
        <f>$I$3</f>
        <v>Urbanização da Orla de Piúma - Município de Piúma / ES</v>
      </c>
      <c r="C1287" s="1385"/>
      <c r="D1287" s="1385"/>
      <c r="E1287" s="1385"/>
      <c r="F1287" s="1385"/>
      <c r="G1287" s="1386"/>
      <c r="H1287" s="129"/>
      <c r="I1287" s="33"/>
      <c r="J1287" s="33"/>
      <c r="K1287" s="33"/>
      <c r="O1287" s="220"/>
    </row>
    <row r="1288" spans="1:15" ht="15.75" thickBot="1" x14ac:dyDescent="0.3">
      <c r="A1288" s="376"/>
      <c r="B1288" s="34" t="s">
        <v>132</v>
      </c>
      <c r="C1288" s="34" t="s">
        <v>133</v>
      </c>
      <c r="D1288" s="1381" t="s">
        <v>134</v>
      </c>
      <c r="E1288" s="1381"/>
      <c r="F1288" s="131" t="s">
        <v>275</v>
      </c>
      <c r="G1288" s="35" t="s">
        <v>135</v>
      </c>
      <c r="H1288" s="129"/>
      <c r="I1288" s="31"/>
      <c r="J1288" s="31"/>
      <c r="K1288" s="33"/>
      <c r="O1288" s="220"/>
    </row>
    <row r="1289" spans="1:15" ht="15.75" thickBot="1" x14ac:dyDescent="0.3">
      <c r="A1289" s="376"/>
      <c r="B1289" s="132" t="s">
        <v>207</v>
      </c>
      <c r="C1289" s="92" t="s">
        <v>98</v>
      </c>
      <c r="D1289" s="1381" t="s">
        <v>7</v>
      </c>
      <c r="E1289" s="1381"/>
      <c r="F1289" s="144" t="s">
        <v>236</v>
      </c>
      <c r="G1289" s="38">
        <f>$K$5</f>
        <v>44501</v>
      </c>
      <c r="H1289" s="129"/>
      <c r="I1289" s="33"/>
      <c r="J1289" s="33"/>
      <c r="K1289" s="33"/>
      <c r="O1289" s="220"/>
    </row>
    <row r="1290" spans="1:15" ht="6" customHeight="1" thickBot="1" x14ac:dyDescent="0.3">
      <c r="A1290" s="376"/>
      <c r="B1290" s="1382"/>
      <c r="C1290" s="1382"/>
      <c r="D1290" s="1382"/>
      <c r="E1290" s="1382"/>
      <c r="F1290" s="1382"/>
      <c r="G1290" s="1382"/>
      <c r="H1290" s="129"/>
      <c r="I1290" s="33"/>
      <c r="J1290" s="33"/>
      <c r="K1290" s="33"/>
      <c r="O1290" s="220"/>
    </row>
    <row r="1291" spans="1:15" ht="14.25" customHeight="1" x14ac:dyDescent="0.25">
      <c r="A1291" s="376"/>
      <c r="B1291" s="41" t="s">
        <v>139</v>
      </c>
      <c r="C1291" s="42" t="s">
        <v>140</v>
      </c>
      <c r="D1291" s="42" t="s">
        <v>141</v>
      </c>
      <c r="E1291" s="42" t="s">
        <v>142</v>
      </c>
      <c r="F1291" s="42" t="s">
        <v>143</v>
      </c>
      <c r="G1291" s="43" t="s">
        <v>144</v>
      </c>
      <c r="H1291" s="129"/>
      <c r="I1291" s="33"/>
      <c r="J1291" s="33"/>
      <c r="K1291" s="33"/>
      <c r="O1291" s="220"/>
    </row>
    <row r="1292" spans="1:15" ht="14.25" customHeight="1" x14ac:dyDescent="0.25">
      <c r="A1292" s="376">
        <v>10124</v>
      </c>
      <c r="B1292" s="44" t="str">
        <f>VLOOKUP(A1292,Insumos!$A$10:$F$3462,2,FALSE)</f>
        <v>GRANITEIRO/MARMORISTA (OFICIAL - SINDUSCON)</v>
      </c>
      <c r="C1292" s="45" t="str">
        <f>VLOOKUP(A1292,Insumos!$A$10:$F$3462,3,FALSE)</f>
        <v>H</v>
      </c>
      <c r="D1292" s="46">
        <v>0.51</v>
      </c>
      <c r="E1292" s="329">
        <f>VLOOKUP(A1292,Insumos!$A$10:$F$3462,4,FALSE)</f>
        <v>7.43</v>
      </c>
      <c r="F1292" s="329">
        <f>ROUND((D1292*E1292),2)</f>
        <v>3.79</v>
      </c>
      <c r="G1292" s="355"/>
      <c r="H1292" s="129"/>
      <c r="I1292" s="33"/>
      <c r="J1292" s="33"/>
      <c r="K1292" s="33"/>
      <c r="O1292" s="220"/>
    </row>
    <row r="1293" spans="1:15" ht="14.25" customHeight="1" x14ac:dyDescent="0.25">
      <c r="A1293" s="376">
        <v>10146</v>
      </c>
      <c r="B1293" s="44" t="str">
        <f>VLOOKUP(A1293,Insumos!$A$10:$F$3462,2,FALSE)</f>
        <v>SERVENTE (AUXILIAR DE OBRAS - SINDUSCON)</v>
      </c>
      <c r="C1293" s="45" t="str">
        <f>VLOOKUP(A1293,Insumos!$A$10:$F$3462,3,FALSE)</f>
        <v>H</v>
      </c>
      <c r="D1293" s="46">
        <v>0.75</v>
      </c>
      <c r="E1293" s="329">
        <f>VLOOKUP(A1293,Insumos!$A$10:$F$3462,4,FALSE)</f>
        <v>5.46</v>
      </c>
      <c r="F1293" s="329">
        <f>ROUND((D1293*E1293),2)</f>
        <v>4.0999999999999996</v>
      </c>
      <c r="G1293" s="355"/>
      <c r="H1293" s="129"/>
      <c r="I1293" s="33"/>
      <c r="J1293" s="33"/>
      <c r="K1293" s="33"/>
      <c r="O1293" s="220"/>
    </row>
    <row r="1294" spans="1:15" ht="14.25" customHeight="1" x14ac:dyDescent="0.25">
      <c r="A1294" s="376"/>
      <c r="B1294" s="48"/>
      <c r="C1294" s="45"/>
      <c r="D1294" s="49"/>
      <c r="E1294" s="329"/>
      <c r="F1294" s="329"/>
      <c r="G1294" s="355"/>
      <c r="H1294" s="129"/>
      <c r="I1294" s="33"/>
      <c r="J1294" s="33"/>
      <c r="K1294" s="33"/>
      <c r="O1294" s="220"/>
    </row>
    <row r="1295" spans="1:15" ht="14.25" customHeight="1" x14ac:dyDescent="0.25">
      <c r="A1295" s="376"/>
      <c r="B1295" s="50" t="s">
        <v>145</v>
      </c>
      <c r="C1295" s="51"/>
      <c r="D1295" s="52"/>
      <c r="E1295" s="329"/>
      <c r="F1295" s="353"/>
      <c r="G1295" s="338">
        <f>+SUM(F1292:F1294)</f>
        <v>7.89</v>
      </c>
      <c r="H1295" s="129"/>
      <c r="I1295" s="33"/>
      <c r="J1295" s="33"/>
      <c r="K1295" s="33"/>
      <c r="O1295" s="220"/>
    </row>
    <row r="1296" spans="1:15" ht="14.25" customHeight="1" x14ac:dyDescent="0.25">
      <c r="A1296" s="376"/>
      <c r="B1296" s="48" t="s">
        <v>146</v>
      </c>
      <c r="C1296" s="55"/>
      <c r="D1296" s="56"/>
      <c r="E1296" s="45"/>
      <c r="F1296" s="57"/>
      <c r="G1296" s="58" t="s">
        <v>147</v>
      </c>
      <c r="H1296" s="129"/>
      <c r="I1296" s="33"/>
      <c r="J1296" s="33"/>
      <c r="K1296" s="33"/>
      <c r="O1296" s="220"/>
    </row>
    <row r="1297" spans="1:15" ht="14.25" customHeight="1" x14ac:dyDescent="0.25">
      <c r="A1297" s="376">
        <v>20503</v>
      </c>
      <c r="B1297" s="44" t="str">
        <f>VLOOKUP(A1297,Insumos!$A$10:$F$3462,2,FALSE)</f>
        <v>AREIA LAVADA MEDIA</v>
      </c>
      <c r="C1297" s="45" t="str">
        <f>VLOOKUP(A1297,Insumos!$A$10:$F$3462,3,FALSE)</f>
        <v>M3</v>
      </c>
      <c r="D1297" s="46">
        <v>8.26E-3</v>
      </c>
      <c r="E1297" s="329">
        <f>VLOOKUP(A1297,Insumos!$A$10:$F$3462,4,FALSE)</f>
        <v>90</v>
      </c>
      <c r="F1297" s="329">
        <f>ROUND((D1297*E1297),2)</f>
        <v>0.74</v>
      </c>
      <c r="G1297" s="355"/>
      <c r="H1297" s="129"/>
      <c r="I1297" s="33"/>
      <c r="J1297" s="33"/>
      <c r="K1297" s="33"/>
      <c r="O1297" s="220"/>
    </row>
    <row r="1298" spans="1:15" ht="14.25" customHeight="1" x14ac:dyDescent="0.25">
      <c r="A1298" s="376">
        <v>20505</v>
      </c>
      <c r="B1298" s="44" t="str">
        <f>VLOOKUP(A1298,Insumos!$A$10:$F$3462,2,FALSE)</f>
        <v>CAL HIDRATADO P/ ARGAMASSA CH III</v>
      </c>
      <c r="C1298" s="45" t="str">
        <f>VLOOKUP(A1298,Insumos!$A$10:$F$3462,3,FALSE)</f>
        <v>KG</v>
      </c>
      <c r="D1298" s="46">
        <v>0.308</v>
      </c>
      <c r="E1298" s="329">
        <f>VLOOKUP(A1298,Insumos!$A$10:$F$3462,4,FALSE)</f>
        <v>0.78</v>
      </c>
      <c r="F1298" s="329">
        <f>ROUND((D1298*E1298),2)</f>
        <v>0.24</v>
      </c>
      <c r="G1298" s="355"/>
      <c r="H1298" s="129"/>
      <c r="I1298" s="33"/>
      <c r="J1298" s="33"/>
      <c r="K1298" s="33"/>
      <c r="O1298" s="220"/>
    </row>
    <row r="1299" spans="1:15" ht="14.25" customHeight="1" x14ac:dyDescent="0.25">
      <c r="A1299" s="376">
        <v>20508</v>
      </c>
      <c r="B1299" s="44" t="str">
        <f>VLOOKUP(A1299,Insumos!$A$10:$F$3462,2,FALSE)</f>
        <v>CIMENTO PORTLAND CP III - 40</v>
      </c>
      <c r="C1299" s="45" t="str">
        <f>VLOOKUP(A1299,Insumos!$A$10:$F$3462,3,FALSE)</f>
        <v>KG</v>
      </c>
      <c r="D1299" s="46">
        <v>1.19</v>
      </c>
      <c r="E1299" s="329">
        <f>VLOOKUP(A1299,Insumos!$A$10:$F$3462,4,FALSE)</f>
        <v>0.46</v>
      </c>
      <c r="F1299" s="329">
        <f>ROUND((D1299*E1299),2)</f>
        <v>0.55000000000000004</v>
      </c>
      <c r="G1299" s="355"/>
      <c r="H1299" s="129"/>
      <c r="I1299" s="33"/>
      <c r="J1299" s="33"/>
      <c r="K1299" s="33"/>
      <c r="O1299" s="220"/>
    </row>
    <row r="1300" spans="1:15" ht="14.25" customHeight="1" x14ac:dyDescent="0.25">
      <c r="A1300" s="376">
        <v>20509</v>
      </c>
      <c r="B1300" s="44" t="str">
        <f>VLOOKUP(A1300,Insumos!$A$10:$F$3462,2,FALSE)</f>
        <v>CIMENTO BRANCO NAO ESTRUTURAL</v>
      </c>
      <c r="C1300" s="45" t="str">
        <f>VLOOKUP(A1300,Insumos!$A$10:$F$3462,3,FALSE)</f>
        <v>KG</v>
      </c>
      <c r="D1300" s="46">
        <v>0.5</v>
      </c>
      <c r="E1300" s="329">
        <f>VLOOKUP(A1300,Insumos!$A$10:$F$3462,4,FALSE)</f>
        <v>4.07</v>
      </c>
      <c r="F1300" s="329">
        <f>ROUND((D1300*E1300),2)</f>
        <v>2.04</v>
      </c>
      <c r="G1300" s="355"/>
      <c r="H1300" s="129"/>
      <c r="I1300" s="33"/>
      <c r="J1300" s="33"/>
      <c r="K1300" s="33"/>
      <c r="O1300" s="220"/>
    </row>
    <row r="1301" spans="1:15" s="220" customFormat="1" ht="14.25" customHeight="1" x14ac:dyDescent="0.25">
      <c r="A1301" s="376" t="s">
        <v>4397</v>
      </c>
      <c r="B1301" s="230" t="str">
        <f>VLOOKUP(A1301,Insumos!$A$10:$F$3462,2,FALSE)</f>
        <v>Rodapé granito branco Siena polido 7 x 2cm</v>
      </c>
      <c r="C1301" s="231" t="str">
        <f>VLOOKUP(A1301,Insumos!$A$10:$F$3462,3,FALSE)</f>
        <v>m</v>
      </c>
      <c r="D1301" s="232">
        <v>1</v>
      </c>
      <c r="E1301" s="329">
        <f>VLOOKUP(A1301,Insumos!$A$10:$F$3462,4,FALSE)</f>
        <v>38.49</v>
      </c>
      <c r="F1301" s="329">
        <f>ROUND((D1301*E1301),2)</f>
        <v>38.49</v>
      </c>
      <c r="G1301" s="355"/>
      <c r="I1301" s="143"/>
      <c r="J1301" s="143"/>
      <c r="K1301" s="143"/>
    </row>
    <row r="1302" spans="1:15" ht="14.25" customHeight="1" x14ac:dyDescent="0.25">
      <c r="A1302" s="376"/>
      <c r="B1302" s="48"/>
      <c r="C1302" s="45"/>
      <c r="D1302" s="61"/>
      <c r="E1302" s="329"/>
      <c r="F1302" s="329"/>
      <c r="G1302" s="355"/>
      <c r="H1302" s="129"/>
      <c r="I1302" s="33"/>
      <c r="J1302" s="33"/>
      <c r="K1302" s="33"/>
      <c r="O1302" s="220"/>
    </row>
    <row r="1303" spans="1:15" ht="14.25" customHeight="1" x14ac:dyDescent="0.25">
      <c r="A1303" s="376"/>
      <c r="B1303" s="50" t="s">
        <v>148</v>
      </c>
      <c r="C1303" s="51"/>
      <c r="D1303" s="62"/>
      <c r="E1303" s="353"/>
      <c r="F1303" s="353"/>
      <c r="G1303" s="338">
        <f>+SUM(F1297:F1302)</f>
        <v>42.06</v>
      </c>
      <c r="H1303" s="129"/>
      <c r="I1303" s="33"/>
      <c r="J1303" s="33"/>
      <c r="K1303" s="33"/>
      <c r="O1303" s="220"/>
    </row>
    <row r="1304" spans="1:15" ht="14.25" customHeight="1" x14ac:dyDescent="0.25">
      <c r="A1304" s="376"/>
      <c r="B1304" s="48" t="s">
        <v>149</v>
      </c>
      <c r="C1304" s="55"/>
      <c r="D1304" s="64"/>
      <c r="E1304" s="55"/>
      <c r="F1304" s="55"/>
      <c r="G1304" s="58" t="s">
        <v>150</v>
      </c>
      <c r="H1304" s="129"/>
      <c r="I1304" s="33"/>
      <c r="J1304" s="33"/>
      <c r="K1304" s="33"/>
      <c r="O1304" s="220"/>
    </row>
    <row r="1305" spans="1:15" ht="14.25" customHeight="1" x14ac:dyDescent="0.25">
      <c r="A1305" s="376"/>
      <c r="B1305" s="48" t="s">
        <v>98</v>
      </c>
      <c r="C1305" s="45"/>
      <c r="D1305" s="59"/>
      <c r="E1305" s="45"/>
      <c r="F1305" s="45"/>
      <c r="G1305" s="47"/>
      <c r="H1305" s="129"/>
      <c r="I1305" s="33"/>
      <c r="J1305" s="33"/>
      <c r="K1305" s="33"/>
      <c r="O1305" s="220"/>
    </row>
    <row r="1306" spans="1:15" ht="14.25" customHeight="1" x14ac:dyDescent="0.25">
      <c r="A1306" s="376"/>
      <c r="B1306" s="48" t="s">
        <v>98</v>
      </c>
      <c r="C1306" s="45"/>
      <c r="D1306" s="59"/>
      <c r="E1306" s="45"/>
      <c r="F1306" s="45"/>
      <c r="G1306" s="47"/>
      <c r="H1306" s="129"/>
      <c r="I1306" s="33"/>
      <c r="J1306" s="33"/>
      <c r="K1306" s="33"/>
      <c r="O1306" s="220"/>
    </row>
    <row r="1307" spans="1:15" ht="14.25" customHeight="1" thickBot="1" x14ac:dyDescent="0.3">
      <c r="A1307" s="376"/>
      <c r="B1307" s="65" t="s">
        <v>151</v>
      </c>
      <c r="C1307" s="66"/>
      <c r="D1307" s="67"/>
      <c r="E1307" s="66"/>
      <c r="F1307" s="66"/>
      <c r="G1307" s="68">
        <f>+SUM(F1305:F1306)</f>
        <v>0</v>
      </c>
      <c r="H1307" s="129"/>
      <c r="I1307" s="33"/>
      <c r="J1307" s="33"/>
      <c r="K1307" s="33"/>
      <c r="O1307" s="220"/>
    </row>
    <row r="1308" spans="1:15" ht="4.5" customHeight="1" thickBot="1" x14ac:dyDescent="0.3">
      <c r="A1308" s="376"/>
      <c r="B1308" s="1382"/>
      <c r="C1308" s="1382"/>
      <c r="D1308" s="1382"/>
      <c r="E1308" s="1382"/>
      <c r="F1308" s="1382"/>
      <c r="G1308" s="1382"/>
      <c r="H1308" s="129"/>
      <c r="I1308" s="33"/>
      <c r="J1308" s="33"/>
      <c r="K1308" s="33"/>
      <c r="O1308" s="220"/>
    </row>
    <row r="1309" spans="1:15" ht="14.25" customHeight="1" thickBot="1" x14ac:dyDescent="0.3">
      <c r="A1309" s="376"/>
      <c r="B1309" s="69" t="s">
        <v>152</v>
      </c>
      <c r="C1309" s="70" t="s">
        <v>4415</v>
      </c>
      <c r="D1309" s="71" t="s">
        <v>154</v>
      </c>
      <c r="E1309" s="1381" t="s">
        <v>155</v>
      </c>
      <c r="F1309" s="1381"/>
      <c r="G1309" s="1381"/>
      <c r="H1309" s="129"/>
      <c r="I1309" s="33"/>
      <c r="J1309" s="33"/>
      <c r="K1309" s="33"/>
      <c r="O1309" s="220"/>
    </row>
    <row r="1310" spans="1:15" ht="14.25" customHeight="1" thickBot="1" x14ac:dyDescent="0.3">
      <c r="A1310" s="376"/>
      <c r="B1310" s="72" t="s">
        <v>156</v>
      </c>
      <c r="C1310" s="73"/>
      <c r="D1310" s="332">
        <f>G1295</f>
        <v>7.89</v>
      </c>
      <c r="E1310" s="1381"/>
      <c r="F1310" s="1381"/>
      <c r="G1310" s="1381"/>
      <c r="H1310" s="129"/>
      <c r="I1310" s="33"/>
      <c r="J1310" s="33"/>
      <c r="K1310" s="33"/>
      <c r="O1310" s="220"/>
    </row>
    <row r="1311" spans="1:15" ht="14.25" customHeight="1" thickBot="1" x14ac:dyDescent="0.3">
      <c r="A1311" s="376"/>
      <c r="B1311" s="72" t="s">
        <v>157</v>
      </c>
      <c r="C1311" s="73"/>
      <c r="D1311" s="332">
        <f>G1303</f>
        <v>42.06</v>
      </c>
      <c r="E1311" s="1381"/>
      <c r="F1311" s="1381"/>
      <c r="G1311" s="1381"/>
      <c r="H1311" s="129"/>
      <c r="I1311" s="33"/>
      <c r="J1311" s="33"/>
      <c r="K1311" s="33"/>
      <c r="O1311" s="220"/>
    </row>
    <row r="1312" spans="1:15" ht="14.25" customHeight="1" thickBot="1" x14ac:dyDescent="0.3">
      <c r="A1312" s="376"/>
      <c r="B1312" s="72" t="s">
        <v>158</v>
      </c>
      <c r="C1312" s="73"/>
      <c r="D1312" s="332">
        <f>G1307</f>
        <v>0</v>
      </c>
      <c r="E1312" s="1381"/>
      <c r="F1312" s="1381"/>
      <c r="G1312" s="1381"/>
      <c r="H1312" s="129"/>
      <c r="I1312" s="33"/>
      <c r="J1312" s="33"/>
      <c r="K1312" s="33"/>
      <c r="O1312" s="220"/>
    </row>
    <row r="1313" spans="1:15" ht="14.25" customHeight="1" thickBot="1" x14ac:dyDescent="0.3">
      <c r="A1313" s="376"/>
      <c r="B1313" s="72" t="s">
        <v>159</v>
      </c>
      <c r="C1313" s="74">
        <f>$J$5</f>
        <v>157.27000000000001</v>
      </c>
      <c r="D1313" s="332">
        <f>+ROUND((D1310*C1313),2)/100</f>
        <v>12.41</v>
      </c>
      <c r="E1313" s="1381"/>
      <c r="F1313" s="1381"/>
      <c r="G1313" s="1381"/>
      <c r="H1313" s="129"/>
      <c r="I1313" s="33"/>
      <c r="J1313" s="33"/>
      <c r="K1313" s="33"/>
      <c r="O1313" s="220"/>
    </row>
    <row r="1314" spans="1:15" ht="14.25" customHeight="1" thickBot="1" x14ac:dyDescent="0.3">
      <c r="A1314" s="376"/>
      <c r="B1314" s="72" t="s">
        <v>160</v>
      </c>
      <c r="C1314" s="75"/>
      <c r="D1314" s="333">
        <f>+SUM(D1310:D1313)</f>
        <v>62.36</v>
      </c>
      <c r="E1314" s="1381"/>
      <c r="F1314" s="1381"/>
      <c r="G1314" s="1381"/>
      <c r="H1314" s="129"/>
      <c r="I1314" s="33"/>
      <c r="J1314" s="33"/>
      <c r="K1314" s="33"/>
      <c r="O1314" s="220"/>
    </row>
    <row r="1315" spans="1:15" ht="14.25" customHeight="1" thickBot="1" x14ac:dyDescent="0.3">
      <c r="A1315" s="376"/>
      <c r="B1315" s="72" t="s">
        <v>161</v>
      </c>
      <c r="C1315" s="73"/>
      <c r="D1315" s="332" t="s">
        <v>162</v>
      </c>
      <c r="E1315" s="1382" t="s">
        <v>163</v>
      </c>
      <c r="F1315" s="1382"/>
      <c r="G1315" s="1382"/>
      <c r="H1315" s="129"/>
      <c r="I1315" s="33"/>
      <c r="J1315" s="33"/>
      <c r="K1315" s="33"/>
      <c r="O1315" s="220"/>
    </row>
    <row r="1316" spans="1:15" ht="14.25" customHeight="1" thickBot="1" x14ac:dyDescent="0.3">
      <c r="A1316" s="376"/>
      <c r="B1316" s="76" t="s">
        <v>164</v>
      </c>
      <c r="C1316" s="77"/>
      <c r="D1316" s="334">
        <f>+SUM(D1314:D1315)</f>
        <v>62.36</v>
      </c>
      <c r="E1316" s="1382"/>
      <c r="F1316" s="1382"/>
      <c r="G1316" s="1382"/>
      <c r="H1316" s="129"/>
      <c r="I1316" s="33"/>
      <c r="J1316" s="33"/>
      <c r="K1316" s="33"/>
      <c r="O1316" s="220"/>
    </row>
    <row r="1317" spans="1:15" ht="14.25" customHeight="1" thickBot="1" x14ac:dyDescent="0.3">
      <c r="A1317" s="376"/>
      <c r="B1317" s="78" t="s">
        <v>165</v>
      </c>
      <c r="C1317" s="79">
        <f>$I$5</f>
        <v>28.49</v>
      </c>
      <c r="D1317" s="335">
        <f>ROUND((D1316*C1317),2)/100</f>
        <v>17.77</v>
      </c>
      <c r="E1317" s="1382"/>
      <c r="F1317" s="1382"/>
      <c r="G1317" s="1382"/>
      <c r="H1317" s="129"/>
      <c r="I1317" s="33"/>
      <c r="J1317" s="33"/>
      <c r="K1317" s="33"/>
      <c r="O1317" s="220"/>
    </row>
    <row r="1318" spans="1:15" ht="14.25" customHeight="1" thickBot="1" x14ac:dyDescent="0.3">
      <c r="A1318" s="376"/>
      <c r="B1318" s="80" t="s">
        <v>166</v>
      </c>
      <c r="C1318" s="81"/>
      <c r="D1318" s="336">
        <f>+SUM(D1316:D1317)</f>
        <v>80.13</v>
      </c>
      <c r="E1318" s="82"/>
      <c r="F1318" s="337">
        <f>D1318</f>
        <v>80.13</v>
      </c>
      <c r="G1318" s="35"/>
      <c r="H1318" s="129"/>
      <c r="I1318" s="33"/>
      <c r="J1318" s="33"/>
      <c r="K1318" s="33"/>
      <c r="O1318" s="220"/>
    </row>
    <row r="1319" spans="1:15" x14ac:dyDescent="0.25">
      <c r="H1319" s="129"/>
      <c r="O1319" s="220"/>
    </row>
    <row r="1320" spans="1:15" ht="15.75" thickBot="1" x14ac:dyDescent="0.3">
      <c r="H1320" s="129"/>
      <c r="O1320" s="220"/>
    </row>
    <row r="1321" spans="1:15" x14ac:dyDescent="0.25">
      <c r="A1321" s="376"/>
      <c r="B1321" s="1383" t="s">
        <v>131</v>
      </c>
      <c r="C1321" s="1383"/>
      <c r="D1321" s="1383"/>
      <c r="E1321" s="1383"/>
      <c r="F1321" s="1383"/>
      <c r="G1321" s="1383"/>
      <c r="H1321" s="129"/>
      <c r="I1321" s="33"/>
      <c r="J1321" s="33"/>
      <c r="K1321" s="33"/>
      <c r="O1321" s="220"/>
    </row>
    <row r="1322" spans="1:15" ht="15.75" thickBot="1" x14ac:dyDescent="0.3">
      <c r="A1322" s="376"/>
      <c r="B1322" s="1384" t="str">
        <f>$I$3</f>
        <v>Urbanização da Orla de Piúma - Município de Piúma / ES</v>
      </c>
      <c r="C1322" s="1385"/>
      <c r="D1322" s="1385"/>
      <c r="E1322" s="1385"/>
      <c r="F1322" s="1385"/>
      <c r="G1322" s="1386"/>
      <c r="H1322" s="129"/>
      <c r="I1322" s="33"/>
      <c r="J1322" s="33"/>
      <c r="K1322" s="33"/>
      <c r="O1322" s="220"/>
    </row>
    <row r="1323" spans="1:15" ht="15.75" thickBot="1" x14ac:dyDescent="0.3">
      <c r="A1323" s="376"/>
      <c r="B1323" s="34" t="s">
        <v>132</v>
      </c>
      <c r="C1323" s="34" t="s">
        <v>133</v>
      </c>
      <c r="D1323" s="1381" t="s">
        <v>134</v>
      </c>
      <c r="E1323" s="1381"/>
      <c r="F1323" s="131" t="s">
        <v>275</v>
      </c>
      <c r="G1323" s="35" t="s">
        <v>135</v>
      </c>
      <c r="H1323" s="129"/>
      <c r="I1323" s="31"/>
      <c r="J1323" s="31"/>
      <c r="K1323" s="33"/>
      <c r="O1323" s="220"/>
    </row>
    <row r="1324" spans="1:15" ht="15.75" thickBot="1" x14ac:dyDescent="0.3">
      <c r="A1324" s="376"/>
      <c r="B1324" s="132" t="s">
        <v>281</v>
      </c>
      <c r="C1324" s="92" t="s">
        <v>98</v>
      </c>
      <c r="D1324" s="1381" t="s">
        <v>7</v>
      </c>
      <c r="E1324" s="1381"/>
      <c r="F1324" s="144" t="s">
        <v>237</v>
      </c>
      <c r="G1324" s="38">
        <f>$K$5</f>
        <v>44501</v>
      </c>
      <c r="H1324" s="129"/>
      <c r="I1324" s="33"/>
      <c r="J1324" s="33"/>
      <c r="K1324" s="33"/>
      <c r="O1324" s="220"/>
    </row>
    <row r="1325" spans="1:15" ht="6" customHeight="1" thickBot="1" x14ac:dyDescent="0.3">
      <c r="A1325" s="376"/>
      <c r="B1325" s="1382"/>
      <c r="C1325" s="1382"/>
      <c r="D1325" s="1382"/>
      <c r="E1325" s="1382"/>
      <c r="F1325" s="1382"/>
      <c r="G1325" s="1382"/>
      <c r="H1325" s="129"/>
      <c r="I1325" s="33"/>
      <c r="J1325" s="33"/>
      <c r="K1325" s="33"/>
      <c r="O1325" s="220"/>
    </row>
    <row r="1326" spans="1:15" ht="14.25" customHeight="1" x14ac:dyDescent="0.25">
      <c r="A1326" s="376"/>
      <c r="B1326" s="41" t="s">
        <v>139</v>
      </c>
      <c r="C1326" s="42" t="s">
        <v>140</v>
      </c>
      <c r="D1326" s="42" t="s">
        <v>141</v>
      </c>
      <c r="E1326" s="42" t="s">
        <v>142</v>
      </c>
      <c r="F1326" s="42" t="s">
        <v>143</v>
      </c>
      <c r="G1326" s="43" t="s">
        <v>144</v>
      </c>
      <c r="H1326" s="129"/>
      <c r="I1326" s="33"/>
      <c r="J1326" s="33"/>
      <c r="K1326" s="33"/>
      <c r="O1326" s="220"/>
    </row>
    <row r="1327" spans="1:15" ht="14.25" customHeight="1" x14ac:dyDescent="0.25">
      <c r="A1327" s="376">
        <v>10139</v>
      </c>
      <c r="B1327" s="44" t="str">
        <f>VLOOKUP(A1327,Insumos!$A$10:$F$3462,2,FALSE)</f>
        <v>PEDREIRO - (OFICIAL - SINDUSCON)</v>
      </c>
      <c r="C1327" s="45" t="str">
        <f>VLOOKUP(A1327,Insumos!$A$10:$F$3462,3,FALSE)</f>
        <v>H</v>
      </c>
      <c r="D1327" s="46">
        <v>0.84</v>
      </c>
      <c r="E1327" s="329">
        <f>VLOOKUP(A1327,Insumos!$A$10:$F$3462,4,FALSE)</f>
        <v>7.43</v>
      </c>
      <c r="F1327" s="329">
        <f>ROUND((D1327*E1327),2)</f>
        <v>6.24</v>
      </c>
      <c r="G1327" s="355"/>
      <c r="H1327" s="129"/>
      <c r="I1327" s="33"/>
      <c r="J1327" s="33"/>
      <c r="K1327" s="33"/>
      <c r="O1327" s="220"/>
    </row>
    <row r="1328" spans="1:15" ht="14.25" customHeight="1" x14ac:dyDescent="0.25">
      <c r="A1328" s="376">
        <v>10146</v>
      </c>
      <c r="B1328" s="44" t="str">
        <f>VLOOKUP(A1328,Insumos!$A$10:$F$3462,2,FALSE)</f>
        <v>SERVENTE (AUXILIAR DE OBRAS - SINDUSCON)</v>
      </c>
      <c r="C1328" s="45" t="str">
        <f>VLOOKUP(A1328,Insumos!$A$10:$F$3462,3,FALSE)</f>
        <v>H</v>
      </c>
      <c r="D1328" s="46">
        <v>0.91</v>
      </c>
      <c r="E1328" s="329">
        <f>VLOOKUP(A1328,Insumos!$A$10:$F$3462,4,FALSE)</f>
        <v>5.46</v>
      </c>
      <c r="F1328" s="329">
        <f>ROUND((D1328*E1328),2)</f>
        <v>4.97</v>
      </c>
      <c r="G1328" s="355"/>
      <c r="H1328" s="129"/>
      <c r="I1328" s="33"/>
      <c r="J1328" s="33"/>
      <c r="K1328" s="33"/>
      <c r="O1328" s="220"/>
    </row>
    <row r="1329" spans="1:15" ht="14.25" customHeight="1" x14ac:dyDescent="0.25">
      <c r="A1329" s="376"/>
      <c r="B1329" s="48"/>
      <c r="C1329" s="45"/>
      <c r="D1329" s="49"/>
      <c r="E1329" s="329"/>
      <c r="F1329" s="329"/>
      <c r="G1329" s="355"/>
      <c r="H1329" s="129"/>
      <c r="I1329" s="33"/>
      <c r="J1329" s="33"/>
      <c r="K1329" s="33"/>
      <c r="O1329" s="220"/>
    </row>
    <row r="1330" spans="1:15" ht="14.25" customHeight="1" x14ac:dyDescent="0.25">
      <c r="A1330" s="376"/>
      <c r="B1330" s="50" t="s">
        <v>145</v>
      </c>
      <c r="C1330" s="51"/>
      <c r="D1330" s="52"/>
      <c r="E1330" s="329"/>
      <c r="F1330" s="353"/>
      <c r="G1330" s="338">
        <f>+SUM(F1327:F1329)</f>
        <v>11.21</v>
      </c>
      <c r="H1330" s="129"/>
      <c r="I1330" s="33"/>
      <c r="J1330" s="33"/>
      <c r="K1330" s="33"/>
      <c r="O1330" s="220"/>
    </row>
    <row r="1331" spans="1:15" ht="14.25" customHeight="1" x14ac:dyDescent="0.25">
      <c r="A1331" s="376"/>
      <c r="B1331" s="48" t="s">
        <v>146</v>
      </c>
      <c r="C1331" s="55"/>
      <c r="D1331" s="56"/>
      <c r="E1331" s="45"/>
      <c r="F1331" s="57"/>
      <c r="G1331" s="58" t="s">
        <v>147</v>
      </c>
      <c r="H1331" s="129"/>
      <c r="I1331" s="33"/>
      <c r="J1331" s="33"/>
      <c r="K1331" s="33"/>
      <c r="O1331" s="220"/>
    </row>
    <row r="1332" spans="1:15" ht="14.25" customHeight="1" x14ac:dyDescent="0.25">
      <c r="A1332" s="376">
        <v>20503</v>
      </c>
      <c r="B1332" s="44" t="str">
        <f>VLOOKUP(A1332,Insumos!$A$10:$F$3462,2,FALSE)</f>
        <v>AREIA LAVADA MEDIA</v>
      </c>
      <c r="C1332" s="45" t="str">
        <f>VLOOKUP(A1332,Insumos!$A$10:$F$3462,3,FALSE)</f>
        <v>M3</v>
      </c>
      <c r="D1332" s="147">
        <v>8.6099999999999996E-3</v>
      </c>
      <c r="E1332" s="329">
        <f>VLOOKUP(A1332,Insumos!$A$10:$F$3462,4,FALSE)</f>
        <v>90</v>
      </c>
      <c r="F1332" s="329">
        <f>ROUND((D1332*E1332),2)</f>
        <v>0.77</v>
      </c>
      <c r="G1332" s="355"/>
      <c r="H1332" s="129"/>
      <c r="I1332" s="33"/>
      <c r="J1332" s="33"/>
      <c r="K1332" s="33"/>
      <c r="O1332" s="220"/>
    </row>
    <row r="1333" spans="1:15" ht="14.25" customHeight="1" x14ac:dyDescent="0.25">
      <c r="A1333" s="376">
        <v>20505</v>
      </c>
      <c r="B1333" s="44" t="str">
        <f>VLOOKUP(A1333,Insumos!$A$10:$F$3462,2,FALSE)</f>
        <v>CAL HIDRATADO P/ ARGAMASSA CH III</v>
      </c>
      <c r="C1333" s="45" t="str">
        <f>VLOOKUP(A1333,Insumos!$A$10:$F$3462,3,FALSE)</f>
        <v>KG</v>
      </c>
      <c r="D1333" s="147">
        <v>1.274</v>
      </c>
      <c r="E1333" s="329">
        <f>VLOOKUP(A1333,Insumos!$A$10:$F$3462,4,FALSE)</f>
        <v>0.78</v>
      </c>
      <c r="F1333" s="329">
        <f>ROUND((D1333*E1333),2)</f>
        <v>0.99</v>
      </c>
      <c r="G1333" s="355"/>
      <c r="H1333" s="129"/>
      <c r="I1333" s="33"/>
      <c r="J1333" s="33"/>
      <c r="K1333" s="33"/>
      <c r="O1333" s="220"/>
    </row>
    <row r="1334" spans="1:15" ht="14.25" customHeight="1" x14ac:dyDescent="0.25">
      <c r="A1334" s="376">
        <v>20508</v>
      </c>
      <c r="B1334" s="44" t="str">
        <f>VLOOKUP(A1334,Insumos!$A$10:$F$3462,2,FALSE)</f>
        <v>CIMENTO PORTLAND CP III - 40</v>
      </c>
      <c r="C1334" s="45" t="str">
        <f>VLOOKUP(A1334,Insumos!$A$10:$F$3462,3,FALSE)</f>
        <v>KG</v>
      </c>
      <c r="D1334" s="147">
        <v>2.5619999999999998</v>
      </c>
      <c r="E1334" s="329">
        <f>VLOOKUP(A1334,Insumos!$A$10:$F$3462,4,FALSE)</f>
        <v>0.46</v>
      </c>
      <c r="F1334" s="329">
        <f>ROUND((D1334*E1334),2)</f>
        <v>1.18</v>
      </c>
      <c r="G1334" s="355"/>
      <c r="H1334" s="220"/>
      <c r="I1334" s="33"/>
      <c r="J1334" s="33"/>
      <c r="K1334" s="33"/>
      <c r="O1334" s="220"/>
    </row>
    <row r="1335" spans="1:15" x14ac:dyDescent="0.25">
      <c r="A1335" s="376">
        <v>13257</v>
      </c>
      <c r="B1335" s="145" t="str">
        <f>VLOOKUP(A1335,Insumos!$A$10:$F$3462,2,FALSE)</f>
        <v>Peitoril/chapim em granito branco siena, polido, l = 15cm, e = 2cm</v>
      </c>
      <c r="C1335" s="146" t="str">
        <f>VLOOKUP(A1335,Insumos!$A$10:$F$3462,3,FALSE)</f>
        <v>m</v>
      </c>
      <c r="D1335" s="46">
        <v>1</v>
      </c>
      <c r="E1335" s="329">
        <f>VLOOKUP(A1335,Insumos!$A$10:$F$3462,4,FALSE)</f>
        <v>108.39</v>
      </c>
      <c r="F1335" s="329">
        <f>ROUND((D1335*E1335),2)</f>
        <v>108.39</v>
      </c>
      <c r="G1335" s="355"/>
      <c r="H1335" s="129"/>
      <c r="I1335" s="33"/>
      <c r="J1335" s="33"/>
      <c r="K1335" s="33"/>
      <c r="O1335" s="220"/>
    </row>
    <row r="1336" spans="1:15" ht="14.25" customHeight="1" x14ac:dyDescent="0.25">
      <c r="A1336" s="376"/>
      <c r="B1336" s="48"/>
      <c r="C1336" s="45"/>
      <c r="D1336" s="61"/>
      <c r="E1336" s="329"/>
      <c r="F1336" s="329"/>
      <c r="G1336" s="355"/>
      <c r="H1336" s="129"/>
      <c r="I1336" s="33"/>
      <c r="J1336" s="33"/>
      <c r="K1336" s="33"/>
      <c r="O1336" s="220"/>
    </row>
    <row r="1337" spans="1:15" ht="14.25" customHeight="1" x14ac:dyDescent="0.25">
      <c r="A1337" s="376"/>
      <c r="B1337" s="50" t="s">
        <v>148</v>
      </c>
      <c r="C1337" s="51"/>
      <c r="D1337" s="62"/>
      <c r="E1337" s="353"/>
      <c r="F1337" s="353"/>
      <c r="G1337" s="338">
        <f>+SUM(F1332:F1336)</f>
        <v>111.33</v>
      </c>
      <c r="H1337" s="129"/>
      <c r="I1337" s="33"/>
      <c r="J1337" s="33"/>
      <c r="K1337" s="33"/>
      <c r="O1337" s="220"/>
    </row>
    <row r="1338" spans="1:15" ht="14.25" customHeight="1" x14ac:dyDescent="0.25">
      <c r="A1338" s="376"/>
      <c r="B1338" s="48" t="s">
        <v>149</v>
      </c>
      <c r="C1338" s="55"/>
      <c r="D1338" s="64"/>
      <c r="E1338" s="55"/>
      <c r="F1338" s="55"/>
      <c r="G1338" s="58" t="s">
        <v>150</v>
      </c>
      <c r="H1338" s="129"/>
      <c r="I1338" s="33"/>
      <c r="J1338" s="33"/>
      <c r="K1338" s="33"/>
      <c r="O1338" s="220"/>
    </row>
    <row r="1339" spans="1:15" ht="14.25" customHeight="1" x14ac:dyDescent="0.25">
      <c r="A1339" s="376"/>
      <c r="B1339" s="48" t="s">
        <v>98</v>
      </c>
      <c r="C1339" s="45"/>
      <c r="D1339" s="59"/>
      <c r="E1339" s="45"/>
      <c r="F1339" s="45"/>
      <c r="G1339" s="47"/>
      <c r="H1339" s="129"/>
      <c r="I1339" s="33"/>
      <c r="J1339" s="33"/>
      <c r="K1339" s="33"/>
      <c r="O1339" s="220"/>
    </row>
    <row r="1340" spans="1:15" ht="14.25" customHeight="1" x14ac:dyDescent="0.25">
      <c r="A1340" s="376"/>
      <c r="B1340" s="48" t="s">
        <v>98</v>
      </c>
      <c r="C1340" s="45"/>
      <c r="D1340" s="59"/>
      <c r="E1340" s="45"/>
      <c r="F1340" s="45"/>
      <c r="G1340" s="47"/>
      <c r="H1340" s="129"/>
      <c r="I1340" s="33"/>
      <c r="J1340" s="33"/>
      <c r="K1340" s="33"/>
      <c r="O1340" s="220"/>
    </row>
    <row r="1341" spans="1:15" ht="14.25" customHeight="1" thickBot="1" x14ac:dyDescent="0.3">
      <c r="A1341" s="376"/>
      <c r="B1341" s="65" t="s">
        <v>151</v>
      </c>
      <c r="C1341" s="66"/>
      <c r="D1341" s="67"/>
      <c r="E1341" s="66"/>
      <c r="F1341" s="66"/>
      <c r="G1341" s="68">
        <f>+SUM(F1339:F1340)</f>
        <v>0</v>
      </c>
      <c r="H1341" s="129"/>
      <c r="I1341" s="33"/>
      <c r="J1341" s="33"/>
      <c r="K1341" s="33"/>
      <c r="O1341" s="220"/>
    </row>
    <row r="1342" spans="1:15" ht="4.5" customHeight="1" thickBot="1" x14ac:dyDescent="0.3">
      <c r="A1342" s="376"/>
      <c r="B1342" s="1382"/>
      <c r="C1342" s="1382"/>
      <c r="D1342" s="1382"/>
      <c r="E1342" s="1382"/>
      <c r="F1342" s="1382"/>
      <c r="G1342" s="1382"/>
      <c r="H1342" s="129"/>
      <c r="I1342" s="33"/>
      <c r="J1342" s="33"/>
      <c r="K1342" s="33"/>
      <c r="O1342" s="220"/>
    </row>
    <row r="1343" spans="1:15" ht="14.25" customHeight="1" thickBot="1" x14ac:dyDescent="0.3">
      <c r="A1343" s="376"/>
      <c r="B1343" s="69" t="s">
        <v>152</v>
      </c>
      <c r="C1343" s="70" t="s">
        <v>4415</v>
      </c>
      <c r="D1343" s="71" t="s">
        <v>154</v>
      </c>
      <c r="E1343" s="1381" t="s">
        <v>155</v>
      </c>
      <c r="F1343" s="1381"/>
      <c r="G1343" s="1381"/>
      <c r="H1343" s="129"/>
      <c r="I1343" s="33"/>
      <c r="J1343" s="33"/>
      <c r="K1343" s="33"/>
      <c r="O1343" s="220"/>
    </row>
    <row r="1344" spans="1:15" ht="14.25" customHeight="1" thickBot="1" x14ac:dyDescent="0.3">
      <c r="A1344" s="376"/>
      <c r="B1344" s="72" t="s">
        <v>156</v>
      </c>
      <c r="C1344" s="73"/>
      <c r="D1344" s="332">
        <f>G1330</f>
        <v>11.21</v>
      </c>
      <c r="E1344" s="1381"/>
      <c r="F1344" s="1381"/>
      <c r="G1344" s="1381"/>
      <c r="H1344" s="129"/>
      <c r="I1344" s="33"/>
      <c r="J1344" s="33"/>
      <c r="K1344" s="33"/>
      <c r="O1344" s="220"/>
    </row>
    <row r="1345" spans="1:15" ht="14.25" customHeight="1" thickBot="1" x14ac:dyDescent="0.3">
      <c r="A1345" s="376"/>
      <c r="B1345" s="72" t="s">
        <v>157</v>
      </c>
      <c r="C1345" s="73"/>
      <c r="D1345" s="332">
        <f>G1337</f>
        <v>111.33</v>
      </c>
      <c r="E1345" s="1381"/>
      <c r="F1345" s="1381"/>
      <c r="G1345" s="1381"/>
      <c r="H1345" s="129"/>
      <c r="I1345" s="33"/>
      <c r="J1345" s="33"/>
      <c r="K1345" s="33"/>
      <c r="O1345" s="220"/>
    </row>
    <row r="1346" spans="1:15" ht="14.25" customHeight="1" thickBot="1" x14ac:dyDescent="0.3">
      <c r="A1346" s="376"/>
      <c r="B1346" s="72" t="s">
        <v>158</v>
      </c>
      <c r="C1346" s="73"/>
      <c r="D1346" s="332">
        <f>G1341</f>
        <v>0</v>
      </c>
      <c r="E1346" s="1381"/>
      <c r="F1346" s="1381"/>
      <c r="G1346" s="1381"/>
      <c r="H1346" s="129"/>
      <c r="I1346" s="33"/>
      <c r="J1346" s="33"/>
      <c r="K1346" s="33"/>
      <c r="O1346" s="220"/>
    </row>
    <row r="1347" spans="1:15" ht="14.25" customHeight="1" thickBot="1" x14ac:dyDescent="0.3">
      <c r="A1347" s="376"/>
      <c r="B1347" s="72" t="s">
        <v>159</v>
      </c>
      <c r="C1347" s="74">
        <f>$J$5</f>
        <v>157.27000000000001</v>
      </c>
      <c r="D1347" s="332">
        <f>+ROUND((D1344*C1347),2)/100</f>
        <v>17.63</v>
      </c>
      <c r="E1347" s="1381"/>
      <c r="F1347" s="1381"/>
      <c r="G1347" s="1381"/>
      <c r="H1347" s="129"/>
      <c r="I1347" s="33"/>
      <c r="J1347" s="33"/>
      <c r="K1347" s="33"/>
      <c r="O1347" s="220"/>
    </row>
    <row r="1348" spans="1:15" ht="14.25" customHeight="1" thickBot="1" x14ac:dyDescent="0.3">
      <c r="A1348" s="376"/>
      <c r="B1348" s="72" t="s">
        <v>160</v>
      </c>
      <c r="C1348" s="75"/>
      <c r="D1348" s="333">
        <f>+SUM(D1344:D1347)</f>
        <v>140.16999999999999</v>
      </c>
      <c r="E1348" s="1381"/>
      <c r="F1348" s="1381"/>
      <c r="G1348" s="1381"/>
      <c r="H1348" s="129"/>
      <c r="I1348" s="33"/>
      <c r="J1348" s="33"/>
      <c r="K1348" s="33"/>
      <c r="O1348" s="220"/>
    </row>
    <row r="1349" spans="1:15" ht="14.25" customHeight="1" thickBot="1" x14ac:dyDescent="0.3">
      <c r="A1349" s="376"/>
      <c r="B1349" s="72" t="s">
        <v>161</v>
      </c>
      <c r="C1349" s="73"/>
      <c r="D1349" s="332" t="s">
        <v>162</v>
      </c>
      <c r="E1349" s="1382" t="s">
        <v>163</v>
      </c>
      <c r="F1349" s="1382"/>
      <c r="G1349" s="1382"/>
      <c r="H1349" s="129"/>
      <c r="I1349" s="33"/>
      <c r="J1349" s="33"/>
      <c r="K1349" s="33"/>
      <c r="O1349" s="220"/>
    </row>
    <row r="1350" spans="1:15" ht="14.25" customHeight="1" thickBot="1" x14ac:dyDescent="0.3">
      <c r="A1350" s="376"/>
      <c r="B1350" s="76" t="s">
        <v>164</v>
      </c>
      <c r="C1350" s="77"/>
      <c r="D1350" s="334">
        <f>+SUM(D1348:D1349)</f>
        <v>140.16999999999999</v>
      </c>
      <c r="E1350" s="1382"/>
      <c r="F1350" s="1382"/>
      <c r="G1350" s="1382"/>
      <c r="H1350" s="129"/>
      <c r="I1350" s="33"/>
      <c r="J1350" s="33"/>
      <c r="K1350" s="33"/>
      <c r="O1350" s="220"/>
    </row>
    <row r="1351" spans="1:15" ht="14.25" customHeight="1" thickBot="1" x14ac:dyDescent="0.3">
      <c r="A1351" s="376"/>
      <c r="B1351" s="78" t="s">
        <v>165</v>
      </c>
      <c r="C1351" s="79">
        <f>$I$5</f>
        <v>28.49</v>
      </c>
      <c r="D1351" s="335">
        <f>ROUND((D1350*C1351),2)/100</f>
        <v>39.93</v>
      </c>
      <c r="E1351" s="1382"/>
      <c r="F1351" s="1382"/>
      <c r="G1351" s="1382"/>
      <c r="H1351" s="129"/>
      <c r="I1351" s="33"/>
      <c r="J1351" s="33"/>
      <c r="K1351" s="33"/>
      <c r="O1351" s="220"/>
    </row>
    <row r="1352" spans="1:15" ht="14.25" customHeight="1" thickBot="1" x14ac:dyDescent="0.3">
      <c r="A1352" s="376"/>
      <c r="B1352" s="80" t="s">
        <v>166</v>
      </c>
      <c r="C1352" s="81"/>
      <c r="D1352" s="336">
        <f>+SUM(D1350:D1351)</f>
        <v>180.1</v>
      </c>
      <c r="E1352" s="82"/>
      <c r="F1352" s="337">
        <f>D1352</f>
        <v>180.1</v>
      </c>
      <c r="G1352" s="35"/>
      <c r="H1352" s="129"/>
      <c r="I1352" s="33"/>
      <c r="J1352" s="33"/>
      <c r="K1352" s="33"/>
      <c r="O1352" s="220"/>
    </row>
    <row r="1353" spans="1:15" x14ac:dyDescent="0.25">
      <c r="H1353" s="129"/>
      <c r="O1353" s="220"/>
    </row>
    <row r="1354" spans="1:15" s="159" customFormat="1" ht="15.75" thickBot="1" x14ac:dyDescent="0.3">
      <c r="A1354" s="382"/>
      <c r="O1354" s="220"/>
    </row>
    <row r="1355" spans="1:15" s="159" customFormat="1" x14ac:dyDescent="0.25">
      <c r="A1355" s="376"/>
      <c r="B1355" s="1383" t="s">
        <v>131</v>
      </c>
      <c r="C1355" s="1383"/>
      <c r="D1355" s="1383"/>
      <c r="E1355" s="1383"/>
      <c r="F1355" s="1383"/>
      <c r="G1355" s="1383"/>
      <c r="O1355" s="220"/>
    </row>
    <row r="1356" spans="1:15" s="159" customFormat="1" ht="15.75" thickBot="1" x14ac:dyDescent="0.3">
      <c r="A1356" s="376"/>
      <c r="B1356" s="1384" t="str">
        <f>$I$3</f>
        <v>Urbanização da Orla de Piúma - Município de Piúma / ES</v>
      </c>
      <c r="C1356" s="1385"/>
      <c r="D1356" s="1385"/>
      <c r="E1356" s="1385"/>
      <c r="F1356" s="1385"/>
      <c r="G1356" s="1386"/>
      <c r="O1356" s="220"/>
    </row>
    <row r="1357" spans="1:15" s="159" customFormat="1" ht="15.75" thickBot="1" x14ac:dyDescent="0.3">
      <c r="A1357" s="376"/>
      <c r="B1357" s="90" t="s">
        <v>132</v>
      </c>
      <c r="C1357" s="90" t="s">
        <v>133</v>
      </c>
      <c r="D1357" s="1381" t="s">
        <v>134</v>
      </c>
      <c r="E1357" s="1381"/>
      <c r="F1357" s="131" t="s">
        <v>275</v>
      </c>
      <c r="G1357" s="131" t="s">
        <v>135</v>
      </c>
      <c r="O1357" s="220"/>
    </row>
    <row r="1358" spans="1:15" s="159" customFormat="1" ht="15.75" thickBot="1" x14ac:dyDescent="0.3">
      <c r="A1358" s="376"/>
      <c r="B1358" s="225" t="s">
        <v>282</v>
      </c>
      <c r="C1358" s="92" t="s">
        <v>98</v>
      </c>
      <c r="D1358" s="1381" t="s">
        <v>7</v>
      </c>
      <c r="E1358" s="1381"/>
      <c r="F1358" s="144" t="s">
        <v>238</v>
      </c>
      <c r="G1358" s="38">
        <f>$K$5</f>
        <v>44501</v>
      </c>
      <c r="O1358" s="220"/>
    </row>
    <row r="1359" spans="1:15" s="159" customFormat="1" ht="15.75" thickBot="1" x14ac:dyDescent="0.3">
      <c r="A1359" s="376"/>
      <c r="B1359" s="1382"/>
      <c r="C1359" s="1382"/>
      <c r="D1359" s="1382"/>
      <c r="E1359" s="1382"/>
      <c r="F1359" s="1382"/>
      <c r="G1359" s="1382"/>
      <c r="O1359" s="220"/>
    </row>
    <row r="1360" spans="1:15" s="159" customFormat="1" x14ac:dyDescent="0.25">
      <c r="A1360" s="376"/>
      <c r="B1360" s="93" t="s">
        <v>139</v>
      </c>
      <c r="C1360" s="94" t="s">
        <v>140</v>
      </c>
      <c r="D1360" s="94" t="s">
        <v>141</v>
      </c>
      <c r="E1360" s="94" t="s">
        <v>142</v>
      </c>
      <c r="F1360" s="94" t="s">
        <v>143</v>
      </c>
      <c r="G1360" s="95" t="s">
        <v>144</v>
      </c>
      <c r="O1360" s="220"/>
    </row>
    <row r="1361" spans="1:15" s="159" customFormat="1" x14ac:dyDescent="0.25">
      <c r="A1361" s="376">
        <v>10139</v>
      </c>
      <c r="B1361" s="145" t="str">
        <f>VLOOKUP(A1361,Insumos!$A$10:$F$3462,2,FALSE)</f>
        <v>PEDREIRO - (OFICIAL - SINDUSCON)</v>
      </c>
      <c r="C1361" s="146" t="str">
        <f>VLOOKUP(A1361,Insumos!$A$10:$F$3462,3,FALSE)</f>
        <v>H</v>
      </c>
      <c r="D1361" s="147">
        <v>0.84</v>
      </c>
      <c r="E1361" s="329">
        <f>VLOOKUP(A1361,Insumos!$A$10:$F$3462,4,FALSE)</f>
        <v>7.43</v>
      </c>
      <c r="F1361" s="329">
        <f>ROUND((D1361*E1361),2)</f>
        <v>6.24</v>
      </c>
      <c r="G1361" s="355"/>
      <c r="O1361" s="220"/>
    </row>
    <row r="1362" spans="1:15" s="159" customFormat="1" x14ac:dyDescent="0.25">
      <c r="A1362" s="376">
        <v>10146</v>
      </c>
      <c r="B1362" s="145" t="str">
        <f>VLOOKUP(A1362,Insumos!$A$10:$F$3462,2,FALSE)</f>
        <v>SERVENTE (AUXILIAR DE OBRAS - SINDUSCON)</v>
      </c>
      <c r="C1362" s="146" t="str">
        <f>VLOOKUP(A1362,Insumos!$A$10:$F$3462,3,FALSE)</f>
        <v>H</v>
      </c>
      <c r="D1362" s="147">
        <v>0.91</v>
      </c>
      <c r="E1362" s="329">
        <f>VLOOKUP(A1362,Insumos!$A$10:$F$3462,4,FALSE)</f>
        <v>5.46</v>
      </c>
      <c r="F1362" s="329">
        <f>ROUND((D1362*E1362),2)</f>
        <v>4.97</v>
      </c>
      <c r="G1362" s="355"/>
      <c r="O1362" s="220"/>
    </row>
    <row r="1363" spans="1:15" s="159" customFormat="1" x14ac:dyDescent="0.25">
      <c r="A1363" s="376"/>
      <c r="B1363" s="99"/>
      <c r="C1363" s="146"/>
      <c r="D1363" s="100"/>
      <c r="E1363" s="329"/>
      <c r="F1363" s="329"/>
      <c r="G1363" s="355"/>
      <c r="O1363" s="220"/>
    </row>
    <row r="1364" spans="1:15" s="159" customFormat="1" x14ac:dyDescent="0.25">
      <c r="A1364" s="376"/>
      <c r="B1364" s="101" t="s">
        <v>145</v>
      </c>
      <c r="C1364" s="102"/>
      <c r="D1364" s="103"/>
      <c r="E1364" s="329"/>
      <c r="F1364" s="353"/>
      <c r="G1364" s="338">
        <f>+SUM(F1361:F1363)</f>
        <v>11.21</v>
      </c>
      <c r="O1364" s="220"/>
    </row>
    <row r="1365" spans="1:15" s="159" customFormat="1" x14ac:dyDescent="0.25">
      <c r="A1365" s="376"/>
      <c r="B1365" s="99" t="s">
        <v>146</v>
      </c>
      <c r="C1365" s="106"/>
      <c r="D1365" s="107"/>
      <c r="E1365" s="146"/>
      <c r="F1365" s="108"/>
      <c r="G1365" s="109" t="s">
        <v>147</v>
      </c>
      <c r="O1365" s="220"/>
    </row>
    <row r="1366" spans="1:15" s="159" customFormat="1" x14ac:dyDescent="0.25">
      <c r="A1366" s="376">
        <v>20503</v>
      </c>
      <c r="B1366" s="145" t="str">
        <f>VLOOKUP(A1366,Insumos!$A$10:$F$3462,2,FALSE)</f>
        <v>AREIA LAVADA MEDIA</v>
      </c>
      <c r="C1366" s="146" t="str">
        <f>VLOOKUP(A1366,Insumos!$A$10:$F$3462,3,FALSE)</f>
        <v>M3</v>
      </c>
      <c r="D1366" s="147">
        <v>8.6099999999999996E-3</v>
      </c>
      <c r="E1366" s="329">
        <f>VLOOKUP(A1366,Insumos!$A$10:$F$3462,4,FALSE)</f>
        <v>90</v>
      </c>
      <c r="F1366" s="329">
        <f>ROUND((D1366*E1366),2)</f>
        <v>0.77</v>
      </c>
      <c r="G1366" s="355"/>
      <c r="O1366" s="220"/>
    </row>
    <row r="1367" spans="1:15" s="159" customFormat="1" x14ac:dyDescent="0.25">
      <c r="A1367" s="376">
        <v>20505</v>
      </c>
      <c r="B1367" s="145" t="str">
        <f>VLOOKUP(A1367,Insumos!$A$10:$F$3462,2,FALSE)</f>
        <v>CAL HIDRATADO P/ ARGAMASSA CH III</v>
      </c>
      <c r="C1367" s="146" t="str">
        <f>VLOOKUP(A1367,Insumos!$A$10:$F$3462,3,FALSE)</f>
        <v>KG</v>
      </c>
      <c r="D1367" s="147">
        <v>1.274</v>
      </c>
      <c r="E1367" s="329">
        <f>VLOOKUP(A1367,Insumos!$A$10:$F$3462,4,FALSE)</f>
        <v>0.78</v>
      </c>
      <c r="F1367" s="329">
        <f>ROUND((D1367*E1367),2)</f>
        <v>0.99</v>
      </c>
      <c r="G1367" s="355"/>
      <c r="O1367" s="220"/>
    </row>
    <row r="1368" spans="1:15" s="159" customFormat="1" x14ac:dyDescent="0.25">
      <c r="A1368" s="376">
        <v>20508</v>
      </c>
      <c r="B1368" s="145" t="str">
        <f>VLOOKUP(A1368,Insumos!$A$10:$F$3462,2,FALSE)</f>
        <v>CIMENTO PORTLAND CP III - 40</v>
      </c>
      <c r="C1368" s="146" t="str">
        <f>VLOOKUP(A1368,Insumos!$A$10:$F$3462,3,FALSE)</f>
        <v>KG</v>
      </c>
      <c r="D1368" s="147">
        <v>2.5619999999999998</v>
      </c>
      <c r="E1368" s="329">
        <f>VLOOKUP(A1368,Insumos!$A$10:$F$3462,4,FALSE)</f>
        <v>0.46</v>
      </c>
      <c r="F1368" s="329">
        <f>ROUND((D1368*E1368),2)</f>
        <v>1.18</v>
      </c>
      <c r="G1368" s="355"/>
      <c r="H1368" s="220"/>
      <c r="O1368" s="220"/>
    </row>
    <row r="1369" spans="1:15" s="159" customFormat="1" x14ac:dyDescent="0.25">
      <c r="A1369" s="376" t="s">
        <v>4399</v>
      </c>
      <c r="B1369" s="230" t="str">
        <f>VLOOKUP(A1369,Insumos!$A$10:$F$3462,2,FALSE)</f>
        <v>Peitoril/chapim granito branco siena, polido, l = 22cm, e = 2cm</v>
      </c>
      <c r="C1369" s="231" t="str">
        <f>VLOOKUP(A1369,Insumos!$A$10:$F$3462,3,FALSE)</f>
        <v>m</v>
      </c>
      <c r="D1369" s="147">
        <v>1</v>
      </c>
      <c r="E1369" s="329">
        <f>VLOOKUP(A1369,Insumos!$A$10:$F$3462,4,FALSE)</f>
        <v>108.39</v>
      </c>
      <c r="F1369" s="329">
        <f>ROUND((D1369*E1369),2)</f>
        <v>108.39</v>
      </c>
      <c r="G1369" s="355"/>
      <c r="O1369" s="220"/>
    </row>
    <row r="1370" spans="1:15" s="159" customFormat="1" x14ac:dyDescent="0.25">
      <c r="A1370" s="376"/>
      <c r="B1370" s="99"/>
      <c r="C1370" s="146"/>
      <c r="D1370" s="111"/>
      <c r="E1370" s="329"/>
      <c r="F1370" s="329"/>
      <c r="G1370" s="355"/>
      <c r="O1370" s="220"/>
    </row>
    <row r="1371" spans="1:15" s="159" customFormat="1" x14ac:dyDescent="0.25">
      <c r="A1371" s="376"/>
      <c r="B1371" s="101" t="s">
        <v>148</v>
      </c>
      <c r="C1371" s="102"/>
      <c r="D1371" s="112"/>
      <c r="E1371" s="353"/>
      <c r="F1371" s="353"/>
      <c r="G1371" s="338">
        <f>+SUM(F1366:F1370)</f>
        <v>111.33</v>
      </c>
      <c r="O1371" s="220"/>
    </row>
    <row r="1372" spans="1:15" s="159" customFormat="1" x14ac:dyDescent="0.25">
      <c r="A1372" s="376"/>
      <c r="B1372" s="99" t="s">
        <v>149</v>
      </c>
      <c r="C1372" s="106"/>
      <c r="D1372" s="114"/>
      <c r="E1372" s="106"/>
      <c r="F1372" s="106"/>
      <c r="G1372" s="109" t="s">
        <v>150</v>
      </c>
      <c r="O1372" s="220"/>
    </row>
    <row r="1373" spans="1:15" s="159" customFormat="1" x14ac:dyDescent="0.25">
      <c r="A1373" s="376"/>
      <c r="B1373" s="99" t="s">
        <v>98</v>
      </c>
      <c r="C1373" s="146"/>
      <c r="D1373" s="110"/>
      <c r="E1373" s="146"/>
      <c r="F1373" s="146"/>
      <c r="G1373" s="148"/>
      <c r="O1373" s="220"/>
    </row>
    <row r="1374" spans="1:15" s="159" customFormat="1" x14ac:dyDescent="0.25">
      <c r="A1374" s="376"/>
      <c r="B1374" s="99" t="s">
        <v>98</v>
      </c>
      <c r="C1374" s="146"/>
      <c r="D1374" s="110"/>
      <c r="E1374" s="146"/>
      <c r="F1374" s="146"/>
      <c r="G1374" s="148"/>
      <c r="O1374" s="220"/>
    </row>
    <row r="1375" spans="1:15" s="159" customFormat="1" ht="15.75" thickBot="1" x14ac:dyDescent="0.3">
      <c r="A1375" s="376"/>
      <c r="B1375" s="115" t="s">
        <v>151</v>
      </c>
      <c r="C1375" s="116"/>
      <c r="D1375" s="117"/>
      <c r="E1375" s="116"/>
      <c r="F1375" s="116"/>
      <c r="G1375" s="118">
        <f>+SUM(F1373:F1374)</f>
        <v>0</v>
      </c>
      <c r="O1375" s="220"/>
    </row>
    <row r="1376" spans="1:15" s="159" customFormat="1" ht="15.75" thickBot="1" x14ac:dyDescent="0.3">
      <c r="A1376" s="376"/>
      <c r="B1376" s="1382"/>
      <c r="C1376" s="1382"/>
      <c r="D1376" s="1382"/>
      <c r="E1376" s="1382"/>
      <c r="F1376" s="1382"/>
      <c r="G1376" s="1382"/>
      <c r="O1376" s="220"/>
    </row>
    <row r="1377" spans="1:15" s="159" customFormat="1" ht="15.75" thickBot="1" x14ac:dyDescent="0.3">
      <c r="A1377" s="376"/>
      <c r="B1377" s="69" t="s">
        <v>152</v>
      </c>
      <c r="C1377" s="70" t="s">
        <v>4415</v>
      </c>
      <c r="D1377" s="71" t="s">
        <v>154</v>
      </c>
      <c r="E1377" s="1381" t="s">
        <v>155</v>
      </c>
      <c r="F1377" s="1381"/>
      <c r="G1377" s="1381"/>
      <c r="O1377" s="220"/>
    </row>
    <row r="1378" spans="1:15" s="159" customFormat="1" ht="15.75" thickBot="1" x14ac:dyDescent="0.3">
      <c r="A1378" s="376"/>
      <c r="B1378" s="72" t="s">
        <v>156</v>
      </c>
      <c r="C1378" s="73"/>
      <c r="D1378" s="332">
        <f>G1364</f>
        <v>11.21</v>
      </c>
      <c r="E1378" s="1381"/>
      <c r="F1378" s="1381"/>
      <c r="G1378" s="1381"/>
      <c r="O1378" s="220"/>
    </row>
    <row r="1379" spans="1:15" s="159" customFormat="1" ht="15.75" thickBot="1" x14ac:dyDescent="0.3">
      <c r="A1379" s="376"/>
      <c r="B1379" s="72" t="s">
        <v>157</v>
      </c>
      <c r="C1379" s="73"/>
      <c r="D1379" s="332">
        <f>G1371</f>
        <v>111.33</v>
      </c>
      <c r="E1379" s="1381"/>
      <c r="F1379" s="1381"/>
      <c r="G1379" s="1381"/>
      <c r="O1379" s="220"/>
    </row>
    <row r="1380" spans="1:15" s="159" customFormat="1" ht="15.75" thickBot="1" x14ac:dyDescent="0.3">
      <c r="A1380" s="376"/>
      <c r="B1380" s="72" t="s">
        <v>158</v>
      </c>
      <c r="C1380" s="73"/>
      <c r="D1380" s="332">
        <f>G1375</f>
        <v>0</v>
      </c>
      <c r="E1380" s="1381"/>
      <c r="F1380" s="1381"/>
      <c r="G1380" s="1381"/>
      <c r="O1380" s="220"/>
    </row>
    <row r="1381" spans="1:15" s="159" customFormat="1" ht="15.75" thickBot="1" x14ac:dyDescent="0.3">
      <c r="A1381" s="376"/>
      <c r="B1381" s="72" t="s">
        <v>159</v>
      </c>
      <c r="C1381" s="74">
        <f>$J$5</f>
        <v>157.27000000000001</v>
      </c>
      <c r="D1381" s="332">
        <f>+ROUND((D1378*C1381),2)/100</f>
        <v>17.63</v>
      </c>
      <c r="E1381" s="1381"/>
      <c r="F1381" s="1381"/>
      <c r="G1381" s="1381"/>
      <c r="O1381" s="220"/>
    </row>
    <row r="1382" spans="1:15" s="159" customFormat="1" ht="15.75" thickBot="1" x14ac:dyDescent="0.3">
      <c r="A1382" s="376"/>
      <c r="B1382" s="72" t="s">
        <v>160</v>
      </c>
      <c r="C1382" s="75"/>
      <c r="D1382" s="333">
        <f>+SUM(D1378:D1381)</f>
        <v>140.16999999999999</v>
      </c>
      <c r="E1382" s="1381"/>
      <c r="F1382" s="1381"/>
      <c r="G1382" s="1381"/>
      <c r="O1382" s="220"/>
    </row>
    <row r="1383" spans="1:15" s="159" customFormat="1" ht="15.75" thickBot="1" x14ac:dyDescent="0.3">
      <c r="A1383" s="376"/>
      <c r="B1383" s="72" t="s">
        <v>161</v>
      </c>
      <c r="C1383" s="73"/>
      <c r="D1383" s="332" t="s">
        <v>162</v>
      </c>
      <c r="E1383" s="1382" t="s">
        <v>163</v>
      </c>
      <c r="F1383" s="1382"/>
      <c r="G1383" s="1382"/>
      <c r="O1383" s="220"/>
    </row>
    <row r="1384" spans="1:15" s="159" customFormat="1" ht="15.75" thickBot="1" x14ac:dyDescent="0.3">
      <c r="A1384" s="376"/>
      <c r="B1384" s="122" t="s">
        <v>164</v>
      </c>
      <c r="C1384" s="123"/>
      <c r="D1384" s="334">
        <f>+SUM(D1382:D1383)</f>
        <v>140.16999999999999</v>
      </c>
      <c r="E1384" s="1382"/>
      <c r="F1384" s="1382"/>
      <c r="G1384" s="1382"/>
      <c r="O1384" s="220"/>
    </row>
    <row r="1385" spans="1:15" s="159" customFormat="1" ht="15.75" thickBot="1" x14ac:dyDescent="0.3">
      <c r="A1385" s="376"/>
      <c r="B1385" s="124" t="s">
        <v>165</v>
      </c>
      <c r="C1385" s="125">
        <f>$I$5</f>
        <v>28.49</v>
      </c>
      <c r="D1385" s="335">
        <f>ROUND((D1384*C1385),2)/100</f>
        <v>39.93</v>
      </c>
      <c r="E1385" s="1382"/>
      <c r="F1385" s="1382"/>
      <c r="G1385" s="1382"/>
      <c r="O1385" s="220"/>
    </row>
    <row r="1386" spans="1:15" s="159" customFormat="1" ht="15.75" thickBot="1" x14ac:dyDescent="0.3">
      <c r="A1386" s="376"/>
      <c r="B1386" s="80" t="s">
        <v>166</v>
      </c>
      <c r="C1386" s="127"/>
      <c r="D1386" s="336">
        <f>+SUM(D1384:D1385)</f>
        <v>180.1</v>
      </c>
      <c r="E1386" s="128"/>
      <c r="F1386" s="337">
        <f>D1386</f>
        <v>180.1</v>
      </c>
      <c r="G1386" s="131"/>
      <c r="O1386" s="220"/>
    </row>
    <row r="1387" spans="1:15" s="159" customFormat="1" x14ac:dyDescent="0.25">
      <c r="A1387" s="382"/>
      <c r="O1387" s="220"/>
    </row>
    <row r="1388" spans="1:15" ht="15.75" thickBot="1" x14ac:dyDescent="0.3">
      <c r="H1388" s="129"/>
      <c r="O1388" s="220"/>
    </row>
    <row r="1389" spans="1:15" x14ac:dyDescent="0.25">
      <c r="A1389" s="376"/>
      <c r="B1389" s="1383" t="s">
        <v>131</v>
      </c>
      <c r="C1389" s="1383"/>
      <c r="D1389" s="1383"/>
      <c r="E1389" s="1383"/>
      <c r="F1389" s="1383"/>
      <c r="G1389" s="1383"/>
      <c r="H1389" s="129"/>
      <c r="I1389" s="33"/>
      <c r="J1389" s="33"/>
      <c r="K1389" s="33"/>
      <c r="O1389" s="220"/>
    </row>
    <row r="1390" spans="1:15" ht="15.75" thickBot="1" x14ac:dyDescent="0.3">
      <c r="A1390" s="376"/>
      <c r="B1390" s="1384" t="str">
        <f>$I$3</f>
        <v>Urbanização da Orla de Piúma - Município de Piúma / ES</v>
      </c>
      <c r="C1390" s="1385"/>
      <c r="D1390" s="1385"/>
      <c r="E1390" s="1385"/>
      <c r="F1390" s="1385"/>
      <c r="G1390" s="1386"/>
      <c r="H1390" s="129"/>
      <c r="I1390" s="33"/>
      <c r="J1390" s="33"/>
      <c r="K1390" s="33"/>
      <c r="O1390" s="220"/>
    </row>
    <row r="1391" spans="1:15" ht="15.75" thickBot="1" x14ac:dyDescent="0.3">
      <c r="A1391" s="376"/>
      <c r="B1391" s="34" t="s">
        <v>132</v>
      </c>
      <c r="C1391" s="34" t="s">
        <v>133</v>
      </c>
      <c r="D1391" s="1381" t="s">
        <v>134</v>
      </c>
      <c r="E1391" s="1381"/>
      <c r="F1391" s="131" t="s">
        <v>275</v>
      </c>
      <c r="G1391" s="35" t="s">
        <v>135</v>
      </c>
      <c r="H1391" s="129"/>
      <c r="I1391" s="31"/>
      <c r="J1391" s="31"/>
      <c r="K1391" s="33"/>
      <c r="O1391" s="220"/>
    </row>
    <row r="1392" spans="1:15" ht="15.75" thickBot="1" x14ac:dyDescent="0.3">
      <c r="A1392" s="376"/>
      <c r="B1392" s="132" t="s">
        <v>223</v>
      </c>
      <c r="C1392" s="92" t="s">
        <v>98</v>
      </c>
      <c r="D1392" s="1381" t="s">
        <v>8</v>
      </c>
      <c r="E1392" s="1381"/>
      <c r="F1392" s="144" t="s">
        <v>239</v>
      </c>
      <c r="G1392" s="38">
        <f>$K$5</f>
        <v>44501</v>
      </c>
      <c r="H1392" s="129"/>
      <c r="I1392" s="33"/>
      <c r="J1392" s="33"/>
      <c r="K1392" s="33"/>
      <c r="O1392" s="220"/>
    </row>
    <row r="1393" spans="1:15" ht="6" customHeight="1" thickBot="1" x14ac:dyDescent="0.3">
      <c r="A1393" s="376"/>
      <c r="B1393" s="1382"/>
      <c r="C1393" s="1382"/>
      <c r="D1393" s="1382"/>
      <c r="E1393" s="1382"/>
      <c r="F1393" s="1382"/>
      <c r="G1393" s="1382"/>
      <c r="H1393" s="129"/>
      <c r="I1393" s="33"/>
      <c r="J1393" s="33"/>
      <c r="K1393" s="33"/>
      <c r="O1393" s="220"/>
    </row>
    <row r="1394" spans="1:15" ht="14.25" customHeight="1" x14ac:dyDescent="0.25">
      <c r="A1394" s="376"/>
      <c r="B1394" s="41" t="s">
        <v>139</v>
      </c>
      <c r="C1394" s="42" t="s">
        <v>140</v>
      </c>
      <c r="D1394" s="42" t="s">
        <v>141</v>
      </c>
      <c r="E1394" s="42" t="s">
        <v>142</v>
      </c>
      <c r="F1394" s="42" t="s">
        <v>143</v>
      </c>
      <c r="G1394" s="43" t="s">
        <v>144</v>
      </c>
      <c r="H1394" s="129"/>
      <c r="I1394" s="33"/>
      <c r="J1394" s="33"/>
      <c r="K1394" s="33"/>
      <c r="O1394" s="220"/>
    </row>
    <row r="1395" spans="1:15" ht="14.25" customHeight="1" x14ac:dyDescent="0.25">
      <c r="A1395" s="376">
        <v>10139</v>
      </c>
      <c r="B1395" s="44" t="str">
        <f>VLOOKUP(A1395,Insumos!$A$10:$F$3462,2,FALSE)</f>
        <v>PEDREIRO - (OFICIAL - SINDUSCON)</v>
      </c>
      <c r="C1395" s="45" t="str">
        <f>VLOOKUP(A1395,Insumos!$A$10:$F$3462,3,FALSE)</f>
        <v>H</v>
      </c>
      <c r="D1395" s="46">
        <v>0.2</v>
      </c>
      <c r="E1395" s="329">
        <f>VLOOKUP(A1395,Insumos!$A$10:$F$3462,4,FALSE)</f>
        <v>7.43</v>
      </c>
      <c r="F1395" s="329">
        <f>ROUND((D1395*E1395),2)</f>
        <v>1.49</v>
      </c>
      <c r="G1395" s="355"/>
      <c r="H1395" s="129"/>
      <c r="I1395" s="33"/>
      <c r="J1395" s="33"/>
      <c r="K1395" s="33"/>
      <c r="O1395" s="220"/>
    </row>
    <row r="1396" spans="1:15" ht="14.25" customHeight="1" x14ac:dyDescent="0.25">
      <c r="A1396" s="376">
        <v>10101</v>
      </c>
      <c r="B1396" s="44" t="str">
        <f>VLOOKUP(A1396,Insumos!$A$10:$F$3462,2,FALSE)</f>
        <v>AJUDANTE (AJUDANTE PRATICO - SINDUSCON)</v>
      </c>
      <c r="C1396" s="45" t="str">
        <f>VLOOKUP(A1396,Insumos!$A$10:$F$3462,3,FALSE)</f>
        <v>H</v>
      </c>
      <c r="D1396" s="46">
        <v>0.2</v>
      </c>
      <c r="E1396" s="329">
        <f>VLOOKUP(A1396,Insumos!$A$10:$F$3462,4,FALSE)</f>
        <v>6.27</v>
      </c>
      <c r="F1396" s="329">
        <f>ROUND((D1396*E1396),2)</f>
        <v>1.25</v>
      </c>
      <c r="G1396" s="355"/>
      <c r="H1396" s="129"/>
      <c r="I1396" s="33"/>
      <c r="J1396" s="33"/>
      <c r="K1396" s="33"/>
      <c r="O1396" s="220"/>
    </row>
    <row r="1397" spans="1:15" ht="14.25" customHeight="1" x14ac:dyDescent="0.25">
      <c r="A1397" s="376"/>
      <c r="B1397" s="48"/>
      <c r="C1397" s="45"/>
      <c r="D1397" s="49"/>
      <c r="E1397" s="329"/>
      <c r="F1397" s="329"/>
      <c r="G1397" s="355"/>
      <c r="H1397" s="129"/>
      <c r="I1397" s="33"/>
      <c r="J1397" s="33"/>
      <c r="K1397" s="33"/>
      <c r="O1397" s="220"/>
    </row>
    <row r="1398" spans="1:15" ht="14.25" customHeight="1" x14ac:dyDescent="0.25">
      <c r="A1398" s="376"/>
      <c r="B1398" s="50" t="s">
        <v>145</v>
      </c>
      <c r="C1398" s="51"/>
      <c r="D1398" s="52"/>
      <c r="E1398" s="329"/>
      <c r="F1398" s="353"/>
      <c r="G1398" s="338">
        <f>+SUM(F1395:F1397)</f>
        <v>2.74</v>
      </c>
      <c r="H1398" s="129"/>
      <c r="I1398" s="33"/>
      <c r="J1398" s="33"/>
      <c r="K1398" s="33"/>
      <c r="O1398" s="220"/>
    </row>
    <row r="1399" spans="1:15" ht="14.25" customHeight="1" x14ac:dyDescent="0.25">
      <c r="A1399" s="376"/>
      <c r="B1399" s="48" t="s">
        <v>146</v>
      </c>
      <c r="C1399" s="55"/>
      <c r="D1399" s="56"/>
      <c r="E1399" s="45"/>
      <c r="F1399" s="57"/>
      <c r="G1399" s="58" t="s">
        <v>147</v>
      </c>
      <c r="H1399" s="129"/>
      <c r="I1399" s="33"/>
      <c r="J1399" s="33"/>
      <c r="K1399" s="33"/>
      <c r="O1399" s="220"/>
    </row>
    <row r="1400" spans="1:15" ht="20.25" customHeight="1" x14ac:dyDescent="0.25">
      <c r="A1400" s="379">
        <v>11708</v>
      </c>
      <c r="B1400" s="145" t="str">
        <f>VLOOKUP(A1400,Insumos!$A$10:$F$3462,2,FALSE)</f>
        <v>RALO SEMI-ESFERICO FOFO TP ABACAXI D = 100MM P/ LAJES, CALHAS ETC</v>
      </c>
      <c r="C1400" s="146" t="str">
        <f>VLOOKUP(A1400,Insumos!$A$10:$F$3462,3,FALSE)</f>
        <v>Und.</v>
      </c>
      <c r="D1400" s="46">
        <v>1</v>
      </c>
      <c r="E1400" s="329">
        <f>VLOOKUP(A1400,Insumos!$A$10:$F$3462,4,FALSE)</f>
        <v>25.58</v>
      </c>
      <c r="F1400" s="329">
        <f>ROUND((D1400*E1400),2)</f>
        <v>25.58</v>
      </c>
      <c r="G1400" s="355"/>
      <c r="H1400" s="129"/>
      <c r="I1400" s="33"/>
      <c r="J1400" s="33"/>
      <c r="K1400" s="33"/>
      <c r="O1400" s="220"/>
    </row>
    <row r="1401" spans="1:15" ht="14.25" customHeight="1" x14ac:dyDescent="0.25">
      <c r="A1401" s="376"/>
      <c r="B1401" s="48"/>
      <c r="C1401" s="45"/>
      <c r="D1401" s="61"/>
      <c r="E1401" s="329"/>
      <c r="F1401" s="329"/>
      <c r="G1401" s="355"/>
      <c r="H1401" s="129"/>
      <c r="I1401" s="33"/>
      <c r="J1401" s="33"/>
      <c r="K1401" s="33"/>
      <c r="O1401" s="220"/>
    </row>
    <row r="1402" spans="1:15" ht="14.25" customHeight="1" x14ac:dyDescent="0.25">
      <c r="A1402" s="376"/>
      <c r="B1402" s="50" t="s">
        <v>148</v>
      </c>
      <c r="C1402" s="51"/>
      <c r="D1402" s="62"/>
      <c r="E1402" s="353"/>
      <c r="F1402" s="353"/>
      <c r="G1402" s="338">
        <f>+SUM(F1400:F1401)</f>
        <v>25.58</v>
      </c>
      <c r="H1402" s="129"/>
      <c r="I1402" s="33"/>
      <c r="J1402" s="33"/>
      <c r="K1402" s="33"/>
      <c r="O1402" s="220"/>
    </row>
    <row r="1403" spans="1:15" ht="14.25" customHeight="1" x14ac:dyDescent="0.25">
      <c r="A1403" s="376"/>
      <c r="B1403" s="48" t="s">
        <v>149</v>
      </c>
      <c r="C1403" s="55"/>
      <c r="D1403" s="64"/>
      <c r="E1403" s="55"/>
      <c r="F1403" s="55"/>
      <c r="G1403" s="58" t="s">
        <v>150</v>
      </c>
      <c r="H1403" s="129"/>
      <c r="I1403" s="33"/>
      <c r="J1403" s="33"/>
      <c r="K1403" s="33"/>
      <c r="O1403" s="220"/>
    </row>
    <row r="1404" spans="1:15" ht="14.25" customHeight="1" x14ac:dyDescent="0.25">
      <c r="A1404" s="376"/>
      <c r="B1404" s="48" t="s">
        <v>98</v>
      </c>
      <c r="C1404" s="45"/>
      <c r="D1404" s="59"/>
      <c r="E1404" s="45"/>
      <c r="F1404" s="45"/>
      <c r="G1404" s="47"/>
      <c r="H1404" s="129"/>
      <c r="I1404" s="33"/>
      <c r="J1404" s="33"/>
      <c r="K1404" s="33"/>
      <c r="O1404" s="220"/>
    </row>
    <row r="1405" spans="1:15" ht="14.25" customHeight="1" x14ac:dyDescent="0.25">
      <c r="A1405" s="376"/>
      <c r="B1405" s="48" t="s">
        <v>98</v>
      </c>
      <c r="C1405" s="45"/>
      <c r="D1405" s="59"/>
      <c r="E1405" s="45"/>
      <c r="F1405" s="45"/>
      <c r="G1405" s="47"/>
      <c r="H1405" s="129"/>
      <c r="I1405" s="33"/>
      <c r="J1405" s="33"/>
      <c r="K1405" s="33"/>
      <c r="O1405" s="220"/>
    </row>
    <row r="1406" spans="1:15" ht="14.25" customHeight="1" thickBot="1" x14ac:dyDescent="0.3">
      <c r="A1406" s="376"/>
      <c r="B1406" s="65" t="s">
        <v>151</v>
      </c>
      <c r="C1406" s="66"/>
      <c r="D1406" s="67"/>
      <c r="E1406" s="66"/>
      <c r="F1406" s="66"/>
      <c r="G1406" s="68">
        <f>+SUM(F1404:F1405)</f>
        <v>0</v>
      </c>
      <c r="H1406" s="129"/>
      <c r="I1406" s="33"/>
      <c r="J1406" s="33"/>
      <c r="K1406" s="33"/>
      <c r="O1406" s="220"/>
    </row>
    <row r="1407" spans="1:15" ht="4.5" customHeight="1" thickBot="1" x14ac:dyDescent="0.3">
      <c r="A1407" s="376"/>
      <c r="B1407" s="1382"/>
      <c r="C1407" s="1382"/>
      <c r="D1407" s="1382"/>
      <c r="E1407" s="1382"/>
      <c r="F1407" s="1382"/>
      <c r="G1407" s="1382"/>
      <c r="H1407" s="129"/>
      <c r="I1407" s="33"/>
      <c r="J1407" s="33"/>
      <c r="K1407" s="33"/>
      <c r="O1407" s="220"/>
    </row>
    <row r="1408" spans="1:15" ht="14.25" customHeight="1" thickBot="1" x14ac:dyDescent="0.3">
      <c r="A1408" s="376"/>
      <c r="B1408" s="69" t="s">
        <v>152</v>
      </c>
      <c r="C1408" s="70" t="s">
        <v>4415</v>
      </c>
      <c r="D1408" s="71" t="s">
        <v>154</v>
      </c>
      <c r="E1408" s="1381" t="s">
        <v>155</v>
      </c>
      <c r="F1408" s="1381"/>
      <c r="G1408" s="1381"/>
      <c r="H1408" s="129"/>
      <c r="I1408" s="33"/>
      <c r="J1408" s="33"/>
      <c r="K1408" s="33"/>
      <c r="O1408" s="220"/>
    </row>
    <row r="1409" spans="1:15" ht="14.25" customHeight="1" thickBot="1" x14ac:dyDescent="0.3">
      <c r="A1409" s="376"/>
      <c r="B1409" s="72" t="s">
        <v>156</v>
      </c>
      <c r="C1409" s="73"/>
      <c r="D1409" s="332">
        <f>G1398</f>
        <v>2.74</v>
      </c>
      <c r="E1409" s="1381"/>
      <c r="F1409" s="1381"/>
      <c r="G1409" s="1381"/>
      <c r="H1409" s="129"/>
      <c r="I1409" s="33"/>
      <c r="J1409" s="33"/>
      <c r="K1409" s="33"/>
      <c r="O1409" s="220"/>
    </row>
    <row r="1410" spans="1:15" ht="14.25" customHeight="1" thickBot="1" x14ac:dyDescent="0.3">
      <c r="A1410" s="376"/>
      <c r="B1410" s="72" t="s">
        <v>157</v>
      </c>
      <c r="C1410" s="73"/>
      <c r="D1410" s="332">
        <f>G1402</f>
        <v>25.58</v>
      </c>
      <c r="E1410" s="1381"/>
      <c r="F1410" s="1381"/>
      <c r="G1410" s="1381"/>
      <c r="H1410" s="129"/>
      <c r="I1410" s="33"/>
      <c r="J1410" s="33"/>
      <c r="K1410" s="33"/>
      <c r="O1410" s="220"/>
    </row>
    <row r="1411" spans="1:15" ht="14.25" customHeight="1" thickBot="1" x14ac:dyDescent="0.3">
      <c r="A1411" s="376"/>
      <c r="B1411" s="72" t="s">
        <v>158</v>
      </c>
      <c r="C1411" s="73"/>
      <c r="D1411" s="332">
        <f>G1406</f>
        <v>0</v>
      </c>
      <c r="E1411" s="1381"/>
      <c r="F1411" s="1381"/>
      <c r="G1411" s="1381"/>
      <c r="H1411" s="129"/>
      <c r="I1411" s="33"/>
      <c r="J1411" s="33"/>
      <c r="K1411" s="33"/>
      <c r="O1411" s="220"/>
    </row>
    <row r="1412" spans="1:15" ht="14.25" customHeight="1" thickBot="1" x14ac:dyDescent="0.3">
      <c r="A1412" s="376"/>
      <c r="B1412" s="72" t="s">
        <v>159</v>
      </c>
      <c r="C1412" s="74">
        <f>$J$5</f>
        <v>157.27000000000001</v>
      </c>
      <c r="D1412" s="332">
        <f>+ROUND((D1409*C1412),2)/100</f>
        <v>4.3099999999999996</v>
      </c>
      <c r="E1412" s="1381"/>
      <c r="F1412" s="1381"/>
      <c r="G1412" s="1381"/>
      <c r="H1412" s="129"/>
      <c r="I1412" s="33"/>
      <c r="J1412" s="33"/>
      <c r="K1412" s="33"/>
      <c r="O1412" s="220"/>
    </row>
    <row r="1413" spans="1:15" ht="14.25" customHeight="1" thickBot="1" x14ac:dyDescent="0.3">
      <c r="A1413" s="376"/>
      <c r="B1413" s="72" t="s">
        <v>160</v>
      </c>
      <c r="C1413" s="75"/>
      <c r="D1413" s="333">
        <f>+SUM(D1409:D1412)</f>
        <v>32.630000000000003</v>
      </c>
      <c r="E1413" s="1381"/>
      <c r="F1413" s="1381"/>
      <c r="G1413" s="1381"/>
      <c r="H1413" s="129"/>
      <c r="I1413" s="33"/>
      <c r="J1413" s="33"/>
      <c r="K1413" s="33"/>
      <c r="O1413" s="220"/>
    </row>
    <row r="1414" spans="1:15" ht="14.25" customHeight="1" thickBot="1" x14ac:dyDescent="0.3">
      <c r="A1414" s="376"/>
      <c r="B1414" s="72" t="s">
        <v>161</v>
      </c>
      <c r="C1414" s="73"/>
      <c r="D1414" s="332" t="s">
        <v>162</v>
      </c>
      <c r="E1414" s="1382" t="s">
        <v>163</v>
      </c>
      <c r="F1414" s="1382"/>
      <c r="G1414" s="1382"/>
      <c r="H1414" s="129"/>
      <c r="I1414" s="33"/>
      <c r="J1414" s="33"/>
      <c r="K1414" s="33"/>
      <c r="O1414" s="220"/>
    </row>
    <row r="1415" spans="1:15" ht="14.25" customHeight="1" thickBot="1" x14ac:dyDescent="0.3">
      <c r="A1415" s="376"/>
      <c r="B1415" s="76" t="s">
        <v>164</v>
      </c>
      <c r="C1415" s="77"/>
      <c r="D1415" s="334">
        <f>+SUM(D1413:D1414)</f>
        <v>32.630000000000003</v>
      </c>
      <c r="E1415" s="1382"/>
      <c r="F1415" s="1382"/>
      <c r="G1415" s="1382"/>
      <c r="H1415" s="129"/>
      <c r="I1415" s="33"/>
      <c r="J1415" s="33"/>
      <c r="K1415" s="33"/>
      <c r="O1415" s="220"/>
    </row>
    <row r="1416" spans="1:15" ht="14.25" customHeight="1" thickBot="1" x14ac:dyDescent="0.3">
      <c r="A1416" s="376"/>
      <c r="B1416" s="78" t="s">
        <v>165</v>
      </c>
      <c r="C1416" s="79">
        <f>$I$5</f>
        <v>28.49</v>
      </c>
      <c r="D1416" s="335">
        <f>ROUND((D1415*C1416),2)/100</f>
        <v>9.3000000000000007</v>
      </c>
      <c r="E1416" s="1382"/>
      <c r="F1416" s="1382"/>
      <c r="G1416" s="1382"/>
      <c r="H1416" s="129"/>
      <c r="I1416" s="33"/>
      <c r="J1416" s="33"/>
      <c r="K1416" s="33"/>
      <c r="O1416" s="220"/>
    </row>
    <row r="1417" spans="1:15" ht="14.25" customHeight="1" thickBot="1" x14ac:dyDescent="0.3">
      <c r="A1417" s="376"/>
      <c r="B1417" s="80" t="s">
        <v>166</v>
      </c>
      <c r="C1417" s="81"/>
      <c r="D1417" s="336">
        <f>+SUM(D1415:D1416)</f>
        <v>41.93</v>
      </c>
      <c r="E1417" s="82"/>
      <c r="F1417" s="337">
        <f>D1417</f>
        <v>41.93</v>
      </c>
      <c r="G1417" s="35"/>
      <c r="H1417" s="129"/>
      <c r="I1417" s="33"/>
      <c r="J1417" s="33"/>
      <c r="K1417" s="33"/>
      <c r="O1417" s="220"/>
    </row>
    <row r="1418" spans="1:15" x14ac:dyDescent="0.25">
      <c r="H1418" s="129"/>
      <c r="O1418" s="220"/>
    </row>
    <row r="1419" spans="1:15" s="159" customFormat="1" ht="15.75" thickBot="1" x14ac:dyDescent="0.3">
      <c r="A1419" s="382"/>
      <c r="O1419" s="220"/>
    </row>
    <row r="1420" spans="1:15" s="159" customFormat="1" ht="14.25" customHeight="1" x14ac:dyDescent="0.25">
      <c r="A1420" s="376"/>
      <c r="B1420" s="1383" t="s">
        <v>131</v>
      </c>
      <c r="C1420" s="1383"/>
      <c r="D1420" s="1383"/>
      <c r="E1420" s="1383"/>
      <c r="F1420" s="1383"/>
      <c r="G1420" s="1383"/>
      <c r="I1420" s="143"/>
      <c r="J1420" s="143"/>
      <c r="K1420" s="143"/>
      <c r="O1420" s="220"/>
    </row>
    <row r="1421" spans="1:15" s="159" customFormat="1" ht="14.25" customHeight="1" thickBot="1" x14ac:dyDescent="0.3">
      <c r="A1421" s="376"/>
      <c r="B1421" s="1384" t="str">
        <f>$I$3</f>
        <v>Urbanização da Orla de Piúma - Município de Piúma / ES</v>
      </c>
      <c r="C1421" s="1385"/>
      <c r="D1421" s="1385"/>
      <c r="E1421" s="1385"/>
      <c r="F1421" s="1385"/>
      <c r="G1421" s="1386"/>
      <c r="I1421" s="143"/>
      <c r="J1421" s="143"/>
      <c r="K1421" s="143"/>
      <c r="O1421" s="220"/>
    </row>
    <row r="1422" spans="1:15" s="159" customFormat="1" ht="14.25" customHeight="1" thickBot="1" x14ac:dyDescent="0.3">
      <c r="A1422" s="376"/>
      <c r="B1422" s="90" t="s">
        <v>132</v>
      </c>
      <c r="C1422" s="90" t="s">
        <v>133</v>
      </c>
      <c r="D1422" s="1381" t="s">
        <v>134</v>
      </c>
      <c r="E1422" s="1381"/>
      <c r="F1422" s="131" t="s">
        <v>275</v>
      </c>
      <c r="G1422" s="131" t="s">
        <v>135</v>
      </c>
      <c r="I1422" s="143"/>
      <c r="J1422" s="143"/>
      <c r="K1422" s="143"/>
      <c r="O1422" s="220"/>
    </row>
    <row r="1423" spans="1:15" s="159" customFormat="1" ht="27" thickBot="1" x14ac:dyDescent="0.3">
      <c r="A1423" s="376"/>
      <c r="B1423" s="132" t="s">
        <v>355</v>
      </c>
      <c r="C1423" s="92" t="s">
        <v>98</v>
      </c>
      <c r="D1423" s="1381" t="s">
        <v>7</v>
      </c>
      <c r="E1423" s="1381"/>
      <c r="F1423" s="144" t="s">
        <v>240</v>
      </c>
      <c r="G1423" s="38">
        <f>$K$5</f>
        <v>44501</v>
      </c>
      <c r="I1423" s="143"/>
      <c r="J1423" s="143"/>
      <c r="K1423" s="143"/>
      <c r="O1423" s="220"/>
    </row>
    <row r="1424" spans="1:15" s="159" customFormat="1" ht="14.25" customHeight="1" thickBot="1" x14ac:dyDescent="0.3">
      <c r="A1424" s="376"/>
      <c r="B1424" s="1382"/>
      <c r="C1424" s="1382"/>
      <c r="D1424" s="1382"/>
      <c r="E1424" s="1382"/>
      <c r="F1424" s="1382"/>
      <c r="G1424" s="1382"/>
      <c r="I1424" s="143"/>
      <c r="J1424" s="143"/>
      <c r="K1424" s="143"/>
      <c r="O1424" s="220"/>
    </row>
    <row r="1425" spans="1:15" s="159" customFormat="1" ht="14.25" customHeight="1" x14ac:dyDescent="0.25">
      <c r="A1425" s="376"/>
      <c r="B1425" s="93" t="s">
        <v>139</v>
      </c>
      <c r="C1425" s="94" t="s">
        <v>140</v>
      </c>
      <c r="D1425" s="94" t="s">
        <v>141</v>
      </c>
      <c r="E1425" s="94" t="s">
        <v>142</v>
      </c>
      <c r="F1425" s="94" t="s">
        <v>143</v>
      </c>
      <c r="G1425" s="95" t="s">
        <v>144</v>
      </c>
      <c r="I1425" s="143"/>
      <c r="J1425" s="143"/>
      <c r="K1425" s="143"/>
      <c r="O1425" s="220"/>
    </row>
    <row r="1426" spans="1:15" s="159" customFormat="1" ht="14.25" customHeight="1" x14ac:dyDescent="0.25">
      <c r="A1426" s="376">
        <v>10115</v>
      </c>
      <c r="B1426" s="230" t="str">
        <f>VLOOKUP(A1426,Insumos!$A$10:$F$3462,2,FALSE)</f>
        <v>ELETRICISTA (OFICIAL - SINDUSCON)</v>
      </c>
      <c r="C1426" s="231" t="str">
        <f>VLOOKUP(A1426,Insumos!$A$10:$F$3462,3,FALSE)</f>
        <v>H</v>
      </c>
      <c r="D1426" s="218">
        <v>1.6</v>
      </c>
      <c r="E1426" s="329">
        <f>VLOOKUP(A1426,Insumos!$A$10:$F$3462,4,FALSE)</f>
        <v>7.43</v>
      </c>
      <c r="F1426" s="329">
        <f>ROUND((D1426*E1426),2)</f>
        <v>11.89</v>
      </c>
      <c r="G1426" s="355"/>
      <c r="I1426" s="143"/>
      <c r="J1426" s="143"/>
      <c r="K1426" s="143"/>
      <c r="O1426" s="220"/>
    </row>
    <row r="1427" spans="1:15" s="159" customFormat="1" ht="14.25" customHeight="1" x14ac:dyDescent="0.25">
      <c r="A1427" s="376">
        <v>10101</v>
      </c>
      <c r="B1427" s="230" t="str">
        <f>VLOOKUP(A1427,Insumos!$A$10:$F$3462,2,FALSE)</f>
        <v>AJUDANTE (AJUDANTE PRATICO - SINDUSCON)</v>
      </c>
      <c r="C1427" s="231" t="str">
        <f>VLOOKUP(A1427,Insumos!$A$10:$F$3462,3,FALSE)</f>
        <v>H</v>
      </c>
      <c r="D1427" s="218">
        <v>1.6</v>
      </c>
      <c r="E1427" s="329">
        <f>VLOOKUP(A1427,Insumos!$A$10:$F$3462,4,FALSE)</f>
        <v>6.27</v>
      </c>
      <c r="F1427" s="329">
        <f>ROUND((D1427*E1427),2)</f>
        <v>10.029999999999999</v>
      </c>
      <c r="G1427" s="355"/>
      <c r="I1427" s="143"/>
      <c r="J1427" s="143"/>
      <c r="K1427" s="143"/>
      <c r="O1427" s="220"/>
    </row>
    <row r="1428" spans="1:15" s="159" customFormat="1" ht="14.25" customHeight="1" x14ac:dyDescent="0.25">
      <c r="A1428" s="376"/>
      <c r="B1428" s="234"/>
      <c r="C1428" s="231"/>
      <c r="D1428" s="218"/>
      <c r="E1428" s="329"/>
      <c r="F1428" s="329"/>
      <c r="G1428" s="355"/>
      <c r="I1428" s="143"/>
      <c r="J1428" s="143"/>
      <c r="K1428" s="143"/>
      <c r="O1428" s="220"/>
    </row>
    <row r="1429" spans="1:15" s="159" customFormat="1" ht="14.25" customHeight="1" x14ac:dyDescent="0.25">
      <c r="A1429" s="376"/>
      <c r="B1429" s="236" t="s">
        <v>145</v>
      </c>
      <c r="C1429" s="237"/>
      <c r="D1429" s="242"/>
      <c r="E1429" s="329"/>
      <c r="F1429" s="353"/>
      <c r="G1429" s="338">
        <f>+SUM(F1426:F1428)</f>
        <v>21.92</v>
      </c>
      <c r="I1429" s="143"/>
      <c r="J1429" s="143"/>
      <c r="K1429" s="143"/>
      <c r="O1429" s="220"/>
    </row>
    <row r="1430" spans="1:15" s="159" customFormat="1" ht="14.25" customHeight="1" x14ac:dyDescent="0.25">
      <c r="A1430" s="376" t="s">
        <v>98</v>
      </c>
      <c r="B1430" s="234" t="s">
        <v>146</v>
      </c>
      <c r="C1430" s="241"/>
      <c r="D1430" s="218" t="s">
        <v>98</v>
      </c>
      <c r="E1430" s="231"/>
      <c r="F1430" s="243"/>
      <c r="G1430" s="244" t="s">
        <v>147</v>
      </c>
      <c r="I1430" s="143"/>
      <c r="J1430" s="143"/>
      <c r="K1430" s="143"/>
      <c r="O1430" s="220"/>
    </row>
    <row r="1431" spans="1:15" s="159" customFormat="1" x14ac:dyDescent="0.25">
      <c r="A1431" s="379">
        <v>3975</v>
      </c>
      <c r="B1431" s="230" t="str">
        <f>VLOOKUP(A1431,Insumos!$A$10:$F$3462,2,FALSE)</f>
        <v>Eletroduto em ferro galvanizado pesado sem costura 2" x 3m</v>
      </c>
      <c r="C1431" s="231" t="str">
        <f>VLOOKUP(A1431,Insumos!$A$10:$F$3462,3,FALSE)</f>
        <v>Und.</v>
      </c>
      <c r="D1431" s="218">
        <f>1.02/3</f>
        <v>0.34</v>
      </c>
      <c r="E1431" s="329">
        <f>VLOOKUP(A1431,Insumos!$A$10:$F$3462,4,FALSE)</f>
        <v>339.85</v>
      </c>
      <c r="F1431" s="329">
        <f>ROUND((D1431*E1431),2)</f>
        <v>115.55</v>
      </c>
      <c r="G1431" s="355"/>
      <c r="I1431" s="143"/>
      <c r="J1431" s="143"/>
      <c r="K1431" s="143"/>
      <c r="O1431" s="220"/>
    </row>
    <row r="1432" spans="1:15" s="159" customFormat="1" ht="29.25" customHeight="1" x14ac:dyDescent="0.25">
      <c r="A1432" s="379">
        <v>1806</v>
      </c>
      <c r="B1432" s="230" t="str">
        <f>VLOOKUP(A1432,Insumos!$A$10:$F$3462,2,FALSE)</f>
        <v xml:space="preserve"> CURVA 90 GRAUS DE FERRO GALVANIZADO, COM ROSCA BSP MACHO/FEMEA, DE 2"</v>
      </c>
      <c r="C1432" s="231" t="str">
        <f>VLOOKUP(A1432,Insumos!$A$10:$F$3462,3,FALSE)</f>
        <v>Und.</v>
      </c>
      <c r="D1432" s="218">
        <f>2/45.2</f>
        <v>4.4248000000000003E-2</v>
      </c>
      <c r="E1432" s="329">
        <f>VLOOKUP(A1432,Insumos!$A$10:$F$3462,4,FALSE)</f>
        <v>98.48</v>
      </c>
      <c r="F1432" s="329">
        <f>ROUND((D1432*E1432),2)</f>
        <v>4.3600000000000003</v>
      </c>
      <c r="G1432" s="355"/>
      <c r="I1432" s="143"/>
      <c r="J1432" s="143"/>
      <c r="K1432" s="143"/>
      <c r="O1432" s="220"/>
    </row>
    <row r="1433" spans="1:15" s="159" customFormat="1" ht="14.25" customHeight="1" x14ac:dyDescent="0.25">
      <c r="A1433" s="379">
        <v>3912</v>
      </c>
      <c r="B1433" s="230" t="str">
        <f>VLOOKUP(A1433,Insumos!$A$10:$F$3462,2,FALSE)</f>
        <v>LUVA DE FERRO GALVANIZADO, COM ROSCA BSP, DE 2"</v>
      </c>
      <c r="C1433" s="231" t="str">
        <f>VLOOKUP(A1433,Insumos!$A$10:$F$3462,3,FALSE)</f>
        <v>Und.</v>
      </c>
      <c r="D1433" s="218">
        <f>8/45.2</f>
        <v>0.17699100000000001</v>
      </c>
      <c r="E1433" s="329">
        <f>VLOOKUP(A1433,Insumos!$A$10:$F$3462,4,FALSE)</f>
        <v>27.73</v>
      </c>
      <c r="F1433" s="329">
        <f>ROUND((D1433*E1433),2)</f>
        <v>4.91</v>
      </c>
      <c r="G1433" s="355"/>
      <c r="I1433" s="143"/>
      <c r="J1433" s="143"/>
      <c r="K1433" s="143"/>
      <c r="O1433" s="220"/>
    </row>
    <row r="1434" spans="1:15" s="159" customFormat="1" ht="14.25" customHeight="1" x14ac:dyDescent="0.25">
      <c r="A1434" s="376"/>
      <c r="B1434" s="101" t="s">
        <v>148</v>
      </c>
      <c r="C1434" s="102"/>
      <c r="D1434" s="112"/>
      <c r="E1434" s="353"/>
      <c r="F1434" s="353"/>
      <c r="G1434" s="338">
        <f>+SUM(F1431:F1433)</f>
        <v>124.82</v>
      </c>
      <c r="I1434" s="143"/>
      <c r="J1434" s="143"/>
      <c r="K1434" s="143"/>
      <c r="O1434" s="220"/>
    </row>
    <row r="1435" spans="1:15" s="159" customFormat="1" ht="14.25" customHeight="1" x14ac:dyDescent="0.25">
      <c r="A1435" s="376"/>
      <c r="B1435" s="99" t="s">
        <v>149</v>
      </c>
      <c r="C1435" s="106"/>
      <c r="D1435" s="114"/>
      <c r="E1435" s="106"/>
      <c r="F1435" s="106"/>
      <c r="G1435" s="109" t="s">
        <v>150</v>
      </c>
      <c r="I1435" s="143"/>
      <c r="J1435" s="143"/>
      <c r="K1435" s="143"/>
      <c r="O1435" s="220"/>
    </row>
    <row r="1436" spans="1:15" s="159" customFormat="1" ht="14.25" customHeight="1" x14ac:dyDescent="0.25">
      <c r="A1436" s="376"/>
      <c r="B1436" s="99" t="s">
        <v>98</v>
      </c>
      <c r="C1436" s="146"/>
      <c r="D1436" s="110"/>
      <c r="E1436" s="146"/>
      <c r="F1436" s="146"/>
      <c r="G1436" s="148"/>
      <c r="I1436" s="143"/>
      <c r="J1436" s="143"/>
      <c r="K1436" s="143"/>
      <c r="O1436" s="220"/>
    </row>
    <row r="1437" spans="1:15" s="159" customFormat="1" ht="14.25" customHeight="1" x14ac:dyDescent="0.25">
      <c r="A1437" s="376"/>
      <c r="B1437" s="99" t="s">
        <v>98</v>
      </c>
      <c r="C1437" s="146"/>
      <c r="D1437" s="110"/>
      <c r="E1437" s="146"/>
      <c r="F1437" s="146"/>
      <c r="G1437" s="148"/>
      <c r="I1437" s="143"/>
      <c r="J1437" s="143"/>
      <c r="K1437" s="143"/>
      <c r="O1437" s="220"/>
    </row>
    <row r="1438" spans="1:15" s="159" customFormat="1" ht="14.25" customHeight="1" thickBot="1" x14ac:dyDescent="0.3">
      <c r="A1438" s="376"/>
      <c r="B1438" s="115" t="s">
        <v>151</v>
      </c>
      <c r="C1438" s="116"/>
      <c r="D1438" s="117"/>
      <c r="E1438" s="116"/>
      <c r="F1438" s="116"/>
      <c r="G1438" s="118">
        <f>+SUM(F1436:F1437)</f>
        <v>0</v>
      </c>
      <c r="I1438" s="143"/>
      <c r="J1438" s="143"/>
      <c r="K1438" s="143"/>
      <c r="O1438" s="220"/>
    </row>
    <row r="1439" spans="1:15" s="159" customFormat="1" ht="14.25" customHeight="1" thickBot="1" x14ac:dyDescent="0.3">
      <c r="A1439" s="376"/>
      <c r="B1439" s="1382"/>
      <c r="C1439" s="1382"/>
      <c r="D1439" s="1382"/>
      <c r="E1439" s="1382"/>
      <c r="F1439" s="1382"/>
      <c r="G1439" s="1382"/>
      <c r="I1439" s="143"/>
      <c r="J1439" s="143"/>
      <c r="K1439" s="143"/>
      <c r="O1439" s="220"/>
    </row>
    <row r="1440" spans="1:15" s="159" customFormat="1" ht="14.25" customHeight="1" thickBot="1" x14ac:dyDescent="0.3">
      <c r="A1440" s="376"/>
      <c r="B1440" s="69" t="s">
        <v>152</v>
      </c>
      <c r="C1440" s="70" t="s">
        <v>4415</v>
      </c>
      <c r="D1440" s="71" t="s">
        <v>154</v>
      </c>
      <c r="E1440" s="1381" t="s">
        <v>155</v>
      </c>
      <c r="F1440" s="1381"/>
      <c r="G1440" s="1381"/>
      <c r="I1440" s="143"/>
      <c r="J1440" s="143"/>
      <c r="K1440" s="143"/>
      <c r="O1440" s="220"/>
    </row>
    <row r="1441" spans="1:15" s="159" customFormat="1" ht="14.25" customHeight="1" thickBot="1" x14ac:dyDescent="0.3">
      <c r="A1441" s="376"/>
      <c r="B1441" s="72" t="s">
        <v>156</v>
      </c>
      <c r="C1441" s="73"/>
      <c r="D1441" s="332">
        <f>G1429</f>
        <v>21.92</v>
      </c>
      <c r="E1441" s="1381"/>
      <c r="F1441" s="1381"/>
      <c r="G1441" s="1381"/>
      <c r="I1441" s="143"/>
      <c r="J1441" s="143"/>
      <c r="K1441" s="143"/>
      <c r="O1441" s="220"/>
    </row>
    <row r="1442" spans="1:15" s="159" customFormat="1" ht="14.25" customHeight="1" thickBot="1" x14ac:dyDescent="0.3">
      <c r="A1442" s="376"/>
      <c r="B1442" s="72" t="s">
        <v>157</v>
      </c>
      <c r="C1442" s="73"/>
      <c r="D1442" s="332">
        <f>G1434</f>
        <v>124.82</v>
      </c>
      <c r="E1442" s="1381"/>
      <c r="F1442" s="1381"/>
      <c r="G1442" s="1381"/>
      <c r="I1442" s="143"/>
      <c r="J1442" s="143"/>
      <c r="K1442" s="143"/>
      <c r="O1442" s="220"/>
    </row>
    <row r="1443" spans="1:15" s="159" customFormat="1" ht="14.25" customHeight="1" thickBot="1" x14ac:dyDescent="0.3">
      <c r="A1443" s="376"/>
      <c r="B1443" s="72" t="s">
        <v>158</v>
      </c>
      <c r="C1443" s="73"/>
      <c r="D1443" s="332">
        <f>G1438</f>
        <v>0</v>
      </c>
      <c r="E1443" s="1381"/>
      <c r="F1443" s="1381"/>
      <c r="G1443" s="1381"/>
      <c r="I1443" s="143"/>
      <c r="J1443" s="143"/>
      <c r="K1443" s="143"/>
      <c r="O1443" s="220"/>
    </row>
    <row r="1444" spans="1:15" s="159" customFormat="1" ht="14.25" customHeight="1" thickBot="1" x14ac:dyDescent="0.3">
      <c r="A1444" s="376"/>
      <c r="B1444" s="72" t="s">
        <v>159</v>
      </c>
      <c r="C1444" s="74">
        <f>$J$5</f>
        <v>157.27000000000001</v>
      </c>
      <c r="D1444" s="332">
        <f>+ROUND((D1441*C1444),2)/100</f>
        <v>34.47</v>
      </c>
      <c r="E1444" s="1381"/>
      <c r="F1444" s="1381"/>
      <c r="G1444" s="1381"/>
      <c r="I1444" s="143"/>
      <c r="J1444" s="143"/>
      <c r="K1444" s="143"/>
      <c r="O1444" s="220"/>
    </row>
    <row r="1445" spans="1:15" s="159" customFormat="1" ht="14.25" customHeight="1" thickBot="1" x14ac:dyDescent="0.3">
      <c r="A1445" s="376"/>
      <c r="B1445" s="72" t="s">
        <v>160</v>
      </c>
      <c r="C1445" s="75"/>
      <c r="D1445" s="333">
        <f>+SUM(D1441:D1444)</f>
        <v>181.21</v>
      </c>
      <c r="E1445" s="1381"/>
      <c r="F1445" s="1381"/>
      <c r="G1445" s="1381"/>
      <c r="I1445" s="143"/>
      <c r="J1445" s="143"/>
      <c r="K1445" s="143"/>
      <c r="O1445" s="220"/>
    </row>
    <row r="1446" spans="1:15" s="159" customFormat="1" ht="14.25" customHeight="1" thickBot="1" x14ac:dyDescent="0.3">
      <c r="A1446" s="376"/>
      <c r="B1446" s="72" t="s">
        <v>161</v>
      </c>
      <c r="C1446" s="73"/>
      <c r="D1446" s="332" t="s">
        <v>162</v>
      </c>
      <c r="E1446" s="1382" t="s">
        <v>163</v>
      </c>
      <c r="F1446" s="1382"/>
      <c r="G1446" s="1382"/>
      <c r="I1446" s="143"/>
      <c r="J1446" s="143"/>
      <c r="K1446" s="143"/>
      <c r="O1446" s="220"/>
    </row>
    <row r="1447" spans="1:15" s="159" customFormat="1" ht="14.25" customHeight="1" thickBot="1" x14ac:dyDescent="0.3">
      <c r="A1447" s="376"/>
      <c r="B1447" s="122" t="s">
        <v>164</v>
      </c>
      <c r="C1447" s="123"/>
      <c r="D1447" s="334">
        <f>+SUM(D1445:D1446)</f>
        <v>181.21</v>
      </c>
      <c r="E1447" s="1382"/>
      <c r="F1447" s="1382"/>
      <c r="G1447" s="1382"/>
      <c r="I1447" s="143"/>
      <c r="J1447" s="143"/>
      <c r="K1447" s="143"/>
      <c r="O1447" s="220"/>
    </row>
    <row r="1448" spans="1:15" s="159" customFormat="1" ht="14.25" customHeight="1" thickBot="1" x14ac:dyDescent="0.3">
      <c r="A1448" s="376"/>
      <c r="B1448" s="124" t="s">
        <v>165</v>
      </c>
      <c r="C1448" s="125">
        <f>$I$5</f>
        <v>28.49</v>
      </c>
      <c r="D1448" s="335">
        <f>ROUND((D1447*C1448),2)/100</f>
        <v>51.63</v>
      </c>
      <c r="E1448" s="1382"/>
      <c r="F1448" s="1382"/>
      <c r="G1448" s="1382"/>
      <c r="I1448" s="143"/>
      <c r="J1448" s="143"/>
      <c r="K1448" s="143"/>
      <c r="O1448" s="220"/>
    </row>
    <row r="1449" spans="1:15" s="159" customFormat="1" ht="14.25" customHeight="1" thickBot="1" x14ac:dyDescent="0.3">
      <c r="A1449" s="376"/>
      <c r="B1449" s="80" t="s">
        <v>166</v>
      </c>
      <c r="C1449" s="127"/>
      <c r="D1449" s="336">
        <f>+SUM(D1447:D1448)</f>
        <v>232.84</v>
      </c>
      <c r="E1449" s="128"/>
      <c r="F1449" s="337">
        <f>D1449</f>
        <v>232.84</v>
      </c>
      <c r="G1449" s="131"/>
      <c r="I1449" s="143"/>
      <c r="J1449" s="143"/>
      <c r="K1449" s="143"/>
      <c r="O1449" s="220"/>
    </row>
    <row r="1450" spans="1:15" s="159" customFormat="1" x14ac:dyDescent="0.25">
      <c r="A1450" s="382"/>
      <c r="O1450" s="220"/>
    </row>
    <row r="1451" spans="1:15" ht="15.75" thickBot="1" x14ac:dyDescent="0.3">
      <c r="H1451" s="129"/>
      <c r="O1451" s="220"/>
    </row>
    <row r="1452" spans="1:15" x14ac:dyDescent="0.25">
      <c r="B1452" s="1383" t="s">
        <v>131</v>
      </c>
      <c r="C1452" s="1383"/>
      <c r="D1452" s="1383"/>
      <c r="E1452" s="1383"/>
      <c r="F1452" s="1383"/>
      <c r="G1452" s="1383"/>
      <c r="H1452" s="129"/>
      <c r="O1452" s="220"/>
    </row>
    <row r="1453" spans="1:15" ht="15.75" thickBot="1" x14ac:dyDescent="0.3">
      <c r="B1453" s="1384" t="str">
        <f>$I$3</f>
        <v>Urbanização da Orla de Piúma - Município de Piúma / ES</v>
      </c>
      <c r="C1453" s="1385"/>
      <c r="D1453" s="1385"/>
      <c r="E1453" s="1385"/>
      <c r="F1453" s="1385"/>
      <c r="G1453" s="1386"/>
      <c r="H1453" s="129"/>
      <c r="O1453" s="220"/>
    </row>
    <row r="1454" spans="1:15" ht="15.75" thickBot="1" x14ac:dyDescent="0.3">
      <c r="A1454" s="376"/>
      <c r="B1454" s="34" t="s">
        <v>132</v>
      </c>
      <c r="C1454" s="34" t="s">
        <v>133</v>
      </c>
      <c r="D1454" s="1381" t="s">
        <v>134</v>
      </c>
      <c r="E1454" s="1381"/>
      <c r="F1454" s="131" t="s">
        <v>275</v>
      </c>
      <c r="G1454" s="35" t="s">
        <v>135</v>
      </c>
      <c r="H1454" s="129"/>
      <c r="O1454" s="220"/>
    </row>
    <row r="1455" spans="1:15" ht="27" thickBot="1" x14ac:dyDescent="0.3">
      <c r="A1455" s="376"/>
      <c r="B1455" s="132" t="s">
        <v>208</v>
      </c>
      <c r="C1455" s="92" t="s">
        <v>98</v>
      </c>
      <c r="D1455" s="1381" t="s">
        <v>5</v>
      </c>
      <c r="E1455" s="1381"/>
      <c r="F1455" s="144" t="s">
        <v>241</v>
      </c>
      <c r="G1455" s="38">
        <f>$K$5</f>
        <v>44501</v>
      </c>
      <c r="H1455" s="129"/>
      <c r="O1455" s="220"/>
    </row>
    <row r="1456" spans="1:15" ht="8.25" customHeight="1" thickBot="1" x14ac:dyDescent="0.3">
      <c r="A1456" s="376"/>
      <c r="B1456" s="1382"/>
      <c r="C1456" s="1382"/>
      <c r="D1456" s="1382"/>
      <c r="E1456" s="1382"/>
      <c r="F1456" s="1382"/>
      <c r="G1456" s="1382"/>
      <c r="H1456" s="129"/>
      <c r="O1456" s="220"/>
    </row>
    <row r="1457" spans="1:15" x14ac:dyDescent="0.25">
      <c r="A1457" s="376"/>
      <c r="B1457" s="41" t="s">
        <v>139</v>
      </c>
      <c r="C1457" s="42" t="s">
        <v>140</v>
      </c>
      <c r="D1457" s="42" t="s">
        <v>141</v>
      </c>
      <c r="E1457" s="42" t="s">
        <v>142</v>
      </c>
      <c r="F1457" s="42" t="s">
        <v>143</v>
      </c>
      <c r="G1457" s="43" t="s">
        <v>144</v>
      </c>
      <c r="H1457" s="129"/>
      <c r="O1457" s="220"/>
    </row>
    <row r="1458" spans="1:15" x14ac:dyDescent="0.25">
      <c r="A1458" s="376">
        <v>10139</v>
      </c>
      <c r="B1458" s="44" t="str">
        <f>VLOOKUP(A1458,Insumos!$A$10:$F$3462,2,FALSE)</f>
        <v>PEDREIRO - (OFICIAL - SINDUSCON)</v>
      </c>
      <c r="C1458" s="45" t="str">
        <f>VLOOKUP(A1458,Insumos!$A$10:$F$3462,3,FALSE)</f>
        <v>H</v>
      </c>
      <c r="D1458" s="46">
        <v>3.3330000000000002</v>
      </c>
      <c r="E1458" s="329">
        <f>VLOOKUP(A1458,Insumos!$A$10:$F$3462,4,FALSE)</f>
        <v>7.43</v>
      </c>
      <c r="F1458" s="329">
        <f>ROUND((D1458*E1458),2)</f>
        <v>24.76</v>
      </c>
      <c r="G1458" s="355"/>
      <c r="H1458" s="129"/>
      <c r="O1458" s="220"/>
    </row>
    <row r="1459" spans="1:15" x14ac:dyDescent="0.25">
      <c r="A1459" s="376">
        <v>10146</v>
      </c>
      <c r="B1459" s="44" t="str">
        <f>VLOOKUP(A1459,Insumos!$A$10:$F$3462,2,FALSE)</f>
        <v>SERVENTE (AUXILIAR DE OBRAS - SINDUSCON)</v>
      </c>
      <c r="C1459" s="45" t="str">
        <f>VLOOKUP(A1459,Insumos!$A$10:$F$3462,3,FALSE)</f>
        <v>H</v>
      </c>
      <c r="D1459" s="46">
        <v>3.3330000000000002</v>
      </c>
      <c r="E1459" s="329">
        <f>VLOOKUP(A1459,Insumos!$A$10:$F$3462,4,FALSE)</f>
        <v>5.46</v>
      </c>
      <c r="F1459" s="329">
        <f>ROUND((D1459*E1459),2)</f>
        <v>18.2</v>
      </c>
      <c r="G1459" s="355"/>
      <c r="H1459" s="129"/>
      <c r="O1459" s="220"/>
    </row>
    <row r="1460" spans="1:15" x14ac:dyDescent="0.25">
      <c r="A1460" s="376"/>
      <c r="B1460" s="48"/>
      <c r="C1460" s="45"/>
      <c r="D1460" s="49"/>
      <c r="E1460" s="329"/>
      <c r="F1460" s="329"/>
      <c r="G1460" s="355"/>
      <c r="H1460" s="129"/>
      <c r="O1460" s="220"/>
    </row>
    <row r="1461" spans="1:15" x14ac:dyDescent="0.25">
      <c r="A1461" s="376"/>
      <c r="B1461" s="50" t="s">
        <v>145</v>
      </c>
      <c r="C1461" s="51"/>
      <c r="D1461" s="52"/>
      <c r="E1461" s="329"/>
      <c r="F1461" s="353"/>
      <c r="G1461" s="338">
        <f>+SUM(F1458:F1460)</f>
        <v>42.96</v>
      </c>
      <c r="H1461" s="129"/>
      <c r="O1461" s="220"/>
    </row>
    <row r="1462" spans="1:15" x14ac:dyDescent="0.25">
      <c r="A1462" s="376"/>
      <c r="B1462" s="48" t="s">
        <v>146</v>
      </c>
      <c r="C1462" s="55"/>
      <c r="D1462" s="56"/>
      <c r="E1462" s="45"/>
      <c r="F1462" s="57"/>
      <c r="G1462" s="58" t="s">
        <v>147</v>
      </c>
      <c r="H1462" s="129"/>
      <c r="O1462" s="220"/>
    </row>
    <row r="1463" spans="1:15" x14ac:dyDescent="0.25">
      <c r="A1463" s="376">
        <v>20503</v>
      </c>
      <c r="B1463" s="44" t="str">
        <f>VLOOKUP(A1463,Insumos!$A$10:$F$3462,2,FALSE)</f>
        <v>AREIA LAVADA MEDIA</v>
      </c>
      <c r="C1463" s="45" t="str">
        <f>VLOOKUP(A1463,Insumos!$A$10:$F$3462,3,FALSE)</f>
        <v>M3</v>
      </c>
      <c r="D1463" s="46">
        <v>8.6999999999999994E-3</v>
      </c>
      <c r="E1463" s="329">
        <f>VLOOKUP(A1463,Insumos!$A$10:$F$3462,4,FALSE)</f>
        <v>90</v>
      </c>
      <c r="F1463" s="329">
        <f>ROUND((D1463*E1463),2)</f>
        <v>0.78</v>
      </c>
      <c r="G1463" s="355"/>
      <c r="H1463" s="129"/>
      <c r="O1463" s="220"/>
    </row>
    <row r="1464" spans="1:15" x14ac:dyDescent="0.25">
      <c r="A1464" s="376">
        <v>20508</v>
      </c>
      <c r="B1464" s="44" t="str">
        <f>VLOOKUP(A1464,Insumos!$A$10:$F$3462,2,FALSE)</f>
        <v>CIMENTO PORTLAND CP III - 40</v>
      </c>
      <c r="C1464" s="45" t="str">
        <f>VLOOKUP(A1464,Insumos!$A$10:$F$3462,3,FALSE)</f>
        <v>KG</v>
      </c>
      <c r="D1464" s="46">
        <v>3.78</v>
      </c>
      <c r="E1464" s="329">
        <f>VLOOKUP(A1464,Insumos!$A$10:$F$3462,4,FALSE)</f>
        <v>0.46</v>
      </c>
      <c r="F1464" s="329">
        <f>ROUND((D1464*E1464),2)</f>
        <v>1.74</v>
      </c>
      <c r="G1464" s="355"/>
      <c r="H1464" s="129"/>
      <c r="O1464" s="220"/>
    </row>
    <row r="1465" spans="1:15" x14ac:dyDescent="0.25">
      <c r="A1465" s="376">
        <v>7119</v>
      </c>
      <c r="B1465" s="230" t="str">
        <f>VLOOKUP(A1465,Insumos!$A$10:$F$3462,2,FALSE)</f>
        <v>Granito branco Siena e= 2cm, para bancadas</v>
      </c>
      <c r="C1465" s="231" t="str">
        <f>VLOOKUP(A1465,Insumos!$A$10:$F$3462,3,FALSE)</f>
        <v>m2</v>
      </c>
      <c r="D1465" s="232">
        <v>1</v>
      </c>
      <c r="E1465" s="329">
        <f>VLOOKUP(A1465,Insumos!$A$10:$F$3462,4,FALSE)</f>
        <v>392.7</v>
      </c>
      <c r="F1465" s="329">
        <f>ROUND((D1465*E1465),2)</f>
        <v>392.7</v>
      </c>
      <c r="G1465" s="355"/>
      <c r="H1465" s="129"/>
      <c r="O1465" s="220"/>
    </row>
    <row r="1466" spans="1:15" x14ac:dyDescent="0.25">
      <c r="A1466" s="376">
        <v>13252</v>
      </c>
      <c r="B1466" s="230" t="str">
        <f>VLOOKUP(A1466,Insumos!$A$10:$F$3462,2,FALSE)</f>
        <v>Rodopia em granito branco Siena, L=20cm, e=2cm</v>
      </c>
      <c r="C1466" s="231" t="str">
        <f>VLOOKUP(A1466,Insumos!$A$10:$F$3462,3,FALSE)</f>
        <v>m</v>
      </c>
      <c r="D1466" s="245">
        <v>2.5099999999999998</v>
      </c>
      <c r="E1466" s="329">
        <f>VLOOKUP(A1466,Insumos!$A$10:$F$3462,4,FALSE)</f>
        <v>78.540000000000006</v>
      </c>
      <c r="F1466" s="329">
        <f>ROUND((D1466*E1466),2)</f>
        <v>197.14</v>
      </c>
      <c r="G1466" s="355"/>
      <c r="H1466" s="129"/>
      <c r="O1466" s="220"/>
    </row>
    <row r="1467" spans="1:15" x14ac:dyDescent="0.25">
      <c r="A1467" s="376"/>
      <c r="B1467" s="50" t="s">
        <v>148</v>
      </c>
      <c r="C1467" s="51"/>
      <c r="D1467" s="62"/>
      <c r="E1467" s="353"/>
      <c r="F1467" s="353"/>
      <c r="G1467" s="338">
        <f>+SUM(F1463:F1466)</f>
        <v>592.36</v>
      </c>
      <c r="H1467" s="129"/>
      <c r="O1467" s="220"/>
    </row>
    <row r="1468" spans="1:15" x14ac:dyDescent="0.25">
      <c r="A1468" s="376"/>
      <c r="B1468" s="48" t="s">
        <v>149</v>
      </c>
      <c r="C1468" s="55"/>
      <c r="D1468" s="64"/>
      <c r="E1468" s="55"/>
      <c r="F1468" s="55"/>
      <c r="G1468" s="58" t="s">
        <v>150</v>
      </c>
      <c r="H1468" s="129"/>
      <c r="O1468" s="220"/>
    </row>
    <row r="1469" spans="1:15" x14ac:dyDescent="0.25">
      <c r="A1469" s="376"/>
      <c r="B1469" s="48" t="s">
        <v>98</v>
      </c>
      <c r="C1469" s="45"/>
      <c r="D1469" s="59"/>
      <c r="E1469" s="45"/>
      <c r="F1469" s="45"/>
      <c r="G1469" s="47"/>
      <c r="H1469" s="129"/>
      <c r="O1469" s="220"/>
    </row>
    <row r="1470" spans="1:15" x14ac:dyDescent="0.25">
      <c r="A1470" s="376"/>
      <c r="B1470" s="48" t="s">
        <v>98</v>
      </c>
      <c r="C1470" s="45"/>
      <c r="D1470" s="59"/>
      <c r="E1470" s="45"/>
      <c r="F1470" s="45"/>
      <c r="G1470" s="47"/>
      <c r="H1470" s="129"/>
      <c r="O1470" s="220"/>
    </row>
    <row r="1471" spans="1:15" ht="15.75" thickBot="1" x14ac:dyDescent="0.3">
      <c r="A1471" s="376"/>
      <c r="B1471" s="65" t="s">
        <v>151</v>
      </c>
      <c r="C1471" s="66"/>
      <c r="D1471" s="67"/>
      <c r="E1471" s="66"/>
      <c r="F1471" s="66"/>
      <c r="G1471" s="68">
        <f>+SUM(F1469:F1470)</f>
        <v>0</v>
      </c>
      <c r="H1471" s="129"/>
      <c r="O1471" s="220"/>
    </row>
    <row r="1472" spans="1:15" ht="4.5" customHeight="1" thickBot="1" x14ac:dyDescent="0.3">
      <c r="A1472" s="376"/>
      <c r="B1472" s="1382"/>
      <c r="C1472" s="1382"/>
      <c r="D1472" s="1382"/>
      <c r="E1472" s="1382"/>
      <c r="F1472" s="1382"/>
      <c r="G1472" s="1382"/>
      <c r="H1472" s="129"/>
      <c r="O1472" s="220"/>
    </row>
    <row r="1473" spans="1:15" ht="15.75" thickBot="1" x14ac:dyDescent="0.3">
      <c r="A1473" s="376"/>
      <c r="B1473" s="69" t="s">
        <v>152</v>
      </c>
      <c r="C1473" s="70" t="s">
        <v>153</v>
      </c>
      <c r="D1473" s="71" t="s">
        <v>154</v>
      </c>
      <c r="E1473" s="1381" t="s">
        <v>155</v>
      </c>
      <c r="F1473" s="1381"/>
      <c r="G1473" s="1381"/>
      <c r="H1473" s="129"/>
      <c r="O1473" s="220"/>
    </row>
    <row r="1474" spans="1:15" ht="15.75" thickBot="1" x14ac:dyDescent="0.3">
      <c r="A1474" s="376"/>
      <c r="B1474" s="72" t="s">
        <v>156</v>
      </c>
      <c r="C1474" s="73"/>
      <c r="D1474" s="332">
        <f>G1461</f>
        <v>42.96</v>
      </c>
      <c r="E1474" s="1381"/>
      <c r="F1474" s="1381"/>
      <c r="G1474" s="1381"/>
      <c r="H1474" s="129"/>
      <c r="O1474" s="220"/>
    </row>
    <row r="1475" spans="1:15" ht="15.75" thickBot="1" x14ac:dyDescent="0.3">
      <c r="A1475" s="376"/>
      <c r="B1475" s="72" t="s">
        <v>157</v>
      </c>
      <c r="C1475" s="73"/>
      <c r="D1475" s="332">
        <f>G1467</f>
        <v>592.36</v>
      </c>
      <c r="E1475" s="1381"/>
      <c r="F1475" s="1381"/>
      <c r="G1475" s="1381"/>
      <c r="H1475" s="129"/>
      <c r="O1475" s="220"/>
    </row>
    <row r="1476" spans="1:15" ht="15.75" thickBot="1" x14ac:dyDescent="0.3">
      <c r="A1476" s="376"/>
      <c r="B1476" s="72" t="s">
        <v>158</v>
      </c>
      <c r="C1476" s="73"/>
      <c r="D1476" s="332">
        <f>G1471</f>
        <v>0</v>
      </c>
      <c r="E1476" s="1381"/>
      <c r="F1476" s="1381"/>
      <c r="G1476" s="1381"/>
      <c r="H1476" s="129"/>
      <c r="O1476" s="220"/>
    </row>
    <row r="1477" spans="1:15" ht="15.75" thickBot="1" x14ac:dyDescent="0.3">
      <c r="A1477" s="376"/>
      <c r="B1477" s="72" t="s">
        <v>159</v>
      </c>
      <c r="C1477" s="74">
        <f>$J$5</f>
        <v>157.27000000000001</v>
      </c>
      <c r="D1477" s="332">
        <f>+ROUND((D1474*C1477),2)/100</f>
        <v>67.56</v>
      </c>
      <c r="E1477" s="1381"/>
      <c r="F1477" s="1381"/>
      <c r="G1477" s="1381"/>
      <c r="H1477" s="129"/>
      <c r="O1477" s="220"/>
    </row>
    <row r="1478" spans="1:15" ht="15.75" thickBot="1" x14ac:dyDescent="0.3">
      <c r="A1478" s="376"/>
      <c r="B1478" s="72" t="s">
        <v>160</v>
      </c>
      <c r="C1478" s="75"/>
      <c r="D1478" s="333">
        <f>+SUM(D1474:D1477)</f>
        <v>702.88</v>
      </c>
      <c r="E1478" s="1381"/>
      <c r="F1478" s="1381"/>
      <c r="G1478" s="1381"/>
      <c r="H1478" s="129"/>
      <c r="O1478" s="220"/>
    </row>
    <row r="1479" spans="1:15" ht="15.75" thickBot="1" x14ac:dyDescent="0.3">
      <c r="A1479" s="376"/>
      <c r="B1479" s="72" t="s">
        <v>161</v>
      </c>
      <c r="C1479" s="73"/>
      <c r="D1479" s="332" t="s">
        <v>162</v>
      </c>
      <c r="E1479" s="1382" t="s">
        <v>163</v>
      </c>
      <c r="F1479" s="1382"/>
      <c r="G1479" s="1382"/>
      <c r="H1479" s="129"/>
      <c r="O1479" s="220"/>
    </row>
    <row r="1480" spans="1:15" ht="15.75" thickBot="1" x14ac:dyDescent="0.3">
      <c r="A1480" s="376"/>
      <c r="B1480" s="76" t="s">
        <v>164</v>
      </c>
      <c r="C1480" s="77"/>
      <c r="D1480" s="334">
        <f>+SUM(D1478:D1479)</f>
        <v>702.88</v>
      </c>
      <c r="E1480" s="1382"/>
      <c r="F1480" s="1382"/>
      <c r="G1480" s="1382"/>
      <c r="H1480" s="129"/>
      <c r="O1480" s="220"/>
    </row>
    <row r="1481" spans="1:15" ht="15.75" thickBot="1" x14ac:dyDescent="0.3">
      <c r="A1481" s="376"/>
      <c r="B1481" s="78" t="s">
        <v>165</v>
      </c>
      <c r="C1481" s="79">
        <f>$I$5</f>
        <v>28.49</v>
      </c>
      <c r="D1481" s="335">
        <f>ROUND((D1480*C1481),2)/100</f>
        <v>200.25</v>
      </c>
      <c r="E1481" s="1382"/>
      <c r="F1481" s="1382"/>
      <c r="G1481" s="1382"/>
      <c r="H1481" s="129"/>
      <c r="O1481" s="220"/>
    </row>
    <row r="1482" spans="1:15" ht="15.75" thickBot="1" x14ac:dyDescent="0.3">
      <c r="A1482" s="376"/>
      <c r="B1482" s="80" t="s">
        <v>166</v>
      </c>
      <c r="C1482" s="81"/>
      <c r="D1482" s="336">
        <f>+SUM(D1480:D1481)</f>
        <v>903.13</v>
      </c>
      <c r="E1482" s="82"/>
      <c r="F1482" s="337">
        <f>D1482</f>
        <v>903.13</v>
      </c>
      <c r="G1482" s="35"/>
      <c r="H1482" s="129"/>
      <c r="O1482" s="220"/>
    </row>
    <row r="1483" spans="1:15" x14ac:dyDescent="0.25">
      <c r="H1483" s="129"/>
      <c r="O1483" s="220"/>
    </row>
    <row r="1484" spans="1:15" ht="15.75" thickBot="1" x14ac:dyDescent="0.3">
      <c r="H1484" s="129"/>
      <c r="O1484" s="220"/>
    </row>
    <row r="1485" spans="1:15" x14ac:dyDescent="0.25">
      <c r="B1485" s="1383" t="s">
        <v>131</v>
      </c>
      <c r="C1485" s="1383"/>
      <c r="D1485" s="1383"/>
      <c r="E1485" s="1383"/>
      <c r="F1485" s="1383"/>
      <c r="G1485" s="1383"/>
      <c r="H1485" s="129"/>
      <c r="O1485" s="220"/>
    </row>
    <row r="1486" spans="1:15" ht="15.75" thickBot="1" x14ac:dyDescent="0.3">
      <c r="B1486" s="1384" t="str">
        <f>$I$3</f>
        <v>Urbanização da Orla de Piúma - Município de Piúma / ES</v>
      </c>
      <c r="C1486" s="1385"/>
      <c r="D1486" s="1385"/>
      <c r="E1486" s="1385"/>
      <c r="F1486" s="1385"/>
      <c r="G1486" s="1386"/>
      <c r="H1486" s="129"/>
      <c r="O1486" s="220"/>
    </row>
    <row r="1487" spans="1:15" ht="15.75" thickBot="1" x14ac:dyDescent="0.3">
      <c r="A1487" s="376"/>
      <c r="B1487" s="34" t="s">
        <v>132</v>
      </c>
      <c r="C1487" s="34" t="s">
        <v>133</v>
      </c>
      <c r="D1487" s="1381" t="s">
        <v>134</v>
      </c>
      <c r="E1487" s="1381"/>
      <c r="F1487" s="131" t="s">
        <v>275</v>
      </c>
      <c r="G1487" s="35" t="s">
        <v>135</v>
      </c>
      <c r="H1487" s="129"/>
      <c r="O1487" s="220"/>
    </row>
    <row r="1488" spans="1:15" ht="29.25" customHeight="1" thickBot="1" x14ac:dyDescent="0.3">
      <c r="A1488" s="376"/>
      <c r="B1488" s="132" t="s">
        <v>209</v>
      </c>
      <c r="C1488" s="92" t="s">
        <v>98</v>
      </c>
      <c r="D1488" s="1381" t="s">
        <v>5</v>
      </c>
      <c r="E1488" s="1381"/>
      <c r="F1488" s="144" t="s">
        <v>242</v>
      </c>
      <c r="G1488" s="38">
        <f>$K$5</f>
        <v>44501</v>
      </c>
      <c r="H1488" s="129"/>
      <c r="O1488" s="220"/>
    </row>
    <row r="1489" spans="1:15" ht="5.25" customHeight="1" thickBot="1" x14ac:dyDescent="0.3">
      <c r="A1489" s="376"/>
      <c r="B1489" s="1382"/>
      <c r="C1489" s="1382"/>
      <c r="D1489" s="1382"/>
      <c r="E1489" s="1382"/>
      <c r="F1489" s="1382"/>
      <c r="G1489" s="1382"/>
      <c r="H1489" s="129"/>
      <c r="O1489" s="220"/>
    </row>
    <row r="1490" spans="1:15" x14ac:dyDescent="0.25">
      <c r="A1490" s="376"/>
      <c r="B1490" s="41" t="s">
        <v>139</v>
      </c>
      <c r="C1490" s="42" t="s">
        <v>140</v>
      </c>
      <c r="D1490" s="42" t="s">
        <v>141</v>
      </c>
      <c r="E1490" s="42" t="s">
        <v>142</v>
      </c>
      <c r="F1490" s="42" t="s">
        <v>143</v>
      </c>
      <c r="G1490" s="43" t="s">
        <v>144</v>
      </c>
      <c r="H1490" s="129"/>
      <c r="O1490" s="220"/>
    </row>
    <row r="1491" spans="1:15" x14ac:dyDescent="0.25">
      <c r="A1491" s="376">
        <v>10139</v>
      </c>
      <c r="B1491" s="44" t="str">
        <f>VLOOKUP(A1491,Insumos!$A$10:$F$3462,2,FALSE)</f>
        <v>PEDREIRO - (OFICIAL - SINDUSCON)</v>
      </c>
      <c r="C1491" s="45" t="str">
        <f>VLOOKUP(A1491,Insumos!$A$10:$F$3462,3,FALSE)</f>
        <v>H</v>
      </c>
      <c r="D1491" s="46">
        <v>3.3330000000000002</v>
      </c>
      <c r="E1491" s="329">
        <f>VLOOKUP(A1491,Insumos!$A$10:$F$3462,4,FALSE)</f>
        <v>7.43</v>
      </c>
      <c r="F1491" s="329">
        <f>ROUND((D1491*E1491),2)</f>
        <v>24.76</v>
      </c>
      <c r="G1491" s="355"/>
      <c r="H1491" s="129"/>
      <c r="O1491" s="220"/>
    </row>
    <row r="1492" spans="1:15" x14ac:dyDescent="0.25">
      <c r="A1492" s="376">
        <v>10146</v>
      </c>
      <c r="B1492" s="44" t="str">
        <f>VLOOKUP(A1492,Insumos!$A$10:$F$3462,2,FALSE)</f>
        <v>SERVENTE (AUXILIAR DE OBRAS - SINDUSCON)</v>
      </c>
      <c r="C1492" s="45" t="str">
        <f>VLOOKUP(A1492,Insumos!$A$10:$F$3462,3,FALSE)</f>
        <v>H</v>
      </c>
      <c r="D1492" s="46">
        <v>3.3330000000000002</v>
      </c>
      <c r="E1492" s="329">
        <f>VLOOKUP(A1492,Insumos!$A$10:$F$3462,4,FALSE)</f>
        <v>5.46</v>
      </c>
      <c r="F1492" s="329">
        <f>ROUND((D1492*E1492),2)</f>
        <v>18.2</v>
      </c>
      <c r="G1492" s="355"/>
      <c r="H1492" s="129"/>
      <c r="O1492" s="220"/>
    </row>
    <row r="1493" spans="1:15" x14ac:dyDescent="0.25">
      <c r="A1493" s="376"/>
      <c r="B1493" s="48"/>
      <c r="C1493" s="45"/>
      <c r="D1493" s="49"/>
      <c r="E1493" s="329"/>
      <c r="F1493" s="329"/>
      <c r="G1493" s="355"/>
      <c r="H1493" s="129"/>
      <c r="O1493" s="220"/>
    </row>
    <row r="1494" spans="1:15" x14ac:dyDescent="0.25">
      <c r="A1494" s="376"/>
      <c r="B1494" s="50" t="s">
        <v>145</v>
      </c>
      <c r="C1494" s="51"/>
      <c r="D1494" s="52"/>
      <c r="E1494" s="329"/>
      <c r="F1494" s="353"/>
      <c r="G1494" s="338">
        <f>+SUM(F1491:F1493)</f>
        <v>42.96</v>
      </c>
      <c r="H1494" s="129"/>
      <c r="O1494" s="220"/>
    </row>
    <row r="1495" spans="1:15" x14ac:dyDescent="0.25">
      <c r="A1495" s="376"/>
      <c r="B1495" s="48" t="s">
        <v>146</v>
      </c>
      <c r="C1495" s="55"/>
      <c r="D1495" s="56"/>
      <c r="E1495" s="45"/>
      <c r="F1495" s="57"/>
      <c r="G1495" s="58" t="s">
        <v>147</v>
      </c>
      <c r="H1495" s="129"/>
      <c r="O1495" s="220"/>
    </row>
    <row r="1496" spans="1:15" x14ac:dyDescent="0.25">
      <c r="A1496" s="376">
        <v>20503</v>
      </c>
      <c r="B1496" s="44" t="str">
        <f>VLOOKUP(A1496,Insumos!$A$10:$F$3462,2,FALSE)</f>
        <v>AREIA LAVADA MEDIA</v>
      </c>
      <c r="C1496" s="45" t="str">
        <f>VLOOKUP(A1496,Insumos!$A$10:$F$3462,3,FALSE)</f>
        <v>M3</v>
      </c>
      <c r="D1496" s="46">
        <v>8.6999999999999994E-3</v>
      </c>
      <c r="E1496" s="329">
        <f>VLOOKUP(A1496,Insumos!$A$10:$F$3462,4,FALSE)</f>
        <v>90</v>
      </c>
      <c r="F1496" s="329">
        <f>ROUND((D1496*E1496),2)</f>
        <v>0.78</v>
      </c>
      <c r="G1496" s="355"/>
      <c r="H1496" s="129"/>
      <c r="O1496" s="220"/>
    </row>
    <row r="1497" spans="1:15" x14ac:dyDescent="0.25">
      <c r="A1497" s="376">
        <v>20508</v>
      </c>
      <c r="B1497" s="44" t="str">
        <f>VLOOKUP(A1497,Insumos!$A$10:$F$3462,2,FALSE)</f>
        <v>CIMENTO PORTLAND CP III - 40</v>
      </c>
      <c r="C1497" s="45" t="str">
        <f>VLOOKUP(A1497,Insumos!$A$10:$F$3462,3,FALSE)</f>
        <v>KG</v>
      </c>
      <c r="D1497" s="46">
        <v>3.78</v>
      </c>
      <c r="E1497" s="329">
        <f>VLOOKUP(A1497,Insumos!$A$10:$F$3462,4,FALSE)</f>
        <v>0.46</v>
      </c>
      <c r="F1497" s="329">
        <f>ROUND((D1497*E1497),2)</f>
        <v>1.74</v>
      </c>
      <c r="G1497" s="355"/>
      <c r="H1497" s="129"/>
      <c r="O1497" s="220"/>
    </row>
    <row r="1498" spans="1:15" x14ac:dyDescent="0.25">
      <c r="A1498" s="376">
        <v>7119</v>
      </c>
      <c r="B1498" s="230" t="str">
        <f>VLOOKUP(A1498,Insumos!$A$10:$F$3462,2,FALSE)</f>
        <v>Granito branco Siena e= 2cm, para bancadas</v>
      </c>
      <c r="C1498" s="231" t="str">
        <f>VLOOKUP(A1498,Insumos!$A$10:$F$3462,3,FALSE)</f>
        <v>m2</v>
      </c>
      <c r="D1498" s="46">
        <v>1</v>
      </c>
      <c r="E1498" s="329">
        <f>VLOOKUP(A1498,Insumos!$A$10:$F$3462,4,FALSE)</f>
        <v>392.7</v>
      </c>
      <c r="F1498" s="329">
        <f>ROUND((D1498*E1498),2)</f>
        <v>392.7</v>
      </c>
      <c r="G1498" s="355"/>
      <c r="H1498" s="129"/>
      <c r="O1498" s="220"/>
    </row>
    <row r="1499" spans="1:15" x14ac:dyDescent="0.25">
      <c r="A1499" s="376">
        <v>13252</v>
      </c>
      <c r="B1499" s="230" t="str">
        <f>VLOOKUP(A1499,Insumos!$A$10:$F$3462,2,FALSE)</f>
        <v>Rodopia em granito branco Siena, L=20cm, e=2cm</v>
      </c>
      <c r="C1499" s="231" t="str">
        <f>VLOOKUP(A1499,Insumos!$A$10:$F$3462,3,FALSE)</f>
        <v>m</v>
      </c>
      <c r="D1499" s="61">
        <v>6.67</v>
      </c>
      <c r="E1499" s="329">
        <f>VLOOKUP(A1499,Insumos!$A$10:$F$3462,4,FALSE)</f>
        <v>78.540000000000006</v>
      </c>
      <c r="F1499" s="329">
        <f>ROUND((D1499*E1499),2)</f>
        <v>523.86</v>
      </c>
      <c r="G1499" s="355"/>
      <c r="H1499" s="129"/>
      <c r="O1499" s="220"/>
    </row>
    <row r="1500" spans="1:15" x14ac:dyDescent="0.25">
      <c r="A1500" s="376"/>
      <c r="B1500" s="50" t="s">
        <v>148</v>
      </c>
      <c r="C1500" s="51"/>
      <c r="D1500" s="62"/>
      <c r="E1500" s="353"/>
      <c r="F1500" s="353"/>
      <c r="G1500" s="338">
        <f>+SUM(F1496:F1499)</f>
        <v>919.08</v>
      </c>
      <c r="H1500" s="129"/>
      <c r="O1500" s="220"/>
    </row>
    <row r="1501" spans="1:15" x14ac:dyDescent="0.25">
      <c r="A1501" s="376"/>
      <c r="B1501" s="48" t="s">
        <v>149</v>
      </c>
      <c r="C1501" s="55"/>
      <c r="D1501" s="64"/>
      <c r="E1501" s="55"/>
      <c r="F1501" s="55"/>
      <c r="G1501" s="58" t="s">
        <v>150</v>
      </c>
      <c r="H1501" s="129"/>
      <c r="O1501" s="220"/>
    </row>
    <row r="1502" spans="1:15" x14ac:dyDescent="0.25">
      <c r="A1502" s="376"/>
      <c r="B1502" s="48" t="s">
        <v>98</v>
      </c>
      <c r="C1502" s="45"/>
      <c r="D1502" s="59"/>
      <c r="E1502" s="45"/>
      <c r="F1502" s="45"/>
      <c r="G1502" s="47"/>
      <c r="H1502" s="129"/>
      <c r="O1502" s="220"/>
    </row>
    <row r="1503" spans="1:15" x14ac:dyDescent="0.25">
      <c r="A1503" s="376"/>
      <c r="B1503" s="48" t="s">
        <v>98</v>
      </c>
      <c r="C1503" s="45"/>
      <c r="D1503" s="59"/>
      <c r="E1503" s="45"/>
      <c r="F1503" s="45"/>
      <c r="G1503" s="47"/>
      <c r="H1503" s="129"/>
      <c r="O1503" s="220"/>
    </row>
    <row r="1504" spans="1:15" ht="15.75" thickBot="1" x14ac:dyDescent="0.3">
      <c r="A1504" s="376"/>
      <c r="B1504" s="65" t="s">
        <v>151</v>
      </c>
      <c r="C1504" s="66"/>
      <c r="D1504" s="67"/>
      <c r="E1504" s="66"/>
      <c r="F1504" s="66"/>
      <c r="G1504" s="68">
        <f>+SUM(F1502:F1503)</f>
        <v>0</v>
      </c>
      <c r="H1504" s="129"/>
      <c r="O1504" s="220"/>
    </row>
    <row r="1505" spans="1:15" ht="4.5" customHeight="1" thickBot="1" x14ac:dyDescent="0.3">
      <c r="A1505" s="376"/>
      <c r="B1505" s="1382"/>
      <c r="C1505" s="1382"/>
      <c r="D1505" s="1382"/>
      <c r="E1505" s="1382"/>
      <c r="F1505" s="1382"/>
      <c r="G1505" s="1382"/>
      <c r="H1505" s="129"/>
      <c r="O1505" s="220"/>
    </row>
    <row r="1506" spans="1:15" ht="15.75" thickBot="1" x14ac:dyDescent="0.3">
      <c r="A1506" s="376"/>
      <c r="B1506" s="69" t="s">
        <v>152</v>
      </c>
      <c r="C1506" s="70" t="s">
        <v>4415</v>
      </c>
      <c r="D1506" s="71" t="s">
        <v>154</v>
      </c>
      <c r="E1506" s="1381" t="s">
        <v>155</v>
      </c>
      <c r="F1506" s="1381"/>
      <c r="G1506" s="1381"/>
      <c r="H1506" s="129"/>
      <c r="O1506" s="220"/>
    </row>
    <row r="1507" spans="1:15" ht="15.75" thickBot="1" x14ac:dyDescent="0.3">
      <c r="A1507" s="376"/>
      <c r="B1507" s="72" t="s">
        <v>156</v>
      </c>
      <c r="C1507" s="73"/>
      <c r="D1507" s="332">
        <f>G1494</f>
        <v>42.96</v>
      </c>
      <c r="E1507" s="1381"/>
      <c r="F1507" s="1381"/>
      <c r="G1507" s="1381"/>
      <c r="H1507" s="129"/>
      <c r="O1507" s="220"/>
    </row>
    <row r="1508" spans="1:15" ht="15.75" thickBot="1" x14ac:dyDescent="0.3">
      <c r="A1508" s="376"/>
      <c r="B1508" s="72" t="s">
        <v>157</v>
      </c>
      <c r="C1508" s="73"/>
      <c r="D1508" s="332">
        <f>G1500</f>
        <v>919.08</v>
      </c>
      <c r="E1508" s="1381"/>
      <c r="F1508" s="1381"/>
      <c r="G1508" s="1381"/>
      <c r="H1508" s="129"/>
      <c r="O1508" s="220"/>
    </row>
    <row r="1509" spans="1:15" ht="15.75" thickBot="1" x14ac:dyDescent="0.3">
      <c r="A1509" s="376"/>
      <c r="B1509" s="72" t="s">
        <v>158</v>
      </c>
      <c r="C1509" s="73"/>
      <c r="D1509" s="332">
        <f>G1504</f>
        <v>0</v>
      </c>
      <c r="E1509" s="1381"/>
      <c r="F1509" s="1381"/>
      <c r="G1509" s="1381"/>
      <c r="H1509" s="129"/>
      <c r="O1509" s="220"/>
    </row>
    <row r="1510" spans="1:15" ht="15.75" thickBot="1" x14ac:dyDescent="0.3">
      <c r="A1510" s="376"/>
      <c r="B1510" s="72" t="s">
        <v>159</v>
      </c>
      <c r="C1510" s="74">
        <f>$J$5</f>
        <v>157.27000000000001</v>
      </c>
      <c r="D1510" s="332">
        <f>+ROUND((D1507*C1510),2)/100</f>
        <v>67.56</v>
      </c>
      <c r="E1510" s="1381"/>
      <c r="F1510" s="1381"/>
      <c r="G1510" s="1381"/>
      <c r="H1510" s="129"/>
      <c r="O1510" s="220"/>
    </row>
    <row r="1511" spans="1:15" ht="15.75" thickBot="1" x14ac:dyDescent="0.3">
      <c r="A1511" s="376"/>
      <c r="B1511" s="72" t="s">
        <v>160</v>
      </c>
      <c r="C1511" s="75"/>
      <c r="D1511" s="333">
        <f>+SUM(D1507:D1510)</f>
        <v>1029.5999999999999</v>
      </c>
      <c r="E1511" s="1381"/>
      <c r="F1511" s="1381"/>
      <c r="G1511" s="1381"/>
      <c r="H1511" s="129"/>
      <c r="O1511" s="220"/>
    </row>
    <row r="1512" spans="1:15" ht="15.75" thickBot="1" x14ac:dyDescent="0.3">
      <c r="A1512" s="376"/>
      <c r="B1512" s="72" t="s">
        <v>161</v>
      </c>
      <c r="C1512" s="73"/>
      <c r="D1512" s="332" t="s">
        <v>162</v>
      </c>
      <c r="E1512" s="1382" t="s">
        <v>163</v>
      </c>
      <c r="F1512" s="1382"/>
      <c r="G1512" s="1382"/>
      <c r="H1512" s="129"/>
      <c r="O1512" s="220"/>
    </row>
    <row r="1513" spans="1:15" ht="15.75" thickBot="1" x14ac:dyDescent="0.3">
      <c r="A1513" s="376"/>
      <c r="B1513" s="76" t="s">
        <v>164</v>
      </c>
      <c r="C1513" s="77"/>
      <c r="D1513" s="334">
        <f>+SUM(D1511:D1512)</f>
        <v>1029.5999999999999</v>
      </c>
      <c r="E1513" s="1382"/>
      <c r="F1513" s="1382"/>
      <c r="G1513" s="1382"/>
      <c r="H1513" s="129"/>
      <c r="O1513" s="220"/>
    </row>
    <row r="1514" spans="1:15" ht="15.75" thickBot="1" x14ac:dyDescent="0.3">
      <c r="A1514" s="376"/>
      <c r="B1514" s="78" t="s">
        <v>165</v>
      </c>
      <c r="C1514" s="79">
        <f>$I$5</f>
        <v>28.49</v>
      </c>
      <c r="D1514" s="335">
        <f>ROUND((D1513*C1514),2)/100</f>
        <v>293.33</v>
      </c>
      <c r="E1514" s="1382"/>
      <c r="F1514" s="1382"/>
      <c r="G1514" s="1382"/>
      <c r="H1514" s="129"/>
      <c r="O1514" s="220"/>
    </row>
    <row r="1515" spans="1:15" ht="15.75" thickBot="1" x14ac:dyDescent="0.3">
      <c r="A1515" s="376"/>
      <c r="B1515" s="80" t="s">
        <v>166</v>
      </c>
      <c r="C1515" s="81"/>
      <c r="D1515" s="336">
        <f>+SUM(D1513:D1514)</f>
        <v>1322.93</v>
      </c>
      <c r="E1515" s="82"/>
      <c r="F1515" s="337">
        <f>D1515</f>
        <v>1322.93</v>
      </c>
      <c r="G1515" s="35"/>
      <c r="H1515" s="129"/>
      <c r="O1515" s="220"/>
    </row>
    <row r="1516" spans="1:15" x14ac:dyDescent="0.25">
      <c r="H1516" s="129"/>
      <c r="O1516" s="220"/>
    </row>
    <row r="1517" spans="1:15" ht="15.75" thickBot="1" x14ac:dyDescent="0.3">
      <c r="H1517" s="129"/>
      <c r="O1517" s="220"/>
    </row>
    <row r="1518" spans="1:15" x14ac:dyDescent="0.25">
      <c r="B1518" s="1383" t="s">
        <v>131</v>
      </c>
      <c r="C1518" s="1383"/>
      <c r="D1518" s="1383"/>
      <c r="E1518" s="1383"/>
      <c r="F1518" s="1383"/>
      <c r="G1518" s="1383"/>
      <c r="H1518" s="129"/>
      <c r="O1518" s="220"/>
    </row>
    <row r="1519" spans="1:15" ht="15.75" thickBot="1" x14ac:dyDescent="0.3">
      <c r="B1519" s="1384" t="str">
        <f>$I$3</f>
        <v>Urbanização da Orla de Piúma - Município de Piúma / ES</v>
      </c>
      <c r="C1519" s="1385"/>
      <c r="D1519" s="1385"/>
      <c r="E1519" s="1385"/>
      <c r="F1519" s="1385"/>
      <c r="G1519" s="1386"/>
      <c r="H1519" s="129"/>
      <c r="O1519" s="220"/>
    </row>
    <row r="1520" spans="1:15" ht="15.75" thickBot="1" x14ac:dyDescent="0.3">
      <c r="A1520" s="376"/>
      <c r="B1520" s="34" t="s">
        <v>132</v>
      </c>
      <c r="C1520" s="34" t="s">
        <v>133</v>
      </c>
      <c r="D1520" s="1381" t="s">
        <v>134</v>
      </c>
      <c r="E1520" s="1381"/>
      <c r="F1520" s="131" t="s">
        <v>275</v>
      </c>
      <c r="G1520" s="35" t="s">
        <v>135</v>
      </c>
      <c r="H1520" s="129"/>
      <c r="O1520" s="220"/>
    </row>
    <row r="1521" spans="1:15" ht="30.75" customHeight="1" thickBot="1" x14ac:dyDescent="0.3">
      <c r="A1521" s="376"/>
      <c r="B1521" s="132" t="s">
        <v>109</v>
      </c>
      <c r="C1521" s="92" t="s">
        <v>98</v>
      </c>
      <c r="D1521" s="1381" t="s">
        <v>8</v>
      </c>
      <c r="E1521" s="1381"/>
      <c r="F1521" s="144" t="s">
        <v>243</v>
      </c>
      <c r="G1521" s="38">
        <f>$K$5</f>
        <v>44501</v>
      </c>
      <c r="H1521" s="129"/>
      <c r="O1521" s="220"/>
    </row>
    <row r="1522" spans="1:15" ht="5.25" customHeight="1" thickBot="1" x14ac:dyDescent="0.3">
      <c r="A1522" s="376"/>
      <c r="B1522" s="1382"/>
      <c r="C1522" s="1382"/>
      <c r="D1522" s="1382"/>
      <c r="E1522" s="1382"/>
      <c r="F1522" s="1382"/>
      <c r="G1522" s="1382"/>
      <c r="H1522" s="129"/>
      <c r="O1522" s="220"/>
    </row>
    <row r="1523" spans="1:15" x14ac:dyDescent="0.25">
      <c r="A1523" s="376"/>
      <c r="B1523" s="41" t="s">
        <v>139</v>
      </c>
      <c r="C1523" s="42" t="s">
        <v>140</v>
      </c>
      <c r="D1523" s="42" t="s">
        <v>141</v>
      </c>
      <c r="E1523" s="42" t="s">
        <v>142</v>
      </c>
      <c r="F1523" s="42" t="s">
        <v>143</v>
      </c>
      <c r="G1523" s="43" t="s">
        <v>144</v>
      </c>
      <c r="H1523" s="129"/>
      <c r="O1523" s="220"/>
    </row>
    <row r="1524" spans="1:15" x14ac:dyDescent="0.25">
      <c r="A1524" s="376">
        <v>10139</v>
      </c>
      <c r="B1524" s="44" t="str">
        <f>VLOOKUP(A1524,Insumos!$A$10:$F$3462,2,FALSE)</f>
        <v>PEDREIRO - (OFICIAL - SINDUSCON)</v>
      </c>
      <c r="C1524" s="45" t="str">
        <f>VLOOKUP(A1524,Insumos!$A$10:$F$3462,3,FALSE)</f>
        <v>H</v>
      </c>
      <c r="D1524" s="46">
        <v>0.3</v>
      </c>
      <c r="E1524" s="329">
        <f>VLOOKUP(A1524,Insumos!$A$10:$F$3462,4,FALSE)</f>
        <v>7.43</v>
      </c>
      <c r="F1524" s="329">
        <f>ROUND((D1524*E1524),2)</f>
        <v>2.23</v>
      </c>
      <c r="G1524" s="355"/>
      <c r="H1524" s="129"/>
      <c r="O1524" s="220"/>
    </row>
    <row r="1525" spans="1:15" x14ac:dyDescent="0.25">
      <c r="A1525" s="376">
        <v>10146</v>
      </c>
      <c r="B1525" s="44" t="str">
        <f>VLOOKUP(A1525,Insumos!$A$10:$F$3462,2,FALSE)</f>
        <v>SERVENTE (AUXILIAR DE OBRAS - SINDUSCON)</v>
      </c>
      <c r="C1525" s="45" t="str">
        <f>VLOOKUP(A1525,Insumos!$A$10:$F$3462,3,FALSE)</f>
        <v>H</v>
      </c>
      <c r="D1525" s="46">
        <v>0.3</v>
      </c>
      <c r="E1525" s="329">
        <f>VLOOKUP(A1525,Insumos!$A$10:$F$3462,4,FALSE)</f>
        <v>5.46</v>
      </c>
      <c r="F1525" s="329">
        <f>ROUND((D1525*E1525),2)</f>
        <v>1.64</v>
      </c>
      <c r="G1525" s="355"/>
      <c r="H1525" s="129"/>
      <c r="O1525" s="220"/>
    </row>
    <row r="1526" spans="1:15" x14ac:dyDescent="0.25">
      <c r="A1526" s="376"/>
      <c r="B1526" s="48"/>
      <c r="C1526" s="45"/>
      <c r="D1526" s="49"/>
      <c r="E1526" s="329"/>
      <c r="F1526" s="329"/>
      <c r="G1526" s="355"/>
      <c r="H1526" s="129"/>
      <c r="O1526" s="220"/>
    </row>
    <row r="1527" spans="1:15" x14ac:dyDescent="0.25">
      <c r="A1527" s="376"/>
      <c r="B1527" s="50" t="s">
        <v>145</v>
      </c>
      <c r="C1527" s="51"/>
      <c r="D1527" s="52"/>
      <c r="E1527" s="329"/>
      <c r="F1527" s="353"/>
      <c r="G1527" s="338">
        <f>+SUM(F1524:F1526)</f>
        <v>3.87</v>
      </c>
      <c r="H1527" s="129"/>
      <c r="O1527" s="220"/>
    </row>
    <row r="1528" spans="1:15" x14ac:dyDescent="0.25">
      <c r="A1528" s="376"/>
      <c r="B1528" s="48" t="s">
        <v>146</v>
      </c>
      <c r="C1528" s="55"/>
      <c r="D1528" s="56"/>
      <c r="E1528" s="45"/>
      <c r="F1528" s="57"/>
      <c r="G1528" s="58" t="s">
        <v>147</v>
      </c>
      <c r="H1528" s="129"/>
      <c r="O1528" s="220"/>
    </row>
    <row r="1529" spans="1:15" ht="26.25" x14ac:dyDescent="0.25">
      <c r="A1529" s="376">
        <v>36206</v>
      </c>
      <c r="B1529" s="145" t="str">
        <f>VLOOKUP(A1529,Insumos!$A$10:$F$3462,2,FALSE)</f>
        <v xml:space="preserve"> BARRA DE APOIO RETA, EM ACO INOX POLIDO, COMPRIMENTO 90 CM, DIAMETRO MINIMO 3 CM</v>
      </c>
      <c r="C1529" s="146" t="str">
        <f>VLOOKUP(A1529,Insumos!$A$10:$F$3462,3,FALSE)</f>
        <v>Und.</v>
      </c>
      <c r="D1529" s="46">
        <v>1</v>
      </c>
      <c r="E1529" s="329">
        <f>VLOOKUP(A1529,Insumos!$A$10:$F$3462,4,FALSE)</f>
        <v>180.67</v>
      </c>
      <c r="F1529" s="329">
        <f>ROUND((D1529*E1529),2)</f>
        <v>180.67</v>
      </c>
      <c r="G1529" s="355"/>
      <c r="H1529" s="129"/>
      <c r="O1529" s="220"/>
    </row>
    <row r="1530" spans="1:15" x14ac:dyDescent="0.25">
      <c r="A1530" s="376"/>
      <c r="B1530" s="48"/>
      <c r="C1530" s="45"/>
      <c r="D1530" s="61"/>
      <c r="E1530" s="329"/>
      <c r="F1530" s="329"/>
      <c r="G1530" s="355"/>
      <c r="H1530" s="129"/>
      <c r="O1530" s="220"/>
    </row>
    <row r="1531" spans="1:15" x14ac:dyDescent="0.25">
      <c r="A1531" s="376"/>
      <c r="B1531" s="50" t="s">
        <v>148</v>
      </c>
      <c r="C1531" s="51"/>
      <c r="D1531" s="62"/>
      <c r="E1531" s="353"/>
      <c r="F1531" s="353"/>
      <c r="G1531" s="338">
        <f>+SUM(F1529:F1530)</f>
        <v>180.67</v>
      </c>
      <c r="H1531" s="129"/>
      <c r="O1531" s="220"/>
    </row>
    <row r="1532" spans="1:15" x14ac:dyDescent="0.25">
      <c r="A1532" s="376"/>
      <c r="B1532" s="48" t="s">
        <v>149</v>
      </c>
      <c r="C1532" s="55"/>
      <c r="D1532" s="64"/>
      <c r="E1532" s="55"/>
      <c r="F1532" s="55"/>
      <c r="G1532" s="58" t="s">
        <v>150</v>
      </c>
      <c r="H1532" s="129"/>
      <c r="O1532" s="220"/>
    </row>
    <row r="1533" spans="1:15" x14ac:dyDescent="0.25">
      <c r="A1533" s="376"/>
      <c r="B1533" s="48" t="s">
        <v>98</v>
      </c>
      <c r="C1533" s="45"/>
      <c r="D1533" s="59"/>
      <c r="E1533" s="45"/>
      <c r="F1533" s="45"/>
      <c r="G1533" s="47"/>
      <c r="H1533" s="129"/>
      <c r="O1533" s="220"/>
    </row>
    <row r="1534" spans="1:15" x14ac:dyDescent="0.25">
      <c r="A1534" s="376"/>
      <c r="B1534" s="48" t="s">
        <v>98</v>
      </c>
      <c r="C1534" s="45"/>
      <c r="D1534" s="59"/>
      <c r="E1534" s="45"/>
      <c r="F1534" s="45"/>
      <c r="G1534" s="47"/>
      <c r="H1534" s="129"/>
      <c r="O1534" s="220"/>
    </row>
    <row r="1535" spans="1:15" ht="15.75" thickBot="1" x14ac:dyDescent="0.3">
      <c r="A1535" s="376"/>
      <c r="B1535" s="65" t="s">
        <v>151</v>
      </c>
      <c r="C1535" s="66"/>
      <c r="D1535" s="67"/>
      <c r="E1535" s="66"/>
      <c r="F1535" s="66"/>
      <c r="G1535" s="68">
        <f>+SUM(F1533:F1534)</f>
        <v>0</v>
      </c>
      <c r="H1535" s="129"/>
      <c r="O1535" s="220"/>
    </row>
    <row r="1536" spans="1:15" ht="4.5" customHeight="1" thickBot="1" x14ac:dyDescent="0.3">
      <c r="A1536" s="376"/>
      <c r="B1536" s="1382"/>
      <c r="C1536" s="1382"/>
      <c r="D1536" s="1382"/>
      <c r="E1536" s="1382"/>
      <c r="F1536" s="1382"/>
      <c r="G1536" s="1382"/>
      <c r="H1536" s="129"/>
      <c r="O1536" s="220"/>
    </row>
    <row r="1537" spans="1:15" ht="15.75" thickBot="1" x14ac:dyDescent="0.3">
      <c r="A1537" s="376"/>
      <c r="B1537" s="69" t="s">
        <v>152</v>
      </c>
      <c r="C1537" s="70" t="s">
        <v>4415</v>
      </c>
      <c r="D1537" s="71" t="s">
        <v>154</v>
      </c>
      <c r="E1537" s="1381" t="s">
        <v>155</v>
      </c>
      <c r="F1537" s="1381"/>
      <c r="G1537" s="1381"/>
      <c r="H1537" s="129"/>
      <c r="O1537" s="220"/>
    </row>
    <row r="1538" spans="1:15" ht="15.75" thickBot="1" x14ac:dyDescent="0.3">
      <c r="A1538" s="376"/>
      <c r="B1538" s="72" t="s">
        <v>156</v>
      </c>
      <c r="C1538" s="73"/>
      <c r="D1538" s="332">
        <f>G1527</f>
        <v>3.87</v>
      </c>
      <c r="E1538" s="1381"/>
      <c r="F1538" s="1381"/>
      <c r="G1538" s="1381"/>
      <c r="H1538" s="129"/>
      <c r="O1538" s="220"/>
    </row>
    <row r="1539" spans="1:15" ht="15.75" thickBot="1" x14ac:dyDescent="0.3">
      <c r="A1539" s="376"/>
      <c r="B1539" s="72" t="s">
        <v>157</v>
      </c>
      <c r="C1539" s="73"/>
      <c r="D1539" s="332">
        <f>G1531</f>
        <v>180.67</v>
      </c>
      <c r="E1539" s="1381"/>
      <c r="F1539" s="1381"/>
      <c r="G1539" s="1381"/>
      <c r="H1539" s="129"/>
      <c r="O1539" s="220"/>
    </row>
    <row r="1540" spans="1:15" ht="15.75" thickBot="1" x14ac:dyDescent="0.3">
      <c r="A1540" s="376"/>
      <c r="B1540" s="72" t="s">
        <v>158</v>
      </c>
      <c r="C1540" s="73"/>
      <c r="D1540" s="332">
        <f>G1535</f>
        <v>0</v>
      </c>
      <c r="E1540" s="1381"/>
      <c r="F1540" s="1381"/>
      <c r="G1540" s="1381"/>
      <c r="H1540" s="129"/>
      <c r="O1540" s="220"/>
    </row>
    <row r="1541" spans="1:15" ht="15.75" thickBot="1" x14ac:dyDescent="0.3">
      <c r="A1541" s="376"/>
      <c r="B1541" s="72" t="s">
        <v>159</v>
      </c>
      <c r="C1541" s="74">
        <f>$J$5</f>
        <v>157.27000000000001</v>
      </c>
      <c r="D1541" s="332">
        <f>+ROUND((D1538*C1541),2)/100</f>
        <v>6.09</v>
      </c>
      <c r="E1541" s="1381"/>
      <c r="F1541" s="1381"/>
      <c r="G1541" s="1381"/>
      <c r="H1541" s="129"/>
      <c r="O1541" s="220"/>
    </row>
    <row r="1542" spans="1:15" ht="15.75" thickBot="1" x14ac:dyDescent="0.3">
      <c r="A1542" s="376"/>
      <c r="B1542" s="72" t="s">
        <v>160</v>
      </c>
      <c r="C1542" s="75"/>
      <c r="D1542" s="333">
        <f>+SUM(D1538:D1541)</f>
        <v>190.63</v>
      </c>
      <c r="E1542" s="1381"/>
      <c r="F1542" s="1381"/>
      <c r="G1542" s="1381"/>
      <c r="H1542" s="129"/>
      <c r="O1542" s="220"/>
    </row>
    <row r="1543" spans="1:15" ht="15.75" thickBot="1" x14ac:dyDescent="0.3">
      <c r="A1543" s="376"/>
      <c r="B1543" s="72" t="s">
        <v>161</v>
      </c>
      <c r="C1543" s="73"/>
      <c r="D1543" s="332" t="s">
        <v>162</v>
      </c>
      <c r="E1543" s="1382" t="s">
        <v>163</v>
      </c>
      <c r="F1543" s="1382"/>
      <c r="G1543" s="1382"/>
      <c r="H1543" s="129"/>
      <c r="O1543" s="220"/>
    </row>
    <row r="1544" spans="1:15" ht="15.75" thickBot="1" x14ac:dyDescent="0.3">
      <c r="A1544" s="376"/>
      <c r="B1544" s="76" t="s">
        <v>164</v>
      </c>
      <c r="C1544" s="77"/>
      <c r="D1544" s="334">
        <f>+SUM(D1542:D1543)</f>
        <v>190.63</v>
      </c>
      <c r="E1544" s="1382"/>
      <c r="F1544" s="1382"/>
      <c r="G1544" s="1382"/>
      <c r="H1544" s="129"/>
      <c r="O1544" s="220"/>
    </row>
    <row r="1545" spans="1:15" ht="15.75" thickBot="1" x14ac:dyDescent="0.3">
      <c r="A1545" s="376"/>
      <c r="B1545" s="78" t="s">
        <v>165</v>
      </c>
      <c r="C1545" s="79">
        <f>$I$5</f>
        <v>28.49</v>
      </c>
      <c r="D1545" s="335">
        <f>ROUND((D1544*C1545),2)/100</f>
        <v>54.31</v>
      </c>
      <c r="E1545" s="1382"/>
      <c r="F1545" s="1382"/>
      <c r="G1545" s="1382"/>
      <c r="H1545" s="129"/>
      <c r="O1545" s="220"/>
    </row>
    <row r="1546" spans="1:15" ht="15.75" thickBot="1" x14ac:dyDescent="0.3">
      <c r="A1546" s="376"/>
      <c r="B1546" s="80" t="s">
        <v>166</v>
      </c>
      <c r="C1546" s="81"/>
      <c r="D1546" s="336">
        <f>+SUM(D1544:D1545)</f>
        <v>244.94</v>
      </c>
      <c r="E1546" s="82"/>
      <c r="F1546" s="337">
        <f>D1546</f>
        <v>244.94</v>
      </c>
      <c r="G1546" s="35"/>
      <c r="H1546" s="129"/>
      <c r="O1546" s="220"/>
    </row>
    <row r="1547" spans="1:15" x14ac:dyDescent="0.25">
      <c r="H1547" s="129"/>
      <c r="O1547" s="220"/>
    </row>
    <row r="1548" spans="1:15" ht="15.75" thickBot="1" x14ac:dyDescent="0.3">
      <c r="H1548" s="129"/>
      <c r="O1548" s="220"/>
    </row>
    <row r="1549" spans="1:15" x14ac:dyDescent="0.25">
      <c r="B1549" s="1383" t="s">
        <v>131</v>
      </c>
      <c r="C1549" s="1383"/>
      <c r="D1549" s="1383"/>
      <c r="E1549" s="1383"/>
      <c r="F1549" s="1383"/>
      <c r="G1549" s="1383"/>
      <c r="H1549" s="129"/>
      <c r="O1549" s="220"/>
    </row>
    <row r="1550" spans="1:15" ht="15.75" thickBot="1" x14ac:dyDescent="0.3">
      <c r="B1550" s="1384" t="str">
        <f>$I$3</f>
        <v>Urbanização da Orla de Piúma - Município de Piúma / ES</v>
      </c>
      <c r="C1550" s="1385"/>
      <c r="D1550" s="1385"/>
      <c r="E1550" s="1385"/>
      <c r="F1550" s="1385"/>
      <c r="G1550" s="1386"/>
      <c r="H1550" s="129"/>
      <c r="O1550" s="220"/>
    </row>
    <row r="1551" spans="1:15" ht="15.75" thickBot="1" x14ac:dyDescent="0.3">
      <c r="A1551" s="376"/>
      <c r="B1551" s="34" t="s">
        <v>132</v>
      </c>
      <c r="C1551" s="34" t="s">
        <v>133</v>
      </c>
      <c r="D1551" s="1381" t="s">
        <v>134</v>
      </c>
      <c r="E1551" s="1381"/>
      <c r="F1551" s="131" t="s">
        <v>275</v>
      </c>
      <c r="G1551" s="35" t="s">
        <v>135</v>
      </c>
      <c r="H1551" s="129"/>
      <c r="O1551" s="220"/>
    </row>
    <row r="1552" spans="1:15" ht="27" thickBot="1" x14ac:dyDescent="0.3">
      <c r="A1552" s="376"/>
      <c r="B1552" s="132" t="s">
        <v>233</v>
      </c>
      <c r="C1552" s="92" t="s">
        <v>98</v>
      </c>
      <c r="D1552" s="1381" t="s">
        <v>8</v>
      </c>
      <c r="E1552" s="1381"/>
      <c r="F1552" s="144" t="s">
        <v>244</v>
      </c>
      <c r="G1552" s="38">
        <f>$K$5</f>
        <v>44501</v>
      </c>
      <c r="H1552" s="129"/>
      <c r="O1552" s="220"/>
    </row>
    <row r="1553" spans="1:15" ht="5.25" customHeight="1" thickBot="1" x14ac:dyDescent="0.3">
      <c r="A1553" s="376"/>
      <c r="B1553" s="1382"/>
      <c r="C1553" s="1382"/>
      <c r="D1553" s="1382"/>
      <c r="E1553" s="1382"/>
      <c r="F1553" s="1382"/>
      <c r="G1553" s="1382"/>
      <c r="H1553" s="129"/>
      <c r="O1553" s="220"/>
    </row>
    <row r="1554" spans="1:15" x14ac:dyDescent="0.25">
      <c r="A1554" s="376"/>
      <c r="B1554" s="41" t="s">
        <v>139</v>
      </c>
      <c r="C1554" s="42" t="s">
        <v>140</v>
      </c>
      <c r="D1554" s="42" t="s">
        <v>141</v>
      </c>
      <c r="E1554" s="42" t="s">
        <v>142</v>
      </c>
      <c r="F1554" s="42" t="s">
        <v>143</v>
      </c>
      <c r="G1554" s="43" t="s">
        <v>144</v>
      </c>
      <c r="H1554" s="129"/>
      <c r="O1554" s="220"/>
    </row>
    <row r="1555" spans="1:15" x14ac:dyDescent="0.25">
      <c r="A1555" s="376">
        <v>10139</v>
      </c>
      <c r="B1555" s="44" t="str">
        <f>VLOOKUP(A1555,Insumos!$A$10:$F$3462,2,FALSE)</f>
        <v>PEDREIRO - (OFICIAL - SINDUSCON)</v>
      </c>
      <c r="C1555" s="45" t="str">
        <f>VLOOKUP(A1555,Insumos!$A$10:$F$3462,3,FALSE)</f>
        <v>H</v>
      </c>
      <c r="D1555" s="46">
        <v>0.5</v>
      </c>
      <c r="E1555" s="329">
        <f>VLOOKUP(A1555,Insumos!$A$10:$F$3462,4,FALSE)</f>
        <v>7.43</v>
      </c>
      <c r="F1555" s="329">
        <f>ROUND((D1555*E1555),2)</f>
        <v>3.72</v>
      </c>
      <c r="G1555" s="355"/>
      <c r="H1555" s="129"/>
      <c r="O1555" s="220"/>
    </row>
    <row r="1556" spans="1:15" x14ac:dyDescent="0.25">
      <c r="A1556" s="376">
        <v>10146</v>
      </c>
      <c r="B1556" s="44" t="str">
        <f>VLOOKUP(A1556,Insumos!$A$10:$F$3462,2,FALSE)</f>
        <v>SERVENTE (AUXILIAR DE OBRAS - SINDUSCON)</v>
      </c>
      <c r="C1556" s="45" t="str">
        <f>VLOOKUP(A1556,Insumos!$A$10:$F$3462,3,FALSE)</f>
        <v>H</v>
      </c>
      <c r="D1556" s="46">
        <v>0.5</v>
      </c>
      <c r="E1556" s="329">
        <f>VLOOKUP(A1556,Insumos!$A$10:$F$3462,4,FALSE)</f>
        <v>5.46</v>
      </c>
      <c r="F1556" s="329">
        <f>ROUND((D1556*E1556),2)</f>
        <v>2.73</v>
      </c>
      <c r="G1556" s="355"/>
      <c r="H1556" s="129"/>
      <c r="O1556" s="220"/>
    </row>
    <row r="1557" spans="1:15" x14ac:dyDescent="0.25">
      <c r="A1557" s="376"/>
      <c r="B1557" s="48"/>
      <c r="C1557" s="45"/>
      <c r="D1557" s="49"/>
      <c r="E1557" s="329"/>
      <c r="F1557" s="329"/>
      <c r="G1557" s="355"/>
      <c r="H1557" s="129"/>
      <c r="O1557" s="220"/>
    </row>
    <row r="1558" spans="1:15" x14ac:dyDescent="0.25">
      <c r="A1558" s="376"/>
      <c r="B1558" s="50" t="s">
        <v>145</v>
      </c>
      <c r="C1558" s="51"/>
      <c r="D1558" s="52"/>
      <c r="E1558" s="329"/>
      <c r="F1558" s="353"/>
      <c r="G1558" s="338">
        <f>+SUM(F1555:F1557)</f>
        <v>6.45</v>
      </c>
      <c r="H1558" s="129"/>
      <c r="O1558" s="220"/>
    </row>
    <row r="1559" spans="1:15" x14ac:dyDescent="0.25">
      <c r="A1559" s="376"/>
      <c r="B1559" s="48" t="s">
        <v>146</v>
      </c>
      <c r="C1559" s="55"/>
      <c r="D1559" s="56"/>
      <c r="E1559" s="45"/>
      <c r="F1559" s="57"/>
      <c r="G1559" s="58" t="s">
        <v>147</v>
      </c>
      <c r="H1559" s="129"/>
      <c r="O1559" s="220"/>
    </row>
    <row r="1560" spans="1:15" ht="26.25" x14ac:dyDescent="0.25">
      <c r="A1560" s="376" t="s">
        <v>474</v>
      </c>
      <c r="B1560" s="230" t="str">
        <f>VLOOKUP(A1560,Insumos!$A$10:$F$3462,2,FALSE)</f>
        <v>Bicicletário de Chão para 05 bicicletas AL-43, fixado no chão.  Fabricante: Altmayer Sport ou equivalente</v>
      </c>
      <c r="C1560" s="231" t="str">
        <f>VLOOKUP(A1560,Insumos!$A$10:$F$3462,3,FALSE)</f>
        <v>und</v>
      </c>
      <c r="D1560" s="46">
        <v>1</v>
      </c>
      <c r="E1560" s="329">
        <f>VLOOKUP(A1560,Insumos!$A$10:$F$3462,4,FALSE)</f>
        <v>485.9</v>
      </c>
      <c r="F1560" s="329">
        <f>ROUND((D1560*E1560),2)</f>
        <v>485.9</v>
      </c>
      <c r="G1560" s="355"/>
      <c r="H1560" s="129"/>
      <c r="O1560" s="220"/>
    </row>
    <row r="1561" spans="1:15" x14ac:dyDescent="0.25">
      <c r="A1561" s="376"/>
      <c r="B1561" s="48"/>
      <c r="C1561" s="45"/>
      <c r="D1561" s="61"/>
      <c r="E1561" s="329"/>
      <c r="F1561" s="329"/>
      <c r="G1561" s="355"/>
      <c r="H1561" s="129"/>
      <c r="O1561" s="220"/>
    </row>
    <row r="1562" spans="1:15" x14ac:dyDescent="0.25">
      <c r="A1562" s="376"/>
      <c r="B1562" s="50" t="s">
        <v>148</v>
      </c>
      <c r="C1562" s="51"/>
      <c r="D1562" s="62"/>
      <c r="E1562" s="353"/>
      <c r="F1562" s="353"/>
      <c r="G1562" s="338">
        <f>+SUM(F1560:F1561)</f>
        <v>485.9</v>
      </c>
      <c r="H1562" s="129"/>
      <c r="O1562" s="220"/>
    </row>
    <row r="1563" spans="1:15" x14ac:dyDescent="0.25">
      <c r="A1563" s="376"/>
      <c r="B1563" s="48" t="s">
        <v>149</v>
      </c>
      <c r="C1563" s="55"/>
      <c r="D1563" s="64"/>
      <c r="E1563" s="55"/>
      <c r="F1563" s="55"/>
      <c r="G1563" s="58" t="s">
        <v>150</v>
      </c>
      <c r="H1563" s="129"/>
      <c r="O1563" s="220"/>
    </row>
    <row r="1564" spans="1:15" x14ac:dyDescent="0.25">
      <c r="A1564" s="376"/>
      <c r="B1564" s="48" t="s">
        <v>98</v>
      </c>
      <c r="C1564" s="45"/>
      <c r="D1564" s="59"/>
      <c r="E1564" s="45"/>
      <c r="F1564" s="45"/>
      <c r="G1564" s="47"/>
      <c r="H1564" s="129"/>
      <c r="O1564" s="220"/>
    </row>
    <row r="1565" spans="1:15" x14ac:dyDescent="0.25">
      <c r="A1565" s="376"/>
      <c r="B1565" s="48" t="s">
        <v>98</v>
      </c>
      <c r="C1565" s="45"/>
      <c r="D1565" s="59"/>
      <c r="E1565" s="45"/>
      <c r="F1565" s="45"/>
      <c r="G1565" s="47"/>
      <c r="H1565" s="129"/>
      <c r="O1565" s="220"/>
    </row>
    <row r="1566" spans="1:15" ht="15.75" thickBot="1" x14ac:dyDescent="0.3">
      <c r="A1566" s="376"/>
      <c r="B1566" s="65" t="s">
        <v>151</v>
      </c>
      <c r="C1566" s="66"/>
      <c r="D1566" s="67"/>
      <c r="E1566" s="66"/>
      <c r="F1566" s="66"/>
      <c r="G1566" s="68">
        <f>+SUM(F1564:F1565)</f>
        <v>0</v>
      </c>
      <c r="H1566" s="129"/>
      <c r="O1566" s="220"/>
    </row>
    <row r="1567" spans="1:15" ht="4.5" customHeight="1" thickBot="1" x14ac:dyDescent="0.3">
      <c r="A1567" s="376"/>
      <c r="B1567" s="1382"/>
      <c r="C1567" s="1382"/>
      <c r="D1567" s="1382"/>
      <c r="E1567" s="1382"/>
      <c r="F1567" s="1382"/>
      <c r="G1567" s="1382"/>
      <c r="H1567" s="129"/>
      <c r="O1567" s="220"/>
    </row>
    <row r="1568" spans="1:15" ht="15.75" thickBot="1" x14ac:dyDescent="0.3">
      <c r="A1568" s="376"/>
      <c r="B1568" s="69" t="s">
        <v>152</v>
      </c>
      <c r="C1568" s="70" t="s">
        <v>4415</v>
      </c>
      <c r="D1568" s="71" t="s">
        <v>154</v>
      </c>
      <c r="E1568" s="1381" t="s">
        <v>155</v>
      </c>
      <c r="F1568" s="1381"/>
      <c r="G1568" s="1381"/>
      <c r="H1568" s="129"/>
      <c r="O1568" s="220"/>
    </row>
    <row r="1569" spans="1:15" ht="15.75" thickBot="1" x14ac:dyDescent="0.3">
      <c r="A1569" s="376"/>
      <c r="B1569" s="72" t="s">
        <v>156</v>
      </c>
      <c r="C1569" s="73"/>
      <c r="D1569" s="332">
        <f>G1558</f>
        <v>6.45</v>
      </c>
      <c r="E1569" s="1381"/>
      <c r="F1569" s="1381"/>
      <c r="G1569" s="1381"/>
      <c r="H1569" s="129"/>
      <c r="O1569" s="220"/>
    </row>
    <row r="1570" spans="1:15" ht="15.75" thickBot="1" x14ac:dyDescent="0.3">
      <c r="A1570" s="376"/>
      <c r="B1570" s="72" t="s">
        <v>157</v>
      </c>
      <c r="C1570" s="73"/>
      <c r="D1570" s="332">
        <f>G1562</f>
        <v>485.9</v>
      </c>
      <c r="E1570" s="1381"/>
      <c r="F1570" s="1381"/>
      <c r="G1570" s="1381"/>
      <c r="H1570" s="129"/>
      <c r="O1570" s="220"/>
    </row>
    <row r="1571" spans="1:15" ht="15.75" thickBot="1" x14ac:dyDescent="0.3">
      <c r="A1571" s="376"/>
      <c r="B1571" s="72" t="s">
        <v>158</v>
      </c>
      <c r="C1571" s="73"/>
      <c r="D1571" s="332">
        <f>G1566</f>
        <v>0</v>
      </c>
      <c r="E1571" s="1381"/>
      <c r="F1571" s="1381"/>
      <c r="G1571" s="1381"/>
      <c r="H1571" s="129"/>
      <c r="O1571" s="220"/>
    </row>
    <row r="1572" spans="1:15" ht="15.75" thickBot="1" x14ac:dyDescent="0.3">
      <c r="A1572" s="376"/>
      <c r="B1572" s="72" t="s">
        <v>159</v>
      </c>
      <c r="C1572" s="74">
        <f>$J$5</f>
        <v>157.27000000000001</v>
      </c>
      <c r="D1572" s="332">
        <f>+ROUND((D1569*C1572),2)/100</f>
        <v>10.14</v>
      </c>
      <c r="E1572" s="1381"/>
      <c r="F1572" s="1381"/>
      <c r="G1572" s="1381"/>
      <c r="H1572" s="129"/>
      <c r="O1572" s="220"/>
    </row>
    <row r="1573" spans="1:15" ht="15.75" thickBot="1" x14ac:dyDescent="0.3">
      <c r="A1573" s="376"/>
      <c r="B1573" s="72" t="s">
        <v>160</v>
      </c>
      <c r="C1573" s="75"/>
      <c r="D1573" s="333">
        <f>+SUM(D1569:D1572)</f>
        <v>502.49</v>
      </c>
      <c r="E1573" s="1381"/>
      <c r="F1573" s="1381"/>
      <c r="G1573" s="1381"/>
      <c r="H1573" s="129"/>
      <c r="O1573" s="220"/>
    </row>
    <row r="1574" spans="1:15" ht="15.75" thickBot="1" x14ac:dyDescent="0.3">
      <c r="A1574" s="376"/>
      <c r="B1574" s="72" t="s">
        <v>161</v>
      </c>
      <c r="C1574" s="73"/>
      <c r="D1574" s="332" t="s">
        <v>162</v>
      </c>
      <c r="E1574" s="1382" t="s">
        <v>163</v>
      </c>
      <c r="F1574" s="1382"/>
      <c r="G1574" s="1382"/>
      <c r="H1574" s="129"/>
      <c r="O1574" s="220"/>
    </row>
    <row r="1575" spans="1:15" ht="15.75" thickBot="1" x14ac:dyDescent="0.3">
      <c r="A1575" s="376"/>
      <c r="B1575" s="76" t="s">
        <v>164</v>
      </c>
      <c r="C1575" s="77"/>
      <c r="D1575" s="334">
        <f>+SUM(D1573:D1574)</f>
        <v>502.49</v>
      </c>
      <c r="E1575" s="1382"/>
      <c r="F1575" s="1382"/>
      <c r="G1575" s="1382"/>
      <c r="H1575" s="129"/>
      <c r="O1575" s="220"/>
    </row>
    <row r="1576" spans="1:15" ht="15.75" thickBot="1" x14ac:dyDescent="0.3">
      <c r="A1576" s="376"/>
      <c r="B1576" s="78" t="s">
        <v>165</v>
      </c>
      <c r="C1576" s="79">
        <f>$I$5</f>
        <v>28.49</v>
      </c>
      <c r="D1576" s="335">
        <f>ROUND((D1575*C1576),2)/100</f>
        <v>143.16</v>
      </c>
      <c r="E1576" s="1382"/>
      <c r="F1576" s="1382"/>
      <c r="G1576" s="1382"/>
      <c r="H1576" s="129"/>
      <c r="O1576" s="220"/>
    </row>
    <row r="1577" spans="1:15" ht="15.75" thickBot="1" x14ac:dyDescent="0.3">
      <c r="A1577" s="376"/>
      <c r="B1577" s="80" t="s">
        <v>166</v>
      </c>
      <c r="C1577" s="81"/>
      <c r="D1577" s="336">
        <f>+SUM(D1575:D1576)</f>
        <v>645.65</v>
      </c>
      <c r="E1577" s="82"/>
      <c r="F1577" s="337">
        <f>D1577</f>
        <v>645.65</v>
      </c>
      <c r="G1577" s="35"/>
      <c r="H1577" s="129"/>
      <c r="O1577" s="220"/>
    </row>
    <row r="1578" spans="1:15" x14ac:dyDescent="0.25">
      <c r="H1578" s="129"/>
      <c r="O1578" s="220"/>
    </row>
    <row r="1579" spans="1:15" ht="15.75" thickBot="1" x14ac:dyDescent="0.3">
      <c r="H1579" s="129"/>
      <c r="O1579" s="220"/>
    </row>
    <row r="1580" spans="1:15" x14ac:dyDescent="0.25">
      <c r="B1580" s="1383" t="s">
        <v>131</v>
      </c>
      <c r="C1580" s="1383"/>
      <c r="D1580" s="1383"/>
      <c r="E1580" s="1383"/>
      <c r="F1580" s="1383"/>
      <c r="G1580" s="1383"/>
      <c r="H1580" s="129"/>
      <c r="O1580" s="220"/>
    </row>
    <row r="1581" spans="1:15" ht="15.75" thickBot="1" x14ac:dyDescent="0.3">
      <c r="B1581" s="1384" t="str">
        <f>$I$3</f>
        <v>Urbanização da Orla de Piúma - Município de Piúma / ES</v>
      </c>
      <c r="C1581" s="1385"/>
      <c r="D1581" s="1385"/>
      <c r="E1581" s="1385"/>
      <c r="F1581" s="1385"/>
      <c r="G1581" s="1386"/>
      <c r="H1581" s="129"/>
      <c r="O1581" s="220"/>
    </row>
    <row r="1582" spans="1:15" ht="15.75" thickBot="1" x14ac:dyDescent="0.3">
      <c r="A1582" s="376"/>
      <c r="B1582" s="34" t="s">
        <v>132</v>
      </c>
      <c r="C1582" s="34" t="s">
        <v>133</v>
      </c>
      <c r="D1582" s="1381" t="s">
        <v>134</v>
      </c>
      <c r="E1582" s="1381"/>
      <c r="F1582" s="131" t="s">
        <v>275</v>
      </c>
      <c r="G1582" s="35" t="s">
        <v>135</v>
      </c>
      <c r="H1582" s="129"/>
      <c r="O1582" s="220"/>
    </row>
    <row r="1583" spans="1:15" ht="39.75" thickBot="1" x14ac:dyDescent="0.3">
      <c r="A1583" s="376"/>
      <c r="B1583" s="132" t="s">
        <v>234</v>
      </c>
      <c r="C1583" s="92" t="s">
        <v>98</v>
      </c>
      <c r="D1583" s="1381" t="s">
        <v>8</v>
      </c>
      <c r="E1583" s="1381"/>
      <c r="F1583" s="144" t="s">
        <v>245</v>
      </c>
      <c r="G1583" s="38">
        <f>$K$5</f>
        <v>44501</v>
      </c>
      <c r="H1583" s="129"/>
      <c r="O1583" s="220"/>
    </row>
    <row r="1584" spans="1:15" ht="8.25" customHeight="1" thickBot="1" x14ac:dyDescent="0.3">
      <c r="A1584" s="376"/>
      <c r="B1584" s="1382"/>
      <c r="C1584" s="1382"/>
      <c r="D1584" s="1382"/>
      <c r="E1584" s="1382"/>
      <c r="F1584" s="1382"/>
      <c r="G1584" s="1382"/>
      <c r="H1584" s="129"/>
      <c r="O1584" s="220"/>
    </row>
    <row r="1585" spans="1:15" x14ac:dyDescent="0.25">
      <c r="A1585" s="376"/>
      <c r="B1585" s="41" t="s">
        <v>139</v>
      </c>
      <c r="C1585" s="42" t="s">
        <v>140</v>
      </c>
      <c r="D1585" s="42" t="s">
        <v>141</v>
      </c>
      <c r="E1585" s="42" t="s">
        <v>142</v>
      </c>
      <c r="F1585" s="42" t="s">
        <v>143</v>
      </c>
      <c r="G1585" s="43" t="s">
        <v>144</v>
      </c>
      <c r="H1585" s="129"/>
      <c r="O1585" s="220"/>
    </row>
    <row r="1586" spans="1:15" x14ac:dyDescent="0.25">
      <c r="A1586" s="376">
        <v>10139</v>
      </c>
      <c r="B1586" s="44" t="str">
        <f>VLOOKUP(A1586,Insumos!$A$10:$F$3462,2,FALSE)</f>
        <v>PEDREIRO - (OFICIAL - SINDUSCON)</v>
      </c>
      <c r="C1586" s="45" t="str">
        <f>VLOOKUP(A1586,Insumos!$A$10:$F$3462,3,FALSE)</f>
        <v>H</v>
      </c>
      <c r="D1586" s="46">
        <v>0.5</v>
      </c>
      <c r="E1586" s="329">
        <f>VLOOKUP(A1586,Insumos!$A$10:$F$3462,4,FALSE)</f>
        <v>7.43</v>
      </c>
      <c r="F1586" s="329">
        <f>ROUND((D1586*E1586),2)</f>
        <v>3.72</v>
      </c>
      <c r="G1586" s="355"/>
      <c r="H1586" s="129"/>
      <c r="O1586" s="220"/>
    </row>
    <row r="1587" spans="1:15" x14ac:dyDescent="0.25">
      <c r="A1587" s="376">
        <v>10146</v>
      </c>
      <c r="B1587" s="44" t="str">
        <f>VLOOKUP(A1587,Insumos!$A$10:$F$3462,2,FALSE)</f>
        <v>SERVENTE (AUXILIAR DE OBRAS - SINDUSCON)</v>
      </c>
      <c r="C1587" s="45" t="str">
        <f>VLOOKUP(A1587,Insumos!$A$10:$F$3462,3,FALSE)</f>
        <v>H</v>
      </c>
      <c r="D1587" s="46">
        <v>0.5</v>
      </c>
      <c r="E1587" s="329">
        <f>VLOOKUP(A1587,Insumos!$A$10:$F$3462,4,FALSE)</f>
        <v>5.46</v>
      </c>
      <c r="F1587" s="329">
        <f>ROUND((D1587*E1587),2)</f>
        <v>2.73</v>
      </c>
      <c r="G1587" s="355"/>
      <c r="H1587" s="129"/>
      <c r="O1587" s="220"/>
    </row>
    <row r="1588" spans="1:15" x14ac:dyDescent="0.25">
      <c r="A1588" s="376"/>
      <c r="B1588" s="48"/>
      <c r="C1588" s="45"/>
      <c r="D1588" s="49"/>
      <c r="E1588" s="329"/>
      <c r="F1588" s="329"/>
      <c r="G1588" s="355"/>
      <c r="H1588" s="129"/>
      <c r="O1588" s="220"/>
    </row>
    <row r="1589" spans="1:15" x14ac:dyDescent="0.25">
      <c r="A1589" s="376"/>
      <c r="B1589" s="50" t="s">
        <v>145</v>
      </c>
      <c r="C1589" s="51"/>
      <c r="D1589" s="52"/>
      <c r="E1589" s="329"/>
      <c r="F1589" s="353"/>
      <c r="G1589" s="338">
        <f>+SUM(F1586:F1588)</f>
        <v>6.45</v>
      </c>
      <c r="H1589" s="129"/>
      <c r="O1589" s="220"/>
    </row>
    <row r="1590" spans="1:15" x14ac:dyDescent="0.25">
      <c r="A1590" s="376"/>
      <c r="B1590" s="48" t="s">
        <v>146</v>
      </c>
      <c r="C1590" s="55"/>
      <c r="D1590" s="56"/>
      <c r="E1590" s="45"/>
      <c r="F1590" s="57"/>
      <c r="G1590" s="58" t="s">
        <v>147</v>
      </c>
      <c r="H1590" s="129"/>
      <c r="O1590" s="220"/>
    </row>
    <row r="1591" spans="1:15" ht="40.5" customHeight="1" x14ac:dyDescent="0.25">
      <c r="A1591" s="376" t="s">
        <v>475</v>
      </c>
      <c r="B1591" s="230" t="str">
        <f>VLOOKUP(A1591,Insumos!$A$10:$F$3462,2,FALSE)</f>
        <v>Lixeiras Ciclo Capacidade 50 litros, fixada no chão, em tubo estrutural e chapa perfurada em aço. Produto com acabamento em pintura eletrostática. Fabricante: Nomen Design Mobiliário Urbano ou equivalente</v>
      </c>
      <c r="C1591" s="231" t="str">
        <f>VLOOKUP(A1591,Insumos!$A$10:$F$3462,3,FALSE)</f>
        <v>und</v>
      </c>
      <c r="D1591" s="46">
        <v>1</v>
      </c>
      <c r="E1591" s="329">
        <f>VLOOKUP(A1591,Insumos!$A$10:$F$3462,4,FALSE)</f>
        <v>1476</v>
      </c>
      <c r="F1591" s="329">
        <f>ROUND((D1591*E1591),2)</f>
        <v>1476</v>
      </c>
      <c r="G1591" s="355"/>
      <c r="H1591" s="129"/>
      <c r="O1591" s="220"/>
    </row>
    <row r="1592" spans="1:15" x14ac:dyDescent="0.25">
      <c r="A1592" s="376"/>
      <c r="B1592" s="48"/>
      <c r="C1592" s="45"/>
      <c r="D1592" s="61"/>
      <c r="E1592" s="329"/>
      <c r="F1592" s="329"/>
      <c r="G1592" s="355"/>
      <c r="H1592" s="129"/>
      <c r="O1592" s="220"/>
    </row>
    <row r="1593" spans="1:15" x14ac:dyDescent="0.25">
      <c r="A1593" s="376"/>
      <c r="B1593" s="50" t="s">
        <v>148</v>
      </c>
      <c r="C1593" s="51"/>
      <c r="D1593" s="62"/>
      <c r="E1593" s="353"/>
      <c r="F1593" s="353"/>
      <c r="G1593" s="338">
        <f>+SUM(F1591:F1592)</f>
        <v>1476</v>
      </c>
      <c r="H1593" s="129"/>
      <c r="O1593" s="220"/>
    </row>
    <row r="1594" spans="1:15" x14ac:dyDescent="0.25">
      <c r="A1594" s="376"/>
      <c r="B1594" s="48" t="s">
        <v>149</v>
      </c>
      <c r="C1594" s="55"/>
      <c r="D1594" s="64"/>
      <c r="E1594" s="55"/>
      <c r="F1594" s="55"/>
      <c r="G1594" s="58" t="s">
        <v>150</v>
      </c>
      <c r="H1594" s="129"/>
      <c r="O1594" s="220"/>
    </row>
    <row r="1595" spans="1:15" x14ac:dyDescent="0.25">
      <c r="A1595" s="376"/>
      <c r="B1595" s="48" t="s">
        <v>98</v>
      </c>
      <c r="C1595" s="45"/>
      <c r="D1595" s="59"/>
      <c r="E1595" s="45"/>
      <c r="F1595" s="45"/>
      <c r="G1595" s="47"/>
      <c r="H1595" s="129"/>
      <c r="O1595" s="220"/>
    </row>
    <row r="1596" spans="1:15" x14ac:dyDescent="0.25">
      <c r="A1596" s="376"/>
      <c r="B1596" s="48" t="s">
        <v>98</v>
      </c>
      <c r="C1596" s="45"/>
      <c r="D1596" s="59"/>
      <c r="E1596" s="45"/>
      <c r="F1596" s="45"/>
      <c r="G1596" s="47"/>
      <c r="H1596" s="129"/>
      <c r="O1596" s="220"/>
    </row>
    <row r="1597" spans="1:15" ht="15.75" thickBot="1" x14ac:dyDescent="0.3">
      <c r="A1597" s="376"/>
      <c r="B1597" s="65" t="s">
        <v>151</v>
      </c>
      <c r="C1597" s="66"/>
      <c r="D1597" s="67"/>
      <c r="E1597" s="66"/>
      <c r="F1597" s="66"/>
      <c r="G1597" s="68">
        <f>+SUM(F1595:F1596)</f>
        <v>0</v>
      </c>
      <c r="H1597" s="129"/>
      <c r="O1597" s="220"/>
    </row>
    <row r="1598" spans="1:15" ht="4.5" customHeight="1" thickBot="1" x14ac:dyDescent="0.3">
      <c r="A1598" s="376"/>
      <c r="B1598" s="1382"/>
      <c r="C1598" s="1382"/>
      <c r="D1598" s="1382"/>
      <c r="E1598" s="1382"/>
      <c r="F1598" s="1382"/>
      <c r="G1598" s="1382"/>
      <c r="H1598" s="129"/>
      <c r="O1598" s="220"/>
    </row>
    <row r="1599" spans="1:15" ht="15.75" thickBot="1" x14ac:dyDescent="0.3">
      <c r="A1599" s="376"/>
      <c r="B1599" s="69" t="s">
        <v>152</v>
      </c>
      <c r="C1599" s="70" t="s">
        <v>4415</v>
      </c>
      <c r="D1599" s="71" t="s">
        <v>154</v>
      </c>
      <c r="E1599" s="1381" t="s">
        <v>155</v>
      </c>
      <c r="F1599" s="1381"/>
      <c r="G1599" s="1381"/>
      <c r="H1599" s="129"/>
      <c r="O1599" s="220"/>
    </row>
    <row r="1600" spans="1:15" ht="15.75" thickBot="1" x14ac:dyDescent="0.3">
      <c r="A1600" s="376"/>
      <c r="B1600" s="72" t="s">
        <v>156</v>
      </c>
      <c r="C1600" s="73"/>
      <c r="D1600" s="332">
        <f>G1589</f>
        <v>6.45</v>
      </c>
      <c r="E1600" s="1381"/>
      <c r="F1600" s="1381"/>
      <c r="G1600" s="1381"/>
      <c r="H1600" s="129"/>
      <c r="O1600" s="220"/>
    </row>
    <row r="1601" spans="1:15" ht="15.75" thickBot="1" x14ac:dyDescent="0.3">
      <c r="A1601" s="376"/>
      <c r="B1601" s="72" t="s">
        <v>157</v>
      </c>
      <c r="C1601" s="73"/>
      <c r="D1601" s="332">
        <f>G1593</f>
        <v>1476</v>
      </c>
      <c r="E1601" s="1381"/>
      <c r="F1601" s="1381"/>
      <c r="G1601" s="1381"/>
      <c r="H1601" s="129"/>
      <c r="O1601" s="220"/>
    </row>
    <row r="1602" spans="1:15" ht="15.75" thickBot="1" x14ac:dyDescent="0.3">
      <c r="A1602" s="376"/>
      <c r="B1602" s="72" t="s">
        <v>158</v>
      </c>
      <c r="C1602" s="73"/>
      <c r="D1602" s="332">
        <f>G1597</f>
        <v>0</v>
      </c>
      <c r="E1602" s="1381"/>
      <c r="F1602" s="1381"/>
      <c r="G1602" s="1381"/>
      <c r="H1602" s="129"/>
      <c r="O1602" s="220"/>
    </row>
    <row r="1603" spans="1:15" ht="15.75" thickBot="1" x14ac:dyDescent="0.3">
      <c r="A1603" s="376"/>
      <c r="B1603" s="72" t="s">
        <v>159</v>
      </c>
      <c r="C1603" s="74">
        <f>$J$5</f>
        <v>157.27000000000001</v>
      </c>
      <c r="D1603" s="332">
        <f>+ROUND((D1600*C1603),2)/100</f>
        <v>10.14</v>
      </c>
      <c r="E1603" s="1381"/>
      <c r="F1603" s="1381"/>
      <c r="G1603" s="1381"/>
      <c r="H1603" s="129"/>
      <c r="O1603" s="220"/>
    </row>
    <row r="1604" spans="1:15" ht="15.75" thickBot="1" x14ac:dyDescent="0.3">
      <c r="A1604" s="376"/>
      <c r="B1604" s="72" t="s">
        <v>160</v>
      </c>
      <c r="C1604" s="75"/>
      <c r="D1604" s="333">
        <f>+SUM(D1600:D1603)</f>
        <v>1492.59</v>
      </c>
      <c r="E1604" s="1381"/>
      <c r="F1604" s="1381"/>
      <c r="G1604" s="1381"/>
      <c r="H1604" s="129"/>
      <c r="O1604" s="220"/>
    </row>
    <row r="1605" spans="1:15" ht="15.75" thickBot="1" x14ac:dyDescent="0.3">
      <c r="A1605" s="376"/>
      <c r="B1605" s="72" t="s">
        <v>161</v>
      </c>
      <c r="C1605" s="73"/>
      <c r="D1605" s="332" t="s">
        <v>162</v>
      </c>
      <c r="E1605" s="1382" t="s">
        <v>163</v>
      </c>
      <c r="F1605" s="1382"/>
      <c r="G1605" s="1382"/>
      <c r="H1605" s="129"/>
      <c r="O1605" s="220"/>
    </row>
    <row r="1606" spans="1:15" ht="15.75" thickBot="1" x14ac:dyDescent="0.3">
      <c r="A1606" s="376"/>
      <c r="B1606" s="76" t="s">
        <v>164</v>
      </c>
      <c r="C1606" s="77"/>
      <c r="D1606" s="334">
        <f>+SUM(D1604:D1605)</f>
        <v>1492.59</v>
      </c>
      <c r="E1606" s="1382"/>
      <c r="F1606" s="1382"/>
      <c r="G1606" s="1382"/>
      <c r="H1606" s="129"/>
      <c r="O1606" s="220"/>
    </row>
    <row r="1607" spans="1:15" ht="15.75" thickBot="1" x14ac:dyDescent="0.3">
      <c r="A1607" s="376"/>
      <c r="B1607" s="78" t="s">
        <v>165</v>
      </c>
      <c r="C1607" s="79">
        <f>$I$5</f>
        <v>28.49</v>
      </c>
      <c r="D1607" s="335">
        <f>ROUND((D1606*C1607),2)/100</f>
        <v>425.24</v>
      </c>
      <c r="E1607" s="1382"/>
      <c r="F1607" s="1382"/>
      <c r="G1607" s="1382"/>
      <c r="H1607" s="129"/>
      <c r="O1607" s="220"/>
    </row>
    <row r="1608" spans="1:15" ht="15.75" thickBot="1" x14ac:dyDescent="0.3">
      <c r="A1608" s="376"/>
      <c r="B1608" s="80" t="s">
        <v>166</v>
      </c>
      <c r="C1608" s="81"/>
      <c r="D1608" s="336">
        <f>+SUM(D1606:D1607)</f>
        <v>1917.83</v>
      </c>
      <c r="E1608" s="82"/>
      <c r="F1608" s="337">
        <f>D1608</f>
        <v>1917.83</v>
      </c>
      <c r="G1608" s="35"/>
      <c r="H1608" s="129"/>
      <c r="O1608" s="220"/>
    </row>
    <row r="1609" spans="1:15" x14ac:dyDescent="0.25">
      <c r="H1609" s="129"/>
      <c r="O1609" s="220"/>
    </row>
    <row r="1610" spans="1:15" ht="15.75" thickBot="1" x14ac:dyDescent="0.3">
      <c r="H1610" s="129"/>
      <c r="O1610" s="220"/>
    </row>
    <row r="1611" spans="1:15" x14ac:dyDescent="0.25">
      <c r="B1611" s="1383" t="s">
        <v>131</v>
      </c>
      <c r="C1611" s="1383"/>
      <c r="D1611" s="1383"/>
      <c r="E1611" s="1383"/>
      <c r="F1611" s="1383"/>
      <c r="G1611" s="1383"/>
      <c r="H1611" s="129"/>
      <c r="O1611" s="220"/>
    </row>
    <row r="1612" spans="1:15" ht="15.75" thickBot="1" x14ac:dyDescent="0.3">
      <c r="B1612" s="1384" t="str">
        <f>$I$3</f>
        <v>Urbanização da Orla de Piúma - Município de Piúma / ES</v>
      </c>
      <c r="C1612" s="1385"/>
      <c r="D1612" s="1385"/>
      <c r="E1612" s="1385"/>
      <c r="F1612" s="1385"/>
      <c r="G1612" s="1386"/>
      <c r="H1612" s="129"/>
      <c r="O1612" s="220"/>
    </row>
    <row r="1613" spans="1:15" ht="15.75" thickBot="1" x14ac:dyDescent="0.3">
      <c r="A1613" s="376"/>
      <c r="B1613" s="34" t="s">
        <v>132</v>
      </c>
      <c r="C1613" s="34" t="s">
        <v>133</v>
      </c>
      <c r="D1613" s="1381" t="s">
        <v>134</v>
      </c>
      <c r="E1613" s="1381"/>
      <c r="F1613" s="131" t="s">
        <v>275</v>
      </c>
      <c r="G1613" s="35" t="s">
        <v>135</v>
      </c>
      <c r="H1613" s="129"/>
      <c r="O1613" s="220"/>
    </row>
    <row r="1614" spans="1:15" ht="27" thickBot="1" x14ac:dyDescent="0.3">
      <c r="A1614" s="376"/>
      <c r="B1614" s="132" t="s">
        <v>252</v>
      </c>
      <c r="C1614" s="92" t="s">
        <v>98</v>
      </c>
      <c r="D1614" s="1381" t="s">
        <v>8</v>
      </c>
      <c r="E1614" s="1381"/>
      <c r="F1614" s="144" t="s">
        <v>246</v>
      </c>
      <c r="G1614" s="38">
        <f>$K$5</f>
        <v>44501</v>
      </c>
      <c r="H1614" s="129"/>
      <c r="O1614" s="220"/>
    </row>
    <row r="1615" spans="1:15" ht="6.75" customHeight="1" thickBot="1" x14ac:dyDescent="0.3">
      <c r="A1615" s="376"/>
      <c r="B1615" s="1382"/>
      <c r="C1615" s="1382"/>
      <c r="D1615" s="1382"/>
      <c r="E1615" s="1382"/>
      <c r="F1615" s="1382"/>
      <c r="G1615" s="1382"/>
      <c r="H1615" s="129"/>
      <c r="O1615" s="220"/>
    </row>
    <row r="1616" spans="1:15" x14ac:dyDescent="0.25">
      <c r="A1616" s="376"/>
      <c r="B1616" s="41" t="s">
        <v>139</v>
      </c>
      <c r="C1616" s="42" t="s">
        <v>140</v>
      </c>
      <c r="D1616" s="42" t="s">
        <v>141</v>
      </c>
      <c r="E1616" s="42" t="s">
        <v>142</v>
      </c>
      <c r="F1616" s="42" t="s">
        <v>143</v>
      </c>
      <c r="G1616" s="43" t="s">
        <v>144</v>
      </c>
      <c r="H1616" s="129"/>
      <c r="O1616" s="220"/>
    </row>
    <row r="1617" spans="1:15" x14ac:dyDescent="0.25">
      <c r="A1617" s="376">
        <v>10139</v>
      </c>
      <c r="B1617" s="44" t="str">
        <f>VLOOKUP(A1617,Insumos!$A$10:$F$3462,2,FALSE)</f>
        <v>PEDREIRO - (OFICIAL - SINDUSCON)</v>
      </c>
      <c r="C1617" s="45" t="str">
        <f>VLOOKUP(A1617,Insumos!$A$10:$F$3462,3,FALSE)</f>
        <v>H</v>
      </c>
      <c r="D1617" s="46">
        <v>0.5</v>
      </c>
      <c r="E1617" s="329">
        <f>VLOOKUP(A1617,Insumos!$A$10:$F$3462,4,FALSE)</f>
        <v>7.43</v>
      </c>
      <c r="F1617" s="329">
        <f>ROUND((D1617*E1617),2)</f>
        <v>3.72</v>
      </c>
      <c r="G1617" s="355"/>
      <c r="H1617" s="129"/>
      <c r="O1617" s="220"/>
    </row>
    <row r="1618" spans="1:15" x14ac:dyDescent="0.25">
      <c r="A1618" s="376">
        <v>10146</v>
      </c>
      <c r="B1618" s="44" t="str">
        <f>VLOOKUP(A1618,Insumos!$A$10:$F$3462,2,FALSE)</f>
        <v>SERVENTE (AUXILIAR DE OBRAS - SINDUSCON)</v>
      </c>
      <c r="C1618" s="45" t="str">
        <f>VLOOKUP(A1618,Insumos!$A$10:$F$3462,3,FALSE)</f>
        <v>H</v>
      </c>
      <c r="D1618" s="46">
        <v>0.5</v>
      </c>
      <c r="E1618" s="329">
        <f>VLOOKUP(A1618,Insumos!$A$10:$F$3462,4,FALSE)</f>
        <v>5.46</v>
      </c>
      <c r="F1618" s="329">
        <f>ROUND((D1618*E1618),2)</f>
        <v>2.73</v>
      </c>
      <c r="G1618" s="355"/>
      <c r="H1618" s="129"/>
      <c r="O1618" s="220"/>
    </row>
    <row r="1619" spans="1:15" x14ac:dyDescent="0.25">
      <c r="A1619" s="376"/>
      <c r="B1619" s="48"/>
      <c r="C1619" s="45"/>
      <c r="D1619" s="49"/>
      <c r="E1619" s="329"/>
      <c r="F1619" s="329"/>
      <c r="G1619" s="355"/>
      <c r="H1619" s="129"/>
      <c r="O1619" s="220"/>
    </row>
    <row r="1620" spans="1:15" x14ac:dyDescent="0.25">
      <c r="A1620" s="376"/>
      <c r="B1620" s="50" t="s">
        <v>145</v>
      </c>
      <c r="C1620" s="51"/>
      <c r="D1620" s="52"/>
      <c r="E1620" s="329"/>
      <c r="F1620" s="353"/>
      <c r="G1620" s="338">
        <f>+SUM(F1617:F1619)</f>
        <v>6.45</v>
      </c>
      <c r="H1620" s="129"/>
      <c r="O1620" s="220"/>
    </row>
    <row r="1621" spans="1:15" x14ac:dyDescent="0.25">
      <c r="A1621" s="376"/>
      <c r="B1621" s="48" t="s">
        <v>146</v>
      </c>
      <c r="C1621" s="55"/>
      <c r="D1621" s="56"/>
      <c r="E1621" s="45"/>
      <c r="F1621" s="57"/>
      <c r="G1621" s="58" t="s">
        <v>147</v>
      </c>
      <c r="H1621" s="129"/>
      <c r="O1621" s="220"/>
    </row>
    <row r="1622" spans="1:15" ht="40.5" customHeight="1" x14ac:dyDescent="0.25">
      <c r="A1622" s="376" t="s">
        <v>476</v>
      </c>
      <c r="B1622" s="230" t="str">
        <f>VLOOKUP(A1622,Insumos!$A$10:$F$3462,2,FALSE)</f>
        <v>Lixeira de coleta seletiva com 4 cestos. Fabricante: Nomen Design Mobiliário Urbano ou equivalente</v>
      </c>
      <c r="C1622" s="231" t="str">
        <f>VLOOKUP(A1622,Insumos!$A$10:$F$3462,3,FALSE)</f>
        <v>und</v>
      </c>
      <c r="D1622" s="46">
        <v>1</v>
      </c>
      <c r="E1622" s="329">
        <f>VLOOKUP(A1622,Insumos!$A$10:$F$3462,4,FALSE)</f>
        <v>4667</v>
      </c>
      <c r="F1622" s="329">
        <f>ROUND((D1622*E1622),2)</f>
        <v>4667</v>
      </c>
      <c r="G1622" s="355"/>
      <c r="H1622" s="129"/>
      <c r="J1622" t="s">
        <v>98</v>
      </c>
      <c r="O1622" s="220"/>
    </row>
    <row r="1623" spans="1:15" x14ac:dyDescent="0.25">
      <c r="A1623" s="376"/>
      <c r="B1623" s="48"/>
      <c r="C1623" s="45"/>
      <c r="D1623" s="61"/>
      <c r="E1623" s="329"/>
      <c r="F1623" s="329"/>
      <c r="G1623" s="355"/>
      <c r="H1623" s="129"/>
      <c r="O1623" s="220"/>
    </row>
    <row r="1624" spans="1:15" x14ac:dyDescent="0.25">
      <c r="A1624" s="376"/>
      <c r="B1624" s="50" t="s">
        <v>148</v>
      </c>
      <c r="C1624" s="51"/>
      <c r="D1624" s="62"/>
      <c r="E1624" s="353"/>
      <c r="F1624" s="353"/>
      <c r="G1624" s="338">
        <f>+SUM(F1622:F1623)</f>
        <v>4667</v>
      </c>
      <c r="H1624" s="129"/>
      <c r="O1624" s="220"/>
    </row>
    <row r="1625" spans="1:15" x14ac:dyDescent="0.25">
      <c r="A1625" s="376"/>
      <c r="B1625" s="48" t="s">
        <v>149</v>
      </c>
      <c r="C1625" s="55"/>
      <c r="D1625" s="64"/>
      <c r="E1625" s="55"/>
      <c r="F1625" s="55"/>
      <c r="G1625" s="58" t="s">
        <v>150</v>
      </c>
      <c r="H1625" s="129"/>
      <c r="O1625" s="220"/>
    </row>
    <row r="1626" spans="1:15" x14ac:dyDescent="0.25">
      <c r="A1626" s="376"/>
      <c r="B1626" s="48" t="s">
        <v>98</v>
      </c>
      <c r="C1626" s="45"/>
      <c r="D1626" s="59"/>
      <c r="E1626" s="45"/>
      <c r="F1626" s="45"/>
      <c r="G1626" s="47"/>
      <c r="H1626" s="129"/>
      <c r="O1626" s="220"/>
    </row>
    <row r="1627" spans="1:15" x14ac:dyDescent="0.25">
      <c r="A1627" s="376"/>
      <c r="B1627" s="48" t="s">
        <v>98</v>
      </c>
      <c r="C1627" s="45"/>
      <c r="D1627" s="59"/>
      <c r="E1627" s="45"/>
      <c r="F1627" s="45"/>
      <c r="G1627" s="47"/>
      <c r="H1627" s="129"/>
      <c r="O1627" s="220"/>
    </row>
    <row r="1628" spans="1:15" ht="15.75" thickBot="1" x14ac:dyDescent="0.3">
      <c r="A1628" s="376"/>
      <c r="B1628" s="65" t="s">
        <v>151</v>
      </c>
      <c r="C1628" s="66"/>
      <c r="D1628" s="67"/>
      <c r="E1628" s="66"/>
      <c r="F1628" s="66"/>
      <c r="G1628" s="68">
        <f>+SUM(F1626:F1627)</f>
        <v>0</v>
      </c>
      <c r="H1628" s="129"/>
      <c r="O1628" s="220"/>
    </row>
    <row r="1629" spans="1:15" ht="4.5" customHeight="1" thickBot="1" x14ac:dyDescent="0.3">
      <c r="A1629" s="376"/>
      <c r="B1629" s="1382"/>
      <c r="C1629" s="1382"/>
      <c r="D1629" s="1382"/>
      <c r="E1629" s="1382"/>
      <c r="F1629" s="1382"/>
      <c r="G1629" s="1382"/>
      <c r="H1629" s="129"/>
      <c r="O1629" s="220"/>
    </row>
    <row r="1630" spans="1:15" ht="15.75" thickBot="1" x14ac:dyDescent="0.3">
      <c r="A1630" s="376"/>
      <c r="B1630" s="69" t="s">
        <v>152</v>
      </c>
      <c r="C1630" s="70" t="s">
        <v>4415</v>
      </c>
      <c r="D1630" s="71" t="s">
        <v>154</v>
      </c>
      <c r="E1630" s="1381" t="s">
        <v>155</v>
      </c>
      <c r="F1630" s="1381"/>
      <c r="G1630" s="1381"/>
      <c r="H1630" s="129"/>
      <c r="O1630" s="220"/>
    </row>
    <row r="1631" spans="1:15" ht="15.75" thickBot="1" x14ac:dyDescent="0.3">
      <c r="A1631" s="376"/>
      <c r="B1631" s="72" t="s">
        <v>156</v>
      </c>
      <c r="C1631" s="73"/>
      <c r="D1631" s="332">
        <f>G1620</f>
        <v>6.45</v>
      </c>
      <c r="E1631" s="1381"/>
      <c r="F1631" s="1381"/>
      <c r="G1631" s="1381"/>
      <c r="H1631" s="129"/>
      <c r="O1631" s="220"/>
    </row>
    <row r="1632" spans="1:15" ht="15.75" thickBot="1" x14ac:dyDescent="0.3">
      <c r="A1632" s="376"/>
      <c r="B1632" s="72" t="s">
        <v>157</v>
      </c>
      <c r="C1632" s="73"/>
      <c r="D1632" s="332">
        <f>G1624</f>
        <v>4667</v>
      </c>
      <c r="E1632" s="1381"/>
      <c r="F1632" s="1381"/>
      <c r="G1632" s="1381"/>
      <c r="H1632" s="129"/>
      <c r="O1632" s="220"/>
    </row>
    <row r="1633" spans="1:15" ht="15.75" thickBot="1" x14ac:dyDescent="0.3">
      <c r="A1633" s="376"/>
      <c r="B1633" s="72" t="s">
        <v>158</v>
      </c>
      <c r="C1633" s="73"/>
      <c r="D1633" s="332">
        <f>G1628</f>
        <v>0</v>
      </c>
      <c r="E1633" s="1381"/>
      <c r="F1633" s="1381"/>
      <c r="G1633" s="1381"/>
      <c r="H1633" s="129"/>
      <c r="O1633" s="220"/>
    </row>
    <row r="1634" spans="1:15" ht="15.75" thickBot="1" x14ac:dyDescent="0.3">
      <c r="A1634" s="376"/>
      <c r="B1634" s="72" t="s">
        <v>159</v>
      </c>
      <c r="C1634" s="74">
        <f>$J$5</f>
        <v>157.27000000000001</v>
      </c>
      <c r="D1634" s="332">
        <f>+ROUND((D1631*C1634),2)/100</f>
        <v>10.14</v>
      </c>
      <c r="E1634" s="1381"/>
      <c r="F1634" s="1381"/>
      <c r="G1634" s="1381"/>
      <c r="H1634" s="129"/>
      <c r="O1634" s="220"/>
    </row>
    <row r="1635" spans="1:15" ht="15.75" thickBot="1" x14ac:dyDescent="0.3">
      <c r="A1635" s="376"/>
      <c r="B1635" s="72" t="s">
        <v>160</v>
      </c>
      <c r="C1635" s="75"/>
      <c r="D1635" s="333">
        <f>+SUM(D1631:D1634)</f>
        <v>4683.59</v>
      </c>
      <c r="E1635" s="1381"/>
      <c r="F1635" s="1381"/>
      <c r="G1635" s="1381"/>
      <c r="H1635" s="129"/>
      <c r="O1635" s="220"/>
    </row>
    <row r="1636" spans="1:15" ht="15.75" thickBot="1" x14ac:dyDescent="0.3">
      <c r="A1636" s="376"/>
      <c r="B1636" s="72" t="s">
        <v>161</v>
      </c>
      <c r="C1636" s="73"/>
      <c r="D1636" s="332" t="s">
        <v>162</v>
      </c>
      <c r="E1636" s="1382" t="s">
        <v>163</v>
      </c>
      <c r="F1636" s="1382"/>
      <c r="G1636" s="1382"/>
      <c r="H1636" s="129"/>
      <c r="O1636" s="220"/>
    </row>
    <row r="1637" spans="1:15" ht="15.75" thickBot="1" x14ac:dyDescent="0.3">
      <c r="A1637" s="376"/>
      <c r="B1637" s="76" t="s">
        <v>164</v>
      </c>
      <c r="C1637" s="77"/>
      <c r="D1637" s="334">
        <f>+SUM(D1635:D1636)</f>
        <v>4683.59</v>
      </c>
      <c r="E1637" s="1382"/>
      <c r="F1637" s="1382"/>
      <c r="G1637" s="1382"/>
      <c r="H1637" s="129"/>
      <c r="O1637" s="220"/>
    </row>
    <row r="1638" spans="1:15" ht="15.75" thickBot="1" x14ac:dyDescent="0.3">
      <c r="A1638" s="376"/>
      <c r="B1638" s="78" t="s">
        <v>165</v>
      </c>
      <c r="C1638" s="79">
        <f>$I$5</f>
        <v>28.49</v>
      </c>
      <c r="D1638" s="335">
        <f>ROUND((D1637*C1638),2)/100</f>
        <v>1334.35</v>
      </c>
      <c r="E1638" s="1382"/>
      <c r="F1638" s="1382"/>
      <c r="G1638" s="1382"/>
      <c r="H1638" s="129"/>
      <c r="O1638" s="220"/>
    </row>
    <row r="1639" spans="1:15" ht="15.75" thickBot="1" x14ac:dyDescent="0.3">
      <c r="A1639" s="376"/>
      <c r="B1639" s="80" t="s">
        <v>166</v>
      </c>
      <c r="C1639" s="81"/>
      <c r="D1639" s="336">
        <f>+SUM(D1637:D1638)</f>
        <v>6017.94</v>
      </c>
      <c r="E1639" s="82"/>
      <c r="F1639" s="337">
        <f>D1639</f>
        <v>6017.94</v>
      </c>
      <c r="G1639" s="35"/>
      <c r="H1639" s="129"/>
      <c r="O1639" s="220"/>
    </row>
    <row r="1640" spans="1:15" x14ac:dyDescent="0.25">
      <c r="H1640" s="129"/>
      <c r="O1640" s="220"/>
    </row>
    <row r="1641" spans="1:15" ht="15.75" thickBot="1" x14ac:dyDescent="0.3">
      <c r="H1641" s="129"/>
      <c r="O1641" s="220"/>
    </row>
    <row r="1642" spans="1:15" x14ac:dyDescent="0.25">
      <c r="B1642" s="1383" t="s">
        <v>131</v>
      </c>
      <c r="C1642" s="1383"/>
      <c r="D1642" s="1383"/>
      <c r="E1642" s="1383"/>
      <c r="F1642" s="1383"/>
      <c r="G1642" s="1383"/>
      <c r="H1642" s="129"/>
      <c r="O1642" s="220"/>
    </row>
    <row r="1643" spans="1:15" ht="15.75" thickBot="1" x14ac:dyDescent="0.3">
      <c r="B1643" s="1384" t="str">
        <f>$I$3</f>
        <v>Urbanização da Orla de Piúma - Município de Piúma / ES</v>
      </c>
      <c r="C1643" s="1385"/>
      <c r="D1643" s="1385"/>
      <c r="E1643" s="1385"/>
      <c r="F1643" s="1385"/>
      <c r="G1643" s="1386"/>
      <c r="H1643" s="129"/>
      <c r="O1643" s="220"/>
    </row>
    <row r="1644" spans="1:15" ht="15.75" thickBot="1" x14ac:dyDescent="0.3">
      <c r="A1644" s="376"/>
      <c r="B1644" s="34" t="s">
        <v>132</v>
      </c>
      <c r="C1644" s="34" t="s">
        <v>133</v>
      </c>
      <c r="D1644" s="1381" t="s">
        <v>134</v>
      </c>
      <c r="E1644" s="1381"/>
      <c r="F1644" s="131" t="s">
        <v>275</v>
      </c>
      <c r="G1644" s="35" t="s">
        <v>135</v>
      </c>
      <c r="H1644" s="129"/>
      <c r="O1644" s="220"/>
    </row>
    <row r="1645" spans="1:15" ht="65.25" thickBot="1" x14ac:dyDescent="0.3">
      <c r="A1645" s="376"/>
      <c r="B1645" s="132" t="s">
        <v>4402</v>
      </c>
      <c r="C1645" s="92" t="s">
        <v>98</v>
      </c>
      <c r="D1645" s="1381" t="s">
        <v>8</v>
      </c>
      <c r="E1645" s="1381"/>
      <c r="F1645" s="144" t="s">
        <v>247</v>
      </c>
      <c r="G1645" s="38">
        <f>$K$5</f>
        <v>44501</v>
      </c>
      <c r="H1645" s="129"/>
      <c r="O1645" s="220"/>
    </row>
    <row r="1646" spans="1:15" ht="6.75" customHeight="1" thickBot="1" x14ac:dyDescent="0.3">
      <c r="A1646" s="376"/>
      <c r="B1646" s="1382"/>
      <c r="C1646" s="1382"/>
      <c r="D1646" s="1382"/>
      <c r="E1646" s="1382"/>
      <c r="F1646" s="1382"/>
      <c r="G1646" s="1382"/>
      <c r="H1646" s="129"/>
      <c r="O1646" s="220"/>
    </row>
    <row r="1647" spans="1:15" x14ac:dyDescent="0.25">
      <c r="A1647" s="376"/>
      <c r="B1647" s="41" t="s">
        <v>139</v>
      </c>
      <c r="C1647" s="42" t="s">
        <v>140</v>
      </c>
      <c r="D1647" s="42" t="s">
        <v>141</v>
      </c>
      <c r="E1647" s="42" t="s">
        <v>142</v>
      </c>
      <c r="F1647" s="42" t="s">
        <v>143</v>
      </c>
      <c r="G1647" s="43" t="s">
        <v>144</v>
      </c>
      <c r="H1647" s="129"/>
      <c r="O1647" s="220"/>
    </row>
    <row r="1648" spans="1:15" x14ac:dyDescent="0.25">
      <c r="A1648" s="376">
        <v>10146</v>
      </c>
      <c r="B1648" s="44" t="str">
        <f>VLOOKUP(A1648,Insumos!$A$10:$F$3462,2,FALSE)</f>
        <v>SERVENTE (AUXILIAR DE OBRAS - SINDUSCON)</v>
      </c>
      <c r="C1648" s="45" t="str">
        <f>VLOOKUP(A1648,Insumos!$A$10:$F$3462,3,FALSE)</f>
        <v>H</v>
      </c>
      <c r="D1648" s="46">
        <v>0.5</v>
      </c>
      <c r="E1648" s="329">
        <f>VLOOKUP(A1648,Insumos!$A$10:$F$3462,4,FALSE)</f>
        <v>5.46</v>
      </c>
      <c r="F1648" s="329">
        <f>ROUND((D1648*E1648),2)</f>
        <v>2.73</v>
      </c>
      <c r="G1648" s="355"/>
      <c r="H1648" s="129"/>
      <c r="O1648" s="220"/>
    </row>
    <row r="1649" spans="1:15" x14ac:dyDescent="0.25">
      <c r="A1649" s="376"/>
      <c r="B1649" s="48"/>
      <c r="C1649" s="45"/>
      <c r="D1649" s="49"/>
      <c r="E1649" s="329"/>
      <c r="F1649" s="329"/>
      <c r="G1649" s="355"/>
      <c r="H1649" s="129"/>
      <c r="O1649" s="220"/>
    </row>
    <row r="1650" spans="1:15" x14ac:dyDescent="0.25">
      <c r="A1650" s="376"/>
      <c r="B1650" s="50" t="s">
        <v>145</v>
      </c>
      <c r="C1650" s="51"/>
      <c r="D1650" s="52"/>
      <c r="E1650" s="329"/>
      <c r="F1650" s="353"/>
      <c r="G1650" s="338">
        <f>+SUM(F1648:F1649)</f>
        <v>2.73</v>
      </c>
      <c r="H1650" s="129"/>
      <c r="O1650" s="220"/>
    </row>
    <row r="1651" spans="1:15" x14ac:dyDescent="0.25">
      <c r="A1651" s="376"/>
      <c r="B1651" s="48" t="s">
        <v>146</v>
      </c>
      <c r="C1651" s="55"/>
      <c r="D1651" s="56"/>
      <c r="E1651" s="45"/>
      <c r="F1651" s="57"/>
      <c r="G1651" s="58" t="s">
        <v>147</v>
      </c>
      <c r="H1651" s="129"/>
      <c r="O1651" s="220"/>
    </row>
    <row r="1652" spans="1:15" ht="26.25" x14ac:dyDescent="0.25">
      <c r="A1652" s="376" t="s">
        <v>527</v>
      </c>
      <c r="B1652" s="230" t="str">
        <f>VLOOKUP(A1652,Insumos!$A$10:$F$3462,2,FALSE)</f>
        <v>Coletor com carga traseira de lixo de 120 litros - (container de lixo) - C-120   Fab.: Contemar Ambiental ou equivalente</v>
      </c>
      <c r="C1652" s="231" t="str">
        <f>VLOOKUP(A1652,Insumos!$A$10:$F$3462,3,FALSE)</f>
        <v>und</v>
      </c>
      <c r="D1652" s="46">
        <v>1</v>
      </c>
      <c r="E1652" s="329">
        <f>VLOOKUP(A1652,Insumos!$A$10:$F$3462,4,FALSE)</f>
        <v>551</v>
      </c>
      <c r="F1652" s="329">
        <f>ROUND((D1652*E1652),2)</f>
        <v>551</v>
      </c>
      <c r="G1652" s="355"/>
      <c r="H1652" s="129"/>
      <c r="O1652" s="220"/>
    </row>
    <row r="1653" spans="1:15" x14ac:dyDescent="0.25">
      <c r="A1653" s="376"/>
      <c r="B1653" s="48"/>
      <c r="C1653" s="45"/>
      <c r="D1653" s="61"/>
      <c r="E1653" s="329"/>
      <c r="F1653" s="329"/>
      <c r="G1653" s="355"/>
      <c r="H1653" s="129"/>
      <c r="O1653" s="220"/>
    </row>
    <row r="1654" spans="1:15" x14ac:dyDescent="0.25">
      <c r="A1654" s="376"/>
      <c r="B1654" s="50" t="s">
        <v>148</v>
      </c>
      <c r="C1654" s="51"/>
      <c r="D1654" s="62"/>
      <c r="E1654" s="353"/>
      <c r="F1654" s="353"/>
      <c r="G1654" s="338">
        <f>+SUM(F1652:F1653)</f>
        <v>551</v>
      </c>
      <c r="H1654" s="129"/>
      <c r="O1654" s="220"/>
    </row>
    <row r="1655" spans="1:15" x14ac:dyDescent="0.25">
      <c r="A1655" s="376"/>
      <c r="B1655" s="48" t="s">
        <v>149</v>
      </c>
      <c r="C1655" s="55"/>
      <c r="D1655" s="64"/>
      <c r="E1655" s="55"/>
      <c r="F1655" s="55"/>
      <c r="G1655" s="58" t="s">
        <v>150</v>
      </c>
      <c r="H1655" s="129"/>
      <c r="O1655" s="220"/>
    </row>
    <row r="1656" spans="1:15" x14ac:dyDescent="0.25">
      <c r="A1656" s="376"/>
      <c r="B1656" s="48" t="s">
        <v>98</v>
      </c>
      <c r="C1656" s="45"/>
      <c r="D1656" s="59"/>
      <c r="E1656" s="45"/>
      <c r="F1656" s="45"/>
      <c r="G1656" s="47"/>
      <c r="H1656" s="129"/>
      <c r="O1656" s="220"/>
    </row>
    <row r="1657" spans="1:15" ht="15.75" thickBot="1" x14ac:dyDescent="0.3">
      <c r="A1657" s="376"/>
      <c r="B1657" s="65" t="s">
        <v>151</v>
      </c>
      <c r="C1657" s="66"/>
      <c r="D1657" s="67"/>
      <c r="E1657" s="66"/>
      <c r="F1657" s="66"/>
      <c r="G1657" s="68">
        <f>+SUM(F1656:F1656)</f>
        <v>0</v>
      </c>
      <c r="H1657" s="129"/>
      <c r="O1657" s="220"/>
    </row>
    <row r="1658" spans="1:15" ht="4.5" customHeight="1" thickBot="1" x14ac:dyDescent="0.3">
      <c r="A1658" s="376"/>
      <c r="B1658" s="1382"/>
      <c r="C1658" s="1382"/>
      <c r="D1658" s="1382"/>
      <c r="E1658" s="1382"/>
      <c r="F1658" s="1382"/>
      <c r="G1658" s="1382"/>
      <c r="H1658" s="129"/>
      <c r="O1658" s="220"/>
    </row>
    <row r="1659" spans="1:15" ht="15.75" thickBot="1" x14ac:dyDescent="0.3">
      <c r="A1659" s="376"/>
      <c r="B1659" s="69" t="s">
        <v>152</v>
      </c>
      <c r="C1659" s="70" t="s">
        <v>4415</v>
      </c>
      <c r="D1659" s="71" t="s">
        <v>154</v>
      </c>
      <c r="E1659" s="1381" t="s">
        <v>155</v>
      </c>
      <c r="F1659" s="1381"/>
      <c r="G1659" s="1381"/>
      <c r="H1659" s="129"/>
      <c r="O1659" s="220"/>
    </row>
    <row r="1660" spans="1:15" ht="15.75" thickBot="1" x14ac:dyDescent="0.3">
      <c r="A1660" s="376"/>
      <c r="B1660" s="72" t="s">
        <v>156</v>
      </c>
      <c r="C1660" s="73"/>
      <c r="D1660" s="332">
        <f>G1650</f>
        <v>2.73</v>
      </c>
      <c r="E1660" s="1381"/>
      <c r="F1660" s="1381"/>
      <c r="G1660" s="1381"/>
      <c r="H1660" s="129"/>
      <c r="O1660" s="220"/>
    </row>
    <row r="1661" spans="1:15" ht="15.75" thickBot="1" x14ac:dyDescent="0.3">
      <c r="A1661" s="376"/>
      <c r="B1661" s="72" t="s">
        <v>157</v>
      </c>
      <c r="C1661" s="73"/>
      <c r="D1661" s="332">
        <f>G1654</f>
        <v>551</v>
      </c>
      <c r="E1661" s="1381"/>
      <c r="F1661" s="1381"/>
      <c r="G1661" s="1381"/>
      <c r="H1661" s="129"/>
      <c r="O1661" s="220"/>
    </row>
    <row r="1662" spans="1:15" ht="15.75" thickBot="1" x14ac:dyDescent="0.3">
      <c r="A1662" s="376"/>
      <c r="B1662" s="72" t="s">
        <v>158</v>
      </c>
      <c r="C1662" s="73"/>
      <c r="D1662" s="332">
        <f>G1657</f>
        <v>0</v>
      </c>
      <c r="E1662" s="1381"/>
      <c r="F1662" s="1381"/>
      <c r="G1662" s="1381"/>
      <c r="H1662" s="129"/>
      <c r="O1662" s="220"/>
    </row>
    <row r="1663" spans="1:15" ht="15.75" thickBot="1" x14ac:dyDescent="0.3">
      <c r="A1663" s="376"/>
      <c r="B1663" s="72" t="s">
        <v>159</v>
      </c>
      <c r="C1663" s="74">
        <f>$J$5</f>
        <v>157.27000000000001</v>
      </c>
      <c r="D1663" s="332">
        <f>+ROUND((D1660*C1663),2)/100</f>
        <v>4.29</v>
      </c>
      <c r="E1663" s="1381"/>
      <c r="F1663" s="1381"/>
      <c r="G1663" s="1381"/>
      <c r="H1663" s="129"/>
      <c r="O1663" s="220"/>
    </row>
    <row r="1664" spans="1:15" ht="15.75" thickBot="1" x14ac:dyDescent="0.3">
      <c r="A1664" s="376"/>
      <c r="B1664" s="72" t="s">
        <v>160</v>
      </c>
      <c r="C1664" s="75"/>
      <c r="D1664" s="333">
        <f>+SUM(D1660:D1663)</f>
        <v>558.02</v>
      </c>
      <c r="E1664" s="1381"/>
      <c r="F1664" s="1381"/>
      <c r="G1664" s="1381"/>
      <c r="H1664" s="129"/>
      <c r="O1664" s="220"/>
    </row>
    <row r="1665" spans="1:15" ht="15.75" thickBot="1" x14ac:dyDescent="0.3">
      <c r="A1665" s="376"/>
      <c r="B1665" s="72" t="s">
        <v>161</v>
      </c>
      <c r="C1665" s="73"/>
      <c r="D1665" s="332" t="s">
        <v>162</v>
      </c>
      <c r="E1665" s="1382" t="s">
        <v>163</v>
      </c>
      <c r="F1665" s="1382"/>
      <c r="G1665" s="1382"/>
      <c r="H1665" s="129"/>
      <c r="O1665" s="220"/>
    </row>
    <row r="1666" spans="1:15" ht="15.75" thickBot="1" x14ac:dyDescent="0.3">
      <c r="A1666" s="376"/>
      <c r="B1666" s="76" t="s">
        <v>164</v>
      </c>
      <c r="C1666" s="77"/>
      <c r="D1666" s="334">
        <f>+SUM(D1664:D1665)</f>
        <v>558.02</v>
      </c>
      <c r="E1666" s="1382"/>
      <c r="F1666" s="1382"/>
      <c r="G1666" s="1382"/>
      <c r="H1666" s="129"/>
      <c r="O1666" s="220"/>
    </row>
    <row r="1667" spans="1:15" ht="15.75" thickBot="1" x14ac:dyDescent="0.3">
      <c r="A1667" s="376"/>
      <c r="B1667" s="78" t="s">
        <v>165</v>
      </c>
      <c r="C1667" s="79">
        <f>$I$5</f>
        <v>28.49</v>
      </c>
      <c r="D1667" s="335">
        <f>ROUND((D1666*C1667),2)/100</f>
        <v>158.97999999999999</v>
      </c>
      <c r="E1667" s="1382"/>
      <c r="F1667" s="1382"/>
      <c r="G1667" s="1382"/>
      <c r="H1667" s="129"/>
      <c r="O1667" s="220"/>
    </row>
    <row r="1668" spans="1:15" ht="15.75" thickBot="1" x14ac:dyDescent="0.3">
      <c r="A1668" s="376"/>
      <c r="B1668" s="80" t="s">
        <v>166</v>
      </c>
      <c r="C1668" s="81"/>
      <c r="D1668" s="336">
        <f>+SUM(D1666:D1667)</f>
        <v>717</v>
      </c>
      <c r="E1668" s="82"/>
      <c r="F1668" s="337">
        <f>D1668</f>
        <v>717</v>
      </c>
      <c r="G1668" s="35"/>
      <c r="H1668" s="129"/>
      <c r="O1668" s="220"/>
    </row>
    <row r="1669" spans="1:15" x14ac:dyDescent="0.25">
      <c r="H1669" s="129"/>
      <c r="O1669" s="220"/>
    </row>
    <row r="1670" spans="1:15" ht="15.75" thickBot="1" x14ac:dyDescent="0.3">
      <c r="H1670" s="129"/>
      <c r="O1670" s="220"/>
    </row>
    <row r="1671" spans="1:15" x14ac:dyDescent="0.25">
      <c r="B1671" s="1383" t="s">
        <v>131</v>
      </c>
      <c r="C1671" s="1383"/>
      <c r="D1671" s="1383"/>
      <c r="E1671" s="1383"/>
      <c r="F1671" s="1383"/>
      <c r="G1671" s="1383"/>
      <c r="H1671" s="129"/>
      <c r="O1671" s="220"/>
    </row>
    <row r="1672" spans="1:15" ht="15.75" thickBot="1" x14ac:dyDescent="0.3">
      <c r="B1672" s="1384" t="str">
        <f>$I$3</f>
        <v>Urbanização da Orla de Piúma - Município de Piúma / ES</v>
      </c>
      <c r="C1672" s="1385"/>
      <c r="D1672" s="1385"/>
      <c r="E1672" s="1385"/>
      <c r="F1672" s="1385"/>
      <c r="G1672" s="1386"/>
      <c r="H1672" s="129"/>
      <c r="O1672" s="220"/>
    </row>
    <row r="1673" spans="1:15" ht="15.75" thickBot="1" x14ac:dyDescent="0.3">
      <c r="A1673" s="376"/>
      <c r="B1673" s="34" t="s">
        <v>132</v>
      </c>
      <c r="C1673" s="34" t="s">
        <v>133</v>
      </c>
      <c r="D1673" s="1381" t="s">
        <v>134</v>
      </c>
      <c r="E1673" s="1381"/>
      <c r="F1673" s="131" t="s">
        <v>275</v>
      </c>
      <c r="G1673" s="35" t="s">
        <v>135</v>
      </c>
      <c r="H1673" s="129"/>
      <c r="O1673" s="220"/>
    </row>
    <row r="1674" spans="1:15" s="159" customFormat="1" ht="65.25" thickBot="1" x14ac:dyDescent="0.3">
      <c r="A1674" s="376"/>
      <c r="B1674" s="132" t="s">
        <v>4403</v>
      </c>
      <c r="C1674" s="92" t="s">
        <v>98</v>
      </c>
      <c r="D1674" s="1381" t="s">
        <v>8</v>
      </c>
      <c r="E1674" s="1381"/>
      <c r="F1674" s="144" t="s">
        <v>248</v>
      </c>
      <c r="G1674" s="38">
        <f>$K$5</f>
        <v>44501</v>
      </c>
      <c r="O1674" s="220"/>
    </row>
    <row r="1675" spans="1:15" ht="8.25" customHeight="1" thickBot="1" x14ac:dyDescent="0.3">
      <c r="A1675" s="376"/>
      <c r="B1675" s="1382"/>
      <c r="C1675" s="1382"/>
      <c r="D1675" s="1382"/>
      <c r="E1675" s="1382"/>
      <c r="F1675" s="1382"/>
      <c r="G1675" s="1382"/>
      <c r="H1675" s="129"/>
      <c r="O1675" s="220"/>
    </row>
    <row r="1676" spans="1:15" x14ac:dyDescent="0.25">
      <c r="A1676" s="376"/>
      <c r="B1676" s="41" t="s">
        <v>139</v>
      </c>
      <c r="C1676" s="42" t="s">
        <v>140</v>
      </c>
      <c r="D1676" s="42" t="s">
        <v>141</v>
      </c>
      <c r="E1676" s="42" t="s">
        <v>142</v>
      </c>
      <c r="F1676" s="42" t="s">
        <v>143</v>
      </c>
      <c r="G1676" s="43" t="s">
        <v>144</v>
      </c>
      <c r="H1676" s="129"/>
      <c r="O1676" s="220"/>
    </row>
    <row r="1677" spans="1:15" x14ac:dyDescent="0.25">
      <c r="A1677" s="376">
        <v>10146</v>
      </c>
      <c r="B1677" s="44" t="str">
        <f>VLOOKUP(A1677,Insumos!$A$10:$F$3462,2,FALSE)</f>
        <v>SERVENTE (AUXILIAR DE OBRAS - SINDUSCON)</v>
      </c>
      <c r="C1677" s="45" t="str">
        <f>VLOOKUP(A1677,Insumos!$A$10:$F$3462,3,FALSE)</f>
        <v>H</v>
      </c>
      <c r="D1677" s="46">
        <v>0.5</v>
      </c>
      <c r="E1677" s="329">
        <f>VLOOKUP(A1677,Insumos!$A$10:$F$3462,4,FALSE)</f>
        <v>5.46</v>
      </c>
      <c r="F1677" s="329">
        <f>ROUND((D1677*E1677),2)</f>
        <v>2.73</v>
      </c>
      <c r="G1677" s="355"/>
      <c r="H1677" s="129"/>
      <c r="O1677" s="220"/>
    </row>
    <row r="1678" spans="1:15" x14ac:dyDescent="0.25">
      <c r="A1678" s="376"/>
      <c r="B1678" s="48"/>
      <c r="C1678" s="45"/>
      <c r="D1678" s="49"/>
      <c r="E1678" s="329"/>
      <c r="F1678" s="329"/>
      <c r="G1678" s="355"/>
      <c r="H1678" s="129"/>
      <c r="O1678" s="220"/>
    </row>
    <row r="1679" spans="1:15" x14ac:dyDescent="0.25">
      <c r="A1679" s="376"/>
      <c r="B1679" s="50" t="s">
        <v>145</v>
      </c>
      <c r="C1679" s="51"/>
      <c r="D1679" s="52"/>
      <c r="E1679" s="329"/>
      <c r="F1679" s="353"/>
      <c r="G1679" s="338">
        <f>+SUM(F1677:F1678)</f>
        <v>2.73</v>
      </c>
      <c r="H1679" s="129"/>
      <c r="O1679" s="220"/>
    </row>
    <row r="1680" spans="1:15" x14ac:dyDescent="0.25">
      <c r="A1680" s="376"/>
      <c r="B1680" s="48" t="s">
        <v>146</v>
      </c>
      <c r="C1680" s="55"/>
      <c r="D1680" s="56"/>
      <c r="E1680" s="45"/>
      <c r="F1680" s="57"/>
      <c r="G1680" s="58" t="s">
        <v>147</v>
      </c>
      <c r="H1680" s="129"/>
      <c r="O1680" s="220"/>
    </row>
    <row r="1681" spans="1:15" ht="26.25" x14ac:dyDescent="0.25">
      <c r="A1681" s="376" t="s">
        <v>530</v>
      </c>
      <c r="B1681" s="230" t="str">
        <f>VLOOKUP(A1681,Insumos!$A$10:$F$3462,2,FALSE)</f>
        <v>Coletor com carga traseira de lixo de 1000 litros - (container de lixo) C-1000 . Fab.: Contemar Ambiental ou equivalente</v>
      </c>
      <c r="C1681" s="231" t="str">
        <f>VLOOKUP(A1681,Insumos!$A$10:$F$3462,3,FALSE)</f>
        <v>und</v>
      </c>
      <c r="D1681" s="232">
        <v>1</v>
      </c>
      <c r="E1681" s="329">
        <f>VLOOKUP(A1681,Insumos!$A$10:$F$3462,4,FALSE)</f>
        <v>2799</v>
      </c>
      <c r="F1681" s="329">
        <f>ROUND((D1681*E1681),2)</f>
        <v>2799</v>
      </c>
      <c r="G1681" s="355"/>
      <c r="H1681" s="129"/>
      <c r="J1681" s="220"/>
      <c r="O1681" s="220"/>
    </row>
    <row r="1682" spans="1:15" x14ac:dyDescent="0.25">
      <c r="A1682" s="376"/>
      <c r="B1682" s="48"/>
      <c r="C1682" s="45"/>
      <c r="D1682" s="61"/>
      <c r="E1682" s="329"/>
      <c r="F1682" s="329"/>
      <c r="G1682" s="355"/>
      <c r="H1682" s="129"/>
      <c r="J1682" s="220"/>
      <c r="O1682" s="220"/>
    </row>
    <row r="1683" spans="1:15" x14ac:dyDescent="0.25">
      <c r="A1683" s="376"/>
      <c r="B1683" s="50" t="s">
        <v>148</v>
      </c>
      <c r="C1683" s="51"/>
      <c r="D1683" s="62"/>
      <c r="E1683" s="353"/>
      <c r="F1683" s="353"/>
      <c r="G1683" s="338">
        <f>+SUM(F1681:F1682)</f>
        <v>2799</v>
      </c>
      <c r="H1683" s="129"/>
      <c r="O1683" s="220"/>
    </row>
    <row r="1684" spans="1:15" x14ac:dyDescent="0.25">
      <c r="A1684" s="376"/>
      <c r="B1684" s="48" t="s">
        <v>149</v>
      </c>
      <c r="C1684" s="55"/>
      <c r="D1684" s="64"/>
      <c r="E1684" s="55"/>
      <c r="F1684" s="55"/>
      <c r="G1684" s="58" t="s">
        <v>150</v>
      </c>
      <c r="H1684" s="129"/>
      <c r="O1684" s="220"/>
    </row>
    <row r="1685" spans="1:15" x14ac:dyDescent="0.25">
      <c r="A1685" s="376"/>
      <c r="B1685" s="48" t="s">
        <v>98</v>
      </c>
      <c r="C1685" s="45"/>
      <c r="D1685" s="59"/>
      <c r="E1685" s="45"/>
      <c r="F1685" s="45"/>
      <c r="G1685" s="47"/>
      <c r="H1685" s="129"/>
      <c r="O1685" s="220"/>
    </row>
    <row r="1686" spans="1:15" ht="15.75" thickBot="1" x14ac:dyDescent="0.3">
      <c r="A1686" s="376"/>
      <c r="B1686" s="65" t="s">
        <v>151</v>
      </c>
      <c r="C1686" s="66"/>
      <c r="D1686" s="67"/>
      <c r="E1686" s="66"/>
      <c r="F1686" s="66"/>
      <c r="G1686" s="68">
        <f>+SUM(F1685:F1685)</f>
        <v>0</v>
      </c>
      <c r="H1686" s="129"/>
      <c r="O1686" s="220"/>
    </row>
    <row r="1687" spans="1:15" ht="4.5" customHeight="1" thickBot="1" x14ac:dyDescent="0.3">
      <c r="A1687" s="376"/>
      <c r="B1687" s="1382"/>
      <c r="C1687" s="1382"/>
      <c r="D1687" s="1382"/>
      <c r="E1687" s="1382"/>
      <c r="F1687" s="1382"/>
      <c r="G1687" s="1382"/>
      <c r="H1687" s="129"/>
      <c r="O1687" s="220"/>
    </row>
    <row r="1688" spans="1:15" ht="15.75" thickBot="1" x14ac:dyDescent="0.3">
      <c r="A1688" s="376"/>
      <c r="B1688" s="69" t="s">
        <v>152</v>
      </c>
      <c r="C1688" s="70" t="s">
        <v>4415</v>
      </c>
      <c r="D1688" s="71" t="s">
        <v>154</v>
      </c>
      <c r="E1688" s="1381" t="s">
        <v>155</v>
      </c>
      <c r="F1688" s="1381"/>
      <c r="G1688" s="1381"/>
      <c r="H1688" s="129"/>
      <c r="O1688" s="220"/>
    </row>
    <row r="1689" spans="1:15" ht="15.75" thickBot="1" x14ac:dyDescent="0.3">
      <c r="A1689" s="376"/>
      <c r="B1689" s="72" t="s">
        <v>156</v>
      </c>
      <c r="C1689" s="73"/>
      <c r="D1689" s="332">
        <f>G1679</f>
        <v>2.73</v>
      </c>
      <c r="E1689" s="1381"/>
      <c r="F1689" s="1381"/>
      <c r="G1689" s="1381"/>
      <c r="H1689" s="129"/>
      <c r="O1689" s="220"/>
    </row>
    <row r="1690" spans="1:15" ht="15.75" thickBot="1" x14ac:dyDescent="0.3">
      <c r="A1690" s="376"/>
      <c r="B1690" s="72" t="s">
        <v>157</v>
      </c>
      <c r="C1690" s="73"/>
      <c r="D1690" s="332">
        <f>G1683</f>
        <v>2799</v>
      </c>
      <c r="E1690" s="1381"/>
      <c r="F1690" s="1381"/>
      <c r="G1690" s="1381"/>
      <c r="H1690" s="129"/>
      <c r="O1690" s="220"/>
    </row>
    <row r="1691" spans="1:15" ht="15.75" thickBot="1" x14ac:dyDescent="0.3">
      <c r="A1691" s="376"/>
      <c r="B1691" s="72" t="s">
        <v>158</v>
      </c>
      <c r="C1691" s="73"/>
      <c r="D1691" s="332">
        <f>G1686</f>
        <v>0</v>
      </c>
      <c r="E1691" s="1381"/>
      <c r="F1691" s="1381"/>
      <c r="G1691" s="1381"/>
      <c r="H1691" s="129"/>
      <c r="O1691" s="220"/>
    </row>
    <row r="1692" spans="1:15" ht="15.75" thickBot="1" x14ac:dyDescent="0.3">
      <c r="A1692" s="376"/>
      <c r="B1692" s="72" t="s">
        <v>159</v>
      </c>
      <c r="C1692" s="74">
        <f>$J$5</f>
        <v>157.27000000000001</v>
      </c>
      <c r="D1692" s="332">
        <f>+ROUND((D1689*C1692),2)/100</f>
        <v>4.29</v>
      </c>
      <c r="E1692" s="1381"/>
      <c r="F1692" s="1381"/>
      <c r="G1692" s="1381"/>
      <c r="H1692" s="129"/>
      <c r="O1692" s="220"/>
    </row>
    <row r="1693" spans="1:15" ht="15.75" thickBot="1" x14ac:dyDescent="0.3">
      <c r="A1693" s="376"/>
      <c r="B1693" s="72" t="s">
        <v>160</v>
      </c>
      <c r="C1693" s="75"/>
      <c r="D1693" s="333">
        <f>+SUM(D1689:D1692)</f>
        <v>2806.02</v>
      </c>
      <c r="E1693" s="1381"/>
      <c r="F1693" s="1381"/>
      <c r="G1693" s="1381"/>
      <c r="H1693" s="129"/>
      <c r="O1693" s="220"/>
    </row>
    <row r="1694" spans="1:15" ht="15.75" thickBot="1" x14ac:dyDescent="0.3">
      <c r="A1694" s="376"/>
      <c r="B1694" s="72" t="s">
        <v>161</v>
      </c>
      <c r="C1694" s="73"/>
      <c r="D1694" s="332" t="s">
        <v>162</v>
      </c>
      <c r="E1694" s="1382" t="s">
        <v>163</v>
      </c>
      <c r="F1694" s="1382"/>
      <c r="G1694" s="1382"/>
      <c r="H1694" s="129"/>
      <c r="O1694" s="220"/>
    </row>
    <row r="1695" spans="1:15" ht="15.75" thickBot="1" x14ac:dyDescent="0.3">
      <c r="A1695" s="376"/>
      <c r="B1695" s="76" t="s">
        <v>164</v>
      </c>
      <c r="C1695" s="77"/>
      <c r="D1695" s="334">
        <f>+SUM(D1693:D1694)</f>
        <v>2806.02</v>
      </c>
      <c r="E1695" s="1382"/>
      <c r="F1695" s="1382"/>
      <c r="G1695" s="1382"/>
      <c r="H1695" s="129"/>
      <c r="O1695" s="220"/>
    </row>
    <row r="1696" spans="1:15" ht="15.75" thickBot="1" x14ac:dyDescent="0.3">
      <c r="A1696" s="376"/>
      <c r="B1696" s="78" t="s">
        <v>165</v>
      </c>
      <c r="C1696" s="79">
        <f>$I$5</f>
        <v>28.49</v>
      </c>
      <c r="D1696" s="335">
        <f>ROUND((D1695*C1696),2)/100</f>
        <v>799.44</v>
      </c>
      <c r="E1696" s="1382"/>
      <c r="F1696" s="1382"/>
      <c r="G1696" s="1382"/>
      <c r="H1696" s="129"/>
      <c r="O1696" s="220"/>
    </row>
    <row r="1697" spans="1:15" ht="15.75" thickBot="1" x14ac:dyDescent="0.3">
      <c r="A1697" s="376"/>
      <c r="B1697" s="80" t="s">
        <v>166</v>
      </c>
      <c r="C1697" s="81"/>
      <c r="D1697" s="336">
        <f>+SUM(D1695:D1696)</f>
        <v>3605.46</v>
      </c>
      <c r="E1697" s="82"/>
      <c r="F1697" s="337">
        <f>D1697</f>
        <v>3605.46</v>
      </c>
      <c r="G1697" s="35"/>
      <c r="H1697" s="129"/>
      <c r="O1697" s="220"/>
    </row>
    <row r="1698" spans="1:15" x14ac:dyDescent="0.25">
      <c r="H1698" s="129"/>
      <c r="O1698" s="220"/>
    </row>
    <row r="1699" spans="1:15" s="183" customFormat="1" ht="15.75" thickBot="1" x14ac:dyDescent="0.3">
      <c r="A1699" s="382"/>
      <c r="O1699" s="220"/>
    </row>
    <row r="1700" spans="1:15" s="183" customFormat="1" x14ac:dyDescent="0.25">
      <c r="A1700" s="382"/>
      <c r="B1700" s="1383" t="s">
        <v>131</v>
      </c>
      <c r="C1700" s="1383"/>
      <c r="D1700" s="1383"/>
      <c r="E1700" s="1383"/>
      <c r="F1700" s="1383"/>
      <c r="G1700" s="1383"/>
      <c r="O1700" s="220"/>
    </row>
    <row r="1701" spans="1:15" s="183" customFormat="1" ht="15.75" thickBot="1" x14ac:dyDescent="0.3">
      <c r="A1701" s="382"/>
      <c r="B1701" s="1384" t="str">
        <f>$I$3</f>
        <v>Urbanização da Orla de Piúma - Município de Piúma / ES</v>
      </c>
      <c r="C1701" s="1385"/>
      <c r="D1701" s="1385"/>
      <c r="E1701" s="1385"/>
      <c r="F1701" s="1385"/>
      <c r="G1701" s="1386"/>
      <c r="O1701" s="220"/>
    </row>
    <row r="1702" spans="1:15" s="183" customFormat="1" ht="15.75" thickBot="1" x14ac:dyDescent="0.3">
      <c r="A1702" s="376"/>
      <c r="B1702" s="184" t="s">
        <v>132</v>
      </c>
      <c r="C1702" s="184" t="s">
        <v>133</v>
      </c>
      <c r="D1702" s="1381" t="s">
        <v>134</v>
      </c>
      <c r="E1702" s="1381"/>
      <c r="F1702" s="185" t="s">
        <v>275</v>
      </c>
      <c r="G1702" s="185" t="s">
        <v>135</v>
      </c>
      <c r="O1702" s="220"/>
    </row>
    <row r="1703" spans="1:15" s="183" customFormat="1" ht="15.75" thickBot="1" x14ac:dyDescent="0.3">
      <c r="A1703" s="376"/>
      <c r="B1703" s="186" t="s">
        <v>377</v>
      </c>
      <c r="C1703" s="187" t="s">
        <v>98</v>
      </c>
      <c r="D1703" s="1381" t="s">
        <v>8</v>
      </c>
      <c r="E1703" s="1381"/>
      <c r="F1703" s="217" t="s">
        <v>249</v>
      </c>
      <c r="G1703" s="38">
        <f>$K$5</f>
        <v>44501</v>
      </c>
      <c r="O1703" s="220"/>
    </row>
    <row r="1704" spans="1:15" s="183" customFormat="1" ht="15.75" thickBot="1" x14ac:dyDescent="0.3">
      <c r="A1704" s="376"/>
      <c r="B1704" s="1382"/>
      <c r="C1704" s="1382"/>
      <c r="D1704" s="1382"/>
      <c r="E1704" s="1382"/>
      <c r="F1704" s="1382"/>
      <c r="G1704" s="1382"/>
      <c r="O1704" s="220"/>
    </row>
    <row r="1705" spans="1:15" s="183" customFormat="1" x14ac:dyDescent="0.25">
      <c r="A1705" s="376"/>
      <c r="B1705" s="188" t="s">
        <v>139</v>
      </c>
      <c r="C1705" s="189" t="s">
        <v>140</v>
      </c>
      <c r="D1705" s="189" t="s">
        <v>141</v>
      </c>
      <c r="E1705" s="189" t="s">
        <v>142</v>
      </c>
      <c r="F1705" s="189" t="s">
        <v>143</v>
      </c>
      <c r="G1705" s="190" t="s">
        <v>144</v>
      </c>
      <c r="O1705" s="220"/>
    </row>
    <row r="1706" spans="1:15" s="183" customFormat="1" x14ac:dyDescent="0.25">
      <c r="A1706" s="376">
        <v>10111</v>
      </c>
      <c r="B1706" s="230" t="str">
        <f>VLOOKUP(A1706,Insumos!$A$10:$F$3462,2,FALSE)</f>
        <v>CARPINTEIRO (OFICIAL - SINDUSCON)</v>
      </c>
      <c r="C1706" s="231" t="str">
        <f>VLOOKUP(A1706,Insumos!$A$10:$F$3462,3,FALSE)</f>
        <v>H</v>
      </c>
      <c r="D1706" s="232">
        <v>8</v>
      </c>
      <c r="E1706" s="329">
        <f>VLOOKUP(A1706,Insumos!$A$10:$F$3462,4,FALSE)</f>
        <v>7.43</v>
      </c>
      <c r="F1706" s="329">
        <f>ROUND((D1706*E1706),2)</f>
        <v>59.44</v>
      </c>
      <c r="G1706" s="355"/>
      <c r="O1706" s="220"/>
    </row>
    <row r="1707" spans="1:15" s="183" customFormat="1" x14ac:dyDescent="0.25">
      <c r="A1707" s="376">
        <v>10101</v>
      </c>
      <c r="B1707" s="230" t="str">
        <f>VLOOKUP(A1707,Insumos!$A$10:$F$3462,2,FALSE)</f>
        <v>AJUDANTE (AJUDANTE PRATICO - SINDUSCON)</v>
      </c>
      <c r="C1707" s="231" t="str">
        <f>VLOOKUP(A1707,Insumos!$A$10:$F$3462,3,FALSE)</f>
        <v>H</v>
      </c>
      <c r="D1707" s="232">
        <v>8</v>
      </c>
      <c r="E1707" s="329">
        <f>VLOOKUP(A1707,Insumos!$A$10:$F$3462,4,FALSE)</f>
        <v>6.27</v>
      </c>
      <c r="F1707" s="329">
        <f>ROUND((D1707*E1707),2)</f>
        <v>50.16</v>
      </c>
      <c r="G1707" s="355"/>
      <c r="O1707" s="220"/>
    </row>
    <row r="1708" spans="1:15" s="183" customFormat="1" x14ac:dyDescent="0.25">
      <c r="A1708" s="376"/>
      <c r="B1708" s="194" t="s">
        <v>145</v>
      </c>
      <c r="C1708" s="195"/>
      <c r="D1708" s="196"/>
      <c r="E1708" s="329"/>
      <c r="F1708" s="353"/>
      <c r="G1708" s="338">
        <f>+SUM(F1706:F1707)</f>
        <v>109.6</v>
      </c>
      <c r="O1708" s="220"/>
    </row>
    <row r="1709" spans="1:15" s="183" customFormat="1" x14ac:dyDescent="0.25">
      <c r="A1709" s="376"/>
      <c r="B1709" s="193" t="s">
        <v>146</v>
      </c>
      <c r="C1709" s="197"/>
      <c r="D1709" s="198"/>
      <c r="E1709" s="191"/>
      <c r="F1709" s="199"/>
      <c r="G1709" s="200" t="s">
        <v>147</v>
      </c>
      <c r="O1709" s="220"/>
    </row>
    <row r="1710" spans="1:15" s="183" customFormat="1" ht="26.25" x14ac:dyDescent="0.25">
      <c r="A1710" s="376" t="s">
        <v>487</v>
      </c>
      <c r="B1710" s="230" t="str">
        <f>VLOOKUP(A1710,Insumos!$A$10:$F$3462,2,FALSE)</f>
        <v>Painel ripado para proteção das lixeiras com pilares e travessas em perfis Ecoblock, inclusive cavilhas do mesmo material e frete</v>
      </c>
      <c r="C1710" s="231" t="str">
        <f>VLOOKUP(A1710,Insumos!$A$10:$F$3462,3,FALSE)</f>
        <v>und</v>
      </c>
      <c r="D1710" s="232">
        <v>1</v>
      </c>
      <c r="E1710" s="329">
        <f>VLOOKUP(A1710,Insumos!$A$10:$F$3462,4,FALSE)</f>
        <v>2229.15</v>
      </c>
      <c r="F1710" s="329">
        <f>ROUND((D1710*E1710),2)</f>
        <v>2229.15</v>
      </c>
      <c r="G1710" s="192"/>
      <c r="O1710" s="220"/>
    </row>
    <row r="1711" spans="1:15" s="183" customFormat="1" x14ac:dyDescent="0.25">
      <c r="A1711" s="376"/>
      <c r="B1711" s="193"/>
      <c r="C1711" s="191"/>
      <c r="D1711" s="202"/>
      <c r="E1711" s="191"/>
      <c r="F1711" s="191"/>
      <c r="G1711" s="192"/>
      <c r="O1711" s="220"/>
    </row>
    <row r="1712" spans="1:15" s="183" customFormat="1" x14ac:dyDescent="0.25">
      <c r="A1712" s="376"/>
      <c r="B1712" s="194" t="s">
        <v>148</v>
      </c>
      <c r="C1712" s="195"/>
      <c r="D1712" s="203"/>
      <c r="E1712" s="204"/>
      <c r="F1712" s="204"/>
      <c r="G1712" s="338">
        <f>+SUM(F1710:F1711)</f>
        <v>2229.15</v>
      </c>
      <c r="O1712" s="220"/>
    </row>
    <row r="1713" spans="1:15" s="183" customFormat="1" x14ac:dyDescent="0.25">
      <c r="A1713" s="376"/>
      <c r="B1713" s="193" t="s">
        <v>149</v>
      </c>
      <c r="C1713" s="197"/>
      <c r="D1713" s="205"/>
      <c r="E1713" s="197"/>
      <c r="F1713" s="197"/>
      <c r="G1713" s="200" t="s">
        <v>150</v>
      </c>
      <c r="O1713" s="220"/>
    </row>
    <row r="1714" spans="1:15" s="183" customFormat="1" x14ac:dyDescent="0.25">
      <c r="A1714" s="376"/>
      <c r="B1714" s="193" t="s">
        <v>98</v>
      </c>
      <c r="C1714" s="191"/>
      <c r="D1714" s="201"/>
      <c r="E1714" s="191"/>
      <c r="F1714" s="191"/>
      <c r="G1714" s="192"/>
      <c r="O1714" s="220"/>
    </row>
    <row r="1715" spans="1:15" s="183" customFormat="1" ht="15.75" thickBot="1" x14ac:dyDescent="0.3">
      <c r="A1715" s="376"/>
      <c r="B1715" s="206" t="s">
        <v>151</v>
      </c>
      <c r="C1715" s="207"/>
      <c r="D1715" s="208"/>
      <c r="E1715" s="207"/>
      <c r="F1715" s="207"/>
      <c r="G1715" s="209">
        <f>+SUM(F1714:F1714)</f>
        <v>0</v>
      </c>
      <c r="O1715" s="220"/>
    </row>
    <row r="1716" spans="1:15" s="183" customFormat="1" ht="15.75" thickBot="1" x14ac:dyDescent="0.3">
      <c r="A1716" s="376"/>
      <c r="B1716" s="1382"/>
      <c r="C1716" s="1382"/>
      <c r="D1716" s="1382"/>
      <c r="E1716" s="1382"/>
      <c r="F1716" s="1382"/>
      <c r="G1716" s="1382"/>
      <c r="O1716" s="220"/>
    </row>
    <row r="1717" spans="1:15" s="183" customFormat="1" ht="15.75" thickBot="1" x14ac:dyDescent="0.3">
      <c r="A1717" s="376"/>
      <c r="B1717" s="69" t="s">
        <v>152</v>
      </c>
      <c r="C1717" s="70" t="s">
        <v>4415</v>
      </c>
      <c r="D1717" s="71" t="s">
        <v>154</v>
      </c>
      <c r="E1717" s="1381" t="s">
        <v>155</v>
      </c>
      <c r="F1717" s="1381"/>
      <c r="G1717" s="1381"/>
      <c r="O1717" s="220"/>
    </row>
    <row r="1718" spans="1:15" s="183" customFormat="1" ht="15.75" thickBot="1" x14ac:dyDescent="0.3">
      <c r="A1718" s="376"/>
      <c r="B1718" s="72" t="s">
        <v>156</v>
      </c>
      <c r="C1718" s="73"/>
      <c r="D1718" s="332">
        <f>G1708</f>
        <v>109.6</v>
      </c>
      <c r="E1718" s="1381"/>
      <c r="F1718" s="1381"/>
      <c r="G1718" s="1381"/>
      <c r="O1718" s="220"/>
    </row>
    <row r="1719" spans="1:15" s="183" customFormat="1" ht="15.75" thickBot="1" x14ac:dyDescent="0.3">
      <c r="A1719" s="376"/>
      <c r="B1719" s="72" t="s">
        <v>157</v>
      </c>
      <c r="C1719" s="73"/>
      <c r="D1719" s="332">
        <f>G1712</f>
        <v>2229.15</v>
      </c>
      <c r="E1719" s="1381"/>
      <c r="F1719" s="1381"/>
      <c r="G1719" s="1381"/>
      <c r="O1719" s="220"/>
    </row>
    <row r="1720" spans="1:15" s="183" customFormat="1" ht="15.75" thickBot="1" x14ac:dyDescent="0.3">
      <c r="A1720" s="376"/>
      <c r="B1720" s="72" t="s">
        <v>158</v>
      </c>
      <c r="C1720" s="73"/>
      <c r="D1720" s="332">
        <f>G1715</f>
        <v>0</v>
      </c>
      <c r="E1720" s="1381"/>
      <c r="F1720" s="1381"/>
      <c r="G1720" s="1381"/>
      <c r="O1720" s="220"/>
    </row>
    <row r="1721" spans="1:15" s="183" customFormat="1" ht="15.75" thickBot="1" x14ac:dyDescent="0.3">
      <c r="A1721" s="376"/>
      <c r="B1721" s="72" t="s">
        <v>159</v>
      </c>
      <c r="C1721" s="74">
        <f>$J$5</f>
        <v>157.27000000000001</v>
      </c>
      <c r="D1721" s="332">
        <f>+ROUND((D1718*C1721),2)/100</f>
        <v>172.37</v>
      </c>
      <c r="E1721" s="1381"/>
      <c r="F1721" s="1381"/>
      <c r="G1721" s="1381"/>
      <c r="O1721" s="220"/>
    </row>
    <row r="1722" spans="1:15" s="183" customFormat="1" ht="15.75" thickBot="1" x14ac:dyDescent="0.3">
      <c r="A1722" s="376"/>
      <c r="B1722" s="72" t="s">
        <v>160</v>
      </c>
      <c r="C1722" s="75"/>
      <c r="D1722" s="333">
        <f>+SUM(D1718:D1721)</f>
        <v>2511.12</v>
      </c>
      <c r="E1722" s="1381"/>
      <c r="F1722" s="1381"/>
      <c r="G1722" s="1381"/>
      <c r="O1722" s="220"/>
    </row>
    <row r="1723" spans="1:15" s="183" customFormat="1" ht="15.75" thickBot="1" x14ac:dyDescent="0.3">
      <c r="A1723" s="376"/>
      <c r="B1723" s="72" t="s">
        <v>161</v>
      </c>
      <c r="C1723" s="73"/>
      <c r="D1723" s="332" t="s">
        <v>162</v>
      </c>
      <c r="E1723" s="1382" t="s">
        <v>163</v>
      </c>
      <c r="F1723" s="1382"/>
      <c r="G1723" s="1382"/>
      <c r="O1723" s="220"/>
    </row>
    <row r="1724" spans="1:15" s="183" customFormat="1" ht="15.75" thickBot="1" x14ac:dyDescent="0.3">
      <c r="A1724" s="376"/>
      <c r="B1724" s="210" t="s">
        <v>164</v>
      </c>
      <c r="C1724" s="211"/>
      <c r="D1724" s="334">
        <f>+SUM(D1722:D1723)</f>
        <v>2511.12</v>
      </c>
      <c r="E1724" s="1382"/>
      <c r="F1724" s="1382"/>
      <c r="G1724" s="1382"/>
      <c r="O1724" s="220"/>
    </row>
    <row r="1725" spans="1:15" s="183" customFormat="1" ht="15.75" thickBot="1" x14ac:dyDescent="0.3">
      <c r="A1725" s="376"/>
      <c r="B1725" s="212" t="s">
        <v>165</v>
      </c>
      <c r="C1725" s="213">
        <f>$I$5</f>
        <v>28.49</v>
      </c>
      <c r="D1725" s="335">
        <f>ROUND((D1724*C1725),2)/100</f>
        <v>715.42</v>
      </c>
      <c r="E1725" s="1382"/>
      <c r="F1725" s="1382"/>
      <c r="G1725" s="1382"/>
      <c r="O1725" s="220"/>
    </row>
    <row r="1726" spans="1:15" s="183" customFormat="1" ht="15.75" thickBot="1" x14ac:dyDescent="0.3">
      <c r="A1726" s="376"/>
      <c r="B1726" s="80" t="s">
        <v>166</v>
      </c>
      <c r="C1726" s="214"/>
      <c r="D1726" s="336">
        <f>+SUM(D1724:D1725)</f>
        <v>3226.54</v>
      </c>
      <c r="E1726" s="215"/>
      <c r="F1726" s="337">
        <f>D1726</f>
        <v>3226.54</v>
      </c>
      <c r="G1726" s="185"/>
      <c r="O1726" s="220"/>
    </row>
    <row r="1727" spans="1:15" s="183" customFormat="1" x14ac:dyDescent="0.25">
      <c r="A1727" s="382"/>
      <c r="O1727" s="220"/>
    </row>
    <row r="1728" spans="1:15" ht="15.75" thickBot="1" x14ac:dyDescent="0.3">
      <c r="H1728" s="129"/>
      <c r="O1728" s="220"/>
    </row>
    <row r="1729" spans="1:15" x14ac:dyDescent="0.25">
      <c r="B1729" s="1383" t="s">
        <v>131</v>
      </c>
      <c r="C1729" s="1383"/>
      <c r="D1729" s="1383"/>
      <c r="E1729" s="1383"/>
      <c r="F1729" s="1383"/>
      <c r="G1729" s="1383"/>
      <c r="H1729" s="129"/>
      <c r="O1729" s="220"/>
    </row>
    <row r="1730" spans="1:15" ht="15.75" thickBot="1" x14ac:dyDescent="0.3">
      <c r="B1730" s="1384" t="str">
        <f>$I$3</f>
        <v>Urbanização da Orla de Piúma - Município de Piúma / ES</v>
      </c>
      <c r="C1730" s="1385"/>
      <c r="D1730" s="1385"/>
      <c r="E1730" s="1385"/>
      <c r="F1730" s="1385"/>
      <c r="G1730" s="1386"/>
      <c r="H1730" s="129"/>
      <c r="O1730" s="220"/>
    </row>
    <row r="1731" spans="1:15" ht="15.75" thickBot="1" x14ac:dyDescent="0.3">
      <c r="A1731" s="376"/>
      <c r="B1731" s="34" t="s">
        <v>132</v>
      </c>
      <c r="C1731" s="34" t="s">
        <v>133</v>
      </c>
      <c r="D1731" s="1381" t="s">
        <v>134</v>
      </c>
      <c r="E1731" s="1381"/>
      <c r="F1731" s="131" t="s">
        <v>275</v>
      </c>
      <c r="G1731" s="35" t="s">
        <v>135</v>
      </c>
      <c r="H1731" s="129"/>
      <c r="O1731" s="220"/>
    </row>
    <row r="1732" spans="1:15" s="159" customFormat="1" ht="27" thickBot="1" x14ac:dyDescent="0.3">
      <c r="A1732" s="376"/>
      <c r="B1732" s="132" t="s">
        <v>254</v>
      </c>
      <c r="C1732" s="92" t="s">
        <v>98</v>
      </c>
      <c r="D1732" s="1381" t="s">
        <v>8</v>
      </c>
      <c r="E1732" s="1381"/>
      <c r="F1732" s="144" t="s">
        <v>250</v>
      </c>
      <c r="G1732" s="38">
        <f>$K$5</f>
        <v>44501</v>
      </c>
      <c r="O1732" s="220"/>
    </row>
    <row r="1733" spans="1:15" ht="4.5" customHeight="1" thickBot="1" x14ac:dyDescent="0.3">
      <c r="A1733" s="376"/>
      <c r="B1733" s="1382"/>
      <c r="C1733" s="1382"/>
      <c r="D1733" s="1382"/>
      <c r="E1733" s="1382"/>
      <c r="F1733" s="1382"/>
      <c r="G1733" s="1382"/>
      <c r="H1733" s="129"/>
      <c r="O1733" s="220"/>
    </row>
    <row r="1734" spans="1:15" x14ac:dyDescent="0.25">
      <c r="A1734" s="376"/>
      <c r="B1734" s="41" t="s">
        <v>139</v>
      </c>
      <c r="C1734" s="42" t="s">
        <v>140</v>
      </c>
      <c r="D1734" s="42" t="s">
        <v>141</v>
      </c>
      <c r="E1734" s="42" t="s">
        <v>142</v>
      </c>
      <c r="F1734" s="42" t="s">
        <v>143</v>
      </c>
      <c r="G1734" s="43" t="s">
        <v>144</v>
      </c>
      <c r="H1734" s="129"/>
      <c r="O1734" s="220"/>
    </row>
    <row r="1735" spans="1:15" x14ac:dyDescent="0.25">
      <c r="A1735" s="376">
        <v>10146</v>
      </c>
      <c r="B1735" s="44" t="str">
        <f>VLOOKUP(A1735,Insumos!$A$10:$F$3462,2,FALSE)</f>
        <v>SERVENTE (AUXILIAR DE OBRAS - SINDUSCON)</v>
      </c>
      <c r="C1735" s="45" t="str">
        <f>VLOOKUP(A1735,Insumos!$A$10:$F$3462,3,FALSE)</f>
        <v>H</v>
      </c>
      <c r="D1735" s="46">
        <v>0.5</v>
      </c>
      <c r="E1735" s="329">
        <f>VLOOKUP(A1735,Insumos!$A$10:$F$3462,4,FALSE)</f>
        <v>5.46</v>
      </c>
      <c r="F1735" s="329">
        <f>ROUND((D1735*E1735),2)</f>
        <v>2.73</v>
      </c>
      <c r="G1735" s="355"/>
      <c r="H1735" s="129"/>
      <c r="O1735" s="220"/>
    </row>
    <row r="1736" spans="1:15" x14ac:dyDescent="0.25">
      <c r="A1736" s="376"/>
      <c r="B1736" s="48"/>
      <c r="C1736" s="45"/>
      <c r="D1736" s="49"/>
      <c r="E1736" s="329"/>
      <c r="F1736" s="329"/>
      <c r="G1736" s="355"/>
      <c r="H1736" s="129"/>
      <c r="O1736" s="220"/>
    </row>
    <row r="1737" spans="1:15" x14ac:dyDescent="0.25">
      <c r="A1737" s="376"/>
      <c r="B1737" s="50" t="s">
        <v>145</v>
      </c>
      <c r="C1737" s="51"/>
      <c r="D1737" s="52"/>
      <c r="E1737" s="329"/>
      <c r="F1737" s="353"/>
      <c r="G1737" s="338">
        <f>+SUM(F1735:F1736)</f>
        <v>2.73</v>
      </c>
      <c r="H1737" s="129"/>
      <c r="O1737" s="220"/>
    </row>
    <row r="1738" spans="1:15" x14ac:dyDescent="0.25">
      <c r="A1738" s="376"/>
      <c r="B1738" s="48" t="s">
        <v>146</v>
      </c>
      <c r="C1738" s="55"/>
      <c r="D1738" s="56"/>
      <c r="E1738" s="45"/>
      <c r="F1738" s="57"/>
      <c r="G1738" s="58" t="s">
        <v>147</v>
      </c>
      <c r="H1738" s="129"/>
      <c r="O1738" s="220"/>
    </row>
    <row r="1739" spans="1:15" ht="38.25" customHeight="1" x14ac:dyDescent="0.25">
      <c r="A1739" s="376" t="s">
        <v>496</v>
      </c>
      <c r="B1739" s="230" t="str">
        <f>VLOOKUP(A1739,Insumos!$A$10:$F$3462,2,FALSE)</f>
        <v>Ombrelone Super Premium Lateral Giratório Quadrado 2,00 x 2,00 m com Floreira Creme.  Dimensão da floreira: 0,71 x 0,70 x 0,41 m  Fabricante: Ombrelone &amp; Ombrelones</v>
      </c>
      <c r="C1739" s="231" t="str">
        <f>VLOOKUP(A1739,Insumos!$A$10:$F$3462,3,FALSE)</f>
        <v>und</v>
      </c>
      <c r="D1739" s="46">
        <v>1</v>
      </c>
      <c r="E1739" s="329">
        <f>VLOOKUP(A1739,Insumos!$A$10:$F$3462,4,FALSE)</f>
        <v>2790</v>
      </c>
      <c r="F1739" s="329">
        <f>ROUND((D1739*E1739),2)</f>
        <v>2790</v>
      </c>
      <c r="G1739" s="355"/>
      <c r="H1739" s="129"/>
      <c r="J1739" t="s">
        <v>253</v>
      </c>
      <c r="O1739" s="220"/>
    </row>
    <row r="1740" spans="1:15" x14ac:dyDescent="0.25">
      <c r="A1740" s="376"/>
      <c r="B1740" s="48"/>
      <c r="C1740" s="45"/>
      <c r="D1740" s="61"/>
      <c r="E1740" s="329"/>
      <c r="F1740" s="329"/>
      <c r="G1740" s="355"/>
      <c r="H1740" s="129"/>
      <c r="O1740" s="220"/>
    </row>
    <row r="1741" spans="1:15" x14ac:dyDescent="0.25">
      <c r="A1741" s="376"/>
      <c r="B1741" s="50" t="s">
        <v>148</v>
      </c>
      <c r="C1741" s="51"/>
      <c r="D1741" s="62"/>
      <c r="E1741" s="353"/>
      <c r="F1741" s="353"/>
      <c r="G1741" s="338">
        <f>+SUM(F1739:F1740)</f>
        <v>2790</v>
      </c>
      <c r="H1741" s="129"/>
      <c r="O1741" s="220"/>
    </row>
    <row r="1742" spans="1:15" x14ac:dyDescent="0.25">
      <c r="A1742" s="376"/>
      <c r="B1742" s="48" t="s">
        <v>149</v>
      </c>
      <c r="C1742" s="55"/>
      <c r="D1742" s="64"/>
      <c r="E1742" s="55"/>
      <c r="F1742" s="55"/>
      <c r="G1742" s="58" t="s">
        <v>150</v>
      </c>
      <c r="H1742" s="129"/>
      <c r="O1742" s="220"/>
    </row>
    <row r="1743" spans="1:15" x14ac:dyDescent="0.25">
      <c r="A1743" s="376"/>
      <c r="B1743" s="48" t="s">
        <v>98</v>
      </c>
      <c r="C1743" s="45"/>
      <c r="D1743" s="59"/>
      <c r="E1743" s="45"/>
      <c r="F1743" s="45"/>
      <c r="G1743" s="47"/>
      <c r="H1743" s="129"/>
      <c r="O1743" s="220"/>
    </row>
    <row r="1744" spans="1:15" x14ac:dyDescent="0.25">
      <c r="A1744" s="376"/>
      <c r="B1744" s="48" t="s">
        <v>98</v>
      </c>
      <c r="C1744" s="45"/>
      <c r="D1744" s="59"/>
      <c r="E1744" s="45"/>
      <c r="F1744" s="45"/>
      <c r="G1744" s="47"/>
      <c r="H1744" s="129"/>
      <c r="O1744" s="220"/>
    </row>
    <row r="1745" spans="1:15" ht="15.75" thickBot="1" x14ac:dyDescent="0.3">
      <c r="A1745" s="376"/>
      <c r="B1745" s="65" t="s">
        <v>151</v>
      </c>
      <c r="C1745" s="66"/>
      <c r="D1745" s="67"/>
      <c r="E1745" s="66"/>
      <c r="F1745" s="66"/>
      <c r="G1745" s="68">
        <f>+SUM(F1743:F1744)</f>
        <v>0</v>
      </c>
      <c r="H1745" s="129"/>
      <c r="O1745" s="220"/>
    </row>
    <row r="1746" spans="1:15" ht="4.5" customHeight="1" thickBot="1" x14ac:dyDescent="0.3">
      <c r="A1746" s="376"/>
      <c r="B1746" s="1382"/>
      <c r="C1746" s="1382"/>
      <c r="D1746" s="1382"/>
      <c r="E1746" s="1382"/>
      <c r="F1746" s="1382"/>
      <c r="G1746" s="1382"/>
      <c r="H1746" s="129"/>
      <c r="O1746" s="220"/>
    </row>
    <row r="1747" spans="1:15" ht="15.75" thickBot="1" x14ac:dyDescent="0.3">
      <c r="A1747" s="376"/>
      <c r="B1747" s="69" t="s">
        <v>152</v>
      </c>
      <c r="C1747" s="70" t="s">
        <v>4415</v>
      </c>
      <c r="D1747" s="71" t="s">
        <v>154</v>
      </c>
      <c r="E1747" s="1381" t="s">
        <v>155</v>
      </c>
      <c r="F1747" s="1381"/>
      <c r="G1747" s="1381"/>
      <c r="H1747" s="129"/>
      <c r="O1747" s="220"/>
    </row>
    <row r="1748" spans="1:15" ht="15.75" thickBot="1" x14ac:dyDescent="0.3">
      <c r="A1748" s="376"/>
      <c r="B1748" s="72" t="s">
        <v>156</v>
      </c>
      <c r="C1748" s="73"/>
      <c r="D1748" s="332">
        <f>G1737</f>
        <v>2.73</v>
      </c>
      <c r="E1748" s="1381"/>
      <c r="F1748" s="1381"/>
      <c r="G1748" s="1381"/>
      <c r="H1748" s="129"/>
      <c r="O1748" s="220"/>
    </row>
    <row r="1749" spans="1:15" ht="15.75" thickBot="1" x14ac:dyDescent="0.3">
      <c r="A1749" s="376"/>
      <c r="B1749" s="72" t="s">
        <v>157</v>
      </c>
      <c r="C1749" s="73"/>
      <c r="D1749" s="332">
        <f>G1741</f>
        <v>2790</v>
      </c>
      <c r="E1749" s="1381"/>
      <c r="F1749" s="1381"/>
      <c r="G1749" s="1381"/>
      <c r="H1749" s="129"/>
      <c r="O1749" s="220"/>
    </row>
    <row r="1750" spans="1:15" ht="15.75" thickBot="1" x14ac:dyDescent="0.3">
      <c r="A1750" s="376"/>
      <c r="B1750" s="72" t="s">
        <v>158</v>
      </c>
      <c r="C1750" s="73"/>
      <c r="D1750" s="332">
        <f>G1745</f>
        <v>0</v>
      </c>
      <c r="E1750" s="1381"/>
      <c r="F1750" s="1381"/>
      <c r="G1750" s="1381"/>
      <c r="H1750" s="129"/>
      <c r="O1750" s="220"/>
    </row>
    <row r="1751" spans="1:15" ht="15.75" thickBot="1" x14ac:dyDescent="0.3">
      <c r="A1751" s="376"/>
      <c r="B1751" s="72" t="s">
        <v>159</v>
      </c>
      <c r="C1751" s="74">
        <f>$J$5</f>
        <v>157.27000000000001</v>
      </c>
      <c r="D1751" s="332">
        <f>+ROUND((D1748*C1751),2)/100</f>
        <v>4.29</v>
      </c>
      <c r="E1751" s="1381"/>
      <c r="F1751" s="1381"/>
      <c r="G1751" s="1381"/>
      <c r="H1751" s="129"/>
      <c r="O1751" s="220"/>
    </row>
    <row r="1752" spans="1:15" ht="15.75" thickBot="1" x14ac:dyDescent="0.3">
      <c r="A1752" s="376"/>
      <c r="B1752" s="72" t="s">
        <v>160</v>
      </c>
      <c r="C1752" s="75"/>
      <c r="D1752" s="333">
        <f>+SUM(D1748:D1751)</f>
        <v>2797.02</v>
      </c>
      <c r="E1752" s="1381"/>
      <c r="F1752" s="1381"/>
      <c r="G1752" s="1381"/>
      <c r="H1752" s="129"/>
      <c r="O1752" s="220"/>
    </row>
    <row r="1753" spans="1:15" ht="15.75" thickBot="1" x14ac:dyDescent="0.3">
      <c r="A1753" s="376"/>
      <c r="B1753" s="72" t="s">
        <v>161</v>
      </c>
      <c r="C1753" s="73"/>
      <c r="D1753" s="332" t="s">
        <v>162</v>
      </c>
      <c r="E1753" s="1382" t="s">
        <v>163</v>
      </c>
      <c r="F1753" s="1382"/>
      <c r="G1753" s="1382"/>
      <c r="H1753" s="129"/>
      <c r="O1753" s="220"/>
    </row>
    <row r="1754" spans="1:15" ht="15.75" thickBot="1" x14ac:dyDescent="0.3">
      <c r="A1754" s="376"/>
      <c r="B1754" s="76" t="s">
        <v>164</v>
      </c>
      <c r="C1754" s="77"/>
      <c r="D1754" s="334">
        <f>+SUM(D1752:D1753)</f>
        <v>2797.02</v>
      </c>
      <c r="E1754" s="1382"/>
      <c r="F1754" s="1382"/>
      <c r="G1754" s="1382"/>
      <c r="H1754" s="129"/>
      <c r="O1754" s="220"/>
    </row>
    <row r="1755" spans="1:15" ht="15.75" thickBot="1" x14ac:dyDescent="0.3">
      <c r="A1755" s="376"/>
      <c r="B1755" s="78" t="s">
        <v>165</v>
      </c>
      <c r="C1755" s="79">
        <f>$I$5</f>
        <v>28.49</v>
      </c>
      <c r="D1755" s="335">
        <f>ROUND((D1754*C1755),2)/100</f>
        <v>796.87</v>
      </c>
      <c r="E1755" s="1382"/>
      <c r="F1755" s="1382"/>
      <c r="G1755" s="1382"/>
      <c r="H1755" s="129"/>
      <c r="O1755" s="220"/>
    </row>
    <row r="1756" spans="1:15" ht="15.75" thickBot="1" x14ac:dyDescent="0.3">
      <c r="A1756" s="376"/>
      <c r="B1756" s="80" t="s">
        <v>166</v>
      </c>
      <c r="C1756" s="81"/>
      <c r="D1756" s="336">
        <f>+SUM(D1754:D1755)</f>
        <v>3593.89</v>
      </c>
      <c r="E1756" s="82"/>
      <c r="F1756" s="337">
        <f>D1756</f>
        <v>3593.89</v>
      </c>
      <c r="G1756" s="35"/>
      <c r="H1756" s="129"/>
      <c r="O1756" s="220"/>
    </row>
    <row r="1757" spans="1:15" x14ac:dyDescent="0.25">
      <c r="H1757" s="129"/>
      <c r="O1757" s="220"/>
    </row>
    <row r="1758" spans="1:15" ht="15.75" thickBot="1" x14ac:dyDescent="0.3">
      <c r="H1758" s="129"/>
      <c r="O1758" s="220"/>
    </row>
    <row r="1759" spans="1:15" x14ac:dyDescent="0.25">
      <c r="B1759" s="1383" t="s">
        <v>131</v>
      </c>
      <c r="C1759" s="1383"/>
      <c r="D1759" s="1383"/>
      <c r="E1759" s="1383"/>
      <c r="F1759" s="1383"/>
      <c r="G1759" s="1383"/>
      <c r="H1759" s="129"/>
      <c r="O1759" s="220"/>
    </row>
    <row r="1760" spans="1:15" ht="15.75" thickBot="1" x14ac:dyDescent="0.3">
      <c r="B1760" s="1384" t="str">
        <f>$I$3</f>
        <v>Urbanização da Orla de Piúma - Município de Piúma / ES</v>
      </c>
      <c r="C1760" s="1385"/>
      <c r="D1760" s="1385"/>
      <c r="E1760" s="1385"/>
      <c r="F1760" s="1385"/>
      <c r="G1760" s="1386"/>
      <c r="H1760" s="129"/>
      <c r="O1760" s="220"/>
    </row>
    <row r="1761" spans="1:15" ht="15.75" thickBot="1" x14ac:dyDescent="0.3">
      <c r="A1761" s="376"/>
      <c r="B1761" s="34" t="s">
        <v>132</v>
      </c>
      <c r="C1761" s="34" t="s">
        <v>133</v>
      </c>
      <c r="D1761" s="1381" t="s">
        <v>134</v>
      </c>
      <c r="E1761" s="1381"/>
      <c r="F1761" s="131" t="s">
        <v>275</v>
      </c>
      <c r="G1761" s="35" t="s">
        <v>135</v>
      </c>
      <c r="H1761" s="129"/>
      <c r="O1761" s="220"/>
    </row>
    <row r="1762" spans="1:15" s="159" customFormat="1" ht="27" thickBot="1" x14ac:dyDescent="0.3">
      <c r="A1762" s="376"/>
      <c r="B1762" s="132" t="s">
        <v>255</v>
      </c>
      <c r="C1762" s="92" t="s">
        <v>98</v>
      </c>
      <c r="D1762" s="1381" t="s">
        <v>8</v>
      </c>
      <c r="E1762" s="1381"/>
      <c r="F1762" s="144" t="s">
        <v>251</v>
      </c>
      <c r="G1762" s="38">
        <f>$K$5</f>
        <v>44501</v>
      </c>
      <c r="O1762" s="220"/>
    </row>
    <row r="1763" spans="1:15" ht="6.75" customHeight="1" thickBot="1" x14ac:dyDescent="0.3">
      <c r="A1763" s="376"/>
      <c r="B1763" s="1382"/>
      <c r="C1763" s="1382"/>
      <c r="D1763" s="1382"/>
      <c r="E1763" s="1382"/>
      <c r="F1763" s="1382"/>
      <c r="G1763" s="1382"/>
      <c r="H1763" s="129"/>
      <c r="O1763" s="220"/>
    </row>
    <row r="1764" spans="1:15" x14ac:dyDescent="0.25">
      <c r="A1764" s="376"/>
      <c r="B1764" s="41" t="s">
        <v>139</v>
      </c>
      <c r="C1764" s="42" t="s">
        <v>140</v>
      </c>
      <c r="D1764" s="42" t="s">
        <v>141</v>
      </c>
      <c r="E1764" s="42" t="s">
        <v>142</v>
      </c>
      <c r="F1764" s="42" t="s">
        <v>143</v>
      </c>
      <c r="G1764" s="43" t="s">
        <v>144</v>
      </c>
      <c r="H1764" s="129"/>
      <c r="O1764" s="220"/>
    </row>
    <row r="1765" spans="1:15" x14ac:dyDescent="0.25">
      <c r="A1765" s="376">
        <v>10146</v>
      </c>
      <c r="B1765" s="44" t="str">
        <f>VLOOKUP(A1765,Insumos!$A$10:$F$3462,2,FALSE)</f>
        <v>SERVENTE (AUXILIAR DE OBRAS - SINDUSCON)</v>
      </c>
      <c r="C1765" s="45" t="str">
        <f>VLOOKUP(A1765,Insumos!$A$10:$F$3462,3,FALSE)</f>
        <v>H</v>
      </c>
      <c r="D1765" s="46">
        <v>0.5</v>
      </c>
      <c r="E1765" s="329">
        <f>VLOOKUP(A1765,Insumos!$A$10:$F$3462,4,FALSE)</f>
        <v>5.46</v>
      </c>
      <c r="F1765" s="329">
        <f>ROUND((D1765*E1765),2)</f>
        <v>2.73</v>
      </c>
      <c r="G1765" s="355"/>
      <c r="H1765" s="129"/>
      <c r="O1765" s="220"/>
    </row>
    <row r="1766" spans="1:15" x14ac:dyDescent="0.25">
      <c r="A1766" s="376"/>
      <c r="B1766" s="48"/>
      <c r="C1766" s="45"/>
      <c r="D1766" s="49"/>
      <c r="E1766" s="329"/>
      <c r="F1766" s="329"/>
      <c r="G1766" s="355"/>
      <c r="H1766" s="129"/>
      <c r="O1766" s="220"/>
    </row>
    <row r="1767" spans="1:15" x14ac:dyDescent="0.25">
      <c r="A1767" s="376"/>
      <c r="B1767" s="50" t="s">
        <v>145</v>
      </c>
      <c r="C1767" s="51"/>
      <c r="D1767" s="52"/>
      <c r="E1767" s="329"/>
      <c r="F1767" s="353"/>
      <c r="G1767" s="338">
        <f>+SUM(F1765:F1766)</f>
        <v>2.73</v>
      </c>
      <c r="H1767" s="129"/>
      <c r="O1767" s="220"/>
    </row>
    <row r="1768" spans="1:15" x14ac:dyDescent="0.25">
      <c r="A1768" s="376"/>
      <c r="B1768" s="48" t="s">
        <v>146</v>
      </c>
      <c r="C1768" s="55"/>
      <c r="D1768" s="56"/>
      <c r="E1768" s="45"/>
      <c r="F1768" s="57"/>
      <c r="G1768" s="58" t="s">
        <v>147</v>
      </c>
      <c r="H1768" s="129"/>
      <c r="O1768" s="220"/>
    </row>
    <row r="1769" spans="1:15" ht="26.25" x14ac:dyDescent="0.25">
      <c r="A1769" s="376" t="s">
        <v>497</v>
      </c>
      <c r="B1769" s="230" t="str">
        <f>VLOOKUP(A1769,Insumos!$A$10:$F$3462,2,FALSE)</f>
        <v>Ombrelone com haste central redondo Ø 2,10 m, cor creme, inclusive base. Fabricante Ombrelone $ Ombrelones</v>
      </c>
      <c r="C1769" s="231" t="str">
        <f>VLOOKUP(A1769,Insumos!$A$10:$F$3462,3,FALSE)</f>
        <v>und</v>
      </c>
      <c r="D1769" s="46">
        <v>1</v>
      </c>
      <c r="E1769" s="329">
        <f>VLOOKUP(A1769,Insumos!$A$10:$F$3462,4,FALSE)</f>
        <v>760.5</v>
      </c>
      <c r="F1769" s="329">
        <f>ROUND((D1769*E1769),2)</f>
        <v>760.5</v>
      </c>
      <c r="G1769" s="355"/>
      <c r="H1769" s="129"/>
      <c r="J1769" t="s">
        <v>253</v>
      </c>
      <c r="O1769" s="220"/>
    </row>
    <row r="1770" spans="1:15" x14ac:dyDescent="0.25">
      <c r="A1770" s="376"/>
      <c r="B1770" s="99"/>
      <c r="C1770" s="146"/>
      <c r="D1770" s="61"/>
      <c r="E1770" s="329"/>
      <c r="F1770" s="329"/>
      <c r="G1770" s="355"/>
      <c r="H1770" s="129"/>
      <c r="O1770" s="220"/>
    </row>
    <row r="1771" spans="1:15" x14ac:dyDescent="0.25">
      <c r="A1771" s="376"/>
      <c r="B1771" s="50" t="s">
        <v>148</v>
      </c>
      <c r="C1771" s="51"/>
      <c r="D1771" s="62"/>
      <c r="E1771" s="353"/>
      <c r="F1771" s="353"/>
      <c r="G1771" s="338">
        <f>+SUM(F1769:F1770)</f>
        <v>760.5</v>
      </c>
      <c r="H1771" s="129"/>
      <c r="O1771" s="220"/>
    </row>
    <row r="1772" spans="1:15" x14ac:dyDescent="0.25">
      <c r="A1772" s="376"/>
      <c r="B1772" s="48" t="s">
        <v>149</v>
      </c>
      <c r="C1772" s="55"/>
      <c r="D1772" s="64"/>
      <c r="E1772" s="55"/>
      <c r="F1772" s="55"/>
      <c r="G1772" s="58" t="s">
        <v>150</v>
      </c>
      <c r="H1772" s="129"/>
      <c r="O1772" s="220"/>
    </row>
    <row r="1773" spans="1:15" x14ac:dyDescent="0.25">
      <c r="A1773" s="376"/>
      <c r="B1773" s="48" t="s">
        <v>98</v>
      </c>
      <c r="C1773" s="45"/>
      <c r="D1773" s="59"/>
      <c r="E1773" s="45"/>
      <c r="F1773" s="45"/>
      <c r="G1773" s="47"/>
      <c r="H1773" s="129"/>
      <c r="O1773" s="220"/>
    </row>
    <row r="1774" spans="1:15" x14ac:dyDescent="0.25">
      <c r="A1774" s="376"/>
      <c r="B1774" s="48" t="s">
        <v>98</v>
      </c>
      <c r="C1774" s="45"/>
      <c r="D1774" s="59"/>
      <c r="E1774" s="45"/>
      <c r="F1774" s="45"/>
      <c r="G1774" s="47"/>
      <c r="H1774" s="129"/>
      <c r="O1774" s="220"/>
    </row>
    <row r="1775" spans="1:15" ht="15.75" thickBot="1" x14ac:dyDescent="0.3">
      <c r="A1775" s="376"/>
      <c r="B1775" s="65" t="s">
        <v>151</v>
      </c>
      <c r="C1775" s="66"/>
      <c r="D1775" s="67"/>
      <c r="E1775" s="66"/>
      <c r="F1775" s="66"/>
      <c r="G1775" s="68">
        <f>+SUM(F1773:F1774)</f>
        <v>0</v>
      </c>
      <c r="H1775" s="129"/>
      <c r="O1775" s="220"/>
    </row>
    <row r="1776" spans="1:15" ht="4.5" customHeight="1" thickBot="1" x14ac:dyDescent="0.3">
      <c r="A1776" s="376"/>
      <c r="B1776" s="1382"/>
      <c r="C1776" s="1382"/>
      <c r="D1776" s="1382"/>
      <c r="E1776" s="1382"/>
      <c r="F1776" s="1382"/>
      <c r="G1776" s="1382"/>
      <c r="H1776" s="129"/>
      <c r="O1776" s="220"/>
    </row>
    <row r="1777" spans="1:15" ht="15.75" thickBot="1" x14ac:dyDescent="0.3">
      <c r="A1777" s="376"/>
      <c r="B1777" s="69" t="s">
        <v>152</v>
      </c>
      <c r="C1777" s="70" t="s">
        <v>4415</v>
      </c>
      <c r="D1777" s="71" t="s">
        <v>154</v>
      </c>
      <c r="E1777" s="1381" t="s">
        <v>155</v>
      </c>
      <c r="F1777" s="1381"/>
      <c r="G1777" s="1381"/>
      <c r="H1777" s="129"/>
      <c r="O1777" s="220"/>
    </row>
    <row r="1778" spans="1:15" ht="15.75" thickBot="1" x14ac:dyDescent="0.3">
      <c r="A1778" s="376"/>
      <c r="B1778" s="72" t="s">
        <v>156</v>
      </c>
      <c r="C1778" s="73"/>
      <c r="D1778" s="332">
        <f>G1767</f>
        <v>2.73</v>
      </c>
      <c r="E1778" s="1381"/>
      <c r="F1778" s="1381"/>
      <c r="G1778" s="1381"/>
      <c r="H1778" s="129"/>
      <c r="O1778" s="220"/>
    </row>
    <row r="1779" spans="1:15" ht="15.75" thickBot="1" x14ac:dyDescent="0.3">
      <c r="A1779" s="376"/>
      <c r="B1779" s="72" t="s">
        <v>157</v>
      </c>
      <c r="C1779" s="73"/>
      <c r="D1779" s="332">
        <f>G1771</f>
        <v>760.5</v>
      </c>
      <c r="E1779" s="1381"/>
      <c r="F1779" s="1381"/>
      <c r="G1779" s="1381"/>
      <c r="H1779" s="129"/>
      <c r="O1779" s="220"/>
    </row>
    <row r="1780" spans="1:15" ht="15.75" thickBot="1" x14ac:dyDescent="0.3">
      <c r="A1780" s="376"/>
      <c r="B1780" s="72" t="s">
        <v>158</v>
      </c>
      <c r="C1780" s="73"/>
      <c r="D1780" s="332">
        <f>G1775</f>
        <v>0</v>
      </c>
      <c r="E1780" s="1381"/>
      <c r="F1780" s="1381"/>
      <c r="G1780" s="1381"/>
      <c r="H1780" s="129"/>
      <c r="O1780" s="220"/>
    </row>
    <row r="1781" spans="1:15" ht="15.75" thickBot="1" x14ac:dyDescent="0.3">
      <c r="A1781" s="376"/>
      <c r="B1781" s="72" t="s">
        <v>159</v>
      </c>
      <c r="C1781" s="74">
        <f>$J$5</f>
        <v>157.27000000000001</v>
      </c>
      <c r="D1781" s="332">
        <f>+ROUND((D1778*C1781),2)/100</f>
        <v>4.29</v>
      </c>
      <c r="E1781" s="1381"/>
      <c r="F1781" s="1381"/>
      <c r="G1781" s="1381"/>
      <c r="H1781" s="129"/>
      <c r="O1781" s="220"/>
    </row>
    <row r="1782" spans="1:15" ht="15.75" thickBot="1" x14ac:dyDescent="0.3">
      <c r="A1782" s="376"/>
      <c r="B1782" s="72" t="s">
        <v>160</v>
      </c>
      <c r="C1782" s="75"/>
      <c r="D1782" s="333">
        <f>+SUM(D1778:D1781)</f>
        <v>767.52</v>
      </c>
      <c r="E1782" s="1381"/>
      <c r="F1782" s="1381"/>
      <c r="G1782" s="1381"/>
      <c r="H1782" s="129"/>
      <c r="O1782" s="220"/>
    </row>
    <row r="1783" spans="1:15" ht="15.75" thickBot="1" x14ac:dyDescent="0.3">
      <c r="A1783" s="376"/>
      <c r="B1783" s="72" t="s">
        <v>161</v>
      </c>
      <c r="C1783" s="73"/>
      <c r="D1783" s="332" t="s">
        <v>162</v>
      </c>
      <c r="E1783" s="1382" t="s">
        <v>163</v>
      </c>
      <c r="F1783" s="1382"/>
      <c r="G1783" s="1382"/>
      <c r="H1783" s="129"/>
      <c r="O1783" s="220"/>
    </row>
    <row r="1784" spans="1:15" ht="15.75" thickBot="1" x14ac:dyDescent="0.3">
      <c r="A1784" s="376"/>
      <c r="B1784" s="76" t="s">
        <v>164</v>
      </c>
      <c r="C1784" s="77"/>
      <c r="D1784" s="334">
        <f>+SUM(D1782:D1783)</f>
        <v>767.52</v>
      </c>
      <c r="E1784" s="1382"/>
      <c r="F1784" s="1382"/>
      <c r="G1784" s="1382"/>
      <c r="H1784" s="129"/>
      <c r="O1784" s="220"/>
    </row>
    <row r="1785" spans="1:15" ht="15.75" thickBot="1" x14ac:dyDescent="0.3">
      <c r="A1785" s="376"/>
      <c r="B1785" s="78" t="s">
        <v>165</v>
      </c>
      <c r="C1785" s="79">
        <f>$I$5</f>
        <v>28.49</v>
      </c>
      <c r="D1785" s="335">
        <f>ROUND((D1784*C1785),2)/100</f>
        <v>218.67</v>
      </c>
      <c r="E1785" s="1382"/>
      <c r="F1785" s="1382"/>
      <c r="G1785" s="1382"/>
      <c r="H1785" s="129"/>
      <c r="O1785" s="220"/>
    </row>
    <row r="1786" spans="1:15" ht="15.75" thickBot="1" x14ac:dyDescent="0.3">
      <c r="A1786" s="376"/>
      <c r="B1786" s="80" t="s">
        <v>166</v>
      </c>
      <c r="C1786" s="81"/>
      <c r="D1786" s="336">
        <f>+SUM(D1784:D1785)</f>
        <v>986.19</v>
      </c>
      <c r="E1786" s="82"/>
      <c r="F1786" s="337">
        <f>D1786</f>
        <v>986.19</v>
      </c>
      <c r="G1786" s="35"/>
      <c r="H1786" s="129"/>
      <c r="O1786" s="220"/>
    </row>
    <row r="1787" spans="1:15" x14ac:dyDescent="0.25">
      <c r="H1787" s="129"/>
      <c r="O1787" s="220"/>
    </row>
    <row r="1788" spans="1:15" ht="15.75" thickBot="1" x14ac:dyDescent="0.3">
      <c r="H1788" s="129"/>
      <c r="O1788" s="220"/>
    </row>
    <row r="1789" spans="1:15" x14ac:dyDescent="0.25">
      <c r="B1789" s="1383" t="s">
        <v>131</v>
      </c>
      <c r="C1789" s="1383"/>
      <c r="D1789" s="1383"/>
      <c r="E1789" s="1383"/>
      <c r="F1789" s="1383"/>
      <c r="G1789" s="1383"/>
      <c r="H1789" s="129"/>
      <c r="O1789" s="220"/>
    </row>
    <row r="1790" spans="1:15" ht="15.75" thickBot="1" x14ac:dyDescent="0.3">
      <c r="B1790" s="1384" t="str">
        <f>$I$3</f>
        <v>Urbanização da Orla de Piúma - Município de Piúma / ES</v>
      </c>
      <c r="C1790" s="1385"/>
      <c r="D1790" s="1385"/>
      <c r="E1790" s="1385"/>
      <c r="F1790" s="1385"/>
      <c r="G1790" s="1386"/>
      <c r="H1790" s="129"/>
      <c r="O1790" s="220"/>
    </row>
    <row r="1791" spans="1:15" ht="15.75" thickBot="1" x14ac:dyDescent="0.3">
      <c r="A1791" s="376"/>
      <c r="B1791" s="34" t="s">
        <v>132</v>
      </c>
      <c r="C1791" s="34" t="s">
        <v>133</v>
      </c>
      <c r="D1791" s="1381" t="s">
        <v>134</v>
      </c>
      <c r="E1791" s="1381"/>
      <c r="F1791" s="131" t="s">
        <v>275</v>
      </c>
      <c r="G1791" s="35" t="s">
        <v>135</v>
      </c>
      <c r="H1791" s="129"/>
      <c r="O1791" s="220"/>
    </row>
    <row r="1792" spans="1:15" s="159" customFormat="1" ht="27" thickBot="1" x14ac:dyDescent="0.3">
      <c r="A1792" s="376"/>
      <c r="B1792" s="132" t="s">
        <v>256</v>
      </c>
      <c r="C1792" s="92" t="s">
        <v>98</v>
      </c>
      <c r="D1792" s="1381" t="s">
        <v>8</v>
      </c>
      <c r="E1792" s="1381"/>
      <c r="F1792" s="144" t="s">
        <v>261</v>
      </c>
      <c r="G1792" s="38">
        <f>$K$5</f>
        <v>44501</v>
      </c>
      <c r="O1792" s="220"/>
    </row>
    <row r="1793" spans="1:15" ht="8.25" customHeight="1" thickBot="1" x14ac:dyDescent="0.3">
      <c r="A1793" s="376"/>
      <c r="B1793" s="1382"/>
      <c r="C1793" s="1382"/>
      <c r="D1793" s="1382"/>
      <c r="E1793" s="1382"/>
      <c r="F1793" s="1382"/>
      <c r="G1793" s="1382"/>
      <c r="H1793" s="129"/>
      <c r="O1793" s="220"/>
    </row>
    <row r="1794" spans="1:15" x14ac:dyDescent="0.25">
      <c r="A1794" s="376"/>
      <c r="B1794" s="41" t="s">
        <v>139</v>
      </c>
      <c r="C1794" s="42" t="s">
        <v>140</v>
      </c>
      <c r="D1794" s="42" t="s">
        <v>141</v>
      </c>
      <c r="E1794" s="42" t="s">
        <v>142</v>
      </c>
      <c r="F1794" s="42" t="s">
        <v>143</v>
      </c>
      <c r="G1794" s="43" t="s">
        <v>144</v>
      </c>
      <c r="H1794" s="129"/>
      <c r="O1794" s="220"/>
    </row>
    <row r="1795" spans="1:15" x14ac:dyDescent="0.25">
      <c r="A1795" s="376">
        <v>10146</v>
      </c>
      <c r="B1795" s="44" t="str">
        <f>VLOOKUP(A1795,Insumos!$A$10:$F$3462,2,FALSE)</f>
        <v>SERVENTE (AUXILIAR DE OBRAS - SINDUSCON)</v>
      </c>
      <c r="C1795" s="45" t="str">
        <f>VLOOKUP(A1795,Insumos!$A$10:$F$3462,3,FALSE)</f>
        <v>H</v>
      </c>
      <c r="D1795" s="46">
        <v>0.25</v>
      </c>
      <c r="E1795" s="329">
        <f>VLOOKUP(A1795,Insumos!$A$10:$F$3462,4,FALSE)</f>
        <v>5.46</v>
      </c>
      <c r="F1795" s="329">
        <f>ROUND((D1795*E1795),2)</f>
        <v>1.37</v>
      </c>
      <c r="G1795" s="355"/>
      <c r="H1795" s="129"/>
      <c r="O1795" s="220"/>
    </row>
    <row r="1796" spans="1:15" x14ac:dyDescent="0.25">
      <c r="A1796" s="376"/>
      <c r="B1796" s="48"/>
      <c r="C1796" s="45"/>
      <c r="D1796" s="49"/>
      <c r="E1796" s="329"/>
      <c r="F1796" s="329"/>
      <c r="G1796" s="355"/>
      <c r="H1796" s="129"/>
      <c r="O1796" s="220"/>
    </row>
    <row r="1797" spans="1:15" x14ac:dyDescent="0.25">
      <c r="A1797" s="376"/>
      <c r="B1797" s="50" t="s">
        <v>145</v>
      </c>
      <c r="C1797" s="51"/>
      <c r="D1797" s="52"/>
      <c r="E1797" s="329"/>
      <c r="F1797" s="353"/>
      <c r="G1797" s="338">
        <f>+SUM(F1795:F1796)</f>
        <v>1.37</v>
      </c>
      <c r="H1797" s="129"/>
      <c r="O1797" s="220"/>
    </row>
    <row r="1798" spans="1:15" x14ac:dyDescent="0.25">
      <c r="A1798" s="376"/>
      <c r="B1798" s="48" t="s">
        <v>146</v>
      </c>
      <c r="C1798" s="55"/>
      <c r="D1798" s="56"/>
      <c r="E1798" s="45"/>
      <c r="F1798" s="57"/>
      <c r="G1798" s="58" t="s">
        <v>147</v>
      </c>
      <c r="H1798" s="129"/>
      <c r="O1798" s="220"/>
    </row>
    <row r="1799" spans="1:15" x14ac:dyDescent="0.25">
      <c r="A1799" s="376" t="s">
        <v>477</v>
      </c>
      <c r="B1799" s="230" t="str">
        <f>VLOOKUP(A1799,Insumos!$A$10:$F$3462,2,FALSE)</f>
        <v>Cachepot rústico para plantas Jatobá 0,45 x 0,45 x 0,45 m</v>
      </c>
      <c r="C1799" s="231" t="str">
        <f>VLOOKUP(A1799,Insumos!$A$10:$F$3462,3,FALSE)</f>
        <v>und</v>
      </c>
      <c r="D1799" s="46">
        <v>1</v>
      </c>
      <c r="E1799" s="329">
        <f>VLOOKUP(A1799,Insumos!$A$10:$F$3462,4,FALSE)</f>
        <v>236.55</v>
      </c>
      <c r="F1799" s="329">
        <f>ROUND((D1799*E1799),2)</f>
        <v>236.55</v>
      </c>
      <c r="G1799" s="355"/>
      <c r="H1799" s="129"/>
      <c r="J1799" t="s">
        <v>253</v>
      </c>
      <c r="O1799" s="220"/>
    </row>
    <row r="1800" spans="1:15" x14ac:dyDescent="0.25">
      <c r="A1800" s="376"/>
      <c r="B1800" s="48"/>
      <c r="C1800" s="45"/>
      <c r="D1800" s="61"/>
      <c r="E1800" s="329"/>
      <c r="F1800" s="329"/>
      <c r="G1800" s="355"/>
      <c r="H1800" s="129"/>
      <c r="O1800" s="220"/>
    </row>
    <row r="1801" spans="1:15" x14ac:dyDescent="0.25">
      <c r="A1801" s="376"/>
      <c r="B1801" s="50" t="s">
        <v>148</v>
      </c>
      <c r="C1801" s="51"/>
      <c r="D1801" s="62"/>
      <c r="E1801" s="353"/>
      <c r="F1801" s="353"/>
      <c r="G1801" s="338">
        <f>+SUM(F1799:F1800)</f>
        <v>236.55</v>
      </c>
      <c r="H1801" s="129"/>
      <c r="O1801" s="220"/>
    </row>
    <row r="1802" spans="1:15" x14ac:dyDescent="0.25">
      <c r="A1802" s="376"/>
      <c r="B1802" s="48" t="s">
        <v>149</v>
      </c>
      <c r="C1802" s="55"/>
      <c r="D1802" s="64"/>
      <c r="E1802" s="55"/>
      <c r="F1802" s="55"/>
      <c r="G1802" s="58" t="s">
        <v>150</v>
      </c>
      <c r="H1802" s="129"/>
      <c r="O1802" s="220"/>
    </row>
    <row r="1803" spans="1:15" x14ac:dyDescent="0.25">
      <c r="A1803" s="376"/>
      <c r="B1803" s="48" t="s">
        <v>98</v>
      </c>
      <c r="C1803" s="45"/>
      <c r="D1803" s="59"/>
      <c r="E1803" s="45"/>
      <c r="F1803" s="45"/>
      <c r="G1803" s="47"/>
      <c r="H1803" s="129"/>
      <c r="O1803" s="220"/>
    </row>
    <row r="1804" spans="1:15" x14ac:dyDescent="0.25">
      <c r="A1804" s="376"/>
      <c r="B1804" s="48" t="s">
        <v>98</v>
      </c>
      <c r="C1804" s="45"/>
      <c r="D1804" s="59"/>
      <c r="E1804" s="45"/>
      <c r="F1804" s="45"/>
      <c r="G1804" s="47"/>
      <c r="H1804" s="129"/>
      <c r="O1804" s="220"/>
    </row>
    <row r="1805" spans="1:15" ht="15.75" thickBot="1" x14ac:dyDescent="0.3">
      <c r="A1805" s="376"/>
      <c r="B1805" s="65" t="s">
        <v>151</v>
      </c>
      <c r="C1805" s="66"/>
      <c r="D1805" s="67"/>
      <c r="E1805" s="66"/>
      <c r="F1805" s="66"/>
      <c r="G1805" s="68">
        <f>+SUM(F1803:F1804)</f>
        <v>0</v>
      </c>
      <c r="H1805" s="129"/>
      <c r="O1805" s="220"/>
    </row>
    <row r="1806" spans="1:15" ht="4.5" customHeight="1" thickBot="1" x14ac:dyDescent="0.3">
      <c r="A1806" s="376"/>
      <c r="B1806" s="1382"/>
      <c r="C1806" s="1382"/>
      <c r="D1806" s="1382"/>
      <c r="E1806" s="1382"/>
      <c r="F1806" s="1382"/>
      <c r="G1806" s="1382"/>
      <c r="H1806" s="129"/>
      <c r="O1806" s="220"/>
    </row>
    <row r="1807" spans="1:15" ht="15.75" thickBot="1" x14ac:dyDescent="0.3">
      <c r="A1807" s="376"/>
      <c r="B1807" s="69" t="s">
        <v>152</v>
      </c>
      <c r="C1807" s="70" t="s">
        <v>4415</v>
      </c>
      <c r="D1807" s="71" t="s">
        <v>154</v>
      </c>
      <c r="E1807" s="1381" t="s">
        <v>155</v>
      </c>
      <c r="F1807" s="1381"/>
      <c r="G1807" s="1381"/>
      <c r="H1807" s="129"/>
      <c r="O1807" s="220"/>
    </row>
    <row r="1808" spans="1:15" ht="15.75" thickBot="1" x14ac:dyDescent="0.3">
      <c r="A1808" s="376"/>
      <c r="B1808" s="72" t="s">
        <v>156</v>
      </c>
      <c r="C1808" s="73"/>
      <c r="D1808" s="332">
        <f>G1797</f>
        <v>1.37</v>
      </c>
      <c r="E1808" s="1381"/>
      <c r="F1808" s="1381"/>
      <c r="G1808" s="1381"/>
      <c r="H1808" s="129"/>
      <c r="O1808" s="220"/>
    </row>
    <row r="1809" spans="1:15" ht="15.75" thickBot="1" x14ac:dyDescent="0.3">
      <c r="A1809" s="376"/>
      <c r="B1809" s="72" t="s">
        <v>157</v>
      </c>
      <c r="C1809" s="73"/>
      <c r="D1809" s="332">
        <f>G1801</f>
        <v>236.55</v>
      </c>
      <c r="E1809" s="1381"/>
      <c r="F1809" s="1381"/>
      <c r="G1809" s="1381"/>
      <c r="H1809" s="129"/>
      <c r="O1809" s="220"/>
    </row>
    <row r="1810" spans="1:15" ht="15.75" thickBot="1" x14ac:dyDescent="0.3">
      <c r="A1810" s="376"/>
      <c r="B1810" s="72" t="s">
        <v>158</v>
      </c>
      <c r="C1810" s="73"/>
      <c r="D1810" s="332">
        <f>G1805</f>
        <v>0</v>
      </c>
      <c r="E1810" s="1381"/>
      <c r="F1810" s="1381"/>
      <c r="G1810" s="1381"/>
      <c r="H1810" s="129"/>
      <c r="O1810" s="220"/>
    </row>
    <row r="1811" spans="1:15" ht="15.75" thickBot="1" x14ac:dyDescent="0.3">
      <c r="A1811" s="376"/>
      <c r="B1811" s="72" t="s">
        <v>159</v>
      </c>
      <c r="C1811" s="74">
        <f>$J$5</f>
        <v>157.27000000000001</v>
      </c>
      <c r="D1811" s="332">
        <f>+ROUND((D1808*C1811),2)/100</f>
        <v>2.15</v>
      </c>
      <c r="E1811" s="1381"/>
      <c r="F1811" s="1381"/>
      <c r="G1811" s="1381"/>
      <c r="H1811" s="129"/>
      <c r="O1811" s="220"/>
    </row>
    <row r="1812" spans="1:15" ht="15.75" thickBot="1" x14ac:dyDescent="0.3">
      <c r="A1812" s="376"/>
      <c r="B1812" s="72" t="s">
        <v>160</v>
      </c>
      <c r="C1812" s="75"/>
      <c r="D1812" s="333">
        <f>+SUM(D1808:D1811)</f>
        <v>240.07</v>
      </c>
      <c r="E1812" s="1381"/>
      <c r="F1812" s="1381"/>
      <c r="G1812" s="1381"/>
      <c r="H1812" s="129"/>
      <c r="O1812" s="220"/>
    </row>
    <row r="1813" spans="1:15" ht="15.75" thickBot="1" x14ac:dyDescent="0.3">
      <c r="A1813" s="376"/>
      <c r="B1813" s="72" t="s">
        <v>161</v>
      </c>
      <c r="C1813" s="73"/>
      <c r="D1813" s="332" t="s">
        <v>162</v>
      </c>
      <c r="E1813" s="1382" t="s">
        <v>163</v>
      </c>
      <c r="F1813" s="1382"/>
      <c r="G1813" s="1382"/>
      <c r="H1813" s="129"/>
      <c r="O1813" s="220"/>
    </row>
    <row r="1814" spans="1:15" ht="15.75" thickBot="1" x14ac:dyDescent="0.3">
      <c r="A1814" s="376"/>
      <c r="B1814" s="76" t="s">
        <v>164</v>
      </c>
      <c r="C1814" s="77"/>
      <c r="D1814" s="334">
        <f>+SUM(D1812:D1813)</f>
        <v>240.07</v>
      </c>
      <c r="E1814" s="1382"/>
      <c r="F1814" s="1382"/>
      <c r="G1814" s="1382"/>
      <c r="H1814" s="129"/>
      <c r="O1814" s="220"/>
    </row>
    <row r="1815" spans="1:15" ht="15.75" thickBot="1" x14ac:dyDescent="0.3">
      <c r="A1815" s="376"/>
      <c r="B1815" s="78" t="s">
        <v>165</v>
      </c>
      <c r="C1815" s="79">
        <f>$I$5</f>
        <v>28.49</v>
      </c>
      <c r="D1815" s="335">
        <f>ROUND((D1814*C1815),2)/100</f>
        <v>68.400000000000006</v>
      </c>
      <c r="E1815" s="1382"/>
      <c r="F1815" s="1382"/>
      <c r="G1815" s="1382"/>
      <c r="H1815" s="129"/>
      <c r="O1815" s="220"/>
    </row>
    <row r="1816" spans="1:15" ht="15.75" thickBot="1" x14ac:dyDescent="0.3">
      <c r="A1816" s="376"/>
      <c r="B1816" s="80" t="s">
        <v>166</v>
      </c>
      <c r="C1816" s="81"/>
      <c r="D1816" s="336">
        <f>+SUM(D1814:D1815)</f>
        <v>308.47000000000003</v>
      </c>
      <c r="E1816" s="82"/>
      <c r="F1816" s="337">
        <f>D1816</f>
        <v>308.47000000000003</v>
      </c>
      <c r="G1816" s="35"/>
      <c r="H1816" s="129"/>
      <c r="O1816" s="220"/>
    </row>
    <row r="1817" spans="1:15" x14ac:dyDescent="0.25">
      <c r="H1817" s="129"/>
      <c r="O1817" s="220"/>
    </row>
    <row r="1818" spans="1:15" ht="15.75" thickBot="1" x14ac:dyDescent="0.3">
      <c r="H1818" s="129"/>
      <c r="O1818" s="220"/>
    </row>
    <row r="1819" spans="1:15" x14ac:dyDescent="0.25">
      <c r="B1819" s="1383" t="s">
        <v>131</v>
      </c>
      <c r="C1819" s="1383"/>
      <c r="D1819" s="1383"/>
      <c r="E1819" s="1383"/>
      <c r="F1819" s="1383"/>
      <c r="G1819" s="1383"/>
      <c r="H1819" s="129"/>
      <c r="O1819" s="220"/>
    </row>
    <row r="1820" spans="1:15" ht="15.75" thickBot="1" x14ac:dyDescent="0.3">
      <c r="B1820" s="1384" t="str">
        <f>$I$3</f>
        <v>Urbanização da Orla de Piúma - Município de Piúma / ES</v>
      </c>
      <c r="C1820" s="1385"/>
      <c r="D1820" s="1385"/>
      <c r="E1820" s="1385"/>
      <c r="F1820" s="1385"/>
      <c r="G1820" s="1386"/>
      <c r="H1820" s="129"/>
      <c r="O1820" s="220"/>
    </row>
    <row r="1821" spans="1:15" ht="15.75" thickBot="1" x14ac:dyDescent="0.3">
      <c r="A1821" s="376"/>
      <c r="B1821" s="34" t="s">
        <v>132</v>
      </c>
      <c r="C1821" s="34" t="s">
        <v>133</v>
      </c>
      <c r="D1821" s="1381" t="s">
        <v>134</v>
      </c>
      <c r="E1821" s="1381"/>
      <c r="F1821" s="131" t="s">
        <v>275</v>
      </c>
      <c r="G1821" s="35" t="s">
        <v>135</v>
      </c>
      <c r="H1821" s="129"/>
      <c r="O1821" s="220"/>
    </row>
    <row r="1822" spans="1:15" s="159" customFormat="1" ht="27" thickBot="1" x14ac:dyDescent="0.3">
      <c r="A1822" s="376"/>
      <c r="B1822" s="132" t="s">
        <v>257</v>
      </c>
      <c r="C1822" s="92" t="s">
        <v>98</v>
      </c>
      <c r="D1822" s="1381" t="s">
        <v>8</v>
      </c>
      <c r="E1822" s="1381"/>
      <c r="F1822" s="144" t="s">
        <v>262</v>
      </c>
      <c r="G1822" s="38">
        <f>$K$5</f>
        <v>44501</v>
      </c>
      <c r="O1822" s="220"/>
    </row>
    <row r="1823" spans="1:15" ht="4.5" customHeight="1" thickBot="1" x14ac:dyDescent="0.3">
      <c r="A1823" s="376"/>
      <c r="B1823" s="1382"/>
      <c r="C1823" s="1382"/>
      <c r="D1823" s="1382"/>
      <c r="E1823" s="1382"/>
      <c r="F1823" s="1382"/>
      <c r="G1823" s="1382"/>
      <c r="H1823" s="129"/>
      <c r="O1823" s="220"/>
    </row>
    <row r="1824" spans="1:15" x14ac:dyDescent="0.25">
      <c r="A1824" s="376"/>
      <c r="B1824" s="41" t="s">
        <v>139</v>
      </c>
      <c r="C1824" s="42" t="s">
        <v>140</v>
      </c>
      <c r="D1824" s="42" t="s">
        <v>141</v>
      </c>
      <c r="E1824" s="42" t="s">
        <v>142</v>
      </c>
      <c r="F1824" s="42" t="s">
        <v>143</v>
      </c>
      <c r="G1824" s="43" t="s">
        <v>144</v>
      </c>
      <c r="H1824" s="129"/>
      <c r="O1824" s="220"/>
    </row>
    <row r="1825" spans="1:15" x14ac:dyDescent="0.25">
      <c r="A1825" s="376">
        <v>10146</v>
      </c>
      <c r="B1825" s="44" t="str">
        <f>VLOOKUP(A1825,Insumos!$A$10:$F$3462,2,FALSE)</f>
        <v>SERVENTE (AUXILIAR DE OBRAS - SINDUSCON)</v>
      </c>
      <c r="C1825" s="45" t="str">
        <f>VLOOKUP(A1825,Insumos!$A$10:$F$3462,3,FALSE)</f>
        <v>H</v>
      </c>
      <c r="D1825" s="46">
        <v>0.5</v>
      </c>
      <c r="E1825" s="329">
        <f>VLOOKUP(A1825,Insumos!$A$10:$F$3462,4,FALSE)</f>
        <v>5.46</v>
      </c>
      <c r="F1825" s="329">
        <f>ROUND((D1825*E1825),2)</f>
        <v>2.73</v>
      </c>
      <c r="G1825" s="355"/>
      <c r="H1825" s="129"/>
      <c r="O1825" s="220"/>
    </row>
    <row r="1826" spans="1:15" x14ac:dyDescent="0.25">
      <c r="A1826" s="376"/>
      <c r="B1826" s="44"/>
      <c r="C1826" s="45"/>
      <c r="D1826" s="46"/>
      <c r="E1826" s="329"/>
      <c r="F1826" s="329"/>
      <c r="G1826" s="355"/>
      <c r="H1826" s="129"/>
      <c r="O1826" s="220"/>
    </row>
    <row r="1827" spans="1:15" x14ac:dyDescent="0.25">
      <c r="A1827" s="376"/>
      <c r="B1827" s="50" t="s">
        <v>145</v>
      </c>
      <c r="C1827" s="51"/>
      <c r="D1827" s="52"/>
      <c r="E1827" s="329"/>
      <c r="F1827" s="353"/>
      <c r="G1827" s="338">
        <f>+SUM(F1825:F1826)</f>
        <v>2.73</v>
      </c>
      <c r="H1827" s="129"/>
      <c r="O1827" s="220"/>
    </row>
    <row r="1828" spans="1:15" x14ac:dyDescent="0.25">
      <c r="A1828" s="376"/>
      <c r="B1828" s="48" t="s">
        <v>146</v>
      </c>
      <c r="C1828" s="55"/>
      <c r="D1828" s="56"/>
      <c r="E1828" s="45"/>
      <c r="F1828" s="57"/>
      <c r="G1828" s="58" t="s">
        <v>147</v>
      </c>
      <c r="H1828" s="129"/>
      <c r="O1828" s="220"/>
    </row>
    <row r="1829" spans="1:15" ht="27.75" customHeight="1" x14ac:dyDescent="0.25">
      <c r="A1829" s="376" t="s">
        <v>478</v>
      </c>
      <c r="B1829" s="230" t="str">
        <f>VLOOKUP(A1829,Insumos!$A$10:$F$3462,2,FALSE)</f>
        <v>Jogo de mesa e cadeira dobrável em madeira 1,20x0,70m - 1 mesa + 4 cadeiras. Fabricante: Espaço Boêmio ou equivalente</v>
      </c>
      <c r="C1829" s="231" t="str">
        <f>VLOOKUP(A1829,Insumos!$A$10:$F$3462,3,FALSE)</f>
        <v>und</v>
      </c>
      <c r="D1829" s="46">
        <v>1</v>
      </c>
      <c r="E1829" s="329">
        <f>VLOOKUP(A1829,Insumos!$A$10:$F$3462,4,FALSE)</f>
        <v>326.18</v>
      </c>
      <c r="F1829" s="329">
        <f>ROUND((D1829*E1829),2)</f>
        <v>326.18</v>
      </c>
      <c r="G1829" s="355"/>
      <c r="H1829" s="129"/>
      <c r="J1829" t="s">
        <v>253</v>
      </c>
      <c r="O1829" s="220"/>
    </row>
    <row r="1830" spans="1:15" x14ac:dyDescent="0.25">
      <c r="A1830" s="376"/>
      <c r="B1830" s="48"/>
      <c r="C1830" s="45"/>
      <c r="D1830" s="61"/>
      <c r="E1830" s="329"/>
      <c r="F1830" s="329"/>
      <c r="G1830" s="355"/>
      <c r="H1830" s="129"/>
      <c r="O1830" s="220"/>
    </row>
    <row r="1831" spans="1:15" x14ac:dyDescent="0.25">
      <c r="A1831" s="376"/>
      <c r="B1831" s="50" t="s">
        <v>148</v>
      </c>
      <c r="C1831" s="51"/>
      <c r="D1831" s="62"/>
      <c r="E1831" s="353"/>
      <c r="F1831" s="353"/>
      <c r="G1831" s="338">
        <f>+SUM(F1829:F1830)</f>
        <v>326.18</v>
      </c>
      <c r="H1831" s="129"/>
      <c r="O1831" s="220"/>
    </row>
    <row r="1832" spans="1:15" x14ac:dyDescent="0.25">
      <c r="A1832" s="376"/>
      <c r="B1832" s="48" t="s">
        <v>149</v>
      </c>
      <c r="C1832" s="55"/>
      <c r="D1832" s="64"/>
      <c r="E1832" s="55"/>
      <c r="F1832" s="55"/>
      <c r="G1832" s="58" t="s">
        <v>150</v>
      </c>
      <c r="H1832" s="129"/>
      <c r="O1832" s="220"/>
    </row>
    <row r="1833" spans="1:15" x14ac:dyDescent="0.25">
      <c r="A1833" s="376"/>
      <c r="B1833" s="48" t="s">
        <v>98</v>
      </c>
      <c r="C1833" s="45"/>
      <c r="D1833" s="59"/>
      <c r="E1833" s="45"/>
      <c r="F1833" s="45"/>
      <c r="G1833" s="47"/>
      <c r="H1833" s="129"/>
      <c r="O1833" s="220"/>
    </row>
    <row r="1834" spans="1:15" x14ac:dyDescent="0.25">
      <c r="A1834" s="376"/>
      <c r="B1834" s="48" t="s">
        <v>98</v>
      </c>
      <c r="C1834" s="45"/>
      <c r="D1834" s="59"/>
      <c r="E1834" s="45"/>
      <c r="F1834" s="45"/>
      <c r="G1834" s="47"/>
      <c r="H1834" s="129"/>
      <c r="O1834" s="220"/>
    </row>
    <row r="1835" spans="1:15" ht="15.75" thickBot="1" x14ac:dyDescent="0.3">
      <c r="A1835" s="376"/>
      <c r="B1835" s="65" t="s">
        <v>151</v>
      </c>
      <c r="C1835" s="66"/>
      <c r="D1835" s="67"/>
      <c r="E1835" s="66"/>
      <c r="F1835" s="66"/>
      <c r="G1835" s="68">
        <f>+SUM(F1833:F1834)</f>
        <v>0</v>
      </c>
      <c r="H1835" s="129"/>
      <c r="O1835" s="220"/>
    </row>
    <row r="1836" spans="1:15" ht="4.5" customHeight="1" thickBot="1" x14ac:dyDescent="0.3">
      <c r="A1836" s="376"/>
      <c r="B1836" s="1382"/>
      <c r="C1836" s="1382"/>
      <c r="D1836" s="1382"/>
      <c r="E1836" s="1382"/>
      <c r="F1836" s="1382"/>
      <c r="G1836" s="1382"/>
      <c r="H1836" s="129"/>
      <c r="O1836" s="220"/>
    </row>
    <row r="1837" spans="1:15" ht="15.75" thickBot="1" x14ac:dyDescent="0.3">
      <c r="A1837" s="376"/>
      <c r="B1837" s="69" t="s">
        <v>152</v>
      </c>
      <c r="C1837" s="70" t="s">
        <v>4415</v>
      </c>
      <c r="D1837" s="71" t="s">
        <v>154</v>
      </c>
      <c r="E1837" s="1381" t="s">
        <v>155</v>
      </c>
      <c r="F1837" s="1381"/>
      <c r="G1837" s="1381"/>
      <c r="H1837" s="129"/>
      <c r="O1837" s="220"/>
    </row>
    <row r="1838" spans="1:15" ht="15.75" thickBot="1" x14ac:dyDescent="0.3">
      <c r="A1838" s="376"/>
      <c r="B1838" s="72" t="s">
        <v>156</v>
      </c>
      <c r="C1838" s="73"/>
      <c r="D1838" s="332">
        <f>G1827</f>
        <v>2.73</v>
      </c>
      <c r="E1838" s="1381"/>
      <c r="F1838" s="1381"/>
      <c r="G1838" s="1381"/>
      <c r="H1838" s="129"/>
      <c r="O1838" s="220"/>
    </row>
    <row r="1839" spans="1:15" ht="15.75" thickBot="1" x14ac:dyDescent="0.3">
      <c r="A1839" s="376"/>
      <c r="B1839" s="72" t="s">
        <v>157</v>
      </c>
      <c r="C1839" s="73"/>
      <c r="D1839" s="332">
        <f>G1831</f>
        <v>326.18</v>
      </c>
      <c r="E1839" s="1381"/>
      <c r="F1839" s="1381"/>
      <c r="G1839" s="1381"/>
      <c r="H1839" s="129"/>
      <c r="O1839" s="220"/>
    </row>
    <row r="1840" spans="1:15" ht="15.75" thickBot="1" x14ac:dyDescent="0.3">
      <c r="A1840" s="376"/>
      <c r="B1840" s="72" t="s">
        <v>158</v>
      </c>
      <c r="C1840" s="73"/>
      <c r="D1840" s="332">
        <f>G1835</f>
        <v>0</v>
      </c>
      <c r="E1840" s="1381"/>
      <c r="F1840" s="1381"/>
      <c r="G1840" s="1381"/>
      <c r="H1840" s="129"/>
      <c r="O1840" s="220"/>
    </row>
    <row r="1841" spans="1:15" ht="15.75" thickBot="1" x14ac:dyDescent="0.3">
      <c r="A1841" s="376"/>
      <c r="B1841" s="72" t="s">
        <v>159</v>
      </c>
      <c r="C1841" s="74">
        <f>$J$5</f>
        <v>157.27000000000001</v>
      </c>
      <c r="D1841" s="332">
        <f>+ROUND((D1838*C1841),2)/100</f>
        <v>4.29</v>
      </c>
      <c r="E1841" s="1381"/>
      <c r="F1841" s="1381"/>
      <c r="G1841" s="1381"/>
      <c r="H1841" s="129"/>
      <c r="O1841" s="220"/>
    </row>
    <row r="1842" spans="1:15" ht="15.75" thickBot="1" x14ac:dyDescent="0.3">
      <c r="A1842" s="376"/>
      <c r="B1842" s="72" t="s">
        <v>160</v>
      </c>
      <c r="C1842" s="75"/>
      <c r="D1842" s="333">
        <f>+SUM(D1838:D1841)</f>
        <v>333.2</v>
      </c>
      <c r="E1842" s="1381"/>
      <c r="F1842" s="1381"/>
      <c r="G1842" s="1381"/>
      <c r="H1842" s="129"/>
      <c r="O1842" s="220"/>
    </row>
    <row r="1843" spans="1:15" ht="15.75" thickBot="1" x14ac:dyDescent="0.3">
      <c r="A1843" s="376"/>
      <c r="B1843" s="72" t="s">
        <v>161</v>
      </c>
      <c r="C1843" s="73"/>
      <c r="D1843" s="332" t="s">
        <v>162</v>
      </c>
      <c r="E1843" s="1382" t="s">
        <v>163</v>
      </c>
      <c r="F1843" s="1382"/>
      <c r="G1843" s="1382"/>
      <c r="H1843" s="129"/>
      <c r="O1843" s="220"/>
    </row>
    <row r="1844" spans="1:15" ht="15.75" thickBot="1" x14ac:dyDescent="0.3">
      <c r="A1844" s="376"/>
      <c r="B1844" s="76" t="s">
        <v>164</v>
      </c>
      <c r="C1844" s="77"/>
      <c r="D1844" s="334">
        <f>+SUM(D1842:D1843)</f>
        <v>333.2</v>
      </c>
      <c r="E1844" s="1382"/>
      <c r="F1844" s="1382"/>
      <c r="G1844" s="1382"/>
      <c r="H1844" s="129"/>
      <c r="O1844" s="220"/>
    </row>
    <row r="1845" spans="1:15" ht="15.75" thickBot="1" x14ac:dyDescent="0.3">
      <c r="A1845" s="376"/>
      <c r="B1845" s="78" t="s">
        <v>165</v>
      </c>
      <c r="C1845" s="79">
        <f>$I$5</f>
        <v>28.49</v>
      </c>
      <c r="D1845" s="335">
        <f>ROUND((D1844*C1845),2)/100</f>
        <v>94.93</v>
      </c>
      <c r="E1845" s="1382"/>
      <c r="F1845" s="1382"/>
      <c r="G1845" s="1382"/>
      <c r="H1845" s="129"/>
      <c r="O1845" s="220"/>
    </row>
    <row r="1846" spans="1:15" ht="15.75" thickBot="1" x14ac:dyDescent="0.3">
      <c r="A1846" s="376"/>
      <c r="B1846" s="80" t="s">
        <v>166</v>
      </c>
      <c r="C1846" s="81"/>
      <c r="D1846" s="336">
        <f>+SUM(D1844:D1845)</f>
        <v>428.13</v>
      </c>
      <c r="E1846" s="82"/>
      <c r="F1846" s="337">
        <f>D1846</f>
        <v>428.13</v>
      </c>
      <c r="G1846" s="35"/>
      <c r="H1846" s="129"/>
      <c r="O1846" s="220"/>
    </row>
    <row r="1847" spans="1:15" x14ac:dyDescent="0.25">
      <c r="H1847" s="129"/>
      <c r="O1847" s="220"/>
    </row>
    <row r="1848" spans="1:15" ht="15.75" thickBot="1" x14ac:dyDescent="0.3">
      <c r="H1848" s="129"/>
      <c r="O1848" s="220"/>
    </row>
    <row r="1849" spans="1:15" x14ac:dyDescent="0.25">
      <c r="B1849" s="1383" t="s">
        <v>131</v>
      </c>
      <c r="C1849" s="1383"/>
      <c r="D1849" s="1383"/>
      <c r="E1849" s="1383"/>
      <c r="F1849" s="1383"/>
      <c r="G1849" s="1383"/>
      <c r="H1849" s="129"/>
      <c r="O1849" s="220"/>
    </row>
    <row r="1850" spans="1:15" ht="15.75" thickBot="1" x14ac:dyDescent="0.3">
      <c r="B1850" s="1384" t="str">
        <f>$I$3</f>
        <v>Urbanização da Orla de Piúma - Município de Piúma / ES</v>
      </c>
      <c r="C1850" s="1385"/>
      <c r="D1850" s="1385"/>
      <c r="E1850" s="1385"/>
      <c r="F1850" s="1385"/>
      <c r="G1850" s="1386"/>
      <c r="H1850" s="129"/>
      <c r="O1850" s="220"/>
    </row>
    <row r="1851" spans="1:15" ht="15.75" thickBot="1" x14ac:dyDescent="0.3">
      <c r="A1851" s="376"/>
      <c r="B1851" s="34" t="s">
        <v>132</v>
      </c>
      <c r="C1851" s="34" t="s">
        <v>133</v>
      </c>
      <c r="D1851" s="1381" t="s">
        <v>134</v>
      </c>
      <c r="E1851" s="1381"/>
      <c r="F1851" s="131" t="s">
        <v>275</v>
      </c>
      <c r="G1851" s="35" t="s">
        <v>135</v>
      </c>
      <c r="H1851" s="129"/>
      <c r="O1851" s="220"/>
    </row>
    <row r="1852" spans="1:15" s="159" customFormat="1" ht="27" thickBot="1" x14ac:dyDescent="0.3">
      <c r="A1852" s="376"/>
      <c r="B1852" s="132" t="s">
        <v>258</v>
      </c>
      <c r="C1852" s="92" t="s">
        <v>98</v>
      </c>
      <c r="D1852" s="1381" t="s">
        <v>8</v>
      </c>
      <c r="E1852" s="1381"/>
      <c r="F1852" s="144" t="s">
        <v>263</v>
      </c>
      <c r="G1852" s="38">
        <f>$K$5</f>
        <v>44501</v>
      </c>
      <c r="O1852" s="220"/>
    </row>
    <row r="1853" spans="1:15" ht="4.5" customHeight="1" thickBot="1" x14ac:dyDescent="0.3">
      <c r="A1853" s="376"/>
      <c r="B1853" s="1382"/>
      <c r="C1853" s="1382"/>
      <c r="D1853" s="1382"/>
      <c r="E1853" s="1382"/>
      <c r="F1853" s="1382"/>
      <c r="G1853" s="1382"/>
      <c r="H1853" s="129"/>
      <c r="O1853" s="220"/>
    </row>
    <row r="1854" spans="1:15" x14ac:dyDescent="0.25">
      <c r="A1854" s="376"/>
      <c r="B1854" s="41" t="s">
        <v>139</v>
      </c>
      <c r="C1854" s="42" t="s">
        <v>140</v>
      </c>
      <c r="D1854" s="42" t="s">
        <v>141</v>
      </c>
      <c r="E1854" s="42" t="s">
        <v>142</v>
      </c>
      <c r="F1854" s="42" t="s">
        <v>143</v>
      </c>
      <c r="G1854" s="43" t="s">
        <v>144</v>
      </c>
      <c r="H1854" s="129"/>
      <c r="O1854" s="220"/>
    </row>
    <row r="1855" spans="1:15" x14ac:dyDescent="0.25">
      <c r="A1855" s="376">
        <v>10146</v>
      </c>
      <c r="B1855" s="44" t="str">
        <f>VLOOKUP(A1855,Insumos!$A$10:$F$3462,2,FALSE)</f>
        <v>SERVENTE (AUXILIAR DE OBRAS - SINDUSCON)</v>
      </c>
      <c r="C1855" s="45" t="str">
        <f>VLOOKUP(A1855,Insumos!$A$10:$F$3462,3,FALSE)</f>
        <v>H</v>
      </c>
      <c r="D1855" s="46">
        <v>0.5</v>
      </c>
      <c r="E1855" s="329">
        <f>VLOOKUP(A1855,Insumos!$A$10:$F$3462,4,FALSE)</f>
        <v>5.46</v>
      </c>
      <c r="F1855" s="329">
        <f>ROUND((D1855*E1855),2)</f>
        <v>2.73</v>
      </c>
      <c r="G1855" s="355"/>
      <c r="H1855" s="129"/>
      <c r="O1855" s="220"/>
    </row>
    <row r="1856" spans="1:15" x14ac:dyDescent="0.25">
      <c r="A1856" s="376"/>
      <c r="B1856" s="48"/>
      <c r="C1856" s="45"/>
      <c r="D1856" s="49"/>
      <c r="E1856" s="329"/>
      <c r="F1856" s="329"/>
      <c r="G1856" s="355"/>
      <c r="H1856" s="129"/>
      <c r="O1856" s="220"/>
    </row>
    <row r="1857" spans="1:15" x14ac:dyDescent="0.25">
      <c r="A1857" s="376"/>
      <c r="B1857" s="50" t="s">
        <v>145</v>
      </c>
      <c r="C1857" s="51"/>
      <c r="D1857" s="52"/>
      <c r="E1857" s="329"/>
      <c r="F1857" s="353"/>
      <c r="G1857" s="338">
        <f>+SUM(F1855:F1856)</f>
        <v>2.73</v>
      </c>
      <c r="H1857" s="129"/>
      <c r="O1857" s="220"/>
    </row>
    <row r="1858" spans="1:15" x14ac:dyDescent="0.25">
      <c r="A1858" s="376"/>
      <c r="B1858" s="48" t="s">
        <v>146</v>
      </c>
      <c r="C1858" s="55"/>
      <c r="D1858" s="56"/>
      <c r="E1858" s="45"/>
      <c r="F1858" s="57"/>
      <c r="G1858" s="58" t="s">
        <v>147</v>
      </c>
      <c r="H1858" s="129"/>
      <c r="O1858" s="220"/>
    </row>
    <row r="1859" spans="1:15" ht="27.75" customHeight="1" x14ac:dyDescent="0.25">
      <c r="A1859" s="376" t="s">
        <v>485</v>
      </c>
      <c r="B1859" s="230" t="str">
        <f>VLOOKUP(A1859,Insumos!$A$10:$F$3462,2,FALSE)</f>
        <v>Jogo dobrável de madeira 0,70x0,70m - 1 mesa + 4 cadeiras. Fabricante: Espaço Boêmio ou equivalente</v>
      </c>
      <c r="C1859" s="231" t="str">
        <f>VLOOKUP(A1859,Insumos!$A$10:$F$3462,3,FALSE)</f>
        <v>und</v>
      </c>
      <c r="D1859" s="46">
        <v>1</v>
      </c>
      <c r="E1859" s="329">
        <f>VLOOKUP(A1859,Insumos!$A$10:$F$3462,4,FALSE)</f>
        <v>272.60000000000002</v>
      </c>
      <c r="F1859" s="329">
        <f>ROUND((D1859*E1859),2)</f>
        <v>272.60000000000002</v>
      </c>
      <c r="G1859" s="355"/>
      <c r="H1859" s="129"/>
      <c r="J1859" t="s">
        <v>253</v>
      </c>
      <c r="O1859" s="220"/>
    </row>
    <row r="1860" spans="1:15" x14ac:dyDescent="0.25">
      <c r="A1860" s="376"/>
      <c r="B1860" s="48"/>
      <c r="C1860" s="45"/>
      <c r="D1860" s="61"/>
      <c r="E1860" s="329"/>
      <c r="F1860" s="329"/>
      <c r="G1860" s="355"/>
      <c r="H1860" s="129"/>
      <c r="O1860" s="220"/>
    </row>
    <row r="1861" spans="1:15" x14ac:dyDescent="0.25">
      <c r="A1861" s="376"/>
      <c r="B1861" s="50" t="s">
        <v>148</v>
      </c>
      <c r="C1861" s="51"/>
      <c r="D1861" s="62"/>
      <c r="E1861" s="353"/>
      <c r="F1861" s="353"/>
      <c r="G1861" s="338">
        <f>+SUM(F1859:F1860)</f>
        <v>272.60000000000002</v>
      </c>
      <c r="H1861" s="129"/>
      <c r="O1861" s="220"/>
    </row>
    <row r="1862" spans="1:15" x14ac:dyDescent="0.25">
      <c r="A1862" s="376"/>
      <c r="B1862" s="48" t="s">
        <v>149</v>
      </c>
      <c r="C1862" s="55"/>
      <c r="D1862" s="64"/>
      <c r="E1862" s="55"/>
      <c r="F1862" s="55"/>
      <c r="G1862" s="58" t="s">
        <v>150</v>
      </c>
      <c r="H1862" s="129"/>
      <c r="O1862" s="220"/>
    </row>
    <row r="1863" spans="1:15" x14ac:dyDescent="0.25">
      <c r="A1863" s="376"/>
      <c r="B1863" s="48" t="s">
        <v>98</v>
      </c>
      <c r="C1863" s="45"/>
      <c r="D1863" s="59"/>
      <c r="E1863" s="45"/>
      <c r="F1863" s="45"/>
      <c r="G1863" s="47"/>
      <c r="H1863" s="129"/>
      <c r="O1863" s="220"/>
    </row>
    <row r="1864" spans="1:15" x14ac:dyDescent="0.25">
      <c r="A1864" s="376"/>
      <c r="B1864" s="48" t="s">
        <v>98</v>
      </c>
      <c r="C1864" s="45"/>
      <c r="D1864" s="59"/>
      <c r="E1864" s="45"/>
      <c r="F1864" s="45"/>
      <c r="G1864" s="47"/>
      <c r="H1864" s="129"/>
      <c r="O1864" s="220"/>
    </row>
    <row r="1865" spans="1:15" ht="15.75" thickBot="1" x14ac:dyDescent="0.3">
      <c r="A1865" s="376"/>
      <c r="B1865" s="65" t="s">
        <v>151</v>
      </c>
      <c r="C1865" s="66"/>
      <c r="D1865" s="67"/>
      <c r="E1865" s="66"/>
      <c r="F1865" s="66"/>
      <c r="G1865" s="68">
        <f>+SUM(F1863:F1864)</f>
        <v>0</v>
      </c>
      <c r="H1865" s="129"/>
      <c r="O1865" s="220"/>
    </row>
    <row r="1866" spans="1:15" ht="4.5" customHeight="1" thickBot="1" x14ac:dyDescent="0.3">
      <c r="A1866" s="376"/>
      <c r="B1866" s="1382"/>
      <c r="C1866" s="1382"/>
      <c r="D1866" s="1382"/>
      <c r="E1866" s="1382"/>
      <c r="F1866" s="1382"/>
      <c r="G1866" s="1382"/>
      <c r="H1866" s="129"/>
      <c r="O1866" s="220"/>
    </row>
    <row r="1867" spans="1:15" ht="15.75" thickBot="1" x14ac:dyDescent="0.3">
      <c r="A1867" s="376"/>
      <c r="B1867" s="69" t="s">
        <v>152</v>
      </c>
      <c r="C1867" s="70" t="s">
        <v>153</v>
      </c>
      <c r="D1867" s="71" t="s">
        <v>154</v>
      </c>
      <c r="E1867" s="1381" t="s">
        <v>155</v>
      </c>
      <c r="F1867" s="1381"/>
      <c r="G1867" s="1381"/>
      <c r="H1867" s="129"/>
      <c r="O1867" s="220"/>
    </row>
    <row r="1868" spans="1:15" ht="15.75" thickBot="1" x14ac:dyDescent="0.3">
      <c r="A1868" s="376"/>
      <c r="B1868" s="72" t="s">
        <v>156</v>
      </c>
      <c r="C1868" s="73"/>
      <c r="D1868" s="332">
        <f>G1857</f>
        <v>2.73</v>
      </c>
      <c r="E1868" s="1381"/>
      <c r="F1868" s="1381"/>
      <c r="G1868" s="1381"/>
      <c r="H1868" s="129"/>
      <c r="O1868" s="220"/>
    </row>
    <row r="1869" spans="1:15" ht="15.75" thickBot="1" x14ac:dyDescent="0.3">
      <c r="A1869" s="376"/>
      <c r="B1869" s="72" t="s">
        <v>157</v>
      </c>
      <c r="C1869" s="73"/>
      <c r="D1869" s="332">
        <f>G1861</f>
        <v>272.60000000000002</v>
      </c>
      <c r="E1869" s="1381"/>
      <c r="F1869" s="1381"/>
      <c r="G1869" s="1381"/>
      <c r="H1869" s="129"/>
      <c r="O1869" s="220"/>
    </row>
    <row r="1870" spans="1:15" ht="15.75" thickBot="1" x14ac:dyDescent="0.3">
      <c r="A1870" s="376"/>
      <c r="B1870" s="72" t="s">
        <v>158</v>
      </c>
      <c r="C1870" s="73"/>
      <c r="D1870" s="332">
        <f>G1865</f>
        <v>0</v>
      </c>
      <c r="E1870" s="1381"/>
      <c r="F1870" s="1381"/>
      <c r="G1870" s="1381"/>
      <c r="H1870" s="129"/>
      <c r="O1870" s="220"/>
    </row>
    <row r="1871" spans="1:15" ht="15.75" thickBot="1" x14ac:dyDescent="0.3">
      <c r="A1871" s="376"/>
      <c r="B1871" s="72" t="s">
        <v>159</v>
      </c>
      <c r="C1871" s="74">
        <f>$J$5</f>
        <v>157.27000000000001</v>
      </c>
      <c r="D1871" s="332">
        <f>+ROUND((D1868*C1871),2)/100</f>
        <v>4.29</v>
      </c>
      <c r="E1871" s="1381"/>
      <c r="F1871" s="1381"/>
      <c r="G1871" s="1381"/>
      <c r="H1871" s="129"/>
      <c r="O1871" s="220"/>
    </row>
    <row r="1872" spans="1:15" ht="15.75" thickBot="1" x14ac:dyDescent="0.3">
      <c r="A1872" s="376"/>
      <c r="B1872" s="72" t="s">
        <v>160</v>
      </c>
      <c r="C1872" s="75"/>
      <c r="D1872" s="333">
        <f>+SUM(D1868:D1871)</f>
        <v>279.62</v>
      </c>
      <c r="E1872" s="1381"/>
      <c r="F1872" s="1381"/>
      <c r="G1872" s="1381"/>
      <c r="H1872" s="129"/>
      <c r="O1872" s="220"/>
    </row>
    <row r="1873" spans="1:15" ht="15.75" thickBot="1" x14ac:dyDescent="0.3">
      <c r="A1873" s="376"/>
      <c r="B1873" s="72" t="s">
        <v>161</v>
      </c>
      <c r="C1873" s="73"/>
      <c r="D1873" s="332" t="s">
        <v>162</v>
      </c>
      <c r="E1873" s="1382" t="s">
        <v>163</v>
      </c>
      <c r="F1873" s="1382"/>
      <c r="G1873" s="1382"/>
      <c r="H1873" s="129"/>
      <c r="O1873" s="220"/>
    </row>
    <row r="1874" spans="1:15" ht="15.75" thickBot="1" x14ac:dyDescent="0.3">
      <c r="A1874" s="376"/>
      <c r="B1874" s="76" t="s">
        <v>164</v>
      </c>
      <c r="C1874" s="77"/>
      <c r="D1874" s="334">
        <f>+SUM(D1872:D1873)</f>
        <v>279.62</v>
      </c>
      <c r="E1874" s="1382"/>
      <c r="F1874" s="1382"/>
      <c r="G1874" s="1382"/>
      <c r="H1874" s="129"/>
      <c r="O1874" s="220"/>
    </row>
    <row r="1875" spans="1:15" ht="15.75" thickBot="1" x14ac:dyDescent="0.3">
      <c r="A1875" s="376"/>
      <c r="B1875" s="78" t="s">
        <v>165</v>
      </c>
      <c r="C1875" s="79">
        <f>$I$5</f>
        <v>28.49</v>
      </c>
      <c r="D1875" s="335">
        <f>ROUND((D1874*C1875),2)/100</f>
        <v>79.66</v>
      </c>
      <c r="E1875" s="1382"/>
      <c r="F1875" s="1382"/>
      <c r="G1875" s="1382"/>
      <c r="H1875" s="129"/>
      <c r="O1875" s="220"/>
    </row>
    <row r="1876" spans="1:15" ht="15.75" thickBot="1" x14ac:dyDescent="0.3">
      <c r="A1876" s="376"/>
      <c r="B1876" s="80" t="s">
        <v>166</v>
      </c>
      <c r="C1876" s="81"/>
      <c r="D1876" s="336">
        <f>+SUM(D1874:D1875)</f>
        <v>359.28</v>
      </c>
      <c r="E1876" s="82"/>
      <c r="F1876" s="337">
        <f>D1876</f>
        <v>359.28</v>
      </c>
      <c r="G1876" s="35"/>
      <c r="H1876" s="129"/>
      <c r="O1876" s="220"/>
    </row>
    <row r="1877" spans="1:15" x14ac:dyDescent="0.25">
      <c r="H1877" s="129"/>
      <c r="O1877" s="220"/>
    </row>
    <row r="1878" spans="1:15" ht="15.75" thickBot="1" x14ac:dyDescent="0.3">
      <c r="H1878" s="129"/>
      <c r="O1878" s="220"/>
    </row>
    <row r="1879" spans="1:15" x14ac:dyDescent="0.25">
      <c r="B1879" s="1383" t="s">
        <v>131</v>
      </c>
      <c r="C1879" s="1383"/>
      <c r="D1879" s="1383"/>
      <c r="E1879" s="1383"/>
      <c r="F1879" s="1383"/>
      <c r="G1879" s="1383"/>
      <c r="H1879" s="129"/>
      <c r="O1879" s="220"/>
    </row>
    <row r="1880" spans="1:15" ht="15.75" thickBot="1" x14ac:dyDescent="0.3">
      <c r="B1880" s="1384" t="str">
        <f>$I$3</f>
        <v>Urbanização da Orla de Piúma - Município de Piúma / ES</v>
      </c>
      <c r="C1880" s="1385"/>
      <c r="D1880" s="1385"/>
      <c r="E1880" s="1385"/>
      <c r="F1880" s="1385"/>
      <c r="G1880" s="1386"/>
      <c r="H1880" s="129"/>
      <c r="O1880" s="220"/>
    </row>
    <row r="1881" spans="1:15" ht="15.75" thickBot="1" x14ac:dyDescent="0.3">
      <c r="A1881" s="376"/>
      <c r="B1881" s="34" t="s">
        <v>132</v>
      </c>
      <c r="C1881" s="34" t="s">
        <v>133</v>
      </c>
      <c r="D1881" s="1381" t="s">
        <v>134</v>
      </c>
      <c r="E1881" s="1381"/>
      <c r="F1881" s="131" t="s">
        <v>275</v>
      </c>
      <c r="G1881" s="35" t="s">
        <v>135</v>
      </c>
      <c r="H1881" s="129"/>
      <c r="O1881" s="220"/>
    </row>
    <row r="1882" spans="1:15" s="159" customFormat="1" ht="27" thickBot="1" x14ac:dyDescent="0.3">
      <c r="A1882" s="376"/>
      <c r="B1882" s="132" t="s">
        <v>378</v>
      </c>
      <c r="C1882" s="92" t="s">
        <v>98</v>
      </c>
      <c r="D1882" s="1381" t="s">
        <v>8</v>
      </c>
      <c r="E1882" s="1381"/>
      <c r="F1882" s="144" t="s">
        <v>264</v>
      </c>
      <c r="G1882" s="38">
        <f>$K$5</f>
        <v>44501</v>
      </c>
      <c r="O1882" s="220"/>
    </row>
    <row r="1883" spans="1:15" ht="9" customHeight="1" thickBot="1" x14ac:dyDescent="0.3">
      <c r="A1883" s="376"/>
      <c r="B1883" s="1382"/>
      <c r="C1883" s="1382"/>
      <c r="D1883" s="1382"/>
      <c r="E1883" s="1382"/>
      <c r="F1883" s="1382"/>
      <c r="G1883" s="1382"/>
      <c r="H1883" s="129"/>
      <c r="O1883" s="220"/>
    </row>
    <row r="1884" spans="1:15" x14ac:dyDescent="0.25">
      <c r="A1884" s="376"/>
      <c r="B1884" s="41" t="s">
        <v>139</v>
      </c>
      <c r="C1884" s="42" t="s">
        <v>140</v>
      </c>
      <c r="D1884" s="42" t="s">
        <v>141</v>
      </c>
      <c r="E1884" s="42" t="s">
        <v>142</v>
      </c>
      <c r="F1884" s="42" t="s">
        <v>143</v>
      </c>
      <c r="G1884" s="43" t="s">
        <v>144</v>
      </c>
      <c r="H1884" s="129"/>
      <c r="O1884" s="220"/>
    </row>
    <row r="1885" spans="1:15" x14ac:dyDescent="0.25">
      <c r="A1885" s="376"/>
      <c r="B1885" s="44"/>
      <c r="C1885" s="45"/>
      <c r="D1885" s="46"/>
      <c r="E1885" s="45"/>
      <c r="F1885" s="45"/>
      <c r="G1885" s="47"/>
      <c r="H1885" s="129"/>
      <c r="O1885" s="220"/>
    </row>
    <row r="1886" spans="1:15" x14ac:dyDescent="0.25">
      <c r="A1886" s="376"/>
      <c r="B1886" s="48"/>
      <c r="C1886" s="45"/>
      <c r="D1886" s="49"/>
      <c r="E1886" s="45"/>
      <c r="F1886" s="45"/>
      <c r="G1886" s="47"/>
      <c r="H1886" s="129"/>
      <c r="O1886" s="220"/>
    </row>
    <row r="1887" spans="1:15" x14ac:dyDescent="0.25">
      <c r="A1887" s="376"/>
      <c r="B1887" s="50" t="s">
        <v>145</v>
      </c>
      <c r="C1887" s="51"/>
      <c r="D1887" s="52"/>
      <c r="E1887" s="45"/>
      <c r="F1887" s="53"/>
      <c r="G1887" s="54">
        <f>+SUM(F1885:F1886)</f>
        <v>0</v>
      </c>
      <c r="H1887" s="129"/>
      <c r="O1887" s="220"/>
    </row>
    <row r="1888" spans="1:15" x14ac:dyDescent="0.25">
      <c r="A1888" s="376"/>
      <c r="B1888" s="48" t="s">
        <v>146</v>
      </c>
      <c r="C1888" s="55"/>
      <c r="D1888" s="56"/>
      <c r="E1888" s="45"/>
      <c r="F1888" s="57"/>
      <c r="G1888" s="58" t="s">
        <v>147</v>
      </c>
      <c r="H1888" s="129"/>
      <c r="O1888" s="220"/>
    </row>
    <row r="1889" spans="1:15" s="159" customFormat="1" ht="26.25" x14ac:dyDescent="0.25">
      <c r="A1889" s="376">
        <v>40231</v>
      </c>
      <c r="B1889" s="99" t="s">
        <v>17</v>
      </c>
      <c r="C1889" s="146" t="s">
        <v>6</v>
      </c>
      <c r="D1889" s="170">
        <f>0.75*4*0.15*0.05</f>
        <v>2.2499999999999999E-2</v>
      </c>
      <c r="E1889" s="329">
        <v>527.91</v>
      </c>
      <c r="F1889" s="329">
        <f>ROUND((D1889*E1889),2)</f>
        <v>11.88</v>
      </c>
      <c r="G1889" s="338"/>
      <c r="O1889" s="220"/>
    </row>
    <row r="1890" spans="1:15" ht="27.75" customHeight="1" x14ac:dyDescent="0.25">
      <c r="A1890" s="376">
        <v>40235</v>
      </c>
      <c r="B1890" s="44" t="s">
        <v>259</v>
      </c>
      <c r="C1890" s="45" t="s">
        <v>6</v>
      </c>
      <c r="D1890" s="46">
        <f>0.75*4*0.15*0.5</f>
        <v>0.22500000000000001</v>
      </c>
      <c r="E1890" s="329">
        <v>564.41999999999996</v>
      </c>
      <c r="F1890" s="329">
        <f>ROUND((D1890*E1890),2)</f>
        <v>126.99</v>
      </c>
      <c r="G1890" s="355"/>
      <c r="H1890" s="129"/>
      <c r="J1890" t="s">
        <v>98</v>
      </c>
      <c r="O1890" s="220"/>
    </row>
    <row r="1891" spans="1:15" ht="27.75" customHeight="1" x14ac:dyDescent="0.25">
      <c r="A1891" s="376">
        <v>40238</v>
      </c>
      <c r="B1891" s="44" t="s">
        <v>260</v>
      </c>
      <c r="C1891" s="45" t="s">
        <v>5</v>
      </c>
      <c r="D1891" s="46">
        <f>0.6*4*0.5+0.75*4*0.5</f>
        <v>2.7</v>
      </c>
      <c r="E1891" s="329">
        <v>88.63</v>
      </c>
      <c r="F1891" s="329">
        <f>ROUND((D1891*E1891),2)</f>
        <v>239.3</v>
      </c>
      <c r="G1891" s="355"/>
      <c r="H1891" s="129"/>
      <c r="O1891" s="220"/>
    </row>
    <row r="1892" spans="1:15" ht="27.75" customHeight="1" x14ac:dyDescent="0.25">
      <c r="A1892" s="376" t="s">
        <v>192</v>
      </c>
      <c r="B1892" s="44" t="s">
        <v>202</v>
      </c>
      <c r="C1892" s="45" t="s">
        <v>5</v>
      </c>
      <c r="D1892" s="46">
        <f>0.6*4*0.1+0.75*4*0.15*0.75*4*0.4</f>
        <v>0.78</v>
      </c>
      <c r="E1892" s="329">
        <f>D409</f>
        <v>122.57</v>
      </c>
      <c r="F1892" s="329">
        <f>ROUND((D1892*E1892),2)</f>
        <v>95.6</v>
      </c>
      <c r="G1892" s="355"/>
      <c r="H1892" s="220"/>
      <c r="J1892" s="159" t="s">
        <v>98</v>
      </c>
      <c r="O1892" s="220"/>
    </row>
    <row r="1893" spans="1:15" x14ac:dyDescent="0.25">
      <c r="A1893" s="376"/>
      <c r="B1893" s="50" t="s">
        <v>148</v>
      </c>
      <c r="C1893" s="51"/>
      <c r="D1893" s="62"/>
      <c r="E1893" s="353"/>
      <c r="F1893" s="353"/>
      <c r="G1893" s="338">
        <f>+SUM(F1889:F1892)</f>
        <v>473.77</v>
      </c>
      <c r="H1893" s="129"/>
      <c r="O1893" s="220"/>
    </row>
    <row r="1894" spans="1:15" x14ac:dyDescent="0.25">
      <c r="A1894" s="376"/>
      <c r="B1894" s="48" t="s">
        <v>149</v>
      </c>
      <c r="C1894" s="55"/>
      <c r="D1894" s="64"/>
      <c r="E1894" s="55"/>
      <c r="F1894" s="55"/>
      <c r="G1894" s="58" t="s">
        <v>150</v>
      </c>
      <c r="H1894" s="129"/>
      <c r="O1894" s="220"/>
    </row>
    <row r="1895" spans="1:15" x14ac:dyDescent="0.25">
      <c r="A1895" s="376"/>
      <c r="B1895" s="48" t="s">
        <v>98</v>
      </c>
      <c r="C1895" s="45"/>
      <c r="D1895" s="59"/>
      <c r="E1895" s="45"/>
      <c r="F1895" s="45"/>
      <c r="G1895" s="47"/>
      <c r="H1895" s="129"/>
      <c r="O1895" s="220"/>
    </row>
    <row r="1896" spans="1:15" x14ac:dyDescent="0.25">
      <c r="A1896" s="376"/>
      <c r="B1896" s="48" t="s">
        <v>98</v>
      </c>
      <c r="C1896" s="45"/>
      <c r="D1896" s="59"/>
      <c r="E1896" s="45"/>
      <c r="F1896" s="45"/>
      <c r="G1896" s="47"/>
      <c r="H1896" s="129"/>
      <c r="O1896" s="220"/>
    </row>
    <row r="1897" spans="1:15" ht="15.75" thickBot="1" x14ac:dyDescent="0.3">
      <c r="A1897" s="376"/>
      <c r="B1897" s="65" t="s">
        <v>151</v>
      </c>
      <c r="C1897" s="66"/>
      <c r="D1897" s="67"/>
      <c r="E1897" s="66"/>
      <c r="F1897" s="66"/>
      <c r="G1897" s="68">
        <f>+SUM(F1895:F1896)</f>
        <v>0</v>
      </c>
      <c r="H1897" s="129"/>
      <c r="O1897" s="220"/>
    </row>
    <row r="1898" spans="1:15" ht="4.5" customHeight="1" thickBot="1" x14ac:dyDescent="0.3">
      <c r="A1898" s="376"/>
      <c r="B1898" s="1382"/>
      <c r="C1898" s="1382"/>
      <c r="D1898" s="1382"/>
      <c r="E1898" s="1382"/>
      <c r="F1898" s="1382"/>
      <c r="G1898" s="1382"/>
      <c r="H1898" s="129"/>
      <c r="O1898" s="220"/>
    </row>
    <row r="1899" spans="1:15" ht="15.75" thickBot="1" x14ac:dyDescent="0.3">
      <c r="A1899" s="376"/>
      <c r="B1899" s="69" t="s">
        <v>152</v>
      </c>
      <c r="C1899" s="70" t="s">
        <v>4415</v>
      </c>
      <c r="D1899" s="71" t="s">
        <v>154</v>
      </c>
      <c r="E1899" s="1381" t="s">
        <v>155</v>
      </c>
      <c r="F1899" s="1381"/>
      <c r="G1899" s="1381"/>
      <c r="H1899" s="129"/>
      <c r="O1899" s="220"/>
    </row>
    <row r="1900" spans="1:15" ht="15.75" thickBot="1" x14ac:dyDescent="0.3">
      <c r="A1900" s="376"/>
      <c r="B1900" s="72" t="s">
        <v>156</v>
      </c>
      <c r="C1900" s="73"/>
      <c r="D1900" s="332">
        <f>G1887</f>
        <v>0</v>
      </c>
      <c r="E1900" s="1381"/>
      <c r="F1900" s="1381"/>
      <c r="G1900" s="1381"/>
      <c r="H1900" s="129"/>
      <c r="O1900" s="220"/>
    </row>
    <row r="1901" spans="1:15" ht="15.75" thickBot="1" x14ac:dyDescent="0.3">
      <c r="A1901" s="376"/>
      <c r="B1901" s="72" t="s">
        <v>157</v>
      </c>
      <c r="C1901" s="73"/>
      <c r="D1901" s="332">
        <f>G1893</f>
        <v>473.77</v>
      </c>
      <c r="E1901" s="1381"/>
      <c r="F1901" s="1381"/>
      <c r="G1901" s="1381"/>
      <c r="H1901" s="129"/>
      <c r="O1901" s="220"/>
    </row>
    <row r="1902" spans="1:15" ht="15.75" thickBot="1" x14ac:dyDescent="0.3">
      <c r="A1902" s="376"/>
      <c r="B1902" s="72" t="s">
        <v>158</v>
      </c>
      <c r="C1902" s="73"/>
      <c r="D1902" s="332">
        <f>G1897</f>
        <v>0</v>
      </c>
      <c r="E1902" s="1381"/>
      <c r="F1902" s="1381"/>
      <c r="G1902" s="1381"/>
      <c r="H1902" s="129"/>
      <c r="O1902" s="220"/>
    </row>
    <row r="1903" spans="1:15" ht="15.75" thickBot="1" x14ac:dyDescent="0.3">
      <c r="A1903" s="376"/>
      <c r="B1903" s="72" t="s">
        <v>159</v>
      </c>
      <c r="C1903" s="74">
        <f>$J$5</f>
        <v>157.27000000000001</v>
      </c>
      <c r="D1903" s="332">
        <f>+ROUND((D1900*C1903),2)/100</f>
        <v>0</v>
      </c>
      <c r="E1903" s="1381"/>
      <c r="F1903" s="1381"/>
      <c r="G1903" s="1381"/>
      <c r="H1903" s="129"/>
      <c r="O1903" s="220"/>
    </row>
    <row r="1904" spans="1:15" ht="15.75" thickBot="1" x14ac:dyDescent="0.3">
      <c r="A1904" s="376"/>
      <c r="B1904" s="72" t="s">
        <v>160</v>
      </c>
      <c r="C1904" s="75"/>
      <c r="D1904" s="333">
        <f>+SUM(D1900:D1903)</f>
        <v>473.77</v>
      </c>
      <c r="E1904" s="1381"/>
      <c r="F1904" s="1381"/>
      <c r="G1904" s="1381"/>
      <c r="H1904" s="129"/>
      <c r="O1904" s="220"/>
    </row>
    <row r="1905" spans="1:15" ht="15.75" thickBot="1" x14ac:dyDescent="0.3">
      <c r="A1905" s="376"/>
      <c r="B1905" s="72" t="s">
        <v>161</v>
      </c>
      <c r="C1905" s="73"/>
      <c r="D1905" s="332" t="s">
        <v>162</v>
      </c>
      <c r="E1905" s="1382" t="s">
        <v>163</v>
      </c>
      <c r="F1905" s="1382"/>
      <c r="G1905" s="1382"/>
      <c r="H1905" s="129"/>
      <c r="O1905" s="220"/>
    </row>
    <row r="1906" spans="1:15" ht="15.75" thickBot="1" x14ac:dyDescent="0.3">
      <c r="A1906" s="376"/>
      <c r="B1906" s="76" t="s">
        <v>164</v>
      </c>
      <c r="C1906" s="77"/>
      <c r="D1906" s="334">
        <f>+SUM(D1904:D1905)</f>
        <v>473.77</v>
      </c>
      <c r="E1906" s="1382"/>
      <c r="F1906" s="1382"/>
      <c r="G1906" s="1382"/>
      <c r="H1906" s="129"/>
      <c r="O1906" s="220"/>
    </row>
    <row r="1907" spans="1:15" ht="15.75" thickBot="1" x14ac:dyDescent="0.3">
      <c r="A1907" s="376"/>
      <c r="B1907" s="78" t="s">
        <v>165</v>
      </c>
      <c r="C1907" s="79">
        <f>$I$5</f>
        <v>28.49</v>
      </c>
      <c r="D1907" s="335">
        <f>ROUND((D1906*C1907),2)/100</f>
        <v>134.97999999999999</v>
      </c>
      <c r="E1907" s="1382"/>
      <c r="F1907" s="1382"/>
      <c r="G1907" s="1382"/>
      <c r="H1907" s="129"/>
      <c r="O1907" s="220"/>
    </row>
    <row r="1908" spans="1:15" ht="15.75" thickBot="1" x14ac:dyDescent="0.3">
      <c r="A1908" s="376"/>
      <c r="B1908" s="80" t="s">
        <v>166</v>
      </c>
      <c r="C1908" s="81"/>
      <c r="D1908" s="336">
        <f>+SUM(D1906:D1907)</f>
        <v>608.75</v>
      </c>
      <c r="E1908" s="82"/>
      <c r="F1908" s="337">
        <f>D1908</f>
        <v>608.75</v>
      </c>
      <c r="G1908" s="35"/>
      <c r="H1908" s="129"/>
      <c r="O1908" s="220"/>
    </row>
    <row r="1909" spans="1:15" x14ac:dyDescent="0.25">
      <c r="H1909" s="129"/>
      <c r="O1909" s="220"/>
    </row>
    <row r="1910" spans="1:15" s="183" customFormat="1" ht="15.75" thickBot="1" x14ac:dyDescent="0.3">
      <c r="A1910" s="382"/>
      <c r="O1910" s="220"/>
    </row>
    <row r="1911" spans="1:15" s="183" customFormat="1" x14ac:dyDescent="0.25">
      <c r="A1911" s="382"/>
      <c r="B1911" s="1383" t="s">
        <v>131</v>
      </c>
      <c r="C1911" s="1383"/>
      <c r="D1911" s="1383"/>
      <c r="E1911" s="1383"/>
      <c r="F1911" s="1383"/>
      <c r="G1911" s="1383"/>
      <c r="O1911" s="220"/>
    </row>
    <row r="1912" spans="1:15" s="183" customFormat="1" ht="15.75" thickBot="1" x14ac:dyDescent="0.3">
      <c r="A1912" s="382"/>
      <c r="B1912" s="1384" t="str">
        <f>$I$3</f>
        <v>Urbanização da Orla de Piúma - Município de Piúma / ES</v>
      </c>
      <c r="C1912" s="1385"/>
      <c r="D1912" s="1385"/>
      <c r="E1912" s="1385"/>
      <c r="F1912" s="1385"/>
      <c r="G1912" s="1386"/>
      <c r="O1912" s="220"/>
    </row>
    <row r="1913" spans="1:15" s="183" customFormat="1" ht="15.75" thickBot="1" x14ac:dyDescent="0.3">
      <c r="A1913" s="376"/>
      <c r="B1913" s="184" t="s">
        <v>132</v>
      </c>
      <c r="C1913" s="184" t="s">
        <v>133</v>
      </c>
      <c r="D1913" s="1381" t="s">
        <v>134</v>
      </c>
      <c r="E1913" s="1381"/>
      <c r="F1913" s="185" t="s">
        <v>275</v>
      </c>
      <c r="G1913" s="185" t="s">
        <v>135</v>
      </c>
      <c r="O1913" s="220"/>
    </row>
    <row r="1914" spans="1:15" s="183" customFormat="1" ht="15.75" thickBot="1" x14ac:dyDescent="0.3">
      <c r="A1914" s="376"/>
      <c r="B1914" s="186" t="s">
        <v>379</v>
      </c>
      <c r="C1914" s="187" t="s">
        <v>98</v>
      </c>
      <c r="D1914" s="1381" t="s">
        <v>8</v>
      </c>
      <c r="E1914" s="1381"/>
      <c r="F1914" s="182" t="s">
        <v>265</v>
      </c>
      <c r="G1914" s="38">
        <f>$K$5</f>
        <v>44501</v>
      </c>
      <c r="O1914" s="220"/>
    </row>
    <row r="1915" spans="1:15" s="183" customFormat="1" ht="15.75" thickBot="1" x14ac:dyDescent="0.3">
      <c r="A1915" s="376"/>
      <c r="B1915" s="1382"/>
      <c r="C1915" s="1382"/>
      <c r="D1915" s="1382"/>
      <c r="E1915" s="1382"/>
      <c r="F1915" s="1382"/>
      <c r="G1915" s="1382"/>
      <c r="O1915" s="220"/>
    </row>
    <row r="1916" spans="1:15" s="183" customFormat="1" x14ac:dyDescent="0.25">
      <c r="A1916" s="376"/>
      <c r="B1916" s="188" t="s">
        <v>139</v>
      </c>
      <c r="C1916" s="189" t="s">
        <v>140</v>
      </c>
      <c r="D1916" s="189" t="s">
        <v>141</v>
      </c>
      <c r="E1916" s="189" t="s">
        <v>142</v>
      </c>
      <c r="F1916" s="189" t="s">
        <v>143</v>
      </c>
      <c r="G1916" s="190" t="s">
        <v>144</v>
      </c>
      <c r="O1916" s="220"/>
    </row>
    <row r="1917" spans="1:15" s="183" customFormat="1" x14ac:dyDescent="0.25">
      <c r="A1917" s="376">
        <v>10111</v>
      </c>
      <c r="B1917" s="230" t="str">
        <f>VLOOKUP(A1917,Insumos!$A$10:$F$3462,2,FALSE)</f>
        <v>CARPINTEIRO (OFICIAL - SINDUSCON)</v>
      </c>
      <c r="C1917" s="231" t="str">
        <f>VLOOKUP(A1917,Insumos!$A$10:$F$3462,3,FALSE)</f>
        <v>H</v>
      </c>
      <c r="D1917" s="232">
        <v>24</v>
      </c>
      <c r="E1917" s="329">
        <f>VLOOKUP(A1917,Insumos!$A$10:$F$3462,4,FALSE)</f>
        <v>7.43</v>
      </c>
      <c r="F1917" s="329">
        <f>ROUND((D1917*E1917),2)</f>
        <v>178.32</v>
      </c>
      <c r="G1917" s="355"/>
      <c r="O1917" s="220"/>
    </row>
    <row r="1918" spans="1:15" s="183" customFormat="1" x14ac:dyDescent="0.25">
      <c r="A1918" s="376">
        <v>10101</v>
      </c>
      <c r="B1918" s="230" t="str">
        <f>VLOOKUP(A1918,Insumos!$A$10:$F$3462,2,FALSE)</f>
        <v>AJUDANTE (AJUDANTE PRATICO - SINDUSCON)</v>
      </c>
      <c r="C1918" s="231" t="str">
        <f>VLOOKUP(A1918,Insumos!$A$10:$F$3462,3,FALSE)</f>
        <v>H</v>
      </c>
      <c r="D1918" s="232">
        <v>24</v>
      </c>
      <c r="E1918" s="329">
        <f>VLOOKUP(A1918,Insumos!$A$10:$F$3462,4,FALSE)</f>
        <v>6.27</v>
      </c>
      <c r="F1918" s="329">
        <f>ROUND((D1918*E1918),2)</f>
        <v>150.47999999999999</v>
      </c>
      <c r="G1918" s="355"/>
      <c r="O1918" s="220"/>
    </row>
    <row r="1919" spans="1:15" s="183" customFormat="1" x14ac:dyDescent="0.25">
      <c r="A1919" s="376"/>
      <c r="B1919" s="194" t="s">
        <v>145</v>
      </c>
      <c r="C1919" s="195"/>
      <c r="D1919" s="196"/>
      <c r="E1919" s="329"/>
      <c r="F1919" s="353"/>
      <c r="G1919" s="338">
        <f>+SUM(F1917:F1918)</f>
        <v>328.8</v>
      </c>
      <c r="O1919" s="220"/>
    </row>
    <row r="1920" spans="1:15" s="183" customFormat="1" x14ac:dyDescent="0.25">
      <c r="A1920" s="376"/>
      <c r="B1920" s="193" t="s">
        <v>146</v>
      </c>
      <c r="C1920" s="197"/>
      <c r="D1920" s="198"/>
      <c r="E1920" s="191"/>
      <c r="F1920" s="199"/>
      <c r="G1920" s="200" t="s">
        <v>147</v>
      </c>
      <c r="O1920" s="220"/>
    </row>
    <row r="1921" spans="1:15" s="183" customFormat="1" x14ac:dyDescent="0.25">
      <c r="A1921" s="376" t="s">
        <v>488</v>
      </c>
      <c r="B1921" s="230" t="str">
        <f>VLOOKUP(A1921,Insumos!$A$10:$F$3462,2,FALSE)</f>
        <v>Pergolado em perfis Ecoblock, inclusive cavilhas do mesmo material e frete</v>
      </c>
      <c r="C1921" s="231" t="str">
        <f>VLOOKUP(A1921,Insumos!$A$10:$F$3462,3,FALSE)</f>
        <v>und</v>
      </c>
      <c r="D1921" s="218">
        <v>1</v>
      </c>
      <c r="E1921" s="329">
        <f>VLOOKUP(A1921,Insumos!$A$10:$F$3462,4,FALSE)</f>
        <v>19350.87</v>
      </c>
      <c r="F1921" s="329">
        <f>ROUND((D1921*E1921),2)</f>
        <v>19350.87</v>
      </c>
      <c r="G1921" s="192"/>
      <c r="O1921" s="220"/>
    </row>
    <row r="1922" spans="1:15" s="183" customFormat="1" x14ac:dyDescent="0.25">
      <c r="A1922" s="376" t="s">
        <v>489</v>
      </c>
      <c r="B1922" s="230" t="str">
        <f>VLOOKUP(A1922,Insumos!$A$10:$F$3462,2,FALSE)</f>
        <v>Bancos em perfis Ecoblock, inclusive cavilhas do mesmo material e frete</v>
      </c>
      <c r="C1922" s="231" t="str">
        <f>VLOOKUP(A1922,Insumos!$A$10:$F$3462,3,FALSE)</f>
        <v>und</v>
      </c>
      <c r="D1922" s="218">
        <v>2</v>
      </c>
      <c r="E1922" s="329">
        <f>VLOOKUP(A1922,Insumos!$A$10:$F$3462,4,FALSE)</f>
        <v>1060.03</v>
      </c>
      <c r="F1922" s="329">
        <f>ROUND((D1922*E1922),2)</f>
        <v>2120.06</v>
      </c>
      <c r="G1922" s="192"/>
      <c r="O1922" s="220"/>
    </row>
    <row r="1923" spans="1:15" s="183" customFormat="1" x14ac:dyDescent="0.25">
      <c r="A1923" s="376"/>
      <c r="B1923" s="193"/>
      <c r="C1923" s="191"/>
      <c r="D1923" s="202"/>
      <c r="E1923" s="191"/>
      <c r="F1923" s="191"/>
      <c r="G1923" s="192"/>
      <c r="O1923" s="220"/>
    </row>
    <row r="1924" spans="1:15" s="183" customFormat="1" x14ac:dyDescent="0.25">
      <c r="A1924" s="376"/>
      <c r="B1924" s="194" t="s">
        <v>148</v>
      </c>
      <c r="C1924" s="195"/>
      <c r="D1924" s="203"/>
      <c r="E1924" s="204"/>
      <c r="F1924" s="204"/>
      <c r="G1924" s="338">
        <f>+SUM(F1921:F1923)</f>
        <v>21470.93</v>
      </c>
      <c r="O1924" s="220"/>
    </row>
    <row r="1925" spans="1:15" s="183" customFormat="1" x14ac:dyDescent="0.25">
      <c r="A1925" s="376"/>
      <c r="B1925" s="193" t="s">
        <v>149</v>
      </c>
      <c r="C1925" s="197"/>
      <c r="D1925" s="205"/>
      <c r="E1925" s="197"/>
      <c r="F1925" s="197"/>
      <c r="G1925" s="200" t="s">
        <v>150</v>
      </c>
      <c r="O1925" s="220"/>
    </row>
    <row r="1926" spans="1:15" s="183" customFormat="1" x14ac:dyDescent="0.25">
      <c r="A1926" s="376"/>
      <c r="B1926" s="193" t="s">
        <v>98</v>
      </c>
      <c r="C1926" s="191"/>
      <c r="D1926" s="201"/>
      <c r="E1926" s="191"/>
      <c r="F1926" s="191"/>
      <c r="G1926" s="192"/>
      <c r="O1926" s="220"/>
    </row>
    <row r="1927" spans="1:15" s="183" customFormat="1" ht="15.75" thickBot="1" x14ac:dyDescent="0.3">
      <c r="A1927" s="376"/>
      <c r="B1927" s="206" t="s">
        <v>151</v>
      </c>
      <c r="C1927" s="207"/>
      <c r="D1927" s="208"/>
      <c r="E1927" s="207"/>
      <c r="F1927" s="207"/>
      <c r="G1927" s="209">
        <f>+SUM(F1926:F1926)</f>
        <v>0</v>
      </c>
      <c r="O1927" s="220"/>
    </row>
    <row r="1928" spans="1:15" s="183" customFormat="1" ht="15.75" thickBot="1" x14ac:dyDescent="0.3">
      <c r="A1928" s="376"/>
      <c r="B1928" s="1382"/>
      <c r="C1928" s="1382"/>
      <c r="D1928" s="1382"/>
      <c r="E1928" s="1382"/>
      <c r="F1928" s="1382"/>
      <c r="G1928" s="1382"/>
      <c r="O1928" s="220"/>
    </row>
    <row r="1929" spans="1:15" s="183" customFormat="1" ht="15.75" thickBot="1" x14ac:dyDescent="0.3">
      <c r="A1929" s="376"/>
      <c r="B1929" s="69" t="s">
        <v>152</v>
      </c>
      <c r="C1929" s="70" t="s">
        <v>4415</v>
      </c>
      <c r="D1929" s="71" t="s">
        <v>154</v>
      </c>
      <c r="E1929" s="1381" t="s">
        <v>155</v>
      </c>
      <c r="F1929" s="1381"/>
      <c r="G1929" s="1381"/>
      <c r="O1929" s="220"/>
    </row>
    <row r="1930" spans="1:15" s="183" customFormat="1" ht="15.75" thickBot="1" x14ac:dyDescent="0.3">
      <c r="A1930" s="376"/>
      <c r="B1930" s="72" t="s">
        <v>156</v>
      </c>
      <c r="C1930" s="73"/>
      <c r="D1930" s="332">
        <f>G1919</f>
        <v>328.8</v>
      </c>
      <c r="E1930" s="1381"/>
      <c r="F1930" s="1381"/>
      <c r="G1930" s="1381"/>
      <c r="O1930" s="220"/>
    </row>
    <row r="1931" spans="1:15" s="183" customFormat="1" ht="15.75" thickBot="1" x14ac:dyDescent="0.3">
      <c r="A1931" s="376"/>
      <c r="B1931" s="72" t="s">
        <v>157</v>
      </c>
      <c r="C1931" s="73"/>
      <c r="D1931" s="332">
        <f>G1924</f>
        <v>21470.93</v>
      </c>
      <c r="E1931" s="1381"/>
      <c r="F1931" s="1381"/>
      <c r="G1931" s="1381"/>
      <c r="O1931" s="220"/>
    </row>
    <row r="1932" spans="1:15" s="183" customFormat="1" ht="15.75" thickBot="1" x14ac:dyDescent="0.3">
      <c r="A1932" s="376"/>
      <c r="B1932" s="72" t="s">
        <v>158</v>
      </c>
      <c r="C1932" s="73"/>
      <c r="D1932" s="332">
        <f>G1927</f>
        <v>0</v>
      </c>
      <c r="E1932" s="1381"/>
      <c r="F1932" s="1381"/>
      <c r="G1932" s="1381"/>
      <c r="O1932" s="220"/>
    </row>
    <row r="1933" spans="1:15" s="183" customFormat="1" ht="15.75" thickBot="1" x14ac:dyDescent="0.3">
      <c r="A1933" s="376"/>
      <c r="B1933" s="72" t="s">
        <v>159</v>
      </c>
      <c r="C1933" s="74">
        <f>$J$5</f>
        <v>157.27000000000001</v>
      </c>
      <c r="D1933" s="332">
        <f>+ROUND((D1930*C1933),2)/100</f>
        <v>517.1</v>
      </c>
      <c r="E1933" s="1381"/>
      <c r="F1933" s="1381"/>
      <c r="G1933" s="1381"/>
      <c r="O1933" s="220"/>
    </row>
    <row r="1934" spans="1:15" s="183" customFormat="1" ht="15.75" thickBot="1" x14ac:dyDescent="0.3">
      <c r="A1934" s="376"/>
      <c r="B1934" s="72" t="s">
        <v>160</v>
      </c>
      <c r="C1934" s="75"/>
      <c r="D1934" s="333">
        <f>+SUM(D1930:D1933)</f>
        <v>22316.83</v>
      </c>
      <c r="E1934" s="1381"/>
      <c r="F1934" s="1381"/>
      <c r="G1934" s="1381"/>
      <c r="O1934" s="220"/>
    </row>
    <row r="1935" spans="1:15" s="183" customFormat="1" ht="15.75" thickBot="1" x14ac:dyDescent="0.3">
      <c r="A1935" s="376"/>
      <c r="B1935" s="72" t="s">
        <v>161</v>
      </c>
      <c r="C1935" s="73"/>
      <c r="D1935" s="332" t="s">
        <v>162</v>
      </c>
      <c r="E1935" s="1382" t="s">
        <v>163</v>
      </c>
      <c r="F1935" s="1382"/>
      <c r="G1935" s="1382"/>
      <c r="O1935" s="220"/>
    </row>
    <row r="1936" spans="1:15" s="183" customFormat="1" ht="15.75" thickBot="1" x14ac:dyDescent="0.3">
      <c r="A1936" s="376"/>
      <c r="B1936" s="210" t="s">
        <v>164</v>
      </c>
      <c r="C1936" s="211"/>
      <c r="D1936" s="334">
        <f>+SUM(D1934:D1935)</f>
        <v>22316.83</v>
      </c>
      <c r="E1936" s="1382"/>
      <c r="F1936" s="1382"/>
      <c r="G1936" s="1382"/>
      <c r="J1936" s="183">
        <v>22144.38</v>
      </c>
      <c r="O1936" s="220"/>
    </row>
    <row r="1937" spans="1:15" s="183" customFormat="1" ht="15.75" thickBot="1" x14ac:dyDescent="0.3">
      <c r="A1937" s="376"/>
      <c r="B1937" s="212" t="s">
        <v>165</v>
      </c>
      <c r="C1937" s="213">
        <f>$I$5</f>
        <v>28.49</v>
      </c>
      <c r="D1937" s="335">
        <f>ROUND((D1936*C1937),2)/100</f>
        <v>6358.06</v>
      </c>
      <c r="E1937" s="1382"/>
      <c r="F1937" s="1382"/>
      <c r="G1937" s="1382"/>
      <c r="O1937" s="220"/>
    </row>
    <row r="1938" spans="1:15" s="183" customFormat="1" ht="15.75" thickBot="1" x14ac:dyDescent="0.3">
      <c r="A1938" s="376"/>
      <c r="B1938" s="80" t="s">
        <v>166</v>
      </c>
      <c r="C1938" s="214"/>
      <c r="D1938" s="336">
        <f>+SUM(D1936:D1937)</f>
        <v>28674.89</v>
      </c>
      <c r="E1938" s="215"/>
      <c r="F1938" s="337">
        <f>D1938</f>
        <v>28674.89</v>
      </c>
      <c r="G1938" s="185"/>
      <c r="O1938" s="220"/>
    </row>
    <row r="1939" spans="1:15" s="183" customFormat="1" x14ac:dyDescent="0.25">
      <c r="A1939" s="382"/>
      <c r="O1939" s="220"/>
    </row>
    <row r="1940" spans="1:15" ht="15.75" thickBot="1" x14ac:dyDescent="0.3">
      <c r="A1940" s="383"/>
      <c r="B1940" s="89"/>
      <c r="C1940" s="89"/>
      <c r="D1940" s="89"/>
      <c r="E1940" s="89"/>
      <c r="F1940" s="89"/>
      <c r="G1940" s="89"/>
      <c r="H1940" s="129"/>
      <c r="I1940" s="89"/>
      <c r="J1940" s="88"/>
      <c r="K1940" s="88"/>
      <c r="O1940" s="220"/>
    </row>
    <row r="1941" spans="1:15" x14ac:dyDescent="0.25">
      <c r="A1941" s="383"/>
      <c r="B1941" s="1383" t="s">
        <v>131</v>
      </c>
      <c r="C1941" s="1383"/>
      <c r="D1941" s="1383"/>
      <c r="E1941" s="1383"/>
      <c r="F1941" s="1383"/>
      <c r="G1941" s="1383"/>
      <c r="H1941" s="129"/>
      <c r="I1941" s="89"/>
      <c r="J1941" s="88"/>
      <c r="K1941" s="88"/>
      <c r="O1941" s="220"/>
    </row>
    <row r="1942" spans="1:15" ht="15.75" thickBot="1" x14ac:dyDescent="0.3">
      <c r="A1942" s="383"/>
      <c r="B1942" s="1384" t="str">
        <f>$I$3</f>
        <v>Urbanização da Orla de Piúma - Município de Piúma / ES</v>
      </c>
      <c r="C1942" s="1385"/>
      <c r="D1942" s="1385"/>
      <c r="E1942" s="1385"/>
      <c r="F1942" s="1385"/>
      <c r="G1942" s="1386"/>
      <c r="H1942" s="129"/>
      <c r="I1942" s="89"/>
      <c r="J1942" s="88"/>
      <c r="K1942" s="88"/>
      <c r="O1942" s="220"/>
    </row>
    <row r="1943" spans="1:15" ht="15.75" thickBot="1" x14ac:dyDescent="0.3">
      <c r="A1943" s="376"/>
      <c r="B1943" s="90" t="s">
        <v>132</v>
      </c>
      <c r="C1943" s="90" t="s">
        <v>133</v>
      </c>
      <c r="D1943" s="1381" t="s">
        <v>134</v>
      </c>
      <c r="E1943" s="1381"/>
      <c r="F1943" s="131" t="s">
        <v>275</v>
      </c>
      <c r="G1943" s="91" t="s">
        <v>135</v>
      </c>
      <c r="H1943" s="129"/>
      <c r="I1943" s="89"/>
      <c r="J1943" s="88"/>
      <c r="K1943" s="88"/>
      <c r="O1943" s="220"/>
    </row>
    <row r="1944" spans="1:15" s="159" customFormat="1" ht="15.75" thickBot="1" x14ac:dyDescent="0.3">
      <c r="A1944" s="376"/>
      <c r="B1944" s="132" t="s">
        <v>383</v>
      </c>
      <c r="C1944" s="92" t="s">
        <v>98</v>
      </c>
      <c r="D1944" s="1381" t="s">
        <v>8</v>
      </c>
      <c r="E1944" s="1381"/>
      <c r="F1944" s="144" t="s">
        <v>266</v>
      </c>
      <c r="G1944" s="38">
        <f>$K$5</f>
        <v>44501</v>
      </c>
      <c r="O1944" s="220"/>
    </row>
    <row r="1945" spans="1:15" ht="15.75" thickBot="1" x14ac:dyDescent="0.3">
      <c r="A1945" s="376"/>
      <c r="B1945" s="1382"/>
      <c r="C1945" s="1382"/>
      <c r="D1945" s="1382"/>
      <c r="E1945" s="1382"/>
      <c r="F1945" s="1382"/>
      <c r="G1945" s="1382"/>
      <c r="H1945" s="129"/>
      <c r="I1945" s="89"/>
      <c r="J1945" s="88"/>
      <c r="K1945" s="88"/>
      <c r="O1945" s="220"/>
    </row>
    <row r="1946" spans="1:15" x14ac:dyDescent="0.25">
      <c r="A1946" s="376"/>
      <c r="B1946" s="93" t="s">
        <v>139</v>
      </c>
      <c r="C1946" s="94" t="s">
        <v>140</v>
      </c>
      <c r="D1946" s="94" t="s">
        <v>141</v>
      </c>
      <c r="E1946" s="94" t="s">
        <v>142</v>
      </c>
      <c r="F1946" s="94" t="s">
        <v>143</v>
      </c>
      <c r="G1946" s="95" t="s">
        <v>144</v>
      </c>
      <c r="H1946" s="129"/>
      <c r="I1946" s="89"/>
      <c r="J1946" s="88"/>
      <c r="K1946" s="88"/>
      <c r="O1946" s="220"/>
    </row>
    <row r="1947" spans="1:15" x14ac:dyDescent="0.25">
      <c r="A1947" s="376">
        <v>10146</v>
      </c>
      <c r="B1947" s="230" t="str">
        <f>VLOOKUP(A1947,Insumos!$A$10:$F$3462,2,FALSE)</f>
        <v>SERVENTE (AUXILIAR DE OBRAS - SINDUSCON)</v>
      </c>
      <c r="C1947" s="231" t="str">
        <f>VLOOKUP(A1947,Insumos!$A$10:$F$3462,3,FALSE)</f>
        <v>H</v>
      </c>
      <c r="D1947" s="232">
        <v>2</v>
      </c>
      <c r="E1947" s="329">
        <f>VLOOKUP(A1947,Insumos!$A$10:$F$3462,4,FALSE)</f>
        <v>5.46</v>
      </c>
      <c r="F1947" s="329">
        <f>ROUND((D1947*E1947),2)</f>
        <v>10.92</v>
      </c>
      <c r="G1947" s="355"/>
      <c r="H1947" s="129"/>
      <c r="I1947" s="89"/>
      <c r="J1947" s="88"/>
      <c r="K1947" s="88"/>
      <c r="O1947" s="220"/>
    </row>
    <row r="1948" spans="1:15" x14ac:dyDescent="0.25">
      <c r="A1948" s="376">
        <v>10101</v>
      </c>
      <c r="B1948" s="230" t="str">
        <f>VLOOKUP(A1948,Insumos!$A$10:$F$3462,2,FALSE)</f>
        <v>AJUDANTE (AJUDANTE PRATICO - SINDUSCON)</v>
      </c>
      <c r="C1948" s="231" t="str">
        <f>VLOOKUP(A1948,Insumos!$A$10:$F$3462,3,FALSE)</f>
        <v>H</v>
      </c>
      <c r="D1948" s="232">
        <v>1</v>
      </c>
      <c r="E1948" s="329">
        <f>VLOOKUP(A1948,Insumos!$A$10:$F$3462,4,FALSE)</f>
        <v>6.27</v>
      </c>
      <c r="F1948" s="329">
        <f>ROUND((D1948*E1948),2)</f>
        <v>6.27</v>
      </c>
      <c r="G1948" s="355"/>
      <c r="H1948" s="129"/>
      <c r="I1948" s="89"/>
      <c r="J1948" s="88"/>
      <c r="K1948" s="88"/>
      <c r="O1948" s="220"/>
    </row>
    <row r="1949" spans="1:15" x14ac:dyDescent="0.25">
      <c r="A1949" s="376"/>
      <c r="B1949" s="99"/>
      <c r="C1949" s="96"/>
      <c r="D1949" s="100"/>
      <c r="E1949" s="329"/>
      <c r="F1949" s="329"/>
      <c r="G1949" s="355"/>
      <c r="H1949" s="129"/>
      <c r="I1949" s="89"/>
      <c r="J1949" s="88"/>
      <c r="K1949" s="88"/>
      <c r="O1949" s="220"/>
    </row>
    <row r="1950" spans="1:15" x14ac:dyDescent="0.25">
      <c r="A1950" s="376"/>
      <c r="B1950" s="101" t="s">
        <v>145</v>
      </c>
      <c r="C1950" s="102"/>
      <c r="D1950" s="103"/>
      <c r="E1950" s="329"/>
      <c r="F1950" s="353"/>
      <c r="G1950" s="338">
        <f>SUM(F1947:F1950)</f>
        <v>17.190000000000001</v>
      </c>
      <c r="H1950" s="129"/>
      <c r="I1950" s="89"/>
      <c r="J1950" s="88"/>
      <c r="K1950" s="88"/>
      <c r="O1950" s="220"/>
    </row>
    <row r="1951" spans="1:15" x14ac:dyDescent="0.25">
      <c r="A1951" s="376"/>
      <c r="B1951" s="99" t="s">
        <v>146</v>
      </c>
      <c r="C1951" s="106"/>
      <c r="D1951" s="107"/>
      <c r="E1951" s="96"/>
      <c r="F1951" s="108"/>
      <c r="G1951" s="109" t="s">
        <v>147</v>
      </c>
      <c r="H1951" s="129"/>
      <c r="I1951" s="89"/>
      <c r="J1951" s="88"/>
      <c r="K1951" s="88"/>
      <c r="O1951" s="220"/>
    </row>
    <row r="1952" spans="1:15" x14ac:dyDescent="0.25">
      <c r="A1952" s="376" t="s">
        <v>433</v>
      </c>
      <c r="B1952" s="230" t="str">
        <f>VLOOKUP(A1952,Insumos!$A$10:$F$3462,2,FALSE)</f>
        <v>Palmeira Rabo de Raposa ("Wodyetia Bifurcata") - (2,00m tronco)</v>
      </c>
      <c r="C1952" s="231" t="str">
        <f>VLOOKUP(A1952,Insumos!$A$10:$F$3462,3,FALSE)</f>
        <v>Und.</v>
      </c>
      <c r="D1952" s="97">
        <v>1</v>
      </c>
      <c r="E1952" s="329">
        <f>VLOOKUP(A1952,Insumos!$A$10:$F$3462,4,FALSE)</f>
        <v>450</v>
      </c>
      <c r="F1952" s="329">
        <v>450</v>
      </c>
      <c r="G1952" s="355"/>
      <c r="H1952" s="129"/>
      <c r="I1952" s="89" t="s">
        <v>98</v>
      </c>
      <c r="J1952" s="88"/>
      <c r="K1952" s="88"/>
      <c r="O1952" s="220"/>
    </row>
    <row r="1953" spans="1:15" x14ac:dyDescent="0.25">
      <c r="A1953" s="376">
        <v>38511</v>
      </c>
      <c r="B1953" s="230" t="str">
        <f>VLOOKUP(A1953,Insumos!$A$10:$F$3462,2,FALSE)</f>
        <v>TERRA VEGETAL</v>
      </c>
      <c r="C1953" s="231" t="str">
        <f>VLOOKUP(A1953,Insumos!$A$10:$F$3462,3,FALSE)</f>
        <v>M3</v>
      </c>
      <c r="D1953" s="111">
        <v>0.05</v>
      </c>
      <c r="E1953" s="329">
        <f>VLOOKUP(A1953,Insumos!$A$10:$F$3462,4,FALSE)</f>
        <v>149.63</v>
      </c>
      <c r="F1953" s="329">
        <f>ROUND((D1953*E1953),2)</f>
        <v>7.48</v>
      </c>
      <c r="G1953" s="355"/>
      <c r="H1953" s="129"/>
      <c r="I1953" s="88"/>
      <c r="J1953" s="88"/>
      <c r="K1953" s="88"/>
      <c r="O1953" s="220"/>
    </row>
    <row r="1954" spans="1:15" x14ac:dyDescent="0.25">
      <c r="A1954" s="376"/>
      <c r="B1954" s="101" t="s">
        <v>148</v>
      </c>
      <c r="C1954" s="102"/>
      <c r="D1954" s="112"/>
      <c r="E1954" s="353"/>
      <c r="F1954" s="353"/>
      <c r="G1954" s="338">
        <f>SUM(F1952:F1954)</f>
        <v>457.48</v>
      </c>
      <c r="H1954" s="129"/>
      <c r="I1954" s="88"/>
      <c r="J1954" s="88"/>
      <c r="K1954" s="88"/>
      <c r="O1954" s="220"/>
    </row>
    <row r="1955" spans="1:15" x14ac:dyDescent="0.25">
      <c r="A1955" s="376"/>
      <c r="B1955" s="99" t="s">
        <v>149</v>
      </c>
      <c r="C1955" s="106"/>
      <c r="D1955" s="114"/>
      <c r="E1955" s="106"/>
      <c r="F1955" s="106"/>
      <c r="G1955" s="109" t="s">
        <v>150</v>
      </c>
      <c r="H1955" s="129"/>
      <c r="I1955" s="88"/>
      <c r="J1955" s="88"/>
      <c r="K1955" s="88"/>
      <c r="O1955" s="220"/>
    </row>
    <row r="1956" spans="1:15" x14ac:dyDescent="0.25">
      <c r="A1956" s="383">
        <v>80178</v>
      </c>
      <c r="B1956" s="230" t="str">
        <f>VLOOKUP(A1956,Insumos!$A$10:$F$3462,2,FALSE)</f>
        <v>CAMINHAO TANQUE MB L1620/51 6.000 L (1.0) E406</v>
      </c>
      <c r="C1956" s="231" t="str">
        <f>VLOOKUP(A1956,Insumos!$A$10:$F$3462,3,FALSE)</f>
        <v>H</v>
      </c>
      <c r="D1956" s="232">
        <v>0.1</v>
      </c>
      <c r="E1956" s="329">
        <f>VLOOKUP(A1956,Insumos!$A$10:$F$3462,4,FALSE)</f>
        <v>129.35</v>
      </c>
      <c r="F1956" s="329">
        <f>ROUND((D1956*E1956),2)</f>
        <v>12.94</v>
      </c>
      <c r="G1956" s="355"/>
      <c r="H1956" s="129"/>
      <c r="I1956" s="88"/>
      <c r="J1956" s="88"/>
      <c r="K1956" s="88"/>
      <c r="O1956" s="220"/>
    </row>
    <row r="1957" spans="1:15" x14ac:dyDescent="0.25">
      <c r="A1957" s="376"/>
      <c r="B1957" s="99" t="s">
        <v>98</v>
      </c>
      <c r="C1957" s="96"/>
      <c r="D1957" s="110"/>
      <c r="E1957" s="329"/>
      <c r="F1957" s="329"/>
      <c r="G1957" s="355"/>
      <c r="H1957" s="129"/>
      <c r="I1957" s="88"/>
      <c r="J1957" s="88"/>
      <c r="K1957" s="88"/>
      <c r="O1957" s="220"/>
    </row>
    <row r="1958" spans="1:15" ht="15.75" thickBot="1" x14ac:dyDescent="0.3">
      <c r="A1958" s="376"/>
      <c r="B1958" s="115" t="s">
        <v>151</v>
      </c>
      <c r="C1958" s="116"/>
      <c r="D1958" s="117"/>
      <c r="E1958" s="361"/>
      <c r="F1958" s="361"/>
      <c r="G1958" s="362">
        <f>SUM(F1956:F1958)</f>
        <v>12.94</v>
      </c>
      <c r="H1958" s="129"/>
      <c r="I1958" s="88"/>
      <c r="J1958" s="88"/>
      <c r="K1958" s="88"/>
      <c r="O1958" s="220"/>
    </row>
    <row r="1959" spans="1:15" ht="15.75" thickBot="1" x14ac:dyDescent="0.3">
      <c r="A1959" s="376"/>
      <c r="B1959" s="1382"/>
      <c r="C1959" s="1382"/>
      <c r="D1959" s="1382"/>
      <c r="E1959" s="1382"/>
      <c r="F1959" s="1382"/>
      <c r="G1959" s="1382"/>
      <c r="H1959" s="129"/>
      <c r="I1959" s="88"/>
      <c r="J1959" s="88"/>
      <c r="K1959" s="88"/>
      <c r="O1959" s="220"/>
    </row>
    <row r="1960" spans="1:15" ht="15.75" thickBot="1" x14ac:dyDescent="0.3">
      <c r="A1960" s="376"/>
      <c r="B1960" s="119" t="s">
        <v>152</v>
      </c>
      <c r="C1960" s="254" t="s">
        <v>4415</v>
      </c>
      <c r="D1960" s="120" t="s">
        <v>154</v>
      </c>
      <c r="E1960" s="1381" t="s">
        <v>155</v>
      </c>
      <c r="F1960" s="1381"/>
      <c r="G1960" s="1381"/>
      <c r="H1960" s="129"/>
      <c r="I1960" s="88"/>
      <c r="J1960" s="88"/>
      <c r="K1960" s="88"/>
      <c r="O1960" s="220"/>
    </row>
    <row r="1961" spans="1:15" ht="15.75" thickBot="1" x14ac:dyDescent="0.3">
      <c r="A1961" s="376"/>
      <c r="B1961" s="121" t="s">
        <v>156</v>
      </c>
      <c r="C1961" s="257"/>
      <c r="D1961" s="369">
        <f>G1950</f>
        <v>17.190000000000001</v>
      </c>
      <c r="E1961" s="1381"/>
      <c r="F1961" s="1381"/>
      <c r="G1961" s="1381"/>
      <c r="H1961" s="129"/>
      <c r="I1961" s="88"/>
      <c r="J1961" s="88"/>
      <c r="K1961" s="88"/>
      <c r="O1961" s="220"/>
    </row>
    <row r="1962" spans="1:15" ht="15.75" thickBot="1" x14ac:dyDescent="0.3">
      <c r="A1962" s="376"/>
      <c r="B1962" s="121" t="s">
        <v>157</v>
      </c>
      <c r="C1962" s="257"/>
      <c r="D1962" s="369">
        <f>G1954</f>
        <v>457.48</v>
      </c>
      <c r="E1962" s="1381"/>
      <c r="F1962" s="1381"/>
      <c r="G1962" s="1381"/>
      <c r="H1962" s="129"/>
      <c r="I1962" s="88"/>
      <c r="J1962" s="88"/>
      <c r="K1962" s="88"/>
      <c r="O1962" s="220"/>
    </row>
    <row r="1963" spans="1:15" ht="15.75" thickBot="1" x14ac:dyDescent="0.3">
      <c r="A1963" s="376"/>
      <c r="B1963" s="121" t="s">
        <v>158</v>
      </c>
      <c r="C1963" s="257"/>
      <c r="D1963" s="369">
        <f>G1958</f>
        <v>12.94</v>
      </c>
      <c r="E1963" s="1381"/>
      <c r="F1963" s="1381"/>
      <c r="G1963" s="1381"/>
      <c r="H1963" s="129"/>
      <c r="I1963" s="88"/>
      <c r="J1963" s="88"/>
      <c r="K1963" s="88"/>
      <c r="O1963" s="220"/>
    </row>
    <row r="1964" spans="1:15" ht="15.75" thickBot="1" x14ac:dyDescent="0.3">
      <c r="A1964" s="376"/>
      <c r="B1964" s="121" t="s">
        <v>159</v>
      </c>
      <c r="C1964" s="258">
        <f>$J$5</f>
        <v>157.27000000000001</v>
      </c>
      <c r="D1964" s="369">
        <f>D1961*C1964/100</f>
        <v>27.03</v>
      </c>
      <c r="E1964" s="1381"/>
      <c r="F1964" s="1381"/>
      <c r="G1964" s="1381"/>
      <c r="H1964" s="129"/>
      <c r="I1964" s="88"/>
      <c r="J1964" s="88"/>
      <c r="K1964" s="88"/>
      <c r="O1964" s="220"/>
    </row>
    <row r="1965" spans="1:15" ht="15.75" thickBot="1" x14ac:dyDescent="0.3">
      <c r="A1965" s="376"/>
      <c r="B1965" s="121" t="s">
        <v>160</v>
      </c>
      <c r="C1965" s="259"/>
      <c r="D1965" s="370">
        <f>SUM(D1961:D1964)</f>
        <v>514.64</v>
      </c>
      <c r="E1965" s="1381"/>
      <c r="F1965" s="1381"/>
      <c r="G1965" s="1381"/>
      <c r="H1965" s="129"/>
      <c r="I1965" s="88"/>
      <c r="J1965" s="88"/>
      <c r="K1965" s="88"/>
      <c r="O1965" s="220"/>
    </row>
    <row r="1966" spans="1:15" ht="15.75" thickBot="1" x14ac:dyDescent="0.3">
      <c r="A1966" s="376"/>
      <c r="B1966" s="121" t="s">
        <v>161</v>
      </c>
      <c r="C1966" s="257"/>
      <c r="D1966" s="369" t="s">
        <v>162</v>
      </c>
      <c r="E1966" s="1382" t="s">
        <v>163</v>
      </c>
      <c r="F1966" s="1382"/>
      <c r="G1966" s="1382"/>
      <c r="H1966" s="129"/>
      <c r="I1966" s="88"/>
      <c r="J1966" s="88"/>
      <c r="K1966" s="88"/>
      <c r="O1966" s="220"/>
    </row>
    <row r="1967" spans="1:15" ht="15.75" thickBot="1" x14ac:dyDescent="0.3">
      <c r="A1967" s="376"/>
      <c r="B1967" s="122" t="s">
        <v>164</v>
      </c>
      <c r="C1967" s="261"/>
      <c r="D1967" s="334">
        <f>D1965</f>
        <v>514.64</v>
      </c>
      <c r="E1967" s="1382"/>
      <c r="F1967" s="1382"/>
      <c r="G1967" s="1382"/>
      <c r="H1967" s="129"/>
      <c r="I1967" s="88"/>
      <c r="J1967" s="88"/>
      <c r="K1967" s="88"/>
      <c r="O1967" s="220"/>
    </row>
    <row r="1968" spans="1:15" ht="15.75" thickBot="1" x14ac:dyDescent="0.3">
      <c r="A1968" s="376"/>
      <c r="B1968" s="124" t="s">
        <v>165</v>
      </c>
      <c r="C1968" s="263">
        <f>$I$5</f>
        <v>28.49</v>
      </c>
      <c r="D1968" s="335">
        <f>D1967*C1968/100</f>
        <v>146.62</v>
      </c>
      <c r="E1968" s="1382"/>
      <c r="F1968" s="1382"/>
      <c r="G1968" s="1382"/>
      <c r="H1968" s="129"/>
      <c r="I1968" s="88"/>
      <c r="J1968" s="88"/>
      <c r="K1968" s="88"/>
      <c r="O1968" s="220"/>
    </row>
    <row r="1969" spans="1:15" ht="15.75" thickBot="1" x14ac:dyDescent="0.3">
      <c r="A1969" s="376"/>
      <c r="B1969" s="126" t="s">
        <v>166</v>
      </c>
      <c r="C1969" s="265"/>
      <c r="D1969" s="336">
        <f>SUM(D1967:D1968)</f>
        <v>661.26</v>
      </c>
      <c r="E1969" s="128"/>
      <c r="F1969" s="337">
        <f>D1969</f>
        <v>661.26</v>
      </c>
      <c r="G1969" s="91"/>
      <c r="H1969" s="129"/>
      <c r="I1969" s="89"/>
      <c r="J1969" s="88"/>
      <c r="K1969" s="88"/>
      <c r="O1969" s="220"/>
    </row>
    <row r="1970" spans="1:15" x14ac:dyDescent="0.25">
      <c r="B1970" s="88"/>
      <c r="C1970" s="88"/>
      <c r="D1970" s="88"/>
      <c r="E1970" s="88"/>
      <c r="F1970" s="88"/>
      <c r="G1970" s="88"/>
      <c r="H1970" s="129"/>
      <c r="I1970" s="88"/>
      <c r="J1970" s="88"/>
      <c r="K1970" s="88"/>
      <c r="O1970" s="220"/>
    </row>
    <row r="1971" spans="1:15" ht="15.75" thickBot="1" x14ac:dyDescent="0.3">
      <c r="A1971" s="383"/>
      <c r="B1971" s="89"/>
      <c r="C1971" s="89"/>
      <c r="D1971" s="89"/>
      <c r="E1971" s="89"/>
      <c r="F1971" s="89"/>
      <c r="G1971" s="89"/>
      <c r="H1971" s="129"/>
      <c r="I1971" s="89"/>
      <c r="J1971" s="88"/>
      <c r="K1971" s="88"/>
      <c r="O1971" s="220"/>
    </row>
    <row r="1972" spans="1:15" x14ac:dyDescent="0.25">
      <c r="A1972" s="383"/>
      <c r="B1972" s="1383" t="s">
        <v>131</v>
      </c>
      <c r="C1972" s="1383"/>
      <c r="D1972" s="1383"/>
      <c r="E1972" s="1383"/>
      <c r="F1972" s="1383"/>
      <c r="G1972" s="1383"/>
      <c r="H1972" s="129"/>
      <c r="I1972" s="89"/>
      <c r="J1972" s="88"/>
      <c r="K1972" s="88"/>
      <c r="O1972" s="220"/>
    </row>
    <row r="1973" spans="1:15" ht="15.75" thickBot="1" x14ac:dyDescent="0.3">
      <c r="A1973" s="383"/>
      <c r="B1973" s="1384" t="str">
        <f>$I$3</f>
        <v>Urbanização da Orla de Piúma - Município de Piúma / ES</v>
      </c>
      <c r="C1973" s="1385"/>
      <c r="D1973" s="1385"/>
      <c r="E1973" s="1385"/>
      <c r="F1973" s="1385"/>
      <c r="G1973" s="1386"/>
      <c r="H1973" s="129"/>
      <c r="I1973" s="89"/>
      <c r="J1973" s="88"/>
      <c r="K1973" s="88"/>
      <c r="O1973" s="220"/>
    </row>
    <row r="1974" spans="1:15" ht="15.75" thickBot="1" x14ac:dyDescent="0.3">
      <c r="A1974" s="376"/>
      <c r="B1974" s="90" t="s">
        <v>132</v>
      </c>
      <c r="C1974" s="90" t="s">
        <v>133</v>
      </c>
      <c r="D1974" s="1381" t="s">
        <v>134</v>
      </c>
      <c r="E1974" s="1381"/>
      <c r="F1974" s="131" t="s">
        <v>275</v>
      </c>
      <c r="G1974" s="91" t="s">
        <v>135</v>
      </c>
      <c r="H1974" s="129"/>
      <c r="I1974" s="89"/>
      <c r="J1974" s="88"/>
      <c r="K1974" s="88"/>
      <c r="O1974" s="220"/>
    </row>
    <row r="1975" spans="1:15" s="159" customFormat="1" ht="15.75" thickBot="1" x14ac:dyDescent="0.3">
      <c r="A1975" s="376"/>
      <c r="B1975" s="132" t="s">
        <v>200</v>
      </c>
      <c r="C1975" s="92" t="s">
        <v>98</v>
      </c>
      <c r="D1975" s="1381" t="s">
        <v>8</v>
      </c>
      <c r="E1975" s="1381"/>
      <c r="F1975" s="144" t="s">
        <v>267</v>
      </c>
      <c r="G1975" s="38">
        <f>$K$5</f>
        <v>44501</v>
      </c>
      <c r="O1975" s="220"/>
    </row>
    <row r="1976" spans="1:15" ht="15.75" thickBot="1" x14ac:dyDescent="0.3">
      <c r="A1976" s="376"/>
      <c r="B1976" s="1382"/>
      <c r="C1976" s="1382"/>
      <c r="D1976" s="1382"/>
      <c r="E1976" s="1382"/>
      <c r="F1976" s="1382"/>
      <c r="G1976" s="1382"/>
      <c r="H1976" s="129"/>
      <c r="I1976" s="89"/>
      <c r="J1976" s="88"/>
      <c r="K1976" s="88"/>
      <c r="O1976" s="220"/>
    </row>
    <row r="1977" spans="1:15" x14ac:dyDescent="0.25">
      <c r="A1977" s="376"/>
      <c r="B1977" s="93" t="s">
        <v>139</v>
      </c>
      <c r="C1977" s="94" t="s">
        <v>140</v>
      </c>
      <c r="D1977" s="94" t="s">
        <v>141</v>
      </c>
      <c r="E1977" s="94" t="s">
        <v>142</v>
      </c>
      <c r="F1977" s="94" t="s">
        <v>143</v>
      </c>
      <c r="G1977" s="95" t="s">
        <v>144</v>
      </c>
      <c r="H1977" s="129"/>
      <c r="I1977" s="89"/>
      <c r="J1977" s="88"/>
      <c r="K1977" s="88"/>
      <c r="O1977" s="220"/>
    </row>
    <row r="1978" spans="1:15" x14ac:dyDescent="0.25">
      <c r="A1978" s="376">
        <v>10146</v>
      </c>
      <c r="B1978" s="230" t="str">
        <f>VLOOKUP(A1978,Insumos!$A$10:$F$3462,2,FALSE)</f>
        <v>SERVENTE (AUXILIAR DE OBRAS - SINDUSCON)</v>
      </c>
      <c r="C1978" s="231" t="str">
        <f>VLOOKUP(A1978,Insumos!$A$10:$F$3462,3,FALSE)</f>
        <v>H</v>
      </c>
      <c r="D1978" s="97">
        <v>0.5</v>
      </c>
      <c r="E1978" s="329">
        <f>VLOOKUP(A1978,Insumos!$A$10:$F$3462,4,FALSE)</f>
        <v>5.46</v>
      </c>
      <c r="F1978" s="329">
        <f>ROUND((D1978*E1978),2)</f>
        <v>2.73</v>
      </c>
      <c r="G1978" s="355"/>
      <c r="H1978" s="129"/>
      <c r="I1978" s="89"/>
      <c r="J1978" s="88"/>
      <c r="K1978" s="88"/>
      <c r="O1978" s="220"/>
    </row>
    <row r="1979" spans="1:15" x14ac:dyDescent="0.25">
      <c r="A1979" s="376">
        <v>10101</v>
      </c>
      <c r="B1979" s="230" t="str">
        <f>VLOOKUP(A1979,Insumos!$A$10:$F$3462,2,FALSE)</f>
        <v>AJUDANTE (AJUDANTE PRATICO - SINDUSCON)</v>
      </c>
      <c r="C1979" s="231" t="str">
        <f>VLOOKUP(A1979,Insumos!$A$10:$F$3462,3,FALSE)</f>
        <v>H</v>
      </c>
      <c r="D1979" s="97">
        <v>0.5</v>
      </c>
      <c r="E1979" s="329">
        <f>VLOOKUP(A1979,Insumos!$A$10:$F$3462,4,FALSE)</f>
        <v>6.27</v>
      </c>
      <c r="F1979" s="329">
        <f>ROUND((D1979*E1979),2)</f>
        <v>3.14</v>
      </c>
      <c r="G1979" s="355"/>
      <c r="H1979" s="129"/>
      <c r="I1979" s="89"/>
      <c r="J1979" s="88"/>
      <c r="K1979" s="88"/>
      <c r="O1979" s="220"/>
    </row>
    <row r="1980" spans="1:15" x14ac:dyDescent="0.25">
      <c r="A1980" s="376"/>
      <c r="B1980" s="99"/>
      <c r="C1980" s="96"/>
      <c r="D1980" s="100"/>
      <c r="E1980" s="329"/>
      <c r="F1980" s="329"/>
      <c r="G1980" s="355"/>
      <c r="H1980" s="129"/>
      <c r="I1980" s="89"/>
      <c r="J1980" s="88"/>
      <c r="K1980" s="88"/>
      <c r="O1980" s="220"/>
    </row>
    <row r="1981" spans="1:15" x14ac:dyDescent="0.25">
      <c r="A1981" s="376"/>
      <c r="B1981" s="101" t="s">
        <v>145</v>
      </c>
      <c r="C1981" s="102"/>
      <c r="D1981" s="103"/>
      <c r="E1981" s="329"/>
      <c r="F1981" s="353"/>
      <c r="G1981" s="338">
        <f>SUM(F1978:F1981)</f>
        <v>5.87</v>
      </c>
      <c r="H1981" s="129"/>
      <c r="I1981" s="89"/>
      <c r="J1981" s="88"/>
      <c r="K1981" s="88"/>
      <c r="O1981" s="220"/>
    </row>
    <row r="1982" spans="1:15" x14ac:dyDescent="0.25">
      <c r="A1982" s="376"/>
      <c r="B1982" s="99" t="s">
        <v>146</v>
      </c>
      <c r="C1982" s="106"/>
      <c r="D1982" s="107"/>
      <c r="E1982" s="96"/>
      <c r="F1982" s="108"/>
      <c r="G1982" s="109" t="s">
        <v>147</v>
      </c>
      <c r="H1982" s="129"/>
      <c r="I1982" s="89"/>
      <c r="J1982" s="88"/>
      <c r="K1982" s="88"/>
      <c r="O1982" s="220"/>
    </row>
    <row r="1983" spans="1:15" x14ac:dyDescent="0.25">
      <c r="A1983" s="376">
        <v>38639</v>
      </c>
      <c r="B1983" s="230" t="str">
        <f>VLOOKUP(A1983,Insumos!$A$10:$F$3462,2,FALSE)</f>
        <v xml:space="preserve"> MUDA DE ARBUSTO, BUXINHO, H= *50* M </v>
      </c>
      <c r="C1983" s="231" t="str">
        <f>VLOOKUP(A1983,Insumos!$A$10:$F$3462,3,FALSE)</f>
        <v>Und.</v>
      </c>
      <c r="D1983" s="97">
        <v>1</v>
      </c>
      <c r="E1983" s="329">
        <f>VLOOKUP(A1983,Insumos!$A$10:$F$3462,4,FALSE)</f>
        <v>148.27000000000001</v>
      </c>
      <c r="F1983" s="329">
        <f>ROUND((D1983*E1983),2)</f>
        <v>148.27000000000001</v>
      </c>
      <c r="G1983" s="355"/>
      <c r="H1983" s="129"/>
      <c r="I1983" s="89"/>
      <c r="J1983" s="88"/>
      <c r="K1983" s="88"/>
      <c r="O1983" s="220"/>
    </row>
    <row r="1984" spans="1:15" x14ac:dyDescent="0.25">
      <c r="A1984" s="376">
        <v>38511</v>
      </c>
      <c r="B1984" s="230" t="str">
        <f>VLOOKUP(A1984,Insumos!$A$10:$F$3462,2,FALSE)</f>
        <v>TERRA VEGETAL</v>
      </c>
      <c r="C1984" s="231" t="str">
        <f>VLOOKUP(A1984,Insumos!$A$10:$F$3462,3,FALSE)</f>
        <v>M3</v>
      </c>
      <c r="D1984" s="111">
        <v>0.05</v>
      </c>
      <c r="E1984" s="329">
        <f>VLOOKUP(A1984,Insumos!$A$10:$F$3462,4,FALSE)</f>
        <v>149.63</v>
      </c>
      <c r="F1984" s="329">
        <f>ROUND((D1984*E1984),2)</f>
        <v>7.48</v>
      </c>
      <c r="G1984" s="355"/>
      <c r="H1984" s="129"/>
      <c r="I1984" s="89"/>
      <c r="J1984" s="88"/>
      <c r="K1984" s="88"/>
      <c r="O1984" s="220"/>
    </row>
    <row r="1985" spans="1:15" x14ac:dyDescent="0.25">
      <c r="A1985" s="376"/>
      <c r="B1985" s="101" t="s">
        <v>148</v>
      </c>
      <c r="C1985" s="102"/>
      <c r="D1985" s="112"/>
      <c r="E1985" s="353"/>
      <c r="F1985" s="353"/>
      <c r="G1985" s="338">
        <f>SUM(F1983:F1985)</f>
        <v>155.75</v>
      </c>
      <c r="H1985" s="129"/>
      <c r="I1985" s="88"/>
      <c r="J1985" s="88"/>
      <c r="K1985" s="88"/>
      <c r="O1985" s="220"/>
    </row>
    <row r="1986" spans="1:15" x14ac:dyDescent="0.25">
      <c r="A1986" s="376"/>
      <c r="B1986" s="99" t="s">
        <v>149</v>
      </c>
      <c r="C1986" s="106"/>
      <c r="D1986" s="114"/>
      <c r="E1986" s="106"/>
      <c r="F1986" s="106"/>
      <c r="G1986" s="109" t="s">
        <v>150</v>
      </c>
      <c r="H1986" s="129"/>
      <c r="I1986" s="88"/>
      <c r="J1986" s="88"/>
      <c r="K1986" s="88"/>
      <c r="O1986" s="220"/>
    </row>
    <row r="1987" spans="1:15" x14ac:dyDescent="0.25">
      <c r="A1987" s="376"/>
      <c r="B1987" s="99" t="s">
        <v>98</v>
      </c>
      <c r="C1987" s="96"/>
      <c r="D1987" s="110"/>
      <c r="E1987" s="96"/>
      <c r="F1987" s="96"/>
      <c r="G1987" s="98"/>
      <c r="H1987" s="129"/>
      <c r="I1987" s="88"/>
      <c r="J1987" s="88"/>
      <c r="K1987" s="88"/>
      <c r="O1987" s="220"/>
    </row>
    <row r="1988" spans="1:15" x14ac:dyDescent="0.25">
      <c r="A1988" s="376"/>
      <c r="B1988" s="99" t="s">
        <v>98</v>
      </c>
      <c r="C1988" s="96"/>
      <c r="D1988" s="110"/>
      <c r="E1988" s="96"/>
      <c r="F1988" s="96"/>
      <c r="G1988" s="98"/>
      <c r="H1988" s="129"/>
      <c r="I1988" s="88"/>
      <c r="J1988" s="88"/>
      <c r="K1988" s="88"/>
      <c r="O1988" s="220"/>
    </row>
    <row r="1989" spans="1:15" ht="15.75" thickBot="1" x14ac:dyDescent="0.3">
      <c r="A1989" s="376"/>
      <c r="B1989" s="115" t="s">
        <v>151</v>
      </c>
      <c r="C1989" s="116"/>
      <c r="D1989" s="117"/>
      <c r="E1989" s="116"/>
      <c r="F1989" s="116"/>
      <c r="G1989" s="118">
        <v>0</v>
      </c>
      <c r="H1989" s="129"/>
      <c r="I1989" s="88"/>
      <c r="J1989" s="88"/>
      <c r="K1989" s="88"/>
      <c r="O1989" s="220"/>
    </row>
    <row r="1990" spans="1:15" ht="15.75" thickBot="1" x14ac:dyDescent="0.3">
      <c r="A1990" s="376"/>
      <c r="B1990" s="1382"/>
      <c r="C1990" s="1382"/>
      <c r="D1990" s="1382"/>
      <c r="E1990" s="1382"/>
      <c r="F1990" s="1382"/>
      <c r="G1990" s="1382"/>
      <c r="H1990" s="129"/>
      <c r="I1990" s="88"/>
      <c r="J1990" s="88"/>
      <c r="K1990" s="88"/>
      <c r="O1990" s="220"/>
    </row>
    <row r="1991" spans="1:15" ht="15.75" thickBot="1" x14ac:dyDescent="0.3">
      <c r="A1991" s="376"/>
      <c r="B1991" s="119" t="s">
        <v>152</v>
      </c>
      <c r="C1991" s="254" t="s">
        <v>4415</v>
      </c>
      <c r="D1991" s="120" t="s">
        <v>154</v>
      </c>
      <c r="E1991" s="1381" t="s">
        <v>155</v>
      </c>
      <c r="F1991" s="1381"/>
      <c r="G1991" s="1381"/>
      <c r="H1991" s="129"/>
      <c r="I1991" s="88"/>
      <c r="J1991" s="88"/>
      <c r="K1991" s="88"/>
      <c r="O1991" s="220"/>
    </row>
    <row r="1992" spans="1:15" ht="15.75" thickBot="1" x14ac:dyDescent="0.3">
      <c r="A1992" s="376"/>
      <c r="B1992" s="121" t="s">
        <v>156</v>
      </c>
      <c r="C1992" s="257"/>
      <c r="D1992" s="369">
        <f>G1981</f>
        <v>5.87</v>
      </c>
      <c r="E1992" s="1381"/>
      <c r="F1992" s="1381"/>
      <c r="G1992" s="1381"/>
      <c r="H1992" s="129"/>
      <c r="I1992" s="88"/>
      <c r="J1992" s="88"/>
      <c r="K1992" s="88"/>
      <c r="O1992" s="220"/>
    </row>
    <row r="1993" spans="1:15" ht="15.75" thickBot="1" x14ac:dyDescent="0.3">
      <c r="A1993" s="376"/>
      <c r="B1993" s="121" t="s">
        <v>157</v>
      </c>
      <c r="C1993" s="257"/>
      <c r="D1993" s="369">
        <f>G1985</f>
        <v>155.75</v>
      </c>
      <c r="E1993" s="1381"/>
      <c r="F1993" s="1381"/>
      <c r="G1993" s="1381"/>
      <c r="H1993" s="129"/>
      <c r="I1993" s="88"/>
      <c r="J1993" s="88"/>
      <c r="K1993" s="88"/>
      <c r="O1993" s="220"/>
    </row>
    <row r="1994" spans="1:15" ht="15.75" thickBot="1" x14ac:dyDescent="0.3">
      <c r="A1994" s="376"/>
      <c r="B1994" s="121" t="s">
        <v>158</v>
      </c>
      <c r="C1994" s="257"/>
      <c r="D1994" s="369">
        <v>0</v>
      </c>
      <c r="E1994" s="1381"/>
      <c r="F1994" s="1381"/>
      <c r="G1994" s="1381"/>
      <c r="H1994" s="129"/>
      <c r="I1994" s="88"/>
      <c r="J1994" s="88"/>
      <c r="K1994" s="88"/>
      <c r="O1994" s="220"/>
    </row>
    <row r="1995" spans="1:15" ht="15.75" thickBot="1" x14ac:dyDescent="0.3">
      <c r="A1995" s="376"/>
      <c r="B1995" s="121" t="s">
        <v>159</v>
      </c>
      <c r="C1995" s="258">
        <f>$J$5</f>
        <v>157.27000000000001</v>
      </c>
      <c r="D1995" s="369">
        <f>D1992*C1995/100</f>
        <v>9.23</v>
      </c>
      <c r="E1995" s="1381"/>
      <c r="F1995" s="1381"/>
      <c r="G1995" s="1381"/>
      <c r="H1995" s="129"/>
      <c r="I1995" s="88"/>
      <c r="J1995" s="88"/>
      <c r="K1995" s="88"/>
      <c r="O1995" s="220"/>
    </row>
    <row r="1996" spans="1:15" ht="15.75" thickBot="1" x14ac:dyDescent="0.3">
      <c r="A1996" s="376"/>
      <c r="B1996" s="121" t="s">
        <v>160</v>
      </c>
      <c r="C1996" s="259"/>
      <c r="D1996" s="370">
        <f>SUM(D1992:D1995)</f>
        <v>170.85</v>
      </c>
      <c r="E1996" s="1381"/>
      <c r="F1996" s="1381"/>
      <c r="G1996" s="1381"/>
      <c r="H1996" s="129"/>
      <c r="I1996" s="88"/>
      <c r="J1996" s="88"/>
      <c r="K1996" s="88"/>
      <c r="O1996" s="220"/>
    </row>
    <row r="1997" spans="1:15" ht="15.75" thickBot="1" x14ac:dyDescent="0.3">
      <c r="A1997" s="376"/>
      <c r="B1997" s="121" t="s">
        <v>161</v>
      </c>
      <c r="C1997" s="257"/>
      <c r="D1997" s="369" t="s">
        <v>162</v>
      </c>
      <c r="E1997" s="1382" t="s">
        <v>163</v>
      </c>
      <c r="F1997" s="1382"/>
      <c r="G1997" s="1382"/>
      <c r="H1997" s="129"/>
      <c r="I1997" s="88"/>
      <c r="J1997" s="88"/>
      <c r="K1997" s="88"/>
      <c r="O1997" s="220"/>
    </row>
    <row r="1998" spans="1:15" ht="15.75" thickBot="1" x14ac:dyDescent="0.3">
      <c r="A1998" s="376"/>
      <c r="B1998" s="122" t="s">
        <v>164</v>
      </c>
      <c r="C1998" s="261"/>
      <c r="D1998" s="334">
        <f>D1996</f>
        <v>170.85</v>
      </c>
      <c r="E1998" s="1382"/>
      <c r="F1998" s="1382"/>
      <c r="G1998" s="1382"/>
      <c r="H1998" s="129"/>
      <c r="I1998" s="88"/>
      <c r="J1998" s="88"/>
      <c r="K1998" s="88"/>
      <c r="O1998" s="220"/>
    </row>
    <row r="1999" spans="1:15" ht="15.75" thickBot="1" x14ac:dyDescent="0.3">
      <c r="A1999" s="376"/>
      <c r="B1999" s="124" t="s">
        <v>165</v>
      </c>
      <c r="C1999" s="263">
        <f>$I$5</f>
        <v>28.49</v>
      </c>
      <c r="D1999" s="335">
        <f>D1998*C1999/100</f>
        <v>48.68</v>
      </c>
      <c r="E1999" s="1382"/>
      <c r="F1999" s="1382"/>
      <c r="G1999" s="1382"/>
      <c r="H1999" s="129"/>
      <c r="I1999" s="88"/>
      <c r="J1999" s="88"/>
      <c r="K1999" s="88"/>
      <c r="O1999" s="220"/>
    </row>
    <row r="2000" spans="1:15" ht="15.75" thickBot="1" x14ac:dyDescent="0.3">
      <c r="A2000" s="376"/>
      <c r="B2000" s="126" t="s">
        <v>166</v>
      </c>
      <c r="C2000" s="265"/>
      <c r="D2000" s="336">
        <f>SUM(D1998:D1999)</f>
        <v>219.53</v>
      </c>
      <c r="E2000" s="128"/>
      <c r="F2000" s="337">
        <f>D2000</f>
        <v>219.53</v>
      </c>
      <c r="G2000" s="91"/>
      <c r="H2000" s="129"/>
      <c r="I2000" s="88"/>
      <c r="J2000" s="88"/>
      <c r="K2000" s="88"/>
      <c r="O2000" s="220"/>
    </row>
    <row r="2001" spans="1:15" x14ac:dyDescent="0.25">
      <c r="B2001" s="88"/>
      <c r="C2001" s="88"/>
      <c r="D2001" s="88"/>
      <c r="E2001" s="88"/>
      <c r="F2001" s="88"/>
      <c r="G2001" s="88"/>
      <c r="H2001" s="129"/>
      <c r="I2001" s="88"/>
      <c r="J2001" s="88"/>
      <c r="K2001" s="88"/>
      <c r="O2001" s="220"/>
    </row>
    <row r="2002" spans="1:15" ht="15.75" thickBot="1" x14ac:dyDescent="0.3">
      <c r="O2002" s="220"/>
    </row>
    <row r="2003" spans="1:15" x14ac:dyDescent="0.25">
      <c r="A2003" s="383"/>
      <c r="B2003" s="1383" t="s">
        <v>131</v>
      </c>
      <c r="C2003" s="1383"/>
      <c r="D2003" s="1383"/>
      <c r="E2003" s="1383"/>
      <c r="F2003" s="1383"/>
      <c r="G2003" s="1383"/>
      <c r="H2003" s="220"/>
      <c r="O2003" s="220"/>
    </row>
    <row r="2004" spans="1:15" ht="15.75" thickBot="1" x14ac:dyDescent="0.3">
      <c r="A2004" s="383"/>
      <c r="B2004" s="1384" t="str">
        <f>$I$3</f>
        <v>Urbanização da Orla de Piúma - Município de Piúma / ES</v>
      </c>
      <c r="C2004" s="1385"/>
      <c r="D2004" s="1385"/>
      <c r="E2004" s="1385"/>
      <c r="F2004" s="1385"/>
      <c r="G2004" s="1386"/>
      <c r="H2004" s="220"/>
      <c r="O2004" s="220"/>
    </row>
    <row r="2005" spans="1:15" ht="15.75" thickBot="1" x14ac:dyDescent="0.3">
      <c r="A2005" s="376"/>
      <c r="B2005" s="223" t="s">
        <v>132</v>
      </c>
      <c r="C2005" s="223" t="s">
        <v>133</v>
      </c>
      <c r="D2005" s="1381" t="s">
        <v>134</v>
      </c>
      <c r="E2005" s="1381"/>
      <c r="F2005" s="224" t="s">
        <v>275</v>
      </c>
      <c r="G2005" s="224" t="s">
        <v>135</v>
      </c>
      <c r="H2005" s="220"/>
      <c r="O2005" s="220"/>
    </row>
    <row r="2006" spans="1:15" ht="39.75" thickBot="1" x14ac:dyDescent="0.3">
      <c r="A2006" s="376"/>
      <c r="B2006" s="225" t="s">
        <v>382</v>
      </c>
      <c r="C2006" s="226" t="s">
        <v>98</v>
      </c>
      <c r="D2006" s="1381" t="s">
        <v>8</v>
      </c>
      <c r="E2006" s="1381"/>
      <c r="F2006" s="267" t="s">
        <v>384</v>
      </c>
      <c r="G2006" s="38">
        <f>$K$5</f>
        <v>44501</v>
      </c>
      <c r="H2006" s="220"/>
      <c r="O2006" s="220"/>
    </row>
    <row r="2007" spans="1:15" ht="15.75" thickBot="1" x14ac:dyDescent="0.3">
      <c r="A2007" s="376"/>
      <c r="B2007" s="1382"/>
      <c r="C2007" s="1382"/>
      <c r="D2007" s="1382"/>
      <c r="E2007" s="1382"/>
      <c r="F2007" s="1382"/>
      <c r="G2007" s="1382"/>
      <c r="H2007" s="220"/>
      <c r="O2007" s="220"/>
    </row>
    <row r="2008" spans="1:15" x14ac:dyDescent="0.25">
      <c r="A2008" s="376"/>
      <c r="B2008" s="227" t="s">
        <v>139</v>
      </c>
      <c r="C2008" s="228" t="s">
        <v>140</v>
      </c>
      <c r="D2008" s="228" t="s">
        <v>141</v>
      </c>
      <c r="E2008" s="228" t="s">
        <v>142</v>
      </c>
      <c r="F2008" s="228" t="s">
        <v>143</v>
      </c>
      <c r="G2008" s="229" t="s">
        <v>144</v>
      </c>
      <c r="H2008" s="220"/>
      <c r="O2008" s="220"/>
    </row>
    <row r="2009" spans="1:15" x14ac:dyDescent="0.25">
      <c r="A2009" s="376">
        <v>10146</v>
      </c>
      <c r="B2009" s="230" t="str">
        <f>VLOOKUP(A2009,Insumos!$A$10:$F$3462,2,FALSE)</f>
        <v>SERVENTE (AUXILIAR DE OBRAS - SINDUSCON)</v>
      </c>
      <c r="C2009" s="231" t="str">
        <f>VLOOKUP(A2009,Insumos!$A$10:$F$3462,3,FALSE)</f>
        <v>H</v>
      </c>
      <c r="D2009" s="232">
        <v>1</v>
      </c>
      <c r="E2009" s="329">
        <f>VLOOKUP(A2009,Insumos!$A$10:$F$3462,4,FALSE)</f>
        <v>5.46</v>
      </c>
      <c r="F2009" s="329">
        <f>ROUND((D2009*E2009),2)</f>
        <v>5.46</v>
      </c>
      <c r="G2009" s="355"/>
      <c r="H2009" s="220"/>
      <c r="O2009" s="220"/>
    </row>
    <row r="2010" spans="1:15" x14ac:dyDescent="0.25">
      <c r="A2010" s="376">
        <v>10101</v>
      </c>
      <c r="B2010" s="230" t="str">
        <f>VLOOKUP(A2010,Insumos!$A$10:$F$3462,2,FALSE)</f>
        <v>AJUDANTE (AJUDANTE PRATICO - SINDUSCON)</v>
      </c>
      <c r="C2010" s="231" t="str">
        <f>VLOOKUP(A2010,Insumos!$A$10:$F$3462,3,FALSE)</f>
        <v>H</v>
      </c>
      <c r="D2010" s="232">
        <v>0.5</v>
      </c>
      <c r="E2010" s="329">
        <f>VLOOKUP(A2010,Insumos!$A$10:$F$3462,4,FALSE)</f>
        <v>6.27</v>
      </c>
      <c r="F2010" s="329">
        <f>ROUND((D2010*E2010),2)</f>
        <v>3.14</v>
      </c>
      <c r="G2010" s="355"/>
      <c r="H2010" s="220"/>
      <c r="O2010" s="220"/>
    </row>
    <row r="2011" spans="1:15" x14ac:dyDescent="0.25">
      <c r="A2011" s="376"/>
      <c r="B2011" s="234"/>
      <c r="C2011" s="231"/>
      <c r="D2011" s="235"/>
      <c r="E2011" s="329"/>
      <c r="F2011" s="329"/>
      <c r="G2011" s="355"/>
      <c r="H2011" s="220"/>
      <c r="O2011" s="220"/>
    </row>
    <row r="2012" spans="1:15" x14ac:dyDescent="0.25">
      <c r="A2012" s="376"/>
      <c r="B2012" s="236" t="s">
        <v>145</v>
      </c>
      <c r="C2012" s="237"/>
      <c r="D2012" s="238"/>
      <c r="E2012" s="329"/>
      <c r="F2012" s="353"/>
      <c r="G2012" s="338">
        <f>F2009</f>
        <v>5.46</v>
      </c>
      <c r="H2012" s="220"/>
      <c r="O2012" s="220"/>
    </row>
    <row r="2013" spans="1:15" x14ac:dyDescent="0.25">
      <c r="A2013" s="376"/>
      <c r="B2013" s="234" t="s">
        <v>146</v>
      </c>
      <c r="C2013" s="241"/>
      <c r="D2013" s="242"/>
      <c r="E2013" s="231"/>
      <c r="F2013" s="243"/>
      <c r="G2013" s="244" t="s">
        <v>147</v>
      </c>
      <c r="H2013" s="220"/>
      <c r="O2013" s="220"/>
    </row>
    <row r="2014" spans="1:15" ht="39" x14ac:dyDescent="0.25">
      <c r="A2014" s="376">
        <v>359</v>
      </c>
      <c r="B2014" s="230" t="str">
        <f>VLOOKUP(A2014,Insumos!$A$10:$F$3462,2,FALSE)</f>
        <v xml:space="preserve"> MUDA DE ARVORE ORNAMENTAL, OITI/AROEIRA SALSA/ANGICO/IPE/JACARANDA OU EQUIVALENTE DA REGIAO, H= *2* M</v>
      </c>
      <c r="C2014" s="231" t="str">
        <f>VLOOKUP(A2014,Insumos!$A$10:$F$3462,3,FALSE)</f>
        <v>Und.</v>
      </c>
      <c r="D2014" s="232">
        <v>1</v>
      </c>
      <c r="E2014" s="329">
        <f>VLOOKUP(A2014,Insumos!$A$10:$F$3462,4,FALSE)</f>
        <v>93.9</v>
      </c>
      <c r="F2014" s="329">
        <f>ROUND((D2014*E2014),2)</f>
        <v>93.9</v>
      </c>
      <c r="G2014" s="355"/>
      <c r="H2014" s="220"/>
      <c r="O2014" s="220"/>
    </row>
    <row r="2015" spans="1:15" x14ac:dyDescent="0.25">
      <c r="A2015" s="376"/>
      <c r="B2015" s="234"/>
      <c r="C2015" s="231"/>
      <c r="D2015" s="245"/>
      <c r="E2015" s="329"/>
      <c r="F2015" s="329"/>
      <c r="G2015" s="355"/>
      <c r="H2015" s="220"/>
      <c r="O2015" s="220"/>
    </row>
    <row r="2016" spans="1:15" x14ac:dyDescent="0.25">
      <c r="A2016" s="376"/>
      <c r="B2016" s="236" t="s">
        <v>148</v>
      </c>
      <c r="C2016" s="237"/>
      <c r="D2016" s="246"/>
      <c r="E2016" s="353"/>
      <c r="F2016" s="353"/>
      <c r="G2016" s="338">
        <f>F2014</f>
        <v>93.9</v>
      </c>
      <c r="H2016" s="220"/>
      <c r="O2016" s="220"/>
    </row>
    <row r="2017" spans="1:15" x14ac:dyDescent="0.25">
      <c r="A2017" s="376"/>
      <c r="B2017" s="234" t="s">
        <v>149</v>
      </c>
      <c r="C2017" s="241"/>
      <c r="D2017" s="248"/>
      <c r="E2017" s="241"/>
      <c r="F2017" s="241"/>
      <c r="G2017" s="244" t="s">
        <v>150</v>
      </c>
      <c r="H2017" s="220"/>
      <c r="O2017" s="220"/>
    </row>
    <row r="2018" spans="1:15" x14ac:dyDescent="0.25">
      <c r="A2018" s="383">
        <v>80178</v>
      </c>
      <c r="B2018" s="230" t="str">
        <f>VLOOKUP(A2018,Insumos!$A$10:$F$3462,2,FALSE)</f>
        <v>CAMINHAO TANQUE MB L1620/51 6.000 L (1.0) E406</v>
      </c>
      <c r="C2018" s="231" t="str">
        <f>VLOOKUP(A2018,Insumos!$A$10:$F$3462,3,FALSE)</f>
        <v>H</v>
      </c>
      <c r="D2018" s="232">
        <v>0.1</v>
      </c>
      <c r="E2018" s="329">
        <f>VLOOKUP(A2018,Insumos!$A$10:$F$3462,4,FALSE)</f>
        <v>129.35</v>
      </c>
      <c r="F2018" s="329">
        <f>ROUND((D2018*E2018),2)</f>
        <v>12.94</v>
      </c>
      <c r="G2018" s="355"/>
      <c r="H2018" s="220"/>
      <c r="O2018" s="220"/>
    </row>
    <row r="2019" spans="1:15" x14ac:dyDescent="0.25">
      <c r="A2019" s="376"/>
      <c r="B2019" s="234"/>
      <c r="C2019" s="231"/>
      <c r="D2019" s="245"/>
      <c r="E2019" s="329"/>
      <c r="F2019" s="329"/>
      <c r="G2019" s="355"/>
      <c r="H2019" s="220"/>
      <c r="O2019" s="220"/>
    </row>
    <row r="2020" spans="1:15" ht="15.75" thickBot="1" x14ac:dyDescent="0.3">
      <c r="A2020" s="376"/>
      <c r="B2020" s="249" t="s">
        <v>151</v>
      </c>
      <c r="C2020" s="250"/>
      <c r="D2020" s="251"/>
      <c r="E2020" s="361"/>
      <c r="F2020" s="361"/>
      <c r="G2020" s="362">
        <f>F2018</f>
        <v>12.94</v>
      </c>
      <c r="H2020" s="220"/>
      <c r="O2020" s="220"/>
    </row>
    <row r="2021" spans="1:15" ht="15.75" thickBot="1" x14ac:dyDescent="0.3">
      <c r="A2021" s="376"/>
      <c r="B2021" s="1382"/>
      <c r="C2021" s="1382"/>
      <c r="D2021" s="1382"/>
      <c r="E2021" s="1382"/>
      <c r="F2021" s="1382"/>
      <c r="G2021" s="1382"/>
      <c r="H2021" s="220"/>
      <c r="O2021" s="220"/>
    </row>
    <row r="2022" spans="1:15" ht="15.75" thickBot="1" x14ac:dyDescent="0.3">
      <c r="A2022" s="376"/>
      <c r="B2022" s="253" t="s">
        <v>152</v>
      </c>
      <c r="C2022" s="254" t="s">
        <v>4415</v>
      </c>
      <c r="D2022" s="255" t="s">
        <v>154</v>
      </c>
      <c r="E2022" s="1381" t="s">
        <v>155</v>
      </c>
      <c r="F2022" s="1381"/>
      <c r="G2022" s="1381"/>
      <c r="H2022" s="220"/>
      <c r="O2022" s="220"/>
    </row>
    <row r="2023" spans="1:15" ht="15.75" thickBot="1" x14ac:dyDescent="0.3">
      <c r="A2023" s="376"/>
      <c r="B2023" s="256" t="s">
        <v>156</v>
      </c>
      <c r="C2023" s="257"/>
      <c r="D2023" s="369">
        <f>G2012</f>
        <v>5.46</v>
      </c>
      <c r="E2023" s="1381"/>
      <c r="F2023" s="1381"/>
      <c r="G2023" s="1381"/>
      <c r="H2023" s="220"/>
      <c r="O2023" s="220"/>
    </row>
    <row r="2024" spans="1:15" ht="15.75" thickBot="1" x14ac:dyDescent="0.3">
      <c r="A2024" s="376"/>
      <c r="B2024" s="256" t="s">
        <v>157</v>
      </c>
      <c r="C2024" s="257"/>
      <c r="D2024" s="369">
        <f>G2016</f>
        <v>93.9</v>
      </c>
      <c r="E2024" s="1381"/>
      <c r="F2024" s="1381"/>
      <c r="G2024" s="1381"/>
      <c r="H2024" s="220"/>
      <c r="O2024" s="220"/>
    </row>
    <row r="2025" spans="1:15" ht="15.75" thickBot="1" x14ac:dyDescent="0.3">
      <c r="A2025" s="376"/>
      <c r="B2025" s="256" t="s">
        <v>158</v>
      </c>
      <c r="C2025" s="257"/>
      <c r="D2025" s="369">
        <f>G2020</f>
        <v>12.94</v>
      </c>
      <c r="E2025" s="1381"/>
      <c r="F2025" s="1381"/>
      <c r="G2025" s="1381"/>
      <c r="H2025" s="220"/>
      <c r="O2025" s="220"/>
    </row>
    <row r="2026" spans="1:15" ht="15.75" thickBot="1" x14ac:dyDescent="0.3">
      <c r="A2026" s="376"/>
      <c r="B2026" s="256" t="s">
        <v>159</v>
      </c>
      <c r="C2026" s="258">
        <f>$J$5</f>
        <v>157.27000000000001</v>
      </c>
      <c r="D2026" s="369">
        <f>D2023*C2026/100</f>
        <v>8.59</v>
      </c>
      <c r="E2026" s="1381"/>
      <c r="F2026" s="1381"/>
      <c r="G2026" s="1381"/>
      <c r="H2026" s="220"/>
      <c r="O2026" s="220"/>
    </row>
    <row r="2027" spans="1:15" ht="15.75" thickBot="1" x14ac:dyDescent="0.3">
      <c r="A2027" s="376"/>
      <c r="B2027" s="256" t="s">
        <v>160</v>
      </c>
      <c r="C2027" s="259"/>
      <c r="D2027" s="370">
        <f>SUM(D2023:D2026)</f>
        <v>120.89</v>
      </c>
      <c r="E2027" s="1381"/>
      <c r="F2027" s="1381"/>
      <c r="G2027" s="1381"/>
      <c r="H2027" s="220"/>
      <c r="O2027" s="220"/>
    </row>
    <row r="2028" spans="1:15" ht="15.75" thickBot="1" x14ac:dyDescent="0.3">
      <c r="A2028" s="376"/>
      <c r="B2028" s="256" t="s">
        <v>161</v>
      </c>
      <c r="C2028" s="257"/>
      <c r="D2028" s="369" t="s">
        <v>162</v>
      </c>
      <c r="E2028" s="1382" t="s">
        <v>163</v>
      </c>
      <c r="F2028" s="1382"/>
      <c r="G2028" s="1382"/>
      <c r="H2028" s="220"/>
      <c r="O2028" s="220"/>
    </row>
    <row r="2029" spans="1:15" ht="15.75" thickBot="1" x14ac:dyDescent="0.3">
      <c r="A2029" s="376"/>
      <c r="B2029" s="260" t="s">
        <v>164</v>
      </c>
      <c r="C2029" s="261"/>
      <c r="D2029" s="334">
        <f>D2027</f>
        <v>120.89</v>
      </c>
      <c r="E2029" s="1382"/>
      <c r="F2029" s="1382"/>
      <c r="G2029" s="1382"/>
      <c r="H2029" s="220"/>
      <c r="O2029" s="220"/>
    </row>
    <row r="2030" spans="1:15" ht="15.75" thickBot="1" x14ac:dyDescent="0.3">
      <c r="A2030" s="376"/>
      <c r="B2030" s="262" t="s">
        <v>165</v>
      </c>
      <c r="C2030" s="263">
        <f>$I$5</f>
        <v>28.49</v>
      </c>
      <c r="D2030" s="335">
        <f>D2029*C2030/100</f>
        <v>34.44</v>
      </c>
      <c r="E2030" s="1382"/>
      <c r="F2030" s="1382"/>
      <c r="G2030" s="1382"/>
      <c r="H2030" s="220"/>
      <c r="O2030" s="220"/>
    </row>
    <row r="2031" spans="1:15" ht="15.75" thickBot="1" x14ac:dyDescent="0.3">
      <c r="A2031" s="376"/>
      <c r="B2031" s="264" t="s">
        <v>166</v>
      </c>
      <c r="C2031" s="265"/>
      <c r="D2031" s="336">
        <f>SUM(D2029:D2030)</f>
        <v>155.33000000000001</v>
      </c>
      <c r="E2031" s="266"/>
      <c r="F2031" s="337">
        <f>D2031</f>
        <v>155.33000000000001</v>
      </c>
      <c r="G2031" s="224"/>
      <c r="H2031" s="220"/>
      <c r="O2031" s="220"/>
    </row>
    <row r="2032" spans="1:15" x14ac:dyDescent="0.25">
      <c r="O2032" s="220"/>
    </row>
    <row r="2033" spans="1:15" ht="15.75" thickBot="1" x14ac:dyDescent="0.3">
      <c r="O2033" s="220"/>
    </row>
    <row r="2034" spans="1:15" s="220" customFormat="1" x14ac:dyDescent="0.25">
      <c r="A2034" s="383"/>
      <c r="B2034" s="1383" t="s">
        <v>131</v>
      </c>
      <c r="C2034" s="1383"/>
      <c r="D2034" s="1383"/>
      <c r="E2034" s="1383"/>
      <c r="F2034" s="1383"/>
      <c r="G2034" s="1383"/>
    </row>
    <row r="2035" spans="1:15" s="220" customFormat="1" ht="15.75" thickBot="1" x14ac:dyDescent="0.3">
      <c r="A2035" s="383"/>
      <c r="B2035" s="1384" t="str">
        <f>$I$3</f>
        <v>Urbanização da Orla de Piúma - Município de Piúma / ES</v>
      </c>
      <c r="C2035" s="1385"/>
      <c r="D2035" s="1385"/>
      <c r="E2035" s="1385"/>
      <c r="F2035" s="1385"/>
      <c r="G2035" s="1386"/>
    </row>
    <row r="2036" spans="1:15" s="220" customFormat="1" ht="15.75" thickBot="1" x14ac:dyDescent="0.3">
      <c r="A2036" s="376"/>
      <c r="B2036" s="223" t="s">
        <v>132</v>
      </c>
      <c r="C2036" s="223" t="s">
        <v>133</v>
      </c>
      <c r="D2036" s="1381" t="s">
        <v>134</v>
      </c>
      <c r="E2036" s="1381"/>
      <c r="F2036" s="224" t="s">
        <v>275</v>
      </c>
      <c r="G2036" s="224" t="s">
        <v>135</v>
      </c>
    </row>
    <row r="2037" spans="1:15" s="220" customFormat="1" ht="27" thickBot="1" x14ac:dyDescent="0.3">
      <c r="A2037" s="376"/>
      <c r="B2037" s="225" t="s">
        <v>365</v>
      </c>
      <c r="C2037" s="226" t="s">
        <v>98</v>
      </c>
      <c r="D2037" s="1381" t="s">
        <v>8</v>
      </c>
      <c r="E2037" s="1381"/>
      <c r="F2037" s="267" t="s">
        <v>479</v>
      </c>
      <c r="G2037" s="38">
        <f>$K$5</f>
        <v>44501</v>
      </c>
    </row>
    <row r="2038" spans="1:15" s="220" customFormat="1" ht="15.75" thickBot="1" x14ac:dyDescent="0.3">
      <c r="A2038" s="376"/>
      <c r="B2038" s="1382"/>
      <c r="C2038" s="1382"/>
      <c r="D2038" s="1382"/>
      <c r="E2038" s="1382"/>
      <c r="F2038" s="1382"/>
      <c r="G2038" s="1382"/>
    </row>
    <row r="2039" spans="1:15" s="220" customFormat="1" x14ac:dyDescent="0.25">
      <c r="A2039" s="376"/>
      <c r="B2039" s="227" t="s">
        <v>139</v>
      </c>
      <c r="C2039" s="228" t="s">
        <v>140</v>
      </c>
      <c r="D2039" s="228" t="s">
        <v>141</v>
      </c>
      <c r="E2039" s="228" t="s">
        <v>142</v>
      </c>
      <c r="F2039" s="228" t="s">
        <v>143</v>
      </c>
      <c r="G2039" s="229" t="s">
        <v>144</v>
      </c>
    </row>
    <row r="2040" spans="1:15" s="220" customFormat="1" x14ac:dyDescent="0.25">
      <c r="A2040" s="376">
        <v>10101</v>
      </c>
      <c r="B2040" s="230" t="str">
        <f>VLOOKUP(A2040,Insumos!$A$10:$F$3462,2,FALSE)</f>
        <v>AJUDANTE (AJUDANTE PRATICO - SINDUSCON)</v>
      </c>
      <c r="C2040" s="231" t="str">
        <f>VLOOKUP(A2040,Insumos!$A$10:$F$3462,3,FALSE)</f>
        <v>H</v>
      </c>
      <c r="D2040" s="232">
        <v>22.09</v>
      </c>
      <c r="E2040" s="329">
        <f>VLOOKUP(A2040,Insumos!$A$10:$F$3462,4,FALSE)</f>
        <v>6.27</v>
      </c>
      <c r="F2040" s="329">
        <f>ROUND((D2040*E2040),2)</f>
        <v>138.5</v>
      </c>
      <c r="G2040" s="355"/>
    </row>
    <row r="2041" spans="1:15" s="220" customFormat="1" x14ac:dyDescent="0.25">
      <c r="A2041" s="376">
        <v>10118</v>
      </c>
      <c r="B2041" s="230" t="str">
        <f>VLOOKUP(A2041,Insumos!$A$10:$F$3462,2,FALSE)</f>
        <v>ENCANADOR - (OFICIAL - SINDUSCON)</v>
      </c>
      <c r="C2041" s="231" t="str">
        <f>VLOOKUP(A2041,Insumos!$A$10:$F$3462,3,FALSE)</f>
        <v>H</v>
      </c>
      <c r="D2041" s="232">
        <v>22.093</v>
      </c>
      <c r="E2041" s="329">
        <f>VLOOKUP(A2041,Insumos!$A$10:$F$3462,4,FALSE)</f>
        <v>7.43</v>
      </c>
      <c r="F2041" s="329">
        <f>ROUND((D2041*E2041),2)</f>
        <v>164.15</v>
      </c>
      <c r="G2041" s="355"/>
    </row>
    <row r="2042" spans="1:15" s="220" customFormat="1" x14ac:dyDescent="0.25">
      <c r="A2042" s="376"/>
      <c r="B2042" s="234"/>
      <c r="C2042" s="231"/>
      <c r="D2042" s="235"/>
      <c r="E2042" s="329"/>
      <c r="F2042" s="329"/>
      <c r="G2042" s="355"/>
    </row>
    <row r="2043" spans="1:15" s="220" customFormat="1" x14ac:dyDescent="0.25">
      <c r="A2043" s="376"/>
      <c r="B2043" s="236" t="s">
        <v>145</v>
      </c>
      <c r="C2043" s="237"/>
      <c r="D2043" s="238"/>
      <c r="E2043" s="329"/>
      <c r="F2043" s="353"/>
      <c r="G2043" s="338">
        <f>F2040</f>
        <v>138.5</v>
      </c>
    </row>
    <row r="2044" spans="1:15" s="220" customFormat="1" x14ac:dyDescent="0.25">
      <c r="A2044" s="376"/>
      <c r="B2044" s="234" t="s">
        <v>146</v>
      </c>
      <c r="C2044" s="241"/>
      <c r="D2044" s="242"/>
      <c r="E2044" s="231"/>
      <c r="F2044" s="243"/>
      <c r="G2044" s="244" t="s">
        <v>147</v>
      </c>
    </row>
    <row r="2045" spans="1:15" s="220" customFormat="1" x14ac:dyDescent="0.25">
      <c r="A2045" s="376">
        <v>69513</v>
      </c>
      <c r="B2045" s="230" t="str">
        <f>VLOOKUP(A2045,Insumos!$A$10:$F$3462,2,FALSE)</f>
        <v>ADESIVO PARA TUBO DE PVC RIGIDO</v>
      </c>
      <c r="C2045" s="231" t="str">
        <f>VLOOKUP(A2045,Insumos!$A$10:$F$3462,3,FALSE)</f>
        <v>KG</v>
      </c>
      <c r="D2045" s="232">
        <v>0.53190000000000004</v>
      </c>
      <c r="E2045" s="329">
        <f>VLOOKUP(A2045,Insumos!$A$10:$F$3462,4,FALSE)</f>
        <v>80.680000000000007</v>
      </c>
      <c r="F2045" s="329">
        <f t="shared" ref="F2045:F2056" si="0">ROUND((D2045*E2045),2)</f>
        <v>42.91</v>
      </c>
      <c r="G2045" s="355"/>
    </row>
    <row r="2046" spans="1:15" s="220" customFormat="1" x14ac:dyDescent="0.25">
      <c r="A2046" s="376">
        <v>69512</v>
      </c>
      <c r="B2046" s="230" t="str">
        <f>VLOOKUP(A2046,Insumos!$A$10:$F$3462,2,FALSE)</f>
        <v>FITA DE VEDACAO 18MM X 50M</v>
      </c>
      <c r="C2046" s="231" t="str">
        <f>VLOOKUP(A2046,Insumos!$A$10:$F$3462,3,FALSE)</f>
        <v>M</v>
      </c>
      <c r="D2046" s="232">
        <v>12.04</v>
      </c>
      <c r="E2046" s="329">
        <f>VLOOKUP(A2046,Insumos!$A$10:$F$3462,4,FALSE)</f>
        <v>0.13</v>
      </c>
      <c r="F2046" s="329">
        <f t="shared" si="0"/>
        <v>1.57</v>
      </c>
      <c r="G2046" s="355"/>
    </row>
    <row r="2047" spans="1:15" s="220" customFormat="1" x14ac:dyDescent="0.25">
      <c r="A2047" s="376">
        <v>63504</v>
      </c>
      <c r="B2047" s="230" t="str">
        <f>VLOOKUP(A2047,Insumos!$A$10:$F$3462,2,FALSE)</f>
        <v>REGISTRO DE GAVETA BRUTO 32MM - 1.1/4"</v>
      </c>
      <c r="C2047" s="231" t="str">
        <f>VLOOKUP(A2047,Insumos!$A$10:$F$3462,3,FALSE)</f>
        <v>UN</v>
      </c>
      <c r="D2047" s="232">
        <v>1</v>
      </c>
      <c r="E2047" s="329">
        <f>VLOOKUP(A2047,Insumos!$A$10:$F$3462,4,FALSE)</f>
        <v>67.459999999999994</v>
      </c>
      <c r="F2047" s="329">
        <f t="shared" si="0"/>
        <v>67.459999999999994</v>
      </c>
      <c r="G2047" s="355"/>
    </row>
    <row r="2048" spans="1:15" s="220" customFormat="1" x14ac:dyDescent="0.25">
      <c r="A2048" s="376">
        <v>63503</v>
      </c>
      <c r="B2048" s="230" t="str">
        <f>VLOOKUP(A2048,Insumos!$A$10:$F$3462,2,FALSE)</f>
        <v>REGISTRO DE GAVETA BRUTO 25MM - 1"</v>
      </c>
      <c r="C2048" s="231" t="str">
        <f>VLOOKUP(A2048,Insumos!$A$10:$F$3462,3,FALSE)</f>
        <v>UN</v>
      </c>
      <c r="D2048" s="232">
        <v>1</v>
      </c>
      <c r="E2048" s="329">
        <f>VLOOKUP(A2048,Insumos!$A$10:$F$3462,4,FALSE)</f>
        <v>56.8</v>
      </c>
      <c r="F2048" s="329">
        <f t="shared" si="0"/>
        <v>56.8</v>
      </c>
      <c r="G2048" s="355"/>
    </row>
    <row r="2049" spans="1:7" s="220" customFormat="1" x14ac:dyDescent="0.25">
      <c r="A2049" s="376">
        <v>63507</v>
      </c>
      <c r="B2049" s="230" t="str">
        <f>VLOOKUP(A2049,Insumos!$A$10:$F$3462,2,FALSE)</f>
        <v>REGISTRO DE GAVETA BRUTO 65MM - 2.1/2"</v>
      </c>
      <c r="C2049" s="231" t="str">
        <f>VLOOKUP(A2049,Insumos!$A$10:$F$3462,3,FALSE)</f>
        <v>UN</v>
      </c>
      <c r="D2049" s="232">
        <v>1</v>
      </c>
      <c r="E2049" s="329">
        <f>VLOOKUP(A2049,Insumos!$A$10:$F$3462,4,FALSE)</f>
        <v>365.9</v>
      </c>
      <c r="F2049" s="329">
        <f t="shared" si="0"/>
        <v>365.9</v>
      </c>
      <c r="G2049" s="355"/>
    </row>
    <row r="2050" spans="1:7" s="220" customFormat="1" x14ac:dyDescent="0.25">
      <c r="A2050" s="376">
        <v>63506</v>
      </c>
      <c r="B2050" s="230" t="str">
        <f>VLOOKUP(A2050,Insumos!$A$10:$F$3462,2,FALSE)</f>
        <v>REGISTRO DE GAVETA BRUTO 50MM - 2"</v>
      </c>
      <c r="C2050" s="231" t="str">
        <f>VLOOKUP(A2050,Insumos!$A$10:$F$3462,3,FALSE)</f>
        <v>UN</v>
      </c>
      <c r="D2050" s="232">
        <v>2</v>
      </c>
      <c r="E2050" s="329">
        <f>VLOOKUP(A2050,Insumos!$A$10:$F$3462,4,FALSE)</f>
        <v>153.93</v>
      </c>
      <c r="F2050" s="329">
        <f t="shared" si="0"/>
        <v>307.86</v>
      </c>
      <c r="G2050" s="355"/>
    </row>
    <row r="2051" spans="1:7" s="220" customFormat="1" x14ac:dyDescent="0.25">
      <c r="A2051" s="376">
        <v>69514</v>
      </c>
      <c r="B2051" s="230" t="str">
        <f>VLOOKUP(A2051,Insumos!$A$10:$F$3462,2,FALSE)</f>
        <v>SOLUCAO LIMPADORA PARA PVC RIGIDO</v>
      </c>
      <c r="C2051" s="231" t="str">
        <f>VLOOKUP(A2051,Insumos!$A$10:$F$3462,3,FALSE)</f>
        <v>L</v>
      </c>
      <c r="D2051" s="232">
        <v>0.30130000000000001</v>
      </c>
      <c r="E2051" s="329">
        <f>VLOOKUP(A2051,Insumos!$A$10:$F$3462,4,FALSE)</f>
        <v>71.63</v>
      </c>
      <c r="F2051" s="329">
        <f t="shared" si="0"/>
        <v>21.58</v>
      </c>
      <c r="G2051" s="355"/>
    </row>
    <row r="2052" spans="1:7" s="220" customFormat="1" ht="26.25" x14ac:dyDescent="0.25">
      <c r="A2052" s="376">
        <v>62503</v>
      </c>
      <c r="B2052" s="230" t="str">
        <f>VLOOKUP(A2052,Insumos!$A$10:$F$3462,2,FALSE)</f>
        <v>TUBO DE PVC SOLDAVEL MARROM 32MM (AGUA FRIA) - TIGRE, AMANCO OU EQUIVALENTE</v>
      </c>
      <c r="C2052" s="231" t="str">
        <f>VLOOKUP(A2052,Insumos!$A$10:$F$3462,3,FALSE)</f>
        <v>M</v>
      </c>
      <c r="D2052" s="232">
        <v>6</v>
      </c>
      <c r="E2052" s="329">
        <f>VLOOKUP(A2052,Insumos!$A$10:$F$3462,4,FALSE)</f>
        <v>11.68</v>
      </c>
      <c r="F2052" s="329">
        <f t="shared" si="0"/>
        <v>70.08</v>
      </c>
      <c r="G2052" s="355"/>
    </row>
    <row r="2053" spans="1:7" s="220" customFormat="1" ht="26.25" x14ac:dyDescent="0.25">
      <c r="A2053" s="376">
        <v>62504</v>
      </c>
      <c r="B2053" s="230" t="str">
        <f>VLOOKUP(A2053,Insumos!$A$10:$F$3462,2,FALSE)</f>
        <v>TUBO DE PVC SOLDAVEL MARROM 40MM (AGUA FRIA) - TIGRE, AMANCO OU EQUIVALENTE</v>
      </c>
      <c r="C2053" s="231" t="str">
        <f>VLOOKUP(A2053,Insumos!$A$10:$F$3462,3,FALSE)</f>
        <v>M</v>
      </c>
      <c r="D2053" s="232">
        <v>12</v>
      </c>
      <c r="E2053" s="329">
        <f>VLOOKUP(A2053,Insumos!$A$10:$F$3462,4,FALSE)</f>
        <v>19.07</v>
      </c>
      <c r="F2053" s="329">
        <f t="shared" si="0"/>
        <v>228.84</v>
      </c>
      <c r="G2053" s="355"/>
    </row>
    <row r="2054" spans="1:7" s="220" customFormat="1" ht="26.25" x14ac:dyDescent="0.25">
      <c r="A2054" s="376">
        <v>62505</v>
      </c>
      <c r="B2054" s="230" t="str">
        <f>VLOOKUP(A2054,Insumos!$A$10:$F$3462,2,FALSE)</f>
        <v>TUBO DE PVC SOLDAVEL MARROM 50MM (AGUA FRIA) - TIGRE, AMANCO OU EQUIVALENTE</v>
      </c>
      <c r="C2054" s="231" t="str">
        <f>VLOOKUP(A2054,Insumos!$A$10:$F$3462,3,FALSE)</f>
        <v>M</v>
      </c>
      <c r="D2054" s="232">
        <v>1.5</v>
      </c>
      <c r="E2054" s="329">
        <f>VLOOKUP(A2054,Insumos!$A$10:$F$3462,4,FALSE)</f>
        <v>22.64</v>
      </c>
      <c r="F2054" s="329">
        <f t="shared" si="0"/>
        <v>33.96</v>
      </c>
      <c r="G2054" s="355"/>
    </row>
    <row r="2055" spans="1:7" s="220" customFormat="1" ht="26.25" x14ac:dyDescent="0.25">
      <c r="A2055" s="376">
        <v>62506</v>
      </c>
      <c r="B2055" s="230" t="str">
        <f>VLOOKUP(A2055,Insumos!$A$10:$F$3462,2,FALSE)</f>
        <v>TUBO DE PVC SOLDAVEL MARROM 60MM (AGUA FRIA) - TIGRE, AMANCO OU EQUIVALENTE</v>
      </c>
      <c r="C2055" s="231" t="str">
        <f>VLOOKUP(A2055,Insumos!$A$10:$F$3462,3,FALSE)</f>
        <v>M</v>
      </c>
      <c r="D2055" s="232">
        <v>15</v>
      </c>
      <c r="E2055" s="329">
        <f>VLOOKUP(A2055,Insumos!$A$10:$F$3462,4,FALSE)</f>
        <v>37.67</v>
      </c>
      <c r="F2055" s="329">
        <f t="shared" si="0"/>
        <v>565.04999999999995</v>
      </c>
      <c r="G2055" s="355"/>
    </row>
    <row r="2056" spans="1:7" s="220" customFormat="1" ht="26.25" x14ac:dyDescent="0.25">
      <c r="A2056" s="376">
        <v>62507</v>
      </c>
      <c r="B2056" s="230" t="str">
        <f>VLOOKUP(A2056,Insumos!$A$10:$F$3462,2,FALSE)</f>
        <v>TUBO DE PVC SOLDAVEL MARROM 75MM (AGUA FRIA) - TIGRE, AMANCO OU EQUIVALENTE</v>
      </c>
      <c r="C2056" s="231" t="str">
        <f>VLOOKUP(A2056,Insumos!$A$10:$F$3462,3,FALSE)</f>
        <v>M</v>
      </c>
      <c r="D2056" s="232">
        <v>1.5</v>
      </c>
      <c r="E2056" s="329">
        <f>VLOOKUP(A2056,Insumos!$A$10:$F$3462,4,FALSE)</f>
        <v>56.46</v>
      </c>
      <c r="F2056" s="329">
        <f t="shared" si="0"/>
        <v>84.69</v>
      </c>
      <c r="G2056" s="355"/>
    </row>
    <row r="2057" spans="1:7" s="220" customFormat="1" x14ac:dyDescent="0.25">
      <c r="A2057" s="376"/>
      <c r="B2057" s="234"/>
      <c r="C2057" s="231"/>
      <c r="D2057" s="245"/>
      <c r="E2057" s="329"/>
      <c r="F2057" s="329"/>
      <c r="G2057" s="355"/>
    </row>
    <row r="2058" spans="1:7" s="220" customFormat="1" x14ac:dyDescent="0.25">
      <c r="A2058" s="376"/>
      <c r="B2058" s="236" t="s">
        <v>148</v>
      </c>
      <c r="C2058" s="237"/>
      <c r="D2058" s="246"/>
      <c r="E2058" s="353"/>
      <c r="F2058" s="353"/>
      <c r="G2058" s="338">
        <f>SUM(F2045:F2058)</f>
        <v>1846.7</v>
      </c>
    </row>
    <row r="2059" spans="1:7" s="220" customFormat="1" x14ac:dyDescent="0.25">
      <c r="A2059" s="376"/>
      <c r="B2059" s="234" t="s">
        <v>149</v>
      </c>
      <c r="C2059" s="241"/>
      <c r="D2059" s="248"/>
      <c r="E2059" s="241"/>
      <c r="F2059" s="241"/>
      <c r="G2059" s="244" t="s">
        <v>150</v>
      </c>
    </row>
    <row r="2060" spans="1:7" s="220" customFormat="1" x14ac:dyDescent="0.25">
      <c r="A2060" s="383"/>
      <c r="B2060" s="230"/>
      <c r="C2060" s="231"/>
      <c r="D2060" s="232"/>
      <c r="E2060" s="231"/>
      <c r="F2060" s="231"/>
      <c r="G2060" s="233"/>
    </row>
    <row r="2061" spans="1:7" s="220" customFormat="1" x14ac:dyDescent="0.25">
      <c r="A2061" s="376"/>
      <c r="B2061" s="234"/>
      <c r="C2061" s="231"/>
      <c r="D2061" s="245"/>
      <c r="E2061" s="231"/>
      <c r="F2061" s="231"/>
      <c r="G2061" s="233"/>
    </row>
    <row r="2062" spans="1:7" s="220" customFormat="1" ht="15.75" thickBot="1" x14ac:dyDescent="0.3">
      <c r="A2062" s="376"/>
      <c r="B2062" s="249" t="s">
        <v>151</v>
      </c>
      <c r="C2062" s="250"/>
      <c r="D2062" s="251"/>
      <c r="E2062" s="250"/>
      <c r="F2062" s="250"/>
      <c r="G2062" s="252">
        <f>F2060</f>
        <v>0</v>
      </c>
    </row>
    <row r="2063" spans="1:7" s="220" customFormat="1" ht="15.75" thickBot="1" x14ac:dyDescent="0.3">
      <c r="A2063" s="376"/>
      <c r="B2063" s="1382"/>
      <c r="C2063" s="1382"/>
      <c r="D2063" s="1382"/>
      <c r="E2063" s="1382"/>
      <c r="F2063" s="1382"/>
      <c r="G2063" s="1382"/>
    </row>
    <row r="2064" spans="1:7" s="220" customFormat="1" ht="15.75" thickBot="1" x14ac:dyDescent="0.3">
      <c r="A2064" s="376"/>
      <c r="B2064" s="253" t="s">
        <v>152</v>
      </c>
      <c r="C2064" s="254" t="s">
        <v>4415</v>
      </c>
      <c r="D2064" s="255" t="s">
        <v>154</v>
      </c>
      <c r="E2064" s="1381" t="s">
        <v>155</v>
      </c>
      <c r="F2064" s="1381"/>
      <c r="G2064" s="1381"/>
    </row>
    <row r="2065" spans="1:15" s="220" customFormat="1" ht="15.75" thickBot="1" x14ac:dyDescent="0.3">
      <c r="A2065" s="376"/>
      <c r="B2065" s="256" t="s">
        <v>156</v>
      </c>
      <c r="C2065" s="257"/>
      <c r="D2065" s="369">
        <f>G2043</f>
        <v>138.5</v>
      </c>
      <c r="E2065" s="1381"/>
      <c r="F2065" s="1381"/>
      <c r="G2065" s="1381"/>
    </row>
    <row r="2066" spans="1:15" s="220" customFormat="1" ht="15.75" thickBot="1" x14ac:dyDescent="0.3">
      <c r="A2066" s="376"/>
      <c r="B2066" s="256" t="s">
        <v>157</v>
      </c>
      <c r="C2066" s="257"/>
      <c r="D2066" s="369">
        <f>G2058</f>
        <v>1846.7</v>
      </c>
      <c r="E2066" s="1381"/>
      <c r="F2066" s="1381"/>
      <c r="G2066" s="1381"/>
    </row>
    <row r="2067" spans="1:15" s="220" customFormat="1" ht="15.75" thickBot="1" x14ac:dyDescent="0.3">
      <c r="A2067" s="376"/>
      <c r="B2067" s="256" t="s">
        <v>158</v>
      </c>
      <c r="C2067" s="257"/>
      <c r="D2067" s="369">
        <f>G2062</f>
        <v>0</v>
      </c>
      <c r="E2067" s="1381"/>
      <c r="F2067" s="1381"/>
      <c r="G2067" s="1381"/>
    </row>
    <row r="2068" spans="1:15" s="220" customFormat="1" ht="15.75" thickBot="1" x14ac:dyDescent="0.3">
      <c r="A2068" s="376"/>
      <c r="B2068" s="256" t="s">
        <v>159</v>
      </c>
      <c r="C2068" s="258">
        <f>$J$5</f>
        <v>157.27000000000001</v>
      </c>
      <c r="D2068" s="369">
        <f>D2065*C2068/100</f>
        <v>217.82</v>
      </c>
      <c r="E2068" s="1381"/>
      <c r="F2068" s="1381"/>
      <c r="G2068" s="1381"/>
    </row>
    <row r="2069" spans="1:15" s="220" customFormat="1" ht="15.75" thickBot="1" x14ac:dyDescent="0.3">
      <c r="A2069" s="376"/>
      <c r="B2069" s="256" t="s">
        <v>160</v>
      </c>
      <c r="C2069" s="259"/>
      <c r="D2069" s="370">
        <f>SUM(D2065:D2068)</f>
        <v>2203.02</v>
      </c>
      <c r="E2069" s="1381"/>
      <c r="F2069" s="1381"/>
      <c r="G2069" s="1381"/>
    </row>
    <row r="2070" spans="1:15" s="220" customFormat="1" ht="15.75" thickBot="1" x14ac:dyDescent="0.3">
      <c r="A2070" s="376"/>
      <c r="B2070" s="256" t="s">
        <v>161</v>
      </c>
      <c r="C2070" s="257"/>
      <c r="D2070" s="369" t="s">
        <v>162</v>
      </c>
      <c r="E2070" s="1382" t="s">
        <v>163</v>
      </c>
      <c r="F2070" s="1382"/>
      <c r="G2070" s="1382"/>
    </row>
    <row r="2071" spans="1:15" s="220" customFormat="1" ht="15.75" thickBot="1" x14ac:dyDescent="0.3">
      <c r="A2071" s="376"/>
      <c r="B2071" s="260" t="s">
        <v>164</v>
      </c>
      <c r="C2071" s="261"/>
      <c r="D2071" s="334">
        <f>D2069</f>
        <v>2203.02</v>
      </c>
      <c r="E2071" s="1382"/>
      <c r="F2071" s="1382"/>
      <c r="G2071" s="1382"/>
    </row>
    <row r="2072" spans="1:15" s="220" customFormat="1" ht="15.75" thickBot="1" x14ac:dyDescent="0.3">
      <c r="A2072" s="376"/>
      <c r="B2072" s="262" t="s">
        <v>165</v>
      </c>
      <c r="C2072" s="263">
        <f>$I$5</f>
        <v>28.49</v>
      </c>
      <c r="D2072" s="335">
        <f>D2071*C2072/100</f>
        <v>627.64</v>
      </c>
      <c r="E2072" s="1382"/>
      <c r="F2072" s="1382"/>
      <c r="G2072" s="1382"/>
    </row>
    <row r="2073" spans="1:15" s="220" customFormat="1" ht="15.75" thickBot="1" x14ac:dyDescent="0.3">
      <c r="A2073" s="376"/>
      <c r="B2073" s="264" t="s">
        <v>166</v>
      </c>
      <c r="C2073" s="265"/>
      <c r="D2073" s="336">
        <f>SUM(D2071:D2072)</f>
        <v>2830.66</v>
      </c>
      <c r="E2073" s="266"/>
      <c r="F2073" s="337">
        <f>D2073</f>
        <v>2830.66</v>
      </c>
      <c r="G2073" s="224"/>
    </row>
    <row r="2074" spans="1:15" x14ac:dyDescent="0.25">
      <c r="O2074" s="220"/>
    </row>
    <row r="2075" spans="1:15" ht="15.75" thickBot="1" x14ac:dyDescent="0.3">
      <c r="O2075" s="220"/>
    </row>
    <row r="2076" spans="1:15" s="220" customFormat="1" x14ac:dyDescent="0.25">
      <c r="A2076" s="383"/>
      <c r="B2076" s="1383" t="s">
        <v>131</v>
      </c>
      <c r="C2076" s="1383"/>
      <c r="D2076" s="1383"/>
      <c r="E2076" s="1383"/>
      <c r="F2076" s="1383"/>
      <c r="G2076" s="1383"/>
    </row>
    <row r="2077" spans="1:15" s="220" customFormat="1" ht="15.75" thickBot="1" x14ac:dyDescent="0.3">
      <c r="A2077" s="383"/>
      <c r="B2077" s="1384" t="str">
        <f>$I$3</f>
        <v>Urbanização da Orla de Piúma - Município de Piúma / ES</v>
      </c>
      <c r="C2077" s="1385"/>
      <c r="D2077" s="1385"/>
      <c r="E2077" s="1385"/>
      <c r="F2077" s="1385"/>
      <c r="G2077" s="1386"/>
    </row>
    <row r="2078" spans="1:15" s="220" customFormat="1" ht="15.75" thickBot="1" x14ac:dyDescent="0.3">
      <c r="A2078" s="376"/>
      <c r="B2078" s="223" t="s">
        <v>132</v>
      </c>
      <c r="C2078" s="223" t="s">
        <v>133</v>
      </c>
      <c r="D2078" s="1381" t="s">
        <v>134</v>
      </c>
      <c r="E2078" s="1381"/>
      <c r="F2078" s="224" t="s">
        <v>275</v>
      </c>
      <c r="G2078" s="224" t="s">
        <v>135</v>
      </c>
    </row>
    <row r="2079" spans="1:15" s="220" customFormat="1" ht="15.75" thickBot="1" x14ac:dyDescent="0.3">
      <c r="A2079" s="376"/>
      <c r="B2079" s="225" t="s">
        <v>366</v>
      </c>
      <c r="C2079" s="226" t="s">
        <v>98</v>
      </c>
      <c r="D2079" s="1381" t="s">
        <v>8</v>
      </c>
      <c r="E2079" s="1381"/>
      <c r="F2079" s="267" t="s">
        <v>480</v>
      </c>
      <c r="G2079" s="38">
        <f>$K$5</f>
        <v>44501</v>
      </c>
    </row>
    <row r="2080" spans="1:15" s="220" customFormat="1" ht="15.75" thickBot="1" x14ac:dyDescent="0.3">
      <c r="A2080" s="376"/>
      <c r="B2080" s="1382"/>
      <c r="C2080" s="1382"/>
      <c r="D2080" s="1382"/>
      <c r="E2080" s="1382"/>
      <c r="F2080" s="1382"/>
      <c r="G2080" s="1382"/>
    </row>
    <row r="2081" spans="1:7" s="220" customFormat="1" x14ac:dyDescent="0.25">
      <c r="A2081" s="376"/>
      <c r="B2081" s="227" t="s">
        <v>139</v>
      </c>
      <c r="C2081" s="228" t="s">
        <v>140</v>
      </c>
      <c r="D2081" s="228" t="s">
        <v>141</v>
      </c>
      <c r="E2081" s="228" t="s">
        <v>142</v>
      </c>
      <c r="F2081" s="228" t="s">
        <v>143</v>
      </c>
      <c r="G2081" s="229" t="s">
        <v>144</v>
      </c>
    </row>
    <row r="2082" spans="1:7" s="220" customFormat="1" x14ac:dyDescent="0.25">
      <c r="A2082" s="376">
        <v>10101</v>
      </c>
      <c r="B2082" s="230" t="str">
        <f>VLOOKUP(A2082,Insumos!$A$10:$F$3462,2,FALSE)</f>
        <v>AJUDANTE (AJUDANTE PRATICO - SINDUSCON)</v>
      </c>
      <c r="C2082" s="231" t="str">
        <f>VLOOKUP(A2082,Insumos!$A$10:$F$3462,3,FALSE)</f>
        <v>H</v>
      </c>
      <c r="D2082" s="232">
        <v>4.6100000000000003</v>
      </c>
      <c r="E2082" s="329">
        <f>VLOOKUP(A2082,Insumos!$A$10:$F$3462,4,FALSE)</f>
        <v>6.27</v>
      </c>
      <c r="F2082" s="329">
        <f>ROUND((D2082*E2082),2)</f>
        <v>28.9</v>
      </c>
      <c r="G2082" s="355"/>
    </row>
    <row r="2083" spans="1:7" s="220" customFormat="1" x14ac:dyDescent="0.25">
      <c r="A2083" s="376">
        <v>10118</v>
      </c>
      <c r="B2083" s="230" t="str">
        <f>VLOOKUP(A2083,Insumos!$A$10:$F$3462,2,FALSE)</f>
        <v>ENCANADOR - (OFICIAL - SINDUSCON)</v>
      </c>
      <c r="C2083" s="231" t="str">
        <f>VLOOKUP(A2083,Insumos!$A$10:$F$3462,3,FALSE)</f>
        <v>H</v>
      </c>
      <c r="D2083" s="232">
        <v>4.6100000000000003</v>
      </c>
      <c r="E2083" s="329">
        <f>VLOOKUP(A2083,Insumos!$A$10:$F$3462,4,FALSE)</f>
        <v>7.43</v>
      </c>
      <c r="F2083" s="329">
        <f>ROUND((D2083*E2083),2)</f>
        <v>34.25</v>
      </c>
      <c r="G2083" s="355"/>
    </row>
    <row r="2084" spans="1:7" s="220" customFormat="1" x14ac:dyDescent="0.25">
      <c r="A2084" s="376"/>
      <c r="B2084" s="234"/>
      <c r="C2084" s="231"/>
      <c r="D2084" s="235"/>
      <c r="E2084" s="329"/>
      <c r="F2084" s="329"/>
      <c r="G2084" s="355"/>
    </row>
    <row r="2085" spans="1:7" s="220" customFormat="1" x14ac:dyDescent="0.25">
      <c r="A2085" s="376"/>
      <c r="B2085" s="236" t="s">
        <v>145</v>
      </c>
      <c r="C2085" s="237"/>
      <c r="D2085" s="238"/>
      <c r="E2085" s="329"/>
      <c r="F2085" s="353"/>
      <c r="G2085" s="338">
        <f>F2082</f>
        <v>28.9</v>
      </c>
    </row>
    <row r="2086" spans="1:7" s="220" customFormat="1" x14ac:dyDescent="0.25">
      <c r="A2086" s="376"/>
      <c r="B2086" s="234" t="s">
        <v>146</v>
      </c>
      <c r="C2086" s="241"/>
      <c r="D2086" s="242"/>
      <c r="E2086" s="231"/>
      <c r="F2086" s="243"/>
      <c r="G2086" s="244" t="s">
        <v>147</v>
      </c>
    </row>
    <row r="2087" spans="1:7" s="220" customFormat="1" x14ac:dyDescent="0.25">
      <c r="A2087" s="376">
        <v>62112</v>
      </c>
      <c r="B2087" s="230" t="str">
        <f>VLOOKUP(A2087,Insumos!$A$10:$F$3462,2,FALSE)</f>
        <v>ADAPTADOR PVC SOLDAVEL PARA REGISTRO 32MM X 1"</v>
      </c>
      <c r="C2087" s="231" t="str">
        <f>VLOOKUP(A2087,Insumos!$A$10:$F$3462,3,FALSE)</f>
        <v>UN</v>
      </c>
      <c r="D2087" s="232">
        <v>2</v>
      </c>
      <c r="E2087" s="329">
        <f>VLOOKUP(A2087,Insumos!$A$10:$F$3462,4,FALSE)</f>
        <v>2.37</v>
      </c>
      <c r="F2087" s="329">
        <f t="shared" ref="F2087:F2093" si="1">ROUND((D2087*E2087),2)</f>
        <v>4.74</v>
      </c>
      <c r="G2087" s="355"/>
    </row>
    <row r="2088" spans="1:7" s="220" customFormat="1" x14ac:dyDescent="0.25">
      <c r="A2088" s="376">
        <v>69513</v>
      </c>
      <c r="B2088" s="230" t="str">
        <f>VLOOKUP(A2088,Insumos!$A$10:$F$3462,2,FALSE)</f>
        <v>ADESIVO PARA TUBO DE PVC RIGIDO</v>
      </c>
      <c r="C2088" s="231" t="str">
        <f>VLOOKUP(A2088,Insumos!$A$10:$F$3462,3,FALSE)</f>
        <v>KG</v>
      </c>
      <c r="D2088" s="232">
        <v>0.19539999999999999</v>
      </c>
      <c r="E2088" s="329">
        <f>VLOOKUP(A2088,Insumos!$A$10:$F$3462,4,FALSE)</f>
        <v>80.680000000000007</v>
      </c>
      <c r="F2088" s="329">
        <f t="shared" si="1"/>
        <v>15.76</v>
      </c>
      <c r="G2088" s="355"/>
    </row>
    <row r="2089" spans="1:7" s="220" customFormat="1" x14ac:dyDescent="0.25">
      <c r="A2089" s="376">
        <v>69512</v>
      </c>
      <c r="B2089" s="230" t="str">
        <f>VLOOKUP(A2089,Insumos!$A$10:$F$3462,2,FALSE)</f>
        <v>FITA DE VEDACAO 18MM X 50M</v>
      </c>
      <c r="C2089" s="231" t="str">
        <f>VLOOKUP(A2089,Insumos!$A$10:$F$3462,3,FALSE)</f>
        <v>M</v>
      </c>
      <c r="D2089" s="232">
        <v>3.14</v>
      </c>
      <c r="E2089" s="329">
        <f>VLOOKUP(A2089,Insumos!$A$10:$F$3462,4,FALSE)</f>
        <v>0.13</v>
      </c>
      <c r="F2089" s="329">
        <f t="shared" si="1"/>
        <v>0.41</v>
      </c>
      <c r="G2089" s="355"/>
    </row>
    <row r="2090" spans="1:7" s="220" customFormat="1" x14ac:dyDescent="0.25">
      <c r="A2090" s="376">
        <v>63517</v>
      </c>
      <c r="B2090" s="230" t="str">
        <f>VLOOKUP(A2090,Insumos!$A$10:$F$3462,2,FALSE)</f>
        <v>REGISTRO DE GAVETA CROMADO 1" COM CANOPLA</v>
      </c>
      <c r="C2090" s="231" t="str">
        <f>VLOOKUP(A2090,Insumos!$A$10:$F$3462,3,FALSE)</f>
        <v>UN</v>
      </c>
      <c r="D2090" s="232">
        <v>1</v>
      </c>
      <c r="E2090" s="329">
        <f>VLOOKUP(A2090,Insumos!$A$10:$F$3462,4,FALSE)</f>
        <v>144.6</v>
      </c>
      <c r="F2090" s="329">
        <f t="shared" si="1"/>
        <v>144.6</v>
      </c>
      <c r="G2090" s="355"/>
    </row>
    <row r="2091" spans="1:7" s="220" customFormat="1" x14ac:dyDescent="0.25">
      <c r="A2091" s="376">
        <v>63516</v>
      </c>
      <c r="B2091" s="230" t="str">
        <f>VLOOKUP(A2091,Insumos!$A$10:$F$3462,2,FALSE)</f>
        <v>REGISTRO DE GAVETA CROMADO 3/4" COM CANOPLA</v>
      </c>
      <c r="C2091" s="231" t="str">
        <f>VLOOKUP(A2091,Insumos!$A$10:$F$3462,3,FALSE)</f>
        <v>UN</v>
      </c>
      <c r="D2091" s="232">
        <v>1</v>
      </c>
      <c r="E2091" s="329">
        <f>VLOOKUP(A2091,Insumos!$A$10:$F$3462,4,FALSE)</f>
        <v>103.22</v>
      </c>
      <c r="F2091" s="329">
        <f t="shared" si="1"/>
        <v>103.22</v>
      </c>
      <c r="G2091" s="355"/>
    </row>
    <row r="2092" spans="1:7" s="220" customFormat="1" x14ac:dyDescent="0.25">
      <c r="A2092" s="376">
        <v>69514</v>
      </c>
      <c r="B2092" s="230" t="str">
        <f>VLOOKUP(A2092,Insumos!$A$10:$F$3462,2,FALSE)</f>
        <v>SOLUCAO LIMPADORA PARA PVC RIGIDO</v>
      </c>
      <c r="C2092" s="231" t="str">
        <f>VLOOKUP(A2092,Insumos!$A$10:$F$3462,3,FALSE)</f>
        <v>L</v>
      </c>
      <c r="D2092" s="232">
        <v>0.21290000000000001</v>
      </c>
      <c r="E2092" s="329">
        <f>VLOOKUP(A2092,Insumos!$A$10:$F$3462,4,FALSE)</f>
        <v>71.63</v>
      </c>
      <c r="F2092" s="329">
        <f t="shared" si="1"/>
        <v>15.25</v>
      </c>
      <c r="G2092" s="355"/>
    </row>
    <row r="2093" spans="1:7" s="220" customFormat="1" ht="26.25" x14ac:dyDescent="0.25">
      <c r="A2093" s="376">
        <v>62506</v>
      </c>
      <c r="B2093" s="230" t="str">
        <f>VLOOKUP(A2093,Insumos!$A$10:$F$3462,2,FALSE)</f>
        <v>TUBO DE PVC SOLDAVEL MARROM 60MM (AGUA FRIA) - TIGRE, AMANCO OU EQUIVALENTE</v>
      </c>
      <c r="C2093" s="231" t="str">
        <f>VLOOKUP(A2093,Insumos!$A$10:$F$3462,3,FALSE)</f>
        <v>M</v>
      </c>
      <c r="D2093" s="232">
        <v>3</v>
      </c>
      <c r="E2093" s="329">
        <f>VLOOKUP(A2093,Insumos!$A$10:$F$3462,4,FALSE)</f>
        <v>37.67</v>
      </c>
      <c r="F2093" s="329">
        <f t="shared" si="1"/>
        <v>113.01</v>
      </c>
      <c r="G2093" s="355"/>
    </row>
    <row r="2094" spans="1:7" s="220" customFormat="1" ht="26.25" x14ac:dyDescent="0.25">
      <c r="A2094" s="376">
        <v>62507</v>
      </c>
      <c r="B2094" s="230" t="str">
        <f>VLOOKUP(A2094,Insumos!$A$10:$F$3462,2,FALSE)</f>
        <v>TUBO DE PVC SOLDAVEL MARROM 75MM (AGUA FRIA) - TIGRE, AMANCO OU EQUIVALENTE</v>
      </c>
      <c r="C2094" s="231" t="str">
        <f>VLOOKUP(A2094,Insumos!$A$10:$F$3462,3,FALSE)</f>
        <v>M</v>
      </c>
      <c r="D2094" s="232">
        <v>2</v>
      </c>
      <c r="E2094" s="329">
        <f>VLOOKUP(A2094,Insumos!$A$10:$F$3462,4,FALSE)</f>
        <v>56.46</v>
      </c>
      <c r="F2094" s="329">
        <f>ROUND((D2094*E2094),2)</f>
        <v>112.92</v>
      </c>
      <c r="G2094" s="355"/>
    </row>
    <row r="2095" spans="1:7" s="220" customFormat="1" x14ac:dyDescent="0.25">
      <c r="A2095" s="376"/>
      <c r="B2095" s="236" t="s">
        <v>148</v>
      </c>
      <c r="C2095" s="237"/>
      <c r="D2095" s="246"/>
      <c r="E2095" s="353"/>
      <c r="F2095" s="353"/>
      <c r="G2095" s="338">
        <f>SUM(F2087:F2095)</f>
        <v>509.91</v>
      </c>
    </row>
    <row r="2096" spans="1:7" s="220" customFormat="1" x14ac:dyDescent="0.25">
      <c r="A2096" s="376"/>
      <c r="B2096" s="234" t="s">
        <v>149</v>
      </c>
      <c r="C2096" s="241"/>
      <c r="D2096" s="248"/>
      <c r="E2096" s="241"/>
      <c r="F2096" s="241"/>
      <c r="G2096" s="244" t="s">
        <v>150</v>
      </c>
    </row>
    <row r="2097" spans="1:15" s="220" customFormat="1" x14ac:dyDescent="0.25">
      <c r="A2097" s="383"/>
      <c r="B2097" s="230"/>
      <c r="C2097" s="231"/>
      <c r="D2097" s="232"/>
      <c r="E2097" s="231"/>
      <c r="F2097" s="231"/>
      <c r="G2097" s="233"/>
    </row>
    <row r="2098" spans="1:15" s="220" customFormat="1" x14ac:dyDescent="0.25">
      <c r="A2098" s="376"/>
      <c r="B2098" s="234"/>
      <c r="C2098" s="231"/>
      <c r="D2098" s="245"/>
      <c r="E2098" s="231"/>
      <c r="F2098" s="231"/>
      <c r="G2098" s="233"/>
    </row>
    <row r="2099" spans="1:15" s="220" customFormat="1" ht="15.75" thickBot="1" x14ac:dyDescent="0.3">
      <c r="A2099" s="376"/>
      <c r="B2099" s="249" t="s">
        <v>151</v>
      </c>
      <c r="C2099" s="250"/>
      <c r="D2099" s="251"/>
      <c r="E2099" s="250"/>
      <c r="F2099" s="250"/>
      <c r="G2099" s="252">
        <f>F2097</f>
        <v>0</v>
      </c>
    </row>
    <row r="2100" spans="1:15" s="220" customFormat="1" ht="15.75" thickBot="1" x14ac:dyDescent="0.3">
      <c r="A2100" s="376"/>
      <c r="B2100" s="1382"/>
      <c r="C2100" s="1382"/>
      <c r="D2100" s="1382"/>
      <c r="E2100" s="1382"/>
      <c r="F2100" s="1382"/>
      <c r="G2100" s="1382"/>
    </row>
    <row r="2101" spans="1:15" s="220" customFormat="1" ht="15.75" thickBot="1" x14ac:dyDescent="0.3">
      <c r="A2101" s="376"/>
      <c r="B2101" s="253" t="s">
        <v>152</v>
      </c>
      <c r="C2101" s="254" t="s">
        <v>4415</v>
      </c>
      <c r="D2101" s="255" t="s">
        <v>154</v>
      </c>
      <c r="E2101" s="1381" t="s">
        <v>155</v>
      </c>
      <c r="F2101" s="1381"/>
      <c r="G2101" s="1381"/>
    </row>
    <row r="2102" spans="1:15" s="220" customFormat="1" ht="15.75" thickBot="1" x14ac:dyDescent="0.3">
      <c r="A2102" s="376"/>
      <c r="B2102" s="256" t="s">
        <v>156</v>
      </c>
      <c r="C2102" s="257"/>
      <c r="D2102" s="369">
        <f>G2085</f>
        <v>28.9</v>
      </c>
      <c r="E2102" s="1381"/>
      <c r="F2102" s="1381"/>
      <c r="G2102" s="1381"/>
    </row>
    <row r="2103" spans="1:15" s="220" customFormat="1" ht="15.75" thickBot="1" x14ac:dyDescent="0.3">
      <c r="A2103" s="376"/>
      <c r="B2103" s="256" t="s">
        <v>157</v>
      </c>
      <c r="C2103" s="257"/>
      <c r="D2103" s="369">
        <f>G2095</f>
        <v>509.91</v>
      </c>
      <c r="E2103" s="1381"/>
      <c r="F2103" s="1381"/>
      <c r="G2103" s="1381"/>
    </row>
    <row r="2104" spans="1:15" s="220" customFormat="1" ht="15.75" thickBot="1" x14ac:dyDescent="0.3">
      <c r="A2104" s="376"/>
      <c r="B2104" s="256" t="s">
        <v>158</v>
      </c>
      <c r="C2104" s="257"/>
      <c r="D2104" s="369">
        <f>G2099</f>
        <v>0</v>
      </c>
      <c r="E2104" s="1381"/>
      <c r="F2104" s="1381"/>
      <c r="G2104" s="1381"/>
    </row>
    <row r="2105" spans="1:15" s="220" customFormat="1" ht="15.75" thickBot="1" x14ac:dyDescent="0.3">
      <c r="A2105" s="376"/>
      <c r="B2105" s="256" t="s">
        <v>159</v>
      </c>
      <c r="C2105" s="258">
        <f>$J$5</f>
        <v>157.27000000000001</v>
      </c>
      <c r="D2105" s="369">
        <f>D2102*C2105/100</f>
        <v>45.45</v>
      </c>
      <c r="E2105" s="1381"/>
      <c r="F2105" s="1381"/>
      <c r="G2105" s="1381"/>
    </row>
    <row r="2106" spans="1:15" s="220" customFormat="1" ht="15.75" thickBot="1" x14ac:dyDescent="0.3">
      <c r="A2106" s="376"/>
      <c r="B2106" s="256" t="s">
        <v>160</v>
      </c>
      <c r="C2106" s="259"/>
      <c r="D2106" s="370">
        <f>SUM(D2102:D2105)</f>
        <v>584.26</v>
      </c>
      <c r="E2106" s="1381"/>
      <c r="F2106" s="1381"/>
      <c r="G2106" s="1381"/>
    </row>
    <row r="2107" spans="1:15" s="220" customFormat="1" ht="15.75" thickBot="1" x14ac:dyDescent="0.3">
      <c r="A2107" s="376"/>
      <c r="B2107" s="256" t="s">
        <v>161</v>
      </c>
      <c r="C2107" s="257"/>
      <c r="D2107" s="369" t="s">
        <v>162</v>
      </c>
      <c r="E2107" s="1382" t="s">
        <v>163</v>
      </c>
      <c r="F2107" s="1382"/>
      <c r="G2107" s="1382"/>
    </row>
    <row r="2108" spans="1:15" s="220" customFormat="1" ht="15.75" thickBot="1" x14ac:dyDescent="0.3">
      <c r="A2108" s="376"/>
      <c r="B2108" s="260" t="s">
        <v>164</v>
      </c>
      <c r="C2108" s="261"/>
      <c r="D2108" s="334">
        <f>D2106</f>
        <v>584.26</v>
      </c>
      <c r="E2108" s="1382"/>
      <c r="F2108" s="1382"/>
      <c r="G2108" s="1382"/>
    </row>
    <row r="2109" spans="1:15" s="220" customFormat="1" ht="15.75" thickBot="1" x14ac:dyDescent="0.3">
      <c r="A2109" s="376"/>
      <c r="B2109" s="262" t="s">
        <v>165</v>
      </c>
      <c r="C2109" s="263">
        <f>$I$5</f>
        <v>28.49</v>
      </c>
      <c r="D2109" s="335">
        <f>D2108*C2109/100</f>
        <v>166.46</v>
      </c>
      <c r="E2109" s="1382"/>
      <c r="F2109" s="1382"/>
      <c r="G2109" s="1382"/>
    </row>
    <row r="2110" spans="1:15" s="220" customFormat="1" ht="15.75" thickBot="1" x14ac:dyDescent="0.3">
      <c r="A2110" s="376"/>
      <c r="B2110" s="264" t="s">
        <v>166</v>
      </c>
      <c r="C2110" s="265"/>
      <c r="D2110" s="336">
        <f>SUM(D2108:D2109)</f>
        <v>750.72</v>
      </c>
      <c r="E2110" s="266"/>
      <c r="F2110" s="337">
        <f>D2110</f>
        <v>750.72</v>
      </c>
      <c r="G2110" s="224"/>
    </row>
    <row r="2111" spans="1:15" x14ac:dyDescent="0.25">
      <c r="O2111" s="220"/>
    </row>
    <row r="2112" spans="1:15" ht="15.75" thickBot="1" x14ac:dyDescent="0.3">
      <c r="O2112" s="220"/>
    </row>
    <row r="2113" spans="1:7" s="220" customFormat="1" x14ac:dyDescent="0.25">
      <c r="A2113" s="383"/>
      <c r="B2113" s="1383" t="s">
        <v>131</v>
      </c>
      <c r="C2113" s="1383"/>
      <c r="D2113" s="1383"/>
      <c r="E2113" s="1383"/>
      <c r="F2113" s="1383"/>
      <c r="G2113" s="1383"/>
    </row>
    <row r="2114" spans="1:7" s="220" customFormat="1" ht="15.75" thickBot="1" x14ac:dyDescent="0.3">
      <c r="A2114" s="383"/>
      <c r="B2114" s="1384" t="str">
        <f>$I$3</f>
        <v>Urbanização da Orla de Piúma - Município de Piúma / ES</v>
      </c>
      <c r="C2114" s="1385"/>
      <c r="D2114" s="1385"/>
      <c r="E2114" s="1385"/>
      <c r="F2114" s="1385"/>
      <c r="G2114" s="1386"/>
    </row>
    <row r="2115" spans="1:7" s="220" customFormat="1" ht="15.75" thickBot="1" x14ac:dyDescent="0.3">
      <c r="A2115" s="376"/>
      <c r="B2115" s="223" t="s">
        <v>132</v>
      </c>
      <c r="C2115" s="223" t="s">
        <v>133</v>
      </c>
      <c r="D2115" s="1381" t="s">
        <v>134</v>
      </c>
      <c r="E2115" s="1381"/>
      <c r="F2115" s="224" t="s">
        <v>275</v>
      </c>
      <c r="G2115" s="224" t="s">
        <v>135</v>
      </c>
    </row>
    <row r="2116" spans="1:7" s="220" customFormat="1" ht="15.75" thickBot="1" x14ac:dyDescent="0.3">
      <c r="A2116" s="376"/>
      <c r="B2116" s="225" t="s">
        <v>367</v>
      </c>
      <c r="C2116" s="226" t="s">
        <v>98</v>
      </c>
      <c r="D2116" s="1381" t="s">
        <v>8</v>
      </c>
      <c r="E2116" s="1381"/>
      <c r="F2116" s="267" t="s">
        <v>481</v>
      </c>
      <c r="G2116" s="38">
        <f>$K$5</f>
        <v>44501</v>
      </c>
    </row>
    <row r="2117" spans="1:7" s="220" customFormat="1" ht="15.75" thickBot="1" x14ac:dyDescent="0.3">
      <c r="A2117" s="376"/>
      <c r="B2117" s="1382"/>
      <c r="C2117" s="1382"/>
      <c r="D2117" s="1382"/>
      <c r="E2117" s="1382"/>
      <c r="F2117" s="1382"/>
      <c r="G2117" s="1382"/>
    </row>
    <row r="2118" spans="1:7" s="220" customFormat="1" x14ac:dyDescent="0.25">
      <c r="A2118" s="376"/>
      <c r="B2118" s="227" t="s">
        <v>139</v>
      </c>
      <c r="C2118" s="228" t="s">
        <v>140</v>
      </c>
      <c r="D2118" s="228" t="s">
        <v>141</v>
      </c>
      <c r="E2118" s="228" t="s">
        <v>142</v>
      </c>
      <c r="F2118" s="228" t="s">
        <v>143</v>
      </c>
      <c r="G2118" s="229" t="s">
        <v>144</v>
      </c>
    </row>
    <row r="2119" spans="1:7" s="220" customFormat="1" x14ac:dyDescent="0.25">
      <c r="A2119" s="376">
        <v>10101</v>
      </c>
      <c r="B2119" s="230" t="str">
        <f>VLOOKUP(A2119,Insumos!$A$10:$F$3462,2,FALSE)</f>
        <v>AJUDANTE (AJUDANTE PRATICO - SINDUSCON)</v>
      </c>
      <c r="C2119" s="231" t="str">
        <f>VLOOKUP(A2119,Insumos!$A$10:$F$3462,3,FALSE)</f>
        <v>H</v>
      </c>
      <c r="D2119" s="232">
        <v>2.5</v>
      </c>
      <c r="E2119" s="329">
        <f>VLOOKUP(A2119,Insumos!$A$10:$F$3462,4,FALSE)</f>
        <v>6.27</v>
      </c>
      <c r="F2119" s="329">
        <f>ROUND((D2119*E2119),2)</f>
        <v>15.68</v>
      </c>
      <c r="G2119" s="355"/>
    </row>
    <row r="2120" spans="1:7" s="220" customFormat="1" x14ac:dyDescent="0.25">
      <c r="A2120" s="376">
        <v>10118</v>
      </c>
      <c r="B2120" s="230" t="str">
        <f>VLOOKUP(A2120,Insumos!$A$10:$F$3462,2,FALSE)</f>
        <v>ENCANADOR - (OFICIAL - SINDUSCON)</v>
      </c>
      <c r="C2120" s="231" t="str">
        <f>VLOOKUP(A2120,Insumos!$A$10:$F$3462,3,FALSE)</f>
        <v>H</v>
      </c>
      <c r="D2120" s="232">
        <v>2.5</v>
      </c>
      <c r="E2120" s="329">
        <f>VLOOKUP(A2120,Insumos!$A$10:$F$3462,4,FALSE)</f>
        <v>7.43</v>
      </c>
      <c r="F2120" s="329">
        <f>ROUND((D2120*E2120),2)</f>
        <v>18.579999999999998</v>
      </c>
      <c r="G2120" s="355"/>
    </row>
    <row r="2121" spans="1:7" s="220" customFormat="1" x14ac:dyDescent="0.25">
      <c r="A2121" s="376"/>
      <c r="B2121" s="234"/>
      <c r="C2121" s="231"/>
      <c r="D2121" s="235"/>
      <c r="E2121" s="329"/>
      <c r="F2121" s="329"/>
      <c r="G2121" s="355"/>
    </row>
    <row r="2122" spans="1:7" s="220" customFormat="1" x14ac:dyDescent="0.25">
      <c r="A2122" s="376"/>
      <c r="B2122" s="236" t="s">
        <v>145</v>
      </c>
      <c r="C2122" s="237"/>
      <c r="D2122" s="238"/>
      <c r="E2122" s="329"/>
      <c r="F2122" s="353"/>
      <c r="G2122" s="338">
        <f>F2119</f>
        <v>15.68</v>
      </c>
    </row>
    <row r="2123" spans="1:7" s="220" customFormat="1" x14ac:dyDescent="0.25">
      <c r="A2123" s="376"/>
      <c r="B2123" s="234" t="s">
        <v>146</v>
      </c>
      <c r="C2123" s="241"/>
      <c r="D2123" s="242"/>
      <c r="E2123" s="231"/>
      <c r="F2123" s="243"/>
      <c r="G2123" s="244" t="s">
        <v>147</v>
      </c>
    </row>
    <row r="2124" spans="1:7" s="220" customFormat="1" x14ac:dyDescent="0.25">
      <c r="A2124" s="376">
        <v>69513</v>
      </c>
      <c r="B2124" s="230" t="str">
        <f>VLOOKUP(A2124,Insumos!$A$10:$F$3462,2,FALSE)</f>
        <v>ADESIVO PARA TUBO DE PVC RIGIDO</v>
      </c>
      <c r="C2124" s="231" t="str">
        <f>VLOOKUP(A2124,Insumos!$A$10:$F$3462,3,FALSE)</f>
        <v>KG</v>
      </c>
      <c r="D2124" s="232">
        <v>0.15</v>
      </c>
      <c r="E2124" s="329">
        <f>VLOOKUP(A2124,Insumos!$A$10:$F$3462,4,FALSE)</f>
        <v>80.680000000000007</v>
      </c>
      <c r="F2124" s="329">
        <f>ROUND((D2124*E2124),2)</f>
        <v>12.1</v>
      </c>
      <c r="G2124" s="355"/>
    </row>
    <row r="2125" spans="1:7" s="220" customFormat="1" x14ac:dyDescent="0.25">
      <c r="A2125" s="376">
        <v>69514</v>
      </c>
      <c r="B2125" s="230" t="str">
        <f>VLOOKUP(A2125,Insumos!$A$10:$F$3462,2,FALSE)</f>
        <v>SOLUCAO LIMPADORA PARA PVC RIGIDO</v>
      </c>
      <c r="C2125" s="231" t="str">
        <f>VLOOKUP(A2125,Insumos!$A$10:$F$3462,3,FALSE)</f>
        <v>L</v>
      </c>
      <c r="D2125" s="232">
        <v>0.25</v>
      </c>
      <c r="E2125" s="329">
        <f>VLOOKUP(A2125,Insumos!$A$10:$F$3462,4,FALSE)</f>
        <v>71.63</v>
      </c>
      <c r="F2125" s="329">
        <f>ROUND((D2125*E2125),2)</f>
        <v>17.91</v>
      </c>
      <c r="G2125" s="355"/>
    </row>
    <row r="2126" spans="1:7" s="220" customFormat="1" ht="26.25" x14ac:dyDescent="0.25">
      <c r="A2126" s="376">
        <v>62533</v>
      </c>
      <c r="B2126" s="230" t="str">
        <f>VLOOKUP(A2126,Insumos!$A$10:$F$3462,2,FALSE)</f>
        <v>TUBO DE ESGOTO PRIMARIO DE PVC BRANCO SERIE NORMAL (4") - 100MM - TIGRE, AMANCO OU EQUIVALENTE</v>
      </c>
      <c r="C2126" s="231" t="str">
        <f>VLOOKUP(A2126,Insumos!$A$10:$F$3462,3,FALSE)</f>
        <v>M</v>
      </c>
      <c r="D2126" s="232">
        <v>6</v>
      </c>
      <c r="E2126" s="329">
        <f>VLOOKUP(A2126,Insumos!$A$10:$F$3462,4,FALSE)</f>
        <v>18.63</v>
      </c>
      <c r="F2126" s="329">
        <f>ROUND((D2126*E2126),2)</f>
        <v>111.78</v>
      </c>
      <c r="G2126" s="355"/>
    </row>
    <row r="2127" spans="1:7" s="220" customFormat="1" x14ac:dyDescent="0.25">
      <c r="A2127" s="376"/>
      <c r="B2127" s="230"/>
      <c r="C2127" s="231"/>
      <c r="D2127" s="232"/>
      <c r="E2127" s="329"/>
      <c r="F2127" s="329"/>
      <c r="G2127" s="355"/>
    </row>
    <row r="2128" spans="1:7" s="220" customFormat="1" x14ac:dyDescent="0.25">
      <c r="A2128" s="376"/>
      <c r="B2128" s="236" t="s">
        <v>148</v>
      </c>
      <c r="C2128" s="237"/>
      <c r="D2128" s="246"/>
      <c r="E2128" s="353"/>
      <c r="F2128" s="353"/>
      <c r="G2128" s="338">
        <f>SUM(F2124:F2128)</f>
        <v>141.79</v>
      </c>
    </row>
    <row r="2129" spans="1:15" s="220" customFormat="1" x14ac:dyDescent="0.25">
      <c r="A2129" s="376"/>
      <c r="B2129" s="234" t="s">
        <v>149</v>
      </c>
      <c r="C2129" s="241"/>
      <c r="D2129" s="248"/>
      <c r="E2129" s="241"/>
      <c r="F2129" s="241"/>
      <c r="G2129" s="244" t="s">
        <v>150</v>
      </c>
    </row>
    <row r="2130" spans="1:15" s="220" customFormat="1" x14ac:dyDescent="0.25">
      <c r="A2130" s="383"/>
      <c r="B2130" s="230"/>
      <c r="C2130" s="231"/>
      <c r="D2130" s="232"/>
      <c r="E2130" s="231"/>
      <c r="F2130" s="231"/>
      <c r="G2130" s="233"/>
    </row>
    <row r="2131" spans="1:15" s="220" customFormat="1" x14ac:dyDescent="0.25">
      <c r="A2131" s="376"/>
      <c r="B2131" s="234"/>
      <c r="C2131" s="231"/>
      <c r="D2131" s="245"/>
      <c r="E2131" s="231"/>
      <c r="F2131" s="231"/>
      <c r="G2131" s="233"/>
    </row>
    <row r="2132" spans="1:15" s="220" customFormat="1" ht="15.75" thickBot="1" x14ac:dyDescent="0.3">
      <c r="A2132" s="376"/>
      <c r="B2132" s="249" t="s">
        <v>151</v>
      </c>
      <c r="C2132" s="250"/>
      <c r="D2132" s="251"/>
      <c r="E2132" s="250"/>
      <c r="F2132" s="250"/>
      <c r="G2132" s="252">
        <f>F2130</f>
        <v>0</v>
      </c>
    </row>
    <row r="2133" spans="1:15" s="220" customFormat="1" ht="15.75" thickBot="1" x14ac:dyDescent="0.3">
      <c r="A2133" s="376"/>
      <c r="B2133" s="1382"/>
      <c r="C2133" s="1382"/>
      <c r="D2133" s="1382"/>
      <c r="E2133" s="1382"/>
      <c r="F2133" s="1382"/>
      <c r="G2133" s="1382"/>
    </row>
    <row r="2134" spans="1:15" s="220" customFormat="1" ht="15.75" thickBot="1" x14ac:dyDescent="0.3">
      <c r="A2134" s="376"/>
      <c r="B2134" s="253" t="s">
        <v>152</v>
      </c>
      <c r="C2134" s="254" t="s">
        <v>4415</v>
      </c>
      <c r="D2134" s="255" t="s">
        <v>154</v>
      </c>
      <c r="E2134" s="1381" t="s">
        <v>155</v>
      </c>
      <c r="F2134" s="1381"/>
      <c r="G2134" s="1381"/>
    </row>
    <row r="2135" spans="1:15" s="220" customFormat="1" ht="15.75" thickBot="1" x14ac:dyDescent="0.3">
      <c r="A2135" s="376"/>
      <c r="B2135" s="256" t="s">
        <v>156</v>
      </c>
      <c r="C2135" s="257"/>
      <c r="D2135" s="369">
        <f>G2122</f>
        <v>15.68</v>
      </c>
      <c r="E2135" s="1381"/>
      <c r="F2135" s="1381"/>
      <c r="G2135" s="1381"/>
    </row>
    <row r="2136" spans="1:15" s="220" customFormat="1" ht="15.75" thickBot="1" x14ac:dyDescent="0.3">
      <c r="A2136" s="376"/>
      <c r="B2136" s="256" t="s">
        <v>157</v>
      </c>
      <c r="C2136" s="257"/>
      <c r="D2136" s="369">
        <f>G2128</f>
        <v>141.79</v>
      </c>
      <c r="E2136" s="1381"/>
      <c r="F2136" s="1381"/>
      <c r="G2136" s="1381"/>
    </row>
    <row r="2137" spans="1:15" s="220" customFormat="1" ht="15.75" thickBot="1" x14ac:dyDescent="0.3">
      <c r="A2137" s="376"/>
      <c r="B2137" s="256" t="s">
        <v>158</v>
      </c>
      <c r="C2137" s="257"/>
      <c r="D2137" s="369">
        <f>G2132</f>
        <v>0</v>
      </c>
      <c r="E2137" s="1381"/>
      <c r="F2137" s="1381"/>
      <c r="G2137" s="1381"/>
    </row>
    <row r="2138" spans="1:15" s="220" customFormat="1" ht="15.75" thickBot="1" x14ac:dyDescent="0.3">
      <c r="A2138" s="376"/>
      <c r="B2138" s="256" t="s">
        <v>159</v>
      </c>
      <c r="C2138" s="258">
        <f>$J$5</f>
        <v>157.27000000000001</v>
      </c>
      <c r="D2138" s="369">
        <f>D2135*C2138/100</f>
        <v>24.66</v>
      </c>
      <c r="E2138" s="1381"/>
      <c r="F2138" s="1381"/>
      <c r="G2138" s="1381"/>
    </row>
    <row r="2139" spans="1:15" s="220" customFormat="1" ht="15.75" thickBot="1" x14ac:dyDescent="0.3">
      <c r="A2139" s="376"/>
      <c r="B2139" s="256" t="s">
        <v>160</v>
      </c>
      <c r="C2139" s="259"/>
      <c r="D2139" s="370">
        <f>SUM(D2135:D2138)</f>
        <v>182.13</v>
      </c>
      <c r="E2139" s="1381"/>
      <c r="F2139" s="1381"/>
      <c r="G2139" s="1381"/>
    </row>
    <row r="2140" spans="1:15" s="220" customFormat="1" ht="15.75" thickBot="1" x14ac:dyDescent="0.3">
      <c r="A2140" s="376"/>
      <c r="B2140" s="256" t="s">
        <v>161</v>
      </c>
      <c r="C2140" s="257"/>
      <c r="D2140" s="369" t="s">
        <v>162</v>
      </c>
      <c r="E2140" s="1382" t="s">
        <v>163</v>
      </c>
      <c r="F2140" s="1382"/>
      <c r="G2140" s="1382"/>
    </row>
    <row r="2141" spans="1:15" s="220" customFormat="1" ht="15.75" thickBot="1" x14ac:dyDescent="0.3">
      <c r="A2141" s="376"/>
      <c r="B2141" s="260" t="s">
        <v>164</v>
      </c>
      <c r="C2141" s="261"/>
      <c r="D2141" s="334">
        <f>D2139</f>
        <v>182.13</v>
      </c>
      <c r="E2141" s="1382"/>
      <c r="F2141" s="1382"/>
      <c r="G2141" s="1382"/>
    </row>
    <row r="2142" spans="1:15" s="220" customFormat="1" ht="15.75" thickBot="1" x14ac:dyDescent="0.3">
      <c r="A2142" s="376"/>
      <c r="B2142" s="262" t="s">
        <v>165</v>
      </c>
      <c r="C2142" s="263">
        <f>$I$5</f>
        <v>28.49</v>
      </c>
      <c r="D2142" s="335">
        <f>D2141*C2142/100</f>
        <v>51.89</v>
      </c>
      <c r="E2142" s="1382"/>
      <c r="F2142" s="1382"/>
      <c r="G2142" s="1382"/>
    </row>
    <row r="2143" spans="1:15" s="220" customFormat="1" ht="15.75" thickBot="1" x14ac:dyDescent="0.3">
      <c r="A2143" s="376"/>
      <c r="B2143" s="264" t="s">
        <v>166</v>
      </c>
      <c r="C2143" s="265"/>
      <c r="D2143" s="336">
        <f>SUM(D2141:D2142)</f>
        <v>234.02</v>
      </c>
      <c r="E2143" s="266"/>
      <c r="F2143" s="337">
        <f>D2143</f>
        <v>234.02</v>
      </c>
      <c r="G2143" s="224"/>
    </row>
    <row r="2144" spans="1:15" x14ac:dyDescent="0.25">
      <c r="O2144" s="220"/>
    </row>
    <row r="2145" spans="1:15" ht="15.75" thickBot="1" x14ac:dyDescent="0.3">
      <c r="O2145" s="220"/>
    </row>
    <row r="2146" spans="1:15" s="220" customFormat="1" x14ac:dyDescent="0.25">
      <c r="A2146" s="383"/>
      <c r="B2146" s="1383" t="s">
        <v>131</v>
      </c>
      <c r="C2146" s="1383"/>
      <c r="D2146" s="1383"/>
      <c r="E2146" s="1383"/>
      <c r="F2146" s="1383"/>
      <c r="G2146" s="1383"/>
    </row>
    <row r="2147" spans="1:15" s="220" customFormat="1" ht="15.75" thickBot="1" x14ac:dyDescent="0.3">
      <c r="A2147" s="383"/>
      <c r="B2147" s="1384" t="str">
        <f>$I$3</f>
        <v>Urbanização da Orla de Piúma - Município de Piúma / ES</v>
      </c>
      <c r="C2147" s="1385"/>
      <c r="D2147" s="1385"/>
      <c r="E2147" s="1385"/>
      <c r="F2147" s="1385"/>
      <c r="G2147" s="1386"/>
    </row>
    <row r="2148" spans="1:15" s="220" customFormat="1" ht="15.75" thickBot="1" x14ac:dyDescent="0.3">
      <c r="A2148" s="376"/>
      <c r="B2148" s="223" t="s">
        <v>132</v>
      </c>
      <c r="C2148" s="223" t="s">
        <v>133</v>
      </c>
      <c r="D2148" s="1381" t="s">
        <v>134</v>
      </c>
      <c r="E2148" s="1381"/>
      <c r="F2148" s="224" t="s">
        <v>275</v>
      </c>
      <c r="G2148" s="224" t="s">
        <v>135</v>
      </c>
    </row>
    <row r="2149" spans="1:15" s="220" customFormat="1" ht="29.25" customHeight="1" thickBot="1" x14ac:dyDescent="0.3">
      <c r="A2149" s="376"/>
      <c r="B2149" s="225" t="s">
        <v>484</v>
      </c>
      <c r="C2149" s="226" t="s">
        <v>98</v>
      </c>
      <c r="D2149" s="1381" t="s">
        <v>361</v>
      </c>
      <c r="E2149" s="1381"/>
      <c r="F2149" s="267" t="s">
        <v>482</v>
      </c>
      <c r="G2149" s="38">
        <f>$K$5</f>
        <v>44501</v>
      </c>
    </row>
    <row r="2150" spans="1:15" s="220" customFormat="1" ht="15.75" thickBot="1" x14ac:dyDescent="0.3">
      <c r="A2150" s="376"/>
      <c r="B2150" s="1382"/>
      <c r="C2150" s="1382"/>
      <c r="D2150" s="1382"/>
      <c r="E2150" s="1382"/>
      <c r="F2150" s="1382"/>
      <c r="G2150" s="1382"/>
    </row>
    <row r="2151" spans="1:15" s="220" customFormat="1" x14ac:dyDescent="0.25">
      <c r="A2151" s="376"/>
      <c r="B2151" s="227" t="s">
        <v>139</v>
      </c>
      <c r="C2151" s="228" t="s">
        <v>140</v>
      </c>
      <c r="D2151" s="228" t="s">
        <v>141</v>
      </c>
      <c r="E2151" s="228" t="s">
        <v>142</v>
      </c>
      <c r="F2151" s="228" t="s">
        <v>143</v>
      </c>
      <c r="G2151" s="229" t="s">
        <v>144</v>
      </c>
    </row>
    <row r="2152" spans="1:15" s="220" customFormat="1" x14ac:dyDescent="0.25">
      <c r="A2152" s="376">
        <v>10101</v>
      </c>
      <c r="B2152" s="230" t="str">
        <f>VLOOKUP(A2152,Insumos!$A$10:$F$3462,2,FALSE)</f>
        <v>AJUDANTE (AJUDANTE PRATICO - SINDUSCON)</v>
      </c>
      <c r="C2152" s="231" t="str">
        <f>VLOOKUP(A2152,Insumos!$A$10:$F$3462,3,FALSE)</f>
        <v>H</v>
      </c>
      <c r="D2152" s="232">
        <v>10.25</v>
      </c>
      <c r="E2152" s="329">
        <f>VLOOKUP(A2152,Insumos!$A$10:$F$3462,4,FALSE)</f>
        <v>6.27</v>
      </c>
      <c r="F2152" s="329">
        <f>ROUND((D2152*E2152),2)</f>
        <v>64.27</v>
      </c>
      <c r="G2152" s="355"/>
    </row>
    <row r="2153" spans="1:15" s="220" customFormat="1" x14ac:dyDescent="0.25">
      <c r="A2153" s="376">
        <v>10115</v>
      </c>
      <c r="B2153" s="230" t="str">
        <f>VLOOKUP(A2153,Insumos!$A$10:$F$3462,2,FALSE)</f>
        <v>ELETRICISTA (OFICIAL - SINDUSCON)</v>
      </c>
      <c r="C2153" s="231" t="str">
        <f>VLOOKUP(A2153,Insumos!$A$10:$F$3462,3,FALSE)</f>
        <v>H</v>
      </c>
      <c r="D2153" s="232">
        <v>10.25</v>
      </c>
      <c r="E2153" s="329">
        <f>VLOOKUP(A2153,Insumos!$A$10:$F$3462,4,FALSE)</f>
        <v>7.43</v>
      </c>
      <c r="F2153" s="329">
        <f>ROUND((D2153*E2153),2)</f>
        <v>76.16</v>
      </c>
      <c r="G2153" s="355"/>
    </row>
    <row r="2154" spans="1:15" s="220" customFormat="1" x14ac:dyDescent="0.25">
      <c r="A2154" s="376"/>
      <c r="B2154" s="234"/>
      <c r="C2154" s="231"/>
      <c r="D2154" s="235"/>
      <c r="E2154" s="329"/>
      <c r="F2154" s="329"/>
      <c r="G2154" s="355"/>
    </row>
    <row r="2155" spans="1:15" s="220" customFormat="1" x14ac:dyDescent="0.25">
      <c r="A2155" s="376"/>
      <c r="B2155" s="236" t="s">
        <v>145</v>
      </c>
      <c r="C2155" s="237"/>
      <c r="D2155" s="238"/>
      <c r="E2155" s="329"/>
      <c r="F2155" s="353"/>
      <c r="G2155" s="338">
        <f>F2152</f>
        <v>64.27</v>
      </c>
    </row>
    <row r="2156" spans="1:15" s="220" customFormat="1" x14ac:dyDescent="0.25">
      <c r="A2156" s="376"/>
      <c r="B2156" s="234" t="s">
        <v>146</v>
      </c>
      <c r="C2156" s="241"/>
      <c r="D2156" s="242"/>
      <c r="E2156" s="231"/>
      <c r="F2156" s="243"/>
      <c r="G2156" s="244" t="s">
        <v>147</v>
      </c>
    </row>
    <row r="2157" spans="1:15" s="220" customFormat="1" x14ac:dyDescent="0.25">
      <c r="A2157" s="376">
        <v>27004</v>
      </c>
      <c r="B2157" s="230" t="str">
        <f>VLOOKUP(A2157,Insumos!$A$10:$F$3462,2,FALSE)</f>
        <v>ARAME GALVANIZADO N.14 BWG</v>
      </c>
      <c r="C2157" s="231" t="str">
        <f>VLOOKUP(A2157,Insumos!$A$10:$F$3462,3,FALSE)</f>
        <v>KG</v>
      </c>
      <c r="D2157" s="232">
        <v>0.5</v>
      </c>
      <c r="E2157" s="329">
        <f>VLOOKUP(A2157,Insumos!$A$10:$F$3462,4,FALSE)</f>
        <v>18.66</v>
      </c>
      <c r="F2157" s="329">
        <f>ROUND((D2157*E2157),2)</f>
        <v>9.33</v>
      </c>
      <c r="G2157" s="355"/>
    </row>
    <row r="2158" spans="1:15" s="220" customFormat="1" x14ac:dyDescent="0.25">
      <c r="A2158" s="376">
        <v>48516</v>
      </c>
      <c r="B2158" s="230" t="str">
        <f>VLOOKUP(A2158,Insumos!$A$10:$F$3462,2,FALSE)</f>
        <v>ARRUELA DE ALUMINIO FUNDIDO 3/4" - WETZEL OU EQUIVALENTE</v>
      </c>
      <c r="C2158" s="231" t="str">
        <f>VLOOKUP(A2158,Insumos!$A$10:$F$3462,3,FALSE)</f>
        <v>UN</v>
      </c>
      <c r="D2158" s="232">
        <v>2</v>
      </c>
      <c r="E2158" s="329">
        <f>VLOOKUP(A2158,Insumos!$A$10:$F$3462,4,FALSE)</f>
        <v>0.63</v>
      </c>
      <c r="F2158" s="329">
        <f>ROUND((D2158*E2158),2)</f>
        <v>1.26</v>
      </c>
      <c r="G2158" s="355"/>
    </row>
    <row r="2159" spans="1:15" s="220" customFormat="1" ht="26.25" x14ac:dyDescent="0.25">
      <c r="A2159" s="376">
        <v>48502</v>
      </c>
      <c r="B2159" s="230" t="str">
        <f>VLOOKUP(A2159,Insumos!$A$10:$F$3462,2,FALSE)</f>
        <v>BUCHA DE ALUMINIO FUNDIDO 3/4" C/ ROSCA BSP- WETZEL OU EQUIVALENTE</v>
      </c>
      <c r="C2159" s="231" t="str">
        <f>VLOOKUP(A2159,Insumos!$A$10:$F$3462,3,FALSE)</f>
        <v>UN</v>
      </c>
      <c r="D2159" s="232">
        <v>2</v>
      </c>
      <c r="E2159" s="329">
        <f>VLOOKUP(A2159,Insumos!$A$10:$F$3462,4,FALSE)</f>
        <v>1.1200000000000001</v>
      </c>
      <c r="F2159" s="329">
        <f>ROUND((D2159*E2159),2)</f>
        <v>2.2400000000000002</v>
      </c>
      <c r="G2159" s="355"/>
    </row>
    <row r="2160" spans="1:15" s="220" customFormat="1" x14ac:dyDescent="0.25">
      <c r="A2160" s="376">
        <v>1873</v>
      </c>
      <c r="B2160" s="230" t="str">
        <f>VLOOKUP(A2160,Insumos!$A$10:$F$3462,2,FALSE)</f>
        <v>CAIXA DE PASSAGEM, EM PVC, DE 4" X 4", PARA ELETRODUTO</v>
      </c>
      <c r="C2160" s="231" t="str">
        <f>VLOOKUP(A2160,Insumos!$A$10:$F$3462,3,FALSE)</f>
        <v>Und.</v>
      </c>
      <c r="D2160" s="232">
        <v>1</v>
      </c>
      <c r="E2160" s="329">
        <f>VLOOKUP(A2160,Insumos!$A$10:$F$3462,4,FALSE)</f>
        <v>5.68</v>
      </c>
      <c r="F2160" s="329">
        <f>ROUND((D2160*E2160),2)</f>
        <v>5.68</v>
      </c>
      <c r="G2160" s="355"/>
    </row>
    <row r="2161" spans="1:7" s="220" customFormat="1" x14ac:dyDescent="0.25">
      <c r="A2161" s="376">
        <v>42502</v>
      </c>
      <c r="B2161" s="230" t="str">
        <f>VLOOKUP(A2161,Insumos!$A$10:$F$3462,2,FALSE)</f>
        <v>ELETRODUTO DE PVC RIGIDO 3/4" - ROSCAVEL SEM LUVA</v>
      </c>
      <c r="C2161" s="231" t="str">
        <f>VLOOKUP(A2161,Insumos!$A$10:$F$3462,3,FALSE)</f>
        <v>M</v>
      </c>
      <c r="D2161" s="232">
        <v>19.8</v>
      </c>
      <c r="E2161" s="329">
        <f>VLOOKUP(A2161,Insumos!$A$10:$F$3462,4,FALSE)</f>
        <v>5.0599999999999996</v>
      </c>
      <c r="F2161" s="329">
        <f>ROUND((D2161*E2161),2)</f>
        <v>100.19</v>
      </c>
      <c r="G2161" s="355"/>
    </row>
    <row r="2162" spans="1:7" s="220" customFormat="1" x14ac:dyDescent="0.25">
      <c r="A2162" s="376"/>
      <c r="B2162" s="230"/>
      <c r="C2162" s="231"/>
      <c r="D2162" s="232"/>
      <c r="E2162" s="329"/>
      <c r="F2162" s="329"/>
      <c r="G2162" s="355"/>
    </row>
    <row r="2163" spans="1:7" s="220" customFormat="1" x14ac:dyDescent="0.25">
      <c r="A2163" s="376"/>
      <c r="B2163" s="230"/>
      <c r="C2163" s="231"/>
      <c r="D2163" s="232"/>
      <c r="E2163" s="329"/>
      <c r="F2163" s="329"/>
      <c r="G2163" s="355"/>
    </row>
    <row r="2164" spans="1:7" s="220" customFormat="1" x14ac:dyDescent="0.25">
      <c r="A2164" s="376"/>
      <c r="B2164" s="236" t="s">
        <v>148</v>
      </c>
      <c r="C2164" s="237"/>
      <c r="D2164" s="246"/>
      <c r="E2164" s="353"/>
      <c r="F2164" s="353"/>
      <c r="G2164" s="338">
        <f>SUM(F2157:F2164)</f>
        <v>118.7</v>
      </c>
    </row>
    <row r="2165" spans="1:7" s="220" customFormat="1" x14ac:dyDescent="0.25">
      <c r="A2165" s="376"/>
      <c r="B2165" s="234" t="s">
        <v>149</v>
      </c>
      <c r="C2165" s="241"/>
      <c r="D2165" s="248"/>
      <c r="E2165" s="241"/>
      <c r="F2165" s="241"/>
      <c r="G2165" s="244" t="s">
        <v>150</v>
      </c>
    </row>
    <row r="2166" spans="1:7" s="220" customFormat="1" x14ac:dyDescent="0.25">
      <c r="A2166" s="383"/>
      <c r="B2166" s="230"/>
      <c r="C2166" s="231"/>
      <c r="D2166" s="232"/>
      <c r="E2166" s="231"/>
      <c r="F2166" s="231"/>
      <c r="G2166" s="233"/>
    </row>
    <row r="2167" spans="1:7" s="220" customFormat="1" x14ac:dyDescent="0.25">
      <c r="A2167" s="376"/>
      <c r="B2167" s="234"/>
      <c r="C2167" s="231"/>
      <c r="D2167" s="245"/>
      <c r="E2167" s="231"/>
      <c r="F2167" s="231"/>
      <c r="G2167" s="233"/>
    </row>
    <row r="2168" spans="1:7" s="220" customFormat="1" ht="15.75" thickBot="1" x14ac:dyDescent="0.3">
      <c r="A2168" s="376"/>
      <c r="B2168" s="249" t="s">
        <v>151</v>
      </c>
      <c r="C2168" s="250"/>
      <c r="D2168" s="251"/>
      <c r="E2168" s="250"/>
      <c r="F2168" s="250"/>
      <c r="G2168" s="252">
        <f>F2166</f>
        <v>0</v>
      </c>
    </row>
    <row r="2169" spans="1:7" s="220" customFormat="1" ht="15.75" thickBot="1" x14ac:dyDescent="0.3">
      <c r="A2169" s="376"/>
      <c r="B2169" s="1382"/>
      <c r="C2169" s="1382"/>
      <c r="D2169" s="1382"/>
      <c r="E2169" s="1382"/>
      <c r="F2169" s="1382"/>
      <c r="G2169" s="1382"/>
    </row>
    <row r="2170" spans="1:7" s="220" customFormat="1" ht="15.75" thickBot="1" x14ac:dyDescent="0.3">
      <c r="A2170" s="376"/>
      <c r="B2170" s="253" t="s">
        <v>152</v>
      </c>
      <c r="C2170" s="254" t="s">
        <v>4415</v>
      </c>
      <c r="D2170" s="255" t="s">
        <v>154</v>
      </c>
      <c r="E2170" s="1381" t="s">
        <v>155</v>
      </c>
      <c r="F2170" s="1381"/>
      <c r="G2170" s="1381"/>
    </row>
    <row r="2171" spans="1:7" s="220" customFormat="1" ht="15.75" thickBot="1" x14ac:dyDescent="0.3">
      <c r="A2171" s="376"/>
      <c r="B2171" s="256" t="s">
        <v>156</v>
      </c>
      <c r="C2171" s="257"/>
      <c r="D2171" s="369">
        <f>G2155</f>
        <v>64.27</v>
      </c>
      <c r="E2171" s="1381"/>
      <c r="F2171" s="1381"/>
      <c r="G2171" s="1381"/>
    </row>
    <row r="2172" spans="1:7" s="220" customFormat="1" ht="15.75" thickBot="1" x14ac:dyDescent="0.3">
      <c r="A2172" s="376"/>
      <c r="B2172" s="256" t="s">
        <v>157</v>
      </c>
      <c r="C2172" s="257"/>
      <c r="D2172" s="369">
        <f>G2164</f>
        <v>118.7</v>
      </c>
      <c r="E2172" s="1381"/>
      <c r="F2172" s="1381"/>
      <c r="G2172" s="1381"/>
    </row>
    <row r="2173" spans="1:7" s="220" customFormat="1" ht="15.75" thickBot="1" x14ac:dyDescent="0.3">
      <c r="A2173" s="376"/>
      <c r="B2173" s="256" t="s">
        <v>158</v>
      </c>
      <c r="C2173" s="257"/>
      <c r="D2173" s="369">
        <f>G2168</f>
        <v>0</v>
      </c>
      <c r="E2173" s="1381"/>
      <c r="F2173" s="1381"/>
      <c r="G2173" s="1381"/>
    </row>
    <row r="2174" spans="1:7" s="220" customFormat="1" ht="15.75" thickBot="1" x14ac:dyDescent="0.3">
      <c r="A2174" s="376"/>
      <c r="B2174" s="256" t="s">
        <v>159</v>
      </c>
      <c r="C2174" s="258">
        <f>$J$5</f>
        <v>157.27000000000001</v>
      </c>
      <c r="D2174" s="369">
        <f>D2171*C2174/100</f>
        <v>101.08</v>
      </c>
      <c r="E2174" s="1381"/>
      <c r="F2174" s="1381"/>
      <c r="G2174" s="1381"/>
    </row>
    <row r="2175" spans="1:7" s="220" customFormat="1" ht="15.75" thickBot="1" x14ac:dyDescent="0.3">
      <c r="A2175" s="376"/>
      <c r="B2175" s="256" t="s">
        <v>160</v>
      </c>
      <c r="C2175" s="259"/>
      <c r="D2175" s="370">
        <f>SUM(D2171:D2174)</f>
        <v>284.05</v>
      </c>
      <c r="E2175" s="1381"/>
      <c r="F2175" s="1381"/>
      <c r="G2175" s="1381"/>
    </row>
    <row r="2176" spans="1:7" s="220" customFormat="1" ht="15.75" thickBot="1" x14ac:dyDescent="0.3">
      <c r="A2176" s="376"/>
      <c r="B2176" s="256" t="s">
        <v>161</v>
      </c>
      <c r="C2176" s="257"/>
      <c r="D2176" s="369" t="s">
        <v>162</v>
      </c>
      <c r="E2176" s="1382" t="s">
        <v>163</v>
      </c>
      <c r="F2176" s="1382"/>
      <c r="G2176" s="1382"/>
    </row>
    <row r="2177" spans="1:15" s="220" customFormat="1" ht="15.75" thickBot="1" x14ac:dyDescent="0.3">
      <c r="A2177" s="376"/>
      <c r="B2177" s="260" t="s">
        <v>164</v>
      </c>
      <c r="C2177" s="261"/>
      <c r="D2177" s="334">
        <f>D2175</f>
        <v>284.05</v>
      </c>
      <c r="E2177" s="1382"/>
      <c r="F2177" s="1382"/>
      <c r="G2177" s="1382"/>
    </row>
    <row r="2178" spans="1:15" s="220" customFormat="1" ht="15.75" thickBot="1" x14ac:dyDescent="0.3">
      <c r="A2178" s="376"/>
      <c r="B2178" s="262" t="s">
        <v>165</v>
      </c>
      <c r="C2178" s="263">
        <f>$I$5</f>
        <v>28.49</v>
      </c>
      <c r="D2178" s="335">
        <f>D2177*C2178/100</f>
        <v>80.930000000000007</v>
      </c>
      <c r="E2178" s="1382"/>
      <c r="F2178" s="1382"/>
      <c r="G2178" s="1382"/>
    </row>
    <row r="2179" spans="1:15" s="220" customFormat="1" ht="15.75" thickBot="1" x14ac:dyDescent="0.3">
      <c r="A2179" s="376"/>
      <c r="B2179" s="264" t="s">
        <v>166</v>
      </c>
      <c r="C2179" s="265"/>
      <c r="D2179" s="336">
        <f>SUM(D2177:D2178)</f>
        <v>364.98</v>
      </c>
      <c r="E2179" s="266"/>
      <c r="F2179" s="337">
        <f>D2179</f>
        <v>364.98</v>
      </c>
      <c r="G2179" s="224"/>
    </row>
    <row r="2180" spans="1:15" x14ac:dyDescent="0.25">
      <c r="O2180" s="220"/>
    </row>
    <row r="2181" spans="1:15" ht="15.75" thickBot="1" x14ac:dyDescent="0.3">
      <c r="O2181" s="220"/>
    </row>
    <row r="2182" spans="1:15" s="220" customFormat="1" x14ac:dyDescent="0.25">
      <c r="A2182" s="383"/>
      <c r="B2182" s="1383" t="s">
        <v>131</v>
      </c>
      <c r="C2182" s="1383"/>
      <c r="D2182" s="1383"/>
      <c r="E2182" s="1383"/>
      <c r="F2182" s="1383"/>
      <c r="G2182" s="1383"/>
    </row>
    <row r="2183" spans="1:15" s="220" customFormat="1" ht="15.75" thickBot="1" x14ac:dyDescent="0.3">
      <c r="A2183" s="383"/>
      <c r="B2183" s="1384" t="str">
        <f>$I$3</f>
        <v>Urbanização da Orla de Piúma - Município de Piúma / ES</v>
      </c>
      <c r="C2183" s="1385"/>
      <c r="D2183" s="1385"/>
      <c r="E2183" s="1385"/>
      <c r="F2183" s="1385"/>
      <c r="G2183" s="1386"/>
    </row>
    <row r="2184" spans="1:15" s="220" customFormat="1" ht="15.75" thickBot="1" x14ac:dyDescent="0.3">
      <c r="A2184" s="376"/>
      <c r="B2184" s="223" t="s">
        <v>132</v>
      </c>
      <c r="C2184" s="223" t="s">
        <v>133</v>
      </c>
      <c r="D2184" s="1381" t="s">
        <v>134</v>
      </c>
      <c r="E2184" s="1381"/>
      <c r="F2184" s="224" t="s">
        <v>275</v>
      </c>
      <c r="G2184" s="224" t="s">
        <v>135</v>
      </c>
    </row>
    <row r="2185" spans="1:15" s="220" customFormat="1" ht="15.75" thickBot="1" x14ac:dyDescent="0.3">
      <c r="A2185" s="376"/>
      <c r="B2185" s="225" t="s">
        <v>510</v>
      </c>
      <c r="C2185" s="226" t="s">
        <v>98</v>
      </c>
      <c r="D2185" s="1381" t="s">
        <v>5</v>
      </c>
      <c r="E2185" s="1381"/>
      <c r="F2185" s="267" t="s">
        <v>511</v>
      </c>
      <c r="G2185" s="38">
        <f>$K$5</f>
        <v>44501</v>
      </c>
    </row>
    <row r="2186" spans="1:15" s="220" customFormat="1" ht="15.75" thickBot="1" x14ac:dyDescent="0.3">
      <c r="A2186" s="376"/>
      <c r="B2186" s="1382"/>
      <c r="C2186" s="1382"/>
      <c r="D2186" s="1382"/>
      <c r="E2186" s="1382"/>
      <c r="F2186" s="1382"/>
      <c r="G2186" s="1382"/>
    </row>
    <row r="2187" spans="1:15" s="220" customFormat="1" x14ac:dyDescent="0.25">
      <c r="A2187" s="376"/>
      <c r="B2187" s="227" t="s">
        <v>139</v>
      </c>
      <c r="C2187" s="228" t="s">
        <v>140</v>
      </c>
      <c r="D2187" s="228" t="s">
        <v>141</v>
      </c>
      <c r="E2187" s="228" t="s">
        <v>142</v>
      </c>
      <c r="F2187" s="228" t="s">
        <v>143</v>
      </c>
      <c r="G2187" s="229" t="s">
        <v>144</v>
      </c>
    </row>
    <row r="2188" spans="1:15" s="220" customFormat="1" x14ac:dyDescent="0.25">
      <c r="A2188" s="376">
        <v>10146</v>
      </c>
      <c r="B2188" s="230" t="str">
        <f>VLOOKUP(A2188,Insumos!$A$10:$F$3462,2,FALSE)</f>
        <v>SERVENTE (AUXILIAR DE OBRAS - SINDUSCON)</v>
      </c>
      <c r="C2188" s="231" t="str">
        <f>VLOOKUP(A2188,Insumos!$A$10:$F$3462,3,FALSE)</f>
        <v>H</v>
      </c>
      <c r="D2188" s="232">
        <v>2.5</v>
      </c>
      <c r="E2188" s="329">
        <f>VLOOKUP(A2188,Insumos!$A$10:$F$3462,4,FALSE)</f>
        <v>5.46</v>
      </c>
      <c r="F2188" s="329">
        <f>ROUND((D2188*E2188),2)</f>
        <v>13.65</v>
      </c>
      <c r="G2188" s="355"/>
    </row>
    <row r="2189" spans="1:15" s="220" customFormat="1" x14ac:dyDescent="0.25">
      <c r="A2189" s="376"/>
      <c r="B2189" s="234"/>
      <c r="C2189" s="231"/>
      <c r="D2189" s="235"/>
      <c r="E2189" s="329"/>
      <c r="F2189" s="329"/>
      <c r="G2189" s="355"/>
    </row>
    <row r="2190" spans="1:15" s="220" customFormat="1" x14ac:dyDescent="0.25">
      <c r="A2190" s="376"/>
      <c r="B2190" s="236" t="s">
        <v>145</v>
      </c>
      <c r="C2190" s="237"/>
      <c r="D2190" s="238"/>
      <c r="E2190" s="329"/>
      <c r="F2190" s="353"/>
      <c r="G2190" s="338">
        <f>F2188</f>
        <v>13.65</v>
      </c>
    </row>
    <row r="2191" spans="1:15" s="220" customFormat="1" x14ac:dyDescent="0.25">
      <c r="A2191" s="376"/>
      <c r="B2191" s="234" t="s">
        <v>146</v>
      </c>
      <c r="C2191" s="241"/>
      <c r="D2191" s="242"/>
      <c r="E2191" s="231"/>
      <c r="F2191" s="243"/>
      <c r="G2191" s="244" t="s">
        <v>147</v>
      </c>
    </row>
    <row r="2192" spans="1:15" s="220" customFormat="1" x14ac:dyDescent="0.25">
      <c r="A2192" s="376" t="s">
        <v>492</v>
      </c>
      <c r="B2192" s="230" t="str">
        <f>VLOOKUP(A2192,Insumos!$A$10:$F$3462,2,FALSE)</f>
        <v>Repiso Sport 200 Regularizador Acrílico - barrica 50 kg</v>
      </c>
      <c r="C2192" s="231" t="str">
        <f>VLOOKUP(A2192,Insumos!$A$10:$F$3462,3,FALSE)</f>
        <v>und</v>
      </c>
      <c r="D2192" s="232">
        <v>1.2E-2</v>
      </c>
      <c r="E2192" s="329">
        <f>VLOOKUP(A2192,Insumos!$A$10:$F$3462,4,FALSE)</f>
        <v>481</v>
      </c>
      <c r="F2192" s="329">
        <f>ROUND((D2192*E2192),2)</f>
        <v>5.77</v>
      </c>
      <c r="G2192" s="355"/>
    </row>
    <row r="2193" spans="1:7" s="220" customFormat="1" x14ac:dyDescent="0.25">
      <c r="A2193" s="376" t="s">
        <v>493</v>
      </c>
      <c r="B2193" s="230" t="str">
        <f>VLOOKUP(A2193,Insumos!$A$10:$F$3462,2,FALSE)</f>
        <v>Repiso Via  Vermelho - barrica 50 kg</v>
      </c>
      <c r="C2193" s="231" t="str">
        <f>VLOOKUP(A2193,Insumos!$A$10:$F$3462,3,FALSE)</f>
        <v>und</v>
      </c>
      <c r="D2193" s="232">
        <v>1.6E-2</v>
      </c>
      <c r="E2193" s="329">
        <f>VLOOKUP(A2193,Insumos!$A$10:$F$3462,4,FALSE)</f>
        <v>570</v>
      </c>
      <c r="F2193" s="329">
        <f>ROUND((D2193*E2193),2)</f>
        <v>9.1199999999999992</v>
      </c>
      <c r="G2193" s="355"/>
    </row>
    <row r="2194" spans="1:7" s="220" customFormat="1" x14ac:dyDescent="0.25">
      <c r="A2194" s="376" t="s">
        <v>494</v>
      </c>
      <c r="B2194" s="230" t="str">
        <f>VLOOKUP(A2194,Insumos!$A$10:$F$3462,2,FALSE)</f>
        <v>Repiso Sport 100 Tinta Amarelo</v>
      </c>
      <c r="C2194" s="231" t="str">
        <f>VLOOKUP(A2194,Insumos!$A$10:$F$3462,3,FALSE)</f>
        <v>und</v>
      </c>
      <c r="D2194" s="232">
        <v>6.8999999999999997E-4</v>
      </c>
      <c r="E2194" s="329">
        <f>VLOOKUP(A2194,Insumos!$A$10:$F$3462,4,FALSE)</f>
        <v>297</v>
      </c>
      <c r="F2194" s="329">
        <f>ROUND((D2194*E2194),2)</f>
        <v>0.2</v>
      </c>
      <c r="G2194" s="355"/>
    </row>
    <row r="2195" spans="1:7" s="220" customFormat="1" x14ac:dyDescent="0.25">
      <c r="A2195" s="376" t="s">
        <v>495</v>
      </c>
      <c r="B2195" s="230" t="str">
        <f>VLOOKUP(A2195,Insumos!$A$10:$F$3462,2,FALSE)</f>
        <v>Repiso Sport 100 Tinta Branco</v>
      </c>
      <c r="C2195" s="231" t="str">
        <f>VLOOKUP(A2195,Insumos!$A$10:$F$3462,3,FALSE)</f>
        <v>und</v>
      </c>
      <c r="D2195" s="232">
        <v>1.3799999999999999E-3</v>
      </c>
      <c r="E2195" s="329">
        <f>VLOOKUP(A2195,Insumos!$A$10:$F$3462,4,FALSE)</f>
        <v>358</v>
      </c>
      <c r="F2195" s="329">
        <f>ROUND((D2195*E2195),2)</f>
        <v>0.49</v>
      </c>
      <c r="G2195" s="355"/>
    </row>
    <row r="2196" spans="1:7" s="220" customFormat="1" x14ac:dyDescent="0.25">
      <c r="A2196" s="376"/>
      <c r="B2196" s="230"/>
      <c r="C2196" s="231"/>
      <c r="D2196" s="232"/>
      <c r="E2196" s="329"/>
      <c r="F2196" s="329"/>
      <c r="G2196" s="355"/>
    </row>
    <row r="2197" spans="1:7" s="220" customFormat="1" x14ac:dyDescent="0.25">
      <c r="A2197" s="376"/>
      <c r="B2197" s="236" t="s">
        <v>148</v>
      </c>
      <c r="C2197" s="237"/>
      <c r="D2197" s="246"/>
      <c r="E2197" s="353"/>
      <c r="F2197" s="353"/>
      <c r="G2197" s="338">
        <f>SUM(F2192:F2197)</f>
        <v>15.58</v>
      </c>
    </row>
    <row r="2198" spans="1:7" s="220" customFormat="1" x14ac:dyDescent="0.25">
      <c r="A2198" s="376"/>
      <c r="B2198" s="234" t="s">
        <v>149</v>
      </c>
      <c r="C2198" s="241"/>
      <c r="D2198" s="248"/>
      <c r="E2198" s="241"/>
      <c r="F2198" s="241"/>
      <c r="G2198" s="244" t="s">
        <v>150</v>
      </c>
    </row>
    <row r="2199" spans="1:7" s="220" customFormat="1" x14ac:dyDescent="0.25">
      <c r="A2199" s="383"/>
      <c r="B2199" s="230"/>
      <c r="C2199" s="231"/>
      <c r="D2199" s="232"/>
      <c r="E2199" s="231"/>
      <c r="F2199" s="231"/>
      <c r="G2199" s="233"/>
    </row>
    <row r="2200" spans="1:7" s="220" customFormat="1" x14ac:dyDescent="0.25">
      <c r="A2200" s="376"/>
      <c r="B2200" s="234"/>
      <c r="C2200" s="231"/>
      <c r="D2200" s="245"/>
      <c r="E2200" s="231"/>
      <c r="F2200" s="231"/>
      <c r="G2200" s="233"/>
    </row>
    <row r="2201" spans="1:7" s="220" customFormat="1" ht="15.75" thickBot="1" x14ac:dyDescent="0.3">
      <c r="A2201" s="376"/>
      <c r="B2201" s="249" t="s">
        <v>151</v>
      </c>
      <c r="C2201" s="250"/>
      <c r="D2201" s="251"/>
      <c r="E2201" s="250"/>
      <c r="F2201" s="250"/>
      <c r="G2201" s="252">
        <f>F2199</f>
        <v>0</v>
      </c>
    </row>
    <row r="2202" spans="1:7" s="220" customFormat="1" ht="15.75" thickBot="1" x14ac:dyDescent="0.3">
      <c r="A2202" s="376"/>
      <c r="B2202" s="1382"/>
      <c r="C2202" s="1382"/>
      <c r="D2202" s="1382"/>
      <c r="E2202" s="1382"/>
      <c r="F2202" s="1382"/>
      <c r="G2202" s="1382"/>
    </row>
    <row r="2203" spans="1:7" s="220" customFormat="1" ht="15.75" thickBot="1" x14ac:dyDescent="0.3">
      <c r="A2203" s="376"/>
      <c r="B2203" s="253" t="s">
        <v>152</v>
      </c>
      <c r="C2203" s="254" t="s">
        <v>153</v>
      </c>
      <c r="D2203" s="255" t="s">
        <v>154</v>
      </c>
      <c r="E2203" s="1381" t="s">
        <v>155</v>
      </c>
      <c r="F2203" s="1381"/>
      <c r="G2203" s="1381"/>
    </row>
    <row r="2204" spans="1:7" s="220" customFormat="1" ht="15.75" thickBot="1" x14ac:dyDescent="0.3">
      <c r="A2204" s="376"/>
      <c r="B2204" s="256" t="s">
        <v>156</v>
      </c>
      <c r="C2204" s="257"/>
      <c r="D2204" s="369">
        <f>G2190</f>
        <v>13.65</v>
      </c>
      <c r="E2204" s="1381"/>
      <c r="F2204" s="1381"/>
      <c r="G2204" s="1381"/>
    </row>
    <row r="2205" spans="1:7" s="220" customFormat="1" ht="15.75" thickBot="1" x14ac:dyDescent="0.3">
      <c r="A2205" s="376"/>
      <c r="B2205" s="256" t="s">
        <v>157</v>
      </c>
      <c r="C2205" s="257"/>
      <c r="D2205" s="369">
        <f>G2197</f>
        <v>15.58</v>
      </c>
      <c r="E2205" s="1381"/>
      <c r="F2205" s="1381"/>
      <c r="G2205" s="1381"/>
    </row>
    <row r="2206" spans="1:7" s="220" customFormat="1" ht="15.75" thickBot="1" x14ac:dyDescent="0.3">
      <c r="A2206" s="376"/>
      <c r="B2206" s="256" t="s">
        <v>158</v>
      </c>
      <c r="C2206" s="257"/>
      <c r="D2206" s="369">
        <f>G2201</f>
        <v>0</v>
      </c>
      <c r="E2206" s="1381"/>
      <c r="F2206" s="1381"/>
      <c r="G2206" s="1381"/>
    </row>
    <row r="2207" spans="1:7" s="220" customFormat="1" ht="15.75" thickBot="1" x14ac:dyDescent="0.3">
      <c r="A2207" s="376"/>
      <c r="B2207" s="256" t="s">
        <v>159</v>
      </c>
      <c r="C2207" s="258">
        <f>$J$5</f>
        <v>157.27000000000001</v>
      </c>
      <c r="D2207" s="369">
        <f>D2204*C2207/100</f>
        <v>21.47</v>
      </c>
      <c r="E2207" s="1381"/>
      <c r="F2207" s="1381"/>
      <c r="G2207" s="1381"/>
    </row>
    <row r="2208" spans="1:7" s="220" customFormat="1" ht="15.75" thickBot="1" x14ac:dyDescent="0.3">
      <c r="A2208" s="376"/>
      <c r="B2208" s="256" t="s">
        <v>160</v>
      </c>
      <c r="C2208" s="259"/>
      <c r="D2208" s="370">
        <f>SUM(D2204:D2207)</f>
        <v>50.7</v>
      </c>
      <c r="E2208" s="1381"/>
      <c r="F2208" s="1381"/>
      <c r="G2208" s="1381"/>
    </row>
    <row r="2209" spans="1:15" s="220" customFormat="1" ht="15.75" thickBot="1" x14ac:dyDescent="0.3">
      <c r="A2209" s="376"/>
      <c r="B2209" s="256" t="s">
        <v>161</v>
      </c>
      <c r="C2209" s="257"/>
      <c r="D2209" s="369" t="s">
        <v>162</v>
      </c>
      <c r="E2209" s="1382" t="s">
        <v>163</v>
      </c>
      <c r="F2209" s="1382"/>
      <c r="G2209" s="1382"/>
    </row>
    <row r="2210" spans="1:15" s="220" customFormat="1" ht="15.75" thickBot="1" x14ac:dyDescent="0.3">
      <c r="A2210" s="376"/>
      <c r="B2210" s="260" t="s">
        <v>164</v>
      </c>
      <c r="C2210" s="261"/>
      <c r="D2210" s="334">
        <f>D2208</f>
        <v>50.7</v>
      </c>
      <c r="E2210" s="1382"/>
      <c r="F2210" s="1382"/>
      <c r="G2210" s="1382"/>
    </row>
    <row r="2211" spans="1:15" s="220" customFormat="1" ht="15.75" thickBot="1" x14ac:dyDescent="0.3">
      <c r="A2211" s="376"/>
      <c r="B2211" s="262" t="s">
        <v>165</v>
      </c>
      <c r="C2211" s="263">
        <f>$I$5</f>
        <v>28.49</v>
      </c>
      <c r="D2211" s="335">
        <f>D2210*C2211/100</f>
        <v>14.44</v>
      </c>
      <c r="E2211" s="1382"/>
      <c r="F2211" s="1382"/>
      <c r="G2211" s="1382"/>
    </row>
    <row r="2212" spans="1:15" s="220" customFormat="1" ht="15.75" thickBot="1" x14ac:dyDescent="0.3">
      <c r="A2212" s="376"/>
      <c r="B2212" s="264" t="s">
        <v>166</v>
      </c>
      <c r="C2212" s="265"/>
      <c r="D2212" s="336">
        <f>SUM(D2210:D2211)</f>
        <v>65.14</v>
      </c>
      <c r="E2212" s="266"/>
      <c r="F2212" s="337">
        <f>D2212</f>
        <v>65.14</v>
      </c>
      <c r="G2212" s="224"/>
    </row>
    <row r="2213" spans="1:15" x14ac:dyDescent="0.25">
      <c r="O2213" s="220"/>
    </row>
    <row r="2214" spans="1:15" s="220" customFormat="1" ht="15.75" thickBot="1" x14ac:dyDescent="0.3">
      <c r="A2214" s="382"/>
    </row>
    <row r="2215" spans="1:15" x14ac:dyDescent="0.25">
      <c r="B2215" s="1383" t="s">
        <v>131</v>
      </c>
      <c r="C2215" s="1383"/>
      <c r="D2215" s="1383"/>
      <c r="E2215" s="1383"/>
      <c r="F2215" s="1383"/>
      <c r="G2215" s="1383"/>
      <c r="O2215" s="220"/>
    </row>
    <row r="2216" spans="1:15" ht="15.75" thickBot="1" x14ac:dyDescent="0.3">
      <c r="B2216" s="1384" t="str">
        <f>$I$3</f>
        <v>Urbanização da Orla de Piúma - Município de Piúma / ES</v>
      </c>
      <c r="C2216" s="1385"/>
      <c r="D2216" s="1385"/>
      <c r="E2216" s="1385"/>
      <c r="F2216" s="1385"/>
      <c r="G2216" s="1386"/>
      <c r="O2216" s="220"/>
    </row>
    <row r="2217" spans="1:15" ht="15.75" thickBot="1" x14ac:dyDescent="0.3">
      <c r="B2217" s="223" t="s">
        <v>132</v>
      </c>
      <c r="C2217" s="223" t="s">
        <v>133</v>
      </c>
      <c r="D2217" s="1381" t="s">
        <v>134</v>
      </c>
      <c r="E2217" s="1381"/>
      <c r="F2217" s="224" t="s">
        <v>275</v>
      </c>
      <c r="G2217" s="224" t="s">
        <v>135</v>
      </c>
      <c r="O2217" s="220"/>
    </row>
    <row r="2218" spans="1:15" ht="27" thickBot="1" x14ac:dyDescent="0.3">
      <c r="B2218" s="225" t="s">
        <v>4446</v>
      </c>
      <c r="C2218" s="226" t="s">
        <v>98</v>
      </c>
      <c r="D2218" s="1381" t="s">
        <v>6</v>
      </c>
      <c r="E2218" s="1381"/>
      <c r="F2218" s="267" t="s">
        <v>4436</v>
      </c>
      <c r="G2218" s="38">
        <f>$K$5</f>
        <v>44501</v>
      </c>
      <c r="O2218" s="220"/>
    </row>
    <row r="2219" spans="1:15" ht="15.75" thickBot="1" x14ac:dyDescent="0.3">
      <c r="B2219" s="1382"/>
      <c r="C2219" s="1382"/>
      <c r="D2219" s="1382"/>
      <c r="E2219" s="1382"/>
      <c r="F2219" s="1382"/>
      <c r="G2219" s="1382"/>
      <c r="O2219" s="220"/>
    </row>
    <row r="2220" spans="1:15" x14ac:dyDescent="0.25">
      <c r="B2220" s="227" t="s">
        <v>139</v>
      </c>
      <c r="C2220" s="228" t="s">
        <v>140</v>
      </c>
      <c r="D2220" s="228" t="s">
        <v>141</v>
      </c>
      <c r="E2220" s="228" t="s">
        <v>142</v>
      </c>
      <c r="F2220" s="228" t="s">
        <v>143</v>
      </c>
      <c r="G2220" s="229" t="s">
        <v>144</v>
      </c>
      <c r="O2220" s="220"/>
    </row>
    <row r="2221" spans="1:15" x14ac:dyDescent="0.25">
      <c r="A2221" s="382">
        <v>10146</v>
      </c>
      <c r="B2221" s="230" t="str">
        <f>VLOOKUP(A2221,Insumos!$A$10:$F$3462,2,FALSE)</f>
        <v>SERVENTE (AUXILIAR DE OBRAS - SINDUSCON)</v>
      </c>
      <c r="C2221" s="231" t="str">
        <f>VLOOKUP(A2221,Insumos!$A$10:$F$3462,3,FALSE)</f>
        <v>H</v>
      </c>
      <c r="D2221" s="232">
        <v>6</v>
      </c>
      <c r="E2221" s="329">
        <f>VLOOKUP(A2221,Insumos!$A$10:$F$3462,4,FALSE)</f>
        <v>5.46</v>
      </c>
      <c r="F2221" s="329">
        <f>ROUND((D2221*E2221),2)</f>
        <v>32.76</v>
      </c>
      <c r="G2221" s="355"/>
      <c r="O2221" s="220"/>
    </row>
    <row r="2222" spans="1:15" s="220" customFormat="1" x14ac:dyDescent="0.25">
      <c r="A2222" s="382">
        <v>10139</v>
      </c>
      <c r="B2222" s="230" t="str">
        <f>VLOOKUP(A2222,Insumos!$A$10:$F$3462,2,FALSE)</f>
        <v>PEDREIRO - (OFICIAL - SINDUSCON)</v>
      </c>
      <c r="C2222" s="231" t="str">
        <f>VLOOKUP(A2222,Insumos!$A$10:$F$3462,3,FALSE)</f>
        <v>H</v>
      </c>
      <c r="D2222" s="232">
        <v>2.5</v>
      </c>
      <c r="E2222" s="329">
        <f>VLOOKUP(A2222,Insumos!$A$10:$F$3462,4,FALSE)</f>
        <v>7.43</v>
      </c>
      <c r="F2222" s="329">
        <f>ROUND((D2222*E2222),2)</f>
        <v>18.579999999999998</v>
      </c>
      <c r="G2222" s="355"/>
    </row>
    <row r="2223" spans="1:15" x14ac:dyDescent="0.25">
      <c r="B2223" s="234"/>
      <c r="C2223" s="231"/>
      <c r="D2223" s="235"/>
      <c r="E2223" s="329"/>
      <c r="F2223" s="329"/>
      <c r="G2223" s="355"/>
      <c r="O2223" s="220"/>
    </row>
    <row r="2224" spans="1:15" x14ac:dyDescent="0.25">
      <c r="B2224" s="236" t="s">
        <v>145</v>
      </c>
      <c r="C2224" s="237"/>
      <c r="D2224" s="238"/>
      <c r="E2224" s="329"/>
      <c r="F2224" s="353"/>
      <c r="G2224" s="338">
        <f>SUM(F2220:F2224)</f>
        <v>51.34</v>
      </c>
      <c r="O2224" s="220"/>
    </row>
    <row r="2225" spans="1:15" x14ac:dyDescent="0.25">
      <c r="B2225" s="234" t="s">
        <v>146</v>
      </c>
      <c r="C2225" s="241"/>
      <c r="D2225" s="242"/>
      <c r="E2225" s="231"/>
      <c r="F2225" s="243"/>
      <c r="G2225" s="244" t="s">
        <v>147</v>
      </c>
      <c r="O2225" s="220"/>
    </row>
    <row r="2226" spans="1:15" x14ac:dyDescent="0.25">
      <c r="A2226" s="382">
        <v>20505</v>
      </c>
      <c r="B2226" s="230" t="str">
        <f>VLOOKUP(A2226,Insumos!$A$10:$F$3462,2,FALSE)</f>
        <v>CAL HIDRATADO P/ ARGAMASSA CH III</v>
      </c>
      <c r="C2226" s="231" t="str">
        <f>VLOOKUP(A2226,Insumos!$A$10:$F$3462,3,FALSE)</f>
        <v>KG</v>
      </c>
      <c r="D2226" s="232">
        <v>11.7</v>
      </c>
      <c r="E2226" s="329">
        <f>VLOOKUP(A2226,Insumos!$A$10:$F$3462,4,FALSE)</f>
        <v>0.78</v>
      </c>
      <c r="F2226" s="329">
        <f>ROUND((D2226*E2226),2)</f>
        <v>9.1300000000000008</v>
      </c>
      <c r="G2226" s="355"/>
      <c r="I2226">
        <v>7</v>
      </c>
      <c r="J2226">
        <f>ROUNDUP(I2226/6,2)</f>
        <v>1.17</v>
      </c>
      <c r="M2226">
        <v>0.01</v>
      </c>
      <c r="O2226" s="220">
        <v>0.1</v>
      </c>
    </row>
    <row r="2227" spans="1:15" x14ac:dyDescent="0.25">
      <c r="A2227" s="382">
        <v>20508</v>
      </c>
      <c r="B2227" s="230" t="str">
        <f>VLOOKUP(A2227,Insumos!$A$10:$F$3462,2,FALSE)</f>
        <v>CIMENTO PORTLAND CP III - 40</v>
      </c>
      <c r="C2227" s="231" t="str">
        <f>VLOOKUP(A2227,Insumos!$A$10:$F$3462,3,FALSE)</f>
        <v>KG</v>
      </c>
      <c r="D2227" s="232">
        <v>83.4</v>
      </c>
      <c r="E2227" s="329">
        <f>VLOOKUP(A2227,Insumos!$A$10:$F$3462,4,FALSE)</f>
        <v>0.46</v>
      </c>
      <c r="F2227" s="329">
        <f>ROUND((D2227*E2227),2)</f>
        <v>38.36</v>
      </c>
      <c r="G2227" s="355"/>
      <c r="I2227">
        <v>50</v>
      </c>
      <c r="J2227" s="220">
        <f>ROUNDUP(I2227/6,2)</f>
        <v>8.34</v>
      </c>
      <c r="M2227">
        <v>0.84</v>
      </c>
      <c r="O2227" s="220">
        <f>(M2227*O2226)/M2226</f>
        <v>8.4</v>
      </c>
    </row>
    <row r="2228" spans="1:15" x14ac:dyDescent="0.25">
      <c r="A2228" s="376" t="s">
        <v>4433</v>
      </c>
      <c r="B2228" s="230" t="str">
        <f>VLOOKUP(A2228,Insumos!$A$10:$F$3462,2,FALSE)</f>
        <v>GRANILHA BRANCA N 01 30 KG</v>
      </c>
      <c r="C2228" s="231" t="str">
        <f>VLOOKUP(A2228,Insumos!$A$10:$F$3462,3,FALSE)</f>
        <v>kg</v>
      </c>
      <c r="D2228" s="232">
        <v>133.4</v>
      </c>
      <c r="E2228" s="329">
        <f>VLOOKUP(A2228,Insumos!$A$10:$F$3462,4,FALSE)</f>
        <v>0.93</v>
      </c>
      <c r="F2228" s="329">
        <f>ROUND((D2228*E2228),2)</f>
        <v>124.06</v>
      </c>
      <c r="G2228" s="355"/>
      <c r="I2228">
        <v>80</v>
      </c>
      <c r="J2228" s="220">
        <f>ROUNDUP(I2228/6,2)</f>
        <v>13.34</v>
      </c>
      <c r="O2228" s="220"/>
    </row>
    <row r="2229" spans="1:15" x14ac:dyDescent="0.25">
      <c r="A2229" s="376" t="s">
        <v>4434</v>
      </c>
      <c r="B2229" s="230" t="str">
        <f>VLOOKUP(A2229,Insumos!$A$10:$F$3462,2,FALSE)</f>
        <v>GRANILHA PRETA N 01 30 KG</v>
      </c>
      <c r="C2229" s="231" t="str">
        <f>VLOOKUP(A2229,Insumos!$A$10:$F$3462,3,FALSE)</f>
        <v>kg</v>
      </c>
      <c r="D2229" s="232">
        <v>11.7</v>
      </c>
      <c r="E2229" s="329">
        <f>VLOOKUP(A2229,Insumos!$A$10:$F$3462,4,FALSE)</f>
        <v>0.93</v>
      </c>
      <c r="F2229" s="329">
        <f>ROUND((D2229*E2229),2)</f>
        <v>10.88</v>
      </c>
      <c r="G2229" s="355"/>
      <c r="I2229">
        <v>7</v>
      </c>
      <c r="J2229" s="220">
        <f>ROUNDUP(I2229/6,2)</f>
        <v>1.17</v>
      </c>
      <c r="O2229" s="220"/>
    </row>
    <row r="2230" spans="1:15" s="220" customFormat="1" x14ac:dyDescent="0.25">
      <c r="A2230" s="376" t="s">
        <v>4439</v>
      </c>
      <c r="B2230" s="230" t="str">
        <f>VLOOKUP(A2230,Insumos!$A$10:$F$3462,2,FALSE)</f>
        <v>ÁCIDO MURIÁTICO</v>
      </c>
      <c r="C2230" s="231" t="str">
        <f>VLOOKUP(A2230,Insumos!$A$10:$F$3462,3,FALSE)</f>
        <v>l</v>
      </c>
      <c r="D2230" s="232">
        <v>8.4</v>
      </c>
      <c r="E2230" s="329">
        <f>VLOOKUP(A2230,Insumos!$A$10:$F$3462,4,FALSE)</f>
        <v>10</v>
      </c>
      <c r="F2230" s="329">
        <f>ROUND((D2230*E2230),2)</f>
        <v>84</v>
      </c>
      <c r="G2230" s="355"/>
      <c r="I2230" s="220">
        <v>5</v>
      </c>
      <c r="J2230" s="220">
        <f>ROUNDUP(I2230/6,2)</f>
        <v>0.84</v>
      </c>
    </row>
    <row r="2231" spans="1:15" x14ac:dyDescent="0.25">
      <c r="B2231" s="236" t="s">
        <v>148</v>
      </c>
      <c r="C2231" s="237"/>
      <c r="D2231" s="246"/>
      <c r="E2231" s="353"/>
      <c r="F2231" s="353"/>
      <c r="G2231" s="338">
        <f>SUM(F2226:F2231)</f>
        <v>266.43</v>
      </c>
      <c r="O2231" s="220"/>
    </row>
    <row r="2232" spans="1:15" x14ac:dyDescent="0.25">
      <c r="B2232" s="234" t="s">
        <v>149</v>
      </c>
      <c r="C2232" s="241"/>
      <c r="D2232" s="248"/>
      <c r="E2232" s="241"/>
      <c r="F2232" s="241"/>
      <c r="G2232" s="244" t="s">
        <v>150</v>
      </c>
      <c r="O2232" s="220"/>
    </row>
    <row r="2233" spans="1:15" s="220" customFormat="1" ht="26.25" x14ac:dyDescent="0.25">
      <c r="A2233" s="382"/>
      <c r="B2233" s="234" t="s">
        <v>4442</v>
      </c>
      <c r="C2233" s="241" t="s">
        <v>4443</v>
      </c>
      <c r="D2233" s="232">
        <v>0.25</v>
      </c>
      <c r="E2233" s="329">
        <v>17.89</v>
      </c>
      <c r="F2233" s="329">
        <f>ROUND((D2233*E2233),2)</f>
        <v>4.47</v>
      </c>
      <c r="G2233" s="355"/>
    </row>
    <row r="2234" spans="1:15" ht="26.25" x14ac:dyDescent="0.25">
      <c r="B2234" s="230" t="s">
        <v>4444</v>
      </c>
      <c r="C2234" s="231" t="s">
        <v>4445</v>
      </c>
      <c r="D2234" s="232">
        <f>D2233*5.142857</f>
        <v>1.285714</v>
      </c>
      <c r="E2234" s="329">
        <v>5.04</v>
      </c>
      <c r="F2234" s="329">
        <f>ROUND((D2234*E2234),2)</f>
        <v>6.48</v>
      </c>
      <c r="G2234" s="355"/>
      <c r="O2234" s="220"/>
    </row>
    <row r="2235" spans="1:15" x14ac:dyDescent="0.25">
      <c r="B2235" s="234"/>
      <c r="C2235" s="231"/>
      <c r="D2235" s="245"/>
      <c r="E2235" s="231"/>
      <c r="F2235" s="231"/>
      <c r="G2235" s="233"/>
      <c r="O2235" s="220"/>
    </row>
    <row r="2236" spans="1:15" ht="15.75" thickBot="1" x14ac:dyDescent="0.3">
      <c r="B2236" s="249" t="s">
        <v>151</v>
      </c>
      <c r="C2236" s="250"/>
      <c r="D2236" s="251"/>
      <c r="E2236" s="250"/>
      <c r="F2236" s="250"/>
      <c r="G2236" s="338">
        <f>SUM(F2233:F2236)</f>
        <v>10.95</v>
      </c>
      <c r="O2236" s="220"/>
    </row>
    <row r="2237" spans="1:15" ht="15.75" thickBot="1" x14ac:dyDescent="0.3">
      <c r="B2237" s="1382"/>
      <c r="C2237" s="1382"/>
      <c r="D2237" s="1382"/>
      <c r="E2237" s="1382"/>
      <c r="F2237" s="1382"/>
      <c r="G2237" s="1382"/>
      <c r="O2237" s="220"/>
    </row>
    <row r="2238" spans="1:15" ht="15.75" thickBot="1" x14ac:dyDescent="0.3">
      <c r="B2238" s="253" t="s">
        <v>152</v>
      </c>
      <c r="C2238" s="254" t="s">
        <v>153</v>
      </c>
      <c r="D2238" s="255" t="s">
        <v>154</v>
      </c>
      <c r="E2238" s="1381" t="s">
        <v>155</v>
      </c>
      <c r="F2238" s="1381"/>
      <c r="G2238" s="1381"/>
      <c r="O2238" s="220"/>
    </row>
    <row r="2239" spans="1:15" ht="15.75" thickBot="1" x14ac:dyDescent="0.3">
      <c r="B2239" s="256" t="s">
        <v>156</v>
      </c>
      <c r="C2239" s="257"/>
      <c r="D2239" s="369">
        <f>G2224</f>
        <v>51.34</v>
      </c>
      <c r="E2239" s="1381"/>
      <c r="F2239" s="1381"/>
      <c r="G2239" s="1381"/>
      <c r="O2239" s="220"/>
    </row>
    <row r="2240" spans="1:15" ht="15.75" thickBot="1" x14ac:dyDescent="0.3">
      <c r="B2240" s="256" t="s">
        <v>157</v>
      </c>
      <c r="C2240" s="257"/>
      <c r="D2240" s="369">
        <f>G2231</f>
        <v>266.43</v>
      </c>
      <c r="E2240" s="1381"/>
      <c r="F2240" s="1381"/>
      <c r="G2240" s="1381"/>
      <c r="O2240" s="220"/>
    </row>
    <row r="2241" spans="2:15" ht="15.75" thickBot="1" x14ac:dyDescent="0.3">
      <c r="B2241" s="256" t="s">
        <v>158</v>
      </c>
      <c r="C2241" s="257"/>
      <c r="D2241" s="369">
        <f>G2236</f>
        <v>10.95</v>
      </c>
      <c r="E2241" s="1381"/>
      <c r="F2241" s="1381"/>
      <c r="G2241" s="1381"/>
      <c r="O2241" s="220"/>
    </row>
    <row r="2242" spans="2:15" ht="15.75" thickBot="1" x14ac:dyDescent="0.3">
      <c r="B2242" s="256" t="s">
        <v>159</v>
      </c>
      <c r="C2242" s="258">
        <f>$J$5</f>
        <v>157.27000000000001</v>
      </c>
      <c r="D2242" s="369">
        <f>D2239*C2242/100</f>
        <v>80.739999999999995</v>
      </c>
      <c r="E2242" s="1381"/>
      <c r="F2242" s="1381"/>
      <c r="G2242" s="1381"/>
      <c r="O2242" s="220"/>
    </row>
    <row r="2243" spans="2:15" ht="15.75" thickBot="1" x14ac:dyDescent="0.3">
      <c r="B2243" s="256" t="s">
        <v>160</v>
      </c>
      <c r="C2243" s="259"/>
      <c r="D2243" s="370">
        <f>SUM(D2239:D2242)</f>
        <v>409.46</v>
      </c>
      <c r="E2243" s="1381"/>
      <c r="F2243" s="1381"/>
      <c r="G2243" s="1381"/>
      <c r="O2243" s="220"/>
    </row>
    <row r="2244" spans="2:15" ht="15.75" thickBot="1" x14ac:dyDescent="0.3">
      <c r="B2244" s="256" t="s">
        <v>161</v>
      </c>
      <c r="C2244" s="257"/>
      <c r="D2244" s="369" t="s">
        <v>162</v>
      </c>
      <c r="E2244" s="1382" t="s">
        <v>163</v>
      </c>
      <c r="F2244" s="1382"/>
      <c r="G2244" s="1382"/>
      <c r="O2244" s="220"/>
    </row>
    <row r="2245" spans="2:15" ht="15.75" thickBot="1" x14ac:dyDescent="0.3">
      <c r="B2245" s="260" t="s">
        <v>164</v>
      </c>
      <c r="C2245" s="261"/>
      <c r="D2245" s="334">
        <f>D2243</f>
        <v>409.46</v>
      </c>
      <c r="E2245" s="1382"/>
      <c r="F2245" s="1382"/>
      <c r="G2245" s="1382"/>
      <c r="O2245" s="220"/>
    </row>
    <row r="2246" spans="2:15" ht="15.75" thickBot="1" x14ac:dyDescent="0.3">
      <c r="B2246" s="262" t="s">
        <v>165</v>
      </c>
      <c r="C2246" s="263">
        <f>$I$5</f>
        <v>28.49</v>
      </c>
      <c r="D2246" s="335">
        <f>D2245*C2246/100</f>
        <v>116.66</v>
      </c>
      <c r="E2246" s="1382"/>
      <c r="F2246" s="1382"/>
      <c r="G2246" s="1382"/>
      <c r="O2246" s="220"/>
    </row>
    <row r="2247" spans="2:15" ht="15.75" thickBot="1" x14ac:dyDescent="0.3">
      <c r="B2247" s="264" t="s">
        <v>166</v>
      </c>
      <c r="C2247" s="265"/>
      <c r="D2247" s="336">
        <f>SUM(D2245:D2246)</f>
        <v>526.12</v>
      </c>
      <c r="E2247" s="266"/>
      <c r="F2247" s="337">
        <f>D2247</f>
        <v>526.12</v>
      </c>
      <c r="G2247" s="224"/>
      <c r="O2247" s="220"/>
    </row>
    <row r="2248" spans="2:15" x14ac:dyDescent="0.25">
      <c r="O2248" s="220"/>
    </row>
    <row r="2249" spans="2:15" ht="15.75" thickBot="1" x14ac:dyDescent="0.3">
      <c r="O2249" s="220"/>
    </row>
    <row r="2250" spans="2:15" x14ac:dyDescent="0.25">
      <c r="B2250" s="1383" t="s">
        <v>131</v>
      </c>
      <c r="C2250" s="1383"/>
      <c r="D2250" s="1383"/>
      <c r="E2250" s="1383"/>
      <c r="F2250" s="1383"/>
      <c r="G2250" s="1383"/>
      <c r="O2250" s="220"/>
    </row>
    <row r="2251" spans="2:15" ht="15.75" thickBot="1" x14ac:dyDescent="0.3">
      <c r="B2251" s="1384" t="str">
        <f>$I$3</f>
        <v>Urbanização da Orla de Piúma - Município de Piúma / ES</v>
      </c>
      <c r="C2251" s="1385"/>
      <c r="D2251" s="1385"/>
      <c r="E2251" s="1385"/>
      <c r="F2251" s="1385"/>
      <c r="G2251" s="1386"/>
      <c r="O2251" s="220"/>
    </row>
    <row r="2252" spans="2:15" ht="15.75" thickBot="1" x14ac:dyDescent="0.3">
      <c r="B2252" s="223" t="s">
        <v>132</v>
      </c>
      <c r="C2252" s="223" t="s">
        <v>133</v>
      </c>
      <c r="D2252" s="1381" t="s">
        <v>134</v>
      </c>
      <c r="E2252" s="1381"/>
      <c r="F2252" s="224" t="s">
        <v>275</v>
      </c>
      <c r="G2252" s="224" t="s">
        <v>135</v>
      </c>
      <c r="O2252" s="220"/>
    </row>
    <row r="2253" spans="2:15" ht="15.75" thickBot="1" x14ac:dyDescent="0.3">
      <c r="B2253" s="225" t="s">
        <v>24633</v>
      </c>
      <c r="C2253" s="226" t="s">
        <v>98</v>
      </c>
      <c r="D2253" s="1381" t="s">
        <v>5</v>
      </c>
      <c r="E2253" s="1381"/>
      <c r="F2253" s="267" t="s">
        <v>24611</v>
      </c>
      <c r="G2253" s="38">
        <f>$K$5</f>
        <v>44501</v>
      </c>
      <c r="O2253" s="220"/>
    </row>
    <row r="2254" spans="2:15" ht="15.75" thickBot="1" x14ac:dyDescent="0.3">
      <c r="B2254" s="1382"/>
      <c r="C2254" s="1382"/>
      <c r="D2254" s="1382"/>
      <c r="E2254" s="1382"/>
      <c r="F2254" s="1382"/>
      <c r="G2254" s="1382"/>
      <c r="O2254" s="220"/>
    </row>
    <row r="2255" spans="2:15" x14ac:dyDescent="0.25">
      <c r="B2255" s="227" t="s">
        <v>139</v>
      </c>
      <c r="C2255" s="228" t="s">
        <v>140</v>
      </c>
      <c r="D2255" s="228" t="s">
        <v>141</v>
      </c>
      <c r="E2255" s="228" t="s">
        <v>142</v>
      </c>
      <c r="F2255" s="228" t="s">
        <v>143</v>
      </c>
      <c r="G2255" s="229" t="s">
        <v>144</v>
      </c>
      <c r="O2255" s="220"/>
    </row>
    <row r="2256" spans="2:15" x14ac:dyDescent="0.25">
      <c r="B2256" s="234" t="s">
        <v>24660</v>
      </c>
      <c r="C2256" s="231" t="s">
        <v>75</v>
      </c>
      <c r="D2256" s="235">
        <v>0.8</v>
      </c>
      <c r="E2256" s="329">
        <v>0.02</v>
      </c>
      <c r="F2256" s="387">
        <f>ROUND((D2256*E2256),2)</f>
        <v>0.02</v>
      </c>
      <c r="G2256" s="355"/>
      <c r="O2256" s="220"/>
    </row>
    <row r="2257" spans="1:15" s="220" customFormat="1" x14ac:dyDescent="0.25">
      <c r="A2257" s="382"/>
      <c r="B2257" s="234"/>
      <c r="C2257" s="231"/>
      <c r="D2257" s="235"/>
      <c r="E2257" s="329"/>
      <c r="F2257" s="329"/>
      <c r="G2257" s="355"/>
    </row>
    <row r="2258" spans="1:15" x14ac:dyDescent="0.25">
      <c r="B2258" s="236" t="s">
        <v>145</v>
      </c>
      <c r="C2258" s="237"/>
      <c r="D2258" s="238"/>
      <c r="E2258" s="329"/>
      <c r="F2258" s="353"/>
      <c r="G2258" s="338">
        <f>SUM(F2255:F2258)</f>
        <v>0.02</v>
      </c>
      <c r="O2258" s="220"/>
    </row>
    <row r="2259" spans="1:15" x14ac:dyDescent="0.25">
      <c r="B2259" s="234" t="s">
        <v>146</v>
      </c>
      <c r="C2259" s="241"/>
      <c r="D2259" s="242"/>
      <c r="E2259" s="231"/>
      <c r="F2259" s="243"/>
      <c r="G2259" s="244" t="s">
        <v>147</v>
      </c>
      <c r="O2259" s="220"/>
    </row>
    <row r="2260" spans="1:15" s="220" customFormat="1" x14ac:dyDescent="0.25">
      <c r="A2260" s="382"/>
      <c r="B2260" s="234" t="s">
        <v>24631</v>
      </c>
      <c r="C2260" s="241" t="s">
        <v>24632</v>
      </c>
      <c r="D2260" s="242">
        <v>1.5</v>
      </c>
      <c r="E2260" s="231">
        <v>22</v>
      </c>
      <c r="F2260" s="387">
        <f>ROUND((D2260*E2260),2)</f>
        <v>33</v>
      </c>
      <c r="G2260" s="322"/>
    </row>
    <row r="2261" spans="1:15" s="220" customFormat="1" x14ac:dyDescent="0.25">
      <c r="A2261" s="382"/>
      <c r="B2261" s="234"/>
      <c r="C2261" s="241"/>
      <c r="D2261" s="242"/>
      <c r="E2261" s="231"/>
      <c r="F2261" s="387"/>
      <c r="G2261" s="322"/>
    </row>
    <row r="2262" spans="1:15" x14ac:dyDescent="0.25">
      <c r="B2262" s="236" t="s">
        <v>148</v>
      </c>
      <c r="C2262" s="237"/>
      <c r="D2262" s="246"/>
      <c r="E2262" s="353"/>
      <c r="F2262" s="353"/>
      <c r="G2262" s="338">
        <f>SUM(F2260:F2262)</f>
        <v>33</v>
      </c>
      <c r="O2262" s="220"/>
    </row>
    <row r="2263" spans="1:15" x14ac:dyDescent="0.25">
      <c r="B2263" s="234" t="s">
        <v>149</v>
      </c>
      <c r="C2263" s="241"/>
      <c r="D2263" s="248"/>
      <c r="E2263" s="241"/>
      <c r="F2263" s="241"/>
      <c r="G2263" s="244" t="s">
        <v>150</v>
      </c>
      <c r="O2263" s="220"/>
    </row>
    <row r="2264" spans="1:15" ht="39" x14ac:dyDescent="0.25">
      <c r="B2264" s="230" t="s">
        <v>24661</v>
      </c>
      <c r="C2264" s="231" t="s">
        <v>4443</v>
      </c>
      <c r="D2264" s="232">
        <v>1.4E-2</v>
      </c>
      <c r="E2264" s="329">
        <v>207.54</v>
      </c>
      <c r="F2264" s="329">
        <f>ROUND((D2264*E2264),2)</f>
        <v>2.91</v>
      </c>
      <c r="G2264" s="355"/>
      <c r="O2264" s="220"/>
    </row>
    <row r="2265" spans="1:15" x14ac:dyDescent="0.25">
      <c r="B2265" s="234"/>
      <c r="C2265" s="231"/>
      <c r="D2265" s="245"/>
      <c r="E2265" s="231"/>
      <c r="F2265" s="231"/>
      <c r="G2265" s="233"/>
      <c r="O2265" s="220"/>
    </row>
    <row r="2266" spans="1:15" ht="15.75" thickBot="1" x14ac:dyDescent="0.3">
      <c r="B2266" s="249" t="s">
        <v>151</v>
      </c>
      <c r="C2266" s="250"/>
      <c r="D2266" s="251"/>
      <c r="E2266" s="250"/>
      <c r="F2266" s="250"/>
      <c r="G2266" s="338">
        <f>SUM(F2264:F2266)</f>
        <v>2.91</v>
      </c>
      <c r="O2266" s="220"/>
    </row>
    <row r="2267" spans="1:15" ht="15.75" thickBot="1" x14ac:dyDescent="0.3">
      <c r="B2267" s="1382"/>
      <c r="C2267" s="1382"/>
      <c r="D2267" s="1382"/>
      <c r="E2267" s="1382"/>
      <c r="F2267" s="1382"/>
      <c r="G2267" s="1382"/>
      <c r="O2267" s="220"/>
    </row>
    <row r="2268" spans="1:15" ht="15.75" thickBot="1" x14ac:dyDescent="0.3">
      <c r="B2268" s="253" t="s">
        <v>152</v>
      </c>
      <c r="C2268" s="254" t="s">
        <v>153</v>
      </c>
      <c r="D2268" s="255" t="s">
        <v>154</v>
      </c>
      <c r="E2268" s="1381" t="s">
        <v>155</v>
      </c>
      <c r="F2268" s="1381"/>
      <c r="G2268" s="1381"/>
      <c r="O2268" s="220"/>
    </row>
    <row r="2269" spans="1:15" ht="15.75" thickBot="1" x14ac:dyDescent="0.3">
      <c r="B2269" s="256" t="s">
        <v>156</v>
      </c>
      <c r="C2269" s="257"/>
      <c r="D2269" s="369">
        <f>G2258</f>
        <v>0.02</v>
      </c>
      <c r="E2269" s="1381"/>
      <c r="F2269" s="1381"/>
      <c r="G2269" s="1381"/>
      <c r="O2269" s="220"/>
    </row>
    <row r="2270" spans="1:15" ht="15.75" thickBot="1" x14ac:dyDescent="0.3">
      <c r="B2270" s="256" t="s">
        <v>157</v>
      </c>
      <c r="C2270" s="257"/>
      <c r="D2270" s="369">
        <f>G2262</f>
        <v>33</v>
      </c>
      <c r="E2270" s="1381"/>
      <c r="F2270" s="1381"/>
      <c r="G2270" s="1381"/>
      <c r="O2270" s="220"/>
    </row>
    <row r="2271" spans="1:15" ht="15.75" thickBot="1" x14ac:dyDescent="0.3">
      <c r="B2271" s="256" t="s">
        <v>158</v>
      </c>
      <c r="C2271" s="257"/>
      <c r="D2271" s="369">
        <f>G2266</f>
        <v>2.91</v>
      </c>
      <c r="E2271" s="1381"/>
      <c r="F2271" s="1381"/>
      <c r="G2271" s="1381"/>
      <c r="O2271" s="220"/>
    </row>
    <row r="2272" spans="1:15" ht="15.75" thickBot="1" x14ac:dyDescent="0.3">
      <c r="B2272" s="256" t="s">
        <v>159</v>
      </c>
      <c r="C2272" s="258">
        <f>$J$5</f>
        <v>157.27000000000001</v>
      </c>
      <c r="D2272" s="369">
        <f>D2269*C2272/100</f>
        <v>0.03</v>
      </c>
      <c r="E2272" s="1381"/>
      <c r="F2272" s="1381"/>
      <c r="G2272" s="1381"/>
      <c r="O2272" s="220"/>
    </row>
    <row r="2273" spans="1:15" ht="15.75" thickBot="1" x14ac:dyDescent="0.3">
      <c r="B2273" s="256" t="s">
        <v>160</v>
      </c>
      <c r="C2273" s="259"/>
      <c r="D2273" s="370">
        <f>SUM(D2269:D2272)</f>
        <v>35.96</v>
      </c>
      <c r="E2273" s="1381"/>
      <c r="F2273" s="1381"/>
      <c r="G2273" s="1381"/>
      <c r="O2273" s="220"/>
    </row>
    <row r="2274" spans="1:15" ht="15.75" thickBot="1" x14ac:dyDescent="0.3">
      <c r="B2274" s="256" t="s">
        <v>161</v>
      </c>
      <c r="C2274" s="257"/>
      <c r="D2274" s="369" t="s">
        <v>162</v>
      </c>
      <c r="E2274" s="1382" t="s">
        <v>163</v>
      </c>
      <c r="F2274" s="1382"/>
      <c r="G2274" s="1382"/>
      <c r="O2274" s="220"/>
    </row>
    <row r="2275" spans="1:15" ht="15.75" thickBot="1" x14ac:dyDescent="0.3">
      <c r="B2275" s="260" t="s">
        <v>164</v>
      </c>
      <c r="C2275" s="261"/>
      <c r="D2275" s="334">
        <f>D2273</f>
        <v>35.96</v>
      </c>
      <c r="E2275" s="1382"/>
      <c r="F2275" s="1382"/>
      <c r="G2275" s="1382"/>
    </row>
    <row r="2276" spans="1:15" ht="15.75" thickBot="1" x14ac:dyDescent="0.3">
      <c r="B2276" s="262" t="s">
        <v>165</v>
      </c>
      <c r="C2276" s="263">
        <f>$I$5</f>
        <v>28.49</v>
      </c>
      <c r="D2276" s="335">
        <f>D2275*C2276/100</f>
        <v>10.25</v>
      </c>
      <c r="E2276" s="1382"/>
      <c r="F2276" s="1382"/>
      <c r="G2276" s="1382"/>
    </row>
    <row r="2277" spans="1:15" ht="15.75" thickBot="1" x14ac:dyDescent="0.3">
      <c r="B2277" s="264" t="s">
        <v>166</v>
      </c>
      <c r="C2277" s="265"/>
      <c r="D2277" s="336">
        <f>SUM(D2275:D2276)</f>
        <v>46.21</v>
      </c>
      <c r="E2277" s="266"/>
      <c r="F2277" s="337">
        <f>D2277</f>
        <v>46.21</v>
      </c>
      <c r="G2277" s="224"/>
    </row>
    <row r="2279" spans="1:15" ht="15.75" thickBot="1" x14ac:dyDescent="0.3"/>
    <row r="2280" spans="1:15" s="220" customFormat="1" x14ac:dyDescent="0.25">
      <c r="A2280" s="382"/>
      <c r="B2280" s="1383" t="s">
        <v>131</v>
      </c>
      <c r="C2280" s="1383"/>
      <c r="D2280" s="1383"/>
      <c r="E2280" s="1383"/>
      <c r="F2280" s="1383"/>
      <c r="G2280" s="1383"/>
    </row>
    <row r="2281" spans="1:15" s="220" customFormat="1" ht="15.75" thickBot="1" x14ac:dyDescent="0.3">
      <c r="A2281" s="382"/>
      <c r="B2281" s="1384" t="str">
        <f>$I$3</f>
        <v>Urbanização da Orla de Piúma - Município de Piúma / ES</v>
      </c>
      <c r="C2281" s="1385"/>
      <c r="D2281" s="1385"/>
      <c r="E2281" s="1385"/>
      <c r="F2281" s="1385"/>
      <c r="G2281" s="1386"/>
    </row>
    <row r="2282" spans="1:15" s="220" customFormat="1" ht="15.75" thickBot="1" x14ac:dyDescent="0.3">
      <c r="A2282" s="382"/>
      <c r="B2282" s="223" t="s">
        <v>132</v>
      </c>
      <c r="C2282" s="223" t="s">
        <v>133</v>
      </c>
      <c r="D2282" s="1381" t="s">
        <v>134</v>
      </c>
      <c r="E2282" s="1381"/>
      <c r="F2282" s="224" t="s">
        <v>275</v>
      </c>
      <c r="G2282" s="224" t="s">
        <v>135</v>
      </c>
    </row>
    <row r="2283" spans="1:15" s="220" customFormat="1" ht="39.75" thickBot="1" x14ac:dyDescent="0.3">
      <c r="A2283" s="382"/>
      <c r="B2283" s="225" t="s">
        <v>24638</v>
      </c>
      <c r="C2283" s="226" t="s">
        <v>98</v>
      </c>
      <c r="D2283" s="1381" t="s">
        <v>6</v>
      </c>
      <c r="E2283" s="1381"/>
      <c r="F2283" s="267" t="s">
        <v>24621</v>
      </c>
      <c r="G2283" s="38">
        <f>$K$5</f>
        <v>44501</v>
      </c>
    </row>
    <row r="2284" spans="1:15" s="220" customFormat="1" ht="15.75" thickBot="1" x14ac:dyDescent="0.3">
      <c r="A2284" s="382"/>
      <c r="B2284" s="1382"/>
      <c r="C2284" s="1382"/>
      <c r="D2284" s="1382"/>
      <c r="E2284" s="1382"/>
      <c r="F2284" s="1382"/>
      <c r="G2284" s="1382"/>
    </row>
    <row r="2285" spans="1:15" s="220" customFormat="1" x14ac:dyDescent="0.25">
      <c r="A2285" s="382"/>
      <c r="B2285" s="227" t="s">
        <v>139</v>
      </c>
      <c r="C2285" s="228" t="s">
        <v>140</v>
      </c>
      <c r="D2285" s="228" t="s">
        <v>141</v>
      </c>
      <c r="E2285" s="228" t="s">
        <v>142</v>
      </c>
      <c r="F2285" s="228" t="s">
        <v>143</v>
      </c>
      <c r="G2285" s="229" t="s">
        <v>144</v>
      </c>
    </row>
    <row r="2286" spans="1:15" s="220" customFormat="1" x14ac:dyDescent="0.25">
      <c r="A2286" s="382">
        <v>10146</v>
      </c>
      <c r="B2286" s="230" t="str">
        <f>VLOOKUP(A2286,Insumos!$A$10:$F$3462,2,FALSE)</f>
        <v>SERVENTE (AUXILIAR DE OBRAS - SINDUSCON)</v>
      </c>
      <c r="C2286" s="231" t="str">
        <f>VLOOKUP(A2286,Insumos!$A$10:$F$3462,3,FALSE)</f>
        <v>H</v>
      </c>
      <c r="D2286" s="232">
        <v>0.2</v>
      </c>
      <c r="E2286" s="329">
        <f>VLOOKUP(A2286,Insumos!$A$10:$F$3462,4,FALSE)</f>
        <v>5.46</v>
      </c>
      <c r="F2286" s="329">
        <f>ROUND((D2286*E2286),2)</f>
        <v>1.0900000000000001</v>
      </c>
      <c r="G2286" s="355"/>
    </row>
    <row r="2287" spans="1:15" s="220" customFormat="1" x14ac:dyDescent="0.25">
      <c r="A2287" s="382"/>
      <c r="B2287" s="234"/>
      <c r="C2287" s="231"/>
      <c r="D2287" s="235"/>
      <c r="E2287" s="329"/>
      <c r="F2287" s="329"/>
      <c r="G2287" s="355"/>
    </row>
    <row r="2288" spans="1:15" s="220" customFormat="1" x14ac:dyDescent="0.25">
      <c r="A2288" s="382"/>
      <c r="B2288" s="236" t="s">
        <v>145</v>
      </c>
      <c r="C2288" s="237"/>
      <c r="D2288" s="238"/>
      <c r="E2288" s="329"/>
      <c r="F2288" s="353"/>
      <c r="G2288" s="338">
        <f>SUM(F2285:F2288)</f>
        <v>1.0900000000000001</v>
      </c>
    </row>
    <row r="2289" spans="1:7" s="220" customFormat="1" x14ac:dyDescent="0.25">
      <c r="A2289" s="382"/>
      <c r="B2289" s="234" t="s">
        <v>146</v>
      </c>
      <c r="C2289" s="241"/>
      <c r="D2289" s="242"/>
      <c r="E2289" s="231"/>
      <c r="F2289" s="243"/>
      <c r="G2289" s="244" t="s">
        <v>147</v>
      </c>
    </row>
    <row r="2290" spans="1:7" s="220" customFormat="1" x14ac:dyDescent="0.25">
      <c r="A2290" s="382"/>
      <c r="B2290" s="236" t="s">
        <v>148</v>
      </c>
      <c r="C2290" s="237"/>
      <c r="D2290" s="246"/>
      <c r="E2290" s="353"/>
      <c r="F2290" s="353"/>
      <c r="G2290" s="338">
        <f>SUM(F2290:F2290)</f>
        <v>0</v>
      </c>
    </row>
    <row r="2291" spans="1:7" s="220" customFormat="1" x14ac:dyDescent="0.25">
      <c r="A2291" s="382"/>
      <c r="B2291" s="234" t="s">
        <v>149</v>
      </c>
      <c r="C2291" s="241"/>
      <c r="D2291" s="248"/>
      <c r="E2291" s="241"/>
      <c r="F2291" s="241"/>
      <c r="G2291" s="244" t="s">
        <v>150</v>
      </c>
    </row>
    <row r="2292" spans="1:7" s="220" customFormat="1" ht="51.75" x14ac:dyDescent="0.25">
      <c r="A2292" s="382"/>
      <c r="B2292" s="234" t="s">
        <v>24612</v>
      </c>
      <c r="C2292" s="241" t="s">
        <v>4443</v>
      </c>
      <c r="D2292" s="232">
        <v>4.1999999999999997E-3</v>
      </c>
      <c r="E2292" s="329">
        <v>257.69</v>
      </c>
      <c r="F2292" s="329">
        <f t="shared" ref="F2292:F2303" si="2">ROUND((D2292*E2292),2)</f>
        <v>1.08</v>
      </c>
      <c r="G2292" s="355"/>
    </row>
    <row r="2293" spans="1:7" s="220" customFormat="1" ht="51.75" x14ac:dyDescent="0.25">
      <c r="A2293" s="382"/>
      <c r="B2293" s="234" t="s">
        <v>24635</v>
      </c>
      <c r="C2293" s="241" t="s">
        <v>4445</v>
      </c>
      <c r="D2293" s="232">
        <v>4.58E-2</v>
      </c>
      <c r="E2293" s="329">
        <v>54.86</v>
      </c>
      <c r="F2293" s="329">
        <f t="shared" si="2"/>
        <v>2.5099999999999998</v>
      </c>
      <c r="G2293" s="355"/>
    </row>
    <row r="2294" spans="1:7" s="220" customFormat="1" ht="26.25" x14ac:dyDescent="0.25">
      <c r="A2294" s="382"/>
      <c r="B2294" s="234" t="s">
        <v>24636</v>
      </c>
      <c r="C2294" s="241" t="s">
        <v>4443</v>
      </c>
      <c r="D2294" s="232">
        <v>8.3000000000000001E-3</v>
      </c>
      <c r="E2294" s="329">
        <v>5.83</v>
      </c>
      <c r="F2294" s="329">
        <f t="shared" si="2"/>
        <v>0.05</v>
      </c>
      <c r="G2294" s="355"/>
    </row>
    <row r="2295" spans="1:7" s="220" customFormat="1" ht="26.25" x14ac:dyDescent="0.25">
      <c r="A2295" s="382"/>
      <c r="B2295" s="234" t="s">
        <v>24715</v>
      </c>
      <c r="C2295" s="241" t="s">
        <v>4445</v>
      </c>
      <c r="D2295" s="232">
        <v>4.1700000000000001E-2</v>
      </c>
      <c r="E2295" s="329">
        <v>3.62</v>
      </c>
      <c r="F2295" s="329">
        <f t="shared" si="2"/>
        <v>0.15</v>
      </c>
      <c r="G2295" s="355"/>
    </row>
    <row r="2296" spans="1:7" s="220" customFormat="1" ht="39" x14ac:dyDescent="0.25">
      <c r="A2296" s="382"/>
      <c r="B2296" s="234" t="s">
        <v>24614</v>
      </c>
      <c r="C2296" s="241" t="s">
        <v>4443</v>
      </c>
      <c r="D2296" s="232">
        <v>7.7000000000000002E-3</v>
      </c>
      <c r="E2296" s="329">
        <v>217.89</v>
      </c>
      <c r="F2296" s="329">
        <f t="shared" si="2"/>
        <v>1.68</v>
      </c>
      <c r="G2296" s="355"/>
    </row>
    <row r="2297" spans="1:7" s="220" customFormat="1" ht="39" x14ac:dyDescent="0.25">
      <c r="A2297" s="382"/>
      <c r="B2297" s="234" t="s">
        <v>24717</v>
      </c>
      <c r="C2297" s="241" t="s">
        <v>4445</v>
      </c>
      <c r="D2297" s="232">
        <v>4.24E-2</v>
      </c>
      <c r="E2297" s="329">
        <v>80.86</v>
      </c>
      <c r="F2297" s="329">
        <f t="shared" si="2"/>
        <v>3.43</v>
      </c>
      <c r="G2297" s="355"/>
    </row>
    <row r="2298" spans="1:7" s="220" customFormat="1" ht="39" x14ac:dyDescent="0.25">
      <c r="A2298" s="382"/>
      <c r="B2298" s="234" t="s">
        <v>24616</v>
      </c>
      <c r="C2298" s="241" t="s">
        <v>4443</v>
      </c>
      <c r="D2298" s="232">
        <v>1.46E-2</v>
      </c>
      <c r="E2298" s="329">
        <v>187.75</v>
      </c>
      <c r="F2298" s="329">
        <f t="shared" si="2"/>
        <v>2.74</v>
      </c>
      <c r="G2298" s="355"/>
    </row>
    <row r="2299" spans="1:7" s="220" customFormat="1" ht="26.25" x14ac:dyDescent="0.25">
      <c r="A2299" s="382"/>
      <c r="B2299" s="234" t="s">
        <v>24637</v>
      </c>
      <c r="C2299" s="241" t="s">
        <v>4443</v>
      </c>
      <c r="D2299" s="232">
        <v>8.3000000000000001E-3</v>
      </c>
      <c r="E2299" s="329">
        <v>114.82</v>
      </c>
      <c r="F2299" s="329">
        <f t="shared" si="2"/>
        <v>0.95</v>
      </c>
      <c r="G2299" s="355"/>
    </row>
    <row r="2300" spans="1:7" s="220" customFormat="1" ht="26.25" x14ac:dyDescent="0.25">
      <c r="A2300" s="382"/>
      <c r="B2300" s="234" t="s">
        <v>24723</v>
      </c>
      <c r="C2300" s="241" t="s">
        <v>4445</v>
      </c>
      <c r="D2300" s="232">
        <v>4.1700000000000001E-2</v>
      </c>
      <c r="E2300" s="329">
        <v>44.18</v>
      </c>
      <c r="F2300" s="329">
        <f t="shared" si="2"/>
        <v>1.84</v>
      </c>
      <c r="G2300" s="355"/>
    </row>
    <row r="2301" spans="1:7" s="220" customFormat="1" ht="39" x14ac:dyDescent="0.25">
      <c r="A2301" s="382"/>
      <c r="B2301" s="234" t="s">
        <v>24617</v>
      </c>
      <c r="C2301" s="241" t="s">
        <v>4445</v>
      </c>
      <c r="D2301" s="232">
        <v>3.5400000000000001E-2</v>
      </c>
      <c r="E2301" s="329">
        <v>56.48</v>
      </c>
      <c r="F2301" s="329">
        <f t="shared" si="2"/>
        <v>2</v>
      </c>
      <c r="G2301" s="355"/>
    </row>
    <row r="2302" spans="1:7" s="220" customFormat="1" ht="39" x14ac:dyDescent="0.25">
      <c r="A2302" s="382"/>
      <c r="B2302" s="234" t="s">
        <v>24618</v>
      </c>
      <c r="C2302" s="241" t="s">
        <v>4443</v>
      </c>
      <c r="D2302" s="232">
        <v>3.8E-3</v>
      </c>
      <c r="E2302" s="329">
        <v>190.52</v>
      </c>
      <c r="F2302" s="329">
        <f t="shared" si="2"/>
        <v>0.72</v>
      </c>
      <c r="G2302" s="355"/>
    </row>
    <row r="2303" spans="1:7" s="220" customFormat="1" ht="39" x14ac:dyDescent="0.25">
      <c r="A2303" s="382"/>
      <c r="B2303" s="230" t="s">
        <v>24619</v>
      </c>
      <c r="C2303" s="231" t="s">
        <v>4445</v>
      </c>
      <c r="D2303" s="232">
        <v>4.6199999999999998E-2</v>
      </c>
      <c r="E2303" s="329">
        <v>76.650000000000006</v>
      </c>
      <c r="F2303" s="329">
        <f t="shared" si="2"/>
        <v>3.54</v>
      </c>
      <c r="G2303" s="355"/>
    </row>
    <row r="2304" spans="1:7" s="220" customFormat="1" x14ac:dyDescent="0.25">
      <c r="A2304" s="382"/>
      <c r="B2304" s="234"/>
      <c r="C2304" s="231"/>
      <c r="D2304" s="245"/>
      <c r="E2304" s="231"/>
      <c r="F2304" s="231"/>
      <c r="G2304" s="233"/>
    </row>
    <row r="2305" spans="1:7" s="220" customFormat="1" ht="15.75" thickBot="1" x14ac:dyDescent="0.3">
      <c r="A2305" s="382"/>
      <c r="B2305" s="249" t="s">
        <v>151</v>
      </c>
      <c r="C2305" s="250"/>
      <c r="D2305" s="251"/>
      <c r="E2305" s="250"/>
      <c r="F2305" s="250"/>
      <c r="G2305" s="338">
        <f>SUM(F2292:F2303)</f>
        <v>20.69</v>
      </c>
    </row>
    <row r="2306" spans="1:7" s="220" customFormat="1" ht="15.75" thickBot="1" x14ac:dyDescent="0.3">
      <c r="A2306" s="382"/>
      <c r="B2306" s="1382"/>
      <c r="C2306" s="1382"/>
      <c r="D2306" s="1382"/>
      <c r="E2306" s="1382"/>
      <c r="F2306" s="1382"/>
      <c r="G2306" s="1382"/>
    </row>
    <row r="2307" spans="1:7" s="220" customFormat="1" ht="15.75" thickBot="1" x14ac:dyDescent="0.3">
      <c r="A2307" s="382"/>
      <c r="B2307" s="253" t="s">
        <v>152</v>
      </c>
      <c r="C2307" s="254" t="s">
        <v>153</v>
      </c>
      <c r="D2307" s="255" t="s">
        <v>154</v>
      </c>
      <c r="E2307" s="1381" t="s">
        <v>155</v>
      </c>
      <c r="F2307" s="1381"/>
      <c r="G2307" s="1381"/>
    </row>
    <row r="2308" spans="1:7" s="220" customFormat="1" ht="15.75" thickBot="1" x14ac:dyDescent="0.3">
      <c r="A2308" s="382"/>
      <c r="B2308" s="256" t="s">
        <v>156</v>
      </c>
      <c r="C2308" s="257"/>
      <c r="D2308" s="369">
        <f>G2288</f>
        <v>1.0900000000000001</v>
      </c>
      <c r="E2308" s="1381"/>
      <c r="F2308" s="1381"/>
      <c r="G2308" s="1381"/>
    </row>
    <row r="2309" spans="1:7" s="220" customFormat="1" ht="15.75" thickBot="1" x14ac:dyDescent="0.3">
      <c r="A2309" s="382"/>
      <c r="B2309" s="256" t="s">
        <v>157</v>
      </c>
      <c r="C2309" s="257"/>
      <c r="D2309" s="369">
        <f>G2290</f>
        <v>0</v>
      </c>
      <c r="E2309" s="1381"/>
      <c r="F2309" s="1381"/>
      <c r="G2309" s="1381"/>
    </row>
    <row r="2310" spans="1:7" s="220" customFormat="1" ht="15.75" thickBot="1" x14ac:dyDescent="0.3">
      <c r="A2310" s="382"/>
      <c r="B2310" s="256" t="s">
        <v>158</v>
      </c>
      <c r="C2310" s="257"/>
      <c r="D2310" s="369">
        <f>G2305</f>
        <v>20.69</v>
      </c>
      <c r="E2310" s="1381"/>
      <c r="F2310" s="1381"/>
      <c r="G2310" s="1381"/>
    </row>
    <row r="2311" spans="1:7" s="220" customFormat="1" ht="15.75" thickBot="1" x14ac:dyDescent="0.3">
      <c r="A2311" s="382"/>
      <c r="B2311" s="256" t="s">
        <v>159</v>
      </c>
      <c r="C2311" s="258">
        <f>$J$5</f>
        <v>157.27000000000001</v>
      </c>
      <c r="D2311" s="369">
        <f>D2308*C2311/100</f>
        <v>1.71</v>
      </c>
      <c r="E2311" s="1381"/>
      <c r="F2311" s="1381"/>
      <c r="G2311" s="1381"/>
    </row>
    <row r="2312" spans="1:7" s="220" customFormat="1" ht="15.75" thickBot="1" x14ac:dyDescent="0.3">
      <c r="A2312" s="382"/>
      <c r="B2312" s="256" t="s">
        <v>160</v>
      </c>
      <c r="C2312" s="259"/>
      <c r="D2312" s="370">
        <f>SUM(D2308:D2311)</f>
        <v>23.49</v>
      </c>
      <c r="E2312" s="1381"/>
      <c r="F2312" s="1381"/>
      <c r="G2312" s="1381"/>
    </row>
    <row r="2313" spans="1:7" s="220" customFormat="1" ht="15.75" thickBot="1" x14ac:dyDescent="0.3">
      <c r="A2313" s="382"/>
      <c r="B2313" s="256" t="s">
        <v>161</v>
      </c>
      <c r="C2313" s="257"/>
      <c r="D2313" s="369" t="s">
        <v>162</v>
      </c>
      <c r="E2313" s="1382" t="s">
        <v>163</v>
      </c>
      <c r="F2313" s="1382"/>
      <c r="G2313" s="1382"/>
    </row>
    <row r="2314" spans="1:7" s="220" customFormat="1" ht="15.75" thickBot="1" x14ac:dyDescent="0.3">
      <c r="A2314" s="382"/>
      <c r="B2314" s="260" t="s">
        <v>164</v>
      </c>
      <c r="C2314" s="261"/>
      <c r="D2314" s="334">
        <f>D2312</f>
        <v>23.49</v>
      </c>
      <c r="E2314" s="1382"/>
      <c r="F2314" s="1382"/>
      <c r="G2314" s="1382"/>
    </row>
    <row r="2315" spans="1:7" s="220" customFormat="1" ht="15.75" thickBot="1" x14ac:dyDescent="0.3">
      <c r="A2315" s="382"/>
      <c r="B2315" s="262" t="s">
        <v>165</v>
      </c>
      <c r="C2315" s="263">
        <f>$I$5</f>
        <v>28.49</v>
      </c>
      <c r="D2315" s="335">
        <f>D2314*C2315/100</f>
        <v>6.69</v>
      </c>
      <c r="E2315" s="1382"/>
      <c r="F2315" s="1382"/>
      <c r="G2315" s="1382"/>
    </row>
    <row r="2316" spans="1:7" s="220" customFormat="1" ht="15.75" thickBot="1" x14ac:dyDescent="0.3">
      <c r="A2316" s="382"/>
      <c r="B2316" s="264" t="s">
        <v>166</v>
      </c>
      <c r="C2316" s="265"/>
      <c r="D2316" s="336">
        <f>SUM(D2314:D2315)</f>
        <v>30.18</v>
      </c>
      <c r="E2316" s="266"/>
      <c r="F2316" s="337">
        <f>D2316</f>
        <v>30.18</v>
      </c>
      <c r="G2316" s="224"/>
    </row>
    <row r="2318" spans="1:7" s="220" customFormat="1" ht="15.75" thickBot="1" x14ac:dyDescent="0.3">
      <c r="A2318" s="382"/>
    </row>
    <row r="2319" spans="1:7" s="220" customFormat="1" x14ac:dyDescent="0.25">
      <c r="A2319" s="382"/>
      <c r="B2319" s="1394" t="s">
        <v>131</v>
      </c>
      <c r="C2319" s="1395"/>
      <c r="D2319" s="1395"/>
      <c r="E2319" s="1395"/>
      <c r="F2319" s="1395"/>
      <c r="G2319" s="1396"/>
    </row>
    <row r="2320" spans="1:7" s="220" customFormat="1" ht="15.75" thickBot="1" x14ac:dyDescent="0.3">
      <c r="A2320" s="382"/>
      <c r="B2320" s="1387" t="str">
        <f>$I$3</f>
        <v>Urbanização da Orla de Piúma - Município de Piúma / ES</v>
      </c>
      <c r="C2320" s="1385"/>
      <c r="D2320" s="1385"/>
      <c r="E2320" s="1385"/>
      <c r="F2320" s="1385"/>
      <c r="G2320" s="1388"/>
    </row>
    <row r="2321" spans="1:7" s="220" customFormat="1" ht="15.75" thickBot="1" x14ac:dyDescent="0.3">
      <c r="A2321" s="382"/>
      <c r="B2321" s="223" t="s">
        <v>132</v>
      </c>
      <c r="C2321" s="223" t="s">
        <v>133</v>
      </c>
      <c r="D2321" s="1389" t="s">
        <v>134</v>
      </c>
      <c r="E2321" s="1390"/>
      <c r="F2321" s="224" t="s">
        <v>275</v>
      </c>
      <c r="G2321" s="224" t="s">
        <v>135</v>
      </c>
    </row>
    <row r="2322" spans="1:7" s="220" customFormat="1" ht="27" thickBot="1" x14ac:dyDescent="0.3">
      <c r="A2322" s="382"/>
      <c r="B2322" s="225" t="s">
        <v>24620</v>
      </c>
      <c r="C2322" s="226" t="s">
        <v>98</v>
      </c>
      <c r="D2322" s="1389" t="s">
        <v>6</v>
      </c>
      <c r="E2322" s="1390"/>
      <c r="F2322" s="267" t="s">
        <v>24622</v>
      </c>
      <c r="G2322" s="38">
        <f>$K$5</f>
        <v>44501</v>
      </c>
    </row>
    <row r="2323" spans="1:7" s="220" customFormat="1" ht="15.75" thickBot="1" x14ac:dyDescent="0.3">
      <c r="A2323" s="382"/>
      <c r="B2323" s="1391"/>
      <c r="C2323" s="1392"/>
      <c r="D2323" s="1392"/>
      <c r="E2323" s="1392"/>
      <c r="F2323" s="1392"/>
      <c r="G2323" s="1393"/>
    </row>
    <row r="2324" spans="1:7" s="220" customFormat="1" x14ac:dyDescent="0.25">
      <c r="A2324" s="382"/>
      <c r="B2324" s="227" t="s">
        <v>139</v>
      </c>
      <c r="C2324" s="228" t="s">
        <v>140</v>
      </c>
      <c r="D2324" s="228" t="s">
        <v>141</v>
      </c>
      <c r="E2324" s="228" t="s">
        <v>142</v>
      </c>
      <c r="F2324" s="228" t="s">
        <v>143</v>
      </c>
      <c r="G2324" s="229" t="s">
        <v>144</v>
      </c>
    </row>
    <row r="2325" spans="1:7" s="220" customFormat="1" x14ac:dyDescent="0.25">
      <c r="A2325" s="382">
        <v>10146</v>
      </c>
      <c r="B2325" s="230" t="str">
        <f>VLOOKUP(A2325,Insumos!$A$10:$F$3462,2,FALSE)</f>
        <v>SERVENTE (AUXILIAR DE OBRAS - SINDUSCON)</v>
      </c>
      <c r="C2325" s="231" t="str">
        <f>VLOOKUP(A2325,Insumos!$A$10:$F$3462,3,FALSE)</f>
        <v>H</v>
      </c>
      <c r="D2325" s="232">
        <v>2.1000000000000001E-2</v>
      </c>
      <c r="E2325" s="329">
        <f>VLOOKUP(A2325,Insumos!$A$10:$F$3462,4,FALSE)</f>
        <v>5.46</v>
      </c>
      <c r="F2325" s="329">
        <f>ROUND((D2325*E2325),2)</f>
        <v>0.11</v>
      </c>
      <c r="G2325" s="355"/>
    </row>
    <row r="2326" spans="1:7" s="220" customFormat="1" x14ac:dyDescent="0.25">
      <c r="A2326" s="382"/>
      <c r="B2326" s="234"/>
      <c r="C2326" s="231"/>
      <c r="D2326" s="235"/>
      <c r="E2326" s="329"/>
      <c r="F2326" s="329"/>
      <c r="G2326" s="355"/>
    </row>
    <row r="2327" spans="1:7" s="220" customFormat="1" x14ac:dyDescent="0.25">
      <c r="A2327" s="382"/>
      <c r="B2327" s="236" t="s">
        <v>145</v>
      </c>
      <c r="C2327" s="237"/>
      <c r="D2327" s="238"/>
      <c r="E2327" s="329"/>
      <c r="F2327" s="353"/>
      <c r="G2327" s="338">
        <f>SUM(F2324:F2327)</f>
        <v>0.11</v>
      </c>
    </row>
    <row r="2328" spans="1:7" s="220" customFormat="1" x14ac:dyDescent="0.25">
      <c r="A2328" s="382"/>
      <c r="B2328" s="234" t="s">
        <v>146</v>
      </c>
      <c r="C2328" s="241"/>
      <c r="D2328" s="242"/>
      <c r="E2328" s="231"/>
      <c r="F2328" s="243"/>
      <c r="G2328" s="244" t="s">
        <v>147</v>
      </c>
    </row>
    <row r="2329" spans="1:7" s="220" customFormat="1" x14ac:dyDescent="0.25">
      <c r="A2329" s="382"/>
      <c r="B2329" s="236" t="s">
        <v>148</v>
      </c>
      <c r="C2329" s="237"/>
      <c r="D2329" s="246"/>
      <c r="E2329" s="353"/>
      <c r="F2329" s="353"/>
      <c r="G2329" s="338">
        <f>SUM(F2329:F2329)</f>
        <v>0</v>
      </c>
    </row>
    <row r="2330" spans="1:7" s="220" customFormat="1" x14ac:dyDescent="0.25">
      <c r="A2330" s="382"/>
      <c r="B2330" s="234" t="s">
        <v>149</v>
      </c>
      <c r="C2330" s="241"/>
      <c r="D2330" s="248"/>
      <c r="E2330" s="241"/>
      <c r="F2330" s="241"/>
      <c r="G2330" s="244" t="s">
        <v>150</v>
      </c>
    </row>
    <row r="2331" spans="1:7" s="220" customFormat="1" ht="51.75" x14ac:dyDescent="0.25">
      <c r="A2331" s="382"/>
      <c r="B2331" s="234" t="s">
        <v>24612</v>
      </c>
      <c r="C2331" s="241" t="s">
        <v>4443</v>
      </c>
      <c r="D2331" s="232">
        <v>4.0000000000000001E-3</v>
      </c>
      <c r="E2331" s="329">
        <v>250.22</v>
      </c>
      <c r="F2331" s="329">
        <f t="shared" ref="F2331:F2336" si="3">ROUND((D2331*E2331),2)</f>
        <v>1</v>
      </c>
      <c r="G2331" s="355"/>
    </row>
    <row r="2332" spans="1:7" s="220" customFormat="1" ht="51.75" x14ac:dyDescent="0.25">
      <c r="A2332" s="382"/>
      <c r="B2332" s="234" t="s">
        <v>24613</v>
      </c>
      <c r="C2332" s="241" t="s">
        <v>4445</v>
      </c>
      <c r="D2332" s="232">
        <v>1.6E-2</v>
      </c>
      <c r="E2332" s="329">
        <v>49.85</v>
      </c>
      <c r="F2332" s="329">
        <f t="shared" si="3"/>
        <v>0.8</v>
      </c>
      <c r="G2332" s="355"/>
    </row>
    <row r="2333" spans="1:7" s="220" customFormat="1" ht="39" x14ac:dyDescent="0.25">
      <c r="A2333" s="382"/>
      <c r="B2333" s="234" t="s">
        <v>24614</v>
      </c>
      <c r="C2333" s="241" t="s">
        <v>4443</v>
      </c>
      <c r="D2333" s="232">
        <v>6.0000000000000001E-3</v>
      </c>
      <c r="E2333" s="329">
        <v>217.94</v>
      </c>
      <c r="F2333" s="329">
        <f t="shared" si="3"/>
        <v>1.31</v>
      </c>
      <c r="G2333" s="355"/>
    </row>
    <row r="2334" spans="1:7" s="220" customFormat="1" ht="39" x14ac:dyDescent="0.25">
      <c r="A2334" s="382"/>
      <c r="B2334" s="234" t="s">
        <v>24615</v>
      </c>
      <c r="C2334" s="241" t="s">
        <v>4445</v>
      </c>
      <c r="D2334" s="232">
        <v>1.4999999999999999E-2</v>
      </c>
      <c r="E2334" s="329">
        <v>80.88</v>
      </c>
      <c r="F2334" s="329">
        <f t="shared" si="3"/>
        <v>1.21</v>
      </c>
      <c r="G2334" s="355"/>
    </row>
    <row r="2335" spans="1:7" s="220" customFormat="1" ht="39" x14ac:dyDescent="0.25">
      <c r="A2335" s="382"/>
      <c r="B2335" s="234" t="s">
        <v>24618</v>
      </c>
      <c r="C2335" s="241" t="s">
        <v>4443</v>
      </c>
      <c r="D2335" s="232">
        <v>3.0000000000000001E-3</v>
      </c>
      <c r="E2335" s="329">
        <v>188.08</v>
      </c>
      <c r="F2335" s="329">
        <f t="shared" si="3"/>
        <v>0.56000000000000005</v>
      </c>
      <c r="G2335" s="355"/>
    </row>
    <row r="2336" spans="1:7" s="220" customFormat="1" ht="39" x14ac:dyDescent="0.25">
      <c r="A2336" s="382"/>
      <c r="B2336" s="230" t="s">
        <v>24619</v>
      </c>
      <c r="C2336" s="231" t="s">
        <v>4445</v>
      </c>
      <c r="D2336" s="232">
        <v>2.3E-2</v>
      </c>
      <c r="E2336" s="329">
        <v>75.489999999999995</v>
      </c>
      <c r="F2336" s="329">
        <f t="shared" si="3"/>
        <v>1.74</v>
      </c>
      <c r="G2336" s="355"/>
    </row>
    <row r="2337" spans="1:7" s="220" customFormat="1" x14ac:dyDescent="0.25">
      <c r="A2337" s="382"/>
      <c r="B2337" s="234"/>
      <c r="C2337" s="231"/>
      <c r="D2337" s="245"/>
      <c r="E2337" s="231"/>
      <c r="F2337" s="231"/>
      <c r="G2337" s="233"/>
    </row>
    <row r="2338" spans="1:7" s="220" customFormat="1" ht="15.75" thickBot="1" x14ac:dyDescent="0.3">
      <c r="A2338" s="382"/>
      <c r="B2338" s="249" t="s">
        <v>151</v>
      </c>
      <c r="C2338" s="250"/>
      <c r="D2338" s="251"/>
      <c r="E2338" s="250"/>
      <c r="F2338" s="250"/>
      <c r="G2338" s="338">
        <f>SUM(F2331:F2338)</f>
        <v>6.62</v>
      </c>
    </row>
    <row r="2339" spans="1:7" s="220" customFormat="1" ht="15.75" thickBot="1" x14ac:dyDescent="0.3">
      <c r="A2339" s="382"/>
      <c r="B2339" s="1382"/>
      <c r="C2339" s="1382"/>
      <c r="D2339" s="1382"/>
      <c r="E2339" s="1382"/>
      <c r="F2339" s="1382"/>
      <c r="G2339" s="1382"/>
    </row>
    <row r="2340" spans="1:7" s="220" customFormat="1" ht="15.75" thickBot="1" x14ac:dyDescent="0.3">
      <c r="A2340" s="382"/>
      <c r="B2340" s="253" t="s">
        <v>152</v>
      </c>
      <c r="C2340" s="254" t="s">
        <v>153</v>
      </c>
      <c r="D2340" s="255" t="s">
        <v>154</v>
      </c>
      <c r="E2340" s="1381" t="s">
        <v>155</v>
      </c>
      <c r="F2340" s="1381"/>
      <c r="G2340" s="1381"/>
    </row>
    <row r="2341" spans="1:7" s="220" customFormat="1" ht="15.75" thickBot="1" x14ac:dyDescent="0.3">
      <c r="A2341" s="382"/>
      <c r="B2341" s="256" t="s">
        <v>156</v>
      </c>
      <c r="C2341" s="257"/>
      <c r="D2341" s="369">
        <f>G2327</f>
        <v>0.11</v>
      </c>
      <c r="E2341" s="1381"/>
      <c r="F2341" s="1381"/>
      <c r="G2341" s="1381"/>
    </row>
    <row r="2342" spans="1:7" s="220" customFormat="1" ht="15.75" thickBot="1" x14ac:dyDescent="0.3">
      <c r="A2342" s="382"/>
      <c r="B2342" s="256" t="s">
        <v>157</v>
      </c>
      <c r="C2342" s="257"/>
      <c r="D2342" s="369">
        <f>G2329</f>
        <v>0</v>
      </c>
      <c r="E2342" s="1381"/>
      <c r="F2342" s="1381"/>
      <c r="G2342" s="1381"/>
    </row>
    <row r="2343" spans="1:7" s="220" customFormat="1" ht="15.75" thickBot="1" x14ac:dyDescent="0.3">
      <c r="A2343" s="382"/>
      <c r="B2343" s="256" t="s">
        <v>158</v>
      </c>
      <c r="C2343" s="257"/>
      <c r="D2343" s="369">
        <f>G2338</f>
        <v>6.62</v>
      </c>
      <c r="E2343" s="1381"/>
      <c r="F2343" s="1381"/>
      <c r="G2343" s="1381"/>
    </row>
    <row r="2344" spans="1:7" s="220" customFormat="1" ht="15.75" thickBot="1" x14ac:dyDescent="0.3">
      <c r="A2344" s="382"/>
      <c r="B2344" s="256" t="s">
        <v>159</v>
      </c>
      <c r="C2344" s="258">
        <f>$J$5</f>
        <v>157.27000000000001</v>
      </c>
      <c r="D2344" s="369">
        <f>D2341*C2344/100</f>
        <v>0.17</v>
      </c>
      <c r="E2344" s="1381"/>
      <c r="F2344" s="1381"/>
      <c r="G2344" s="1381"/>
    </row>
    <row r="2345" spans="1:7" s="220" customFormat="1" ht="15.75" thickBot="1" x14ac:dyDescent="0.3">
      <c r="A2345" s="382"/>
      <c r="B2345" s="256" t="s">
        <v>160</v>
      </c>
      <c r="C2345" s="259"/>
      <c r="D2345" s="370">
        <f>SUM(D2341:D2344)</f>
        <v>6.9</v>
      </c>
      <c r="E2345" s="1381"/>
      <c r="F2345" s="1381"/>
      <c r="G2345" s="1381"/>
    </row>
    <row r="2346" spans="1:7" s="220" customFormat="1" ht="15.75" thickBot="1" x14ac:dyDescent="0.3">
      <c r="A2346" s="382"/>
      <c r="B2346" s="256" t="s">
        <v>161</v>
      </c>
      <c r="C2346" s="257"/>
      <c r="D2346" s="369" t="s">
        <v>162</v>
      </c>
      <c r="E2346" s="1382" t="s">
        <v>163</v>
      </c>
      <c r="F2346" s="1382"/>
      <c r="G2346" s="1382"/>
    </row>
    <row r="2347" spans="1:7" s="220" customFormat="1" ht="15.75" thickBot="1" x14ac:dyDescent="0.3">
      <c r="A2347" s="382"/>
      <c r="B2347" s="260" t="s">
        <v>164</v>
      </c>
      <c r="C2347" s="261"/>
      <c r="D2347" s="334">
        <f>D2345</f>
        <v>6.9</v>
      </c>
      <c r="E2347" s="1382"/>
      <c r="F2347" s="1382"/>
      <c r="G2347" s="1382"/>
    </row>
    <row r="2348" spans="1:7" s="220" customFormat="1" ht="15.75" thickBot="1" x14ac:dyDescent="0.3">
      <c r="A2348" s="382"/>
      <c r="B2348" s="262" t="s">
        <v>165</v>
      </c>
      <c r="C2348" s="263">
        <f>$I$5</f>
        <v>28.49</v>
      </c>
      <c r="D2348" s="335">
        <f>D2347*C2348/100</f>
        <v>1.97</v>
      </c>
      <c r="E2348" s="1382"/>
      <c r="F2348" s="1382"/>
      <c r="G2348" s="1382"/>
    </row>
    <row r="2349" spans="1:7" s="220" customFormat="1" ht="15.75" thickBot="1" x14ac:dyDescent="0.3">
      <c r="A2349" s="382"/>
      <c r="B2349" s="264" t="s">
        <v>166</v>
      </c>
      <c r="C2349" s="265"/>
      <c r="D2349" s="336">
        <f>SUM(D2347:D2348)</f>
        <v>8.8699999999999992</v>
      </c>
      <c r="E2349" s="266"/>
      <c r="F2349" s="337">
        <f>D2349</f>
        <v>8.8699999999999992</v>
      </c>
      <c r="G2349" s="224"/>
    </row>
    <row r="2350" spans="1:7" s="220" customFormat="1" x14ac:dyDescent="0.25">
      <c r="A2350" s="382"/>
    </row>
    <row r="2351" spans="1:7" s="220" customFormat="1" ht="15.75" thickBot="1" x14ac:dyDescent="0.3">
      <c r="A2351" s="382"/>
    </row>
    <row r="2352" spans="1:7" s="220" customFormat="1" ht="15.75" thickBot="1" x14ac:dyDescent="0.3">
      <c r="A2352" s="382"/>
      <c r="B2352" s="223" t="s">
        <v>132</v>
      </c>
      <c r="C2352" s="223" t="s">
        <v>133</v>
      </c>
      <c r="D2352" s="1381" t="s">
        <v>134</v>
      </c>
      <c r="E2352" s="1381"/>
      <c r="F2352" s="224" t="s">
        <v>275</v>
      </c>
      <c r="G2352" s="224" t="s">
        <v>135</v>
      </c>
    </row>
    <row r="2353" spans="1:7" s="220" customFormat="1" ht="39.75" thickBot="1" x14ac:dyDescent="0.3">
      <c r="A2353" s="382"/>
      <c r="B2353" s="225" t="s">
        <v>24623</v>
      </c>
      <c r="C2353" s="226" t="s">
        <v>98</v>
      </c>
      <c r="D2353" s="1381" t="s">
        <v>6</v>
      </c>
      <c r="E2353" s="1381"/>
      <c r="F2353" s="267" t="s">
        <v>24626</v>
      </c>
      <c r="G2353" s="38">
        <f>$K$5</f>
        <v>44501</v>
      </c>
    </row>
    <row r="2354" spans="1:7" s="220" customFormat="1" ht="15.75" thickBot="1" x14ac:dyDescent="0.3">
      <c r="A2354" s="382"/>
      <c r="B2354" s="1382"/>
      <c r="C2354" s="1382"/>
      <c r="D2354" s="1382"/>
      <c r="E2354" s="1382"/>
      <c r="F2354" s="1382"/>
      <c r="G2354" s="1382"/>
    </row>
    <row r="2355" spans="1:7" s="220" customFormat="1" x14ac:dyDescent="0.25">
      <c r="A2355" s="382"/>
      <c r="B2355" s="227" t="s">
        <v>139</v>
      </c>
      <c r="C2355" s="228" t="s">
        <v>140</v>
      </c>
      <c r="D2355" s="228" t="s">
        <v>141</v>
      </c>
      <c r="E2355" s="228" t="s">
        <v>142</v>
      </c>
      <c r="F2355" s="228" t="s">
        <v>143</v>
      </c>
      <c r="G2355" s="229" t="s">
        <v>144</v>
      </c>
    </row>
    <row r="2356" spans="1:7" s="220" customFormat="1" x14ac:dyDescent="0.25">
      <c r="A2356" s="382">
        <v>10146</v>
      </c>
      <c r="B2356" s="230" t="str">
        <f>VLOOKUP(A2356,Insumos!$A$10:$F$3462,2,FALSE)</f>
        <v>SERVENTE (AUXILIAR DE OBRAS - SINDUSCON)</v>
      </c>
      <c r="C2356" s="231" t="str">
        <f>VLOOKUP(A2356,Insumos!$A$10:$F$3462,3,FALSE)</f>
        <v>H</v>
      </c>
      <c r="D2356" s="232">
        <v>6.7100000000000007E-2</v>
      </c>
      <c r="E2356" s="329">
        <f>VLOOKUP(A2356,Insumos!$A$10:$F$3462,4,FALSE)</f>
        <v>5.46</v>
      </c>
      <c r="F2356" s="329">
        <f>ROUND((D2356*E2356),2)</f>
        <v>0.37</v>
      </c>
      <c r="G2356" s="355"/>
    </row>
    <row r="2357" spans="1:7" s="220" customFormat="1" x14ac:dyDescent="0.25">
      <c r="A2357" s="382"/>
      <c r="B2357" s="234"/>
      <c r="C2357" s="231"/>
      <c r="D2357" s="235"/>
      <c r="E2357" s="329"/>
      <c r="F2357" s="329"/>
      <c r="G2357" s="355"/>
    </row>
    <row r="2358" spans="1:7" s="220" customFormat="1" x14ac:dyDescent="0.25">
      <c r="A2358" s="382"/>
      <c r="B2358" s="236" t="s">
        <v>145</v>
      </c>
      <c r="C2358" s="237"/>
      <c r="D2358" s="238"/>
      <c r="E2358" s="329"/>
      <c r="F2358" s="353"/>
      <c r="G2358" s="338">
        <f>SUM(F2355:F2358)</f>
        <v>0.37</v>
      </c>
    </row>
    <row r="2359" spans="1:7" s="220" customFormat="1" x14ac:dyDescent="0.25">
      <c r="A2359" s="382"/>
      <c r="B2359" s="234" t="s">
        <v>146</v>
      </c>
      <c r="C2359" s="241"/>
      <c r="D2359" s="242"/>
      <c r="E2359" s="231"/>
      <c r="F2359" s="243"/>
      <c r="G2359" s="244" t="s">
        <v>147</v>
      </c>
    </row>
    <row r="2360" spans="1:7" s="220" customFormat="1" x14ac:dyDescent="0.25">
      <c r="A2360" s="382"/>
      <c r="B2360" s="236" t="s">
        <v>148</v>
      </c>
      <c r="C2360" s="237"/>
      <c r="D2360" s="246"/>
      <c r="E2360" s="353"/>
      <c r="F2360" s="353"/>
      <c r="G2360" s="338">
        <f>SUM(F2360:F2360)</f>
        <v>0</v>
      </c>
    </row>
    <row r="2361" spans="1:7" s="220" customFormat="1" x14ac:dyDescent="0.25">
      <c r="A2361" s="382"/>
      <c r="B2361" s="234" t="s">
        <v>149</v>
      </c>
      <c r="C2361" s="241"/>
      <c r="D2361" s="248"/>
      <c r="E2361" s="241"/>
      <c r="F2361" s="241"/>
      <c r="G2361" s="244" t="s">
        <v>150</v>
      </c>
    </row>
    <row r="2362" spans="1:7" s="220" customFormat="1" ht="26.25" x14ac:dyDescent="0.25">
      <c r="A2362" s="382"/>
      <c r="B2362" s="234" t="s">
        <v>24624</v>
      </c>
      <c r="C2362" s="241" t="s">
        <v>4443</v>
      </c>
      <c r="D2362" s="232">
        <v>3.2199999999999999E-2</v>
      </c>
      <c r="E2362" s="329">
        <v>198.05</v>
      </c>
      <c r="F2362" s="329">
        <f>ROUND((D2362*E2362),2)</f>
        <v>6.38</v>
      </c>
      <c r="G2362" s="355"/>
    </row>
    <row r="2363" spans="1:7" s="220" customFormat="1" ht="26.25" x14ac:dyDescent="0.25">
      <c r="A2363" s="382"/>
      <c r="B2363" s="234" t="s">
        <v>24625</v>
      </c>
      <c r="C2363" s="241" t="s">
        <v>4445</v>
      </c>
      <c r="D2363" s="232">
        <v>3.5000000000000003E-2</v>
      </c>
      <c r="E2363" s="329">
        <v>83.52</v>
      </c>
      <c r="F2363" s="329">
        <f>ROUND((D2363*E2363),2)</f>
        <v>2.92</v>
      </c>
      <c r="G2363" s="355"/>
    </row>
    <row r="2364" spans="1:7" s="220" customFormat="1" x14ac:dyDescent="0.25">
      <c r="A2364" s="382"/>
      <c r="B2364" s="234"/>
      <c r="C2364" s="231"/>
      <c r="D2364" s="245"/>
      <c r="E2364" s="231"/>
      <c r="F2364" s="231"/>
      <c r="G2364" s="233"/>
    </row>
    <row r="2365" spans="1:7" s="220" customFormat="1" ht="15.75" thickBot="1" x14ac:dyDescent="0.3">
      <c r="A2365" s="382"/>
      <c r="B2365" s="249" t="s">
        <v>151</v>
      </c>
      <c r="C2365" s="250"/>
      <c r="D2365" s="251"/>
      <c r="E2365" s="250"/>
      <c r="F2365" s="250"/>
      <c r="G2365" s="338">
        <f>SUM(F2362:F2365)</f>
        <v>9.3000000000000007</v>
      </c>
    </row>
    <row r="2366" spans="1:7" s="220" customFormat="1" ht="15.75" thickBot="1" x14ac:dyDescent="0.3">
      <c r="A2366" s="382"/>
      <c r="B2366" s="1382"/>
      <c r="C2366" s="1382"/>
      <c r="D2366" s="1382"/>
      <c r="E2366" s="1382"/>
      <c r="F2366" s="1382"/>
      <c r="G2366" s="1382"/>
    </row>
    <row r="2367" spans="1:7" s="220" customFormat="1" ht="15.75" thickBot="1" x14ac:dyDescent="0.3">
      <c r="A2367" s="382"/>
      <c r="B2367" s="253" t="s">
        <v>152</v>
      </c>
      <c r="C2367" s="254" t="s">
        <v>153</v>
      </c>
      <c r="D2367" s="255" t="s">
        <v>154</v>
      </c>
      <c r="E2367" s="1381" t="s">
        <v>155</v>
      </c>
      <c r="F2367" s="1381"/>
      <c r="G2367" s="1381"/>
    </row>
    <row r="2368" spans="1:7" s="220" customFormat="1" ht="15.75" thickBot="1" x14ac:dyDescent="0.3">
      <c r="A2368" s="382"/>
      <c r="B2368" s="256" t="s">
        <v>156</v>
      </c>
      <c r="C2368" s="257"/>
      <c r="D2368" s="369">
        <f>G2358</f>
        <v>0.37</v>
      </c>
      <c r="E2368" s="1381"/>
      <c r="F2368" s="1381"/>
      <c r="G2368" s="1381"/>
    </row>
    <row r="2369" spans="1:7" s="220" customFormat="1" ht="15.75" thickBot="1" x14ac:dyDescent="0.3">
      <c r="A2369" s="382"/>
      <c r="B2369" s="256" t="s">
        <v>157</v>
      </c>
      <c r="C2369" s="257"/>
      <c r="D2369" s="369">
        <f>G2360</f>
        <v>0</v>
      </c>
      <c r="E2369" s="1381"/>
      <c r="F2369" s="1381"/>
      <c r="G2369" s="1381"/>
    </row>
    <row r="2370" spans="1:7" s="220" customFormat="1" ht="15.75" thickBot="1" x14ac:dyDescent="0.3">
      <c r="A2370" s="382"/>
      <c r="B2370" s="256" t="s">
        <v>158</v>
      </c>
      <c r="C2370" s="257"/>
      <c r="D2370" s="369">
        <f>G2365</f>
        <v>9.3000000000000007</v>
      </c>
      <c r="E2370" s="1381"/>
      <c r="F2370" s="1381"/>
      <c r="G2370" s="1381"/>
    </row>
    <row r="2371" spans="1:7" s="220" customFormat="1" ht="15.75" thickBot="1" x14ac:dyDescent="0.3">
      <c r="A2371" s="382"/>
      <c r="B2371" s="256" t="s">
        <v>159</v>
      </c>
      <c r="C2371" s="258">
        <f>$J$5</f>
        <v>157.27000000000001</v>
      </c>
      <c r="D2371" s="369">
        <f>D2368*C2371/100</f>
        <v>0.57999999999999996</v>
      </c>
      <c r="E2371" s="1381"/>
      <c r="F2371" s="1381"/>
      <c r="G2371" s="1381"/>
    </row>
    <row r="2372" spans="1:7" s="220" customFormat="1" ht="15.75" thickBot="1" x14ac:dyDescent="0.3">
      <c r="A2372" s="382"/>
      <c r="B2372" s="256" t="s">
        <v>160</v>
      </c>
      <c r="C2372" s="259"/>
      <c r="D2372" s="370">
        <f>SUM(D2368:D2371)</f>
        <v>10.25</v>
      </c>
      <c r="E2372" s="1381"/>
      <c r="F2372" s="1381"/>
      <c r="G2372" s="1381"/>
    </row>
    <row r="2373" spans="1:7" s="220" customFormat="1" ht="15.75" thickBot="1" x14ac:dyDescent="0.3">
      <c r="A2373" s="382"/>
      <c r="B2373" s="256" t="s">
        <v>161</v>
      </c>
      <c r="C2373" s="257"/>
      <c r="D2373" s="369" t="s">
        <v>162</v>
      </c>
      <c r="E2373" s="386"/>
      <c r="F2373" s="386"/>
      <c r="G2373" s="386"/>
    </row>
    <row r="2374" spans="1:7" s="220" customFormat="1" ht="15.75" thickBot="1" x14ac:dyDescent="0.3">
      <c r="A2374" s="382"/>
      <c r="B2374" s="260" t="s">
        <v>164</v>
      </c>
      <c r="C2374" s="261"/>
      <c r="D2374" s="334">
        <f>D2372</f>
        <v>10.25</v>
      </c>
      <c r="E2374" s="386"/>
      <c r="F2374" s="386"/>
      <c r="G2374" s="386"/>
    </row>
    <row r="2375" spans="1:7" s="220" customFormat="1" ht="15.75" thickBot="1" x14ac:dyDescent="0.3">
      <c r="A2375" s="382"/>
      <c r="B2375" s="262" t="s">
        <v>165</v>
      </c>
      <c r="C2375" s="263">
        <f>$I$5</f>
        <v>28.49</v>
      </c>
      <c r="D2375" s="335">
        <f>D2374*C2375/100</f>
        <v>2.92</v>
      </c>
      <c r="E2375" s="1382" t="s">
        <v>163</v>
      </c>
      <c r="F2375" s="1382"/>
      <c r="G2375" s="1382"/>
    </row>
    <row r="2376" spans="1:7" s="220" customFormat="1" ht="15.75" thickBot="1" x14ac:dyDescent="0.3">
      <c r="A2376" s="382"/>
      <c r="B2376" s="264" t="s">
        <v>166</v>
      </c>
      <c r="C2376" s="265"/>
      <c r="D2376" s="336">
        <f>SUM(D2374:D2375)</f>
        <v>13.17</v>
      </c>
      <c r="E2376" s="1382"/>
      <c r="F2376" s="1382"/>
      <c r="G2376" s="1382"/>
    </row>
    <row r="2378" spans="1:7" ht="15.75" thickBot="1" x14ac:dyDescent="0.3"/>
    <row r="2379" spans="1:7" s="220" customFormat="1" x14ac:dyDescent="0.25">
      <c r="A2379" s="382"/>
      <c r="B2379" s="1383" t="s">
        <v>131</v>
      </c>
      <c r="C2379" s="1383"/>
      <c r="D2379" s="1383"/>
      <c r="E2379" s="1383"/>
      <c r="F2379" s="1383"/>
      <c r="G2379" s="1383"/>
    </row>
    <row r="2380" spans="1:7" s="220" customFormat="1" ht="15.75" thickBot="1" x14ac:dyDescent="0.3">
      <c r="A2380" s="382"/>
      <c r="B2380" s="1384" t="str">
        <f>$I$3</f>
        <v>Urbanização da Orla de Piúma - Município de Piúma / ES</v>
      </c>
      <c r="C2380" s="1385"/>
      <c r="D2380" s="1385"/>
      <c r="E2380" s="1385"/>
      <c r="F2380" s="1385"/>
      <c r="G2380" s="1386"/>
    </row>
    <row r="2381" spans="1:7" s="220" customFormat="1" ht="15.75" thickBot="1" x14ac:dyDescent="0.3">
      <c r="A2381" s="382"/>
      <c r="B2381" s="223" t="s">
        <v>132</v>
      </c>
      <c r="C2381" s="223" t="s">
        <v>133</v>
      </c>
      <c r="D2381" s="1381" t="s">
        <v>134</v>
      </c>
      <c r="E2381" s="1381"/>
      <c r="F2381" s="224" t="s">
        <v>275</v>
      </c>
      <c r="G2381" s="224" t="s">
        <v>135</v>
      </c>
    </row>
    <row r="2382" spans="1:7" s="220" customFormat="1" ht="27" thickBot="1" x14ac:dyDescent="0.3">
      <c r="A2382" s="382"/>
      <c r="B2382" s="225" t="s">
        <v>24630</v>
      </c>
      <c r="C2382" s="226" t="s">
        <v>98</v>
      </c>
      <c r="D2382" s="1381" t="s">
        <v>5</v>
      </c>
      <c r="E2382" s="1381"/>
      <c r="F2382" s="267" t="s">
        <v>24634</v>
      </c>
      <c r="G2382" s="38">
        <f>$K$5</f>
        <v>44501</v>
      </c>
    </row>
    <row r="2383" spans="1:7" s="220" customFormat="1" ht="15.75" thickBot="1" x14ac:dyDescent="0.3">
      <c r="A2383" s="382"/>
      <c r="B2383" s="1382"/>
      <c r="C2383" s="1382"/>
      <c r="D2383" s="1382"/>
      <c r="E2383" s="1382"/>
      <c r="F2383" s="1382"/>
      <c r="G2383" s="1382"/>
    </row>
    <row r="2384" spans="1:7" s="220" customFormat="1" x14ac:dyDescent="0.25">
      <c r="A2384" s="382"/>
      <c r="B2384" s="227" t="s">
        <v>139</v>
      </c>
      <c r="C2384" s="228" t="s">
        <v>140</v>
      </c>
      <c r="D2384" s="228" t="s">
        <v>141</v>
      </c>
      <c r="E2384" s="228" t="s">
        <v>142</v>
      </c>
      <c r="F2384" s="228" t="s">
        <v>143</v>
      </c>
      <c r="G2384" s="229" t="s">
        <v>144</v>
      </c>
    </row>
    <row r="2385" spans="1:7" s="220" customFormat="1" x14ac:dyDescent="0.25">
      <c r="A2385" s="382"/>
      <c r="B2385" s="230" t="s">
        <v>24627</v>
      </c>
      <c r="C2385" s="231" t="s">
        <v>75</v>
      </c>
      <c r="D2385" s="232">
        <v>0.13600000000000001</v>
      </c>
      <c r="E2385" s="329"/>
      <c r="F2385" s="329">
        <f>ROUND((D2385*E2385),2)</f>
        <v>0</v>
      </c>
      <c r="G2385" s="355"/>
    </row>
    <row r="2386" spans="1:7" s="220" customFormat="1" x14ac:dyDescent="0.25">
      <c r="A2386" s="382"/>
      <c r="B2386" s="234"/>
      <c r="C2386" s="231"/>
      <c r="D2386" s="235"/>
      <c r="E2386" s="329"/>
      <c r="F2386" s="329"/>
      <c r="G2386" s="355"/>
    </row>
    <row r="2387" spans="1:7" s="220" customFormat="1" x14ac:dyDescent="0.25">
      <c r="A2387" s="382"/>
      <c r="B2387" s="236" t="s">
        <v>145</v>
      </c>
      <c r="C2387" s="237"/>
      <c r="D2387" s="238"/>
      <c r="E2387" s="329"/>
      <c r="F2387" s="353"/>
      <c r="G2387" s="338">
        <f>SUM(F2384:F2387)</f>
        <v>0</v>
      </c>
    </row>
    <row r="2388" spans="1:7" s="220" customFormat="1" x14ac:dyDescent="0.25">
      <c r="A2388" s="382"/>
      <c r="B2388" s="234" t="s">
        <v>146</v>
      </c>
      <c r="C2388" s="241"/>
      <c r="D2388" s="242"/>
      <c r="E2388" s="231"/>
      <c r="F2388" s="243"/>
      <c r="G2388" s="244" t="s">
        <v>147</v>
      </c>
    </row>
    <row r="2389" spans="1:7" s="220" customFormat="1" x14ac:dyDescent="0.25">
      <c r="A2389" s="382"/>
      <c r="B2389" s="236" t="s">
        <v>148</v>
      </c>
      <c r="C2389" s="237"/>
      <c r="D2389" s="246"/>
      <c r="E2389" s="353"/>
      <c r="F2389" s="353"/>
      <c r="G2389" s="338">
        <f>SUM(F2389:F2389)</f>
        <v>0</v>
      </c>
    </row>
    <row r="2390" spans="1:7" s="220" customFormat="1" x14ac:dyDescent="0.25">
      <c r="A2390" s="382"/>
      <c r="B2390" s="234" t="s">
        <v>149</v>
      </c>
      <c r="C2390" s="241"/>
      <c r="D2390" s="248"/>
      <c r="E2390" s="241"/>
      <c r="F2390" s="241"/>
      <c r="G2390" s="244" t="s">
        <v>150</v>
      </c>
    </row>
    <row r="2391" spans="1:7" s="220" customFormat="1" ht="26.25" x14ac:dyDescent="0.25">
      <c r="A2391" s="382"/>
      <c r="B2391" s="234" t="s">
        <v>24624</v>
      </c>
      <c r="C2391" s="241" t="s">
        <v>4443</v>
      </c>
      <c r="D2391" s="232">
        <v>3.2599999999999997E-2</v>
      </c>
      <c r="E2391" s="329">
        <v>198.05</v>
      </c>
      <c r="F2391" s="329">
        <f>ROUND((D2391*E2391),2)</f>
        <v>6.46</v>
      </c>
      <c r="G2391" s="355"/>
    </row>
    <row r="2392" spans="1:7" s="220" customFormat="1" ht="26.25" x14ac:dyDescent="0.25">
      <c r="A2392" s="382"/>
      <c r="B2392" s="234" t="s">
        <v>24625</v>
      </c>
      <c r="C2392" s="241" t="s">
        <v>4445</v>
      </c>
      <c r="D2392" s="232">
        <v>8.9599999999999999E-2</v>
      </c>
      <c r="E2392" s="329">
        <v>83.52</v>
      </c>
      <c r="F2392" s="329">
        <f>ROUND((D2392*E2392),2)</f>
        <v>7.48</v>
      </c>
      <c r="G2392" s="355"/>
    </row>
    <row r="2393" spans="1:7" s="220" customFormat="1" ht="39" x14ac:dyDescent="0.25">
      <c r="A2393" s="382"/>
      <c r="B2393" s="234" t="s">
        <v>24628</v>
      </c>
      <c r="C2393" s="241" t="s">
        <v>4443</v>
      </c>
      <c r="D2393" s="232">
        <v>5.2400000000000002E-2</v>
      </c>
      <c r="E2393" s="329">
        <v>25.44</v>
      </c>
      <c r="F2393" s="329">
        <f>ROUND((D2393*E2393),2)</f>
        <v>1.33</v>
      </c>
      <c r="G2393" s="355"/>
    </row>
    <row r="2394" spans="1:7" s="220" customFormat="1" ht="39" x14ac:dyDescent="0.25">
      <c r="A2394" s="382"/>
      <c r="B2394" s="234" t="s">
        <v>24629</v>
      </c>
      <c r="C2394" s="241" t="s">
        <v>4445</v>
      </c>
      <c r="D2394" s="232">
        <v>8.3599999999999994E-2</v>
      </c>
      <c r="E2394" s="329">
        <v>1.2</v>
      </c>
      <c r="F2394" s="329">
        <f>ROUND((D2394*E2394),2)</f>
        <v>0.1</v>
      </c>
      <c r="G2394" s="355"/>
    </row>
    <row r="2395" spans="1:7" s="220" customFormat="1" x14ac:dyDescent="0.25">
      <c r="A2395" s="382"/>
      <c r="B2395" s="234"/>
      <c r="C2395" s="231"/>
      <c r="D2395" s="245"/>
      <c r="E2395" s="231"/>
      <c r="F2395" s="231"/>
      <c r="G2395" s="233"/>
    </row>
    <row r="2396" spans="1:7" s="220" customFormat="1" ht="15.75" thickBot="1" x14ac:dyDescent="0.3">
      <c r="A2396" s="382"/>
      <c r="B2396" s="249" t="s">
        <v>151</v>
      </c>
      <c r="C2396" s="250"/>
      <c r="D2396" s="251"/>
      <c r="E2396" s="250"/>
      <c r="F2396" s="250"/>
      <c r="G2396" s="338">
        <f>SUM(F2391:F2396)</f>
        <v>15.37</v>
      </c>
    </row>
    <row r="2397" spans="1:7" s="220" customFormat="1" ht="15.75" thickBot="1" x14ac:dyDescent="0.3">
      <c r="A2397" s="382"/>
      <c r="B2397" s="1382"/>
      <c r="C2397" s="1382"/>
      <c r="D2397" s="1382"/>
      <c r="E2397" s="1382"/>
      <c r="F2397" s="1382"/>
      <c r="G2397" s="1382"/>
    </row>
    <row r="2398" spans="1:7" s="220" customFormat="1" ht="15.75" thickBot="1" x14ac:dyDescent="0.3">
      <c r="A2398" s="382"/>
      <c r="B2398" s="253" t="s">
        <v>152</v>
      </c>
      <c r="C2398" s="254" t="s">
        <v>153</v>
      </c>
      <c r="D2398" s="255" t="s">
        <v>154</v>
      </c>
      <c r="E2398" s="1381" t="s">
        <v>155</v>
      </c>
      <c r="F2398" s="1381"/>
      <c r="G2398" s="1381"/>
    </row>
    <row r="2399" spans="1:7" s="220" customFormat="1" ht="15.75" thickBot="1" x14ac:dyDescent="0.3">
      <c r="A2399" s="382"/>
      <c r="B2399" s="256" t="s">
        <v>156</v>
      </c>
      <c r="C2399" s="257"/>
      <c r="D2399" s="369">
        <f>G2387</f>
        <v>0</v>
      </c>
      <c r="E2399" s="1381"/>
      <c r="F2399" s="1381"/>
      <c r="G2399" s="1381"/>
    </row>
    <row r="2400" spans="1:7" s="220" customFormat="1" ht="15.75" thickBot="1" x14ac:dyDescent="0.3">
      <c r="A2400" s="382"/>
      <c r="B2400" s="256" t="s">
        <v>157</v>
      </c>
      <c r="C2400" s="257"/>
      <c r="D2400" s="369">
        <f>G2389</f>
        <v>0</v>
      </c>
      <c r="E2400" s="1381"/>
      <c r="F2400" s="1381"/>
      <c r="G2400" s="1381"/>
    </row>
    <row r="2401" spans="1:7" s="220" customFormat="1" ht="15.75" thickBot="1" x14ac:dyDescent="0.3">
      <c r="A2401" s="382"/>
      <c r="B2401" s="256" t="s">
        <v>158</v>
      </c>
      <c r="C2401" s="257"/>
      <c r="D2401" s="369">
        <f>G2396</f>
        <v>15.37</v>
      </c>
      <c r="E2401" s="1381"/>
      <c r="F2401" s="1381"/>
      <c r="G2401" s="1381"/>
    </row>
    <row r="2402" spans="1:7" s="220" customFormat="1" ht="15.75" thickBot="1" x14ac:dyDescent="0.3">
      <c r="A2402" s="382"/>
      <c r="B2402" s="256" t="s">
        <v>159</v>
      </c>
      <c r="C2402" s="258">
        <f>$J$5</f>
        <v>157.27000000000001</v>
      </c>
      <c r="D2402" s="369">
        <f>D2399*C2402/100</f>
        <v>0</v>
      </c>
      <c r="E2402" s="1381"/>
      <c r="F2402" s="1381"/>
      <c r="G2402" s="1381"/>
    </row>
    <row r="2403" spans="1:7" s="220" customFormat="1" ht="15.75" thickBot="1" x14ac:dyDescent="0.3">
      <c r="A2403" s="382"/>
      <c r="B2403" s="256" t="s">
        <v>160</v>
      </c>
      <c r="C2403" s="259"/>
      <c r="D2403" s="370">
        <f>SUM(D2399:D2402)</f>
        <v>15.37</v>
      </c>
      <c r="E2403" s="1381"/>
      <c r="F2403" s="1381"/>
      <c r="G2403" s="1381"/>
    </row>
    <row r="2404" spans="1:7" s="220" customFormat="1" ht="15.75" thickBot="1" x14ac:dyDescent="0.3">
      <c r="A2404" s="382"/>
      <c r="B2404" s="256" t="s">
        <v>161</v>
      </c>
      <c r="C2404" s="257"/>
      <c r="D2404" s="369" t="s">
        <v>162</v>
      </c>
      <c r="E2404" s="1382" t="s">
        <v>163</v>
      </c>
      <c r="F2404" s="1382"/>
      <c r="G2404" s="1382"/>
    </row>
    <row r="2405" spans="1:7" s="220" customFormat="1" ht="15.75" thickBot="1" x14ac:dyDescent="0.3">
      <c r="A2405" s="382"/>
      <c r="B2405" s="260" t="s">
        <v>164</v>
      </c>
      <c r="C2405" s="261"/>
      <c r="D2405" s="334">
        <f>D2403</f>
        <v>15.37</v>
      </c>
      <c r="E2405" s="1382"/>
      <c r="F2405" s="1382"/>
      <c r="G2405" s="1382"/>
    </row>
    <row r="2406" spans="1:7" s="220" customFormat="1" ht="15.75" thickBot="1" x14ac:dyDescent="0.3">
      <c r="A2406" s="382"/>
      <c r="B2406" s="262" t="s">
        <v>165</v>
      </c>
      <c r="C2406" s="263">
        <f>$I$5</f>
        <v>28.49</v>
      </c>
      <c r="D2406" s="335">
        <f>D2405*C2406/100</f>
        <v>4.38</v>
      </c>
      <c r="E2406" s="1382"/>
      <c r="F2406" s="1382"/>
      <c r="G2406" s="1382"/>
    </row>
    <row r="2407" spans="1:7" s="220" customFormat="1" ht="15.75" thickBot="1" x14ac:dyDescent="0.3">
      <c r="A2407" s="382"/>
      <c r="B2407" s="264" t="s">
        <v>166</v>
      </c>
      <c r="C2407" s="265"/>
      <c r="D2407" s="336">
        <f>SUM(D2405:D2406)</f>
        <v>19.75</v>
      </c>
      <c r="E2407" s="266"/>
      <c r="F2407" s="337">
        <f>D2407</f>
        <v>19.75</v>
      </c>
      <c r="G2407" s="224"/>
    </row>
    <row r="2409" spans="1:7" ht="15.75" thickBot="1" x14ac:dyDescent="0.3"/>
    <row r="2410" spans="1:7" s="220" customFormat="1" x14ac:dyDescent="0.25">
      <c r="A2410" s="382"/>
      <c r="B2410" s="1383" t="s">
        <v>131</v>
      </c>
      <c r="C2410" s="1383"/>
      <c r="D2410" s="1383"/>
      <c r="E2410" s="1383"/>
      <c r="F2410" s="1383"/>
      <c r="G2410" s="1383"/>
    </row>
    <row r="2411" spans="1:7" s="220" customFormat="1" ht="15.75" thickBot="1" x14ac:dyDescent="0.3">
      <c r="A2411" s="382"/>
      <c r="B2411" s="1384" t="str">
        <f>$I$3</f>
        <v>Urbanização da Orla de Piúma - Município de Piúma / ES</v>
      </c>
      <c r="C2411" s="1385"/>
      <c r="D2411" s="1385"/>
      <c r="E2411" s="1385"/>
      <c r="F2411" s="1385"/>
      <c r="G2411" s="1386"/>
    </row>
    <row r="2412" spans="1:7" s="220" customFormat="1" ht="15.75" thickBot="1" x14ac:dyDescent="0.3">
      <c r="A2412" s="382"/>
      <c r="B2412" s="223" t="s">
        <v>132</v>
      </c>
      <c r="C2412" s="223" t="s">
        <v>133</v>
      </c>
      <c r="D2412" s="1381" t="s">
        <v>134</v>
      </c>
      <c r="E2412" s="1381"/>
      <c r="F2412" s="224" t="s">
        <v>275</v>
      </c>
      <c r="G2412" s="224" t="s">
        <v>135</v>
      </c>
    </row>
    <row r="2413" spans="1:7" s="220" customFormat="1" ht="27" thickBot="1" x14ac:dyDescent="0.3">
      <c r="A2413" s="382"/>
      <c r="B2413" s="225" t="s">
        <v>24639</v>
      </c>
      <c r="C2413" s="226" t="s">
        <v>98</v>
      </c>
      <c r="D2413" s="1381" t="s">
        <v>5</v>
      </c>
      <c r="E2413" s="1381"/>
      <c r="F2413" s="267" t="s">
        <v>24640</v>
      </c>
      <c r="G2413" s="38">
        <f>$K$5</f>
        <v>44501</v>
      </c>
    </row>
    <row r="2414" spans="1:7" s="220" customFormat="1" ht="15.75" thickBot="1" x14ac:dyDescent="0.3">
      <c r="A2414" s="382"/>
      <c r="B2414" s="1382"/>
      <c r="C2414" s="1382"/>
      <c r="D2414" s="1382"/>
      <c r="E2414" s="1382"/>
      <c r="F2414" s="1382"/>
      <c r="G2414" s="1382"/>
    </row>
    <row r="2415" spans="1:7" s="220" customFormat="1" x14ac:dyDescent="0.25">
      <c r="A2415" s="382"/>
      <c r="B2415" s="227" t="s">
        <v>139</v>
      </c>
      <c r="C2415" s="228" t="s">
        <v>140</v>
      </c>
      <c r="D2415" s="228" t="s">
        <v>141</v>
      </c>
      <c r="E2415" s="228" t="s">
        <v>142</v>
      </c>
      <c r="F2415" s="228" t="s">
        <v>143</v>
      </c>
      <c r="G2415" s="229" t="s">
        <v>144</v>
      </c>
    </row>
    <row r="2416" spans="1:7" s="220" customFormat="1" x14ac:dyDescent="0.25">
      <c r="A2416" s="382">
        <v>10139</v>
      </c>
      <c r="B2416" s="230" t="str">
        <f>VLOOKUP(A2416,Insumos!$A$10:$F$3462,2,FALSE)</f>
        <v>PEDREIRO - (OFICIAL - SINDUSCON)</v>
      </c>
      <c r="C2416" s="231" t="s">
        <v>75</v>
      </c>
      <c r="D2416" s="232">
        <v>8.7999999999999995E-2</v>
      </c>
      <c r="E2416" s="329">
        <v>7.43</v>
      </c>
      <c r="F2416" s="329">
        <f>ROUND((D2416*E2416),2)</f>
        <v>0.65</v>
      </c>
      <c r="G2416" s="355"/>
    </row>
    <row r="2417" spans="1:7" s="220" customFormat="1" x14ac:dyDescent="0.25">
      <c r="A2417" s="382"/>
      <c r="B2417" s="234"/>
      <c r="C2417" s="231"/>
      <c r="D2417" s="235"/>
      <c r="E2417" s="329"/>
      <c r="F2417" s="329"/>
      <c r="G2417" s="355"/>
    </row>
    <row r="2418" spans="1:7" s="220" customFormat="1" x14ac:dyDescent="0.25">
      <c r="A2418" s="382"/>
      <c r="B2418" s="236" t="s">
        <v>145</v>
      </c>
      <c r="C2418" s="237"/>
      <c r="D2418" s="238"/>
      <c r="E2418" s="329"/>
      <c r="F2418" s="353"/>
      <c r="G2418" s="338">
        <f>SUM(F2415:F2418)</f>
        <v>0.65</v>
      </c>
    </row>
    <row r="2419" spans="1:7" s="220" customFormat="1" x14ac:dyDescent="0.25">
      <c r="A2419" s="382"/>
      <c r="B2419" s="234" t="s">
        <v>146</v>
      </c>
      <c r="C2419" s="241"/>
      <c r="D2419" s="242"/>
      <c r="E2419" s="231"/>
      <c r="F2419" s="243"/>
      <c r="G2419" s="244" t="s">
        <v>147</v>
      </c>
    </row>
    <row r="2420" spans="1:7" s="220" customFormat="1" ht="26.25" x14ac:dyDescent="0.25">
      <c r="A2420" s="382"/>
      <c r="B2420" s="234" t="s">
        <v>24641</v>
      </c>
      <c r="C2420" s="241" t="s">
        <v>77</v>
      </c>
      <c r="D2420" s="242">
        <v>4</v>
      </c>
      <c r="E2420" s="321">
        <v>7.68</v>
      </c>
      <c r="F2420" s="329">
        <f>ROUND((D2420*E2420),2)</f>
        <v>30.72</v>
      </c>
      <c r="G2420" s="244"/>
    </row>
    <row r="2421" spans="1:7" s="220" customFormat="1" x14ac:dyDescent="0.25">
      <c r="A2421" s="382"/>
      <c r="B2421" s="234"/>
      <c r="C2421" s="241"/>
      <c r="D2421" s="242"/>
      <c r="E2421" s="231"/>
      <c r="F2421" s="243"/>
      <c r="G2421" s="244"/>
    </row>
    <row r="2422" spans="1:7" s="220" customFormat="1" x14ac:dyDescent="0.25">
      <c r="A2422" s="382"/>
      <c r="B2422" s="236" t="s">
        <v>148</v>
      </c>
      <c r="C2422" s="237"/>
      <c r="D2422" s="246"/>
      <c r="E2422" s="353"/>
      <c r="F2422" s="353"/>
      <c r="G2422" s="338">
        <f>SUM(F2420:F2422)</f>
        <v>30.72</v>
      </c>
    </row>
    <row r="2423" spans="1:7" s="220" customFormat="1" x14ac:dyDescent="0.25">
      <c r="A2423" s="382"/>
      <c r="B2423" s="234" t="s">
        <v>149</v>
      </c>
      <c r="C2423" s="241"/>
      <c r="D2423" s="248"/>
      <c r="E2423" s="241"/>
      <c r="F2423" s="241"/>
      <c r="G2423" s="244" t="s">
        <v>150</v>
      </c>
    </row>
    <row r="2424" spans="1:7" s="220" customFormat="1" ht="26.25" x14ac:dyDescent="0.25">
      <c r="A2424" s="382"/>
      <c r="B2424" s="234" t="s">
        <v>24642</v>
      </c>
      <c r="C2424" s="241" t="s">
        <v>4443</v>
      </c>
      <c r="D2424" s="232">
        <v>7.0000000000000001E-3</v>
      </c>
      <c r="E2424" s="329">
        <v>10.57</v>
      </c>
      <c r="F2424" s="329">
        <f>ROUND((D2424*E2424),2)</f>
        <v>7.0000000000000007E-2</v>
      </c>
      <c r="G2424" s="355"/>
    </row>
    <row r="2425" spans="1:7" s="220" customFormat="1" x14ac:dyDescent="0.25">
      <c r="A2425" s="382"/>
      <c r="B2425" s="234"/>
      <c r="C2425" s="231"/>
      <c r="D2425" s="245"/>
      <c r="E2425" s="231"/>
      <c r="F2425" s="231"/>
      <c r="G2425" s="233"/>
    </row>
    <row r="2426" spans="1:7" s="220" customFormat="1" ht="15.75" thickBot="1" x14ac:dyDescent="0.3">
      <c r="A2426" s="382"/>
      <c r="B2426" s="249" t="s">
        <v>151</v>
      </c>
      <c r="C2426" s="250"/>
      <c r="D2426" s="251"/>
      <c r="E2426" s="250"/>
      <c r="F2426" s="250"/>
      <c r="G2426" s="338">
        <f>SUM(F2424:F2426)</f>
        <v>7.0000000000000007E-2</v>
      </c>
    </row>
    <row r="2427" spans="1:7" s="220" customFormat="1" ht="15.75" thickBot="1" x14ac:dyDescent="0.3">
      <c r="A2427" s="382"/>
      <c r="B2427" s="1382"/>
      <c r="C2427" s="1382"/>
      <c r="D2427" s="1382"/>
      <c r="E2427" s="1382"/>
      <c r="F2427" s="1382"/>
      <c r="G2427" s="1382"/>
    </row>
    <row r="2428" spans="1:7" s="220" customFormat="1" ht="15.75" thickBot="1" x14ac:dyDescent="0.3">
      <c r="A2428" s="382"/>
      <c r="B2428" s="253" t="s">
        <v>152</v>
      </c>
      <c r="C2428" s="254" t="s">
        <v>153</v>
      </c>
      <c r="D2428" s="255" t="s">
        <v>154</v>
      </c>
      <c r="E2428" s="1381" t="s">
        <v>155</v>
      </c>
      <c r="F2428" s="1381"/>
      <c r="G2428" s="1381"/>
    </row>
    <row r="2429" spans="1:7" s="220" customFormat="1" ht="15.75" thickBot="1" x14ac:dyDescent="0.3">
      <c r="A2429" s="382"/>
      <c r="B2429" s="256" t="s">
        <v>156</v>
      </c>
      <c r="C2429" s="257"/>
      <c r="D2429" s="369">
        <f>G2418</f>
        <v>0.65</v>
      </c>
      <c r="E2429" s="1381"/>
      <c r="F2429" s="1381"/>
      <c r="G2429" s="1381"/>
    </row>
    <row r="2430" spans="1:7" s="220" customFormat="1" ht="15.75" thickBot="1" x14ac:dyDescent="0.3">
      <c r="A2430" s="382"/>
      <c r="B2430" s="256" t="s">
        <v>157</v>
      </c>
      <c r="C2430" s="257"/>
      <c r="D2430" s="369">
        <f>G2422</f>
        <v>30.72</v>
      </c>
      <c r="E2430" s="1381"/>
      <c r="F2430" s="1381"/>
      <c r="G2430" s="1381"/>
    </row>
    <row r="2431" spans="1:7" s="220" customFormat="1" ht="15.75" thickBot="1" x14ac:dyDescent="0.3">
      <c r="A2431" s="382"/>
      <c r="B2431" s="256" t="s">
        <v>158</v>
      </c>
      <c r="C2431" s="257"/>
      <c r="D2431" s="369">
        <f>G2426</f>
        <v>7.0000000000000007E-2</v>
      </c>
      <c r="E2431" s="1381"/>
      <c r="F2431" s="1381"/>
      <c r="G2431" s="1381"/>
    </row>
    <row r="2432" spans="1:7" s="220" customFormat="1" ht="15.75" thickBot="1" x14ac:dyDescent="0.3">
      <c r="A2432" s="382"/>
      <c r="B2432" s="256" t="s">
        <v>159</v>
      </c>
      <c r="C2432" s="258">
        <f>$J$5</f>
        <v>157.27000000000001</v>
      </c>
      <c r="D2432" s="369">
        <f>D2429*C2432/100</f>
        <v>1.02</v>
      </c>
      <c r="E2432" s="1381"/>
      <c r="F2432" s="1381"/>
      <c r="G2432" s="1381"/>
    </row>
    <row r="2433" spans="1:7" s="220" customFormat="1" ht="15.75" thickBot="1" x14ac:dyDescent="0.3">
      <c r="A2433" s="382"/>
      <c r="B2433" s="256" t="s">
        <v>160</v>
      </c>
      <c r="C2433" s="259"/>
      <c r="D2433" s="370">
        <f>SUM(D2429:D2432)</f>
        <v>32.46</v>
      </c>
      <c r="E2433" s="1381"/>
      <c r="F2433" s="1381"/>
      <c r="G2433" s="1381"/>
    </row>
    <row r="2434" spans="1:7" s="220" customFormat="1" ht="15.75" thickBot="1" x14ac:dyDescent="0.3">
      <c r="A2434" s="382"/>
      <c r="B2434" s="256" t="s">
        <v>161</v>
      </c>
      <c r="C2434" s="257"/>
      <c r="D2434" s="369" t="s">
        <v>162</v>
      </c>
      <c r="E2434" s="1382" t="s">
        <v>163</v>
      </c>
      <c r="F2434" s="1382"/>
      <c r="G2434" s="1382"/>
    </row>
    <row r="2435" spans="1:7" s="220" customFormat="1" ht="15.75" thickBot="1" x14ac:dyDescent="0.3">
      <c r="A2435" s="382"/>
      <c r="B2435" s="260" t="s">
        <v>164</v>
      </c>
      <c r="C2435" s="261"/>
      <c r="D2435" s="334">
        <f>D2433</f>
        <v>32.46</v>
      </c>
      <c r="E2435" s="1382"/>
      <c r="F2435" s="1382"/>
      <c r="G2435" s="1382"/>
    </row>
    <row r="2436" spans="1:7" s="220" customFormat="1" ht="15.75" thickBot="1" x14ac:dyDescent="0.3">
      <c r="A2436" s="382"/>
      <c r="B2436" s="262" t="s">
        <v>165</v>
      </c>
      <c r="C2436" s="263">
        <f>$I$5</f>
        <v>28.49</v>
      </c>
      <c r="D2436" s="335">
        <f>D2435*C2436/100</f>
        <v>9.25</v>
      </c>
      <c r="E2436" s="1382"/>
      <c r="F2436" s="1382"/>
      <c r="G2436" s="1382"/>
    </row>
    <row r="2437" spans="1:7" s="220" customFormat="1" ht="15.75" thickBot="1" x14ac:dyDescent="0.3">
      <c r="A2437" s="382"/>
      <c r="B2437" s="264" t="s">
        <v>166</v>
      </c>
      <c r="C2437" s="265"/>
      <c r="D2437" s="336">
        <f>SUM(D2435:D2436)</f>
        <v>41.71</v>
      </c>
      <c r="E2437" s="266"/>
      <c r="F2437" s="337">
        <f>D2437</f>
        <v>41.71</v>
      </c>
      <c r="G2437" s="224"/>
    </row>
    <row r="2439" spans="1:7" ht="15.75" thickBot="1" x14ac:dyDescent="0.3"/>
    <row r="2440" spans="1:7" s="220" customFormat="1" x14ac:dyDescent="0.25">
      <c r="A2440" s="382"/>
      <c r="B2440" s="1383" t="s">
        <v>131</v>
      </c>
      <c r="C2440" s="1383"/>
      <c r="D2440" s="1383"/>
      <c r="E2440" s="1383"/>
      <c r="F2440" s="1383"/>
      <c r="G2440" s="1383"/>
    </row>
    <row r="2441" spans="1:7" s="220" customFormat="1" ht="15.75" thickBot="1" x14ac:dyDescent="0.3">
      <c r="A2441" s="382"/>
      <c r="B2441" s="1384" t="str">
        <f>$I$3</f>
        <v>Urbanização da Orla de Piúma - Município de Piúma / ES</v>
      </c>
      <c r="C2441" s="1385"/>
      <c r="D2441" s="1385"/>
      <c r="E2441" s="1385"/>
      <c r="F2441" s="1385"/>
      <c r="G2441" s="1386"/>
    </row>
    <row r="2442" spans="1:7" s="220" customFormat="1" ht="15.75" thickBot="1" x14ac:dyDescent="0.3">
      <c r="A2442" s="382"/>
      <c r="B2442" s="223" t="s">
        <v>132</v>
      </c>
      <c r="C2442" s="223" t="s">
        <v>133</v>
      </c>
      <c r="D2442" s="1381" t="s">
        <v>134</v>
      </c>
      <c r="E2442" s="1381"/>
      <c r="F2442" s="224" t="s">
        <v>275</v>
      </c>
      <c r="G2442" s="224" t="s">
        <v>135</v>
      </c>
    </row>
    <row r="2443" spans="1:7" s="220" customFormat="1" ht="27" thickBot="1" x14ac:dyDescent="0.3">
      <c r="A2443" s="382"/>
      <c r="B2443" s="225" t="s">
        <v>24648</v>
      </c>
      <c r="C2443" s="226" t="s">
        <v>98</v>
      </c>
      <c r="D2443" s="1381" t="s">
        <v>5</v>
      </c>
      <c r="E2443" s="1381"/>
      <c r="F2443" s="267" t="s">
        <v>24658</v>
      </c>
      <c r="G2443" s="38">
        <f>$K$5</f>
        <v>44501</v>
      </c>
    </row>
    <row r="2444" spans="1:7" s="220" customFormat="1" ht="15.75" thickBot="1" x14ac:dyDescent="0.3">
      <c r="A2444" s="382"/>
      <c r="B2444" s="1382"/>
      <c r="C2444" s="1382"/>
      <c r="D2444" s="1382"/>
      <c r="E2444" s="1382"/>
      <c r="F2444" s="1382"/>
      <c r="G2444" s="1382"/>
    </row>
    <row r="2445" spans="1:7" s="220" customFormat="1" x14ac:dyDescent="0.25">
      <c r="A2445" s="382"/>
      <c r="B2445" s="227" t="s">
        <v>139</v>
      </c>
      <c r="C2445" s="228" t="s">
        <v>140</v>
      </c>
      <c r="D2445" s="228" t="s">
        <v>141</v>
      </c>
      <c r="E2445" s="228" t="s">
        <v>142</v>
      </c>
      <c r="F2445" s="228" t="s">
        <v>143</v>
      </c>
      <c r="G2445" s="229" t="s">
        <v>144</v>
      </c>
    </row>
    <row r="2446" spans="1:7" s="220" customFormat="1" x14ac:dyDescent="0.25">
      <c r="A2446" s="382">
        <v>10139</v>
      </c>
      <c r="B2446" s="230" t="str">
        <f>VLOOKUP(A2446,Insumos!$A$10:$F$3462,2,FALSE)</f>
        <v>PEDREIRO - (OFICIAL - SINDUSCON)</v>
      </c>
      <c r="C2446" s="231" t="str">
        <f>VLOOKUP(A2446,Insumos!$A$10:$F$3462,3,FALSE)</f>
        <v>H</v>
      </c>
      <c r="D2446" s="232">
        <v>0.1192</v>
      </c>
      <c r="E2446" s="329">
        <f>VLOOKUP(A2446,Insumos!$A$10:$F$3462,4,FALSE)</f>
        <v>7.43</v>
      </c>
      <c r="F2446" s="329">
        <f>ROUND((D2446*E2446),2)</f>
        <v>0.89</v>
      </c>
      <c r="G2446" s="355"/>
    </row>
    <row r="2447" spans="1:7" s="220" customFormat="1" x14ac:dyDescent="0.25">
      <c r="A2447" s="382">
        <v>10146</v>
      </c>
      <c r="B2447" s="230" t="str">
        <f>VLOOKUP(A2447,Insumos!$A$10:$F$3462,2,FALSE)</f>
        <v>SERVENTE (AUXILIAR DE OBRAS - SINDUSCON)</v>
      </c>
      <c r="C2447" s="231" t="str">
        <f>VLOOKUP(A2447,Insumos!$A$10:$F$3462,3,FALSE)</f>
        <v>H</v>
      </c>
      <c r="D2447" s="232">
        <v>0.2034</v>
      </c>
      <c r="E2447" s="329">
        <f>VLOOKUP(A2447,Insumos!$A$10:$F$3462,4,FALSE)</f>
        <v>5.46</v>
      </c>
      <c r="F2447" s="329">
        <f>ROUND((D2447*E2447),2)</f>
        <v>1.1100000000000001</v>
      </c>
      <c r="G2447" s="355"/>
    </row>
    <row r="2448" spans="1:7" s="220" customFormat="1" x14ac:dyDescent="0.25">
      <c r="A2448" s="382">
        <v>10111</v>
      </c>
      <c r="B2448" s="230" t="str">
        <f>VLOOKUP(A2448,Insumos!$A$10:$F$3462,2,FALSE)</f>
        <v>CARPINTEIRO (OFICIAL - SINDUSCON)</v>
      </c>
      <c r="C2448" s="231" t="str">
        <f>VLOOKUP(A2448,Insumos!$A$10:$F$3462,3,FALSE)</f>
        <v>H</v>
      </c>
      <c r="D2448" s="232">
        <v>5.74E-2</v>
      </c>
      <c r="E2448" s="329">
        <f>VLOOKUP(A2448,Insumos!$A$10:$F$3462,4,FALSE)</f>
        <v>7.43</v>
      </c>
      <c r="F2448" s="329">
        <f>ROUND((D2448*E2448),2)</f>
        <v>0.43</v>
      </c>
      <c r="G2448" s="355"/>
    </row>
    <row r="2449" spans="1:7" s="220" customFormat="1" x14ac:dyDescent="0.25">
      <c r="A2449" s="382"/>
      <c r="B2449" s="234"/>
      <c r="C2449" s="231"/>
      <c r="D2449" s="235"/>
      <c r="E2449" s="329"/>
      <c r="F2449" s="329"/>
      <c r="G2449" s="355"/>
    </row>
    <row r="2450" spans="1:7" s="220" customFormat="1" x14ac:dyDescent="0.25">
      <c r="A2450" s="382"/>
      <c r="B2450" s="236" t="s">
        <v>145</v>
      </c>
      <c r="C2450" s="237"/>
      <c r="D2450" s="238"/>
      <c r="E2450" s="329"/>
      <c r="F2450" s="353"/>
      <c r="G2450" s="338">
        <f>SUM(F2445:F2448)</f>
        <v>2.4300000000000002</v>
      </c>
    </row>
    <row r="2451" spans="1:7" s="220" customFormat="1" x14ac:dyDescent="0.25">
      <c r="A2451" s="382"/>
      <c r="B2451" s="234" t="s">
        <v>146</v>
      </c>
      <c r="C2451" s="241"/>
      <c r="D2451" s="242"/>
      <c r="E2451" s="231"/>
      <c r="F2451" s="243"/>
      <c r="G2451" s="244" t="s">
        <v>147</v>
      </c>
    </row>
    <row r="2452" spans="1:7" s="220" customFormat="1" ht="26.25" x14ac:dyDescent="0.25">
      <c r="A2452" s="382"/>
      <c r="B2452" s="234" t="s">
        <v>24643</v>
      </c>
      <c r="C2452" s="241" t="s">
        <v>85</v>
      </c>
      <c r="D2452" s="242">
        <v>2E-3</v>
      </c>
      <c r="E2452" s="321">
        <v>5.99</v>
      </c>
      <c r="F2452" s="329">
        <f t="shared" ref="F2452:F2457" si="4">ROUND((D2452*E2452),2)</f>
        <v>0.01</v>
      </c>
      <c r="G2452" s="244"/>
    </row>
    <row r="2453" spans="1:7" s="220" customFormat="1" ht="26.25" x14ac:dyDescent="0.25">
      <c r="A2453" s="382"/>
      <c r="B2453" s="234" t="s">
        <v>24644</v>
      </c>
      <c r="C2453" s="241" t="s">
        <v>82</v>
      </c>
      <c r="D2453" s="242">
        <v>0.16669999999999999</v>
      </c>
      <c r="E2453" s="321">
        <v>2.67</v>
      </c>
      <c r="F2453" s="329">
        <f t="shared" si="4"/>
        <v>0.45</v>
      </c>
      <c r="G2453" s="244"/>
    </row>
    <row r="2454" spans="1:7" s="220" customFormat="1" x14ac:dyDescent="0.25">
      <c r="A2454" s="382"/>
      <c r="B2454" s="234" t="s">
        <v>24645</v>
      </c>
      <c r="C2454" s="241" t="s">
        <v>77</v>
      </c>
      <c r="D2454" s="242">
        <v>6.7000000000000002E-3</v>
      </c>
      <c r="E2454" s="321">
        <v>28.14</v>
      </c>
      <c r="F2454" s="329">
        <f t="shared" si="4"/>
        <v>0.19</v>
      </c>
      <c r="G2454" s="244"/>
    </row>
    <row r="2455" spans="1:7" s="220" customFormat="1" ht="26.25" x14ac:dyDescent="0.25">
      <c r="A2455" s="382"/>
      <c r="B2455" s="234" t="s">
        <v>24646</v>
      </c>
      <c r="C2455" s="241" t="s">
        <v>82</v>
      </c>
      <c r="D2455" s="242">
        <v>2.92E-2</v>
      </c>
      <c r="E2455" s="321">
        <v>28.05</v>
      </c>
      <c r="F2455" s="329">
        <f t="shared" si="4"/>
        <v>0.82</v>
      </c>
      <c r="G2455" s="244"/>
    </row>
    <row r="2456" spans="1:7" s="220" customFormat="1" ht="39" x14ac:dyDescent="0.25">
      <c r="A2456" s="382"/>
      <c r="B2456" s="234" t="s">
        <v>24659</v>
      </c>
      <c r="C2456" s="241" t="s">
        <v>76</v>
      </c>
      <c r="D2456" s="242">
        <v>0.18540000000000001</v>
      </c>
      <c r="E2456" s="321">
        <v>319.8</v>
      </c>
      <c r="F2456" s="329">
        <f t="shared" si="4"/>
        <v>59.29</v>
      </c>
      <c r="G2456" s="244"/>
    </row>
    <row r="2457" spans="1:7" s="220" customFormat="1" ht="26.25" x14ac:dyDescent="0.25">
      <c r="A2457" s="382"/>
      <c r="B2457" s="234" t="s">
        <v>24647</v>
      </c>
      <c r="C2457" s="241" t="s">
        <v>77</v>
      </c>
      <c r="D2457" s="242">
        <v>0.4</v>
      </c>
      <c r="E2457" s="321">
        <v>10.17</v>
      </c>
      <c r="F2457" s="329">
        <f t="shared" si="4"/>
        <v>4.07</v>
      </c>
      <c r="G2457" s="244"/>
    </row>
    <row r="2458" spans="1:7" s="220" customFormat="1" x14ac:dyDescent="0.25">
      <c r="A2458" s="382"/>
      <c r="B2458" s="234"/>
      <c r="C2458" s="241"/>
      <c r="D2458" s="242"/>
      <c r="E2458" s="231"/>
      <c r="F2458" s="243"/>
      <c r="G2458" s="244"/>
    </row>
    <row r="2459" spans="1:7" s="220" customFormat="1" x14ac:dyDescent="0.25">
      <c r="A2459" s="382"/>
      <c r="B2459" s="236" t="s">
        <v>148</v>
      </c>
      <c r="C2459" s="237"/>
      <c r="D2459" s="246"/>
      <c r="E2459" s="353"/>
      <c r="F2459" s="353"/>
      <c r="G2459" s="338">
        <f>SUM(F2452:F2457)</f>
        <v>64.83</v>
      </c>
    </row>
    <row r="2460" spans="1:7" s="220" customFormat="1" x14ac:dyDescent="0.25">
      <c r="A2460" s="382"/>
      <c r="B2460" s="234" t="s">
        <v>149</v>
      </c>
      <c r="C2460" s="241"/>
      <c r="D2460" s="248"/>
      <c r="E2460" s="241"/>
      <c r="F2460" s="241"/>
      <c r="G2460" s="244" t="s">
        <v>150</v>
      </c>
    </row>
    <row r="2461" spans="1:7" s="220" customFormat="1" ht="39" x14ac:dyDescent="0.25">
      <c r="A2461" s="382"/>
      <c r="B2461" s="234" t="s">
        <v>24649</v>
      </c>
      <c r="C2461" s="241" t="s">
        <v>4443</v>
      </c>
      <c r="D2461" s="232">
        <v>1.4500000000000001E-2</v>
      </c>
      <c r="E2461" s="329">
        <v>10.59</v>
      </c>
      <c r="F2461" s="329">
        <f t="shared" ref="F2461:F2468" si="5">ROUND((D2461*E2461),2)</f>
        <v>0.15</v>
      </c>
      <c r="G2461" s="244"/>
    </row>
    <row r="2462" spans="1:7" s="220" customFormat="1" ht="39" x14ac:dyDescent="0.25">
      <c r="A2462" s="382"/>
      <c r="B2462" s="234" t="s">
        <v>24650</v>
      </c>
      <c r="C2462" s="241" t="s">
        <v>4445</v>
      </c>
      <c r="D2462" s="232">
        <v>2.18E-2</v>
      </c>
      <c r="E2462" s="329">
        <v>0.47</v>
      </c>
      <c r="F2462" s="329">
        <f t="shared" si="5"/>
        <v>0.01</v>
      </c>
      <c r="G2462" s="244"/>
    </row>
    <row r="2463" spans="1:7" s="220" customFormat="1" ht="26.25" x14ac:dyDescent="0.25">
      <c r="A2463" s="382"/>
      <c r="B2463" s="234" t="s">
        <v>24651</v>
      </c>
      <c r="C2463" s="241" t="s">
        <v>77</v>
      </c>
      <c r="D2463" s="232">
        <v>1.8</v>
      </c>
      <c r="E2463" s="329">
        <v>27.76</v>
      </c>
      <c r="F2463" s="329">
        <f t="shared" si="5"/>
        <v>49.97</v>
      </c>
      <c r="G2463" s="244"/>
    </row>
    <row r="2464" spans="1:7" s="220" customFormat="1" ht="26.25" x14ac:dyDescent="0.25">
      <c r="A2464" s="382"/>
      <c r="B2464" s="234" t="s">
        <v>24652</v>
      </c>
      <c r="C2464" s="241" t="s">
        <v>77</v>
      </c>
      <c r="D2464" s="232">
        <v>3.11</v>
      </c>
      <c r="E2464" s="329">
        <v>25.79</v>
      </c>
      <c r="F2464" s="329">
        <f t="shared" si="5"/>
        <v>80.209999999999994</v>
      </c>
      <c r="G2464" s="244"/>
    </row>
    <row r="2465" spans="1:7" s="220" customFormat="1" ht="26.25" x14ac:dyDescent="0.25">
      <c r="A2465" s="382"/>
      <c r="B2465" s="234" t="s">
        <v>24653</v>
      </c>
      <c r="C2465" s="241" t="s">
        <v>2884</v>
      </c>
      <c r="D2465" s="232">
        <v>1.1279999999999999</v>
      </c>
      <c r="E2465" s="329">
        <v>1.76</v>
      </c>
      <c r="F2465" s="329">
        <f t="shared" si="5"/>
        <v>1.99</v>
      </c>
      <c r="G2465" s="244"/>
    </row>
    <row r="2466" spans="1:7" s="220" customFormat="1" ht="26.25" x14ac:dyDescent="0.25">
      <c r="A2466" s="382"/>
      <c r="B2466" s="234" t="s">
        <v>24654</v>
      </c>
      <c r="C2466" s="241" t="s">
        <v>82</v>
      </c>
      <c r="D2466" s="232">
        <v>9.0899999999999995E-2</v>
      </c>
      <c r="E2466" s="329">
        <v>0.48</v>
      </c>
      <c r="F2466" s="329">
        <f t="shared" si="5"/>
        <v>0.04</v>
      </c>
      <c r="G2466" s="244"/>
    </row>
    <row r="2467" spans="1:7" s="220" customFormat="1" ht="26.25" x14ac:dyDescent="0.25">
      <c r="A2467" s="382"/>
      <c r="B2467" s="234" t="s">
        <v>24655</v>
      </c>
      <c r="C2467" s="241" t="s">
        <v>77</v>
      </c>
      <c r="D2467" s="232">
        <v>3.32E-2</v>
      </c>
      <c r="E2467" s="329">
        <v>50.06</v>
      </c>
      <c r="F2467" s="329">
        <f t="shared" si="5"/>
        <v>1.66</v>
      </c>
      <c r="G2467" s="244"/>
    </row>
    <row r="2468" spans="1:7" s="220" customFormat="1" ht="26.25" x14ac:dyDescent="0.25">
      <c r="A2468" s="382"/>
      <c r="B2468" s="234" t="s">
        <v>24656</v>
      </c>
      <c r="C2468" s="241" t="s">
        <v>77</v>
      </c>
      <c r="D2468" s="232">
        <v>0.58389999999999997</v>
      </c>
      <c r="E2468" s="329">
        <v>20.13</v>
      </c>
      <c r="F2468" s="329">
        <f t="shared" si="5"/>
        <v>11.75</v>
      </c>
      <c r="G2468" s="244"/>
    </row>
    <row r="2469" spans="1:7" s="220" customFormat="1" ht="26.25" x14ac:dyDescent="0.25">
      <c r="A2469" s="382"/>
      <c r="B2469" s="234" t="s">
        <v>24657</v>
      </c>
      <c r="C2469" s="241" t="s">
        <v>77</v>
      </c>
      <c r="D2469" s="232">
        <v>0.33979999999999999</v>
      </c>
      <c r="E2469" s="329">
        <v>14.14</v>
      </c>
      <c r="F2469" s="329">
        <f>ROUND((D2469*E2469),2)</f>
        <v>4.8</v>
      </c>
      <c r="G2469" s="355"/>
    </row>
    <row r="2470" spans="1:7" s="220" customFormat="1" x14ac:dyDescent="0.25">
      <c r="A2470" s="382"/>
      <c r="B2470" s="234"/>
      <c r="C2470" s="231"/>
      <c r="D2470" s="245"/>
      <c r="E2470" s="231"/>
      <c r="F2470" s="231"/>
      <c r="G2470" s="233"/>
    </row>
    <row r="2471" spans="1:7" s="220" customFormat="1" ht="15.75" thickBot="1" x14ac:dyDescent="0.3">
      <c r="A2471" s="382"/>
      <c r="B2471" s="249" t="s">
        <v>151</v>
      </c>
      <c r="C2471" s="250"/>
      <c r="D2471" s="251"/>
      <c r="E2471" s="250"/>
      <c r="F2471" s="250"/>
      <c r="G2471" s="338">
        <f>SUM(F2461:F2469)</f>
        <v>150.58000000000001</v>
      </c>
    </row>
    <row r="2472" spans="1:7" s="220" customFormat="1" ht="15.75" thickBot="1" x14ac:dyDescent="0.3">
      <c r="A2472" s="382"/>
      <c r="B2472" s="1382"/>
      <c r="C2472" s="1382"/>
      <c r="D2472" s="1382"/>
      <c r="E2472" s="1382"/>
      <c r="F2472" s="1382"/>
      <c r="G2472" s="1382"/>
    </row>
    <row r="2473" spans="1:7" s="220" customFormat="1" ht="15.75" thickBot="1" x14ac:dyDescent="0.3">
      <c r="A2473" s="382"/>
      <c r="B2473" s="253" t="s">
        <v>152</v>
      </c>
      <c r="C2473" s="254" t="s">
        <v>153</v>
      </c>
      <c r="D2473" s="255" t="s">
        <v>154</v>
      </c>
      <c r="E2473" s="1381" t="s">
        <v>155</v>
      </c>
      <c r="F2473" s="1381"/>
      <c r="G2473" s="1381"/>
    </row>
    <row r="2474" spans="1:7" s="220" customFormat="1" ht="15.75" thickBot="1" x14ac:dyDescent="0.3">
      <c r="A2474" s="382"/>
      <c r="B2474" s="256" t="s">
        <v>156</v>
      </c>
      <c r="C2474" s="257"/>
      <c r="D2474" s="369">
        <f>G2450</f>
        <v>2.4300000000000002</v>
      </c>
      <c r="E2474" s="1381"/>
      <c r="F2474" s="1381"/>
      <c r="G2474" s="1381"/>
    </row>
    <row r="2475" spans="1:7" s="220" customFormat="1" ht="15.75" thickBot="1" x14ac:dyDescent="0.3">
      <c r="A2475" s="382"/>
      <c r="B2475" s="256" t="s">
        <v>157</v>
      </c>
      <c r="C2475" s="257"/>
      <c r="D2475" s="369">
        <f>G2459</f>
        <v>64.83</v>
      </c>
      <c r="E2475" s="1381"/>
      <c r="F2475" s="1381"/>
      <c r="G2475" s="1381"/>
    </row>
    <row r="2476" spans="1:7" s="220" customFormat="1" ht="15.75" thickBot="1" x14ac:dyDescent="0.3">
      <c r="A2476" s="382"/>
      <c r="B2476" s="256" t="s">
        <v>158</v>
      </c>
      <c r="C2476" s="257"/>
      <c r="D2476" s="369">
        <f>G2471</f>
        <v>150.58000000000001</v>
      </c>
      <c r="E2476" s="1381"/>
      <c r="F2476" s="1381"/>
      <c r="G2476" s="1381"/>
    </row>
    <row r="2477" spans="1:7" s="220" customFormat="1" ht="15.75" thickBot="1" x14ac:dyDescent="0.3">
      <c r="A2477" s="382"/>
      <c r="B2477" s="256" t="s">
        <v>159</v>
      </c>
      <c r="C2477" s="258">
        <f>$J$5</f>
        <v>157.27000000000001</v>
      </c>
      <c r="D2477" s="369">
        <f>D2474*C2477/100</f>
        <v>3.82</v>
      </c>
      <c r="E2477" s="1381"/>
      <c r="F2477" s="1381"/>
      <c r="G2477" s="1381"/>
    </row>
    <row r="2478" spans="1:7" s="220" customFormat="1" ht="15.75" thickBot="1" x14ac:dyDescent="0.3">
      <c r="A2478" s="382"/>
      <c r="B2478" s="256" t="s">
        <v>160</v>
      </c>
      <c r="C2478" s="259"/>
      <c r="D2478" s="370">
        <f>SUM(D2474:D2477)</f>
        <v>221.66</v>
      </c>
      <c r="E2478" s="1381"/>
      <c r="F2478" s="1381"/>
      <c r="G2478" s="1381"/>
    </row>
    <row r="2479" spans="1:7" s="220" customFormat="1" ht="15.75" thickBot="1" x14ac:dyDescent="0.3">
      <c r="A2479" s="382"/>
      <c r="B2479" s="256" t="s">
        <v>161</v>
      </c>
      <c r="C2479" s="257"/>
      <c r="D2479" s="369" t="s">
        <v>162</v>
      </c>
      <c r="E2479" s="1382" t="s">
        <v>163</v>
      </c>
      <c r="F2479" s="1382"/>
      <c r="G2479" s="1382"/>
    </row>
    <row r="2480" spans="1:7" s="220" customFormat="1" ht="15.75" thickBot="1" x14ac:dyDescent="0.3">
      <c r="A2480" s="382"/>
      <c r="B2480" s="260" t="s">
        <v>164</v>
      </c>
      <c r="C2480" s="261"/>
      <c r="D2480" s="334">
        <f>D2478</f>
        <v>221.66</v>
      </c>
      <c r="E2480" s="1382"/>
      <c r="F2480" s="1382"/>
      <c r="G2480" s="1382"/>
    </row>
    <row r="2481" spans="1:7" s="220" customFormat="1" ht="15.75" thickBot="1" x14ac:dyDescent="0.3">
      <c r="A2481" s="382"/>
      <c r="B2481" s="262" t="s">
        <v>165</v>
      </c>
      <c r="C2481" s="263">
        <f>$I$5</f>
        <v>28.49</v>
      </c>
      <c r="D2481" s="335">
        <f>D2480*C2481/100</f>
        <v>63.15</v>
      </c>
      <c r="E2481" s="1382"/>
      <c r="F2481" s="1382"/>
      <c r="G2481" s="1382"/>
    </row>
    <row r="2482" spans="1:7" s="220" customFormat="1" ht="15.75" thickBot="1" x14ac:dyDescent="0.3">
      <c r="A2482" s="382"/>
      <c r="B2482" s="264" t="s">
        <v>166</v>
      </c>
      <c r="C2482" s="265"/>
      <c r="D2482" s="336">
        <f>SUM(D2480:D2481)</f>
        <v>284.81</v>
      </c>
      <c r="E2482" s="266"/>
      <c r="F2482" s="337">
        <f>D2482</f>
        <v>284.81</v>
      </c>
      <c r="G2482" s="224"/>
    </row>
    <row r="2484" spans="1:7" ht="15.75" thickBot="1" x14ac:dyDescent="0.3"/>
    <row r="2485" spans="1:7" s="220" customFormat="1" x14ac:dyDescent="0.25">
      <c r="A2485" s="382"/>
      <c r="B2485" s="1383" t="s">
        <v>131</v>
      </c>
      <c r="C2485" s="1383"/>
      <c r="D2485" s="1383"/>
      <c r="E2485" s="1383"/>
      <c r="F2485" s="1383"/>
      <c r="G2485" s="1383"/>
    </row>
    <row r="2486" spans="1:7" s="220" customFormat="1" ht="15.75" thickBot="1" x14ac:dyDescent="0.3">
      <c r="A2486" s="382"/>
      <c r="B2486" s="1384" t="str">
        <f>$I$3</f>
        <v>Urbanização da Orla de Piúma - Município de Piúma / ES</v>
      </c>
      <c r="C2486" s="1385"/>
      <c r="D2486" s="1385"/>
      <c r="E2486" s="1385"/>
      <c r="F2486" s="1385"/>
      <c r="G2486" s="1386"/>
    </row>
    <row r="2487" spans="1:7" s="220" customFormat="1" ht="15.75" thickBot="1" x14ac:dyDescent="0.3">
      <c r="A2487" s="382"/>
      <c r="B2487" s="388" t="s">
        <v>132</v>
      </c>
      <c r="C2487" s="388" t="s">
        <v>133</v>
      </c>
      <c r="D2487" s="1381" t="s">
        <v>134</v>
      </c>
      <c r="E2487" s="1381"/>
      <c r="F2487" s="389" t="s">
        <v>275</v>
      </c>
      <c r="G2487" s="389" t="s">
        <v>135</v>
      </c>
    </row>
    <row r="2488" spans="1:7" s="220" customFormat="1" ht="15.75" thickBot="1" x14ac:dyDescent="0.3">
      <c r="A2488" s="382"/>
      <c r="B2488" s="225" t="s">
        <v>24663</v>
      </c>
      <c r="C2488" s="226" t="s">
        <v>98</v>
      </c>
      <c r="D2488" s="1381" t="s">
        <v>7</v>
      </c>
      <c r="E2488" s="1381"/>
      <c r="F2488" s="267" t="s">
        <v>24662</v>
      </c>
      <c r="G2488" s="38">
        <f>$K$5</f>
        <v>44501</v>
      </c>
    </row>
    <row r="2489" spans="1:7" s="220" customFormat="1" ht="15.75" thickBot="1" x14ac:dyDescent="0.3">
      <c r="A2489" s="382"/>
      <c r="B2489" s="1382"/>
      <c r="C2489" s="1382"/>
      <c r="D2489" s="1382"/>
      <c r="E2489" s="1382"/>
      <c r="F2489" s="1382"/>
      <c r="G2489" s="1382"/>
    </row>
    <row r="2490" spans="1:7" s="220" customFormat="1" x14ac:dyDescent="0.25">
      <c r="A2490" s="382"/>
      <c r="B2490" s="227" t="s">
        <v>139</v>
      </c>
      <c r="C2490" s="228" t="s">
        <v>140</v>
      </c>
      <c r="D2490" s="228" t="s">
        <v>141</v>
      </c>
      <c r="E2490" s="228" t="s">
        <v>142</v>
      </c>
      <c r="F2490" s="228" t="s">
        <v>143</v>
      </c>
      <c r="G2490" s="229" t="s">
        <v>144</v>
      </c>
    </row>
    <row r="2491" spans="1:7" s="220" customFormat="1" x14ac:dyDescent="0.25">
      <c r="A2491" s="382"/>
      <c r="B2491" s="230" t="s">
        <v>24664</v>
      </c>
      <c r="C2491" s="231" t="s">
        <v>75</v>
      </c>
      <c r="D2491" s="232">
        <v>8.3000000000000004E-2</v>
      </c>
      <c r="E2491" s="329">
        <v>18.78</v>
      </c>
      <c r="F2491" s="329">
        <f>ROUND((D2491*E2491),2)</f>
        <v>1.56</v>
      </c>
      <c r="G2491" s="355"/>
    </row>
    <row r="2492" spans="1:7" s="220" customFormat="1" x14ac:dyDescent="0.25">
      <c r="A2492" s="382">
        <v>10146</v>
      </c>
      <c r="B2492" s="230" t="str">
        <f>VLOOKUP(A2492,Insumos!$A$10:$F$3462,2,FALSE)</f>
        <v>SERVENTE (AUXILIAR DE OBRAS - SINDUSCON)</v>
      </c>
      <c r="C2492" s="231" t="s">
        <v>75</v>
      </c>
      <c r="D2492" s="232">
        <v>3.5000000000000003E-2</v>
      </c>
      <c r="E2492" s="329">
        <v>7.43</v>
      </c>
      <c r="F2492" s="329">
        <f>ROUND((D2492*E2492),2)</f>
        <v>0.26</v>
      </c>
      <c r="G2492" s="355"/>
    </row>
    <row r="2493" spans="1:7" s="220" customFormat="1" x14ac:dyDescent="0.25">
      <c r="A2493" s="382"/>
      <c r="B2493" s="234"/>
      <c r="C2493" s="231"/>
      <c r="D2493" s="235"/>
      <c r="E2493" s="329"/>
      <c r="F2493" s="329"/>
      <c r="G2493" s="355"/>
    </row>
    <row r="2494" spans="1:7" s="220" customFormat="1" x14ac:dyDescent="0.25">
      <c r="A2494" s="382"/>
      <c r="B2494" s="236" t="s">
        <v>145</v>
      </c>
      <c r="C2494" s="237"/>
      <c r="D2494" s="238"/>
      <c r="E2494" s="329"/>
      <c r="F2494" s="353"/>
      <c r="G2494" s="338">
        <f>SUM(F2490:F2492)</f>
        <v>1.82</v>
      </c>
    </row>
    <row r="2495" spans="1:7" s="220" customFormat="1" x14ac:dyDescent="0.25">
      <c r="A2495" s="382"/>
      <c r="B2495" s="234" t="s">
        <v>146</v>
      </c>
      <c r="C2495" s="241"/>
      <c r="D2495" s="242"/>
      <c r="E2495" s="231"/>
      <c r="F2495" s="243"/>
      <c r="G2495" s="244" t="s">
        <v>147</v>
      </c>
    </row>
    <row r="2496" spans="1:7" s="220" customFormat="1" x14ac:dyDescent="0.25">
      <c r="A2496" s="382"/>
      <c r="B2496" s="234" t="s">
        <v>24665</v>
      </c>
      <c r="C2496" s="241" t="s">
        <v>85</v>
      </c>
      <c r="D2496" s="242">
        <v>6.0000000000000001E-3</v>
      </c>
      <c r="E2496" s="321">
        <v>36.06</v>
      </c>
      <c r="F2496" s="329">
        <f>ROUND((D2496*E2496),2)</f>
        <v>0.22</v>
      </c>
      <c r="G2496" s="244"/>
    </row>
    <row r="2497" spans="1:7" s="220" customFormat="1" x14ac:dyDescent="0.25">
      <c r="A2497" s="382"/>
      <c r="B2497" s="234" t="s">
        <v>24666</v>
      </c>
      <c r="C2497" s="241" t="s">
        <v>85</v>
      </c>
      <c r="D2497" s="242">
        <v>3.2000000000000001E-2</v>
      </c>
      <c r="E2497" s="321">
        <v>69.5</v>
      </c>
      <c r="F2497" s="329">
        <f>ROUND((D2497*E2497),2)</f>
        <v>2.2200000000000002</v>
      </c>
      <c r="G2497" s="244"/>
    </row>
    <row r="2498" spans="1:7" s="220" customFormat="1" x14ac:dyDescent="0.25">
      <c r="A2498" s="382"/>
      <c r="B2498" s="234" t="s">
        <v>24668</v>
      </c>
      <c r="C2498" s="241" t="s">
        <v>24667</v>
      </c>
      <c r="D2498" s="242">
        <v>0.04</v>
      </c>
      <c r="E2498" s="321">
        <v>8.18</v>
      </c>
      <c r="F2498" s="329">
        <f>ROUND((D2498*E2498),2)</f>
        <v>0.33</v>
      </c>
      <c r="G2498" s="244"/>
    </row>
    <row r="2499" spans="1:7" s="220" customFormat="1" x14ac:dyDescent="0.25">
      <c r="A2499" s="382"/>
      <c r="B2499" s="234"/>
      <c r="C2499" s="241"/>
      <c r="D2499" s="242"/>
      <c r="E2499" s="231"/>
      <c r="F2499" s="243"/>
      <c r="G2499" s="244"/>
    </row>
    <row r="2500" spans="1:7" s="220" customFormat="1" x14ac:dyDescent="0.25">
      <c r="A2500" s="382"/>
      <c r="B2500" s="236" t="s">
        <v>148</v>
      </c>
      <c r="C2500" s="237"/>
      <c r="D2500" s="246"/>
      <c r="E2500" s="353"/>
      <c r="F2500" s="353"/>
      <c r="G2500" s="338">
        <f>SUM(F2496:F2500)</f>
        <v>2.77</v>
      </c>
    </row>
    <row r="2501" spans="1:7" s="220" customFormat="1" x14ac:dyDescent="0.25">
      <c r="A2501" s="382"/>
      <c r="B2501" s="234" t="s">
        <v>149</v>
      </c>
      <c r="C2501" s="241"/>
      <c r="D2501" s="248"/>
      <c r="E2501" s="241"/>
      <c r="F2501" s="241"/>
      <c r="G2501" s="244" t="s">
        <v>150</v>
      </c>
    </row>
    <row r="2502" spans="1:7" s="220" customFormat="1" x14ac:dyDescent="0.25">
      <c r="A2502" s="382"/>
      <c r="B2502" s="234"/>
      <c r="C2502" s="231"/>
      <c r="D2502" s="245"/>
      <c r="E2502" s="231"/>
      <c r="F2502" s="231"/>
      <c r="G2502" s="233"/>
    </row>
    <row r="2503" spans="1:7" s="220" customFormat="1" ht="15.75" thickBot="1" x14ac:dyDescent="0.3">
      <c r="A2503" s="382"/>
      <c r="B2503" s="249" t="s">
        <v>151</v>
      </c>
      <c r="C2503" s="250"/>
      <c r="D2503" s="251"/>
      <c r="E2503" s="250"/>
      <c r="F2503" s="250"/>
      <c r="G2503" s="338">
        <f>SUM(F2502:F2503)</f>
        <v>0</v>
      </c>
    </row>
    <row r="2504" spans="1:7" s="220" customFormat="1" ht="15.75" thickBot="1" x14ac:dyDescent="0.3">
      <c r="A2504" s="382"/>
      <c r="B2504" s="1382"/>
      <c r="C2504" s="1382"/>
      <c r="D2504" s="1382"/>
      <c r="E2504" s="1382"/>
      <c r="F2504" s="1382"/>
      <c r="G2504" s="1382"/>
    </row>
    <row r="2505" spans="1:7" s="220" customFormat="1" ht="15.75" thickBot="1" x14ac:dyDescent="0.3">
      <c r="A2505" s="382"/>
      <c r="B2505" s="253" t="s">
        <v>152</v>
      </c>
      <c r="C2505" s="254" t="s">
        <v>153</v>
      </c>
      <c r="D2505" s="255" t="s">
        <v>154</v>
      </c>
      <c r="E2505" s="1381" t="s">
        <v>155</v>
      </c>
      <c r="F2505" s="1381"/>
      <c r="G2505" s="1381"/>
    </row>
    <row r="2506" spans="1:7" s="220" customFormat="1" ht="15.75" thickBot="1" x14ac:dyDescent="0.3">
      <c r="A2506" s="382"/>
      <c r="B2506" s="256" t="s">
        <v>156</v>
      </c>
      <c r="C2506" s="257"/>
      <c r="D2506" s="369">
        <f>G2494</f>
        <v>1.82</v>
      </c>
      <c r="E2506" s="1381"/>
      <c r="F2506" s="1381"/>
      <c r="G2506" s="1381"/>
    </row>
    <row r="2507" spans="1:7" s="220" customFormat="1" ht="15.75" thickBot="1" x14ac:dyDescent="0.3">
      <c r="A2507" s="382"/>
      <c r="B2507" s="256" t="s">
        <v>157</v>
      </c>
      <c r="C2507" s="257"/>
      <c r="D2507" s="369">
        <f>G2500</f>
        <v>2.77</v>
      </c>
      <c r="E2507" s="1381"/>
      <c r="F2507" s="1381"/>
      <c r="G2507" s="1381"/>
    </row>
    <row r="2508" spans="1:7" s="220" customFormat="1" ht="15.75" thickBot="1" x14ac:dyDescent="0.3">
      <c r="A2508" s="382"/>
      <c r="B2508" s="256" t="s">
        <v>158</v>
      </c>
      <c r="C2508" s="257"/>
      <c r="D2508" s="369">
        <f>G2503</f>
        <v>0</v>
      </c>
      <c r="E2508" s="1381"/>
      <c r="F2508" s="1381"/>
      <c r="G2508" s="1381"/>
    </row>
    <row r="2509" spans="1:7" s="220" customFormat="1" ht="15.75" thickBot="1" x14ac:dyDescent="0.3">
      <c r="A2509" s="382"/>
      <c r="B2509" s="256" t="s">
        <v>159</v>
      </c>
      <c r="C2509" s="258">
        <f>$J$5</f>
        <v>157.27000000000001</v>
      </c>
      <c r="D2509" s="369">
        <f>D2506*C2509/100</f>
        <v>2.86</v>
      </c>
      <c r="E2509" s="1381"/>
      <c r="F2509" s="1381"/>
      <c r="G2509" s="1381"/>
    </row>
    <row r="2510" spans="1:7" s="220" customFormat="1" ht="15.75" thickBot="1" x14ac:dyDescent="0.3">
      <c r="A2510" s="382"/>
      <c r="B2510" s="256" t="s">
        <v>160</v>
      </c>
      <c r="C2510" s="259"/>
      <c r="D2510" s="370">
        <f>SUM(D2506:D2509)</f>
        <v>7.45</v>
      </c>
      <c r="E2510" s="1381"/>
      <c r="F2510" s="1381"/>
      <c r="G2510" s="1381"/>
    </row>
    <row r="2511" spans="1:7" s="220" customFormat="1" ht="15.75" thickBot="1" x14ac:dyDescent="0.3">
      <c r="A2511" s="382"/>
      <c r="B2511" s="256" t="s">
        <v>161</v>
      </c>
      <c r="C2511" s="257"/>
      <c r="D2511" s="369" t="s">
        <v>162</v>
      </c>
      <c r="E2511" s="1382" t="s">
        <v>163</v>
      </c>
      <c r="F2511" s="1382"/>
      <c r="G2511" s="1382"/>
    </row>
    <row r="2512" spans="1:7" s="220" customFormat="1" ht="15.75" thickBot="1" x14ac:dyDescent="0.3">
      <c r="A2512" s="382"/>
      <c r="B2512" s="260" t="s">
        <v>164</v>
      </c>
      <c r="C2512" s="261"/>
      <c r="D2512" s="334">
        <f>D2510</f>
        <v>7.45</v>
      </c>
      <c r="E2512" s="1382"/>
      <c r="F2512" s="1382"/>
      <c r="G2512" s="1382"/>
    </row>
    <row r="2513" spans="1:7" s="220" customFormat="1" ht="15.75" thickBot="1" x14ac:dyDescent="0.3">
      <c r="A2513" s="382"/>
      <c r="B2513" s="262" t="s">
        <v>165</v>
      </c>
      <c r="C2513" s="263">
        <f>$I$5</f>
        <v>28.49</v>
      </c>
      <c r="D2513" s="335">
        <f>D2512*C2513/100</f>
        <v>2.12</v>
      </c>
      <c r="E2513" s="1382"/>
      <c r="F2513" s="1382"/>
      <c r="G2513" s="1382"/>
    </row>
    <row r="2514" spans="1:7" s="220" customFormat="1" ht="15.75" thickBot="1" x14ac:dyDescent="0.3">
      <c r="A2514" s="382"/>
      <c r="B2514" s="264" t="s">
        <v>166</v>
      </c>
      <c r="C2514" s="265"/>
      <c r="D2514" s="336">
        <f>SUM(D2512:D2513)</f>
        <v>9.57</v>
      </c>
      <c r="E2514" s="266"/>
      <c r="F2514" s="337">
        <f>D2514</f>
        <v>9.57</v>
      </c>
      <c r="G2514" s="389"/>
    </row>
  </sheetData>
  <mergeCells count="999">
    <mergeCell ref="E2242:G2242"/>
    <mergeCell ref="E2243:G2243"/>
    <mergeCell ref="E2244:G2246"/>
    <mergeCell ref="B2215:G2215"/>
    <mergeCell ref="B2216:G2216"/>
    <mergeCell ref="D2217:E2217"/>
    <mergeCell ref="D2218:E2218"/>
    <mergeCell ref="B2219:G2219"/>
    <mergeCell ref="B2237:G2237"/>
    <mergeCell ref="E2238:G2238"/>
    <mergeCell ref="E2239:G2239"/>
    <mergeCell ref="E2240:G2240"/>
    <mergeCell ref="E2241:G2241"/>
    <mergeCell ref="E2176:G2178"/>
    <mergeCell ref="D2149:E2149"/>
    <mergeCell ref="B2150:G2150"/>
    <mergeCell ref="B2169:G2169"/>
    <mergeCell ref="E2170:G2170"/>
    <mergeCell ref="E2171:G2171"/>
    <mergeCell ref="E2172:G2172"/>
    <mergeCell ref="E2173:G2173"/>
    <mergeCell ref="E2174:G2174"/>
    <mergeCell ref="E2175:G2175"/>
    <mergeCell ref="E2135:G2135"/>
    <mergeCell ref="E2136:G2136"/>
    <mergeCell ref="E2137:G2137"/>
    <mergeCell ref="E2138:G2138"/>
    <mergeCell ref="E2139:G2139"/>
    <mergeCell ref="E2140:G2142"/>
    <mergeCell ref="B2146:G2146"/>
    <mergeCell ref="B2147:G2147"/>
    <mergeCell ref="D2148:E2148"/>
    <mergeCell ref="E2106:G2106"/>
    <mergeCell ref="E2107:G2109"/>
    <mergeCell ref="B2113:G2113"/>
    <mergeCell ref="B2114:G2114"/>
    <mergeCell ref="D2115:E2115"/>
    <mergeCell ref="D2116:E2116"/>
    <mergeCell ref="B2117:G2117"/>
    <mergeCell ref="B2133:G2133"/>
    <mergeCell ref="E2134:G2134"/>
    <mergeCell ref="D2078:E2078"/>
    <mergeCell ref="D2079:E2079"/>
    <mergeCell ref="B2080:G2080"/>
    <mergeCell ref="B2100:G2100"/>
    <mergeCell ref="E2101:G2101"/>
    <mergeCell ref="E2102:G2102"/>
    <mergeCell ref="E2103:G2103"/>
    <mergeCell ref="E2104:G2104"/>
    <mergeCell ref="E2105:G2105"/>
    <mergeCell ref="E2064:G2064"/>
    <mergeCell ref="E2065:G2065"/>
    <mergeCell ref="E2066:G2066"/>
    <mergeCell ref="E2067:G2067"/>
    <mergeCell ref="E2068:G2068"/>
    <mergeCell ref="E2069:G2069"/>
    <mergeCell ref="E2070:G2072"/>
    <mergeCell ref="B2076:G2076"/>
    <mergeCell ref="B2077:G2077"/>
    <mergeCell ref="B2035:G2035"/>
    <mergeCell ref="D2036:E2036"/>
    <mergeCell ref="D2037:E2037"/>
    <mergeCell ref="B2038:G2038"/>
    <mergeCell ref="B2063:G2063"/>
    <mergeCell ref="E975:G975"/>
    <mergeCell ref="E976:G976"/>
    <mergeCell ref="E977:G977"/>
    <mergeCell ref="E848:G848"/>
    <mergeCell ref="E849:G849"/>
    <mergeCell ref="E850:G850"/>
    <mergeCell ref="E851:G851"/>
    <mergeCell ref="E978:G978"/>
    <mergeCell ref="E979:G981"/>
    <mergeCell ref="E947:G949"/>
    <mergeCell ref="B953:G953"/>
    <mergeCell ref="B954:G954"/>
    <mergeCell ref="D955:E955"/>
    <mergeCell ref="D956:E956"/>
    <mergeCell ref="B957:G957"/>
    <mergeCell ref="D988:E988"/>
    <mergeCell ref="E1902:G1902"/>
    <mergeCell ref="E1903:G1903"/>
    <mergeCell ref="E1904:G1904"/>
    <mergeCell ref="E819:G819"/>
    <mergeCell ref="E820:G822"/>
    <mergeCell ref="B845:G845"/>
    <mergeCell ref="E846:G846"/>
    <mergeCell ref="E847:G847"/>
    <mergeCell ref="B826:G826"/>
    <mergeCell ref="B827:G827"/>
    <mergeCell ref="D828:E828"/>
    <mergeCell ref="B2034:G2034"/>
    <mergeCell ref="E884:G886"/>
    <mergeCell ref="D861:E861"/>
    <mergeCell ref="B862:G862"/>
    <mergeCell ref="B877:G877"/>
    <mergeCell ref="E878:G878"/>
    <mergeCell ref="E879:G879"/>
    <mergeCell ref="E880:G880"/>
    <mergeCell ref="E881:G881"/>
    <mergeCell ref="E882:G882"/>
    <mergeCell ref="E883:G883"/>
    <mergeCell ref="E852:G854"/>
    <mergeCell ref="B858:G858"/>
    <mergeCell ref="B859:G859"/>
    <mergeCell ref="D860:E860"/>
    <mergeCell ref="D829:E829"/>
    <mergeCell ref="E816:G816"/>
    <mergeCell ref="E817:G817"/>
    <mergeCell ref="E818:G818"/>
    <mergeCell ref="E783:G783"/>
    <mergeCell ref="E784:G784"/>
    <mergeCell ref="E785:G785"/>
    <mergeCell ref="E786:G786"/>
    <mergeCell ref="E787:G787"/>
    <mergeCell ref="E788:G788"/>
    <mergeCell ref="E789:G791"/>
    <mergeCell ref="B795:G795"/>
    <mergeCell ref="B796:G796"/>
    <mergeCell ref="D766:E766"/>
    <mergeCell ref="B767:G767"/>
    <mergeCell ref="B782:G782"/>
    <mergeCell ref="D797:E797"/>
    <mergeCell ref="D798:E798"/>
    <mergeCell ref="B799:G799"/>
    <mergeCell ref="B813:G813"/>
    <mergeCell ref="E814:G814"/>
    <mergeCell ref="E815:G815"/>
    <mergeCell ref="E692:G692"/>
    <mergeCell ref="E693:G693"/>
    <mergeCell ref="E694:G696"/>
    <mergeCell ref="B700:G700"/>
    <mergeCell ref="B701:G701"/>
    <mergeCell ref="D702:E702"/>
    <mergeCell ref="D703:E703"/>
    <mergeCell ref="B704:G704"/>
    <mergeCell ref="B830:G830"/>
    <mergeCell ref="B733:G733"/>
    <mergeCell ref="D734:E734"/>
    <mergeCell ref="D735:E735"/>
    <mergeCell ref="B736:G736"/>
    <mergeCell ref="B750:G750"/>
    <mergeCell ref="E751:G751"/>
    <mergeCell ref="E752:G752"/>
    <mergeCell ref="E753:G753"/>
    <mergeCell ref="E754:G754"/>
    <mergeCell ref="E755:G755"/>
    <mergeCell ref="E756:G756"/>
    <mergeCell ref="E757:G759"/>
    <mergeCell ref="B763:G763"/>
    <mergeCell ref="B764:G764"/>
    <mergeCell ref="D765:E765"/>
    <mergeCell ref="B986:G986"/>
    <mergeCell ref="D987:E987"/>
    <mergeCell ref="B972:G972"/>
    <mergeCell ref="E973:G973"/>
    <mergeCell ref="E626:G626"/>
    <mergeCell ref="E688:G688"/>
    <mergeCell ref="E689:G689"/>
    <mergeCell ref="E690:G690"/>
    <mergeCell ref="E656:G656"/>
    <mergeCell ref="E657:G657"/>
    <mergeCell ref="E658:G658"/>
    <mergeCell ref="E659:G659"/>
    <mergeCell ref="E660:G660"/>
    <mergeCell ref="E661:G661"/>
    <mergeCell ref="E662:G664"/>
    <mergeCell ref="B672:G672"/>
    <mergeCell ref="B687:G687"/>
    <mergeCell ref="E722:G722"/>
    <mergeCell ref="E723:G723"/>
    <mergeCell ref="E724:G724"/>
    <mergeCell ref="E725:G725"/>
    <mergeCell ref="E726:G728"/>
    <mergeCell ref="B732:G732"/>
    <mergeCell ref="E691:G691"/>
    <mergeCell ref="E628:G628"/>
    <mergeCell ref="E629:G629"/>
    <mergeCell ref="E630:G632"/>
    <mergeCell ref="B605:G605"/>
    <mergeCell ref="D606:E606"/>
    <mergeCell ref="D607:E607"/>
    <mergeCell ref="B608:G608"/>
    <mergeCell ref="B623:G623"/>
    <mergeCell ref="E624:G624"/>
    <mergeCell ref="E625:G625"/>
    <mergeCell ref="E974:G974"/>
    <mergeCell ref="E941:G941"/>
    <mergeCell ref="E942:G942"/>
    <mergeCell ref="E943:G943"/>
    <mergeCell ref="E944:G944"/>
    <mergeCell ref="E945:G945"/>
    <mergeCell ref="E946:G946"/>
    <mergeCell ref="E912:G912"/>
    <mergeCell ref="E913:G913"/>
    <mergeCell ref="E914:G914"/>
    <mergeCell ref="E915:G915"/>
    <mergeCell ref="E916:G918"/>
    <mergeCell ref="B922:G922"/>
    <mergeCell ref="B923:G923"/>
    <mergeCell ref="D924:E924"/>
    <mergeCell ref="B940:G940"/>
    <mergeCell ref="B507:G507"/>
    <mergeCell ref="B508:G508"/>
    <mergeCell ref="D509:E509"/>
    <mergeCell ref="D510:E510"/>
    <mergeCell ref="B511:G511"/>
    <mergeCell ref="B527:G527"/>
    <mergeCell ref="E528:G528"/>
    <mergeCell ref="E595:G595"/>
    <mergeCell ref="E596:G596"/>
    <mergeCell ref="B540:G540"/>
    <mergeCell ref="B541:G541"/>
    <mergeCell ref="D542:E542"/>
    <mergeCell ref="D543:E543"/>
    <mergeCell ref="B544:G544"/>
    <mergeCell ref="B559:G559"/>
    <mergeCell ref="E560:G560"/>
    <mergeCell ref="E561:G561"/>
    <mergeCell ref="E562:G562"/>
    <mergeCell ref="B591:G591"/>
    <mergeCell ref="E592:G592"/>
    <mergeCell ref="E563:G563"/>
    <mergeCell ref="E564:G564"/>
    <mergeCell ref="E565:G565"/>
    <mergeCell ref="E1004:G1004"/>
    <mergeCell ref="E1005:G1005"/>
    <mergeCell ref="E1006:G1006"/>
    <mergeCell ref="B989:G989"/>
    <mergeCell ref="B1003:G1003"/>
    <mergeCell ref="E627:G627"/>
    <mergeCell ref="B636:G636"/>
    <mergeCell ref="B637:G637"/>
    <mergeCell ref="D638:E638"/>
    <mergeCell ref="D639:E639"/>
    <mergeCell ref="B640:G640"/>
    <mergeCell ref="B655:G655"/>
    <mergeCell ref="B719:G719"/>
    <mergeCell ref="E720:G720"/>
    <mergeCell ref="E721:G721"/>
    <mergeCell ref="B892:G892"/>
    <mergeCell ref="D893:E893"/>
    <mergeCell ref="D894:E894"/>
    <mergeCell ref="B895:G895"/>
    <mergeCell ref="B909:G909"/>
    <mergeCell ref="E910:G910"/>
    <mergeCell ref="B985:G985"/>
    <mergeCell ref="D925:E925"/>
    <mergeCell ref="B926:G926"/>
    <mergeCell ref="E499:G499"/>
    <mergeCell ref="E911:G911"/>
    <mergeCell ref="B891:G891"/>
    <mergeCell ref="E529:G529"/>
    <mergeCell ref="E530:G530"/>
    <mergeCell ref="E531:G531"/>
    <mergeCell ref="E532:G532"/>
    <mergeCell ref="E533:G533"/>
    <mergeCell ref="E534:G536"/>
    <mergeCell ref="E594:G594"/>
    <mergeCell ref="E597:G597"/>
    <mergeCell ref="E598:G600"/>
    <mergeCell ref="B604:G604"/>
    <mergeCell ref="B668:G668"/>
    <mergeCell ref="B669:G669"/>
    <mergeCell ref="D670:E670"/>
    <mergeCell ref="D671:E671"/>
    <mergeCell ref="E593:G593"/>
    <mergeCell ref="E566:G568"/>
    <mergeCell ref="B572:G572"/>
    <mergeCell ref="B573:G573"/>
    <mergeCell ref="D574:E574"/>
    <mergeCell ref="D575:E575"/>
    <mergeCell ref="B576:G576"/>
    <mergeCell ref="B445:G445"/>
    <mergeCell ref="B2:G2"/>
    <mergeCell ref="B3:G3"/>
    <mergeCell ref="D4:E4"/>
    <mergeCell ref="D5:E5"/>
    <mergeCell ref="B6:G6"/>
    <mergeCell ref="B37:G37"/>
    <mergeCell ref="B414:G414"/>
    <mergeCell ref="B38:G38"/>
    <mergeCell ref="D39:E39"/>
    <mergeCell ref="D40:E40"/>
    <mergeCell ref="B41:G41"/>
    <mergeCell ref="B59:G59"/>
    <mergeCell ref="E60:G60"/>
    <mergeCell ref="E30:G30"/>
    <mergeCell ref="E61:G61"/>
    <mergeCell ref="E62:G62"/>
    <mergeCell ref="E63:G63"/>
    <mergeCell ref="E64:G64"/>
    <mergeCell ref="E65:G65"/>
    <mergeCell ref="E66:G68"/>
    <mergeCell ref="E439:G441"/>
    <mergeCell ref="E433:G433"/>
    <mergeCell ref="E434:G434"/>
    <mergeCell ref="E435:G435"/>
    <mergeCell ref="E436:G436"/>
    <mergeCell ref="E437:G437"/>
    <mergeCell ref="E438:G438"/>
    <mergeCell ref="D181:E181"/>
    <mergeCell ref="D182:E182"/>
    <mergeCell ref="B415:G415"/>
    <mergeCell ref="D416:E416"/>
    <mergeCell ref="D417:E417"/>
    <mergeCell ref="B418:G418"/>
    <mergeCell ref="B432:G432"/>
    <mergeCell ref="B183:G183"/>
    <mergeCell ref="B201:G201"/>
    <mergeCell ref="E373:G373"/>
    <mergeCell ref="E374:G374"/>
    <mergeCell ref="B271:G271"/>
    <mergeCell ref="E272:G272"/>
    <mergeCell ref="E310:G310"/>
    <mergeCell ref="E311:G311"/>
    <mergeCell ref="E405:G405"/>
    <mergeCell ref="E406:G406"/>
    <mergeCell ref="E370:G370"/>
    <mergeCell ref="E371:G371"/>
    <mergeCell ref="E372:G372"/>
    <mergeCell ref="B24:G24"/>
    <mergeCell ref="E25:G25"/>
    <mergeCell ref="E26:G26"/>
    <mergeCell ref="E27:G27"/>
    <mergeCell ref="E28:G28"/>
    <mergeCell ref="E29:G29"/>
    <mergeCell ref="E172:G174"/>
    <mergeCell ref="B179:G179"/>
    <mergeCell ref="B180:G180"/>
    <mergeCell ref="E31:G33"/>
    <mergeCell ref="B76:G76"/>
    <mergeCell ref="B77:G77"/>
    <mergeCell ref="D78:E78"/>
    <mergeCell ref="D79:E79"/>
    <mergeCell ref="E100:G100"/>
    <mergeCell ref="E101:G101"/>
    <mergeCell ref="E102:G104"/>
    <mergeCell ref="B108:G108"/>
    <mergeCell ref="B109:G109"/>
    <mergeCell ref="D110:E110"/>
    <mergeCell ref="B80:G80"/>
    <mergeCell ref="B95:G95"/>
    <mergeCell ref="E96:G96"/>
    <mergeCell ref="E97:G97"/>
    <mergeCell ref="E407:G407"/>
    <mergeCell ref="E408:G410"/>
    <mergeCell ref="B250:G250"/>
    <mergeCell ref="D251:E251"/>
    <mergeCell ref="D252:E252"/>
    <mergeCell ref="B253:G253"/>
    <mergeCell ref="E202:G202"/>
    <mergeCell ref="B320:G320"/>
    <mergeCell ref="E375:G377"/>
    <mergeCell ref="B351:G351"/>
    <mergeCell ref="D352:E352"/>
    <mergeCell ref="D353:E353"/>
    <mergeCell ref="B354:G354"/>
    <mergeCell ref="B368:G368"/>
    <mergeCell ref="E369:G369"/>
    <mergeCell ref="B381:G381"/>
    <mergeCell ref="B382:G382"/>
    <mergeCell ref="D383:E383"/>
    <mergeCell ref="D384:E384"/>
    <mergeCell ref="B385:G385"/>
    <mergeCell ref="B401:G401"/>
    <mergeCell ref="E402:G402"/>
    <mergeCell ref="E403:G403"/>
    <mergeCell ref="E404:G404"/>
    <mergeCell ref="E98:G98"/>
    <mergeCell ref="E99:G99"/>
    <mergeCell ref="E170:G170"/>
    <mergeCell ref="E171:G171"/>
    <mergeCell ref="E134:G134"/>
    <mergeCell ref="E135:G135"/>
    <mergeCell ref="E136:G136"/>
    <mergeCell ref="E137:G139"/>
    <mergeCell ref="B319:G319"/>
    <mergeCell ref="D111:E111"/>
    <mergeCell ref="B112:G112"/>
    <mergeCell ref="B130:G130"/>
    <mergeCell ref="E131:G131"/>
    <mergeCell ref="E132:G132"/>
    <mergeCell ref="E133:G133"/>
    <mergeCell ref="B143:G143"/>
    <mergeCell ref="B144:G144"/>
    <mergeCell ref="D145:E145"/>
    <mergeCell ref="D146:E146"/>
    <mergeCell ref="B147:G147"/>
    <mergeCell ref="B165:G165"/>
    <mergeCell ref="E166:G166"/>
    <mergeCell ref="E167:G167"/>
    <mergeCell ref="E168:G168"/>
    <mergeCell ref="E169:G169"/>
    <mergeCell ref="D217:E217"/>
    <mergeCell ref="B218:G218"/>
    <mergeCell ref="E340:G340"/>
    <mergeCell ref="E341:G341"/>
    <mergeCell ref="E342:G342"/>
    <mergeCell ref="E343:G343"/>
    <mergeCell ref="E344:G346"/>
    <mergeCell ref="B350:G350"/>
    <mergeCell ref="D321:E321"/>
    <mergeCell ref="D322:E322"/>
    <mergeCell ref="B323:G323"/>
    <mergeCell ref="B337:G337"/>
    <mergeCell ref="E338:G338"/>
    <mergeCell ref="E339:G339"/>
    <mergeCell ref="B236:G236"/>
    <mergeCell ref="E237:G237"/>
    <mergeCell ref="E238:G238"/>
    <mergeCell ref="E239:G239"/>
    <mergeCell ref="E240:G240"/>
    <mergeCell ref="E241:G241"/>
    <mergeCell ref="E242:G242"/>
    <mergeCell ref="E243:G245"/>
    <mergeCell ref="B249:G249"/>
    <mergeCell ref="E500:G500"/>
    <mergeCell ref="E501:G503"/>
    <mergeCell ref="B446:G446"/>
    <mergeCell ref="D447:E447"/>
    <mergeCell ref="D448:E448"/>
    <mergeCell ref="B449:G449"/>
    <mergeCell ref="B463:G463"/>
    <mergeCell ref="E464:G464"/>
    <mergeCell ref="E469:G469"/>
    <mergeCell ref="E465:G465"/>
    <mergeCell ref="E466:G466"/>
    <mergeCell ref="E467:G467"/>
    <mergeCell ref="E468:G468"/>
    <mergeCell ref="E470:G472"/>
    <mergeCell ref="B476:G476"/>
    <mergeCell ref="B477:G477"/>
    <mergeCell ref="D478:E478"/>
    <mergeCell ref="D479:E479"/>
    <mergeCell ref="B480:G480"/>
    <mergeCell ref="B494:G494"/>
    <mergeCell ref="E495:G495"/>
    <mergeCell ref="E496:G496"/>
    <mergeCell ref="E497:G497"/>
    <mergeCell ref="E498:G498"/>
    <mergeCell ref="D1188:E1188"/>
    <mergeCell ref="B1189:G1189"/>
    <mergeCell ref="B1205:G1205"/>
    <mergeCell ref="E1206:G1206"/>
    <mergeCell ref="E1207:G1207"/>
    <mergeCell ref="E1107:G1107"/>
    <mergeCell ref="E1108:G1108"/>
    <mergeCell ref="E1109:G1111"/>
    <mergeCell ref="E1246:G1248"/>
    <mergeCell ref="E1142:G1142"/>
    <mergeCell ref="E1143:G1143"/>
    <mergeCell ref="E1173:G1173"/>
    <mergeCell ref="E1174:G1174"/>
    <mergeCell ref="B1119:G1119"/>
    <mergeCell ref="B1185:G1185"/>
    <mergeCell ref="B1186:G1186"/>
    <mergeCell ref="D1187:E1187"/>
    <mergeCell ref="B1151:G1151"/>
    <mergeCell ref="D1152:E1152"/>
    <mergeCell ref="D1153:E1153"/>
    <mergeCell ref="E1175:G1175"/>
    <mergeCell ref="E1176:G1176"/>
    <mergeCell ref="E1177:G1177"/>
    <mergeCell ref="E1244:G1244"/>
    <mergeCell ref="E1277:G1277"/>
    <mergeCell ref="B1253:G1253"/>
    <mergeCell ref="D1254:E1254"/>
    <mergeCell ref="D1255:E1255"/>
    <mergeCell ref="B1256:G1256"/>
    <mergeCell ref="B1273:G1273"/>
    <mergeCell ref="E1274:G1274"/>
    <mergeCell ref="E1275:G1275"/>
    <mergeCell ref="E1276:G1276"/>
    <mergeCell ref="E1378:G1378"/>
    <mergeCell ref="E1379:G1379"/>
    <mergeCell ref="E1380:G1380"/>
    <mergeCell ref="E1381:G1381"/>
    <mergeCell ref="E1382:G1382"/>
    <mergeCell ref="E1383:G1385"/>
    <mergeCell ref="D1289:E1289"/>
    <mergeCell ref="B1290:G1290"/>
    <mergeCell ref="B1308:G1308"/>
    <mergeCell ref="E1309:G1309"/>
    <mergeCell ref="E1310:G1310"/>
    <mergeCell ref="E1311:G1311"/>
    <mergeCell ref="E1312:G1312"/>
    <mergeCell ref="E1313:G1313"/>
    <mergeCell ref="E1314:G1314"/>
    <mergeCell ref="E1315:G1317"/>
    <mergeCell ref="B1321:G1321"/>
    <mergeCell ref="B1322:G1322"/>
    <mergeCell ref="D1323:E1323"/>
    <mergeCell ref="D1324:E1324"/>
    <mergeCell ref="B1325:G1325"/>
    <mergeCell ref="B1342:G1342"/>
    <mergeCell ref="E1343:G1343"/>
    <mergeCell ref="D1357:E1357"/>
    <mergeCell ref="E1441:G1441"/>
    <mergeCell ref="E1442:G1442"/>
    <mergeCell ref="E1443:G1443"/>
    <mergeCell ref="E1444:G1444"/>
    <mergeCell ref="E1445:G1445"/>
    <mergeCell ref="E1446:G1448"/>
    <mergeCell ref="E1344:G1344"/>
    <mergeCell ref="E1345:G1345"/>
    <mergeCell ref="E1346:G1346"/>
    <mergeCell ref="E1347:G1347"/>
    <mergeCell ref="E1348:G1348"/>
    <mergeCell ref="E1349:G1351"/>
    <mergeCell ref="B1389:G1389"/>
    <mergeCell ref="B1390:G1390"/>
    <mergeCell ref="D1391:E1391"/>
    <mergeCell ref="D1392:E1392"/>
    <mergeCell ref="B1393:G1393"/>
    <mergeCell ref="B1407:G1407"/>
    <mergeCell ref="E1408:G1408"/>
    <mergeCell ref="E1409:G1409"/>
    <mergeCell ref="E1410:G1410"/>
    <mergeCell ref="E1411:G1411"/>
    <mergeCell ref="E1412:G1412"/>
    <mergeCell ref="E1377:G1377"/>
    <mergeCell ref="E1413:G1413"/>
    <mergeCell ref="E1414:G1416"/>
    <mergeCell ref="B1420:G1420"/>
    <mergeCell ref="B1421:G1421"/>
    <mergeCell ref="D1422:E1422"/>
    <mergeCell ref="D1423:E1423"/>
    <mergeCell ref="B1424:G1424"/>
    <mergeCell ref="B1439:G1439"/>
    <mergeCell ref="E1440:G1440"/>
    <mergeCell ref="E1538:G1538"/>
    <mergeCell ref="E1512:G1514"/>
    <mergeCell ref="B1518:G1518"/>
    <mergeCell ref="B1519:G1519"/>
    <mergeCell ref="D1520:E1520"/>
    <mergeCell ref="D1521:E1521"/>
    <mergeCell ref="B1452:G1452"/>
    <mergeCell ref="B1453:G1453"/>
    <mergeCell ref="D1454:E1454"/>
    <mergeCell ref="D1455:E1455"/>
    <mergeCell ref="B1456:G1456"/>
    <mergeCell ref="B1472:G1472"/>
    <mergeCell ref="E1473:G1473"/>
    <mergeCell ref="E1474:G1474"/>
    <mergeCell ref="E1475:G1475"/>
    <mergeCell ref="E1476:G1476"/>
    <mergeCell ref="E1477:G1477"/>
    <mergeCell ref="E1478:G1478"/>
    <mergeCell ref="E1479:G1481"/>
    <mergeCell ref="B1485:G1485"/>
    <mergeCell ref="B1486:G1486"/>
    <mergeCell ref="D1487:E1487"/>
    <mergeCell ref="D1488:E1488"/>
    <mergeCell ref="E1511:G1511"/>
    <mergeCell ref="B1522:G1522"/>
    <mergeCell ref="B1536:G1536"/>
    <mergeCell ref="B1489:G1489"/>
    <mergeCell ref="B1505:G1505"/>
    <mergeCell ref="E1506:G1506"/>
    <mergeCell ref="E1507:G1507"/>
    <mergeCell ref="E1508:G1508"/>
    <mergeCell ref="E1509:G1509"/>
    <mergeCell ref="E1510:G1510"/>
    <mergeCell ref="B1581:G1581"/>
    <mergeCell ref="D1582:E1582"/>
    <mergeCell ref="D1583:E1583"/>
    <mergeCell ref="B1584:G1584"/>
    <mergeCell ref="B1598:G1598"/>
    <mergeCell ref="E1599:G1599"/>
    <mergeCell ref="E1539:G1539"/>
    <mergeCell ref="E1540:G1540"/>
    <mergeCell ref="E1541:G1541"/>
    <mergeCell ref="E1542:G1542"/>
    <mergeCell ref="E1543:G1545"/>
    <mergeCell ref="B1549:G1549"/>
    <mergeCell ref="B1550:G1550"/>
    <mergeCell ref="D1551:E1551"/>
    <mergeCell ref="D1552:E1552"/>
    <mergeCell ref="B1553:G1553"/>
    <mergeCell ref="B1567:G1567"/>
    <mergeCell ref="E1568:G1568"/>
    <mergeCell ref="E1569:G1569"/>
    <mergeCell ref="E1570:G1570"/>
    <mergeCell ref="E1571:G1571"/>
    <mergeCell ref="B1760:G1760"/>
    <mergeCell ref="D1761:E1761"/>
    <mergeCell ref="E1693:G1693"/>
    <mergeCell ref="E1694:G1696"/>
    <mergeCell ref="B1729:G1729"/>
    <mergeCell ref="B1730:G1730"/>
    <mergeCell ref="D1731:E1731"/>
    <mergeCell ref="D1732:E1732"/>
    <mergeCell ref="B1733:G1733"/>
    <mergeCell ref="B1746:G1746"/>
    <mergeCell ref="E1747:G1747"/>
    <mergeCell ref="E1720:G1720"/>
    <mergeCell ref="D1702:E1702"/>
    <mergeCell ref="D1674:E1674"/>
    <mergeCell ref="B1671:G1671"/>
    <mergeCell ref="B1672:G1672"/>
    <mergeCell ref="E1750:G1750"/>
    <mergeCell ref="E1722:G1722"/>
    <mergeCell ref="E1723:G1725"/>
    <mergeCell ref="E1752:G1752"/>
    <mergeCell ref="E1753:G1755"/>
    <mergeCell ref="B1759:G1759"/>
    <mergeCell ref="E1748:G1748"/>
    <mergeCell ref="E1749:G1749"/>
    <mergeCell ref="D1703:E1703"/>
    <mergeCell ref="B1704:G1704"/>
    <mergeCell ref="B1716:G1716"/>
    <mergeCell ref="E1717:G1717"/>
    <mergeCell ref="E1718:G1718"/>
    <mergeCell ref="E1719:G1719"/>
    <mergeCell ref="E1721:G1721"/>
    <mergeCell ref="E1751:G1751"/>
    <mergeCell ref="B1687:G1687"/>
    <mergeCell ref="D1673:E1673"/>
    <mergeCell ref="B1675:G1675"/>
    <mergeCell ref="B1700:G1700"/>
    <mergeCell ref="B1701:G1701"/>
    <mergeCell ref="D1975:E1975"/>
    <mergeCell ref="B1976:G1976"/>
    <mergeCell ref="B1990:G1990"/>
    <mergeCell ref="E1991:G1991"/>
    <mergeCell ref="E1992:G1992"/>
    <mergeCell ref="E1993:G1993"/>
    <mergeCell ref="E1994:G1994"/>
    <mergeCell ref="E1838:G1838"/>
    <mergeCell ref="E1839:G1839"/>
    <mergeCell ref="B1879:G1879"/>
    <mergeCell ref="B1880:G1880"/>
    <mergeCell ref="E1868:G1868"/>
    <mergeCell ref="E1869:G1869"/>
    <mergeCell ref="B1883:G1883"/>
    <mergeCell ref="B1898:G1898"/>
    <mergeCell ref="E1899:G1899"/>
    <mergeCell ref="E1900:G1900"/>
    <mergeCell ref="E1901:G1901"/>
    <mergeCell ref="E1870:G1870"/>
    <mergeCell ref="D1881:E1881"/>
    <mergeCell ref="B1866:G1866"/>
    <mergeCell ref="E1867:G1867"/>
    <mergeCell ref="B1915:G1915"/>
    <mergeCell ref="E1840:G1840"/>
    <mergeCell ref="E276:G276"/>
    <mergeCell ref="E277:G277"/>
    <mergeCell ref="B1612:G1612"/>
    <mergeCell ref="D1613:E1613"/>
    <mergeCell ref="D1614:E1614"/>
    <mergeCell ref="B1615:G1615"/>
    <mergeCell ref="E1104:G1104"/>
    <mergeCell ref="E1105:G1105"/>
    <mergeCell ref="E1106:G1106"/>
    <mergeCell ref="E1075:G1075"/>
    <mergeCell ref="E1076:G1078"/>
    <mergeCell ref="B1082:G1082"/>
    <mergeCell ref="B1083:G1083"/>
    <mergeCell ref="D1084:E1084"/>
    <mergeCell ref="D1085:E1085"/>
    <mergeCell ref="B1086:G1086"/>
    <mergeCell ref="B1102:G1102"/>
    <mergeCell ref="D286:E286"/>
    <mergeCell ref="D287:E287"/>
    <mergeCell ref="B288:G288"/>
    <mergeCell ref="E309:G309"/>
    <mergeCell ref="E1537:G1537"/>
    <mergeCell ref="E1574:G1576"/>
    <mergeCell ref="B1580:G1580"/>
    <mergeCell ref="E1632:G1632"/>
    <mergeCell ref="E1633:G1633"/>
    <mergeCell ref="B1646:G1646"/>
    <mergeCell ref="E203:G203"/>
    <mergeCell ref="E204:G204"/>
    <mergeCell ref="E205:G205"/>
    <mergeCell ref="E206:G206"/>
    <mergeCell ref="E207:G207"/>
    <mergeCell ref="E208:G210"/>
    <mergeCell ref="B214:G214"/>
    <mergeCell ref="B215:G215"/>
    <mergeCell ref="D216:E216"/>
    <mergeCell ref="E1178:G1178"/>
    <mergeCell ref="E1179:G1181"/>
    <mergeCell ref="B1154:G1154"/>
    <mergeCell ref="E1070:G1070"/>
    <mergeCell ref="E1071:G1071"/>
    <mergeCell ref="E1072:G1072"/>
    <mergeCell ref="E1073:G1073"/>
    <mergeCell ref="E1074:G1074"/>
    <mergeCell ref="E1103:G1103"/>
    <mergeCell ref="B1356:G1356"/>
    <mergeCell ref="E273:G273"/>
    <mergeCell ref="E274:G274"/>
    <mergeCell ref="B1050:G1050"/>
    <mergeCell ref="D1051:E1051"/>
    <mergeCell ref="D1052:E1052"/>
    <mergeCell ref="B1053:G1053"/>
    <mergeCell ref="B1069:G1069"/>
    <mergeCell ref="E1007:G1007"/>
    <mergeCell ref="E1008:G1008"/>
    <mergeCell ref="E1009:G1009"/>
    <mergeCell ref="E1010:G1012"/>
    <mergeCell ref="B1016:G1016"/>
    <mergeCell ref="B1017:G1017"/>
    <mergeCell ref="D1018:E1018"/>
    <mergeCell ref="E1043:G1045"/>
    <mergeCell ref="D1019:E1019"/>
    <mergeCell ref="B1020:G1020"/>
    <mergeCell ref="B1036:G1036"/>
    <mergeCell ref="E1037:G1037"/>
    <mergeCell ref="E1038:G1038"/>
    <mergeCell ref="E1039:G1039"/>
    <mergeCell ref="E1040:G1040"/>
    <mergeCell ref="E1041:G1041"/>
    <mergeCell ref="E1042:G1042"/>
    <mergeCell ref="E1245:G1245"/>
    <mergeCell ref="B1252:G1252"/>
    <mergeCell ref="E275:G275"/>
    <mergeCell ref="B1172:G1172"/>
    <mergeCell ref="B306:G306"/>
    <mergeCell ref="E307:G307"/>
    <mergeCell ref="E308:G308"/>
    <mergeCell ref="B1115:G1115"/>
    <mergeCell ref="B1116:G1116"/>
    <mergeCell ref="D1117:E1117"/>
    <mergeCell ref="D1118:E1118"/>
    <mergeCell ref="B1137:G1137"/>
    <mergeCell ref="E1138:G1138"/>
    <mergeCell ref="E1139:G1139"/>
    <mergeCell ref="E1140:G1140"/>
    <mergeCell ref="E1141:G1141"/>
    <mergeCell ref="E1144:G1146"/>
    <mergeCell ref="B1150:G1150"/>
    <mergeCell ref="E312:G312"/>
    <mergeCell ref="E313:G315"/>
    <mergeCell ref="E278:G280"/>
    <mergeCell ref="B284:G284"/>
    <mergeCell ref="B285:G285"/>
    <mergeCell ref="B1049:G1049"/>
    <mergeCell ref="D1358:E1358"/>
    <mergeCell ref="E1572:G1572"/>
    <mergeCell ref="E1573:G1573"/>
    <mergeCell ref="E1279:G1279"/>
    <mergeCell ref="E1280:G1282"/>
    <mergeCell ref="B1286:G1286"/>
    <mergeCell ref="B1287:G1287"/>
    <mergeCell ref="D1288:E1288"/>
    <mergeCell ref="E1208:G1208"/>
    <mergeCell ref="E1209:G1209"/>
    <mergeCell ref="E1210:G1210"/>
    <mergeCell ref="B1355:G1355"/>
    <mergeCell ref="E1211:G1211"/>
    <mergeCell ref="E1212:G1214"/>
    <mergeCell ref="B1218:G1218"/>
    <mergeCell ref="B1219:G1219"/>
    <mergeCell ref="D1220:E1220"/>
    <mergeCell ref="D1221:E1221"/>
    <mergeCell ref="B1222:G1222"/>
    <mergeCell ref="B1239:G1239"/>
    <mergeCell ref="E1240:G1240"/>
    <mergeCell ref="E1241:G1241"/>
    <mergeCell ref="E1242:G1242"/>
    <mergeCell ref="E1243:G1243"/>
    <mergeCell ref="E1660:G1660"/>
    <mergeCell ref="E1661:G1661"/>
    <mergeCell ref="E1662:G1662"/>
    <mergeCell ref="E1663:G1663"/>
    <mergeCell ref="E1664:G1664"/>
    <mergeCell ref="E1665:G1667"/>
    <mergeCell ref="E1600:G1600"/>
    <mergeCell ref="E1601:G1601"/>
    <mergeCell ref="E1602:G1602"/>
    <mergeCell ref="E1603:G1603"/>
    <mergeCell ref="E1604:G1604"/>
    <mergeCell ref="E1605:G1607"/>
    <mergeCell ref="B1611:G1611"/>
    <mergeCell ref="E1634:G1634"/>
    <mergeCell ref="E1635:G1635"/>
    <mergeCell ref="E1636:G1638"/>
    <mergeCell ref="B1642:G1642"/>
    <mergeCell ref="B1643:G1643"/>
    <mergeCell ref="D1644:E1644"/>
    <mergeCell ref="D1645:E1645"/>
    <mergeCell ref="B1658:G1658"/>
    <mergeCell ref="B1629:G1629"/>
    <mergeCell ref="E1630:G1630"/>
    <mergeCell ref="E1631:G1631"/>
    <mergeCell ref="E1278:G1278"/>
    <mergeCell ref="B1853:G1853"/>
    <mergeCell ref="B1359:G1359"/>
    <mergeCell ref="B1376:G1376"/>
    <mergeCell ref="E1659:G1659"/>
    <mergeCell ref="E1688:G1688"/>
    <mergeCell ref="E1689:G1689"/>
    <mergeCell ref="E1690:G1690"/>
    <mergeCell ref="E1691:G1691"/>
    <mergeCell ref="E1692:G1692"/>
    <mergeCell ref="B1820:G1820"/>
    <mergeCell ref="D1821:E1821"/>
    <mergeCell ref="D1822:E1822"/>
    <mergeCell ref="B1823:G1823"/>
    <mergeCell ref="B1836:G1836"/>
    <mergeCell ref="E1837:G1837"/>
    <mergeCell ref="D1762:E1762"/>
    <mergeCell ref="B1763:G1763"/>
    <mergeCell ref="B1776:G1776"/>
    <mergeCell ref="E1777:G1777"/>
    <mergeCell ref="E1778:G1778"/>
    <mergeCell ref="E1779:G1779"/>
    <mergeCell ref="E1780:G1780"/>
    <mergeCell ref="E1810:G1810"/>
    <mergeCell ref="E1841:G1841"/>
    <mergeCell ref="E1842:G1842"/>
    <mergeCell ref="E1843:G1845"/>
    <mergeCell ref="B1849:G1849"/>
    <mergeCell ref="B1850:G1850"/>
    <mergeCell ref="D1851:E1851"/>
    <mergeCell ref="D1852:E1852"/>
    <mergeCell ref="B1819:G1819"/>
    <mergeCell ref="E1781:G1781"/>
    <mergeCell ref="E1813:G1815"/>
    <mergeCell ref="E1782:G1782"/>
    <mergeCell ref="E1783:G1785"/>
    <mergeCell ref="B1789:G1789"/>
    <mergeCell ref="B1790:G1790"/>
    <mergeCell ref="D1791:E1791"/>
    <mergeCell ref="D1792:E1792"/>
    <mergeCell ref="B1793:G1793"/>
    <mergeCell ref="E1812:G1812"/>
    <mergeCell ref="E1811:G1811"/>
    <mergeCell ref="B1806:G1806"/>
    <mergeCell ref="E1807:G1807"/>
    <mergeCell ref="E1808:G1808"/>
    <mergeCell ref="E1809:G1809"/>
    <mergeCell ref="E1929:G1929"/>
    <mergeCell ref="E1930:G1930"/>
    <mergeCell ref="E1931:G1931"/>
    <mergeCell ref="E1932:G1932"/>
    <mergeCell ref="B1911:G1911"/>
    <mergeCell ref="B1912:G1912"/>
    <mergeCell ref="D1913:E1913"/>
    <mergeCell ref="E1871:G1871"/>
    <mergeCell ref="E1872:G1872"/>
    <mergeCell ref="E1873:G1875"/>
    <mergeCell ref="D1882:E1882"/>
    <mergeCell ref="B1928:G1928"/>
    <mergeCell ref="D1914:E1914"/>
    <mergeCell ref="E1905:G1907"/>
    <mergeCell ref="E1933:G1933"/>
    <mergeCell ref="E1934:G1934"/>
    <mergeCell ref="E2024:G2024"/>
    <mergeCell ref="E2025:G2025"/>
    <mergeCell ref="E2026:G2026"/>
    <mergeCell ref="E2027:G2027"/>
    <mergeCell ref="E2028:G2030"/>
    <mergeCell ref="E1935:G1937"/>
    <mergeCell ref="B2003:G2003"/>
    <mergeCell ref="B2004:G2004"/>
    <mergeCell ref="D2005:E2005"/>
    <mergeCell ref="D2006:E2006"/>
    <mergeCell ref="B2007:G2007"/>
    <mergeCell ref="B2021:G2021"/>
    <mergeCell ref="E2022:G2022"/>
    <mergeCell ref="E2023:G2023"/>
    <mergeCell ref="E1995:G1995"/>
    <mergeCell ref="E1996:G1996"/>
    <mergeCell ref="B1941:G1941"/>
    <mergeCell ref="B1942:G1942"/>
    <mergeCell ref="D1943:E1943"/>
    <mergeCell ref="D1944:E1944"/>
    <mergeCell ref="B1945:G1945"/>
    <mergeCell ref="B1959:G1959"/>
    <mergeCell ref="E1960:G1960"/>
    <mergeCell ref="E1961:G1961"/>
    <mergeCell ref="E2206:G2206"/>
    <mergeCell ref="E2207:G2207"/>
    <mergeCell ref="E2208:G2208"/>
    <mergeCell ref="E2209:G2211"/>
    <mergeCell ref="B2182:G2182"/>
    <mergeCell ref="B2183:G2183"/>
    <mergeCell ref="D2184:E2184"/>
    <mergeCell ref="D2185:E2185"/>
    <mergeCell ref="B2186:G2186"/>
    <mergeCell ref="B2202:G2202"/>
    <mergeCell ref="E2203:G2203"/>
    <mergeCell ref="E2204:G2204"/>
    <mergeCell ref="E2205:G2205"/>
    <mergeCell ref="E1997:G1999"/>
    <mergeCell ref="E1962:G1962"/>
    <mergeCell ref="E1963:G1963"/>
    <mergeCell ref="E1964:G1964"/>
    <mergeCell ref="E1965:G1965"/>
    <mergeCell ref="E1966:G1968"/>
    <mergeCell ref="B1972:G1972"/>
    <mergeCell ref="B1973:G1973"/>
    <mergeCell ref="D1974:E1974"/>
    <mergeCell ref="B2250:G2250"/>
    <mergeCell ref="B2251:G2251"/>
    <mergeCell ref="D2252:E2252"/>
    <mergeCell ref="D2253:E2253"/>
    <mergeCell ref="B2254:G2254"/>
    <mergeCell ref="B2267:G2267"/>
    <mergeCell ref="E2268:G2268"/>
    <mergeCell ref="E2269:G2269"/>
    <mergeCell ref="E2270:G2270"/>
    <mergeCell ref="E2271:G2271"/>
    <mergeCell ref="E2272:G2272"/>
    <mergeCell ref="E2273:G2273"/>
    <mergeCell ref="E2274:G2276"/>
    <mergeCell ref="B2280:G2280"/>
    <mergeCell ref="B2281:G2281"/>
    <mergeCell ref="D2282:E2282"/>
    <mergeCell ref="D2283:E2283"/>
    <mergeCell ref="B2284:G2284"/>
    <mergeCell ref="B2320:G2320"/>
    <mergeCell ref="D2321:E2321"/>
    <mergeCell ref="D2322:E2322"/>
    <mergeCell ref="B2323:G2323"/>
    <mergeCell ref="B2319:G2319"/>
    <mergeCell ref="B2306:G2306"/>
    <mergeCell ref="E2307:G2307"/>
    <mergeCell ref="E2308:G2308"/>
    <mergeCell ref="E2309:G2309"/>
    <mergeCell ref="E2310:G2310"/>
    <mergeCell ref="E2311:G2311"/>
    <mergeCell ref="E2312:G2312"/>
    <mergeCell ref="E2313:G2315"/>
    <mergeCell ref="E2434:G2436"/>
    <mergeCell ref="B2440:G2440"/>
    <mergeCell ref="B2411:G2411"/>
    <mergeCell ref="D2413:E2413"/>
    <mergeCell ref="E2401:G2401"/>
    <mergeCell ref="E2402:G2402"/>
    <mergeCell ref="E2403:G2403"/>
    <mergeCell ref="E2404:G2406"/>
    <mergeCell ref="B2366:G2366"/>
    <mergeCell ref="E2367:G2367"/>
    <mergeCell ref="E2368:G2368"/>
    <mergeCell ref="B2379:G2379"/>
    <mergeCell ref="B2380:G2380"/>
    <mergeCell ref="D2381:E2381"/>
    <mergeCell ref="D2382:E2382"/>
    <mergeCell ref="B2383:G2383"/>
    <mergeCell ref="B2397:G2397"/>
    <mergeCell ref="E2398:G2398"/>
    <mergeCell ref="E2399:G2399"/>
    <mergeCell ref="E2400:G2400"/>
    <mergeCell ref="E2369:G2369"/>
    <mergeCell ref="E2370:G2370"/>
    <mergeCell ref="E2371:G2371"/>
    <mergeCell ref="E2372:G2372"/>
    <mergeCell ref="D2412:E2412"/>
    <mergeCell ref="B2414:G2414"/>
    <mergeCell ref="B2427:G2427"/>
    <mergeCell ref="E2428:G2428"/>
    <mergeCell ref="E2429:G2429"/>
    <mergeCell ref="E2430:G2430"/>
    <mergeCell ref="E2431:G2431"/>
    <mergeCell ref="E2432:G2432"/>
    <mergeCell ref="E2433:G2433"/>
    <mergeCell ref="B2339:G2339"/>
    <mergeCell ref="E2340:G2340"/>
    <mergeCell ref="E2341:G2341"/>
    <mergeCell ref="E2342:G2342"/>
    <mergeCell ref="E2343:G2343"/>
    <mergeCell ref="E2344:G2344"/>
    <mergeCell ref="E2345:G2345"/>
    <mergeCell ref="E2346:G2348"/>
    <mergeCell ref="B2410:G2410"/>
    <mergeCell ref="E2375:G2376"/>
    <mergeCell ref="D2352:E2352"/>
    <mergeCell ref="D2353:E2353"/>
    <mergeCell ref="B2354:G2354"/>
    <mergeCell ref="E2477:G2477"/>
    <mergeCell ref="E2478:G2478"/>
    <mergeCell ref="E2479:G2481"/>
    <mergeCell ref="B2441:G2441"/>
    <mergeCell ref="D2442:E2442"/>
    <mergeCell ref="D2443:E2443"/>
    <mergeCell ref="B2444:G2444"/>
    <mergeCell ref="B2472:G2472"/>
    <mergeCell ref="E2473:G2473"/>
    <mergeCell ref="E2474:G2474"/>
    <mergeCell ref="E2475:G2475"/>
    <mergeCell ref="E2476:G2476"/>
    <mergeCell ref="E2508:G2508"/>
    <mergeCell ref="E2509:G2509"/>
    <mergeCell ref="E2510:G2510"/>
    <mergeCell ref="E2511:G2513"/>
    <mergeCell ref="B2485:G2485"/>
    <mergeCell ref="B2486:G2486"/>
    <mergeCell ref="D2487:E2487"/>
    <mergeCell ref="D2488:E2488"/>
    <mergeCell ref="B2489:G2489"/>
    <mergeCell ref="B2504:G2504"/>
    <mergeCell ref="E2505:G2505"/>
    <mergeCell ref="E2506:G2506"/>
    <mergeCell ref="E2507:G2507"/>
  </mergeCells>
  <pageMargins left="0.51181102362204722" right="0.51181102362204722" top="0.78740157480314965" bottom="0.39370078740157483" header="0.31496062992125984" footer="0.31496062992125984"/>
  <pageSetup paperSize="9" scale="95" orientation="landscape" r:id="rId1"/>
  <headerFooter>
    <oddFooter>&amp;R&amp;P/&amp;N</oddFooter>
  </headerFooter>
  <rowBreaks count="57" manualBreakCount="57">
    <brk id="75" max="16383" man="1"/>
    <brk id="107" max="16383" man="1"/>
    <brk id="213" min="1" max="6" man="1"/>
    <brk id="248" min="1" max="6" man="1"/>
    <brk id="283" min="1" max="6" man="1"/>
    <brk id="318" max="16383" man="1"/>
    <brk id="349" max="16383" man="1"/>
    <brk id="380" max="16383" man="1"/>
    <brk id="413" max="16383" man="1"/>
    <brk id="444" max="16383" man="1"/>
    <brk id="475" max="16383" man="1"/>
    <brk id="506" max="16383" man="1"/>
    <brk id="539" min="1" max="6" man="1"/>
    <brk id="571" min="1" max="6" man="1"/>
    <brk id="603" min="1" max="6" man="1"/>
    <brk id="635" min="1" max="6" man="1"/>
    <brk id="667" min="1" max="6" man="1"/>
    <brk id="699" min="1" max="6" man="1"/>
    <brk id="762" min="1" max="6" man="1"/>
    <brk id="794" min="1" max="6" man="1"/>
    <brk id="825" min="1" max="6" man="1"/>
    <brk id="857" min="1" max="6" man="1"/>
    <brk id="890" min="1" max="6" man="1"/>
    <brk id="921" min="1" max="6" man="1"/>
    <brk id="952" min="1" max="6" man="1"/>
    <brk id="984" max="16383" man="1"/>
    <brk id="1015" min="1" max="6" man="1"/>
    <brk id="1048" max="16383" man="1"/>
    <brk id="1081" max="16383" man="1"/>
    <brk id="1114" max="16383" man="1"/>
    <brk id="1149" max="16383" man="1"/>
    <brk id="1184" max="16383" man="1"/>
    <brk id="1217" max="16383" man="1"/>
    <brk id="1251" max="16383" man="1"/>
    <brk id="1285" max="16383" man="1"/>
    <brk id="1320" max="16383" man="1"/>
    <brk id="1354" min="1" max="6" man="1"/>
    <brk id="1388" max="16383" man="1"/>
    <brk id="1419" min="1" max="6" man="1"/>
    <brk id="1451" max="16383" man="1"/>
    <brk id="1484" max="16383" man="1"/>
    <brk id="1517" max="16383" man="1"/>
    <brk id="1548" max="16383" man="1"/>
    <brk id="1579" max="16383" man="1"/>
    <brk id="1610" max="16383" man="1"/>
    <brk id="1641" max="16383" man="1"/>
    <brk id="1670" max="16383" man="1"/>
    <brk id="1728" max="16383" man="1"/>
    <brk id="1758" max="16383" man="1"/>
    <brk id="1788" max="16383" man="1"/>
    <brk id="1818" max="16383" man="1"/>
    <brk id="1848" max="16383" man="1"/>
    <brk id="1878" max="16383" man="1"/>
    <brk id="1910" min="1" max="6" man="1"/>
    <brk id="1940" max="16383" man="1"/>
    <brk id="1971" max="16383" man="1"/>
    <brk id="2002" min="1" max="6" man="1"/>
  </rowBreaks>
  <colBreaks count="1" manualBreakCount="1">
    <brk id="7"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ACC73D-51A3-4622-9051-B322BE50D1BD}">
  <sheetPr>
    <tabColor rgb="FFFF0000"/>
    <pageSetUpPr fitToPage="1"/>
  </sheetPr>
  <dimension ref="A1:S150"/>
  <sheetViews>
    <sheetView topLeftCell="A141" zoomScale="80" zoomScaleNormal="80" workbookViewId="0">
      <selection activeCell="D148" sqref="D148"/>
    </sheetView>
  </sheetViews>
  <sheetFormatPr defaultColWidth="9.140625" defaultRowHeight="18.75" x14ac:dyDescent="0.35"/>
  <cols>
    <col min="1" max="1" width="12.140625" style="616" bestFit="1" customWidth="1"/>
    <col min="2" max="2" width="14.140625" style="666" customWidth="1"/>
    <col min="3" max="3" width="34.140625" style="667" customWidth="1"/>
    <col min="4" max="4" width="75.7109375" style="616" customWidth="1"/>
    <col min="5" max="5" width="19.140625" style="668" bestFit="1" customWidth="1"/>
    <col min="6" max="6" width="23.28515625" style="669" customWidth="1"/>
    <col min="7" max="7" width="73" style="670" customWidth="1"/>
    <col min="8" max="8" width="34.5703125" style="616" customWidth="1"/>
    <col min="9" max="9" width="29.42578125" style="616" bestFit="1" customWidth="1"/>
    <col min="10" max="10" width="9.140625" style="616"/>
    <col min="11" max="11" width="17.7109375" style="616" bestFit="1" customWidth="1"/>
    <col min="12" max="13" width="9.140625" style="616"/>
    <col min="14" max="14" width="12.28515625" style="616" bestFit="1" customWidth="1"/>
    <col min="15" max="15" width="10.28515625" style="616" bestFit="1" customWidth="1"/>
    <col min="16" max="16" width="9.7109375" style="616" bestFit="1" customWidth="1"/>
    <col min="17" max="17" width="9.140625" style="616"/>
    <col min="18" max="18" width="17.85546875" style="616" bestFit="1" customWidth="1"/>
    <col min="19" max="16384" width="9.140625" style="616"/>
  </cols>
  <sheetData>
    <row r="1" spans="1:10" ht="101.25" customHeight="1" thickBot="1" x14ac:dyDescent="0.4">
      <c r="A1" s="1414" t="s">
        <v>4425</v>
      </c>
      <c r="B1" s="1415"/>
      <c r="C1" s="1415"/>
      <c r="D1" s="1415"/>
      <c r="E1" s="1415"/>
      <c r="F1" s="1415"/>
      <c r="G1" s="1415"/>
      <c r="H1" s="1416"/>
    </row>
    <row r="2" spans="1:10" s="607" customFormat="1" ht="19.5" thickBot="1" x14ac:dyDescent="0.4">
      <c r="A2" s="1403" t="s">
        <v>4422</v>
      </c>
      <c r="B2" s="1404"/>
      <c r="C2" s="1417" t="s">
        <v>25008</v>
      </c>
      <c r="D2" s="1417"/>
      <c r="E2" s="1417"/>
      <c r="F2" s="1417"/>
      <c r="G2" s="604" t="s">
        <v>118</v>
      </c>
      <c r="H2" s="605">
        <f>'Planilha - Orla'!I3</f>
        <v>0.28220000000000001</v>
      </c>
      <c r="I2" s="617"/>
      <c r="J2" s="606"/>
    </row>
    <row r="3" spans="1:10" s="607" customFormat="1" ht="36.75" customHeight="1" thickBot="1" x14ac:dyDescent="0.4">
      <c r="A3" s="1403" t="s">
        <v>4423</v>
      </c>
      <c r="B3" s="1404"/>
      <c r="C3" s="1418" t="str">
        <f>'Planilha - Orla'!B2</f>
        <v>Urbanização da Orla de Piúma</v>
      </c>
      <c r="D3" s="1418"/>
      <c r="E3" s="1418"/>
      <c r="F3" s="1418"/>
      <c r="G3" s="608" t="s">
        <v>4426</v>
      </c>
      <c r="H3" s="609">
        <f>'Planilha - Orla'!I2</f>
        <v>1.5727</v>
      </c>
      <c r="I3" s="617"/>
      <c r="J3" s="606"/>
    </row>
    <row r="4" spans="1:10" s="607" customFormat="1" ht="26.25" customHeight="1" thickBot="1" x14ac:dyDescent="0.3">
      <c r="A4" s="1403" t="s">
        <v>4424</v>
      </c>
      <c r="B4" s="1404"/>
      <c r="C4" s="610"/>
      <c r="D4" s="611"/>
      <c r="E4" s="1405"/>
      <c r="F4" s="1406"/>
      <c r="G4" s="612" t="s">
        <v>4427</v>
      </c>
      <c r="H4" s="613">
        <f ca="1">TODAY()</f>
        <v>44685</v>
      </c>
      <c r="J4" s="606"/>
    </row>
    <row r="5" spans="1:10" s="607" customFormat="1" x14ac:dyDescent="0.25">
      <c r="A5" s="1407" t="s">
        <v>4384</v>
      </c>
      <c r="B5" s="1409" t="s">
        <v>4383</v>
      </c>
      <c r="C5" s="1410"/>
      <c r="D5" s="1397" t="s">
        <v>4385</v>
      </c>
      <c r="E5" s="1411" t="s">
        <v>140</v>
      </c>
      <c r="F5" s="1412" t="s">
        <v>4381</v>
      </c>
      <c r="G5" s="1399" t="s">
        <v>4428</v>
      </c>
      <c r="H5" s="1401" t="s">
        <v>4429</v>
      </c>
    </row>
    <row r="6" spans="1:10" s="618" customFormat="1" x14ac:dyDescent="0.25">
      <c r="A6" s="1408"/>
      <c r="B6" s="614" t="s">
        <v>4430</v>
      </c>
      <c r="C6" s="615" t="s">
        <v>133</v>
      </c>
      <c r="D6" s="1398"/>
      <c r="E6" s="1400"/>
      <c r="F6" s="1413"/>
      <c r="G6" s="1400"/>
      <c r="H6" s="1402"/>
    </row>
    <row r="7" spans="1:10" s="617" customFormat="1" x14ac:dyDescent="0.35">
      <c r="A7" s="619">
        <f>'Planilha - Orla'!A6</f>
        <v>1</v>
      </c>
      <c r="B7" s="620"/>
      <c r="C7" s="621"/>
      <c r="D7" s="622" t="str">
        <f>'Planilha - Orla'!D6</f>
        <v>SERVIÇOS PRELIMINARES</v>
      </c>
      <c r="E7" s="623"/>
      <c r="F7" s="624"/>
      <c r="G7" s="625"/>
      <c r="H7" s="626"/>
    </row>
    <row r="8" spans="1:10" s="634" customFormat="1" x14ac:dyDescent="0.25">
      <c r="A8" s="627" t="str">
        <f>'Planilha - Orla'!A7</f>
        <v>1.1</v>
      </c>
      <c r="B8" s="628" t="str">
        <f>'Planilha - Orla'!C7</f>
        <v>DER-ED</v>
      </c>
      <c r="C8" s="628" t="str">
        <f>'Planilha - Orla'!B7</f>
        <v>020305</v>
      </c>
      <c r="D8" s="629" t="str">
        <f>'Planilha - Orla'!D7</f>
        <v>Placa de obra nas dimensões de 2.0 x 4.0 m, padrão DER</v>
      </c>
      <c r="E8" s="630" t="str">
        <f>'Planilha - Orla'!E7</f>
        <v>m2</v>
      </c>
      <c r="F8" s="631">
        <f>4*(2*4)</f>
        <v>32</v>
      </c>
      <c r="G8" s="632" t="s">
        <v>24603</v>
      </c>
      <c r="H8" s="633"/>
    </row>
    <row r="9" spans="1:10" s="634" customFormat="1" ht="93.75" x14ac:dyDescent="0.25">
      <c r="A9" s="635" t="str">
        <f>'Planilha - Orla'!A8</f>
        <v>1.2</v>
      </c>
      <c r="B9" s="636" t="str">
        <f>'Planilha - Orla'!C8</f>
        <v>DER-ED</v>
      </c>
      <c r="C9" s="636" t="str">
        <f>'Planilha - Orla'!B8</f>
        <v>020352</v>
      </c>
      <c r="D9" s="637" t="str">
        <f>'Planilha - Orla'!D8</f>
        <v>Aluguel mensal container para escritório, dim. 6.00x2.40m, c/ banheiro (vaso+lavat+chuveiro e básc), incl. porta, 2 janelas, abert p/ ar cond., 2 pt iluminação, 2 tom. elét. e 1 tom.telef. Isolam.térmico(teto e paredes), piso em comp. Naval, cert. NR18, incl. laudo descontaminação.</v>
      </c>
      <c r="E9" s="630" t="str">
        <f>'Planilha - Orla'!E8</f>
        <v>ms</v>
      </c>
      <c r="F9" s="631">
        <v>6</v>
      </c>
      <c r="G9" s="632" t="s">
        <v>24889</v>
      </c>
      <c r="H9" s="633"/>
    </row>
    <row r="10" spans="1:10" s="638" customFormat="1" ht="72" customHeight="1" x14ac:dyDescent="0.35">
      <c r="A10" s="627" t="str">
        <f>'Planilha - Orla'!A9</f>
        <v>1.3</v>
      </c>
      <c r="B10" s="628" t="str">
        <f>'Planilha - Orla'!C9</f>
        <v>DER-ED</v>
      </c>
      <c r="C10" s="628" t="str">
        <f>'Planilha - Orla'!B9</f>
        <v>020702</v>
      </c>
      <c r="D10" s="629" t="str">
        <f>'Planilha - Orla'!D9</f>
        <v>Barracão para almoxarifado área de 10.90m2, de chapa de compensado de 12mm e pontalete 8x8cm, piso cimentado e cobertura de telhas de fibrocimento de 6mm, incl. ponto de luz, conf. projeto (1 utilização)</v>
      </c>
      <c r="E10" s="630" t="str">
        <f>'Planilha - Orla'!E9</f>
        <v>m2</v>
      </c>
      <c r="F10" s="631">
        <v>10.9</v>
      </c>
      <c r="G10" s="632" t="s">
        <v>24604</v>
      </c>
      <c r="H10" s="633"/>
    </row>
    <row r="11" spans="1:10" s="638" customFormat="1" ht="72" customHeight="1" x14ac:dyDescent="0.35">
      <c r="A11" s="627" t="str">
        <f>'Planilha - Orla'!A10</f>
        <v>1.4</v>
      </c>
      <c r="B11" s="628" t="str">
        <f>'Planilha - Orla'!C10</f>
        <v>DER-ED</v>
      </c>
      <c r="C11" s="628" t="str">
        <f>'Planilha - Orla'!B10</f>
        <v>020703</v>
      </c>
      <c r="D11" s="629" t="str">
        <f>'Planilha - Orla'!D10</f>
        <v>Barracão para depósito de cimento área de 10.90m2, de chapa de compensado 12mm e pontaletes 8x8cm, piso cimentado e cobertura de telhas de fibrocimento de 6mm, inclusive ponto de luz, conf. projeto (1 utilização)</v>
      </c>
      <c r="E11" s="630" t="str">
        <f>'Planilha - Orla'!E10</f>
        <v>m2</v>
      </c>
      <c r="F11" s="631">
        <v>10.9</v>
      </c>
      <c r="G11" s="632" t="s">
        <v>24605</v>
      </c>
      <c r="H11" s="633"/>
    </row>
    <row r="12" spans="1:10" s="638" customFormat="1" ht="72" customHeight="1" x14ac:dyDescent="0.35">
      <c r="A12" s="627" t="str">
        <f>'Planilha - Orla'!A11</f>
        <v>1.5</v>
      </c>
      <c r="B12" s="628" t="str">
        <f>'Planilha - Orla'!C11</f>
        <v>DER-ED</v>
      </c>
      <c r="C12" s="628" t="str">
        <f>'Planilha - Orla'!B11</f>
        <v>020353</v>
      </c>
      <c r="D12" s="629" t="str">
        <f>'Planilha - Orla'!D11</f>
        <v>Aluguel mensal container para refeitorio, incl. porta, 2 janelas, abert p/ ar cond., 2 pt iluminação, 2 tomadas elét. e 1 tomada telef. Isolamento térmico (paredes e teto), piso em comp. Naval pintado, cert. NR18, incl. laudo descontaminação.</v>
      </c>
      <c r="E12" s="630" t="str">
        <f>'Planilha - Orla'!E11</f>
        <v>ms</v>
      </c>
      <c r="F12" s="631">
        <v>6</v>
      </c>
      <c r="G12" s="632" t="s">
        <v>24889</v>
      </c>
      <c r="H12" s="633"/>
    </row>
    <row r="13" spans="1:10" s="638" customFormat="1" ht="90" customHeight="1" x14ac:dyDescent="0.35">
      <c r="A13" s="627" t="str">
        <f>'Planilha - Orla'!A12</f>
        <v>1.6</v>
      </c>
      <c r="B13" s="628" t="str">
        <f>'Planilha - Orla'!C12</f>
        <v>DER-ED</v>
      </c>
      <c r="C13" s="628" t="str">
        <f>'Planilha - Orla'!B12</f>
        <v>020705</v>
      </c>
      <c r="D13" s="629" t="str">
        <f>'Planilha - Orla'!D12</f>
        <v>Unidade de sanitário e vestiário p/ até 20 func. área de 18.15m2, paredes de chapa compens. 12mm e pontalete 8x8cm, piso cimentado, cobert. telha fibroc. 6mm, incl. instalação de luz e cx. de inspeção, conf. projeto (1 utilização)</v>
      </c>
      <c r="E13" s="630" t="str">
        <f>'Planilha - Orla'!E12</f>
        <v>und</v>
      </c>
      <c r="F13" s="631">
        <v>1</v>
      </c>
      <c r="G13" s="632" t="s">
        <v>24996</v>
      </c>
      <c r="H13" s="633"/>
    </row>
    <row r="14" spans="1:10" s="646" customFormat="1" ht="54" customHeight="1" x14ac:dyDescent="0.35">
      <c r="A14" s="639" t="str">
        <f>'Planilha - Orla'!A13</f>
        <v>1.7</v>
      </c>
      <c r="B14" s="640" t="str">
        <f>'Planilha - Orla'!C13</f>
        <v>DER-ED</v>
      </c>
      <c r="C14" s="640" t="str">
        <f>'Planilha - Orla'!B13</f>
        <v>020710</v>
      </c>
      <c r="D14" s="641" t="str">
        <f>'Planilha - Orla'!D13</f>
        <v>Reservatório de poliestileno de 500L, incl. suporte em madeira de 7x12cm e 5x7cm, elevado de 4m, conf. projeto (1 utilização)</v>
      </c>
      <c r="E14" s="642" t="str">
        <f>'Planilha - Orla'!E13</f>
        <v>und</v>
      </c>
      <c r="F14" s="643">
        <v>1</v>
      </c>
      <c r="G14" s="644" t="s">
        <v>24997</v>
      </c>
      <c r="H14" s="645"/>
    </row>
    <row r="15" spans="1:10" s="646" customFormat="1" ht="72" customHeight="1" x14ac:dyDescent="0.35">
      <c r="A15" s="639" t="str">
        <f>'Planilha - Orla'!A14</f>
        <v>1.8</v>
      </c>
      <c r="B15" s="640" t="str">
        <f>'Planilha - Orla'!C14</f>
        <v>DER-ED</v>
      </c>
      <c r="C15" s="640" t="str">
        <f>'Planilha - Orla'!B14</f>
        <v>020712</v>
      </c>
      <c r="D15" s="641" t="str">
        <f>'Planilha - Orla'!D14</f>
        <v>Rede de água com padrão de entrada d'água diâm. 3/4", conf. espec. CESAN, incl. tubos e conexões para alimentação, distribuição, extravasor e limpeza, cons. o padrão a 25m, conf. projeto (1 utilização)</v>
      </c>
      <c r="E15" s="642" t="str">
        <f>'Planilha - Orla'!E14</f>
        <v>m</v>
      </c>
      <c r="F15" s="643">
        <v>25</v>
      </c>
      <c r="G15" s="644" t="s">
        <v>24998</v>
      </c>
      <c r="H15" s="645"/>
    </row>
    <row r="16" spans="1:10" s="646" customFormat="1" ht="72" customHeight="1" x14ac:dyDescent="0.35">
      <c r="A16" s="639" t="str">
        <f>'Planilha - Orla'!A15</f>
        <v>1.9</v>
      </c>
      <c r="B16" s="640" t="str">
        <f>'Planilha - Orla'!C15</f>
        <v>DER-ED</v>
      </c>
      <c r="C16" s="640" t="str">
        <f>'Planilha - Orla'!B15</f>
        <v>020713</v>
      </c>
      <c r="D16" s="641" t="str">
        <f>'Planilha - Orla'!D15</f>
        <v>Rede de luz, incl. padrão entrada de energia trifás., cabo de ligação até barracões, quadro de distrib., disj. e chave de força (quando necessário), cons. 20m entre padrão entrada e QDG, conf. projeto (1 utilização)</v>
      </c>
      <c r="E16" s="642" t="str">
        <f>'Planilha - Orla'!E15</f>
        <v>m</v>
      </c>
      <c r="F16" s="643">
        <v>20</v>
      </c>
      <c r="G16" s="644" t="s">
        <v>24999</v>
      </c>
      <c r="H16" s="645"/>
    </row>
    <row r="17" spans="1:8" s="646" customFormat="1" ht="54" customHeight="1" x14ac:dyDescent="0.35">
      <c r="A17" s="639" t="str">
        <f>'Planilha - Orla'!A16</f>
        <v>1.10</v>
      </c>
      <c r="B17" s="640" t="str">
        <f>'Planilha - Orla'!C16</f>
        <v>DER-ED</v>
      </c>
      <c r="C17" s="640" t="str">
        <f>'Planilha - Orla'!B16</f>
        <v>020714</v>
      </c>
      <c r="D17" s="641" t="str">
        <f>'Planilha - Orla'!D16</f>
        <v>Rede de esgoto, contendo fossa e filtro, inclusive tubos e conexões de ligação entre caixas, considerando distância de 25m, conforme projeto (1 utilização)</v>
      </c>
      <c r="E17" s="642" t="str">
        <f>'Planilha - Orla'!E16</f>
        <v>m</v>
      </c>
      <c r="F17" s="643">
        <v>25</v>
      </c>
      <c r="G17" s="644" t="s">
        <v>25000</v>
      </c>
      <c r="H17" s="645"/>
    </row>
    <row r="18" spans="1:8" s="646" customFormat="1" ht="54" customHeight="1" x14ac:dyDescent="0.35">
      <c r="A18" s="639"/>
      <c r="B18" s="640"/>
      <c r="C18" s="640" t="str">
        <f>'Planilha - Orla'!B17</f>
        <v>010512</v>
      </c>
      <c r="D18" s="641" t="str">
        <f>'Planilha - Orla'!D17</f>
        <v>Equipe topográfica para serviços simples de locação e nivelamento (incluindo equipamento, transporte e profissionais nivel médio)</v>
      </c>
      <c r="E18" s="642" t="str">
        <f>'Planilha - Orla'!E17</f>
        <v>mês</v>
      </c>
      <c r="F18" s="643">
        <v>0.5</v>
      </c>
      <c r="G18" s="644"/>
      <c r="H18" s="645"/>
    </row>
    <row r="19" spans="1:8" s="653" customFormat="1" x14ac:dyDescent="0.35">
      <c r="A19" s="647">
        <f>'Planilha - Orla'!A21</f>
        <v>2</v>
      </c>
      <c r="B19" s="648"/>
      <c r="C19" s="648"/>
      <c r="D19" s="649" t="str">
        <f>'Planilha - Orla'!D21</f>
        <v>MOBILIZAÇÃO E DESMOBILIZAÇÃO DE MÁQUINAS</v>
      </c>
      <c r="E19" s="649"/>
      <c r="F19" s="650"/>
      <c r="G19" s="651"/>
      <c r="H19" s="652"/>
    </row>
    <row r="20" spans="1:8" s="646" customFormat="1" ht="54" customHeight="1" x14ac:dyDescent="0.35">
      <c r="A20" s="639" t="str">
        <f>'Planilha - Orla'!A22</f>
        <v>2.1</v>
      </c>
      <c r="B20" s="640" t="str">
        <f>'Planilha - Orla'!C22</f>
        <v>DER-RD</v>
      </c>
      <c r="C20" s="654">
        <f>'Planilha - Orla'!B22</f>
        <v>41544</v>
      </c>
      <c r="D20" s="641" t="str">
        <f>'Planilha - Orla'!D22</f>
        <v>Mobilização e desmobilização de equipamentos com carreta prancha (máximo)</v>
      </c>
      <c r="E20" s="642" t="str">
        <f>'Planilha - Orla'!E22</f>
        <v>h</v>
      </c>
      <c r="F20" s="643">
        <f>4*4</f>
        <v>16</v>
      </c>
      <c r="G20" s="644" t="s">
        <v>24888</v>
      </c>
      <c r="H20" s="645"/>
    </row>
    <row r="21" spans="1:8" s="646" customFormat="1" ht="54" customHeight="1" x14ac:dyDescent="0.35">
      <c r="A21" s="639" t="str">
        <f>'Planilha - Orla'!A23</f>
        <v>2.2</v>
      </c>
      <c r="B21" s="640" t="str">
        <f>'Planilha - Orla'!C23</f>
        <v>DER-ED</v>
      </c>
      <c r="C21" s="654" t="str">
        <f>'Planilha - Orla'!B23</f>
        <v>020344</v>
      </c>
      <c r="D21" s="641" t="str">
        <f>'Planilha - Orla'!D23</f>
        <v>Mobilização e desmobilização de conteiner locado para barracão de obra</v>
      </c>
      <c r="E21" s="642" t="str">
        <f>'Planilha - Orla'!E23</f>
        <v>und</v>
      </c>
      <c r="F21" s="643">
        <v>2</v>
      </c>
      <c r="G21" s="644" t="s">
        <v>25001</v>
      </c>
      <c r="H21" s="645"/>
    </row>
    <row r="22" spans="1:8" s="653" customFormat="1" x14ac:dyDescent="0.35">
      <c r="A22" s="647">
        <f>'Planilha - Orla'!A27</f>
        <v>3</v>
      </c>
      <c r="B22" s="648"/>
      <c r="C22" s="648"/>
      <c r="D22" s="649" t="str">
        <f>'Planilha - Orla'!D27</f>
        <v>SINALIZAÇÃO DA OBRA</v>
      </c>
      <c r="E22" s="649"/>
      <c r="F22" s="650"/>
      <c r="G22" s="651"/>
      <c r="H22" s="652"/>
    </row>
    <row r="23" spans="1:8" s="646" customFormat="1" ht="54" customHeight="1" x14ac:dyDescent="0.35">
      <c r="A23" s="639" t="str">
        <f>'Planilha - Orla'!A28</f>
        <v>3.1</v>
      </c>
      <c r="B23" s="640" t="str">
        <f>'Planilha - Orla'!C28</f>
        <v>DER-RD</v>
      </c>
      <c r="C23" s="654">
        <f>'Planilha - Orla'!B28</f>
        <v>42046</v>
      </c>
      <c r="D23" s="641" t="str">
        <f>'Planilha - Orla'!D28</f>
        <v>Cones para sinalização, fornecimento e colocação</v>
      </c>
      <c r="E23" s="642" t="str">
        <f>'Planilha - Orla'!E28</f>
        <v>ud</v>
      </c>
      <c r="F23" s="643">
        <f>15*9</f>
        <v>135</v>
      </c>
      <c r="G23" s="644" t="s">
        <v>24609</v>
      </c>
      <c r="H23" s="645"/>
    </row>
    <row r="24" spans="1:8" s="646" customFormat="1" ht="54" customHeight="1" x14ac:dyDescent="0.35">
      <c r="A24" s="639" t="str">
        <f>'Planilha - Orla'!A29</f>
        <v>3.2</v>
      </c>
      <c r="B24" s="640" t="str">
        <f>'Planilha - Orla'!C29</f>
        <v>DER-RD</v>
      </c>
      <c r="C24" s="654">
        <f>'Planilha - Orla'!B29</f>
        <v>43088</v>
      </c>
      <c r="D24" s="641" t="str">
        <f>'Planilha - Orla'!D29</f>
        <v>Tela de proteção de segurança de PVC cor laranja com suporte  para sinalização de obras em Vias Urbanas</v>
      </c>
      <c r="E24" s="642" t="str">
        <f>'Planilha - Orla'!E29</f>
        <v>m</v>
      </c>
      <c r="F24" s="643">
        <f>(107*20)-(46*20)</f>
        <v>1220</v>
      </c>
      <c r="G24" s="644" t="s">
        <v>25002</v>
      </c>
      <c r="H24" s="645"/>
    </row>
    <row r="25" spans="1:8" s="646" customFormat="1" ht="54" customHeight="1" x14ac:dyDescent="0.35">
      <c r="A25" s="639" t="str">
        <f>'Planilha - Orla'!A30</f>
        <v>3.3</v>
      </c>
      <c r="B25" s="640" t="str">
        <f>'Planilha - Orla'!C30</f>
        <v>DER-RD</v>
      </c>
      <c r="C25" s="654">
        <f>'Planilha - Orla'!B30</f>
        <v>100882</v>
      </c>
      <c r="D25" s="641" t="str">
        <f>'Planilha - Orla'!D30</f>
        <v>Tapume Telha Metálica Ondulada 0,50mm Branca h=2,20m, incl. montagem estr. mad. 8"x8", incl. faixas pint. esmalte sintético c/ h=40cm (Reaproveitamento 2x)</v>
      </c>
      <c r="E25" s="642" t="str">
        <f>'Planilha - Orla'!E30</f>
        <v>m</v>
      </c>
      <c r="F25" s="643">
        <f>100+60+60</f>
        <v>220</v>
      </c>
      <c r="G25" s="644" t="s">
        <v>25003</v>
      </c>
      <c r="H25" s="645"/>
    </row>
    <row r="26" spans="1:8" s="646" customFormat="1" ht="54" customHeight="1" x14ac:dyDescent="0.35">
      <c r="A26" s="639" t="str">
        <f>'Planilha - Orla'!A31</f>
        <v>3.4</v>
      </c>
      <c r="B26" s="640" t="str">
        <f>'Planilha - Orla'!C31</f>
        <v>DER-RD</v>
      </c>
      <c r="C26" s="654">
        <f>'Planilha - Orla'!B31</f>
        <v>40094</v>
      </c>
      <c r="D26" s="641" t="str">
        <f>'Planilha - Orla'!D31</f>
        <v>Placas de sinalização, assentamento</v>
      </c>
      <c r="E26" s="642" t="str">
        <f>'Planilha - Orla'!E31</f>
        <v>m2</v>
      </c>
      <c r="F26" s="643">
        <v>10</v>
      </c>
      <c r="G26" s="644" t="s">
        <v>25004</v>
      </c>
      <c r="H26" s="645"/>
    </row>
    <row r="27" spans="1:8" s="646" customFormat="1" ht="54" customHeight="1" x14ac:dyDescent="0.35">
      <c r="A27" s="639" t="str">
        <f>'Planilha - Orla'!A32</f>
        <v>3.5</v>
      </c>
      <c r="B27" s="640" t="str">
        <f>'Planilha - Orla'!C32</f>
        <v>CP-001</v>
      </c>
      <c r="C27" s="654" t="str">
        <f>'Planilha - Orla'!B32</f>
        <v>COMP.</v>
      </c>
      <c r="D27" s="641" t="str">
        <f>'Planilha - Orla'!D32</f>
        <v>Fita zebrada para isolamento de área</v>
      </c>
      <c r="E27" s="642" t="str">
        <f>'Planilha - Orla'!E32</f>
        <v>m</v>
      </c>
      <c r="F27" s="643">
        <f>F24</f>
        <v>1220</v>
      </c>
      <c r="G27" s="644" t="s">
        <v>25005</v>
      </c>
      <c r="H27" s="645"/>
    </row>
    <row r="28" spans="1:8" s="617" customFormat="1" x14ac:dyDescent="0.35">
      <c r="A28" s="619">
        <f>'Planilha - Orla'!A36</f>
        <v>4</v>
      </c>
      <c r="B28" s="620"/>
      <c r="C28" s="621"/>
      <c r="D28" s="622" t="str">
        <f>'Planilha - Orla'!D36</f>
        <v>DEMOLIÇÕES E RETIRADAS</v>
      </c>
      <c r="E28" s="623"/>
      <c r="F28" s="624"/>
      <c r="G28" s="625"/>
      <c r="H28" s="626"/>
    </row>
    <row r="29" spans="1:8" ht="75" x14ac:dyDescent="0.35">
      <c r="A29" s="639" t="str">
        <f>'Planilha - Orla'!A37</f>
        <v>4.1</v>
      </c>
      <c r="B29" s="640" t="str">
        <f>'Planilha - Orla'!C37</f>
        <v>DER-ED</v>
      </c>
      <c r="C29" s="655" t="str">
        <f>'Planilha - Orla'!B37</f>
        <v>010201</v>
      </c>
      <c r="D29" s="641" t="str">
        <f>'Planilha - Orla'!D37</f>
        <v>Demolição de piso cimentado inclusive lastro de concreto</v>
      </c>
      <c r="E29" s="642" t="str">
        <f>'Planilha - Orla'!E37</f>
        <v>m2</v>
      </c>
      <c r="F29" s="643">
        <f>206.25+2727.96+997.05+1677.07+2264.23+1187.91+318.17+1755.14+467.66</f>
        <v>11601.44</v>
      </c>
      <c r="G29" s="644" t="s">
        <v>25025</v>
      </c>
      <c r="H29" s="645" t="s">
        <v>25727</v>
      </c>
    </row>
    <row r="30" spans="1:8" ht="75" x14ac:dyDescent="0.35">
      <c r="A30" s="639" t="str">
        <f>'Planilha - Orla'!A38</f>
        <v>4.2</v>
      </c>
      <c r="B30" s="640" t="str">
        <f>'Planilha - Orla'!C38</f>
        <v>CP-002</v>
      </c>
      <c r="C30" s="655" t="str">
        <f>'Planilha - Orla'!B38</f>
        <v>COMP.</v>
      </c>
      <c r="D30" s="641" t="str">
        <f>'Planilha - Orla'!D38</f>
        <v>Demolição de edificação existente (hora de máquina - pá carregadeira) - (Demolição de quiosques existentes (1,5 h/und))</v>
      </c>
      <c r="E30" s="642" t="str">
        <f>'Planilha - Orla'!E38</f>
        <v>un</v>
      </c>
      <c r="F30" s="643">
        <f>1+4+1+4+1+1</f>
        <v>12</v>
      </c>
      <c r="G30" s="644" t="s">
        <v>24967</v>
      </c>
      <c r="H30" s="645" t="s">
        <v>25727</v>
      </c>
    </row>
    <row r="31" spans="1:8" ht="93.75" x14ac:dyDescent="0.35">
      <c r="A31" s="639" t="str">
        <f>'Planilha - Orla'!A39</f>
        <v>4.3</v>
      </c>
      <c r="B31" s="640" t="str">
        <f>'Planilha - Orla'!C39</f>
        <v>DER-RD</v>
      </c>
      <c r="C31" s="655">
        <f>'Planilha - Orla'!B39</f>
        <v>42870</v>
      </c>
      <c r="D31" s="641" t="str">
        <f>'Planilha - Orla'!D39</f>
        <v>Demolição mecânica de concreto em Vias Urbanas</v>
      </c>
      <c r="E31" s="642" t="str">
        <f>'Planilha - Orla'!E39</f>
        <v>m3</v>
      </c>
      <c r="F31" s="643">
        <f>93.87+46.04+19.42</f>
        <v>159.33000000000001</v>
      </c>
      <c r="G31" s="644" t="s">
        <v>24968</v>
      </c>
      <c r="H31" s="645" t="s">
        <v>25728</v>
      </c>
    </row>
    <row r="32" spans="1:8" ht="75" x14ac:dyDescent="0.35">
      <c r="A32" s="639" t="str">
        <f>'Planilha - Orla'!A40</f>
        <v>4.3</v>
      </c>
      <c r="B32" s="640" t="str">
        <f>'Planilha - Orla'!C40</f>
        <v>DER-ED</v>
      </c>
      <c r="C32" s="655" t="str">
        <f>'Planilha - Orla'!B40</f>
        <v>010404</v>
      </c>
      <c r="D32" s="641" t="str">
        <f>'Planilha - Orla'!D40</f>
        <v>Corte e destocamento de árvores com diâmetro superior a 30 cm</v>
      </c>
      <c r="E32" s="642" t="str">
        <f>'Planilha - Orla'!E40</f>
        <v>und</v>
      </c>
      <c r="F32" s="643">
        <f>3+14+10+4+4+1+2</f>
        <v>38</v>
      </c>
      <c r="G32" s="644" t="s">
        <v>25026</v>
      </c>
      <c r="H32" s="645" t="s">
        <v>25727</v>
      </c>
    </row>
    <row r="33" spans="1:8" ht="75" x14ac:dyDescent="0.35">
      <c r="A33" s="639" t="str">
        <f>'Planilha - Orla'!A41</f>
        <v>4.4</v>
      </c>
      <c r="B33" s="640" t="str">
        <f>'Planilha - Orla'!C41</f>
        <v>DER-ED</v>
      </c>
      <c r="C33" s="655" t="str">
        <f>'Planilha - Orla'!B41</f>
        <v>010216</v>
      </c>
      <c r="D33" s="641" t="str">
        <f>'Planilha - Orla'!D41</f>
        <v>Retirada de meio-fio de concreto</v>
      </c>
      <c r="E33" s="642" t="str">
        <f>'Planilha - Orla'!E41</f>
        <v>m</v>
      </c>
      <c r="F33" s="643">
        <f>130.88+676.11+178.72+386.08+307.25+322.74+187.72+96.73+227.47</f>
        <v>2513.6999999999998</v>
      </c>
      <c r="G33" s="644" t="s">
        <v>25027</v>
      </c>
      <c r="H33" s="645" t="s">
        <v>25727</v>
      </c>
    </row>
    <row r="34" spans="1:8" ht="75" x14ac:dyDescent="0.35">
      <c r="A34" s="639" t="str">
        <f>'Planilha - Orla'!A42</f>
        <v>4.5</v>
      </c>
      <c r="B34" s="640" t="str">
        <f>'Planilha - Orla'!C42</f>
        <v>DER-RD</v>
      </c>
      <c r="C34" s="655">
        <f>'Planilha - Orla'!B42</f>
        <v>42496</v>
      </c>
      <c r="D34" s="641" t="str">
        <f>'Planilha - Orla'!D42</f>
        <v>Demolição e remoção de pavimento asfáltico em Vias Urbanas</v>
      </c>
      <c r="E34" s="642" t="str">
        <f>'Planilha - Orla'!E42</f>
        <v>m2</v>
      </c>
      <c r="F34" s="643">
        <f>564.45+2722.93+1077.99+1906.06+2428.65+2316.77+964.84+1524+1921</f>
        <v>15426.69</v>
      </c>
      <c r="G34" s="644" t="s">
        <v>25028</v>
      </c>
      <c r="H34" s="645" t="s">
        <v>25727</v>
      </c>
    </row>
    <row r="35" spans="1:8" ht="75" x14ac:dyDescent="0.35">
      <c r="A35" s="639" t="str">
        <f>'Planilha - Orla'!A43</f>
        <v>4.6</v>
      </c>
      <c r="B35" s="640" t="str">
        <f>'Planilha - Orla'!C43</f>
        <v>DER-ED</v>
      </c>
      <c r="C35" s="655" t="str">
        <f>'Planilha - Orla'!B43</f>
        <v>010212</v>
      </c>
      <c r="D35" s="641" t="str">
        <f>'Planilha - Orla'!D43</f>
        <v>Retirada manual de pavimento em paralelepípedos, incluindo empilhamento para reaproveitamento</v>
      </c>
      <c r="E35" s="642" t="str">
        <f>'Planilha - Orla'!E43</f>
        <v>m2</v>
      </c>
      <c r="F35" s="643">
        <f>F34</f>
        <v>15426.69</v>
      </c>
      <c r="G35" s="644" t="s">
        <v>25028</v>
      </c>
      <c r="H35" s="645" t="s">
        <v>25727</v>
      </c>
    </row>
    <row r="36" spans="1:8" ht="75" x14ac:dyDescent="0.35">
      <c r="A36" s="639" t="str">
        <f>'Planilha - Orla'!A44</f>
        <v>4.7</v>
      </c>
      <c r="B36" s="640" t="str">
        <f>'Planilha - Orla'!C44</f>
        <v>DER-RD</v>
      </c>
      <c r="C36" s="655">
        <f>'Planilha - Orla'!B44</f>
        <v>40093</v>
      </c>
      <c r="D36" s="641" t="str">
        <f>'Planilha - Orla'!D44</f>
        <v>Retirada de placas de sinalização</v>
      </c>
      <c r="E36" s="642" t="str">
        <f>'Planilha - Orla'!E44</f>
        <v>m2</v>
      </c>
      <c r="F36" s="643">
        <f>(1+14+4+6+5+12+3+6+1)*0.28</f>
        <v>14.56</v>
      </c>
      <c r="G36" s="644" t="s">
        <v>25029</v>
      </c>
      <c r="H36" s="645" t="s">
        <v>25727</v>
      </c>
    </row>
    <row r="37" spans="1:8" x14ac:dyDescent="0.35">
      <c r="A37" s="639" t="str">
        <f>'Planilha - Orla'!A45</f>
        <v>4.8</v>
      </c>
      <c r="B37" s="640" t="str">
        <f>'Planilha - Orla'!C45</f>
        <v>CP-003</v>
      </c>
      <c r="C37" s="655" t="str">
        <f>'Planilha - Orla'!B45</f>
        <v>COMP.</v>
      </c>
      <c r="D37" s="641" t="str">
        <f>'Planilha - Orla'!D45</f>
        <v>Retirada de balizador de concreto</v>
      </c>
      <c r="E37" s="642" t="str">
        <f>'Planilha - Orla'!E45</f>
        <v>un</v>
      </c>
      <c r="F37" s="643">
        <v>30</v>
      </c>
      <c r="G37" s="644"/>
      <c r="H37" s="645"/>
    </row>
    <row r="38" spans="1:8" ht="37.5" x14ac:dyDescent="0.35">
      <c r="A38" s="639" t="str">
        <f>'Planilha - Orla'!A46</f>
        <v>4.9</v>
      </c>
      <c r="B38" s="640" t="str">
        <f>'Planilha - Orla'!C46</f>
        <v>DER-RD</v>
      </c>
      <c r="C38" s="655">
        <f>'Planilha - Orla'!B46</f>
        <v>42512</v>
      </c>
      <c r="D38" s="641" t="str">
        <f>'Planilha - Orla'!D46</f>
        <v>Carga de material de 1ª categoria em Vias Urbanas</v>
      </c>
      <c r="E38" s="642" t="str">
        <f>'Planilha - Orla'!E46</f>
        <v>m3</v>
      </c>
      <c r="F38" s="643">
        <f>SUM(F39:F43)</f>
        <v>3360.31</v>
      </c>
      <c r="G38" s="644" t="s">
        <v>25684</v>
      </c>
      <c r="H38" s="645"/>
    </row>
    <row r="39" spans="1:8" ht="37.5" x14ac:dyDescent="0.35">
      <c r="A39" s="639"/>
      <c r="B39" s="640"/>
      <c r="C39" s="655"/>
      <c r="D39" s="641"/>
      <c r="E39" s="642"/>
      <c r="F39" s="643">
        <f>11601.44*0.08</f>
        <v>928.12</v>
      </c>
      <c r="G39" s="644" t="s">
        <v>25708</v>
      </c>
      <c r="H39" s="645"/>
    </row>
    <row r="40" spans="1:8" x14ac:dyDescent="0.35">
      <c r="A40" s="639"/>
      <c r="B40" s="640"/>
      <c r="C40" s="655"/>
      <c r="D40" s="641"/>
      <c r="E40" s="642"/>
      <c r="F40" s="643">
        <v>159.33000000000001</v>
      </c>
      <c r="G40" s="644" t="s">
        <v>25709</v>
      </c>
      <c r="H40" s="645"/>
    </row>
    <row r="41" spans="1:8" ht="37.5" x14ac:dyDescent="0.35">
      <c r="A41" s="639"/>
      <c r="B41" s="640"/>
      <c r="C41" s="655"/>
      <c r="D41" s="641"/>
      <c r="E41" s="642"/>
      <c r="F41" s="643">
        <f>15426.69*0.04</f>
        <v>617.07000000000005</v>
      </c>
      <c r="G41" s="644" t="s">
        <v>25710</v>
      </c>
      <c r="H41" s="645"/>
    </row>
    <row r="42" spans="1:8" x14ac:dyDescent="0.35">
      <c r="A42" s="639"/>
      <c r="B42" s="640"/>
      <c r="C42" s="655"/>
      <c r="D42" s="641"/>
      <c r="E42" s="642"/>
      <c r="F42" s="643">
        <f>2513.7*0.3*0.15</f>
        <v>113.12</v>
      </c>
      <c r="G42" s="644" t="s">
        <v>25711</v>
      </c>
      <c r="H42" s="645"/>
    </row>
    <row r="43" spans="1:8" x14ac:dyDescent="0.35">
      <c r="A43" s="639"/>
      <c r="B43" s="640"/>
      <c r="C43" s="655"/>
      <c r="D43" s="641"/>
      <c r="E43" s="642"/>
      <c r="F43" s="643">
        <f>15426.69*0.1</f>
        <v>1542.67</v>
      </c>
      <c r="G43" s="644" t="s">
        <v>25712</v>
      </c>
      <c r="H43" s="645"/>
    </row>
    <row r="44" spans="1:8" ht="56.25" x14ac:dyDescent="0.35">
      <c r="A44" s="639" t="str">
        <f>'Planilha - Orla'!A47</f>
        <v>4.10</v>
      </c>
      <c r="B44" s="640" t="str">
        <f>'Planilha - Orla'!C47</f>
        <v>DER-RD</v>
      </c>
      <c r="C44" s="655">
        <f>'Planilha - Orla'!B47</f>
        <v>60020</v>
      </c>
      <c r="D44" s="641" t="str">
        <f>'Planilha - Orla'!D47</f>
        <v>LOCAL COM DMT DE 3,1 A 5,0 KM (Caminhão basculante) - 0,947XINCC-MXP+1,065XINCC-MXR+1,929XINCC-M - XP=2,0km, XR=1,5km</v>
      </c>
      <c r="E44" s="642" t="str">
        <f>'Planilha - Orla'!E47</f>
        <v>t</v>
      </c>
      <c r="F44" s="643">
        <f>F38/2.83</f>
        <v>1187.3900000000001</v>
      </c>
      <c r="G44" s="644" t="s">
        <v>25714</v>
      </c>
      <c r="H44" s="644" t="s">
        <v>25713</v>
      </c>
    </row>
    <row r="45" spans="1:8" ht="75" x14ac:dyDescent="0.35">
      <c r="A45" s="639" t="str">
        <f>'Planilha - Orla'!A48</f>
        <v>4.11</v>
      </c>
      <c r="B45" s="640" t="str">
        <f>'Planilha - Orla'!C48</f>
        <v>DER-ED</v>
      </c>
      <c r="C45" s="655" t="str">
        <f>'Planilha - Orla'!B48</f>
        <v>030304</v>
      </c>
      <c r="D45" s="641" t="str">
        <f>'Planilha - Orla'!D48</f>
        <v>Índice de preço para remoção de entulho decorrente da execução de obras (Classe A CONAMA - NBR 10.004 - Classe II-B), incluindo aluguel da caçamba, carga, transporte e descarga em área licenciada</v>
      </c>
      <c r="E45" s="642" t="str">
        <f>'Planilha - Orla'!E48</f>
        <v>m3</v>
      </c>
      <c r="F45" s="643">
        <v>25</v>
      </c>
      <c r="G45" s="644" t="s">
        <v>25715</v>
      </c>
      <c r="H45" s="645"/>
    </row>
    <row r="46" spans="1:8" x14ac:dyDescent="0.35">
      <c r="A46" s="639" t="str">
        <f>'Planilha - Orla'!A49</f>
        <v>4.12</v>
      </c>
      <c r="B46" s="640" t="str">
        <f>'Planilha - Orla'!C49</f>
        <v>CP-004</v>
      </c>
      <c r="C46" s="655" t="str">
        <f>'Planilha - Orla'!B49</f>
        <v>COMP.</v>
      </c>
      <c r="D46" s="641" t="str">
        <f>'Planilha - Orla'!D49</f>
        <v>Remoção de rede de esgoto existente</v>
      </c>
      <c r="E46" s="642" t="str">
        <f>'Planilha - Orla'!E49</f>
        <v>m</v>
      </c>
      <c r="F46" s="643">
        <v>122</v>
      </c>
      <c r="G46" s="644" t="s">
        <v>25716</v>
      </c>
      <c r="H46" s="645"/>
    </row>
    <row r="47" spans="1:8" ht="37.5" x14ac:dyDescent="0.35">
      <c r="A47" s="639" t="str">
        <f>'Planilha - Orla'!A50</f>
        <v>4.13</v>
      </c>
      <c r="B47" s="640" t="str">
        <f>'Planilha - Orla'!C50</f>
        <v>CP-005</v>
      </c>
      <c r="C47" s="655" t="str">
        <f>'Planilha - Orla'!B50</f>
        <v>COMP.</v>
      </c>
      <c r="D47" s="641" t="str">
        <f>'Planilha - Orla'!D50</f>
        <v>Demoliçao de demais equipamentos</v>
      </c>
      <c r="E47" s="642" t="str">
        <f>'Planilha - Orla'!E50</f>
        <v>m3</v>
      </c>
      <c r="F47" s="643">
        <f>(F29+F30+F31+F32+F33+F34+F36+F37+F46)*0.01</f>
        <v>299.18</v>
      </c>
      <c r="G47" s="644" t="s">
        <v>24938</v>
      </c>
      <c r="H47" s="645"/>
    </row>
    <row r="48" spans="1:8" x14ac:dyDescent="0.35">
      <c r="A48" s="639" t="str">
        <f>'Planilha - Orla'!A51</f>
        <v>4.14</v>
      </c>
      <c r="B48" s="640" t="str">
        <f>'Planilha - Orla'!C51</f>
        <v>CP-037</v>
      </c>
      <c r="C48" s="655" t="str">
        <f>'Planilha - Orla'!B51</f>
        <v>COMP.</v>
      </c>
      <c r="D48" s="641" t="str">
        <f>'Planilha - Orla'!D51</f>
        <v>Retirada de poste de concreto</v>
      </c>
      <c r="E48" s="642" t="str">
        <f>'Planilha - Orla'!E51</f>
        <v>und</v>
      </c>
      <c r="F48" s="643">
        <v>8</v>
      </c>
      <c r="G48" s="644" t="s">
        <v>25748</v>
      </c>
      <c r="H48" s="645"/>
    </row>
    <row r="49" spans="1:19" s="617" customFormat="1" x14ac:dyDescent="0.35">
      <c r="A49" s="619">
        <f>'Planilha - Orla'!A55</f>
        <v>5</v>
      </c>
      <c r="B49" s="620"/>
      <c r="C49" s="621"/>
      <c r="D49" s="622" t="str">
        <f>'Planilha - Orla'!D55</f>
        <v>TERRAPLENAGEM</v>
      </c>
      <c r="E49" s="623"/>
      <c r="F49" s="624"/>
      <c r="G49" s="625"/>
      <c r="H49" s="626"/>
      <c r="I49" s="646"/>
      <c r="J49" s="646"/>
      <c r="K49" s="646"/>
      <c r="L49" s="646"/>
      <c r="M49" s="646"/>
      <c r="N49" s="646"/>
      <c r="O49" s="646"/>
      <c r="P49" s="646"/>
      <c r="Q49" s="646"/>
      <c r="R49" s="646"/>
      <c r="S49" s="646"/>
    </row>
    <row r="50" spans="1:19" s="656" customFormat="1" ht="75" x14ac:dyDescent="0.35">
      <c r="A50" s="639" t="str">
        <f>'Planilha - Orla'!A56</f>
        <v>5.1</v>
      </c>
      <c r="B50" s="640" t="str">
        <f>'Planilha - Orla'!C56</f>
        <v>DER-RD</v>
      </c>
      <c r="C50" s="655">
        <f>'Planilha - Orla'!B56</f>
        <v>40230</v>
      </c>
      <c r="D50" s="641" t="str">
        <f>'Planilha - Orla'!D56</f>
        <v>Escavação e carga de material de 1ª categoria com escavadeira</v>
      </c>
      <c r="E50" s="642" t="str">
        <f>'Planilha - Orla'!E56</f>
        <v>m3</v>
      </c>
      <c r="F50" s="643">
        <v>23180.57</v>
      </c>
      <c r="G50" s="644"/>
      <c r="H50" s="645" t="s">
        <v>25766</v>
      </c>
      <c r="I50" s="646"/>
      <c r="J50" s="646"/>
      <c r="K50" s="646"/>
      <c r="L50" s="646"/>
      <c r="M50" s="646"/>
      <c r="N50" s="646"/>
      <c r="O50" s="646"/>
      <c r="P50" s="646"/>
      <c r="Q50" s="646"/>
      <c r="R50" s="646"/>
      <c r="S50" s="646"/>
    </row>
    <row r="51" spans="1:19" ht="56.25" x14ac:dyDescent="0.35">
      <c r="A51" s="639" t="str">
        <f>'Planilha - Orla'!A57</f>
        <v>5.2</v>
      </c>
      <c r="B51" s="640" t="str">
        <f>'Planilha - Orla'!C57</f>
        <v>DER-RD</v>
      </c>
      <c r="C51" s="655">
        <f>'Planilha - Orla'!B57</f>
        <v>60022</v>
      </c>
      <c r="D51" s="641" t="str">
        <f>'Planilha - Orla'!D57</f>
        <v>LOCAL COM DMT DE 10,1 A 15,0 KM (Caminhão basculante) - 0,791XINCC-MXP + 0,838XINCC-MXR + 1,780XINCC-M - XP = 10,0km, XR=2,5km</v>
      </c>
      <c r="E51" s="642" t="str">
        <f>'Planilha - Orla'!E57</f>
        <v>t</v>
      </c>
      <c r="F51" s="643">
        <f>1.7*F50</f>
        <v>39406.97</v>
      </c>
      <c r="G51" s="644" t="s">
        <v>25006</v>
      </c>
      <c r="H51" s="645" t="s">
        <v>25717</v>
      </c>
      <c r="I51" s="646"/>
      <c r="J51" s="646"/>
      <c r="K51" s="646"/>
      <c r="L51" s="646"/>
      <c r="M51" s="646"/>
      <c r="N51" s="646"/>
      <c r="O51" s="646"/>
      <c r="P51" s="646"/>
      <c r="Q51" s="646"/>
      <c r="R51" s="646"/>
      <c r="S51" s="646"/>
    </row>
    <row r="52" spans="1:19" ht="75" x14ac:dyDescent="0.35">
      <c r="A52" s="639" t="str">
        <f>'Planilha - Orla'!A58</f>
        <v>5.3</v>
      </c>
      <c r="B52" s="640" t="str">
        <f>'Planilha - Orla'!C58</f>
        <v>DER-RD</v>
      </c>
      <c r="C52" s="655">
        <f>'Planilha - Orla'!B58</f>
        <v>43335</v>
      </c>
      <c r="D52" s="641" t="str">
        <f>'Planilha - Orla'!D58</f>
        <v>Espalhamento / regularização / compactação de material em bota-fora</v>
      </c>
      <c r="E52" s="642" t="str">
        <f>'Planilha - Orla'!E58</f>
        <v>m3</v>
      </c>
      <c r="F52" s="643">
        <f>F50</f>
        <v>23180.57</v>
      </c>
      <c r="G52" s="644"/>
      <c r="H52" s="645" t="s">
        <v>25766</v>
      </c>
    </row>
    <row r="53" spans="1:19" ht="75" x14ac:dyDescent="0.35">
      <c r="A53" s="639" t="str">
        <f>'Planilha - Orla'!A59</f>
        <v>5.4</v>
      </c>
      <c r="B53" s="640" t="str">
        <f>'Planilha - Orla'!C59</f>
        <v>CP-006</v>
      </c>
      <c r="C53" s="655" t="str">
        <f>'Planilha - Orla'!B59</f>
        <v>COMP.</v>
      </c>
      <c r="D53" s="641" t="str">
        <f>'Planilha - Orla'!D59</f>
        <v>Execução e compactação de aterro com solo predominantemente argiloso - inclusive solo de jazida.</v>
      </c>
      <c r="E53" s="642" t="str">
        <f>'Planilha - Orla'!E59</f>
        <v>m3</v>
      </c>
      <c r="F53" s="643">
        <v>4888</v>
      </c>
      <c r="G53" s="644"/>
      <c r="H53" s="645" t="s">
        <v>25766</v>
      </c>
    </row>
    <row r="54" spans="1:19" ht="56.25" x14ac:dyDescent="0.35">
      <c r="A54" s="639" t="str">
        <f>'Planilha - Orla'!A60</f>
        <v>5.5</v>
      </c>
      <c r="B54" s="640" t="str">
        <f>'Planilha - Orla'!C60</f>
        <v>DER-RD</v>
      </c>
      <c r="C54" s="655">
        <f>'Planilha - Orla'!B60</f>
        <v>60022</v>
      </c>
      <c r="D54" s="641" t="str">
        <f>'Planilha - Orla'!D60</f>
        <v>LOCAL COM DMT DE 10,1 A 15,0 KM (Caminhão basculante) - 0,791XINCC-MXP + 0,838XINCC-MXR + 1,780XINCC-M - XP = 10,0km, XR=2,5km</v>
      </c>
      <c r="E54" s="642" t="str">
        <f>'Planilha - Orla'!E60</f>
        <v>t</v>
      </c>
      <c r="F54" s="643">
        <f>F53*1.7</f>
        <v>8309.6</v>
      </c>
      <c r="G54" s="644" t="s">
        <v>25007</v>
      </c>
      <c r="H54" s="645" t="s">
        <v>25717</v>
      </c>
    </row>
    <row r="55" spans="1:19" ht="75" x14ac:dyDescent="0.35">
      <c r="A55" s="639" t="str">
        <f>'Planilha - Orla'!A61</f>
        <v>5.6</v>
      </c>
      <c r="B55" s="640" t="str">
        <f>'Planilha - Orla'!C61</f>
        <v>CP-032</v>
      </c>
      <c r="C55" s="655" t="str">
        <f>'Planilha - Orla'!B61</f>
        <v>COMP.</v>
      </c>
      <c r="D55" s="641" t="str">
        <f>'Planilha - Orla'!D61</f>
        <v>Reaterro mecânizado de vala com escavadeira hidráulica (capacidade da caçamba: 0,8 m2 / potência: 111 hp), largura de 1,5 a 2,5 m, profundidade de 1,5 a 3,0 m , com solo de 1ª categoria em locais com alto nível de interferência.</v>
      </c>
      <c r="E55" s="642" t="str">
        <f>'Planilha - Orla'!E61</f>
        <v>m3</v>
      </c>
      <c r="F55" s="643">
        <v>4230.2</v>
      </c>
      <c r="G55" s="644"/>
      <c r="H55" s="645" t="s">
        <v>25766</v>
      </c>
    </row>
    <row r="56" spans="1:19" s="617" customFormat="1" x14ac:dyDescent="0.35">
      <c r="A56" s="619">
        <f>'Planilha - Orla'!A65</f>
        <v>6</v>
      </c>
      <c r="B56" s="620"/>
      <c r="C56" s="621"/>
      <c r="D56" s="622" t="str">
        <f>'Planilha - Orla'!D65</f>
        <v>OBRAS DE ARTE CORRENTES E DRENAGEM</v>
      </c>
      <c r="E56" s="623"/>
      <c r="F56" s="624"/>
      <c r="G56" s="625"/>
      <c r="H56" s="626"/>
    </row>
    <row r="57" spans="1:19" ht="75" x14ac:dyDescent="0.35">
      <c r="A57" s="639" t="str">
        <f>'Planilha - Orla'!A66</f>
        <v>6.1</v>
      </c>
      <c r="B57" s="640" t="str">
        <f>'Planilha - Orla'!C66</f>
        <v>DER-ED</v>
      </c>
      <c r="C57" s="655" t="str">
        <f>'Planilha - Orla'!B66</f>
        <v>200202</v>
      </c>
      <c r="D57" s="641" t="str">
        <f>'Planilha - Orla'!D66</f>
        <v>Meio-fio de concreto pré-moldado com dimensões de 15x12x30x100 cm , rejuntados com argamassa de cimento e areia no traço 1:3</v>
      </c>
      <c r="E57" s="642" t="str">
        <f>'Planilha - Orla'!E66</f>
        <v>m</v>
      </c>
      <c r="F57" s="643">
        <f>(((107*20)-(46*20))*2)+240</f>
        <v>2680</v>
      </c>
      <c r="G57" s="644" t="s">
        <v>25030</v>
      </c>
      <c r="H57" s="645"/>
    </row>
    <row r="58" spans="1:19" s="617" customFormat="1" x14ac:dyDescent="0.35">
      <c r="A58" s="619">
        <f>'Planilha - Orla'!A70</f>
        <v>7</v>
      </c>
      <c r="B58" s="620"/>
      <c r="C58" s="621"/>
      <c r="D58" s="622" t="str">
        <f>'Planilha - Orla'!D70</f>
        <v>OBRAS DE CONTENÇÃO</v>
      </c>
      <c r="E58" s="623"/>
      <c r="F58" s="624"/>
      <c r="G58" s="625"/>
      <c r="H58" s="626"/>
    </row>
    <row r="59" spans="1:19" s="646" customFormat="1" ht="56.25" x14ac:dyDescent="0.35">
      <c r="A59" s="639" t="str">
        <f>'Planilha - Orla'!A71</f>
        <v>7.1</v>
      </c>
      <c r="B59" s="640" t="str">
        <f>'Planilha - Orla'!C71</f>
        <v>CP-030</v>
      </c>
      <c r="C59" s="655" t="str">
        <f>'Planilha - Orla'!B71</f>
        <v>COMP.</v>
      </c>
      <c r="D59" s="641" t="str">
        <f>'Planilha - Orla'!D71</f>
        <v>Gabião caixa, malha hexagonal de (8x10) cm, fio com 2,4mm de diâmetro, revestido de PVC rígido, inclusive materiais e montagem.</v>
      </c>
      <c r="E59" s="642" t="str">
        <f>'Planilha - Orla'!E71</f>
        <v>m3</v>
      </c>
      <c r="F59" s="643">
        <f>(0.5*2.5*750) + (1*1.5*750) + (2.5*1*750)</f>
        <v>3937.5</v>
      </c>
      <c r="G59" s="644" t="s">
        <v>25731</v>
      </c>
      <c r="H59" s="645" t="s">
        <v>24910</v>
      </c>
    </row>
    <row r="60" spans="1:19" s="646" customFormat="1" ht="37.5" x14ac:dyDescent="0.35">
      <c r="A60" s="639" t="str">
        <f>'Planilha - Orla'!A72</f>
        <v>7.2</v>
      </c>
      <c r="B60" s="640" t="str">
        <f>'Planilha - Orla'!C72</f>
        <v>DER-RD</v>
      </c>
      <c r="C60" s="655">
        <f>'Planilha - Orla'!B72</f>
        <v>40714</v>
      </c>
      <c r="D60" s="641" t="str">
        <f>'Planilha - Orla'!D72</f>
        <v>Manta Geotêxtil não tecida RT - 16 kn/m, fornecimento e aplicação</v>
      </c>
      <c r="E60" s="642" t="str">
        <f>'Planilha - Orla'!E72</f>
        <v>m2</v>
      </c>
      <c r="F60" s="643">
        <f>13*750</f>
        <v>9750</v>
      </c>
      <c r="G60" s="644" t="s">
        <v>25732</v>
      </c>
      <c r="H60" s="645"/>
    </row>
    <row r="61" spans="1:19" s="646" customFormat="1" ht="37.5" x14ac:dyDescent="0.35">
      <c r="A61" s="639" t="str">
        <f>'Planilha - Orla'!A73</f>
        <v>7.3</v>
      </c>
      <c r="B61" s="640" t="str">
        <f>'Planilha - Orla'!C73</f>
        <v>CESAN</v>
      </c>
      <c r="C61" s="655">
        <f>'Planilha - Orla'!B73</f>
        <v>7050100010</v>
      </c>
      <c r="D61" s="641" t="str">
        <f>'Planilha - Orla'!D73</f>
        <v>Escoramento Metálico tipo gaiola</v>
      </c>
      <c r="E61" s="642" t="str">
        <f>'Planilha - Orla'!E73</f>
        <v>m2</v>
      </c>
      <c r="F61" s="643">
        <f>(4*750)*2</f>
        <v>6000</v>
      </c>
      <c r="G61" s="644" t="s">
        <v>25773</v>
      </c>
      <c r="H61" s="645"/>
    </row>
    <row r="62" spans="1:19" s="617" customFormat="1" x14ac:dyDescent="0.35">
      <c r="A62" s="619">
        <f>'Planilha - Orla'!A77</f>
        <v>8</v>
      </c>
      <c r="B62" s="620"/>
      <c r="C62" s="621"/>
      <c r="D62" s="622" t="str">
        <f>'Planilha - Orla'!D77</f>
        <v>PAVIMENTAÇÃO</v>
      </c>
      <c r="E62" s="623"/>
      <c r="F62" s="624"/>
      <c r="G62" s="625"/>
      <c r="H62" s="626"/>
      <c r="K62" s="646"/>
      <c r="R62" s="646"/>
    </row>
    <row r="63" spans="1:19" s="617" customFormat="1" ht="37.5" x14ac:dyDescent="0.35">
      <c r="A63" s="639" t="str">
        <f>'Planilha - Orla'!A78</f>
        <v>8.1</v>
      </c>
      <c r="B63" s="640" t="str">
        <f>'Planilha - Orla'!C78</f>
        <v>DER-RD</v>
      </c>
      <c r="C63" s="655">
        <f>'Planilha - Orla'!B78</f>
        <v>40781</v>
      </c>
      <c r="D63" s="641" t="str">
        <f>'Planilha - Orla'!D78</f>
        <v>Base solo brita, 50% em peso, inclusive fornecimento e transporte da brita</v>
      </c>
      <c r="E63" s="642" t="str">
        <f>'Planilha - Orla'!E78</f>
        <v>m3</v>
      </c>
      <c r="F63" s="844">
        <f>F65*0.15</f>
        <v>4124.71</v>
      </c>
      <c r="G63" s="644" t="s">
        <v>25664</v>
      </c>
      <c r="H63" s="1257" t="s">
        <v>25718</v>
      </c>
      <c r="K63" s="646"/>
      <c r="R63" s="646"/>
    </row>
    <row r="64" spans="1:19" s="646" customFormat="1" ht="93.75" x14ac:dyDescent="0.35">
      <c r="A64" s="639" t="str">
        <f>'Planilha - Orla'!A79</f>
        <v>8.2</v>
      </c>
      <c r="B64" s="640" t="str">
        <f>'Planilha - Orla'!C79</f>
        <v>CP-007</v>
      </c>
      <c r="C64" s="655" t="str">
        <f>'Planilha - Orla'!B79</f>
        <v>COMP.</v>
      </c>
      <c r="D64" s="641" t="str">
        <f>'Planilha - Orla'!D79</f>
        <v>Estabilização e impermeabilização do solo com emulsão polimérica</v>
      </c>
      <c r="E64" s="642" t="str">
        <f>'Planilha - Orla'!E79</f>
        <v>m2</v>
      </c>
      <c r="F64" s="643">
        <f>F65</f>
        <v>27498.07</v>
      </c>
      <c r="G64" s="644"/>
      <c r="H64" s="645" t="s">
        <v>25729</v>
      </c>
    </row>
    <row r="65" spans="1:9" s="646" customFormat="1" ht="93.75" x14ac:dyDescent="0.35">
      <c r="A65" s="639" t="str">
        <f>'Planilha - Orla'!A80</f>
        <v>8.3</v>
      </c>
      <c r="B65" s="640" t="str">
        <f>'Planilha - Orla'!C80</f>
        <v>DER-RD</v>
      </c>
      <c r="C65" s="655">
        <f>'Planilha - Orla'!B80</f>
        <v>42500</v>
      </c>
      <c r="D65" s="641" t="str">
        <f>'Planilha - Orla'!D80</f>
        <v>Pavimentação com blocos de concreto (35 MPa), esp.=10cm, sobre colchão de areia esp.= 5cm, inclusive fornecim.e transporte  blocos e areia,Vias Urbanas</v>
      </c>
      <c r="E65" s="642" t="str">
        <f>'Planilha - Orla'!E80</f>
        <v>m2</v>
      </c>
      <c r="F65" s="643">
        <f>SUM(F66:F68)</f>
        <v>27498.07</v>
      </c>
      <c r="G65" s="644" t="s">
        <v>25784</v>
      </c>
      <c r="H65" s="645" t="s">
        <v>25729</v>
      </c>
      <c r="I65" s="1282"/>
    </row>
    <row r="66" spans="1:9" s="646" customFormat="1" ht="187.5" x14ac:dyDescent="0.35">
      <c r="A66" s="639"/>
      <c r="B66" s="640"/>
      <c r="C66" s="655"/>
      <c r="D66" s="641"/>
      <c r="E66" s="642"/>
      <c r="F66" s="643">
        <f>255.39+1259.43+761.92+978.3+1521.82+1337.45+559.76+18727.23+699.54</f>
        <v>26100.84</v>
      </c>
      <c r="G66" s="644" t="s">
        <v>25774</v>
      </c>
      <c r="H66" s="645" t="s">
        <v>25781</v>
      </c>
      <c r="I66" s="1244"/>
    </row>
    <row r="67" spans="1:9" s="646" customFormat="1" ht="112.5" x14ac:dyDescent="0.35">
      <c r="A67" s="639"/>
      <c r="B67" s="640"/>
      <c r="C67" s="655"/>
      <c r="D67" s="641"/>
      <c r="E67" s="642"/>
      <c r="F67" s="643">
        <f>392.94+89.07+208.52+284.11+164.26</f>
        <v>1138.9000000000001</v>
      </c>
      <c r="G67" s="644" t="s">
        <v>25775</v>
      </c>
      <c r="H67" s="645" t="s">
        <v>25781</v>
      </c>
      <c r="I67" s="1244"/>
    </row>
    <row r="68" spans="1:9" s="646" customFormat="1" ht="168.75" x14ac:dyDescent="0.35">
      <c r="A68" s="639"/>
      <c r="B68" s="640"/>
      <c r="C68" s="655"/>
      <c r="D68" s="641"/>
      <c r="E68" s="642"/>
      <c r="F68" s="643">
        <f>31.43+36.73+31.78+33.62+32.98+35.27+26.3+30.22</f>
        <v>258.33</v>
      </c>
      <c r="G68" s="644" t="s">
        <v>25778</v>
      </c>
      <c r="H68" s="645" t="s">
        <v>25781</v>
      </c>
      <c r="I68" s="1244"/>
    </row>
    <row r="69" spans="1:9" s="646" customFormat="1" ht="37.5" x14ac:dyDescent="0.35">
      <c r="A69" s="639" t="str">
        <f>'Planilha - Orla'!A81</f>
        <v>8.4</v>
      </c>
      <c r="B69" s="640" t="str">
        <f>'Planilha - Orla'!C81</f>
        <v>CP-011</v>
      </c>
      <c r="C69" s="655" t="str">
        <f>'Planilha - Orla'!B81</f>
        <v>COMP.</v>
      </c>
      <c r="D69" s="641" t="str">
        <f>'Planilha - Orla'!D81</f>
        <v>Pintura de demarcação de vaga com tinta acrílica, E = 10 cm, aplicação manual.</v>
      </c>
      <c r="E69" s="642" t="str">
        <f>'Planilha - Orla'!E81</f>
        <v>m</v>
      </c>
      <c r="F69" s="643">
        <f>418.4+97.6+231.2+298.04+126.7</f>
        <v>1171.94</v>
      </c>
      <c r="G69" s="644" t="s">
        <v>25032</v>
      </c>
      <c r="H69" s="645" t="s">
        <v>25719</v>
      </c>
    </row>
    <row r="70" spans="1:9" s="646" customFormat="1" x14ac:dyDescent="0.35">
      <c r="A70" s="619">
        <f>'Planilha - Orla'!A85</f>
        <v>9</v>
      </c>
      <c r="B70" s="619"/>
      <c r="C70" s="619"/>
      <c r="D70" s="619" t="str">
        <f>'Planilha - Orla'!D85</f>
        <v>CALÇADÃO/CICLOVIA</v>
      </c>
      <c r="E70" s="623"/>
      <c r="F70" s="624"/>
      <c r="G70" s="625"/>
      <c r="H70" s="626"/>
    </row>
    <row r="71" spans="1:9" s="646" customFormat="1" ht="56.25" x14ac:dyDescent="0.35">
      <c r="A71" s="639" t="str">
        <f>'Planilha - Orla'!A86</f>
        <v>9.1</v>
      </c>
      <c r="B71" s="639" t="str">
        <f>'Planilha - Orla'!B86</f>
        <v>COMP.</v>
      </c>
      <c r="C71" s="655" t="str">
        <f>'Planilha - Orla'!B86</f>
        <v>COMP.</v>
      </c>
      <c r="D71" s="641" t="str">
        <f>'Planilha - Orla'!D86</f>
        <v>Contrapiso em argamassa traço 1:4 (cimento e areia), preparo mecânico com betoneira 400l, aplicado em áreas secas sobre laje, não aderido, acabamento não reforçado, espessura 5cm.</v>
      </c>
      <c r="E71" s="642" t="str">
        <f>'Planilha - Orla'!E86</f>
        <v>m2</v>
      </c>
      <c r="F71" s="844">
        <f>F72</f>
        <v>9528.17</v>
      </c>
      <c r="G71" s="642" t="s">
        <v>25776</v>
      </c>
      <c r="H71" s="1266" t="str">
        <f>H72</f>
        <v>OBS: O valor total de cada quadra é a soma das áreas da calçada e da ciclovia.</v>
      </c>
    </row>
    <row r="72" spans="1:9" s="646" customFormat="1" ht="56.25" x14ac:dyDescent="0.35">
      <c r="A72" s="639" t="str">
        <f>'Planilha - Orla'!A87</f>
        <v>9.2</v>
      </c>
      <c r="B72" s="640" t="str">
        <f>'Planilha - Orla'!C87</f>
        <v>CP-009</v>
      </c>
      <c r="C72" s="655" t="str">
        <f>'Planilha - Orla'!B87</f>
        <v>COMP.</v>
      </c>
      <c r="D72" s="641" t="str">
        <f>'Planilha - Orla'!D87</f>
        <v>Execução de pavimento de concreto armado (PCA), FCK = 20 MPA, camada com espessura de 10,0 cm.</v>
      </c>
      <c r="E72" s="642" t="str">
        <f>'Planilha - Orla'!E87</f>
        <v>m2</v>
      </c>
      <c r="F72" s="643">
        <f>SUM(F73:F74)</f>
        <v>9528.17</v>
      </c>
      <c r="G72" s="1281" t="s">
        <v>25777</v>
      </c>
      <c r="H72" s="645" t="s">
        <v>25730</v>
      </c>
    </row>
    <row r="73" spans="1:9" s="646" customFormat="1" ht="187.5" x14ac:dyDescent="0.35">
      <c r="A73" s="639"/>
      <c r="B73" s="640"/>
      <c r="C73" s="655"/>
      <c r="D73" s="641"/>
      <c r="E73" s="642"/>
      <c r="F73" s="643">
        <f>106.2+1237.05+46.8+809.59+942.39+746.1+330.87+1031.86+555.93</f>
        <v>5806.79</v>
      </c>
      <c r="G73" s="644" t="s">
        <v>25783</v>
      </c>
      <c r="H73" s="645" t="s">
        <v>25781</v>
      </c>
    </row>
    <row r="74" spans="1:9" s="646" customFormat="1" ht="187.5" x14ac:dyDescent="0.35">
      <c r="A74" s="639"/>
      <c r="B74" s="640"/>
      <c r="C74" s="655"/>
      <c r="D74" s="641"/>
      <c r="E74" s="642"/>
      <c r="F74" s="643">
        <f>63.49+612.46+246.93+440.48+711.93+621.41+230.26+484.87+309.55</f>
        <v>3721.38</v>
      </c>
      <c r="G74" s="644" t="s">
        <v>25782</v>
      </c>
      <c r="H74" s="645" t="s">
        <v>25781</v>
      </c>
    </row>
    <row r="75" spans="1:9" s="646" customFormat="1" ht="56.25" x14ac:dyDescent="0.35">
      <c r="A75" s="639" t="str">
        <f>'Planilha - Orla'!A88</f>
        <v>9.3</v>
      </c>
      <c r="B75" s="640" t="str">
        <f>'Planilha - Orla'!C88</f>
        <v>CP-010</v>
      </c>
      <c r="C75" s="655" t="str">
        <f>'Planilha - Orla'!B88</f>
        <v>COMP.</v>
      </c>
      <c r="D75" s="641" t="str">
        <f>'Planilha - Orla'!D88</f>
        <v>Acabamento polido para piso de concreto armado ou laje sobre solo de alta resistência</v>
      </c>
      <c r="E75" s="642" t="str">
        <f>'Planilha - Orla'!E88</f>
        <v>m2</v>
      </c>
      <c r="F75" s="643">
        <f>F72</f>
        <v>9528.17</v>
      </c>
      <c r="G75" s="644" t="s">
        <v>25779</v>
      </c>
      <c r="H75" s="645" t="str">
        <f>H72</f>
        <v>OBS: O valor total de cada quadra é a soma das áreas da calçada e da ciclovia.</v>
      </c>
    </row>
    <row r="76" spans="1:9" s="646" customFormat="1" x14ac:dyDescent="0.35">
      <c r="A76" s="639" t="str">
        <f>'Planilha - Orla'!A89</f>
        <v>9.4</v>
      </c>
      <c r="B76" s="640" t="str">
        <f>'Planilha - Orla'!C89</f>
        <v>DER-RD</v>
      </c>
      <c r="C76" s="655">
        <f>'Planilha - Orla'!B89</f>
        <v>43349</v>
      </c>
      <c r="D76" s="641" t="str">
        <f>'Planilha - Orla'!D89</f>
        <v>Compactação de aterros 100% PI em Vias Urbanas</v>
      </c>
      <c r="E76" s="642" t="str">
        <f>'Planilha - Orla'!E89</f>
        <v>m3</v>
      </c>
      <c r="F76" s="643">
        <f>F72*0.2</f>
        <v>1905.63</v>
      </c>
      <c r="G76" s="644" t="s">
        <v>25780</v>
      </c>
      <c r="H76" s="645"/>
    </row>
    <row r="77" spans="1:9" s="646" customFormat="1" ht="56.25" x14ac:dyDescent="0.35">
      <c r="A77" s="639" t="str">
        <f>'Planilha - Orla'!A90</f>
        <v>9.5</v>
      </c>
      <c r="B77" s="640" t="str">
        <f>'Planilha - Orla'!C90</f>
        <v>DER-RD</v>
      </c>
      <c r="C77" s="655">
        <f>'Planilha - Orla'!B90</f>
        <v>42482</v>
      </c>
      <c r="D77" s="641" t="str">
        <f>'Planilha - Orla'!D90</f>
        <v>Sub-base de brita graduada, inclusive fornecimento e transporte da brita em Vias Urbanas</v>
      </c>
      <c r="E77" s="642" t="str">
        <f>'Planilha - Orla'!E90</f>
        <v>m3</v>
      </c>
      <c r="F77" s="643">
        <f>(2219.04*0.2)+(7119.02*0.1)</f>
        <v>1155.71</v>
      </c>
      <c r="G77" s="644" t="s">
        <v>25799</v>
      </c>
      <c r="H77" s="645"/>
    </row>
    <row r="78" spans="1:9" s="646" customFormat="1" ht="37.5" x14ac:dyDescent="0.35">
      <c r="A78" s="639" t="str">
        <f>'Planilha - Orla'!A91</f>
        <v>9.6</v>
      </c>
      <c r="B78" s="640" t="str">
        <f>'Planilha - Orla'!C91</f>
        <v>DER-ED</v>
      </c>
      <c r="C78" s="655" t="str">
        <f>'Planilha - Orla'!B91</f>
        <v>040322</v>
      </c>
      <c r="D78" s="641" t="str">
        <f>'Planilha - Orla'!D91</f>
        <v>Fornecimento, preparo e aplicação de concreto Fck=20 MPa (brita 1 e 2) - (5% de perdas já incluído no custo)</v>
      </c>
      <c r="E78" s="642" t="str">
        <f>'Planilha - Orla'!E91</f>
        <v>m3</v>
      </c>
      <c r="F78" s="643">
        <f>(0.09+0.09+0.045)*1220</f>
        <v>274.5</v>
      </c>
      <c r="G78" s="644" t="s">
        <v>25665</v>
      </c>
      <c r="H78" s="645" t="s">
        <v>25666</v>
      </c>
    </row>
    <row r="79" spans="1:9" s="646" customFormat="1" ht="37.5" x14ac:dyDescent="0.35">
      <c r="A79" s="639" t="str">
        <f>'Planilha - Orla'!A92</f>
        <v>9.7</v>
      </c>
      <c r="B79" s="640" t="str">
        <f>'Planilha - Orla'!C92</f>
        <v>DER-ED</v>
      </c>
      <c r="C79" s="655" t="str">
        <f>'Planilha - Orla'!B92</f>
        <v>040333</v>
      </c>
      <c r="D79" s="641" t="str">
        <f>'Planilha - Orla'!D92</f>
        <v>Fornecimento, dobragem e colocação em fôrma, de armadura CA-60 B fina, diâmetro de 4.0 a 7.0mm</v>
      </c>
      <c r="E79" s="642" t="str">
        <f>'Planilha - Orla'!E92</f>
        <v>kg</v>
      </c>
      <c r="F79" s="643">
        <f>(0.024+0.024+0.012)*1220</f>
        <v>73.2</v>
      </c>
      <c r="G79" s="644" t="s">
        <v>25665</v>
      </c>
      <c r="H79" s="645" t="s">
        <v>25666</v>
      </c>
    </row>
    <row r="80" spans="1:9" s="646" customFormat="1" ht="37.5" x14ac:dyDescent="0.35">
      <c r="A80" s="639" t="str">
        <f>'Planilha - Orla'!A93</f>
        <v>9.8</v>
      </c>
      <c r="B80" s="640" t="str">
        <f>'Planilha - Orla'!C93</f>
        <v>DER-ED</v>
      </c>
      <c r="C80" s="655" t="str">
        <f>'Planilha - Orla'!B93</f>
        <v>040328</v>
      </c>
      <c r="D80" s="641" t="str">
        <f>'Planilha - Orla'!D93</f>
        <v>Fornecimento, dobragem e colocação em fôrma, de armadura CA-50 A média, diâmetro de 6.3 a 10.0 mm</v>
      </c>
      <c r="E80" s="642" t="str">
        <f>'Planilha - Orla'!E93</f>
        <v>kg</v>
      </c>
      <c r="F80" s="643">
        <f>(3.2+3.2+1.6)*1220</f>
        <v>9760</v>
      </c>
      <c r="G80" s="644" t="s">
        <v>25665</v>
      </c>
      <c r="H80" s="645" t="s">
        <v>25666</v>
      </c>
    </row>
    <row r="81" spans="1:8" s="617" customFormat="1" x14ac:dyDescent="0.35">
      <c r="A81" s="619">
        <f>'Planilha - Orla'!A97</f>
        <v>10</v>
      </c>
      <c r="B81" s="620"/>
      <c r="C81" s="621"/>
      <c r="D81" s="622" t="str">
        <f>'Planilha - Orla'!D97</f>
        <v>INSTALAÇÃO ELÉTRICA</v>
      </c>
      <c r="E81" s="623"/>
      <c r="F81" s="624"/>
      <c r="G81" s="625"/>
      <c r="H81" s="626"/>
    </row>
    <row r="82" spans="1:8" s="646" customFormat="1" ht="37.5" x14ac:dyDescent="0.35">
      <c r="A82" s="639" t="str">
        <f>'Planilha - Orla'!A98</f>
        <v>10.1</v>
      </c>
      <c r="B82" s="640" t="str">
        <f>'Planilha - Orla'!C98</f>
        <v>CP-012</v>
      </c>
      <c r="C82" s="655" t="str">
        <f>'Planilha - Orla'!B98</f>
        <v>COMP.</v>
      </c>
      <c r="D82" s="641" t="str">
        <f>'Planilha - Orla'!D98</f>
        <v>Caixa de passagem de concreto armado de 0,40 x 0,040 x 0,70m</v>
      </c>
      <c r="E82" s="642" t="str">
        <f>'Planilha - Orla'!E98</f>
        <v>und</v>
      </c>
      <c r="F82" s="643">
        <v>173</v>
      </c>
      <c r="G82" s="644"/>
      <c r="H82" s="645" t="s">
        <v>24910</v>
      </c>
    </row>
    <row r="83" spans="1:8" s="646" customFormat="1" ht="37.5" x14ac:dyDescent="0.35">
      <c r="A83" s="639" t="str">
        <f>'Planilha - Orla'!A99</f>
        <v>10.2</v>
      </c>
      <c r="B83" s="640" t="str">
        <f>'Planilha - Orla'!C99</f>
        <v>CP-036</v>
      </c>
      <c r="C83" s="655" t="str">
        <f>'Planilha - Orla'!B99</f>
        <v>COMP.</v>
      </c>
      <c r="D83" s="641" t="str">
        <f>'Planilha - Orla'!D99</f>
        <v>Eletroduto de PVC flexível roscável, diâm. 4" (110mm), inclusive conexões</v>
      </c>
      <c r="E83" s="642" t="str">
        <f>'Planilha - Orla'!E99</f>
        <v>m</v>
      </c>
      <c r="F83" s="643">
        <f>9+2480.43</f>
        <v>2489.4299999999998</v>
      </c>
      <c r="G83" s="644" t="s">
        <v>25648</v>
      </c>
      <c r="H83" s="645" t="s">
        <v>24910</v>
      </c>
    </row>
    <row r="84" spans="1:8" s="646" customFormat="1" x14ac:dyDescent="0.35">
      <c r="A84" s="639" t="str">
        <f>'Planilha - Orla'!A100</f>
        <v>10.3</v>
      </c>
      <c r="B84" s="640" t="str">
        <f>'Planilha - Orla'!C100</f>
        <v>CP-013</v>
      </c>
      <c r="C84" s="655" t="str">
        <f>'Planilha - Orla'!B100</f>
        <v>COMP.</v>
      </c>
      <c r="D84" s="641" t="str">
        <f>'Planilha - Orla'!D100</f>
        <v>Luminária Solar UFO 300W</v>
      </c>
      <c r="E84" s="642" t="str">
        <f>'Planilha - Orla'!E100</f>
        <v>und</v>
      </c>
      <c r="F84" s="643">
        <v>161</v>
      </c>
      <c r="G84" s="644"/>
      <c r="H84" s="645" t="s">
        <v>24910</v>
      </c>
    </row>
    <row r="85" spans="1:8" s="646" customFormat="1" ht="75" x14ac:dyDescent="0.35">
      <c r="A85" s="639" t="str">
        <f>'Planilha - Orla'!A101</f>
        <v>10.4</v>
      </c>
      <c r="B85" s="640" t="str">
        <f>'Planilha - Orla'!C101</f>
        <v>DER-ED</v>
      </c>
      <c r="C85" s="655" t="str">
        <f>'Planilha - Orla'!B101</f>
        <v>150315</v>
      </c>
      <c r="D85" s="641" t="str">
        <f>'Planilha - Orla'!D101</f>
        <v>Quadro distrib. energia, embutido ou semi embutido, capac. p/ 34 disj. DIN, c/barram trif. 150A barra. neutro e terra, fab. em chapa de aço 12 USG com porta, espelho, trinco com fechad ch yale, Ref. QDETG II-34DIN-CEMAR ou equiv.</v>
      </c>
      <c r="E85" s="642" t="str">
        <f>'Planilha - Orla'!E101</f>
        <v>und</v>
      </c>
      <c r="F85" s="643">
        <v>6</v>
      </c>
      <c r="G85" s="644"/>
      <c r="H85" s="645" t="s">
        <v>24910</v>
      </c>
    </row>
    <row r="86" spans="1:8" s="646" customFormat="1" ht="37.5" x14ac:dyDescent="0.35">
      <c r="A86" s="639" t="str">
        <f>'Planilha - Orla'!A102</f>
        <v>10.5</v>
      </c>
      <c r="B86" s="640" t="str">
        <f>'Planilha - Orla'!C102</f>
        <v>CP-014</v>
      </c>
      <c r="C86" s="655" t="str">
        <f>'Planilha - Orla'!B102</f>
        <v>COMP.</v>
      </c>
      <c r="D86" s="641" t="str">
        <f>'Planilha - Orla'!D102</f>
        <v>Relé Fotoelétrico para comando de iluminação externa 1000 W - fornecimento e instalação</v>
      </c>
      <c r="E86" s="642" t="str">
        <f>'Planilha - Orla'!E102</f>
        <v>und</v>
      </c>
      <c r="F86" s="643">
        <v>6</v>
      </c>
      <c r="G86" s="644"/>
      <c r="H86" s="645" t="s">
        <v>24910</v>
      </c>
    </row>
    <row r="87" spans="1:8" s="646" customFormat="1" ht="37.5" x14ac:dyDescent="0.35">
      <c r="A87" s="639" t="str">
        <f>'Planilha - Orla'!A103</f>
        <v>10.6</v>
      </c>
      <c r="B87" s="640" t="str">
        <f>'Planilha - Orla'!C103</f>
        <v>CP-015</v>
      </c>
      <c r="C87" s="655" t="str">
        <f>'Planilha - Orla'!B103</f>
        <v>COMP.</v>
      </c>
      <c r="D87" s="641" t="str">
        <f>'Planilha - Orla'!D103</f>
        <v>Disjuntor a Seco 1 Polo, 25A, Curva B - fornecimento e instalação</v>
      </c>
      <c r="E87" s="642" t="str">
        <f>'Planilha - Orla'!E103</f>
        <v>und</v>
      </c>
      <c r="F87" s="643">
        <v>5</v>
      </c>
      <c r="G87" s="644"/>
      <c r="H87" s="645" t="s">
        <v>24910</v>
      </c>
    </row>
    <row r="88" spans="1:8" s="646" customFormat="1" ht="37.5" x14ac:dyDescent="0.35">
      <c r="A88" s="639" t="str">
        <f>'Planilha - Orla'!A104</f>
        <v>10.7</v>
      </c>
      <c r="B88" s="640" t="str">
        <f>'Planilha - Orla'!C104</f>
        <v>CP-016</v>
      </c>
      <c r="C88" s="655" t="str">
        <f>'Planilha - Orla'!B104</f>
        <v>COMP.</v>
      </c>
      <c r="D88" s="641" t="str">
        <f>'Planilha - Orla'!D104</f>
        <v>Disjuntor a Seco 1 Polo, 80A, Curva C - fornecimento e instalação</v>
      </c>
      <c r="E88" s="642" t="str">
        <f>'Planilha - Orla'!E104</f>
        <v>und</v>
      </c>
      <c r="F88" s="643">
        <v>3</v>
      </c>
      <c r="G88" s="644"/>
      <c r="H88" s="645" t="s">
        <v>24910</v>
      </c>
    </row>
    <row r="89" spans="1:8" s="646" customFormat="1" ht="37.5" x14ac:dyDescent="0.35">
      <c r="A89" s="639" t="str">
        <f>'Planilha - Orla'!A105</f>
        <v>10.8</v>
      </c>
      <c r="B89" s="640" t="str">
        <f>'Planilha - Orla'!C105</f>
        <v>CP-017</v>
      </c>
      <c r="C89" s="655" t="str">
        <f>'Planilha - Orla'!B105</f>
        <v>COMP.</v>
      </c>
      <c r="D89" s="641" t="str">
        <f>'Planilha - Orla'!D105</f>
        <v>Disjuntor a Seco 1 Polo, 20A, Curva B - fornecimento e instalação</v>
      </c>
      <c r="E89" s="642" t="str">
        <f>'Planilha - Orla'!E105</f>
        <v>und</v>
      </c>
      <c r="F89" s="643">
        <v>16</v>
      </c>
      <c r="G89" s="644"/>
      <c r="H89" s="645" t="s">
        <v>24910</v>
      </c>
    </row>
    <row r="90" spans="1:8" s="646" customFormat="1" ht="37.5" x14ac:dyDescent="0.35">
      <c r="A90" s="639" t="str">
        <f>'Planilha - Orla'!A106</f>
        <v>10.9</v>
      </c>
      <c r="B90" s="640" t="str">
        <f>'Planilha - Orla'!C106</f>
        <v>CP-018</v>
      </c>
      <c r="C90" s="655" t="str">
        <f>'Planilha - Orla'!B106</f>
        <v>COMP.</v>
      </c>
      <c r="D90" s="641" t="str">
        <f>'Planilha - Orla'!D106</f>
        <v>Disjuntor a Seco 1 Polo, 16A, Curva B - fornecimento e instalação</v>
      </c>
      <c r="E90" s="642" t="str">
        <f>'Planilha - Orla'!E106</f>
        <v>und</v>
      </c>
      <c r="F90" s="643">
        <v>3</v>
      </c>
      <c r="G90" s="644"/>
      <c r="H90" s="645" t="s">
        <v>24910</v>
      </c>
    </row>
    <row r="91" spans="1:8" s="646" customFormat="1" ht="37.5" x14ac:dyDescent="0.35">
      <c r="A91" s="639" t="str">
        <f>'Planilha - Orla'!A107</f>
        <v>10.10</v>
      </c>
      <c r="B91" s="640" t="str">
        <f>'Planilha - Orla'!C107</f>
        <v>CP-019</v>
      </c>
      <c r="C91" s="655" t="str">
        <f>'Planilha - Orla'!B107</f>
        <v>COMP.</v>
      </c>
      <c r="D91" s="641" t="str">
        <f>'Planilha - Orla'!D107</f>
        <v>Disjuntor a Seco 1 Polo, 63A, Curva C - fornecimento e instalação</v>
      </c>
      <c r="E91" s="642" t="str">
        <f>'Planilha - Orla'!E107</f>
        <v>und</v>
      </c>
      <c r="F91" s="643">
        <v>1</v>
      </c>
      <c r="G91" s="644"/>
      <c r="H91" s="645" t="s">
        <v>24910</v>
      </c>
    </row>
    <row r="92" spans="1:8" s="646" customFormat="1" ht="37.5" x14ac:dyDescent="0.35">
      <c r="A92" s="639" t="str">
        <f>'Planilha - Orla'!A108</f>
        <v>10.11</v>
      </c>
      <c r="B92" s="640" t="str">
        <f>'Planilha - Orla'!C108</f>
        <v>CP-020</v>
      </c>
      <c r="C92" s="655" t="str">
        <f>'Planilha - Orla'!B108</f>
        <v>COMP.</v>
      </c>
      <c r="D92" s="641" t="str">
        <f>'Planilha - Orla'!D108</f>
        <v>Disjuntor a Seco 1 Polo, 70A, Curva C - fornecimento e instalação</v>
      </c>
      <c r="E92" s="642" t="str">
        <f>'Planilha - Orla'!E108</f>
        <v>und</v>
      </c>
      <c r="F92" s="643">
        <v>2</v>
      </c>
      <c r="G92" s="644"/>
      <c r="H92" s="645" t="s">
        <v>24910</v>
      </c>
    </row>
    <row r="93" spans="1:8" s="646" customFormat="1" ht="37.5" x14ac:dyDescent="0.35">
      <c r="A93" s="639" t="str">
        <f>'Planilha - Orla'!A109</f>
        <v>10.12</v>
      </c>
      <c r="B93" s="640" t="str">
        <f>'Planilha - Orla'!C109</f>
        <v>DER-ED</v>
      </c>
      <c r="C93" s="655" t="str">
        <f>'Planilha - Orla'!B109</f>
        <v>151402</v>
      </c>
      <c r="D93" s="641" t="str">
        <f>'Planilha - Orla'!D109</f>
        <v>Fio de cobre termoplástico, com isolamento para 750V, seção de 2.5 mm2</v>
      </c>
      <c r="E93" s="642" t="str">
        <f>'Planilha - Orla'!E109</f>
        <v>m</v>
      </c>
      <c r="F93" s="643">
        <v>2510.44</v>
      </c>
      <c r="G93" s="644" t="s">
        <v>24881</v>
      </c>
      <c r="H93" s="645" t="s">
        <v>24910</v>
      </c>
    </row>
    <row r="94" spans="1:8" s="646" customFormat="1" ht="37.5" x14ac:dyDescent="0.35">
      <c r="A94" s="639" t="str">
        <f>'Planilha - Orla'!A110</f>
        <v>10.13</v>
      </c>
      <c r="B94" s="640" t="str">
        <f>'Planilha - Orla'!C110</f>
        <v>DER-ED</v>
      </c>
      <c r="C94" s="655" t="str">
        <f>'Planilha - Orla'!B110</f>
        <v>151403</v>
      </c>
      <c r="D94" s="641" t="str">
        <f>'Planilha - Orla'!D110</f>
        <v>Fio ou cabo de cobre termoplástico, com isolamento para 750V, seção de 4.0 mm2</v>
      </c>
      <c r="E94" s="642" t="str">
        <f>'Planilha - Orla'!E110</f>
        <v>m</v>
      </c>
      <c r="F94" s="643">
        <f>57.38+57.38</f>
        <v>114.76</v>
      </c>
      <c r="G94" s="644" t="s">
        <v>25649</v>
      </c>
      <c r="H94" s="645" t="s">
        <v>24910</v>
      </c>
    </row>
    <row r="95" spans="1:8" s="646" customFormat="1" ht="37.5" x14ac:dyDescent="0.35">
      <c r="A95" s="639" t="str">
        <f>'Planilha - Orla'!A111</f>
        <v>10.14</v>
      </c>
      <c r="B95" s="640" t="str">
        <f>'Planilha - Orla'!C111</f>
        <v>DER-ED</v>
      </c>
      <c r="C95" s="655" t="str">
        <f>'Planilha - Orla'!B111</f>
        <v>151404</v>
      </c>
      <c r="D95" s="641" t="str">
        <f>'Planilha - Orla'!D111</f>
        <v>Fio ou cabo de cobre termoplástico, com isolamento para 750V, seção de 6.0 mm2</v>
      </c>
      <c r="E95" s="642" t="str">
        <f>'Planilha - Orla'!E111</f>
        <v>m</v>
      </c>
      <c r="F95" s="643">
        <f>470.42+541.89</f>
        <v>1012.31</v>
      </c>
      <c r="G95" s="644" t="s">
        <v>25650</v>
      </c>
      <c r="H95" s="645" t="s">
        <v>24910</v>
      </c>
    </row>
    <row r="96" spans="1:8" s="646" customFormat="1" ht="37.5" x14ac:dyDescent="0.35">
      <c r="A96" s="639" t="str">
        <f>'Planilha - Orla'!A112</f>
        <v>10.15</v>
      </c>
      <c r="B96" s="640" t="str">
        <f>'Planilha - Orla'!C112</f>
        <v>DER-ED</v>
      </c>
      <c r="C96" s="655" t="str">
        <f>'Planilha - Orla'!B112</f>
        <v>151405</v>
      </c>
      <c r="D96" s="641" t="str">
        <f>'Planilha - Orla'!D112</f>
        <v>Fio ou cabo de cobre termoplástico, com isolamento para 750V, seção de 10.0 mm2</v>
      </c>
      <c r="E96" s="642" t="str">
        <f>'Planilha - Orla'!E112</f>
        <v>m</v>
      </c>
      <c r="F96" s="643">
        <f>1444.52+1513.03</f>
        <v>2957.55</v>
      </c>
      <c r="G96" s="644" t="s">
        <v>25651</v>
      </c>
      <c r="H96" s="645" t="s">
        <v>24910</v>
      </c>
    </row>
    <row r="97" spans="1:8" s="646" customFormat="1" ht="37.5" x14ac:dyDescent="0.35">
      <c r="A97" s="639" t="str">
        <f>'Planilha - Orla'!A113</f>
        <v>10.16</v>
      </c>
      <c r="B97" s="640" t="str">
        <f>'Planilha - Orla'!C113</f>
        <v>DER-ED</v>
      </c>
      <c r="C97" s="655" t="str">
        <f>'Planilha - Orla'!B113</f>
        <v>151406</v>
      </c>
      <c r="D97" s="641" t="str">
        <f>'Planilha - Orla'!D113</f>
        <v>Fio ou cabo de cobre termoplástico, com isolamento para 750V, seção de 16.0 mm2</v>
      </c>
      <c r="E97" s="642" t="str">
        <f>'Planilha - Orla'!E113</f>
        <v>m</v>
      </c>
      <c r="F97" s="643">
        <f>836.77+831.16</f>
        <v>1667.93</v>
      </c>
      <c r="G97" s="644" t="s">
        <v>25652</v>
      </c>
      <c r="H97" s="645" t="s">
        <v>24910</v>
      </c>
    </row>
    <row r="98" spans="1:8" s="646" customFormat="1" ht="75" x14ac:dyDescent="0.35">
      <c r="A98" s="639" t="str">
        <f>'Planilha - Orla'!A114</f>
        <v>10.17</v>
      </c>
      <c r="B98" s="640" t="str">
        <f>'Planilha - Orla'!C114</f>
        <v>DER-ED</v>
      </c>
      <c r="C98" s="655" t="str">
        <f>'Planilha - Orla'!B114</f>
        <v>150702</v>
      </c>
      <c r="D98" s="641" t="str">
        <f>'Planilha - Orla'!D114</f>
        <v>Envelopamento de concreto simples com consumo mínimo de cimento de 250kg/m3, inclusive escavação para profundidade mínima do eletroduto de 50 cm, de 25 x 30 cm, para 2 eletrodutos</v>
      </c>
      <c r="E98" s="642" t="str">
        <f>'Planilha - Orla'!E114</f>
        <v>m</v>
      </c>
      <c r="F98" s="643">
        <v>2480.4299999999998</v>
      </c>
      <c r="G98" s="644"/>
      <c r="H98" s="645" t="s">
        <v>24910</v>
      </c>
    </row>
    <row r="99" spans="1:8" s="646" customFormat="1" ht="56.25" x14ac:dyDescent="0.35">
      <c r="A99" s="639" t="str">
        <f>'Planilha - Orla'!A115</f>
        <v>10.18</v>
      </c>
      <c r="B99" s="640" t="str">
        <f>'Planilha - Orla'!C115</f>
        <v>CP-026</v>
      </c>
      <c r="C99" s="655" t="str">
        <f>'Planilha - Orla'!B115</f>
        <v>COMP.</v>
      </c>
      <c r="D99" s="641" t="str">
        <f>'Planilha - Orla'!D115</f>
        <v>POSTE CONICO CONTINUO EM ACO GALVANIZADO, RETO, FLANGEADO, H = 3 M, DIAMETRO  INFERIOR = *95* MM, SEM LUMINÁRIA - FORNECIMENTO, INSTALAÇÃO E PINTURA</v>
      </c>
      <c r="E99" s="642" t="str">
        <f>'Planilha - Orla'!E115</f>
        <v>und</v>
      </c>
      <c r="F99" s="643">
        <v>161</v>
      </c>
      <c r="G99" s="644"/>
      <c r="H99" s="645" t="s">
        <v>24910</v>
      </c>
    </row>
    <row r="100" spans="1:8" s="646" customFormat="1" ht="37.5" x14ac:dyDescent="0.35">
      <c r="A100" s="639"/>
      <c r="B100" s="640"/>
      <c r="C100" s="655" t="str">
        <f>'Planilha - Orla'!B116</f>
        <v>COMP.</v>
      </c>
      <c r="D100" s="641" t="str">
        <f>'Planilha - Orla'!D116</f>
        <v>Luva para eletroduto, pvc, roscável, dn 110mm (4'') - fornecimento e instalação</v>
      </c>
      <c r="E100" s="642" t="str">
        <f>'Planilha - Orla'!E116</f>
        <v>und</v>
      </c>
      <c r="F100" s="643">
        <v>12</v>
      </c>
      <c r="G100" s="644"/>
      <c r="H100" s="645"/>
    </row>
    <row r="101" spans="1:8" s="646" customFormat="1" ht="37.5" x14ac:dyDescent="0.35">
      <c r="A101" s="639"/>
      <c r="B101" s="640"/>
      <c r="C101" s="655" t="str">
        <f>'Planilha - Orla'!B117</f>
        <v>COMP.</v>
      </c>
      <c r="D101" s="641" t="str">
        <f>'Planilha - Orla'!D117</f>
        <v>Curva 90 graus para eletroduto, pvc, roscável, dn 110 mm (4'') - fornecimento e instalação</v>
      </c>
      <c r="E101" s="642" t="str">
        <f>'Planilha - Orla'!E117</f>
        <v>und</v>
      </c>
      <c r="F101" s="643">
        <v>6</v>
      </c>
      <c r="G101" s="644"/>
      <c r="H101" s="645"/>
    </row>
    <row r="102" spans="1:8" s="663" customFormat="1" x14ac:dyDescent="0.35">
      <c r="A102" s="647">
        <f>'Planilha - Orla'!A120</f>
        <v>11</v>
      </c>
      <c r="B102" s="657"/>
      <c r="C102" s="658"/>
      <c r="D102" s="649" t="str">
        <f>'Planilha - Orla'!D120</f>
        <v>INSTALAÇÃO HIDRÁULICA</v>
      </c>
      <c r="E102" s="659"/>
      <c r="F102" s="660"/>
      <c r="G102" s="661"/>
      <c r="H102" s="662"/>
    </row>
    <row r="103" spans="1:8" s="646" customFormat="1" ht="56.25" x14ac:dyDescent="0.35">
      <c r="A103" s="639" t="str">
        <f>'Planilha - Orla'!A121</f>
        <v>11.1</v>
      </c>
      <c r="B103" s="640" t="str">
        <f>'Planilha - Orla'!C121</f>
        <v>DER-RD</v>
      </c>
      <c r="C103" s="655">
        <f>'Planilha - Orla'!B121</f>
        <v>43067</v>
      </c>
      <c r="D103" s="641" t="str">
        <f>'Planilha - Orla'!D121</f>
        <v>Religação de rede de água em PVC DN 75 mm, inclusive conexões, em Vias Urbanas</v>
      </c>
      <c r="E103" s="642" t="str">
        <f>'Planilha - Orla'!E121</f>
        <v>m</v>
      </c>
      <c r="F103" s="643">
        <v>285</v>
      </c>
      <c r="G103" s="644" t="s">
        <v>24966</v>
      </c>
      <c r="H103" s="645"/>
    </row>
    <row r="104" spans="1:8" s="646" customFormat="1" ht="56.25" x14ac:dyDescent="0.35">
      <c r="A104" s="639" t="str">
        <f>'Planilha - Orla'!A122</f>
        <v>11.2</v>
      </c>
      <c r="B104" s="640" t="str">
        <f>'Planilha - Orla'!C122</f>
        <v>DER-RD</v>
      </c>
      <c r="C104" s="655">
        <f>'Planilha - Orla'!B122</f>
        <v>43068</v>
      </c>
      <c r="D104" s="641" t="str">
        <f>'Planilha - Orla'!D122</f>
        <v>Remanejamento de ligação e religação de redes de esgoto, em Vias Urbanas</v>
      </c>
      <c r="E104" s="642" t="str">
        <f>'Planilha - Orla'!E122</f>
        <v>m</v>
      </c>
      <c r="F104" s="643">
        <v>285</v>
      </c>
      <c r="G104" s="644" t="s">
        <v>24966</v>
      </c>
      <c r="H104" s="645"/>
    </row>
    <row r="105" spans="1:8" s="646" customFormat="1" ht="75" x14ac:dyDescent="0.35">
      <c r="A105" s="639" t="str">
        <f>'Planilha - Orla'!A123</f>
        <v>11.3</v>
      </c>
      <c r="B105" s="640" t="str">
        <f>'Planilha - Orla'!C123</f>
        <v>DER-RD</v>
      </c>
      <c r="C105" s="655">
        <f>'Planilha - Orla'!B123</f>
        <v>43060</v>
      </c>
      <c r="D105" s="641" t="str">
        <f>'Planilha - Orla'!D123</f>
        <v>Recuperação de poço de visita inclusive fornecimento tampão F.F.A.P., em Vias Urbanas</v>
      </c>
      <c r="E105" s="642" t="str">
        <f>'Planilha - Orla'!E123</f>
        <v>ud</v>
      </c>
      <c r="F105" s="643">
        <f>3+1+3+4+4+2+5+3</f>
        <v>25</v>
      </c>
      <c r="G105" s="644" t="s">
        <v>25031</v>
      </c>
      <c r="H105" s="645" t="s">
        <v>25727</v>
      </c>
    </row>
    <row r="106" spans="1:8" s="663" customFormat="1" x14ac:dyDescent="0.35">
      <c r="A106" s="647">
        <f>'Planilha - Orla'!A127</f>
        <v>12</v>
      </c>
      <c r="B106" s="657"/>
      <c r="C106" s="658"/>
      <c r="D106" s="649" t="str">
        <f>'Planilha - Orla'!D127</f>
        <v>EQUIPAMENTOS URBANOS</v>
      </c>
      <c r="E106" s="659"/>
      <c r="F106" s="660"/>
      <c r="G106" s="661"/>
      <c r="H106" s="662"/>
    </row>
    <row r="107" spans="1:8" s="646" customFormat="1" ht="37.5" x14ac:dyDescent="0.35">
      <c r="A107" s="639" t="str">
        <f>'Planilha - Orla'!A128</f>
        <v>12.1</v>
      </c>
      <c r="B107" s="640" t="str">
        <f>'Planilha - Orla'!C128</f>
        <v>CP-021</v>
      </c>
      <c r="C107" s="655" t="str">
        <f>'Planilha - Orla'!B128</f>
        <v>COMP.</v>
      </c>
      <c r="D107" s="664" t="str">
        <f>'Planilha - Orla'!D128</f>
        <v>Bicicletário de Chão para 05 bicicletas AL-43, fixado no chão. Fabricante: Altmayer Sport ou equivalente</v>
      </c>
      <c r="E107" s="642" t="str">
        <f>'Planilha - Orla'!E128</f>
        <v>und</v>
      </c>
      <c r="F107" s="643">
        <v>14</v>
      </c>
      <c r="G107" s="644"/>
      <c r="H107" s="645"/>
    </row>
    <row r="108" spans="1:8" s="646" customFormat="1" x14ac:dyDescent="0.35">
      <c r="A108" s="639" t="str">
        <f>'Planilha - Orla'!A129</f>
        <v>11.2</v>
      </c>
      <c r="B108" s="640" t="str">
        <f>'Planilha - Orla'!C129</f>
        <v>CP-022</v>
      </c>
      <c r="C108" s="655" t="str">
        <f>'Planilha - Orla'!B129</f>
        <v>COMP.</v>
      </c>
      <c r="D108" s="664" t="str">
        <f>'Planilha - Orla'!D129</f>
        <v>Lixeira com tampa aro aço INOX 430 dupla urbana</v>
      </c>
      <c r="E108" s="642" t="str">
        <f>'Planilha - Orla'!E129</f>
        <v>und</v>
      </c>
      <c r="F108" s="643">
        <v>45</v>
      </c>
      <c r="G108" s="644"/>
      <c r="H108" s="645"/>
    </row>
    <row r="109" spans="1:8" s="646" customFormat="1" ht="37.5" x14ac:dyDescent="0.35">
      <c r="A109" s="639" t="str">
        <f>'Planilha - Orla'!A130</f>
        <v>12.3</v>
      </c>
      <c r="B109" s="640" t="str">
        <f>'Planilha - Orla'!C130</f>
        <v>CP-027</v>
      </c>
      <c r="C109" s="655" t="str">
        <f>'Planilha - Orla'!B130</f>
        <v>COMP.</v>
      </c>
      <c r="D109" s="664" t="str">
        <f>'Planilha - Orla'!D130</f>
        <v>Balizador de concreto nas dimensões 0,45x0,45x1,05 (L x C x H)</v>
      </c>
      <c r="E109" s="642" t="str">
        <f>'Planilha - Orla'!E130</f>
        <v>und</v>
      </c>
      <c r="F109" s="643">
        <v>985</v>
      </c>
      <c r="G109" s="644"/>
      <c r="H109" s="645" t="s">
        <v>25720</v>
      </c>
    </row>
    <row r="110" spans="1:8" s="646" customFormat="1" ht="131.25" x14ac:dyDescent="0.35">
      <c r="A110" s="639" t="str">
        <f>'Planilha - Orla'!A131</f>
        <v>12.4</v>
      </c>
      <c r="B110" s="640" t="str">
        <f>'Planilha - Orla'!C131</f>
        <v>CP-028</v>
      </c>
      <c r="C110" s="655" t="str">
        <f>'Planilha - Orla'!B131</f>
        <v>COMP.</v>
      </c>
      <c r="D110" s="664" t="str">
        <f>'Planilha - Orla'!D131</f>
        <v>Coletor com carga traseira de lixo de 1000 litros - (container de lixo) C-1000 é fabricado com polietileno de alta densidade (PEAD) injetado com proteção contra raios UV. Possui rodas com borracha maciça, tampa antí-acúmulo de água e anti-ruído.Capacidade 1000L ;Altura 1340 mm;Largura 1375 mm;Profundidade 1110 mm. Fab.: Contemar Ambiental ou equivalente</v>
      </c>
      <c r="E110" s="642" t="str">
        <f>'Planilha - Orla'!E131</f>
        <v>und</v>
      </c>
      <c r="F110" s="643">
        <v>36</v>
      </c>
      <c r="G110" s="644"/>
      <c r="H110" s="645"/>
    </row>
    <row r="111" spans="1:8" s="663" customFormat="1" x14ac:dyDescent="0.35">
      <c r="A111" s="647">
        <f>'Planilha - Orla'!A135</f>
        <v>13</v>
      </c>
      <c r="B111" s="657"/>
      <c r="C111" s="658"/>
      <c r="D111" s="649" t="str">
        <f>'Planilha - Orla'!D135</f>
        <v>PAISAGISMO</v>
      </c>
      <c r="E111" s="659"/>
      <c r="F111" s="660"/>
      <c r="G111" s="661"/>
      <c r="H111" s="662"/>
    </row>
    <row r="112" spans="1:8" s="646" customFormat="1" ht="37.5" x14ac:dyDescent="0.35">
      <c r="A112" s="639" t="str">
        <f>'Planilha - Orla'!A136</f>
        <v>13.1</v>
      </c>
      <c r="B112" s="640" t="str">
        <f>'Planilha - Orla'!C136</f>
        <v>DER-ED</v>
      </c>
      <c r="C112" s="655" t="str">
        <f>'Planilha - Orla'!B136</f>
        <v>200326</v>
      </c>
      <c r="D112" s="664" t="str">
        <f>'Planilha - Orla'!D136</f>
        <v>Fornecimento e plantio de grama em placas tipo esmeralda, inclusive fornecimento de terra vegetal</v>
      </c>
      <c r="E112" s="642" t="str">
        <f>'Planilha - Orla'!E136</f>
        <v>m2</v>
      </c>
      <c r="F112" s="643">
        <v>3902.31</v>
      </c>
      <c r="G112" s="644" t="s">
        <v>25724</v>
      </c>
      <c r="H112" s="645" t="s">
        <v>24910</v>
      </c>
    </row>
    <row r="113" spans="1:11" s="646" customFormat="1" x14ac:dyDescent="0.35">
      <c r="A113" s="639" t="str">
        <f>'Planilha - Orla'!A137</f>
        <v>13.2</v>
      </c>
      <c r="B113" s="640" t="str">
        <f>'Planilha - Orla'!C137</f>
        <v>DER-ED</v>
      </c>
      <c r="C113" s="655" t="str">
        <f>'Planilha - Orla'!B137</f>
        <v>200307</v>
      </c>
      <c r="D113" s="664" t="str">
        <f>'Planilha - Orla'!D137</f>
        <v>Fornecimento e espalhamento de terra vegetal</v>
      </c>
      <c r="E113" s="642" t="str">
        <f>'Planilha - Orla'!E137</f>
        <v>m3</v>
      </c>
      <c r="F113" s="643">
        <f>F112*0.175</f>
        <v>682.9</v>
      </c>
      <c r="G113" s="644" t="s">
        <v>25725</v>
      </c>
      <c r="H113" s="645"/>
      <c r="I113" s="665"/>
    </row>
    <row r="114" spans="1:11" s="646" customFormat="1" ht="56.25" x14ac:dyDescent="0.35">
      <c r="A114" s="639" t="str">
        <f>'Planilha - Orla'!A138</f>
        <v>13.3</v>
      </c>
      <c r="B114" s="640" t="str">
        <f>'Planilha - Orla'!C138</f>
        <v>CP-038</v>
      </c>
      <c r="C114" s="655" t="str">
        <f>'Planilha - Orla'!B138</f>
        <v>COMP.</v>
      </c>
      <c r="D114" s="664" t="str">
        <f>'Planilha - Orla'!D138</f>
        <v>Colchão drenante de brita 2 inclusive fornecimento, espalhamento, compactação e transporte da brita em Vias Urbanas</v>
      </c>
      <c r="E114" s="642" t="str">
        <f>'Planilha - Orla'!E138</f>
        <v>m3</v>
      </c>
      <c r="F114" s="643">
        <f>F112*0.25</f>
        <v>975.58</v>
      </c>
      <c r="G114" s="644" t="s">
        <v>25726</v>
      </c>
      <c r="H114" s="645"/>
    </row>
    <row r="115" spans="1:11" s="646" customFormat="1" ht="37.5" x14ac:dyDescent="0.35">
      <c r="A115" s="639" t="str">
        <f>'Planilha - Orla'!A139</f>
        <v>13.4</v>
      </c>
      <c r="B115" s="640" t="str">
        <f>'Planilha - Orla'!C139</f>
        <v>DER-RD</v>
      </c>
      <c r="C115" s="655">
        <f>'Planilha - Orla'!B139</f>
        <v>40714</v>
      </c>
      <c r="D115" s="664" t="str">
        <f>'Planilha - Orla'!D139</f>
        <v>Manta Geotêxtil não tecida RT - 16 kn/m, fornecimento e aplicação</v>
      </c>
      <c r="E115" s="642" t="str">
        <f>'Planilha - Orla'!E139</f>
        <v>m2</v>
      </c>
      <c r="F115" s="643">
        <f>4877.89*2</f>
        <v>9755.7800000000007</v>
      </c>
      <c r="G115" s="644" t="s">
        <v>25800</v>
      </c>
      <c r="H115" s="645"/>
    </row>
    <row r="116" spans="1:11" s="646" customFormat="1" ht="187.5" x14ac:dyDescent="0.35">
      <c r="A116" s="639" t="str">
        <f>'Planilha - Orla'!A140</f>
        <v>13.5</v>
      </c>
      <c r="B116" s="640" t="str">
        <f>'Planilha - Orla'!C140</f>
        <v>CP-023</v>
      </c>
      <c r="C116" s="655" t="str">
        <f>'Planilha - Orla'!B140</f>
        <v>COMP.</v>
      </c>
      <c r="D116" s="664" t="str">
        <f>'Planilha - Orla'!D140</f>
        <v>Arborização para paisagismo ( mudas viveiro de espera) com altura maior que 1,50m ) - Sucupira roxa, Canafístula, Oiti da Praia, Biriba Branca, Manduirana, Pata de Vaca, Chuva de Ouro, Angelim da Praia e Coco</v>
      </c>
      <c r="E116" s="642" t="str">
        <f>'Planilha - Orla'!E140</f>
        <v>und</v>
      </c>
      <c r="F116" s="643">
        <f>52+17+42+21+18+46+14+20+113</f>
        <v>343</v>
      </c>
      <c r="G116" s="644" t="s">
        <v>25723</v>
      </c>
      <c r="H116" s="645"/>
      <c r="K116" s="1245"/>
    </row>
    <row r="117" spans="1:11" s="646" customFormat="1" x14ac:dyDescent="0.35">
      <c r="A117" s="639" t="str">
        <f>'Planilha - Orla'!A141</f>
        <v>13.6</v>
      </c>
      <c r="B117" s="640" t="str">
        <f>'Planilha - Orla'!C141</f>
        <v>CP-024</v>
      </c>
      <c r="C117" s="655" t="str">
        <f>'Planilha - Orla'!B141</f>
        <v>COMP.</v>
      </c>
      <c r="D117" s="664" t="str">
        <f>'Planilha - Orla'!D141</f>
        <v>Pau Ferro (Libidibia Ferrea)</v>
      </c>
      <c r="E117" s="642" t="str">
        <f>'Planilha - Orla'!E141</f>
        <v>und</v>
      </c>
      <c r="F117" s="643">
        <v>29</v>
      </c>
      <c r="G117" s="644" t="s">
        <v>25722</v>
      </c>
      <c r="H117" s="645"/>
    </row>
    <row r="118" spans="1:11" s="646" customFormat="1" x14ac:dyDescent="0.35">
      <c r="A118" s="639" t="str">
        <f>'Planilha - Orla'!A142</f>
        <v>13.7</v>
      </c>
      <c r="B118" s="640" t="str">
        <f>'Planilha - Orla'!C142</f>
        <v>CP-025</v>
      </c>
      <c r="C118" s="655" t="str">
        <f>'Planilha - Orla'!B142</f>
        <v>COMP.</v>
      </c>
      <c r="D118" s="664" t="str">
        <f>'Planilha - Orla'!D142</f>
        <v>Quaresmeira (Tibouchina granulosa)</v>
      </c>
      <c r="E118" s="642" t="str">
        <f>'Planilha - Orla'!E142</f>
        <v>und</v>
      </c>
      <c r="F118" s="643">
        <v>46</v>
      </c>
      <c r="G118" s="644" t="s">
        <v>25721</v>
      </c>
      <c r="H118" s="645"/>
    </row>
    <row r="119" spans="1:11" s="646" customFormat="1" x14ac:dyDescent="0.35">
      <c r="A119" s="639" t="str">
        <f>'Planilha - Orla'!A143</f>
        <v>13.8</v>
      </c>
      <c r="B119" s="640" t="str">
        <f>'Planilha - Orla'!C143</f>
        <v>CP-029</v>
      </c>
      <c r="C119" s="655" t="str">
        <f>'Planilha - Orla'!B143</f>
        <v>COMP.</v>
      </c>
      <c r="D119" s="664" t="str">
        <f>'Planilha - Orla'!D143</f>
        <v>Banco de concreto com dimensões 0,45x2,20x1,10 (L x C x H)</v>
      </c>
      <c r="E119" s="642" t="str">
        <f>'Planilha - Orla'!E143</f>
        <v>und</v>
      </c>
      <c r="F119" s="643">
        <v>151</v>
      </c>
      <c r="G119" s="644"/>
      <c r="H119" s="645"/>
    </row>
    <row r="120" spans="1:11" s="646" customFormat="1" x14ac:dyDescent="0.35">
      <c r="A120" s="639" t="str">
        <f>'Planilha - Orla'!A144</f>
        <v>13.9</v>
      </c>
      <c r="B120" s="640" t="str">
        <f>'Planilha - Orla'!C144</f>
        <v>CP-035</v>
      </c>
      <c r="C120" s="655" t="str">
        <f>'Planilha - Orla'!B144</f>
        <v>COMP.</v>
      </c>
      <c r="D120" s="664" t="str">
        <f>'Planilha - Orla'!D144</f>
        <v>Recuperação de reestinga existente</v>
      </c>
      <c r="E120" s="642" t="str">
        <f>'Planilha - Orla'!E144</f>
        <v>m2</v>
      </c>
      <c r="F120" s="643">
        <f>SUM(F121:F123)</f>
        <v>4505.82</v>
      </c>
      <c r="G120" s="644"/>
      <c r="H120" s="645"/>
    </row>
    <row r="121" spans="1:11" s="646" customFormat="1" x14ac:dyDescent="0.35">
      <c r="A121" s="639"/>
      <c r="B121" s="640"/>
      <c r="C121" s="655"/>
      <c r="D121" s="664"/>
      <c r="E121" s="642"/>
      <c r="F121" s="643">
        <v>286.37</v>
      </c>
      <c r="G121" s="644" t="s">
        <v>25672</v>
      </c>
      <c r="H121" s="645"/>
    </row>
    <row r="122" spans="1:11" s="646" customFormat="1" x14ac:dyDescent="0.35">
      <c r="A122" s="639"/>
      <c r="B122" s="640"/>
      <c r="C122" s="655"/>
      <c r="D122" s="664"/>
      <c r="E122" s="642"/>
      <c r="F122" s="643">
        <v>521.94000000000005</v>
      </c>
      <c r="G122" s="644" t="s">
        <v>25673</v>
      </c>
      <c r="H122" s="645"/>
    </row>
    <row r="123" spans="1:11" s="646" customFormat="1" x14ac:dyDescent="0.35">
      <c r="A123" s="639"/>
      <c r="B123" s="640"/>
      <c r="C123" s="655"/>
      <c r="D123" s="664"/>
      <c r="E123" s="642"/>
      <c r="F123" s="643">
        <v>3697.51</v>
      </c>
      <c r="G123" s="644" t="s">
        <v>25674</v>
      </c>
      <c r="H123" s="645"/>
    </row>
    <row r="124" spans="1:11" s="646" customFormat="1" x14ac:dyDescent="0.35">
      <c r="A124" s="639"/>
      <c r="B124" s="640"/>
      <c r="C124" s="655"/>
      <c r="D124" s="664"/>
      <c r="E124" s="642"/>
      <c r="F124" s="643"/>
      <c r="G124" s="644"/>
      <c r="H124" s="645"/>
    </row>
    <row r="125" spans="1:11" s="663" customFormat="1" x14ac:dyDescent="0.35">
      <c r="A125" s="647">
        <f>'Planilha - Orla'!A148</f>
        <v>14</v>
      </c>
      <c r="B125" s="657"/>
      <c r="C125" s="658"/>
      <c r="D125" s="649" t="str">
        <f>'Planilha - Orla'!D148</f>
        <v>SINALIZAÇÃO</v>
      </c>
      <c r="E125" s="659"/>
      <c r="F125" s="660"/>
      <c r="G125" s="661"/>
      <c r="H125" s="662"/>
    </row>
    <row r="126" spans="1:11" s="646" customFormat="1" ht="75" x14ac:dyDescent="0.35">
      <c r="A126" s="639" t="str">
        <f>'Planilha - Orla'!A149</f>
        <v>14.1</v>
      </c>
      <c r="B126" s="640" t="str">
        <f>'Planilha - Orla'!C149</f>
        <v>DER-RD</v>
      </c>
      <c r="C126" s="655">
        <f>'Planilha - Orla'!B149</f>
        <v>40927</v>
      </c>
      <c r="D126" s="664" t="str">
        <f>'Planilha - Orla'!D149</f>
        <v>Sinalização horizontal TMD=600, vida útil 3 anos, taxa=3,0 kg/m² material termoplástico )</v>
      </c>
      <c r="E126" s="642" t="str">
        <f>'Planilha - Orla'!E149</f>
        <v>m2</v>
      </c>
      <c r="F126" s="643">
        <f>((107*20)-(46*20))*0.1*4</f>
        <v>488</v>
      </c>
      <c r="G126" s="644" t="s">
        <v>25707</v>
      </c>
      <c r="H126" s="645" t="s">
        <v>25704</v>
      </c>
    </row>
    <row r="127" spans="1:11" s="646" customFormat="1" ht="37.5" x14ac:dyDescent="0.35">
      <c r="A127" s="639" t="str">
        <f>'Planilha - Orla'!A150</f>
        <v>14.2</v>
      </c>
      <c r="B127" s="640" t="str">
        <f>'Planilha - Orla'!C150</f>
        <v>DER-RD</v>
      </c>
      <c r="C127" s="655">
        <f>'Planilha - Orla'!B150</f>
        <v>42524</v>
      </c>
      <c r="D127" s="664" t="str">
        <f>'Planilha - Orla'!D150</f>
        <v>Pintura de setas e zebrados em material termoplástico - 5 anos ( por extrusão)</v>
      </c>
      <c r="E127" s="642" t="str">
        <f>'Planilha - Orla'!E150</f>
        <v>m2</v>
      </c>
      <c r="F127" s="643">
        <f>(5*0.04)*10*26</f>
        <v>52</v>
      </c>
      <c r="G127" s="644" t="s">
        <v>25706</v>
      </c>
      <c r="H127" s="645" t="s">
        <v>25705</v>
      </c>
    </row>
    <row r="128" spans="1:11" s="646" customFormat="1" x14ac:dyDescent="0.35">
      <c r="A128" s="1247"/>
      <c r="B128" s="1248"/>
      <c r="C128" s="1248"/>
      <c r="D128" s="1248"/>
      <c r="E128" s="1248"/>
      <c r="F128" s="1248"/>
      <c r="G128" s="1248"/>
      <c r="H128" s="1249"/>
    </row>
    <row r="129" spans="1:8" s="646" customFormat="1" x14ac:dyDescent="0.35">
      <c r="A129" s="1250"/>
      <c r="B129" s="1251"/>
      <c r="C129" s="1251"/>
      <c r="D129" s="1251"/>
      <c r="E129" s="1251"/>
      <c r="F129" s="1251"/>
      <c r="G129" s="1251"/>
      <c r="H129" s="1252"/>
    </row>
    <row r="130" spans="1:8" s="646" customFormat="1" x14ac:dyDescent="0.35">
      <c r="A130" s="1250"/>
      <c r="B130" s="1251"/>
      <c r="C130" s="1251"/>
      <c r="D130" s="1251"/>
      <c r="E130" s="1251"/>
      <c r="F130" s="1251"/>
      <c r="G130" s="1251"/>
      <c r="H130" s="1252"/>
    </row>
    <row r="131" spans="1:8" s="646" customFormat="1" x14ac:dyDescent="0.35">
      <c r="A131" s="1250"/>
      <c r="B131" s="1251"/>
      <c r="C131" s="1251"/>
      <c r="D131" s="1251"/>
      <c r="E131" s="1251"/>
      <c r="F131" s="1251"/>
      <c r="G131" s="1251"/>
      <c r="H131" s="1252"/>
    </row>
    <row r="132" spans="1:8" s="646" customFormat="1" x14ac:dyDescent="0.35">
      <c r="A132" s="1250"/>
      <c r="B132" s="1251"/>
      <c r="C132" s="1251"/>
      <c r="D132" s="1251"/>
      <c r="E132" s="1251"/>
      <c r="F132" s="1251"/>
      <c r="G132" s="1251"/>
      <c r="H132" s="1252"/>
    </row>
    <row r="133" spans="1:8" s="646" customFormat="1" x14ac:dyDescent="0.35">
      <c r="A133" s="1250"/>
      <c r="B133" s="1251"/>
      <c r="C133" s="1251"/>
      <c r="D133" s="1251"/>
      <c r="E133" s="1251"/>
      <c r="F133" s="1251"/>
      <c r="G133" s="1251"/>
      <c r="H133" s="1252"/>
    </row>
    <row r="134" spans="1:8" s="646" customFormat="1" x14ac:dyDescent="0.35">
      <c r="A134" s="1250"/>
      <c r="B134" s="1251"/>
      <c r="C134" s="1251"/>
      <c r="D134" s="1251"/>
      <c r="E134" s="1251"/>
      <c r="F134" s="1251"/>
      <c r="G134" s="1251"/>
      <c r="H134" s="1252"/>
    </row>
    <row r="135" spans="1:8" s="646" customFormat="1" x14ac:dyDescent="0.35">
      <c r="A135" s="1250"/>
      <c r="B135" s="1251"/>
      <c r="C135" s="1251"/>
      <c r="D135" s="1251"/>
      <c r="E135" s="1251"/>
      <c r="F135" s="1251"/>
      <c r="G135" s="1251"/>
      <c r="H135" s="1252"/>
    </row>
    <row r="136" spans="1:8" s="646" customFormat="1" x14ac:dyDescent="0.35">
      <c r="A136" s="1250"/>
      <c r="B136" s="1251"/>
      <c r="C136" s="1251"/>
      <c r="D136" s="1251"/>
      <c r="E136" s="1251"/>
      <c r="F136" s="1251"/>
      <c r="G136" s="1251"/>
      <c r="H136" s="1252"/>
    </row>
    <row r="137" spans="1:8" s="646" customFormat="1" x14ac:dyDescent="0.35">
      <c r="A137" s="1250"/>
      <c r="B137" s="1251"/>
      <c r="C137" s="1251"/>
      <c r="D137" s="1251"/>
      <c r="E137" s="1251"/>
      <c r="F137" s="1251"/>
      <c r="G137" s="1251"/>
      <c r="H137" s="1252"/>
    </row>
    <row r="138" spans="1:8" s="646" customFormat="1" x14ac:dyDescent="0.35">
      <c r="A138" s="1250"/>
      <c r="B138" s="1251"/>
      <c r="C138" s="1251"/>
      <c r="D138" s="1251"/>
      <c r="E138" s="1251"/>
      <c r="F138" s="1251"/>
      <c r="G138" s="1251"/>
      <c r="H138" s="1252"/>
    </row>
    <row r="139" spans="1:8" s="646" customFormat="1" x14ac:dyDescent="0.35">
      <c r="A139" s="1250"/>
      <c r="B139" s="1251"/>
      <c r="C139" s="1251"/>
      <c r="D139" s="1251"/>
      <c r="E139" s="1251"/>
      <c r="F139" s="1251"/>
      <c r="G139" s="1251"/>
      <c r="H139" s="1252"/>
    </row>
    <row r="140" spans="1:8" s="646" customFormat="1" x14ac:dyDescent="0.35">
      <c r="A140" s="1253"/>
      <c r="B140" s="1254"/>
      <c r="C140" s="1254"/>
      <c r="D140" s="1254"/>
      <c r="E140" s="1254"/>
      <c r="F140" s="1254"/>
      <c r="G140" s="1254"/>
      <c r="H140" s="1255"/>
    </row>
    <row r="141" spans="1:8" s="646" customFormat="1" x14ac:dyDescent="0.35">
      <c r="A141" s="647">
        <f>'Planilha - Orla'!A154</f>
        <v>15</v>
      </c>
      <c r="B141" s="657"/>
      <c r="C141" s="658"/>
      <c r="D141" s="649" t="str">
        <f>'Planilha - Orla'!D154</f>
        <v>LIMPEZA DE OBRA</v>
      </c>
      <c r="E141" s="659"/>
      <c r="F141" s="660"/>
      <c r="G141" s="661"/>
      <c r="H141" s="662"/>
    </row>
    <row r="142" spans="1:8" s="646" customFormat="1" x14ac:dyDescent="0.35">
      <c r="A142" s="1256" t="str">
        <f>'Planilha - Orla'!A155</f>
        <v>15.1</v>
      </c>
      <c r="B142" s="1256" t="str">
        <f>'Planilha - Orla'!B155</f>
        <v>200402</v>
      </c>
      <c r="C142" s="1256" t="str">
        <f>'Planilha - Orla'!C155</f>
        <v>DER-ED</v>
      </c>
      <c r="D142" s="1256" t="str">
        <f>'Planilha - Orla'!D155</f>
        <v>Limpeza geral de obras (quadras, praças e jardins)</v>
      </c>
      <c r="E142" s="1256" t="str">
        <f>'Planilha - Orla'!E155</f>
        <v>m2</v>
      </c>
      <c r="F142" s="643">
        <f>1220*21.2</f>
        <v>25864</v>
      </c>
      <c r="G142" s="644" t="s">
        <v>25703</v>
      </c>
      <c r="H142" s="642" t="s">
        <v>25702</v>
      </c>
    </row>
    <row r="143" spans="1:8" s="646" customFormat="1" x14ac:dyDescent="0.35">
      <c r="A143" s="1239"/>
      <c r="B143" s="1240"/>
      <c r="C143" s="1241"/>
      <c r="D143" s="1242"/>
      <c r="E143" s="1243"/>
      <c r="F143" s="1244"/>
      <c r="G143" s="1245"/>
      <c r="H143" s="1246"/>
    </row>
    <row r="144" spans="1:8" x14ac:dyDescent="0.35">
      <c r="A144" s="673"/>
      <c r="B144" s="674"/>
      <c r="C144" s="675"/>
      <c r="D144" s="676"/>
      <c r="E144" s="677"/>
      <c r="F144" s="678"/>
      <c r="G144" s="679"/>
      <c r="H144" s="680"/>
    </row>
    <row r="145" spans="1:9" x14ac:dyDescent="0.35">
      <c r="A145" s="673"/>
      <c r="B145" s="674"/>
      <c r="C145" s="675"/>
      <c r="D145" s="676"/>
      <c r="E145" s="677"/>
      <c r="F145" s="678"/>
      <c r="G145" s="679"/>
      <c r="H145" s="680"/>
    </row>
    <row r="146" spans="1:9" x14ac:dyDescent="0.35">
      <c r="A146" s="673"/>
      <c r="B146" s="674"/>
      <c r="C146" s="675"/>
      <c r="D146" s="676"/>
      <c r="E146" s="677"/>
      <c r="F146" s="678"/>
      <c r="G146" s="679"/>
      <c r="H146" s="680"/>
    </row>
    <row r="147" spans="1:9" x14ac:dyDescent="0.35">
      <c r="A147" s="673"/>
      <c r="B147" s="674"/>
      <c r="C147" s="675"/>
      <c r="D147" s="676"/>
      <c r="E147" s="677"/>
      <c r="F147" s="678"/>
      <c r="G147" s="679"/>
      <c r="H147" s="680"/>
    </row>
    <row r="148" spans="1:9" x14ac:dyDescent="0.35">
      <c r="A148" s="673"/>
      <c r="B148" s="674"/>
      <c r="C148" s="675"/>
      <c r="D148" s="596" t="s">
        <v>24939</v>
      </c>
      <c r="E148" s="677"/>
      <c r="F148" s="678"/>
      <c r="G148" s="671"/>
      <c r="H148" s="681"/>
      <c r="I148" s="672"/>
    </row>
    <row r="149" spans="1:9" x14ac:dyDescent="0.35">
      <c r="A149" s="673"/>
      <c r="B149" s="674"/>
      <c r="C149" s="675"/>
      <c r="D149" s="595" t="s">
        <v>24941</v>
      </c>
      <c r="E149" s="677"/>
      <c r="F149" s="678"/>
      <c r="G149" s="597"/>
      <c r="H149" s="682"/>
      <c r="I149" s="592"/>
    </row>
    <row r="150" spans="1:9" ht="19.5" thickBot="1" x14ac:dyDescent="0.4">
      <c r="A150" s="683"/>
      <c r="B150" s="684"/>
      <c r="C150" s="685"/>
      <c r="D150" s="602" t="s">
        <v>24940</v>
      </c>
      <c r="E150" s="686"/>
      <c r="F150" s="687"/>
      <c r="G150" s="688"/>
      <c r="H150" s="689"/>
      <c r="I150" s="592"/>
    </row>
  </sheetData>
  <sheetProtection insertRows="0" deleteRows="0" selectLockedCells="1" autoFilter="0"/>
  <autoFilter ref="C6:H8" xr:uid="{1D3518F7-A1CE-44CD-9983-CF6BCA68A01F}"/>
  <mergeCells count="16">
    <mergeCell ref="A1:H1"/>
    <mergeCell ref="A2:B2"/>
    <mergeCell ref="C2:D2"/>
    <mergeCell ref="E2:F2"/>
    <mergeCell ref="A3:B3"/>
    <mergeCell ref="C3:D3"/>
    <mergeCell ref="E3:F3"/>
    <mergeCell ref="D5:D6"/>
    <mergeCell ref="G5:G6"/>
    <mergeCell ref="H5:H6"/>
    <mergeCell ref="A4:B4"/>
    <mergeCell ref="E4:F4"/>
    <mergeCell ref="A5:A6"/>
    <mergeCell ref="B5:C5"/>
    <mergeCell ref="E5:E6"/>
    <mergeCell ref="F5:F6"/>
  </mergeCells>
  <phoneticPr fontId="12" type="noConversion"/>
  <conditionalFormatting sqref="D8 D57:E57 H20:H21 D10:D17 E8:E17 D19:H19 D22:H22 D103:H105 H8:H18 D23:E27 H23:H27 D107:H108 D71:E71 D50:E55 D82:H101 D18:E18 D112:H112 D63:E63 D29:H37 D38:F44 H38:H43 H142:H143 D143:E143 D126:H127 D110:H110 D109:G109 D115:H124 D113:F114 H113:H114 D45:H48 D59:H61 I65:I68 D64:H69 D72:H80">
    <cfRule type="expression" dxfId="121" priority="2590" stopIfTrue="1">
      <formula>$D8="&gt;&gt;&gt;&gt;&gt;&gt;&gt;&gt;&gt;&gt; Digite aqui a descrição e apresente a composição detalhada."</formula>
    </cfRule>
  </conditionalFormatting>
  <conditionalFormatting sqref="D8 D57:E57 H20:H21 D10:D17 E8:E17 D19:H19 D22:H22 D103:H105 H8:H18 D23:E27 H23:H27 D107:H108 D71:E71 D50:E55 D82:H101 D18:E18 D112:H112 D63:E63 D29:H37 D38:F44 H38:H43 H142:H143 D143:E143 D126:H127 D110:H110 D109:G109 D115:H124 D113:F114 H113:H114 D45:H48 D59:H61 I65:I68 D64:H69 D72:H80">
    <cfRule type="expression" dxfId="120" priority="2589" stopIfTrue="1">
      <formula>$D8="&gt;&gt;&gt;&gt;&gt;&gt;&gt;&gt;&gt;&gt;Digite aqui a descrição e apresente a composição detalhada."</formula>
    </cfRule>
  </conditionalFormatting>
  <conditionalFormatting sqref="D20:D21">
    <cfRule type="expression" dxfId="119" priority="38" stopIfTrue="1">
      <formula>$D20="&gt;&gt;&gt;&gt;&gt;&gt;&gt;&gt;&gt;&gt; Digite aqui a descrição e apresente a composição detalhada."</formula>
    </cfRule>
  </conditionalFormatting>
  <conditionalFormatting sqref="D20:D21">
    <cfRule type="expression" dxfId="118" priority="37" stopIfTrue="1">
      <formula>$D20="&gt;&gt;&gt;&gt;&gt;&gt;&gt;&gt;&gt;&gt;Digite aqui a descrição e apresente a composição detalhada."</formula>
    </cfRule>
  </conditionalFormatting>
  <conditionalFormatting sqref="E20:E21">
    <cfRule type="expression" dxfId="117" priority="32" stopIfTrue="1">
      <formula>$D20="&gt;&gt;&gt;&gt;&gt;&gt;&gt;&gt;&gt;&gt; Digite aqui a descrição e apresente a composição detalhada."</formula>
    </cfRule>
  </conditionalFormatting>
  <conditionalFormatting sqref="E20:E21">
    <cfRule type="expression" dxfId="116" priority="31" stopIfTrue="1">
      <formula>$D20="&gt;&gt;&gt;&gt;&gt;&gt;&gt;&gt;&gt;&gt;Digite aqui a descrição e apresente a composição detalhada."</formula>
    </cfRule>
  </conditionalFormatting>
  <conditionalFormatting sqref="F8:G18">
    <cfRule type="expression" dxfId="115" priority="30" stopIfTrue="1">
      <formula>$D8="&gt;&gt;&gt;&gt;&gt;&gt;&gt;&gt;&gt;&gt; Digite aqui a descrição e apresente a composição detalhada."</formula>
    </cfRule>
  </conditionalFormatting>
  <conditionalFormatting sqref="F8:G18">
    <cfRule type="expression" dxfId="114" priority="29" stopIfTrue="1">
      <formula>$D8="&gt;&gt;&gt;&gt;&gt;&gt;&gt;&gt;&gt;&gt;Digite aqui a descrição e apresente a composição detalhada."</formula>
    </cfRule>
  </conditionalFormatting>
  <conditionalFormatting sqref="F20:G21">
    <cfRule type="expression" dxfId="113" priority="28" stopIfTrue="1">
      <formula>$D20="&gt;&gt;&gt;&gt;&gt;&gt;&gt;&gt;&gt;&gt; Digite aqui a descrição e apresente a composição detalhada."</formula>
    </cfRule>
  </conditionalFormatting>
  <conditionalFormatting sqref="F20:G21">
    <cfRule type="expression" dxfId="112" priority="27" stopIfTrue="1">
      <formula>$D20="&gt;&gt;&gt;&gt;&gt;&gt;&gt;&gt;&gt;&gt;Digite aqui a descrição e apresente a composição detalhada."</formula>
    </cfRule>
  </conditionalFormatting>
  <conditionalFormatting sqref="F23:G27">
    <cfRule type="expression" dxfId="111" priority="26" stopIfTrue="1">
      <formula>$D23="&gt;&gt;&gt;&gt;&gt;&gt;&gt;&gt;&gt;&gt; Digite aqui a descrição e apresente a composição detalhada."</formula>
    </cfRule>
  </conditionalFormatting>
  <conditionalFormatting sqref="F23:G27">
    <cfRule type="expression" dxfId="110" priority="25" stopIfTrue="1">
      <formula>$D23="&gt;&gt;&gt;&gt;&gt;&gt;&gt;&gt;&gt;&gt;Digite aqui a descrição e apresente a composição detalhada."</formula>
    </cfRule>
  </conditionalFormatting>
  <conditionalFormatting sqref="F50:H55">
    <cfRule type="expression" dxfId="109" priority="22" stopIfTrue="1">
      <formula>$D50="&gt;&gt;&gt;&gt;&gt;&gt;&gt;&gt;&gt;&gt; Digite aqui a descrição e apresente a composição detalhada."</formula>
    </cfRule>
  </conditionalFormatting>
  <conditionalFormatting sqref="F50:H55">
    <cfRule type="expression" dxfId="108" priority="21" stopIfTrue="1">
      <formula>$D50="&gt;&gt;&gt;&gt;&gt;&gt;&gt;&gt;&gt;&gt;Digite aqui a descrição e apresente a composição detalhada."</formula>
    </cfRule>
  </conditionalFormatting>
  <conditionalFormatting sqref="F57:H57">
    <cfRule type="expression" dxfId="107" priority="20" stopIfTrue="1">
      <formula>$D57="&gt;&gt;&gt;&gt;&gt;&gt;&gt;&gt;&gt;&gt; Digite aqui a descrição e apresente a composição detalhada."</formula>
    </cfRule>
  </conditionalFormatting>
  <conditionalFormatting sqref="F57:H57">
    <cfRule type="expression" dxfId="106" priority="19" stopIfTrue="1">
      <formula>$D57="&gt;&gt;&gt;&gt;&gt;&gt;&gt;&gt;&gt;&gt;Digite aqui a descrição e apresente a composição detalhada."</formula>
    </cfRule>
  </conditionalFormatting>
  <conditionalFormatting sqref="F142:G143">
    <cfRule type="expression" dxfId="105" priority="18" stopIfTrue="1">
      <formula>$D142="&gt;&gt;&gt;&gt;&gt;&gt;&gt;&gt;&gt;&gt; Digite aqui a descrição e apresente a composição detalhada."</formula>
    </cfRule>
  </conditionalFormatting>
  <conditionalFormatting sqref="F142:G143">
    <cfRule type="expression" dxfId="104" priority="17" stopIfTrue="1">
      <formula>$D142="&gt;&gt;&gt;&gt;&gt;&gt;&gt;&gt;&gt;&gt;Digite aqui a descrição e apresente a composição detalhada."</formula>
    </cfRule>
  </conditionalFormatting>
  <conditionalFormatting sqref="G63">
    <cfRule type="expression" dxfId="103" priority="12" stopIfTrue="1">
      <formula>$D63="&gt;&gt;&gt;&gt;&gt;&gt;&gt;&gt;&gt;&gt; Digite aqui a descrição e apresente a composição detalhada."</formula>
    </cfRule>
  </conditionalFormatting>
  <conditionalFormatting sqref="G63">
    <cfRule type="expression" dxfId="102" priority="11" stopIfTrue="1">
      <formula>$D63="&gt;&gt;&gt;&gt;&gt;&gt;&gt;&gt;&gt;&gt;Digite aqui a descrição e apresente a composição detalhada."</formula>
    </cfRule>
  </conditionalFormatting>
  <conditionalFormatting sqref="G38:G44">
    <cfRule type="expression" dxfId="101" priority="10" stopIfTrue="1">
      <formula>$D38="&gt;&gt;&gt;&gt;&gt;&gt;&gt;&gt;&gt;&gt; Digite aqui a descrição e apresente a composição detalhada."</formula>
    </cfRule>
  </conditionalFormatting>
  <conditionalFormatting sqref="G38:G44">
    <cfRule type="expression" dxfId="100" priority="9" stopIfTrue="1">
      <formula>$D38="&gt;&gt;&gt;&gt;&gt;&gt;&gt;&gt;&gt;&gt;Digite aqui a descrição e apresente a composição detalhada."</formula>
    </cfRule>
  </conditionalFormatting>
  <conditionalFormatting sqref="H44">
    <cfRule type="expression" dxfId="99" priority="8" stopIfTrue="1">
      <formula>$D44="&gt;&gt;&gt;&gt;&gt;&gt;&gt;&gt;&gt;&gt; Digite aqui a descrição e apresente a composição detalhada."</formula>
    </cfRule>
  </conditionalFormatting>
  <conditionalFormatting sqref="H44">
    <cfRule type="expression" dxfId="98" priority="7" stopIfTrue="1">
      <formula>$D44="&gt;&gt;&gt;&gt;&gt;&gt;&gt;&gt;&gt;&gt;Digite aqui a descrição e apresente a composição detalhada."</formula>
    </cfRule>
  </conditionalFormatting>
  <conditionalFormatting sqref="H109">
    <cfRule type="expression" dxfId="97" priority="6" stopIfTrue="1">
      <formula>$D109="&gt;&gt;&gt;&gt;&gt;&gt;&gt;&gt;&gt;&gt; Digite aqui a descrição e apresente a composição detalhada."</formula>
    </cfRule>
  </conditionalFormatting>
  <conditionalFormatting sqref="H109">
    <cfRule type="expression" dxfId="96" priority="5" stopIfTrue="1">
      <formula>$D109="&gt;&gt;&gt;&gt;&gt;&gt;&gt;&gt;&gt;&gt;Digite aqui a descrição e apresente a composição detalhada."</formula>
    </cfRule>
  </conditionalFormatting>
  <conditionalFormatting sqref="K116">
    <cfRule type="expression" dxfId="95" priority="4" stopIfTrue="1">
      <formula>$D116="&gt;&gt;&gt;&gt;&gt;&gt;&gt;&gt;&gt;&gt; Digite aqui a descrição e apresente a composição detalhada."</formula>
    </cfRule>
  </conditionalFormatting>
  <conditionalFormatting sqref="K116">
    <cfRule type="expression" dxfId="94" priority="3" stopIfTrue="1">
      <formula>$D116="&gt;&gt;&gt;&gt;&gt;&gt;&gt;&gt;&gt;&gt;Digite aqui a descrição e apresente a composição detalhada."</formula>
    </cfRule>
  </conditionalFormatting>
  <conditionalFormatting sqref="G113:G114">
    <cfRule type="expression" dxfId="93" priority="2" stopIfTrue="1">
      <formula>$D113="&gt;&gt;&gt;&gt;&gt;&gt;&gt;&gt;&gt;&gt; Digite aqui a descrição e apresente a composição detalhada."</formula>
    </cfRule>
  </conditionalFormatting>
  <conditionalFormatting sqref="G113:G114">
    <cfRule type="expression" dxfId="92" priority="1" stopIfTrue="1">
      <formula>$D113="&gt;&gt;&gt;&gt;&gt;&gt;&gt;&gt;&gt;&gt;Digite aqui a descrição e apresente a composição detalhada."</formula>
    </cfRule>
  </conditionalFormatting>
  <dataValidations disablePrompts="1" count="1">
    <dataValidation type="list" errorStyle="warning" allowBlank="1" showInputMessage="1" showErrorMessage="1" errorTitle="Atenção" error="Os preços deverão ser preferencialmente SINAPI." promptTitle="Escolha o Orgão de Referência" sqref="B7:B8 B10:B18 B141 B143 B106:B127 B22:B69 B72:B102" xr:uid="{6B492F79-6E49-4329-A39E-017241832D69}">
      <formula1>"IOPES,SINAPI,DNIT,COMP."</formula1>
    </dataValidation>
  </dataValidations>
  <pageMargins left="0.23622047244094491" right="0.23622047244094491" top="0.74803149606299213" bottom="0.74803149606299213" header="0.31496062992125984" footer="0.31496062992125984"/>
  <pageSetup paperSize="9" scale="50" fitToHeight="0" orientation="landscape" horizontalDpi="300" verticalDpi="300" r:id="rId1"/>
  <headerFooter alignWithMargins="0">
    <oddFooter>&amp;R&amp;P de &amp;N</oddFooter>
  </headerFooter>
  <rowBreaks count="1" manualBreakCount="1">
    <brk id="124" max="7"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9BE5E2-5340-44EC-8F9D-5196A599F8DE}">
  <sheetPr>
    <tabColor rgb="FFFF0000"/>
    <pageSetUpPr fitToPage="1"/>
  </sheetPr>
  <dimension ref="A1:U34"/>
  <sheetViews>
    <sheetView topLeftCell="A16" workbookViewId="0">
      <selection activeCell="A31" sqref="A31:T31"/>
    </sheetView>
  </sheetViews>
  <sheetFormatPr defaultColWidth="9.140625" defaultRowHeight="15" x14ac:dyDescent="0.3"/>
  <cols>
    <col min="1" max="1" width="6.7109375" style="732" customWidth="1"/>
    <col min="2" max="2" width="39.5703125" style="732" bestFit="1" customWidth="1"/>
    <col min="3" max="3" width="18.140625" style="732" customWidth="1"/>
    <col min="4" max="4" width="11.7109375" style="732" customWidth="1"/>
    <col min="5" max="5" width="13.28515625" style="732" bestFit="1" customWidth="1"/>
    <col min="6" max="6" width="9.140625" style="732"/>
    <col min="7" max="7" width="13.28515625" style="732" bestFit="1" customWidth="1"/>
    <col min="8" max="8" width="9.140625" style="732"/>
    <col min="9" max="9" width="19.28515625" style="732" bestFit="1" customWidth="1"/>
    <col min="10" max="10" width="9.140625" style="732" customWidth="1"/>
    <col min="11" max="11" width="19.7109375" style="732" bestFit="1" customWidth="1"/>
    <col min="12" max="12" width="10.85546875" style="732" customWidth="1"/>
    <col min="13" max="13" width="19.7109375" style="732" bestFit="1" customWidth="1"/>
    <col min="14" max="14" width="9.5703125" style="732" bestFit="1" customWidth="1"/>
    <col min="15" max="15" width="19.7109375" style="732" customWidth="1"/>
    <col min="16" max="16" width="9.5703125" style="732" customWidth="1"/>
    <col min="17" max="17" width="19.7109375" style="732" customWidth="1"/>
    <col min="18" max="18" width="9.5703125" style="732" customWidth="1"/>
    <col min="19" max="19" width="19.42578125" style="732" bestFit="1" customWidth="1"/>
    <col min="20" max="20" width="9.42578125" style="732" bestFit="1" customWidth="1"/>
    <col min="21" max="21" width="10.85546875" style="732" bestFit="1" customWidth="1"/>
    <col min="22" max="16384" width="9.140625" style="732"/>
  </cols>
  <sheetData>
    <row r="1" spans="1:21" ht="15" customHeight="1" x14ac:dyDescent="0.3">
      <c r="A1" s="1440" t="s">
        <v>388</v>
      </c>
      <c r="B1" s="1441"/>
      <c r="C1" s="1441"/>
      <c r="D1" s="1441"/>
      <c r="E1" s="1441"/>
      <c r="F1" s="1441"/>
      <c r="G1" s="1441"/>
      <c r="H1" s="1441"/>
      <c r="I1" s="1441"/>
      <c r="J1" s="1441"/>
      <c r="K1" s="1441"/>
      <c r="L1" s="1441"/>
      <c r="M1" s="1441"/>
      <c r="N1" s="1441"/>
      <c r="O1" s="1441"/>
      <c r="P1" s="1441"/>
      <c r="Q1" s="1441"/>
      <c r="R1" s="1441"/>
      <c r="S1" s="1441"/>
      <c r="T1" s="1442"/>
    </row>
    <row r="2" spans="1:21" ht="15" customHeight="1" thickBot="1" x14ac:dyDescent="0.35">
      <c r="A2" s="1443"/>
      <c r="B2" s="1444"/>
      <c r="C2" s="1444"/>
      <c r="D2" s="1444"/>
      <c r="E2" s="1444"/>
      <c r="F2" s="1444"/>
      <c r="G2" s="1444"/>
      <c r="H2" s="1444"/>
      <c r="I2" s="1444"/>
      <c r="J2" s="1444"/>
      <c r="K2" s="1444"/>
      <c r="L2" s="1444"/>
      <c r="M2" s="1444"/>
      <c r="N2" s="1444"/>
      <c r="O2" s="1444"/>
      <c r="P2" s="1444"/>
      <c r="Q2" s="1444"/>
      <c r="R2" s="1444"/>
      <c r="S2" s="1444"/>
      <c r="T2" s="1445"/>
    </row>
    <row r="3" spans="1:21" ht="14.45" customHeight="1" x14ac:dyDescent="0.3">
      <c r="A3" s="1446" t="s">
        <v>24946</v>
      </c>
      <c r="B3" s="1447"/>
      <c r="C3" s="1447"/>
      <c r="D3" s="1447"/>
      <c r="E3" s="1447"/>
      <c r="F3" s="1447"/>
      <c r="G3" s="1447"/>
      <c r="H3" s="1447"/>
      <c r="I3" s="1447"/>
      <c r="J3" s="1447"/>
      <c r="K3" s="1447"/>
      <c r="L3" s="1447"/>
      <c r="M3" s="1447"/>
      <c r="N3" s="1447"/>
      <c r="O3" s="1447"/>
      <c r="P3" s="1447"/>
      <c r="Q3" s="1447"/>
      <c r="R3" s="1447"/>
      <c r="S3" s="1447"/>
      <c r="T3" s="1448"/>
    </row>
    <row r="4" spans="1:21" ht="21" customHeight="1" x14ac:dyDescent="0.3">
      <c r="A4" s="1449"/>
      <c r="B4" s="1450"/>
      <c r="C4" s="1450"/>
      <c r="D4" s="1450"/>
      <c r="E4" s="1450"/>
      <c r="F4" s="1450"/>
      <c r="G4" s="1450"/>
      <c r="H4" s="1450"/>
      <c r="I4" s="1450"/>
      <c r="J4" s="1450"/>
      <c r="K4" s="1450"/>
      <c r="L4" s="1450"/>
      <c r="M4" s="1450"/>
      <c r="N4" s="1450"/>
      <c r="O4" s="1450"/>
      <c r="P4" s="1450"/>
      <c r="Q4" s="1450"/>
      <c r="R4" s="1450"/>
      <c r="S4" s="1450"/>
      <c r="T4" s="1451"/>
    </row>
    <row r="5" spans="1:21" ht="23.25" customHeight="1" thickBot="1" x14ac:dyDescent="0.35">
      <c r="A5" s="1452" t="s">
        <v>24960</v>
      </c>
      <c r="B5" s="1453"/>
      <c r="C5" s="1453"/>
      <c r="D5" s="1453"/>
      <c r="E5" s="1453"/>
      <c r="F5" s="1453"/>
      <c r="G5" s="1453"/>
      <c r="H5" s="1453"/>
      <c r="I5" s="1453"/>
      <c r="J5" s="1453"/>
      <c r="K5" s="1453"/>
      <c r="L5" s="1453"/>
      <c r="M5" s="1453"/>
      <c r="N5" s="1453"/>
      <c r="O5" s="1453"/>
      <c r="P5" s="1453"/>
      <c r="Q5" s="1453"/>
      <c r="R5" s="1453"/>
      <c r="S5" s="1453"/>
      <c r="T5" s="1454"/>
    </row>
    <row r="6" spans="1:21" x14ac:dyDescent="0.3">
      <c r="A6" s="1455"/>
      <c r="B6" s="1456"/>
      <c r="C6" s="1456"/>
      <c r="D6" s="1456"/>
      <c r="E6" s="1457" t="s">
        <v>24947</v>
      </c>
      <c r="F6" s="1458"/>
      <c r="G6" s="1459" t="s">
        <v>24948</v>
      </c>
      <c r="H6" s="1459"/>
      <c r="I6" s="1459" t="s">
        <v>24949</v>
      </c>
      <c r="J6" s="1459"/>
      <c r="K6" s="1459" t="s">
        <v>24950</v>
      </c>
      <c r="L6" s="1459"/>
      <c r="M6" s="1459" t="s">
        <v>24951</v>
      </c>
      <c r="N6" s="1459"/>
      <c r="O6" s="1459" t="s">
        <v>24952</v>
      </c>
      <c r="P6" s="1459"/>
      <c r="Q6" s="1459" t="s">
        <v>25009</v>
      </c>
      <c r="R6" s="1459"/>
      <c r="S6" s="1459" t="s">
        <v>25010</v>
      </c>
      <c r="T6" s="1460"/>
    </row>
    <row r="7" spans="1:21" x14ac:dyDescent="0.3">
      <c r="A7" s="1434" t="s">
        <v>24953</v>
      </c>
      <c r="B7" s="1435"/>
      <c r="C7" s="1435"/>
      <c r="D7" s="1435"/>
      <c r="E7" s="1436"/>
      <c r="F7" s="1436"/>
      <c r="G7" s="1436"/>
      <c r="H7" s="1436"/>
      <c r="I7" s="1436">
        <f>SUM(I11:I24)</f>
        <v>1382267.66</v>
      </c>
      <c r="J7" s="1436"/>
      <c r="K7" s="1436">
        <f>SUM(K11:K24)</f>
        <v>3591649.54</v>
      </c>
      <c r="L7" s="1436"/>
      <c r="M7" s="1436">
        <f>SUM(M11:M24)</f>
        <v>3597371.67</v>
      </c>
      <c r="N7" s="1436"/>
      <c r="O7" s="1436">
        <f>SUM(O11:O24)</f>
        <v>3487593.8</v>
      </c>
      <c r="P7" s="1436"/>
      <c r="Q7" s="1436">
        <f>SUM(Q11:Q24)</f>
        <v>3349397.34</v>
      </c>
      <c r="R7" s="1436"/>
      <c r="S7" s="1436">
        <f>SUM(S11:S25)</f>
        <v>2238291.5</v>
      </c>
      <c r="T7" s="1437"/>
      <c r="U7" s="768" t="e">
        <f>#REF!-C10</f>
        <v>#REF!</v>
      </c>
    </row>
    <row r="8" spans="1:21" x14ac:dyDescent="0.3">
      <c r="A8" s="1434" t="s">
        <v>24954</v>
      </c>
      <c r="B8" s="1435"/>
      <c r="C8" s="1435"/>
      <c r="D8" s="1435"/>
      <c r="E8" s="1436"/>
      <c r="F8" s="1436"/>
      <c r="G8" s="1436"/>
      <c r="H8" s="1436"/>
      <c r="I8" s="1436">
        <f>I7+G8</f>
        <v>1382267.66</v>
      </c>
      <c r="J8" s="1436"/>
      <c r="K8" s="1436">
        <f>K7+I8</f>
        <v>4973917.2</v>
      </c>
      <c r="L8" s="1436"/>
      <c r="M8" s="1436">
        <f>M7+K8</f>
        <v>8571288.8699999992</v>
      </c>
      <c r="N8" s="1436"/>
      <c r="O8" s="1436">
        <f>O7+M8</f>
        <v>12058882.67</v>
      </c>
      <c r="P8" s="1436"/>
      <c r="Q8" s="1436">
        <f>Q7+O8</f>
        <v>15408280.01</v>
      </c>
      <c r="R8" s="1436"/>
      <c r="S8" s="1436">
        <f>C10</f>
        <v>17646571.489999998</v>
      </c>
      <c r="T8" s="1437"/>
    </row>
    <row r="9" spans="1:21" ht="30" x14ac:dyDescent="0.3">
      <c r="A9" s="754" t="s">
        <v>4384</v>
      </c>
      <c r="B9" s="755" t="str">
        <f>[1]PREÇOS!E6</f>
        <v>DESCRIÇÃO</v>
      </c>
      <c r="C9" s="756" t="s">
        <v>24955</v>
      </c>
      <c r="D9" s="757" t="s">
        <v>24956</v>
      </c>
      <c r="E9" s="1438"/>
      <c r="F9" s="1439"/>
      <c r="G9" s="1438"/>
      <c r="H9" s="1439"/>
      <c r="I9" s="769" t="s">
        <v>24957</v>
      </c>
      <c r="J9" s="769" t="s">
        <v>24958</v>
      </c>
      <c r="K9" s="769" t="s">
        <v>24957</v>
      </c>
      <c r="L9" s="769" t="s">
        <v>24958</v>
      </c>
      <c r="M9" s="769" t="s">
        <v>24957</v>
      </c>
      <c r="N9" s="769" t="s">
        <v>24958</v>
      </c>
      <c r="O9" s="769" t="s">
        <v>24957</v>
      </c>
      <c r="P9" s="769" t="s">
        <v>24958</v>
      </c>
      <c r="Q9" s="769" t="s">
        <v>24957</v>
      </c>
      <c r="R9" s="769" t="s">
        <v>24958</v>
      </c>
      <c r="S9" s="769" t="s">
        <v>24957</v>
      </c>
      <c r="T9" s="782" t="s">
        <v>24958</v>
      </c>
    </row>
    <row r="10" spans="1:21" s="770" customFormat="1" x14ac:dyDescent="0.3">
      <c r="A10" s="754"/>
      <c r="B10" s="822"/>
      <c r="C10" s="758">
        <f>'Planilha - Orla'!I159</f>
        <v>17646571.489999998</v>
      </c>
      <c r="D10" s="759">
        <f>SUM(D11:D24)</f>
        <v>0.998</v>
      </c>
      <c r="E10" s="1419"/>
      <c r="F10" s="1420"/>
      <c r="G10" s="1419"/>
      <c r="H10" s="1420"/>
      <c r="I10" s="760">
        <f>(I7/$C$10)</f>
        <v>7.8299999999999995E-2</v>
      </c>
      <c r="J10" s="760">
        <f>I10+H10</f>
        <v>7.8299999999999995E-2</v>
      </c>
      <c r="K10" s="760">
        <f>(K7/$C$10)</f>
        <v>0.20349999999999999</v>
      </c>
      <c r="L10" s="760">
        <f>K10+J10</f>
        <v>0.28179999999999999</v>
      </c>
      <c r="M10" s="760">
        <f>(M7/$C$10)</f>
        <v>0.2039</v>
      </c>
      <c r="N10" s="760">
        <f>M10+L10</f>
        <v>0.48570000000000002</v>
      </c>
      <c r="O10" s="760">
        <f>(O7/$C$10)</f>
        <v>0.1976</v>
      </c>
      <c r="P10" s="760">
        <f>O10+N10</f>
        <v>0.68330000000000002</v>
      </c>
      <c r="Q10" s="760">
        <f>(Q7/$C$10)</f>
        <v>0.1898</v>
      </c>
      <c r="R10" s="760">
        <f>Q10+P10</f>
        <v>0.87309999999999999</v>
      </c>
      <c r="S10" s="760">
        <f>(S7/$C$10)</f>
        <v>0.1268</v>
      </c>
      <c r="T10" s="826">
        <f>S10+R10</f>
        <v>0.99990000000000001</v>
      </c>
    </row>
    <row r="11" spans="1:21" s="775" customFormat="1" x14ac:dyDescent="0.3">
      <c r="A11" s="771">
        <f>'Planilha - Orla'!A6</f>
        <v>1</v>
      </c>
      <c r="B11" s="772" t="str">
        <f>'Planilha - Orla'!D6</f>
        <v>SERVIÇOS PRELIMINARES</v>
      </c>
      <c r="C11" s="773">
        <f>'Planilha - Orla'!I6</f>
        <v>109170.33</v>
      </c>
      <c r="D11" s="761">
        <f>C11/$C$10</f>
        <v>6.1999999999999998E-3</v>
      </c>
      <c r="E11" s="1428" t="s">
        <v>24962</v>
      </c>
      <c r="F11" s="1429"/>
      <c r="G11" s="1428" t="s">
        <v>24963</v>
      </c>
      <c r="H11" s="1429"/>
      <c r="I11" s="774">
        <f t="shared" ref="I11:I18" si="0">ROUND($C11*J11,2)</f>
        <v>43668.13</v>
      </c>
      <c r="J11" s="829">
        <v>0.4</v>
      </c>
      <c r="K11" s="774">
        <f t="shared" ref="K11:K19" si="1">ROUND($C11*L11,2)</f>
        <v>21834.07</v>
      </c>
      <c r="L11" s="829">
        <v>0.2</v>
      </c>
      <c r="M11" s="774">
        <f t="shared" ref="M11:M19" si="2">ROUND($C11*N11,2)</f>
        <v>21834.07</v>
      </c>
      <c r="N11" s="829">
        <v>0.2</v>
      </c>
      <c r="O11" s="774">
        <f t="shared" ref="O11:O19" si="3">ROUND($C11*P11,2)</f>
        <v>10917.03</v>
      </c>
      <c r="P11" s="829">
        <v>0.1</v>
      </c>
      <c r="Q11" s="774">
        <f t="shared" ref="Q11:Q21" si="4">ROUND($C11*R11,2)</f>
        <v>5458.52</v>
      </c>
      <c r="R11" s="829">
        <v>0.05</v>
      </c>
      <c r="S11" s="774">
        <f t="shared" ref="S11:S18" si="5">ROUND($C11*T11,2)</f>
        <v>5458.52</v>
      </c>
      <c r="T11" s="830">
        <v>0.05</v>
      </c>
      <c r="U11" s="828">
        <f>T11+R11+P11+N11+L11+J11</f>
        <v>1</v>
      </c>
    </row>
    <row r="12" spans="1:21" s="775" customFormat="1" ht="15" customHeight="1" x14ac:dyDescent="0.3">
      <c r="A12" s="833">
        <f>'Planilha - Orla'!A21</f>
        <v>2</v>
      </c>
      <c r="B12" s="776" t="str">
        <f>'Planilha - Orla'!D21</f>
        <v>MOBILIZAÇÃO E DESMOBILIZAÇÃO DE MÁQUINAS</v>
      </c>
      <c r="C12" s="777">
        <f>'Planilha - Orla'!I21</f>
        <v>12320.88</v>
      </c>
      <c r="D12" s="762">
        <f>C12/$C$10</f>
        <v>6.9999999999999999E-4</v>
      </c>
      <c r="E12" s="1430"/>
      <c r="F12" s="1431"/>
      <c r="G12" s="1430"/>
      <c r="H12" s="1431"/>
      <c r="I12" s="778">
        <f t="shared" si="0"/>
        <v>6160.44</v>
      </c>
      <c r="J12" s="831">
        <v>0.5</v>
      </c>
      <c r="K12" s="778">
        <f t="shared" si="1"/>
        <v>0</v>
      </c>
      <c r="L12" s="831"/>
      <c r="M12" s="778">
        <f t="shared" si="2"/>
        <v>0</v>
      </c>
      <c r="N12" s="831"/>
      <c r="O12" s="778">
        <f t="shared" si="3"/>
        <v>0</v>
      </c>
      <c r="P12" s="831"/>
      <c r="Q12" s="778">
        <f t="shared" si="4"/>
        <v>0</v>
      </c>
      <c r="R12" s="831"/>
      <c r="S12" s="778">
        <f t="shared" si="5"/>
        <v>6160.44</v>
      </c>
      <c r="T12" s="832">
        <v>0.5</v>
      </c>
      <c r="U12" s="828">
        <f t="shared" ref="U12:U24" si="6">T12+R12+P12+N12+L12+J12</f>
        <v>1</v>
      </c>
    </row>
    <row r="13" spans="1:21" s="775" customFormat="1" ht="15" customHeight="1" x14ac:dyDescent="0.3">
      <c r="A13" s="771">
        <f>'Planilha - Orla'!A27</f>
        <v>3</v>
      </c>
      <c r="B13" s="772" t="str">
        <f>'Planilha - Orla'!D27</f>
        <v>SINALIZAÇÃO DA OBRA</v>
      </c>
      <c r="C13" s="773">
        <f>'Planilha - Orla'!I27</f>
        <v>131463.25</v>
      </c>
      <c r="D13" s="761">
        <f>C13/$C$10</f>
        <v>7.4000000000000003E-3</v>
      </c>
      <c r="E13" s="1430"/>
      <c r="F13" s="1431"/>
      <c r="G13" s="1430"/>
      <c r="H13" s="1431"/>
      <c r="I13" s="774">
        <f t="shared" si="0"/>
        <v>52585.3</v>
      </c>
      <c r="J13" s="829">
        <v>0.4</v>
      </c>
      <c r="K13" s="774">
        <f t="shared" si="1"/>
        <v>26292.65</v>
      </c>
      <c r="L13" s="829">
        <v>0.2</v>
      </c>
      <c r="M13" s="774">
        <f t="shared" si="2"/>
        <v>26292.65</v>
      </c>
      <c r="N13" s="829">
        <v>0.2</v>
      </c>
      <c r="O13" s="774">
        <f t="shared" si="3"/>
        <v>13146.33</v>
      </c>
      <c r="P13" s="829">
        <v>0.1</v>
      </c>
      <c r="Q13" s="774">
        <f t="shared" si="4"/>
        <v>6573.16</v>
      </c>
      <c r="R13" s="829">
        <v>0.05</v>
      </c>
      <c r="S13" s="774">
        <f t="shared" si="5"/>
        <v>6573.16</v>
      </c>
      <c r="T13" s="830">
        <v>0.05</v>
      </c>
      <c r="U13" s="828">
        <f t="shared" si="6"/>
        <v>1</v>
      </c>
    </row>
    <row r="14" spans="1:21" s="775" customFormat="1" ht="15" customHeight="1" x14ac:dyDescent="0.3">
      <c r="A14" s="833">
        <f>'Planilha - Orla'!A36</f>
        <v>4</v>
      </c>
      <c r="B14" s="779" t="str">
        <f>'Planilha - Orla'!D36</f>
        <v>DEMOLIÇÕES E RETIRADAS</v>
      </c>
      <c r="C14" s="777">
        <f>'Planilha - Orla'!I36</f>
        <v>802254.73</v>
      </c>
      <c r="D14" s="762">
        <f>C14/$C$10</f>
        <v>4.5499999999999999E-2</v>
      </c>
      <c r="E14" s="1430"/>
      <c r="F14" s="1431"/>
      <c r="G14" s="1430"/>
      <c r="H14" s="1431"/>
      <c r="I14" s="778">
        <f t="shared" si="0"/>
        <v>722029.26</v>
      </c>
      <c r="J14" s="831">
        <v>0.9</v>
      </c>
      <c r="K14" s="778">
        <f t="shared" si="1"/>
        <v>80225.47</v>
      </c>
      <c r="L14" s="831">
        <v>0.1</v>
      </c>
      <c r="M14" s="778">
        <f t="shared" si="2"/>
        <v>0</v>
      </c>
      <c r="N14" s="831"/>
      <c r="O14" s="778">
        <f t="shared" si="3"/>
        <v>0</v>
      </c>
      <c r="P14" s="831"/>
      <c r="Q14" s="778">
        <f t="shared" si="4"/>
        <v>0</v>
      </c>
      <c r="R14" s="831"/>
      <c r="S14" s="778">
        <f t="shared" si="5"/>
        <v>0</v>
      </c>
      <c r="T14" s="832"/>
      <c r="U14" s="828">
        <f t="shared" si="6"/>
        <v>1</v>
      </c>
    </row>
    <row r="15" spans="1:21" s="775" customFormat="1" ht="15" customHeight="1" x14ac:dyDescent="0.3">
      <c r="A15" s="771">
        <f>'Planilha - Orla'!A55</f>
        <v>5</v>
      </c>
      <c r="B15" s="772" t="str">
        <f>'Planilha - Orla'!D55</f>
        <v>TERRAPLENAGEM</v>
      </c>
      <c r="C15" s="773">
        <f>'Planilha - Orla'!I55</f>
        <v>1115649.05</v>
      </c>
      <c r="D15" s="761">
        <f t="shared" ref="D15:D25" si="7">C15/$C$10</f>
        <v>6.3200000000000006E-2</v>
      </c>
      <c r="E15" s="1430"/>
      <c r="F15" s="1431"/>
      <c r="G15" s="1430"/>
      <c r="H15" s="1431"/>
      <c r="I15" s="774">
        <f t="shared" si="0"/>
        <v>557824.53</v>
      </c>
      <c r="J15" s="829">
        <v>0.5</v>
      </c>
      <c r="K15" s="774">
        <f t="shared" si="1"/>
        <v>278912.26</v>
      </c>
      <c r="L15" s="829">
        <v>0.25</v>
      </c>
      <c r="M15" s="774">
        <f t="shared" si="2"/>
        <v>278912.26</v>
      </c>
      <c r="N15" s="829">
        <v>0.25</v>
      </c>
      <c r="O15" s="774">
        <f t="shared" si="3"/>
        <v>0</v>
      </c>
      <c r="P15" s="829"/>
      <c r="Q15" s="774">
        <f t="shared" si="4"/>
        <v>0</v>
      </c>
      <c r="R15" s="829"/>
      <c r="S15" s="774">
        <f t="shared" si="5"/>
        <v>0</v>
      </c>
      <c r="T15" s="830"/>
      <c r="U15" s="828">
        <f t="shared" si="6"/>
        <v>1</v>
      </c>
    </row>
    <row r="16" spans="1:21" s="775" customFormat="1" ht="30.75" customHeight="1" x14ac:dyDescent="0.3">
      <c r="A16" s="833">
        <f>'Planilha - Orla'!A65</f>
        <v>6</v>
      </c>
      <c r="B16" s="779" t="str">
        <f>'Planilha - Orla'!D65</f>
        <v>OBRAS DE ARTE CORRENTES E DRENAGEM</v>
      </c>
      <c r="C16" s="777">
        <f>'Planilha - Orla'!I65</f>
        <v>171895.2</v>
      </c>
      <c r="D16" s="762">
        <f t="shared" si="7"/>
        <v>9.7000000000000003E-3</v>
      </c>
      <c r="E16" s="1430"/>
      <c r="F16" s="1431"/>
      <c r="G16" s="1430"/>
      <c r="H16" s="1431"/>
      <c r="I16" s="778">
        <f t="shared" si="0"/>
        <v>0</v>
      </c>
      <c r="J16" s="831"/>
      <c r="K16" s="778">
        <f t="shared" si="1"/>
        <v>0</v>
      </c>
      <c r="L16" s="831"/>
      <c r="M16" s="778">
        <f t="shared" si="2"/>
        <v>85947.6</v>
      </c>
      <c r="N16" s="831">
        <v>0.5</v>
      </c>
      <c r="O16" s="778">
        <f t="shared" si="3"/>
        <v>42973.8</v>
      </c>
      <c r="P16" s="831">
        <v>0.25</v>
      </c>
      <c r="Q16" s="778">
        <f t="shared" si="4"/>
        <v>42973.8</v>
      </c>
      <c r="R16" s="831">
        <v>0.25</v>
      </c>
      <c r="S16" s="778">
        <f t="shared" si="5"/>
        <v>0</v>
      </c>
      <c r="T16" s="832"/>
      <c r="U16" s="828">
        <f t="shared" si="6"/>
        <v>1</v>
      </c>
    </row>
    <row r="17" spans="1:21" s="775" customFormat="1" ht="21" customHeight="1" x14ac:dyDescent="0.3">
      <c r="A17" s="771">
        <f>'Planilha - Orla'!A70</f>
        <v>7</v>
      </c>
      <c r="B17" s="772" t="str">
        <f>'Planilha - Orla'!D70</f>
        <v>OBRAS DE CONTENÇÃO</v>
      </c>
      <c r="C17" s="773">
        <f>'Planilha - Orla'!I70</f>
        <v>3390052.5</v>
      </c>
      <c r="D17" s="761">
        <f t="shared" si="7"/>
        <v>0.19209999999999999</v>
      </c>
      <c r="E17" s="1430"/>
      <c r="F17" s="1431"/>
      <c r="G17" s="1430"/>
      <c r="H17" s="1431"/>
      <c r="I17" s="774">
        <f t="shared" si="0"/>
        <v>0</v>
      </c>
      <c r="J17" s="829"/>
      <c r="K17" s="774">
        <f t="shared" si="1"/>
        <v>1356021</v>
      </c>
      <c r="L17" s="829">
        <v>0.4</v>
      </c>
      <c r="M17" s="774">
        <f t="shared" si="2"/>
        <v>1356021</v>
      </c>
      <c r="N17" s="829">
        <v>0.4</v>
      </c>
      <c r="O17" s="774">
        <f t="shared" si="3"/>
        <v>678010.5</v>
      </c>
      <c r="P17" s="829">
        <v>0.2</v>
      </c>
      <c r="Q17" s="774">
        <f t="shared" si="4"/>
        <v>0</v>
      </c>
      <c r="R17" s="829"/>
      <c r="S17" s="774">
        <f t="shared" si="5"/>
        <v>0</v>
      </c>
      <c r="T17" s="830"/>
      <c r="U17" s="828">
        <f t="shared" si="6"/>
        <v>1</v>
      </c>
    </row>
    <row r="18" spans="1:21" s="775" customFormat="1" x14ac:dyDescent="0.3">
      <c r="A18" s="833">
        <f>'Planilha - Orla'!A77</f>
        <v>8</v>
      </c>
      <c r="B18" s="779" t="str">
        <f>'Planilha - Orla'!D77</f>
        <v>PAVIMENTAÇÃO</v>
      </c>
      <c r="C18" s="777">
        <f>'Planilha - Orla'!I77</f>
        <v>5300940.12</v>
      </c>
      <c r="D18" s="762">
        <f t="shared" si="7"/>
        <v>0.3004</v>
      </c>
      <c r="E18" s="1430"/>
      <c r="F18" s="1431"/>
      <c r="G18" s="1430"/>
      <c r="H18" s="1431"/>
      <c r="I18" s="778">
        <f t="shared" si="0"/>
        <v>0</v>
      </c>
      <c r="J18" s="831"/>
      <c r="K18" s="778">
        <f t="shared" si="1"/>
        <v>1060188.02</v>
      </c>
      <c r="L18" s="831">
        <v>0.2</v>
      </c>
      <c r="M18" s="778">
        <f t="shared" si="2"/>
        <v>1060188.02</v>
      </c>
      <c r="N18" s="831">
        <v>0.2</v>
      </c>
      <c r="O18" s="778">
        <f t="shared" si="3"/>
        <v>1590282.04</v>
      </c>
      <c r="P18" s="831">
        <v>0.3</v>
      </c>
      <c r="Q18" s="778">
        <f t="shared" si="4"/>
        <v>1590282.04</v>
      </c>
      <c r="R18" s="831">
        <v>0.3</v>
      </c>
      <c r="S18" s="778">
        <f t="shared" si="5"/>
        <v>0</v>
      </c>
      <c r="T18" s="832"/>
      <c r="U18" s="828">
        <f t="shared" si="6"/>
        <v>1</v>
      </c>
    </row>
    <row r="19" spans="1:21" s="775" customFormat="1" x14ac:dyDescent="0.3">
      <c r="A19" s="771">
        <f>'Planilha - Orla'!A85</f>
        <v>9</v>
      </c>
      <c r="B19" s="772" t="str">
        <f>'Planilha - Orla'!D85</f>
        <v>CALÇADÃO/CICLOVIA</v>
      </c>
      <c r="C19" s="773">
        <f>'Planilha - Orla'!I85</f>
        <v>3840880.33</v>
      </c>
      <c r="D19" s="761">
        <f t="shared" si="7"/>
        <v>0.2177</v>
      </c>
      <c r="E19" s="1430"/>
      <c r="F19" s="1431"/>
      <c r="G19" s="1430"/>
      <c r="H19" s="1431"/>
      <c r="I19" s="774"/>
      <c r="J19" s="829"/>
      <c r="K19" s="774">
        <f t="shared" si="1"/>
        <v>768176.07</v>
      </c>
      <c r="L19" s="829">
        <v>0.2</v>
      </c>
      <c r="M19" s="774">
        <f t="shared" si="2"/>
        <v>768176.07</v>
      </c>
      <c r="N19" s="829">
        <v>0.2</v>
      </c>
      <c r="O19" s="774">
        <f t="shared" si="3"/>
        <v>1152264.1000000001</v>
      </c>
      <c r="P19" s="829">
        <v>0.3</v>
      </c>
      <c r="Q19" s="774">
        <f t="shared" si="4"/>
        <v>1152264.1000000001</v>
      </c>
      <c r="R19" s="829">
        <v>0.3</v>
      </c>
      <c r="S19" s="774"/>
      <c r="T19" s="830"/>
      <c r="U19" s="828">
        <f t="shared" si="6"/>
        <v>1</v>
      </c>
    </row>
    <row r="20" spans="1:21" s="775" customFormat="1" x14ac:dyDescent="0.3">
      <c r="A20" s="833">
        <f>'Planilha - Orla'!A97</f>
        <v>10</v>
      </c>
      <c r="B20" s="779" t="str">
        <f>'Planilha - Orla'!D97</f>
        <v>INSTALAÇÃO ELÉTRICA</v>
      </c>
      <c r="C20" s="777">
        <f>'Planilha - Orla'!I97</f>
        <v>1057210.42</v>
      </c>
      <c r="D20" s="762">
        <f t="shared" si="7"/>
        <v>5.9900000000000002E-2</v>
      </c>
      <c r="E20" s="1430"/>
      <c r="F20" s="1431"/>
      <c r="G20" s="1430"/>
      <c r="H20" s="1431"/>
      <c r="I20" s="778">
        <f t="shared" ref="I20:I24" si="8">$C20*J20</f>
        <v>0</v>
      </c>
      <c r="J20" s="831"/>
      <c r="K20" s="778">
        <f t="shared" ref="K20:K24" si="9">$C20*L20</f>
        <v>0</v>
      </c>
      <c r="L20" s="831"/>
      <c r="M20" s="778">
        <f t="shared" ref="M20:M24" si="10">$C20*N20</f>
        <v>0</v>
      </c>
      <c r="N20" s="831"/>
      <c r="O20" s="778">
        <f t="shared" ref="O20:O24" si="11">$C20*P20</f>
        <v>0</v>
      </c>
      <c r="P20" s="831"/>
      <c r="Q20" s="778">
        <f t="shared" si="4"/>
        <v>528605.21</v>
      </c>
      <c r="R20" s="831">
        <v>0.5</v>
      </c>
      <c r="S20" s="778">
        <f t="shared" ref="S20:S25" si="12">ROUND($C20*T20,2)</f>
        <v>528605.21</v>
      </c>
      <c r="T20" s="832">
        <v>0.5</v>
      </c>
      <c r="U20" s="828">
        <f t="shared" si="6"/>
        <v>1</v>
      </c>
    </row>
    <row r="21" spans="1:21" s="775" customFormat="1" ht="15" customHeight="1" x14ac:dyDescent="0.3">
      <c r="A21" s="771">
        <f>'Planilha - Orla'!A120</f>
        <v>11</v>
      </c>
      <c r="B21" s="772" t="str">
        <f>'Planilha - Orla'!D120</f>
        <v>INSTALAÇÃO HIDRÁULICA</v>
      </c>
      <c r="C21" s="773">
        <f>'Planilha - Orla'!I120</f>
        <v>92962.05</v>
      </c>
      <c r="D21" s="761">
        <f t="shared" si="7"/>
        <v>5.3E-3</v>
      </c>
      <c r="E21" s="1430"/>
      <c r="F21" s="1431"/>
      <c r="G21" s="1430"/>
      <c r="H21" s="1431"/>
      <c r="I21" s="774">
        <f t="shared" si="8"/>
        <v>0</v>
      </c>
      <c r="J21" s="829"/>
      <c r="K21" s="774">
        <f t="shared" si="9"/>
        <v>0</v>
      </c>
      <c r="L21" s="829"/>
      <c r="M21" s="774">
        <f t="shared" si="10"/>
        <v>0</v>
      </c>
      <c r="N21" s="829"/>
      <c r="O21" s="774">
        <f t="shared" si="11"/>
        <v>0</v>
      </c>
      <c r="P21" s="829"/>
      <c r="Q21" s="774">
        <f t="shared" si="4"/>
        <v>23240.51</v>
      </c>
      <c r="R21" s="829">
        <v>0.25</v>
      </c>
      <c r="S21" s="774">
        <f t="shared" si="12"/>
        <v>69721.539999999994</v>
      </c>
      <c r="T21" s="830">
        <v>0.75</v>
      </c>
      <c r="U21" s="828">
        <f t="shared" si="6"/>
        <v>1</v>
      </c>
    </row>
    <row r="22" spans="1:21" s="775" customFormat="1" ht="15" customHeight="1" x14ac:dyDescent="0.3">
      <c r="A22" s="833">
        <f>'Planilha - Orla'!A127</f>
        <v>12</v>
      </c>
      <c r="B22" s="779" t="str">
        <f>'Planilha - Orla'!D127</f>
        <v>EQUIPAMENTOS URBANOS</v>
      </c>
      <c r="C22" s="777">
        <f>'Planilha - Orla'!I127</f>
        <v>418225.7</v>
      </c>
      <c r="D22" s="762">
        <f t="shared" si="7"/>
        <v>2.3699999999999999E-2</v>
      </c>
      <c r="E22" s="1430"/>
      <c r="F22" s="1431"/>
      <c r="G22" s="1430"/>
      <c r="H22" s="1431"/>
      <c r="I22" s="778">
        <f t="shared" si="8"/>
        <v>0</v>
      </c>
      <c r="J22" s="831"/>
      <c r="K22" s="778">
        <f t="shared" si="9"/>
        <v>0</v>
      </c>
      <c r="L22" s="831"/>
      <c r="M22" s="778">
        <f t="shared" si="10"/>
        <v>0</v>
      </c>
      <c r="N22" s="831"/>
      <c r="O22" s="778">
        <f t="shared" si="11"/>
        <v>0</v>
      </c>
      <c r="P22" s="831"/>
      <c r="Q22" s="778">
        <f t="shared" ref="Q22:Q24" si="13">$C22*R22</f>
        <v>0</v>
      </c>
      <c r="R22" s="831"/>
      <c r="S22" s="778">
        <f t="shared" si="12"/>
        <v>418225.7</v>
      </c>
      <c r="T22" s="832">
        <v>1</v>
      </c>
      <c r="U22" s="828">
        <f t="shared" si="6"/>
        <v>1</v>
      </c>
    </row>
    <row r="23" spans="1:21" s="775" customFormat="1" ht="15" customHeight="1" x14ac:dyDescent="0.3">
      <c r="A23" s="771">
        <f>'Planilha - Orla'!A135</f>
        <v>13</v>
      </c>
      <c r="B23" s="772" t="str">
        <f>'Planilha - Orla'!D135</f>
        <v>PAISAGISMO</v>
      </c>
      <c r="C23" s="773">
        <f>'Planilha - Orla'!I135</f>
        <v>1135749.57</v>
      </c>
      <c r="D23" s="761">
        <f t="shared" si="7"/>
        <v>6.4399999999999999E-2</v>
      </c>
      <c r="E23" s="1430"/>
      <c r="F23" s="1431"/>
      <c r="G23" s="1430"/>
      <c r="H23" s="1431"/>
      <c r="I23" s="774">
        <f t="shared" si="8"/>
        <v>0</v>
      </c>
      <c r="J23" s="829"/>
      <c r="K23" s="774">
        <f t="shared" si="9"/>
        <v>0</v>
      </c>
      <c r="L23" s="829"/>
      <c r="M23" s="774">
        <f t="shared" si="10"/>
        <v>0</v>
      </c>
      <c r="N23" s="829"/>
      <c r="O23" s="774">
        <f t="shared" si="11"/>
        <v>0</v>
      </c>
      <c r="P23" s="829"/>
      <c r="Q23" s="774">
        <f t="shared" si="13"/>
        <v>0</v>
      </c>
      <c r="R23" s="829"/>
      <c r="S23" s="774">
        <f t="shared" si="12"/>
        <v>1135749.57</v>
      </c>
      <c r="T23" s="830">
        <v>1</v>
      </c>
      <c r="U23" s="828">
        <f t="shared" si="6"/>
        <v>1</v>
      </c>
    </row>
    <row r="24" spans="1:21" s="775" customFormat="1" ht="15" customHeight="1" x14ac:dyDescent="0.3">
      <c r="A24" s="833">
        <f>'Planilha - Orla'!A148</f>
        <v>14</v>
      </c>
      <c r="B24" s="779" t="str">
        <f>'Planilha - Orla'!D148</f>
        <v>SINALIZAÇÃO</v>
      </c>
      <c r="C24" s="777">
        <f>'Planilha - Orla'!I148</f>
        <v>35208.720000000001</v>
      </c>
      <c r="D24" s="762">
        <f t="shared" si="7"/>
        <v>2E-3</v>
      </c>
      <c r="E24" s="1432"/>
      <c r="F24" s="1433"/>
      <c r="G24" s="1432"/>
      <c r="H24" s="1433"/>
      <c r="I24" s="778">
        <f t="shared" si="8"/>
        <v>0</v>
      </c>
      <c r="J24" s="831"/>
      <c r="K24" s="778">
        <f t="shared" si="9"/>
        <v>0</v>
      </c>
      <c r="L24" s="831"/>
      <c r="M24" s="778">
        <f t="shared" si="10"/>
        <v>0</v>
      </c>
      <c r="N24" s="831"/>
      <c r="O24" s="778">
        <f t="shared" si="11"/>
        <v>0</v>
      </c>
      <c r="P24" s="831"/>
      <c r="Q24" s="778">
        <f t="shared" si="13"/>
        <v>0</v>
      </c>
      <c r="R24" s="831"/>
      <c r="S24" s="778">
        <f t="shared" si="12"/>
        <v>35208.720000000001</v>
      </c>
      <c r="T24" s="832">
        <v>1</v>
      </c>
      <c r="U24" s="828">
        <f t="shared" si="6"/>
        <v>1</v>
      </c>
    </row>
    <row r="25" spans="1:21" s="775" customFormat="1" ht="15" customHeight="1" x14ac:dyDescent="0.3">
      <c r="A25" s="1298">
        <f>'Planilha - Orla'!A154</f>
        <v>15</v>
      </c>
      <c r="B25" s="1299" t="str">
        <f>'Planilha - Orla'!D154</f>
        <v>LIMPEZA DE OBRA</v>
      </c>
      <c r="C25" s="1300">
        <f>'Planilha - Orla'!I154</f>
        <v>32588.639999999999</v>
      </c>
      <c r="D25" s="762">
        <f t="shared" si="7"/>
        <v>1.8E-3</v>
      </c>
      <c r="E25" s="1292"/>
      <c r="F25" s="1293"/>
      <c r="G25" s="1292"/>
      <c r="H25" s="1293"/>
      <c r="I25" s="778">
        <f t="shared" ref="I25" si="14">$C25*J25</f>
        <v>0</v>
      </c>
      <c r="J25" s="831"/>
      <c r="K25" s="778">
        <f t="shared" ref="K25" si="15">$C25*L25</f>
        <v>0</v>
      </c>
      <c r="L25" s="831"/>
      <c r="M25" s="778">
        <f t="shared" ref="M25" si="16">$C25*N25</f>
        <v>0</v>
      </c>
      <c r="N25" s="831"/>
      <c r="O25" s="778">
        <f t="shared" ref="O25" si="17">$C25*P25</f>
        <v>0</v>
      </c>
      <c r="P25" s="831"/>
      <c r="Q25" s="778">
        <f t="shared" ref="Q25" si="18">$C25*R25</f>
        <v>0</v>
      </c>
      <c r="R25" s="831"/>
      <c r="S25" s="778">
        <f t="shared" si="12"/>
        <v>32588.639999999999</v>
      </c>
      <c r="T25" s="832">
        <v>1</v>
      </c>
      <c r="U25" s="828"/>
    </row>
    <row r="26" spans="1:21" s="770" customFormat="1" ht="16.5" customHeight="1" thickBot="1" x14ac:dyDescent="0.35">
      <c r="A26" s="763"/>
      <c r="B26" s="764" t="s">
        <v>24959</v>
      </c>
      <c r="C26" s="765">
        <f>SUM(C11:C25)</f>
        <v>17646571.489999998</v>
      </c>
      <c r="D26" s="766">
        <f>SUM(D11:D25)</f>
        <v>1</v>
      </c>
      <c r="E26" s="1421"/>
      <c r="F26" s="1422"/>
      <c r="G26" s="1421"/>
      <c r="H26" s="1422"/>
      <c r="I26" s="767">
        <f t="shared" ref="I26:N26" si="19">I10</f>
        <v>7.8299999999999995E-2</v>
      </c>
      <c r="J26" s="767">
        <f t="shared" si="19"/>
        <v>7.8299999999999995E-2</v>
      </c>
      <c r="K26" s="767">
        <f t="shared" si="19"/>
        <v>0.20349999999999999</v>
      </c>
      <c r="L26" s="767">
        <f t="shared" si="19"/>
        <v>0.28179999999999999</v>
      </c>
      <c r="M26" s="767">
        <f t="shared" si="19"/>
        <v>0.2039</v>
      </c>
      <c r="N26" s="767">
        <f t="shared" si="19"/>
        <v>0.48570000000000002</v>
      </c>
      <c r="O26" s="767">
        <f t="shared" ref="O26:T26" si="20">O10</f>
        <v>0.1976</v>
      </c>
      <c r="P26" s="767">
        <f t="shared" si="20"/>
        <v>0.68330000000000002</v>
      </c>
      <c r="Q26" s="767">
        <f t="shared" si="20"/>
        <v>0.1898</v>
      </c>
      <c r="R26" s="767">
        <f t="shared" si="20"/>
        <v>0.87309999999999999</v>
      </c>
      <c r="S26" s="767">
        <f t="shared" si="20"/>
        <v>0.1268</v>
      </c>
      <c r="T26" s="827">
        <f t="shared" si="20"/>
        <v>0.99990000000000001</v>
      </c>
    </row>
    <row r="27" spans="1:21" x14ac:dyDescent="0.3">
      <c r="A27" s="1425"/>
      <c r="B27" s="1423"/>
      <c r="C27" s="1423"/>
      <c r="D27" s="1423"/>
      <c r="E27" s="1423"/>
      <c r="F27" s="1423"/>
      <c r="G27" s="1423"/>
      <c r="H27" s="1423"/>
      <c r="I27" s="1423"/>
      <c r="J27" s="1423"/>
      <c r="K27" s="1423"/>
      <c r="L27" s="1423"/>
      <c r="M27" s="1423"/>
      <c r="N27" s="1423"/>
      <c r="O27" s="1423"/>
      <c r="P27" s="1423"/>
      <c r="Q27" s="1423"/>
      <c r="R27" s="1423"/>
      <c r="S27" s="1423"/>
      <c r="T27" s="1426"/>
    </row>
    <row r="28" spans="1:21" x14ac:dyDescent="0.3">
      <c r="A28" s="1425"/>
      <c r="B28" s="1423"/>
      <c r="C28" s="1423"/>
      <c r="D28" s="1423"/>
      <c r="E28" s="1423"/>
      <c r="F28" s="1423"/>
      <c r="G28" s="1423"/>
      <c r="H28" s="1423"/>
      <c r="I28" s="1423"/>
      <c r="J28" s="1423"/>
      <c r="K28" s="1423"/>
      <c r="L28" s="1423"/>
      <c r="M28" s="1423"/>
      <c r="N28" s="1423"/>
      <c r="O28" s="1423"/>
      <c r="P28" s="1423"/>
      <c r="Q28" s="1423"/>
      <c r="R28" s="1423"/>
      <c r="S28" s="1423"/>
      <c r="T28" s="1426"/>
    </row>
    <row r="29" spans="1:21" x14ac:dyDescent="0.3">
      <c r="A29" s="823"/>
      <c r="B29" s="824"/>
      <c r="C29" s="824"/>
      <c r="D29" s="824"/>
      <c r="E29" s="824"/>
      <c r="F29" s="824"/>
      <c r="G29" s="824"/>
      <c r="H29" s="824"/>
      <c r="I29" s="824"/>
      <c r="J29" s="824"/>
      <c r="K29" s="824"/>
      <c r="L29" s="824"/>
      <c r="M29" s="824"/>
      <c r="N29" s="824"/>
      <c r="O29" s="824"/>
      <c r="P29" s="824"/>
      <c r="Q29" s="824"/>
      <c r="R29" s="824"/>
      <c r="S29" s="824"/>
      <c r="T29" s="825"/>
    </row>
    <row r="30" spans="1:21" x14ac:dyDescent="0.3">
      <c r="A30" s="823"/>
      <c r="B30" s="824"/>
      <c r="C30" s="824"/>
      <c r="D30" s="824"/>
      <c r="E30" s="824"/>
      <c r="F30" s="824"/>
      <c r="G30" s="824"/>
      <c r="H30" s="824"/>
      <c r="I30" s="824"/>
      <c r="J30" s="824"/>
      <c r="K30" s="824"/>
      <c r="L30" s="824"/>
      <c r="M30" s="824"/>
      <c r="N30" s="824"/>
      <c r="O30" s="824"/>
      <c r="P30" s="824"/>
      <c r="Q30" s="824"/>
      <c r="R30" s="824"/>
      <c r="S30" s="824"/>
      <c r="T30" s="825"/>
    </row>
    <row r="31" spans="1:21" x14ac:dyDescent="0.3">
      <c r="A31" s="1425"/>
      <c r="B31" s="1423"/>
      <c r="C31" s="1423"/>
      <c r="D31" s="1423"/>
      <c r="E31" s="1423"/>
      <c r="F31" s="1423"/>
      <c r="G31" s="1423"/>
      <c r="H31" s="1423"/>
      <c r="I31" s="1423"/>
      <c r="J31" s="1423"/>
      <c r="K31" s="1423"/>
      <c r="L31" s="1423"/>
      <c r="M31" s="1423"/>
      <c r="N31" s="1423"/>
      <c r="O31" s="1423"/>
      <c r="P31" s="1423"/>
      <c r="Q31" s="1423"/>
      <c r="R31" s="1423"/>
      <c r="S31" s="1423"/>
      <c r="T31" s="1426"/>
    </row>
    <row r="32" spans="1:21" s="733" customFormat="1" x14ac:dyDescent="0.3">
      <c r="A32" s="780"/>
      <c r="B32" s="1427" t="s">
        <v>24939</v>
      </c>
      <c r="C32" s="1427"/>
      <c r="D32" s="783"/>
      <c r="E32" s="783"/>
      <c r="F32" s="783"/>
      <c r="G32" s="1427"/>
      <c r="H32" s="1427"/>
      <c r="I32" s="1427"/>
      <c r="J32" s="1427"/>
      <c r="K32" s="783"/>
      <c r="L32" s="783"/>
      <c r="M32" s="783"/>
      <c r="N32" s="783"/>
      <c r="O32" s="783"/>
      <c r="P32" s="783"/>
      <c r="Q32" s="783"/>
      <c r="R32" s="783"/>
      <c r="S32" s="783"/>
      <c r="T32" s="784"/>
    </row>
    <row r="33" spans="1:20" x14ac:dyDescent="0.3">
      <c r="A33" s="781"/>
      <c r="B33" s="1423" t="s">
        <v>24941</v>
      </c>
      <c r="C33" s="1423"/>
      <c r="D33" s="785"/>
      <c r="E33" s="785"/>
      <c r="F33" s="785"/>
      <c r="G33" s="1423"/>
      <c r="H33" s="1423"/>
      <c r="I33" s="1423"/>
      <c r="J33" s="1423"/>
      <c r="K33" s="785"/>
      <c r="L33" s="785"/>
      <c r="M33" s="785"/>
      <c r="N33" s="785"/>
      <c r="O33" s="785"/>
      <c r="P33" s="785"/>
      <c r="Q33" s="785"/>
      <c r="R33" s="785"/>
      <c r="S33" s="785"/>
      <c r="T33" s="786"/>
    </row>
    <row r="34" spans="1:20" ht="15.75" thickBot="1" x14ac:dyDescent="0.35">
      <c r="A34" s="787"/>
      <c r="B34" s="1424" t="s">
        <v>24940</v>
      </c>
      <c r="C34" s="1424"/>
      <c r="D34" s="788"/>
      <c r="E34" s="788"/>
      <c r="F34" s="788"/>
      <c r="G34" s="1424"/>
      <c r="H34" s="1424"/>
      <c r="I34" s="1424"/>
      <c r="J34" s="1424"/>
      <c r="K34" s="788"/>
      <c r="L34" s="788"/>
      <c r="M34" s="788"/>
      <c r="N34" s="788"/>
      <c r="O34" s="788"/>
      <c r="P34" s="788"/>
      <c r="Q34" s="788"/>
      <c r="R34" s="788"/>
      <c r="S34" s="788"/>
      <c r="T34" s="789"/>
    </row>
  </sheetData>
  <mergeCells count="47">
    <mergeCell ref="S7:T7"/>
    <mergeCell ref="A1:T2"/>
    <mergeCell ref="A3:T4"/>
    <mergeCell ref="A5:T5"/>
    <mergeCell ref="A6:D6"/>
    <mergeCell ref="E6:F6"/>
    <mergeCell ref="G6:H6"/>
    <mergeCell ref="I6:J6"/>
    <mergeCell ref="K6:L6"/>
    <mergeCell ref="M6:N6"/>
    <mergeCell ref="S6:T6"/>
    <mergeCell ref="O6:P6"/>
    <mergeCell ref="Q6:R6"/>
    <mergeCell ref="A7:D7"/>
    <mergeCell ref="E7:F7"/>
    <mergeCell ref="G7:H7"/>
    <mergeCell ref="I7:J7"/>
    <mergeCell ref="K7:L7"/>
    <mergeCell ref="M7:N7"/>
    <mergeCell ref="O7:P7"/>
    <mergeCell ref="Q7:R7"/>
    <mergeCell ref="M8:N8"/>
    <mergeCell ref="S8:T8"/>
    <mergeCell ref="O8:P8"/>
    <mergeCell ref="Q8:R8"/>
    <mergeCell ref="E9:F9"/>
    <mergeCell ref="G9:H9"/>
    <mergeCell ref="A8:D8"/>
    <mergeCell ref="E8:F8"/>
    <mergeCell ref="G8:H8"/>
    <mergeCell ref="I8:J8"/>
    <mergeCell ref="K8:L8"/>
    <mergeCell ref="G10:H10"/>
    <mergeCell ref="E26:F26"/>
    <mergeCell ref="G26:H26"/>
    <mergeCell ref="G33:J33"/>
    <mergeCell ref="G34:J34"/>
    <mergeCell ref="A31:T31"/>
    <mergeCell ref="B32:C32"/>
    <mergeCell ref="B33:C33"/>
    <mergeCell ref="B34:C34"/>
    <mergeCell ref="G32:J32"/>
    <mergeCell ref="A27:T27"/>
    <mergeCell ref="A28:T28"/>
    <mergeCell ref="E11:F24"/>
    <mergeCell ref="G11:H24"/>
    <mergeCell ref="E10:F10"/>
  </mergeCells>
  <conditionalFormatting sqref="B12 A11:A25">
    <cfRule type="expression" dxfId="91" priority="71" stopIfTrue="1">
      <formula>ISNUMBER(A11)</formula>
    </cfRule>
  </conditionalFormatting>
  <conditionalFormatting sqref="B11 B13 B17 B21 B23 B19">
    <cfRule type="expression" dxfId="90" priority="72" stopIfTrue="1">
      <formula>ISNUMBER(A11)</formula>
    </cfRule>
  </conditionalFormatting>
  <conditionalFormatting sqref="G8:H8">
    <cfRule type="expression" dxfId="89" priority="73" stopIfTrue="1">
      <formula>G7=0</formula>
    </cfRule>
  </conditionalFormatting>
  <conditionalFormatting sqref="G7 C10:E10 C11:D13 C26:E26 B18:D18 C17:D17 B20:D20 B22:D22 C21:D21 C23:D23 C19:D19 G10 G26 B24:D25">
    <cfRule type="cellIs" dxfId="88" priority="74" stopIfTrue="1" operator="equal">
      <formula>0</formula>
    </cfRule>
  </conditionalFormatting>
  <conditionalFormatting sqref="I8:J8">
    <cfRule type="expression" dxfId="87" priority="69" stopIfTrue="1">
      <formula>I7=0</formula>
    </cfRule>
  </conditionalFormatting>
  <conditionalFormatting sqref="I7 I10:J10 J26">
    <cfRule type="cellIs" dxfId="86" priority="70" stopIfTrue="1" operator="equal">
      <formula>0</formula>
    </cfRule>
  </conditionalFormatting>
  <conditionalFormatting sqref="E8:F8">
    <cfRule type="expression" dxfId="85" priority="57" stopIfTrue="1">
      <formula>E7=0</formula>
    </cfRule>
  </conditionalFormatting>
  <conditionalFormatting sqref="K8:L8">
    <cfRule type="expression" dxfId="84" priority="67" stopIfTrue="1">
      <formula>K7=0</formula>
    </cfRule>
  </conditionalFormatting>
  <conditionalFormatting sqref="K7 K10:L10 L26">
    <cfRule type="cellIs" dxfId="83" priority="68" stopIfTrue="1" operator="equal">
      <formula>0</formula>
    </cfRule>
  </conditionalFormatting>
  <conditionalFormatting sqref="M8:T8">
    <cfRule type="expression" dxfId="82" priority="65" stopIfTrue="1">
      <formula>M7=0</formula>
    </cfRule>
  </conditionalFormatting>
  <conditionalFormatting sqref="M7 N26 O7 P26 Q7 R26 S7 T26 M10:T10">
    <cfRule type="cellIs" dxfId="81" priority="66" stopIfTrue="1" operator="equal">
      <formula>0</formula>
    </cfRule>
  </conditionalFormatting>
  <conditionalFormatting sqref="E7">
    <cfRule type="cellIs" dxfId="80" priority="58" stopIfTrue="1" operator="equal">
      <formula>0</formula>
    </cfRule>
  </conditionalFormatting>
  <conditionalFormatting sqref="B14">
    <cfRule type="expression" dxfId="79" priority="47" stopIfTrue="1">
      <formula>ISNUMBER(A14)</formula>
    </cfRule>
  </conditionalFormatting>
  <conditionalFormatting sqref="C14:D14">
    <cfRule type="cellIs" dxfId="78" priority="48" stopIfTrue="1" operator="equal">
      <formula>0</formula>
    </cfRule>
  </conditionalFormatting>
  <conditionalFormatting sqref="B15">
    <cfRule type="cellIs" dxfId="77" priority="44" stopIfTrue="1" operator="equal">
      <formula>0</formula>
    </cfRule>
  </conditionalFormatting>
  <conditionalFormatting sqref="C15:D15">
    <cfRule type="cellIs" dxfId="76" priority="45" stopIfTrue="1" operator="equal">
      <formula>0</formula>
    </cfRule>
  </conditionalFormatting>
  <conditionalFormatting sqref="B16">
    <cfRule type="cellIs" dxfId="75" priority="41" stopIfTrue="1" operator="equal">
      <formula>0</formula>
    </cfRule>
  </conditionalFormatting>
  <conditionalFormatting sqref="C16:D16">
    <cfRule type="cellIs" dxfId="74" priority="42" stopIfTrue="1" operator="equal">
      <formula>0</formula>
    </cfRule>
  </conditionalFormatting>
  <conditionalFormatting sqref="I26">
    <cfRule type="cellIs" dxfId="73" priority="28" stopIfTrue="1" operator="equal">
      <formula>0</formula>
    </cfRule>
  </conditionalFormatting>
  <conditionalFormatting sqref="K26">
    <cfRule type="cellIs" dxfId="72" priority="27" stopIfTrue="1" operator="equal">
      <formula>0</formula>
    </cfRule>
  </conditionalFormatting>
  <conditionalFormatting sqref="M26">
    <cfRule type="cellIs" dxfId="71" priority="22" stopIfTrue="1" operator="equal">
      <formula>0</formula>
    </cfRule>
  </conditionalFormatting>
  <conditionalFormatting sqref="O26">
    <cfRule type="cellIs" dxfId="70" priority="3" stopIfTrue="1" operator="equal">
      <formula>0</formula>
    </cfRule>
  </conditionalFormatting>
  <conditionalFormatting sqref="Q26">
    <cfRule type="cellIs" dxfId="69" priority="2" stopIfTrue="1" operator="equal">
      <formula>0</formula>
    </cfRule>
  </conditionalFormatting>
  <conditionalFormatting sqref="S26">
    <cfRule type="cellIs" dxfId="68" priority="1" stopIfTrue="1" operator="equal">
      <formula>0</formula>
    </cfRule>
  </conditionalFormatting>
  <printOptions horizontalCentered="1" verticalCentered="1"/>
  <pageMargins left="0.25" right="0.25" top="0.75" bottom="0.75" header="0.3" footer="0.3"/>
  <pageSetup paperSize="9" scale="48"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18</vt:i4>
      </vt:variant>
      <vt:variant>
        <vt:lpstr>Intervalos Nomeados</vt:lpstr>
      </vt:variant>
      <vt:variant>
        <vt:i4>18</vt:i4>
      </vt:variant>
    </vt:vector>
  </HeadingPairs>
  <TitlesOfParts>
    <vt:vector size="36" baseType="lpstr">
      <vt:lpstr>DER-RD</vt:lpstr>
      <vt:lpstr>DER-ED</vt:lpstr>
      <vt:lpstr>Resumo</vt:lpstr>
      <vt:lpstr>SINAPI</vt:lpstr>
      <vt:lpstr>Insumos</vt:lpstr>
      <vt:lpstr>Planilha - Orla</vt:lpstr>
      <vt:lpstr>Composições</vt:lpstr>
      <vt:lpstr>Mem - Orla</vt:lpstr>
      <vt:lpstr>Cron - Orla</vt:lpstr>
      <vt:lpstr>Comp. - Orla</vt:lpstr>
      <vt:lpstr>MAPA DE COT. - Orla</vt:lpstr>
      <vt:lpstr>CURVA ABC</vt:lpstr>
      <vt:lpstr>QUIOSQUE - MOD 01</vt:lpstr>
      <vt:lpstr>MEM QUIOSQUE - MOD 01</vt:lpstr>
      <vt:lpstr>CRON QUIOSQUE - MOD 01</vt:lpstr>
      <vt:lpstr>COMP. - Quiosque</vt:lpstr>
      <vt:lpstr>MAPA DE COT. - Quiosque</vt:lpstr>
      <vt:lpstr>BDI GERAL</vt:lpstr>
      <vt:lpstr>'BDI GERAL'!Area_de_impressao</vt:lpstr>
      <vt:lpstr>'Comp. - Orla'!Area_de_impressao</vt:lpstr>
      <vt:lpstr>'COMP. - Quiosque'!Area_de_impressao</vt:lpstr>
      <vt:lpstr>Composições!Area_de_impressao</vt:lpstr>
      <vt:lpstr>'Cron - Orla'!Area_de_impressao</vt:lpstr>
      <vt:lpstr>'CRON QUIOSQUE - MOD 01'!Area_de_impressao</vt:lpstr>
      <vt:lpstr>'MAPA DE COT. - Orla'!Area_de_impressao</vt:lpstr>
      <vt:lpstr>'MAPA DE COT. - Quiosque'!Area_de_impressao</vt:lpstr>
      <vt:lpstr>'Mem - Orla'!Area_de_impressao</vt:lpstr>
      <vt:lpstr>'MEM QUIOSQUE - MOD 01'!Area_de_impressao</vt:lpstr>
      <vt:lpstr>'Planilha - Orla'!Area_de_impressao</vt:lpstr>
      <vt:lpstr>'QUIOSQUE - MOD 01'!Area_de_impressao</vt:lpstr>
      <vt:lpstr>'CURVA ABC'!Titulos_de_impressao</vt:lpstr>
      <vt:lpstr>'Mem - Orla'!Titulos_de_impressao</vt:lpstr>
      <vt:lpstr>'MEM QUIOSQUE - MOD 01'!Titulos_de_impressao</vt:lpstr>
      <vt:lpstr>'Planilha - Orla'!Titulos_de_impressao</vt:lpstr>
      <vt:lpstr>'QUIOSQUE - MOD 01'!Titulos_de_impressao</vt:lpstr>
      <vt:lpstr>Resumo!Titulos_de_impressao</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creator>
  <cp:lastModifiedBy>Nettie Alves Paulo de Moraes</cp:lastModifiedBy>
  <cp:lastPrinted>2022-04-28T02:35:51Z</cp:lastPrinted>
  <dcterms:created xsi:type="dcterms:W3CDTF">2015-02-14T13:49:32Z</dcterms:created>
  <dcterms:modified xsi:type="dcterms:W3CDTF">2022-05-04T15:07:50Z</dcterms:modified>
</cp:coreProperties>
</file>